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xr:revisionPtr revIDLastSave="0" documentId="8_{14A385A4-E890-4C9F-9705-63087DB9708B}" xr6:coauthVersionLast="47" xr6:coauthVersionMax="47" xr10:uidLastSave="{00000000-0000-0000-0000-000000000000}"/>
  <bookViews>
    <workbookView xWindow="-110" yWindow="-110" windowWidth="19420" windowHeight="11620" firstSheet="1" activeTab="5" xr2:uid="{00000000-000D-0000-FFFF-FFFF00000000}"/>
  </bookViews>
  <sheets>
    <sheet name="Overview" sheetId="1" r:id="rId1"/>
    <sheet name="Population" sheetId="2" r:id="rId2"/>
    <sheet name="Production" sheetId="3" r:id="rId3"/>
    <sheet name="Construction" sheetId="4" r:id="rId4"/>
    <sheet name="Explore" sheetId="5" r:id="rId5"/>
    <sheet name="Rezone" sheetId="6" r:id="rId6"/>
    <sheet name="Military" sheetId="7" r:id="rId7"/>
    <sheet name="Magic" sheetId="8" r:id="rId8"/>
    <sheet name="Techs" sheetId="9" r:id="rId9"/>
    <sheet name="Imps" sheetId="10" r:id="rId10"/>
    <sheet name="Log_support" sheetId="11" r:id="rId11"/>
    <sheet name="Constants" sheetId="12" r:id="rId12"/>
    <sheet name="Races" sheetId="13" r:id="rId13"/>
    <sheet name="calc" sheetId="14" r:id="rId14"/>
  </sheets>
  <definedNames>
    <definedName name="adept_dp_bonus">Constants!$C$121</definedName>
    <definedName name="adept_dp_cap">Constants!$F$121</definedName>
    <definedName name="adept_op_bonus">Constants!$C$120</definedName>
    <definedName name="adept_op_cap">Constants!$F$120</definedName>
    <definedName name="alch_frost_bonus">Constants!$F$90</definedName>
    <definedName name="alch_plat">Constants!$B$4</definedName>
    <definedName name="alchemist_flame_bonus">Constants!$F$87</definedName>
    <definedName name="archmage_plat">Overview!$D$29</definedName>
    <definedName name="archspy_plat">Overview!$D$27</definedName>
    <definedName name="ares_call_bonus">Constants!$F$77</definedName>
    <definedName name="barracks_size">Constants!$B$64</definedName>
    <definedName name="blizzard_bonus">Constants!$F$86</definedName>
    <definedName name="boat_size">Constants!$B$93</definedName>
    <definedName name="bone_breaker_bonus">Constants!$C$125</definedName>
    <definedName name="bone_breaker_cap">Constants!$F$125</definedName>
    <definedName name="bonus_jobs_facts">Constants!$B$165</definedName>
    <definedName name="building_employment">Constants!$B$129</definedName>
    <definedName name="dark_elf">Military!$CL$8</definedName>
    <definedName name="days_late">Overview!$B$18</definedName>
    <definedName name="days_late_def_specs">Constants!$E$52</definedName>
    <definedName name="days_late_draftees">Constants!$E$53</definedName>
    <definedName name="days_late_food">Constants!$E$48</definedName>
    <definedName name="days_late_lumber">Constants!$E$49</definedName>
    <definedName name="days_late_mana">Constants!$E$51</definedName>
    <definedName name="days_late_ore">Constants!$E$50</definedName>
    <definedName name="days_late_peasants">Constants!$E$46</definedName>
    <definedName name="days_late_plat">Constants!$E$47</definedName>
    <definedName name="dm_gems">Constants!$B$8</definedName>
    <definedName name="dock_boats_hr">Constants!$B$10</definedName>
    <definedName name="dock_food">Constants!$D$10</definedName>
    <definedName name="druid_dp_bonus">Constants!$C$117</definedName>
    <definedName name="druid_dp_cap">Constants!$F$117</definedName>
    <definedName name="druid_op_bonus">Constants!$C$116</definedName>
    <definedName name="druid_op_cap">Constants!$F$116</definedName>
    <definedName name="dryad_bonus">Constants!$C$118</definedName>
    <definedName name="dryad_cap">Constants!$F$118</definedName>
    <definedName name="elite1_base_dp">Military!$CL$19</definedName>
    <definedName name="elite1_base_op">Military!$CL$18</definedName>
    <definedName name="elite1_dp">Overview!$C$24</definedName>
    <definedName name="elite1_name">Overview!$A$24</definedName>
    <definedName name="elite1_op">Overview!$B$24</definedName>
    <definedName name="elite1_ore">Overview!$E$24</definedName>
    <definedName name="elite1_plat">Overview!$D$24</definedName>
    <definedName name="elite2_base_dp">Military!$CL$21</definedName>
    <definedName name="elite2_base_op">Military!$CL$20</definedName>
    <definedName name="elite2_dp">Overview!$C$25</definedName>
    <definedName name="elite2_name">Overview!$A$25</definedName>
    <definedName name="elite2_op">Overview!$B$25</definedName>
    <definedName name="elite2_ore">Overview!$E$25</definedName>
    <definedName name="elite2_plat">Overview!$D$25</definedName>
    <definedName name="explore_tech_divisor">Constants!$M$144</definedName>
    <definedName name="facs_constr_factor">Constants!$B$21</definedName>
    <definedName name="facs_constr_max">Constants!$D$21</definedName>
    <definedName name="facs_rezone_factor">Constants!$B$22</definedName>
    <definedName name="facs_rezone_max">Constants!$D$22</definedName>
    <definedName name="farm_food">Constants!$B$5</definedName>
    <definedName name="favorable_terrain_bonus">Constants!$D$89</definedName>
    <definedName name="favorable_terrain_max">Constants!$F$89</definedName>
    <definedName name="fh_lumber">Constants!$B$11</definedName>
    <definedName name="fh_peas_dp">Constants!$B$14</definedName>
    <definedName name="fh_spy_cost_cap">Constants!$D$15</definedName>
    <definedName name="fh_spy_cost_red">Constants!$B$15</definedName>
    <definedName name="food_decay">Constants!$B$56</definedName>
    <definedName name="food_per_person">Constants!$B$60</definedName>
    <definedName name="frenzy_bonus">Constants!$F$82</definedName>
    <definedName name="frost_mage_bonus">Constants!$C$122</definedName>
    <definedName name="frost_mage_cap">Constants!$F$122</definedName>
    <definedName name="gaias_blessing_food">Constants!$F$84</definedName>
    <definedName name="gaias_blessing_lumber">Constants!$H$84</definedName>
    <definedName name="gaias_watch_bonus">Constants!$F$75</definedName>
    <definedName name="gem_invest">Constants!$B$159</definedName>
    <definedName name="global_constr_cap">Constants!$B$162</definedName>
    <definedName name="gn_bonus">Constants!$B$13</definedName>
    <definedName name="gn_bonus_cap">Constants!$D$13</definedName>
    <definedName name="gnome">Military!$CL$7</definedName>
    <definedName name="gt_bonus">Constants!$B$12</definedName>
    <definedName name="gt_bonus_cap">Constants!$D$12</definedName>
    <definedName name="harbor_towers_cap">Constants!$D$106</definedName>
    <definedName name="harbor_towers_param">Constants!$D$111</definedName>
    <definedName name="harmony_bonus">Constants!$F$78</definedName>
    <definedName name="home_land">Overview!$B$70</definedName>
    <definedName name="howling_dp_bonus">Constants!$H$85</definedName>
    <definedName name="howling_op_bonus">Constants!$F$85</definedName>
    <definedName name="ice_elem_bonus">Constants!$C$123</definedName>
    <definedName name="ice_elem_cap">Constants!$F$123</definedName>
    <definedName name="icekin">Military!$CL$10</definedName>
    <definedName name="Imps">Imps!$CD$35:$CD$40</definedName>
    <definedName name="keep_cap">Constants!$D$103</definedName>
    <definedName name="keep_param">Constants!$D$108</definedName>
    <definedName name="kobold">Military!$CL$9</definedName>
    <definedName name="lumber_invest">Constants!$B$157</definedName>
    <definedName name="lumber_rot">Constants!$B$57</definedName>
    <definedName name="ly_lumber">Constants!$B$6</definedName>
    <definedName name="mana_drain">Constants!$B$58</definedName>
    <definedName name="mason_bonus">Constants!$B$20</definedName>
    <definedName name="mech_genius_bonus">Constants!$F$81</definedName>
    <definedName name="midas_bonus">Constants!$F$79</definedName>
    <definedName name="min_tech_cost">Constants!$M$64</definedName>
    <definedName name="miners_sight_bonus">Constants!$F$80</definedName>
    <definedName name="mining_strength_bonus">Constants!$F$76</definedName>
    <definedName name="mystic_bonus">Constants!$C$115</definedName>
    <definedName name="mystic_cap">Constants!$F$115</definedName>
    <definedName name="nightfall_bonus">Constants!$F$88</definedName>
    <definedName name="nightshade_bonus">Constants!$C$126</definedName>
    <definedName name="nox">Military!$CL$12</definedName>
    <definedName name="nox_nightshade_cap">Constants!$F$126</definedName>
    <definedName name="nox_nightshade_swamp_bonus">Constants!$C$126</definedName>
    <definedName name="om_ore">Constants!$B$7</definedName>
    <definedName name="orc">Military!$CL$11</definedName>
    <definedName name="ore_invest">Constants!$B$158</definedName>
    <definedName name="plat_invest">Constants!$B$156</definedName>
    <definedName name="pop_in_building">Constants!$B$68</definedName>
    <definedName name="pop_in_home">Constants!$B$65</definedName>
    <definedName name="pop_on_barren">Constants!$B$69</definedName>
    <definedName name="prestige_food_bonus">Constants!$B$97</definedName>
    <definedName name="prestige_multiplier">Constants!$B$98</definedName>
    <definedName name="prestige_offense_bonus">Constants!$B$99</definedName>
    <definedName name="prestige_pop_multiplier">Constants!$B$98</definedName>
    <definedName name="race">Overview!$B$14</definedName>
    <definedName name="race_construction_cost">Overview!$I$30</definedName>
    <definedName name="race_defense">Overview!$I$24</definedName>
    <definedName name="race_food_bonus">Overview!$I$18</definedName>
    <definedName name="race_food_consumption">Overview!$I$23</definedName>
    <definedName name="race_gem_bonus">Overview!$I$22</definedName>
    <definedName name="race_invest_bonus">Overview!$I$28</definedName>
    <definedName name="race_lumber_bonus">Overview!$I$19</definedName>
    <definedName name="race_mana_bonus">Overview!$I$20</definedName>
    <definedName name="race_offense">Overview!$I$25</definedName>
    <definedName name="race_ore_bonus">Overview!$I$21</definedName>
    <definedName name="race_platinum_bonus">Overview!$I$17</definedName>
    <definedName name="race_pop_bonus">Overview!$I$15</definedName>
    <definedName name="race_pop_growth">Overview!$I$16</definedName>
    <definedName name="race_rezone_cost">Overview!$I$29</definedName>
    <definedName name="race_spy_strength">Overview!$I$26</definedName>
    <definedName name="race_wizard_strength">Overview!$I$27</definedName>
    <definedName name="races">Races!$A$94:$A$114</definedName>
    <definedName name="raw_drafting">Constants!$B$55</definedName>
    <definedName name="raw_pop_growth">Constants!$B$54</definedName>
    <definedName name="research_bonus">Overview!$I$31</definedName>
    <definedName name="resources">Imps!$CD$30:$CD$33</definedName>
    <definedName name="rocka_bonus">Constants!$C$119</definedName>
    <definedName name="rocka_cap">Constants!$F$119</definedName>
    <definedName name="school_max">Constants!$D$23</definedName>
    <definedName name="school_rp">Constants!$B$23</definedName>
    <definedName name="science_cap">Constants!$D$104</definedName>
    <definedName name="science_param">Constants!$D$109</definedName>
    <definedName name="secondary_resource">Military!$AQ$2</definedName>
    <definedName name="smithy_bonus">Constants!$B$19</definedName>
    <definedName name="smithy_bonus_cap">Constants!$D$19</definedName>
    <definedName name="solver_adj" localSheetId="4">Explore!$M$37:$M$50</definedName>
    <definedName name="solver_adj" localSheetId="6">Military!$AJ$64</definedName>
    <definedName name="solver_cvg" localSheetId="4">0.0001</definedName>
    <definedName name="solver_cvg" localSheetId="6">0.001</definedName>
    <definedName name="solver_drv" localSheetId="4">1</definedName>
    <definedName name="solver_drv" localSheetId="6">1</definedName>
    <definedName name="solver_est" localSheetId="4">1</definedName>
    <definedName name="solver_est" localSheetId="6">1</definedName>
    <definedName name="solver_itr" localSheetId="4">100</definedName>
    <definedName name="solver_itr" localSheetId="6">100</definedName>
    <definedName name="solver_lhs1" localSheetId="4">Explore!$M$37:$M$50</definedName>
    <definedName name="solver_lhs1" localSheetId="6">Military!$AP$67</definedName>
    <definedName name="solver_lhs2" localSheetId="6">Military!$AJ$64</definedName>
    <definedName name="solver_lin" localSheetId="4">2</definedName>
    <definedName name="solver_lin" localSheetId="6">2</definedName>
    <definedName name="solver_neg" localSheetId="4">2</definedName>
    <definedName name="solver_neg" localSheetId="6">2</definedName>
    <definedName name="solver_num" localSheetId="4">1</definedName>
    <definedName name="solver_num" localSheetId="6">2</definedName>
    <definedName name="solver_nwt" localSheetId="4">1</definedName>
    <definedName name="solver_nwt" localSheetId="6">1</definedName>
    <definedName name="solver_opt" localSheetId="4">Explore!$M$32</definedName>
    <definedName name="solver_opt" localSheetId="6">Military!$AJ$64</definedName>
    <definedName name="solver_pre" localSheetId="4">0.000001</definedName>
    <definedName name="solver_pre" localSheetId="6">0.000001</definedName>
    <definedName name="solver_rel1" localSheetId="4">3</definedName>
    <definedName name="solver_rel1" localSheetId="6">3</definedName>
    <definedName name="solver_rel2" localSheetId="6">4</definedName>
    <definedName name="solver_rhs1" localSheetId="4">0</definedName>
    <definedName name="solver_rhs1" localSheetId="6">0</definedName>
    <definedName name="solver_rhs2" localSheetId="6">integer</definedName>
    <definedName name="solver_scl" localSheetId="4">2</definedName>
    <definedName name="solver_scl" localSheetId="6">2</definedName>
    <definedName name="solver_sho" localSheetId="4">2</definedName>
    <definedName name="solver_sho" localSheetId="6">2</definedName>
    <definedName name="solver_tim" localSheetId="4">100</definedName>
    <definedName name="solver_tim" localSheetId="6">100</definedName>
    <definedName name="solver_tol" localSheetId="4">0.05</definedName>
    <definedName name="solver_tol" localSheetId="6">0.05</definedName>
    <definedName name="solver_typ" localSheetId="4">1</definedName>
    <definedName name="solver_typ" localSheetId="6">1</definedName>
    <definedName name="solver_val" localSheetId="4">0</definedName>
    <definedName name="solver_val" localSheetId="6">0</definedName>
    <definedName name="spec_dp">Overview!$C$23</definedName>
    <definedName name="spec_dp_name">Overview!$A$23</definedName>
    <definedName name="spec_dp_ore">Overview!$E$23</definedName>
    <definedName name="spec_dp_plat">Overview!$D$23</definedName>
    <definedName name="spec_op">Overview!$B$22</definedName>
    <definedName name="spec_op_name">Overview!$A$22</definedName>
    <definedName name="spec_op_ore">Overview!$E$22</definedName>
    <definedName name="spec_op_plat">Overview!$D$22</definedName>
    <definedName name="spy_plat">Overview!$D$26</definedName>
    <definedName name="start_alchs">Constants!$B$26</definedName>
    <definedName name="start_ams">Constants!$B$42</definedName>
    <definedName name="start_ass">Constants!$B$40</definedName>
    <definedName name="start_boats">Constants!$B$51</definedName>
    <definedName name="start_caverns">Constants!$F$30</definedName>
    <definedName name="start_dm">Constants!$Q$26</definedName>
    <definedName name="start_docks">Constants!$S$26</definedName>
    <definedName name="start_dp_specs">Constants!$B$36</definedName>
    <definedName name="start_draftees">Constants!$B$34</definedName>
    <definedName name="start_elite1s">Constants!$B$37</definedName>
    <definedName name="start_elite2s">Constants!$B$38</definedName>
    <definedName name="start_facs">Constants!$J$26</definedName>
    <definedName name="start_farms">Constants!$C$26</definedName>
    <definedName name="start_food">Constants!$B$46</definedName>
    <definedName name="start_forest">Constants!$B$30</definedName>
    <definedName name="start_gems">Constants!$B$50</definedName>
    <definedName name="start_gn">Constants!$I$26</definedName>
    <definedName name="start_gt">Constants!$K$26</definedName>
    <definedName name="start_havens">Constants!$G$26</definedName>
    <definedName name="start_hills">Constants!$D$30</definedName>
    <definedName name="start_homes">Constants!$A$26</definedName>
    <definedName name="start_lumber">Constants!$B$47</definedName>
    <definedName name="start_ly">Constants!$F$26</definedName>
    <definedName name="start_mana">Constants!$B$48</definedName>
    <definedName name="start_masons">Constants!$E$26</definedName>
    <definedName name="start_mountains">Constants!$C$30</definedName>
    <definedName name="start_om">Constants!$H$26</definedName>
    <definedName name="start_op_specs">Constants!$B$35</definedName>
    <definedName name="start_ore">Constants!$B$49</definedName>
    <definedName name="start_peasants">Constants!$B$33</definedName>
    <definedName name="start_plains">Constants!$A$30</definedName>
    <definedName name="start_plat">Constants!$B$45</definedName>
    <definedName name="start_prestige">Constants!$B$96</definedName>
    <definedName name="start_rax">Constants!$L$26</definedName>
    <definedName name="start_schools">Constants!$R$26</definedName>
    <definedName name="start_shrines">Constants!$M$26</definedName>
    <definedName name="start_smithies">Constants!$D$26</definedName>
    <definedName name="start_spies">Constants!$B$39</definedName>
    <definedName name="start_swamp">Constants!$E$30</definedName>
    <definedName name="start_temples">Constants!$O$26</definedName>
    <definedName name="start_towers">Constants!$N$26</definedName>
    <definedName name="start_water">Constants!$G$30</definedName>
    <definedName name="start_wg">Constants!$P$26</definedName>
    <definedName name="start_wizards">Constants!$B$41</definedName>
    <definedName name="sylvan">Military!$CL$6</definedName>
    <definedName name="tax">Constants!$B$61</definedName>
    <definedName name="tech_1_1">Constants!$M$67</definedName>
    <definedName name="tech_1_10">Constants!$M$76</definedName>
    <definedName name="tech_1_11">Constants!$M$77</definedName>
    <definedName name="tech_1_2">Constants!$M$68</definedName>
    <definedName name="tech_1_3">Constants!$M$69</definedName>
    <definedName name="tech_1_4">Constants!$M$70</definedName>
    <definedName name="tech_1_5">Constants!$M$71</definedName>
    <definedName name="tech_1_6">Constants!$M$72</definedName>
    <definedName name="tech_1_7">Constants!$M$73</definedName>
    <definedName name="tech_1_8">Constants!$M$74</definedName>
    <definedName name="tech_1_9">Constants!$M$75</definedName>
    <definedName name="tech_1_9_2">Constants!$O$75</definedName>
    <definedName name="tech_10_1">Constants!$M$139</definedName>
    <definedName name="tech_10_2">Constants!$M$140</definedName>
    <definedName name="tech_11_1">Constants!$M$142</definedName>
    <definedName name="tech_2_1">Constants!$M$79</definedName>
    <definedName name="tech_2_10">Constants!$M$88</definedName>
    <definedName name="tech_2_2">Constants!$M$80</definedName>
    <definedName name="tech_2_3">Constants!$M$81</definedName>
    <definedName name="tech_2_4">Constants!$M$82</definedName>
    <definedName name="tech_2_5">Constants!$M$83</definedName>
    <definedName name="tech_2_6">Constants!$M$84</definedName>
    <definedName name="tech_2_6_2">Constants!$O$84</definedName>
    <definedName name="tech_2_7">Constants!$M$85</definedName>
    <definedName name="tech_2_8">Constants!$M$86</definedName>
    <definedName name="tech_2_9">Constants!$M$87</definedName>
    <definedName name="tech_2_9_2">Constants!$O$87</definedName>
    <definedName name="tech_3_1">Constants!$M$90</definedName>
    <definedName name="tech_3_2">Constants!$M$91</definedName>
    <definedName name="tech_3_3">Constants!$M$92</definedName>
    <definedName name="tech_3_3_2">Constants!$O$92</definedName>
    <definedName name="tech_3_4">Constants!$M$93</definedName>
    <definedName name="tech_3_4_2">Constants!$O$93</definedName>
    <definedName name="tech_3_5">Constants!$M$94</definedName>
    <definedName name="tech_3_6">Constants!$M$95</definedName>
    <definedName name="tech_3_7">Constants!$M$96</definedName>
    <definedName name="tech_3_7_2">Constants!$O$96</definedName>
    <definedName name="tech_3_8">Constants!$M$97</definedName>
    <definedName name="tech_3_9">Constants!$M$98</definedName>
    <definedName name="tech_4_1">Constants!$M$100</definedName>
    <definedName name="tech_4_2">Constants!$M$101</definedName>
    <definedName name="tech_4_3">Constants!$M$102</definedName>
    <definedName name="tech_4_3_2">Constants!$O$102</definedName>
    <definedName name="tech_4_4">Constants!$M$103</definedName>
    <definedName name="tech_4_5">Constants!$M$104</definedName>
    <definedName name="tech_4_6">Constants!$M$105</definedName>
    <definedName name="tech_4_7">Constants!$M$106</definedName>
    <definedName name="tech_4_8">Constants!$M$107</definedName>
    <definedName name="tech_5_1">Constants!$M$109</definedName>
    <definedName name="tech_5_2">Constants!$M$110</definedName>
    <definedName name="tech_5_2_3">Constants!$O$110</definedName>
    <definedName name="tech_5_3">Constants!$M$111</definedName>
    <definedName name="tech_5_4">Constants!$M$112</definedName>
    <definedName name="tech_5_4_2">Constants!$O$112</definedName>
    <definedName name="tech_5_5">Constants!$M$113</definedName>
    <definedName name="tech_5_6">Constants!$M$114</definedName>
    <definedName name="tech_5_7">Constants!$M$115</definedName>
    <definedName name="tech_6_1">Constants!$M$117</definedName>
    <definedName name="tech_6_2">Constants!$M$118</definedName>
    <definedName name="tech_6_2_2">Constants!$O$118</definedName>
    <definedName name="tech_6_3">Constants!$M$119</definedName>
    <definedName name="tech_6_3_2">Constants!$O$119</definedName>
    <definedName name="tech_6_3_3">Constants!$Q$119</definedName>
    <definedName name="tech_6_4">Constants!$M$120</definedName>
    <definedName name="tech_6_5">Constants!$M$121</definedName>
    <definedName name="tech_6_5_2">Constants!$O$121</definedName>
    <definedName name="tech_6_6">Constants!$M$122</definedName>
    <definedName name="tech_6_6_2">Constants!$O$122</definedName>
    <definedName name="tech_7__2">Constants!$O$128</definedName>
    <definedName name="tech_7_1">Constants!$M$124</definedName>
    <definedName name="tech_7_2">Constants!$M$125</definedName>
    <definedName name="tech_7_3">Constants!$M$126</definedName>
    <definedName name="tech_7_3_2">Constants!$O$126</definedName>
    <definedName name="tech_7_4">Constants!$M$127</definedName>
    <definedName name="tech_7_5">Constants!$M$128</definedName>
    <definedName name="tech_8_1">Constants!$M$130</definedName>
    <definedName name="tech_8_2">Constants!$M$131</definedName>
    <definedName name="tech_8_3">Constants!$M$132</definedName>
    <definedName name="tech_8_4">Constants!$M$133</definedName>
    <definedName name="tech_9_1">Constants!$M$135</definedName>
    <definedName name="tech_9_1_2">Constants!$O$135</definedName>
    <definedName name="tech_9_2">Constants!$M$136</definedName>
    <definedName name="tech_9_3">Constants!$M$137</definedName>
    <definedName name="tech_conquerors_crafts">Constants!$M$55</definedName>
    <definedName name="tech_construction">Constants!$M$39</definedName>
    <definedName name="tech_construction_pop">Constants!$M$41</definedName>
    <definedName name="tech_construction_rezone">Constants!$M$40</definedName>
    <definedName name="tech_cost_per_acre">Constants!$M$62</definedName>
    <definedName name="tech_enchanted_lands_explore">Constants!$M$56</definedName>
    <definedName name="tech_enchanted_lands_mana">Constants!$O$56</definedName>
    <definedName name="tech_explore_cost">Constants!$M$36</definedName>
    <definedName name="tech_explore_cost2">Constants!$M$38</definedName>
    <definedName name="tech_explore_draft1">Constants!$M$37</definedName>
    <definedName name="tech_explore_draft2">Constants!$O$38</definedName>
    <definedName name="tech_fruits_of_labor_gems">Constants!$O$52</definedName>
    <definedName name="tech_fruits_of_labor1">Constants!$M$52</definedName>
    <definedName name="tech_magical_weaponry_op">Constants!$M$58</definedName>
    <definedName name="tech_magical_weaponry_wiz">Constants!$O$58</definedName>
    <definedName name="tech_master_of_frugality">Constants!$M$51</definedName>
    <definedName name="tech_military_offense">Constants!$M$44</definedName>
    <definedName name="tech_production_food">Constants!$M$33</definedName>
    <definedName name="tech_production_gems">Constants!$M$34</definedName>
    <definedName name="tech_production_plat">Constants!$M$35</definedName>
    <definedName name="tech_spy_cost">Constants!$M$46</definedName>
    <definedName name="tech_treasure_hunt_plat">Constants!$M$54</definedName>
    <definedName name="tech_urban_mastery_pop">Constants!$M$53</definedName>
    <definedName name="tech_wizard_cost">Constants!$M$49</definedName>
    <definedName name="tower_mana">Constants!$B$9</definedName>
    <definedName name="towers_param">Constants!$D$112</definedName>
    <definedName name="voodoo_magi_bonus">Constants!$C$124</definedName>
    <definedName name="voodoo_magi_cap">Constants!$F$124</definedName>
    <definedName name="walls_forges_cap">Constants!$D$105</definedName>
    <definedName name="walls_forges_param">Constants!$D$110</definedName>
    <definedName name="warsong_bonus">Constants!$F$83</definedName>
    <definedName name="waves">Races!$D$95:$D$100</definedName>
    <definedName name="wg_mana_prod">Constants!$B$18</definedName>
    <definedName name="wg_spell_cost_cap">Constants!$D$16</definedName>
    <definedName name="wg_spell_cost_red">Constants!$B$16</definedName>
    <definedName name="wg_wiz_cost_bonus">Constants!$B$17</definedName>
    <definedName name="wg_wiz_cost_cap">Constants!$D$17</definedName>
    <definedName name="wizard_plat">Overview!$D$28</definedName>
    <definedName name="woodie">Military!$CL$5</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5" i="14" l="1"/>
  <c r="E55" i="14" s="1"/>
  <c r="F54" i="14"/>
  <c r="E54" i="14" s="1"/>
  <c r="F53" i="14"/>
  <c r="E53" i="14" s="1"/>
  <c r="F52" i="14"/>
  <c r="E52" i="14"/>
  <c r="K39" i="14"/>
  <c r="K38" i="14"/>
  <c r="M37" i="14"/>
  <c r="I36" i="14"/>
  <c r="I35" i="14"/>
  <c r="C34" i="14"/>
  <c r="K28" i="14"/>
  <c r="K24" i="14" s="1"/>
  <c r="K27" i="14"/>
  <c r="M26" i="14"/>
  <c r="M25" i="14"/>
  <c r="K25" i="14"/>
  <c r="I25" i="14"/>
  <c r="F24" i="14"/>
  <c r="E24" i="14"/>
  <c r="I24" i="14" s="1"/>
  <c r="J24" i="14" s="1"/>
  <c r="M24" i="14" s="1"/>
  <c r="K23" i="14"/>
  <c r="J23" i="14" s="1"/>
  <c r="M23" i="14" s="1"/>
  <c r="C23" i="14"/>
  <c r="C26" i="14" s="1"/>
  <c r="M22" i="14"/>
  <c r="K22" i="14"/>
  <c r="B13" i="14"/>
  <c r="B9" i="14"/>
  <c r="J5" i="14"/>
  <c r="I5" i="14"/>
  <c r="I6" i="14" s="1"/>
  <c r="D5" i="14"/>
  <c r="F5" i="14" s="1"/>
  <c r="E5" i="14" s="1"/>
  <c r="C5" i="14"/>
  <c r="C6" i="14" s="1"/>
  <c r="C7" i="14" s="1"/>
  <c r="C8" i="14" s="1"/>
  <c r="C9" i="14" s="1"/>
  <c r="C10" i="14" s="1"/>
  <c r="C11" i="14" s="1"/>
  <c r="C12" i="14" s="1"/>
  <c r="C13" i="14" s="1"/>
  <c r="C14" i="14" s="1"/>
  <c r="C15" i="14" s="1"/>
  <c r="C16" i="14" s="1"/>
  <c r="C17" i="14" s="1"/>
  <c r="I4" i="14"/>
  <c r="J4" i="14" s="1"/>
  <c r="F4" i="14"/>
  <c r="E4" i="14" s="1"/>
  <c r="D4" i="14"/>
  <c r="C4" i="14"/>
  <c r="J3" i="14"/>
  <c r="F3" i="14"/>
  <c r="E3" i="14" s="1"/>
  <c r="I88" i="13"/>
  <c r="I87" i="13"/>
  <c r="I84" i="13"/>
  <c r="I83" i="13"/>
  <c r="I80" i="13"/>
  <c r="I79" i="13"/>
  <c r="I76" i="13"/>
  <c r="I75" i="13"/>
  <c r="I72" i="13"/>
  <c r="I71" i="13"/>
  <c r="I68" i="13"/>
  <c r="I67" i="13"/>
  <c r="I64" i="13"/>
  <c r="I63" i="13"/>
  <c r="I60" i="13"/>
  <c r="I59" i="13"/>
  <c r="I56" i="13"/>
  <c r="I55" i="13"/>
  <c r="I52" i="13"/>
  <c r="I51" i="13"/>
  <c r="I48" i="13"/>
  <c r="I47" i="13"/>
  <c r="I44" i="13"/>
  <c r="I43" i="13"/>
  <c r="I40" i="13"/>
  <c r="I39" i="13"/>
  <c r="I36" i="13"/>
  <c r="I35" i="13"/>
  <c r="I32" i="13"/>
  <c r="I28" i="13"/>
  <c r="I27" i="13"/>
  <c r="I24" i="13"/>
  <c r="I20" i="13"/>
  <c r="I19" i="13"/>
  <c r="I16" i="13"/>
  <c r="I15" i="13"/>
  <c r="I12" i="13"/>
  <c r="I11" i="13"/>
  <c r="I8" i="13"/>
  <c r="I7" i="13"/>
  <c r="L144" i="12"/>
  <c r="M144" i="12" s="1"/>
  <c r="M84" i="12" s="1"/>
  <c r="B93" i="12"/>
  <c r="C89" i="12"/>
  <c r="C90" i="12" s="1"/>
  <c r="B86" i="12"/>
  <c r="B85" i="12"/>
  <c r="C83" i="12"/>
  <c r="C84" i="12" s="1"/>
  <c r="C85" i="12" s="1"/>
  <c r="C86" i="12" s="1"/>
  <c r="C87" i="12" s="1"/>
  <c r="C88" i="12" s="1"/>
  <c r="B83" i="12"/>
  <c r="C82" i="12"/>
  <c r="B82" i="12"/>
  <c r="A72" i="12"/>
  <c r="B69" i="12"/>
  <c r="C68" i="12"/>
  <c r="B47" i="12"/>
  <c r="B46" i="12"/>
  <c r="B45" i="12"/>
  <c r="B33" i="12"/>
  <c r="E23" i="11"/>
  <c r="D23" i="11"/>
  <c r="E22" i="11"/>
  <c r="D22" i="11"/>
  <c r="E21" i="11"/>
  <c r="D21" i="11"/>
  <c r="E20" i="11"/>
  <c r="D20" i="11"/>
  <c r="E19" i="11"/>
  <c r="D19" i="11"/>
  <c r="E18" i="11"/>
  <c r="D18" i="11"/>
  <c r="E17" i="11"/>
  <c r="D17" i="11"/>
  <c r="E16" i="11"/>
  <c r="D16" i="11"/>
  <c r="E15" i="11"/>
  <c r="D15" i="11"/>
  <c r="E14" i="11"/>
  <c r="D14" i="11"/>
  <c r="E13" i="11"/>
  <c r="D13" i="11"/>
  <c r="E12" i="11"/>
  <c r="D12" i="11"/>
  <c r="E11" i="11"/>
  <c r="D11" i="11"/>
  <c r="E10" i="11"/>
  <c r="D10" i="11"/>
  <c r="E9" i="11"/>
  <c r="D9" i="11"/>
  <c r="E8" i="11"/>
  <c r="D8" i="11"/>
  <c r="E7" i="11"/>
  <c r="D7" i="11"/>
  <c r="E6" i="11"/>
  <c r="D6" i="11"/>
  <c r="E5" i="11"/>
  <c r="D5" i="11"/>
  <c r="E4" i="11"/>
  <c r="D4" i="11"/>
  <c r="E3" i="11"/>
  <c r="D3" i="11"/>
  <c r="BZ136" i="10"/>
  <c r="BY136" i="10"/>
  <c r="BW136" i="10"/>
  <c r="BV136" i="10"/>
  <c r="BT136" i="10"/>
  <c r="BS136" i="10"/>
  <c r="BR136" i="10"/>
  <c r="BQ136" i="10"/>
  <c r="BO136" i="10"/>
  <c r="BN136" i="10"/>
  <c r="BM136" i="10"/>
  <c r="BL136" i="10"/>
  <c r="BJ136" i="10"/>
  <c r="BI136" i="10"/>
  <c r="BH136" i="10"/>
  <c r="BG136" i="10"/>
  <c r="BE136" i="10"/>
  <c r="BD136" i="10"/>
  <c r="BC136" i="10"/>
  <c r="BB136" i="10"/>
  <c r="AZ136" i="10"/>
  <c r="AY136" i="10"/>
  <c r="AX136" i="10"/>
  <c r="AW136" i="10"/>
  <c r="AU136" i="10"/>
  <c r="AT136" i="10"/>
  <c r="AS136" i="10"/>
  <c r="AR136" i="10"/>
  <c r="AP136" i="10"/>
  <c r="AO136" i="10"/>
  <c r="AN136" i="10"/>
  <c r="AM136" i="10"/>
  <c r="AD136" i="10"/>
  <c r="AC136" i="10"/>
  <c r="AB136" i="10"/>
  <c r="AA136" i="10"/>
  <c r="Z136" i="10"/>
  <c r="Y136" i="10"/>
  <c r="N136" i="10"/>
  <c r="M136" i="10"/>
  <c r="L136" i="10"/>
  <c r="K136" i="10"/>
  <c r="J136" i="10"/>
  <c r="I136" i="10"/>
  <c r="H136" i="10"/>
  <c r="F136" i="10"/>
  <c r="E136" i="10"/>
  <c r="D136" i="10"/>
  <c r="C136" i="10"/>
  <c r="A136" i="10"/>
  <c r="BZ135" i="10"/>
  <c r="BY135" i="10"/>
  <c r="BW135" i="10"/>
  <c r="BV135" i="10"/>
  <c r="BT135" i="10"/>
  <c r="BS135" i="10"/>
  <c r="BR135" i="10"/>
  <c r="BQ135" i="10"/>
  <c r="BO135" i="10"/>
  <c r="BN135" i="10"/>
  <c r="BM135" i="10"/>
  <c r="BL135" i="10"/>
  <c r="BJ135" i="10"/>
  <c r="BI135" i="10"/>
  <c r="BH135" i="10"/>
  <c r="BG135" i="10"/>
  <c r="BE135" i="10"/>
  <c r="BD135" i="10"/>
  <c r="BC135" i="10"/>
  <c r="BB135" i="10"/>
  <c r="AZ135" i="10"/>
  <c r="AY135" i="10"/>
  <c r="AX135" i="10"/>
  <c r="AW135" i="10"/>
  <c r="AU135" i="10"/>
  <c r="AT135" i="10"/>
  <c r="AS135" i="10"/>
  <c r="AR135" i="10"/>
  <c r="AP135" i="10"/>
  <c r="AO135" i="10"/>
  <c r="AN135" i="10"/>
  <c r="AM135" i="10"/>
  <c r="AD135" i="10"/>
  <c r="AC135" i="10"/>
  <c r="AB135" i="10"/>
  <c r="AA135" i="10"/>
  <c r="Z135" i="10"/>
  <c r="Y135" i="10"/>
  <c r="N135" i="10"/>
  <c r="M135" i="10"/>
  <c r="L135" i="10"/>
  <c r="K135" i="10"/>
  <c r="J135" i="10"/>
  <c r="I135" i="10"/>
  <c r="H135" i="10"/>
  <c r="F135" i="10"/>
  <c r="E135" i="10"/>
  <c r="D135" i="10"/>
  <c r="C135" i="10"/>
  <c r="A135" i="10"/>
  <c r="BZ134" i="10"/>
  <c r="BY134" i="10"/>
  <c r="BW134" i="10"/>
  <c r="BV134" i="10"/>
  <c r="BT134" i="10"/>
  <c r="BS134" i="10"/>
  <c r="BR134" i="10"/>
  <c r="BQ134" i="10"/>
  <c r="BO134" i="10"/>
  <c r="BN134" i="10"/>
  <c r="BM134" i="10"/>
  <c r="BL134" i="10"/>
  <c r="BJ134" i="10"/>
  <c r="BI134" i="10"/>
  <c r="BH134" i="10"/>
  <c r="BG134" i="10"/>
  <c r="BE134" i="10"/>
  <c r="BD134" i="10"/>
  <c r="BC134" i="10"/>
  <c r="BB134" i="10"/>
  <c r="AZ134" i="10"/>
  <c r="AY134" i="10"/>
  <c r="AX134" i="10"/>
  <c r="AW134" i="10"/>
  <c r="AU134" i="10"/>
  <c r="AT134" i="10"/>
  <c r="AS134" i="10"/>
  <c r="AR134" i="10"/>
  <c r="AP134" i="10"/>
  <c r="AO134" i="10"/>
  <c r="AN134" i="10"/>
  <c r="AM134" i="10"/>
  <c r="AD134" i="10"/>
  <c r="AC134" i="10"/>
  <c r="AB134" i="10"/>
  <c r="AA134" i="10"/>
  <c r="Z134" i="10"/>
  <c r="Y134" i="10"/>
  <c r="N134" i="10"/>
  <c r="M134" i="10"/>
  <c r="L134" i="10"/>
  <c r="K134" i="10"/>
  <c r="J134" i="10"/>
  <c r="I134" i="10"/>
  <c r="H134" i="10"/>
  <c r="F134" i="10"/>
  <c r="E134" i="10"/>
  <c r="D134" i="10"/>
  <c r="C134" i="10"/>
  <c r="A134" i="10"/>
  <c r="BZ133" i="10"/>
  <c r="BY133" i="10"/>
  <c r="BW133" i="10"/>
  <c r="BV133" i="10"/>
  <c r="BT133" i="10"/>
  <c r="BS133" i="10"/>
  <c r="BR133" i="10"/>
  <c r="BQ133" i="10"/>
  <c r="BO133" i="10"/>
  <c r="BN133" i="10"/>
  <c r="BM133" i="10"/>
  <c r="BL133" i="10"/>
  <c r="BJ133" i="10"/>
  <c r="BI133" i="10"/>
  <c r="BH133" i="10"/>
  <c r="BG133" i="10"/>
  <c r="BE133" i="10"/>
  <c r="BD133" i="10"/>
  <c r="BC133" i="10"/>
  <c r="BB133" i="10"/>
  <c r="AZ133" i="10"/>
  <c r="AY133" i="10"/>
  <c r="AX133" i="10"/>
  <c r="AW133" i="10"/>
  <c r="AU133" i="10"/>
  <c r="AT133" i="10"/>
  <c r="AS133" i="10"/>
  <c r="AR133" i="10"/>
  <c r="AP133" i="10"/>
  <c r="AO133" i="10"/>
  <c r="AN133" i="10"/>
  <c r="AM133" i="10"/>
  <c r="AD133" i="10"/>
  <c r="AC133" i="10"/>
  <c r="AB133" i="10"/>
  <c r="AA133" i="10"/>
  <c r="Z133" i="10"/>
  <c r="Y133" i="10"/>
  <c r="N133" i="10"/>
  <c r="M133" i="10"/>
  <c r="L133" i="10"/>
  <c r="K133" i="10"/>
  <c r="J133" i="10"/>
  <c r="I133" i="10"/>
  <c r="H133" i="10"/>
  <c r="F133" i="10"/>
  <c r="E133" i="10"/>
  <c r="D133" i="10"/>
  <c r="C133" i="10"/>
  <c r="A133" i="10"/>
  <c r="BZ132" i="10"/>
  <c r="BY132" i="10"/>
  <c r="BW132" i="10"/>
  <c r="BV132" i="10"/>
  <c r="BT132" i="10"/>
  <c r="BS132" i="10"/>
  <c r="BR132" i="10"/>
  <c r="BQ132" i="10"/>
  <c r="BO132" i="10"/>
  <c r="BN132" i="10"/>
  <c r="BM132" i="10"/>
  <c r="BL132" i="10"/>
  <c r="BJ132" i="10"/>
  <c r="BI132" i="10"/>
  <c r="BH132" i="10"/>
  <c r="BG132" i="10"/>
  <c r="BE132" i="10"/>
  <c r="BD132" i="10"/>
  <c r="BC132" i="10"/>
  <c r="BB132" i="10"/>
  <c r="AZ132" i="10"/>
  <c r="AY132" i="10"/>
  <c r="AX132" i="10"/>
  <c r="AW132" i="10"/>
  <c r="AU132" i="10"/>
  <c r="AT132" i="10"/>
  <c r="AS132" i="10"/>
  <c r="AR132" i="10"/>
  <c r="AP132" i="10"/>
  <c r="AO132" i="10"/>
  <c r="AN132" i="10"/>
  <c r="AM132" i="10"/>
  <c r="AD132" i="10"/>
  <c r="AC132" i="10"/>
  <c r="AB132" i="10"/>
  <c r="AA132" i="10"/>
  <c r="Z132" i="10"/>
  <c r="Y132" i="10"/>
  <c r="N132" i="10"/>
  <c r="M132" i="10"/>
  <c r="L132" i="10"/>
  <c r="K132" i="10"/>
  <c r="J132" i="10"/>
  <c r="I132" i="10"/>
  <c r="H132" i="10"/>
  <c r="F132" i="10"/>
  <c r="E132" i="10"/>
  <c r="D132" i="10"/>
  <c r="C132" i="10"/>
  <c r="A132" i="10"/>
  <c r="BZ131" i="10"/>
  <c r="BY131" i="10"/>
  <c r="BW131" i="10"/>
  <c r="BV131" i="10"/>
  <c r="BT131" i="10"/>
  <c r="BS131" i="10"/>
  <c r="BR131" i="10"/>
  <c r="BQ131" i="10"/>
  <c r="BO131" i="10"/>
  <c r="BN131" i="10"/>
  <c r="BM131" i="10"/>
  <c r="BL131" i="10"/>
  <c r="BJ131" i="10"/>
  <c r="BI131" i="10"/>
  <c r="BH131" i="10"/>
  <c r="BG131" i="10"/>
  <c r="BE131" i="10"/>
  <c r="BD131" i="10"/>
  <c r="BC131" i="10"/>
  <c r="BB131" i="10"/>
  <c r="AZ131" i="10"/>
  <c r="AY131" i="10"/>
  <c r="AX131" i="10"/>
  <c r="AW131" i="10"/>
  <c r="AU131" i="10"/>
  <c r="AT131" i="10"/>
  <c r="AS131" i="10"/>
  <c r="AR131" i="10"/>
  <c r="AP131" i="10"/>
  <c r="AO131" i="10"/>
  <c r="AN131" i="10"/>
  <c r="AM131" i="10"/>
  <c r="AD131" i="10"/>
  <c r="AC131" i="10"/>
  <c r="AB131" i="10"/>
  <c r="AA131" i="10"/>
  <c r="Z131" i="10"/>
  <c r="Y131" i="10"/>
  <c r="N131" i="10"/>
  <c r="M131" i="10"/>
  <c r="L131" i="10"/>
  <c r="K131" i="10"/>
  <c r="J131" i="10"/>
  <c r="I131" i="10"/>
  <c r="H131" i="10"/>
  <c r="F131" i="10"/>
  <c r="E131" i="10"/>
  <c r="D131" i="10"/>
  <c r="C131" i="10"/>
  <c r="A131" i="10"/>
  <c r="BZ130" i="10"/>
  <c r="BY130" i="10"/>
  <c r="BW130" i="10"/>
  <c r="BV130" i="10"/>
  <c r="BT130" i="10"/>
  <c r="BS130" i="10"/>
  <c r="BR130" i="10"/>
  <c r="BQ130" i="10"/>
  <c r="BO130" i="10"/>
  <c r="BN130" i="10"/>
  <c r="BM130" i="10"/>
  <c r="BL130" i="10"/>
  <c r="BJ130" i="10"/>
  <c r="BI130" i="10"/>
  <c r="BH130" i="10"/>
  <c r="BG130" i="10"/>
  <c r="BE130" i="10"/>
  <c r="BD130" i="10"/>
  <c r="BC130" i="10"/>
  <c r="BB130" i="10"/>
  <c r="AZ130" i="10"/>
  <c r="AY130" i="10"/>
  <c r="AX130" i="10"/>
  <c r="AW130" i="10"/>
  <c r="AU130" i="10"/>
  <c r="AT130" i="10"/>
  <c r="AS130" i="10"/>
  <c r="AR130" i="10"/>
  <c r="AP130" i="10"/>
  <c r="AO130" i="10"/>
  <c r="AN130" i="10"/>
  <c r="AM130" i="10"/>
  <c r="AD130" i="10"/>
  <c r="AC130" i="10"/>
  <c r="AB130" i="10"/>
  <c r="AA130" i="10"/>
  <c r="Z130" i="10"/>
  <c r="Y130" i="10"/>
  <c r="N130" i="10"/>
  <c r="M130" i="10"/>
  <c r="L130" i="10"/>
  <c r="K130" i="10"/>
  <c r="J130" i="10"/>
  <c r="I130" i="10"/>
  <c r="H130" i="10"/>
  <c r="F130" i="10"/>
  <c r="E130" i="10"/>
  <c r="D130" i="10"/>
  <c r="C130" i="10"/>
  <c r="A130" i="10"/>
  <c r="BZ129" i="10"/>
  <c r="BY129" i="10"/>
  <c r="BW129" i="10"/>
  <c r="BV129" i="10"/>
  <c r="BT129" i="10"/>
  <c r="BS129" i="10"/>
  <c r="BR129" i="10"/>
  <c r="BQ129" i="10"/>
  <c r="BO129" i="10"/>
  <c r="BN129" i="10"/>
  <c r="BM129" i="10"/>
  <c r="BL129" i="10"/>
  <c r="BJ129" i="10"/>
  <c r="BI129" i="10"/>
  <c r="BH129" i="10"/>
  <c r="BG129" i="10"/>
  <c r="BE129" i="10"/>
  <c r="BD129" i="10"/>
  <c r="BC129" i="10"/>
  <c r="BB129" i="10"/>
  <c r="AZ129" i="10"/>
  <c r="AY129" i="10"/>
  <c r="AX129" i="10"/>
  <c r="AW129" i="10"/>
  <c r="AU129" i="10"/>
  <c r="AT129" i="10"/>
  <c r="AS129" i="10"/>
  <c r="AR129" i="10"/>
  <c r="AP129" i="10"/>
  <c r="AO129" i="10"/>
  <c r="AN129" i="10"/>
  <c r="AM129" i="10"/>
  <c r="AD129" i="10"/>
  <c r="AC129" i="10"/>
  <c r="AB129" i="10"/>
  <c r="AA129" i="10"/>
  <c r="Z129" i="10"/>
  <c r="Y129" i="10"/>
  <c r="N129" i="10"/>
  <c r="M129" i="10"/>
  <c r="L129" i="10"/>
  <c r="K129" i="10"/>
  <c r="J129" i="10"/>
  <c r="I129" i="10"/>
  <c r="H129" i="10"/>
  <c r="F129" i="10"/>
  <c r="E129" i="10"/>
  <c r="D129" i="10"/>
  <c r="C129" i="10"/>
  <c r="A129" i="10"/>
  <c r="BZ128" i="10"/>
  <c r="BY128" i="10"/>
  <c r="BW128" i="10"/>
  <c r="BV128" i="10"/>
  <c r="BT128" i="10"/>
  <c r="BS128" i="10"/>
  <c r="BR128" i="10"/>
  <c r="BQ128" i="10"/>
  <c r="BO128" i="10"/>
  <c r="BN128" i="10"/>
  <c r="BM128" i="10"/>
  <c r="BL128" i="10"/>
  <c r="BJ128" i="10"/>
  <c r="BI128" i="10"/>
  <c r="BH128" i="10"/>
  <c r="BG128" i="10"/>
  <c r="BE128" i="10"/>
  <c r="BD128" i="10"/>
  <c r="BC128" i="10"/>
  <c r="BB128" i="10"/>
  <c r="AZ128" i="10"/>
  <c r="AY128" i="10"/>
  <c r="AX128" i="10"/>
  <c r="AW128" i="10"/>
  <c r="AU128" i="10"/>
  <c r="AT128" i="10"/>
  <c r="AS128" i="10"/>
  <c r="AR128" i="10"/>
  <c r="AP128" i="10"/>
  <c r="AO128" i="10"/>
  <c r="AN128" i="10"/>
  <c r="AM128" i="10"/>
  <c r="AD128" i="10"/>
  <c r="AC128" i="10"/>
  <c r="AB128" i="10"/>
  <c r="AA128" i="10"/>
  <c r="Z128" i="10"/>
  <c r="Y128" i="10"/>
  <c r="N128" i="10"/>
  <c r="M128" i="10"/>
  <c r="L128" i="10"/>
  <c r="K128" i="10"/>
  <c r="J128" i="10"/>
  <c r="I128" i="10"/>
  <c r="H128" i="10"/>
  <c r="F128" i="10"/>
  <c r="E128" i="10"/>
  <c r="D128" i="10"/>
  <c r="C128" i="10"/>
  <c r="A128" i="10"/>
  <c r="BZ127" i="10"/>
  <c r="BY127" i="10"/>
  <c r="BW127" i="10"/>
  <c r="BV127" i="10"/>
  <c r="BT127" i="10"/>
  <c r="BS127" i="10"/>
  <c r="BR127" i="10"/>
  <c r="BQ127" i="10"/>
  <c r="BO127" i="10"/>
  <c r="BN127" i="10"/>
  <c r="BM127" i="10"/>
  <c r="BL127" i="10"/>
  <c r="BJ127" i="10"/>
  <c r="BI127" i="10"/>
  <c r="BH127" i="10"/>
  <c r="BG127" i="10"/>
  <c r="BE127" i="10"/>
  <c r="BD127" i="10"/>
  <c r="BC127" i="10"/>
  <c r="BB127" i="10"/>
  <c r="AZ127" i="10"/>
  <c r="AY127" i="10"/>
  <c r="AX127" i="10"/>
  <c r="AW127" i="10"/>
  <c r="AU127" i="10"/>
  <c r="AT127" i="10"/>
  <c r="AS127" i="10"/>
  <c r="AR127" i="10"/>
  <c r="AP127" i="10"/>
  <c r="AO127" i="10"/>
  <c r="AN127" i="10"/>
  <c r="AM127" i="10"/>
  <c r="AD127" i="10"/>
  <c r="AC127" i="10"/>
  <c r="AB127" i="10"/>
  <c r="AA127" i="10"/>
  <c r="Z127" i="10"/>
  <c r="Y127" i="10"/>
  <c r="N127" i="10"/>
  <c r="M127" i="10"/>
  <c r="L127" i="10"/>
  <c r="K127" i="10"/>
  <c r="J127" i="10"/>
  <c r="I127" i="10"/>
  <c r="H127" i="10"/>
  <c r="F127" i="10"/>
  <c r="E127" i="10"/>
  <c r="D127" i="10"/>
  <c r="C127" i="10"/>
  <c r="A127" i="10"/>
  <c r="BZ126" i="10"/>
  <c r="BY126" i="10"/>
  <c r="BW126" i="10"/>
  <c r="BV126" i="10"/>
  <c r="BT126" i="10"/>
  <c r="BS126" i="10"/>
  <c r="BR126" i="10"/>
  <c r="BQ126" i="10"/>
  <c r="BO126" i="10"/>
  <c r="BN126" i="10"/>
  <c r="BM126" i="10"/>
  <c r="BL126" i="10"/>
  <c r="BJ126" i="10"/>
  <c r="BI126" i="10"/>
  <c r="BH126" i="10"/>
  <c r="BG126" i="10"/>
  <c r="BE126" i="10"/>
  <c r="BD126" i="10"/>
  <c r="BC126" i="10"/>
  <c r="BB126" i="10"/>
  <c r="AZ126" i="10"/>
  <c r="AY126" i="10"/>
  <c r="AX126" i="10"/>
  <c r="AW126" i="10"/>
  <c r="AU126" i="10"/>
  <c r="AT126" i="10"/>
  <c r="AS126" i="10"/>
  <c r="AR126" i="10"/>
  <c r="AP126" i="10"/>
  <c r="AO126" i="10"/>
  <c r="AN126" i="10"/>
  <c r="AM126" i="10"/>
  <c r="AD126" i="10"/>
  <c r="AC126" i="10"/>
  <c r="AB126" i="10"/>
  <c r="AA126" i="10"/>
  <c r="Z126" i="10"/>
  <c r="Y126" i="10"/>
  <c r="N126" i="10"/>
  <c r="M126" i="10"/>
  <c r="L126" i="10"/>
  <c r="K126" i="10"/>
  <c r="J126" i="10"/>
  <c r="I126" i="10"/>
  <c r="H126" i="10"/>
  <c r="F126" i="10"/>
  <c r="E126" i="10"/>
  <c r="D126" i="10"/>
  <c r="C126" i="10"/>
  <c r="A126" i="10"/>
  <c r="BZ125" i="10"/>
  <c r="BY125" i="10"/>
  <c r="BW125" i="10"/>
  <c r="BV125" i="10"/>
  <c r="BT125" i="10"/>
  <c r="BS125" i="10"/>
  <c r="BR125" i="10"/>
  <c r="BQ125" i="10"/>
  <c r="BO125" i="10"/>
  <c r="BN125" i="10"/>
  <c r="BM125" i="10"/>
  <c r="BL125" i="10"/>
  <c r="BJ125" i="10"/>
  <c r="BI125" i="10"/>
  <c r="BH125" i="10"/>
  <c r="BG125" i="10"/>
  <c r="BE125" i="10"/>
  <c r="BD125" i="10"/>
  <c r="BC125" i="10"/>
  <c r="BB125" i="10"/>
  <c r="AZ125" i="10"/>
  <c r="AY125" i="10"/>
  <c r="AX125" i="10"/>
  <c r="AW125" i="10"/>
  <c r="AU125" i="10"/>
  <c r="AT125" i="10"/>
  <c r="AS125" i="10"/>
  <c r="AR125" i="10"/>
  <c r="AP125" i="10"/>
  <c r="AO125" i="10"/>
  <c r="AN125" i="10"/>
  <c r="AM125" i="10"/>
  <c r="AD125" i="10"/>
  <c r="AC125" i="10"/>
  <c r="AB125" i="10"/>
  <c r="AA125" i="10"/>
  <c r="Z125" i="10"/>
  <c r="Y125" i="10"/>
  <c r="N125" i="10"/>
  <c r="M125" i="10"/>
  <c r="L125" i="10"/>
  <c r="K125" i="10"/>
  <c r="J125" i="10"/>
  <c r="I125" i="10"/>
  <c r="H125" i="10"/>
  <c r="F125" i="10"/>
  <c r="E125" i="10"/>
  <c r="D125" i="10"/>
  <c r="C125" i="10"/>
  <c r="A125" i="10"/>
  <c r="BZ124" i="10"/>
  <c r="BY124" i="10"/>
  <c r="BW124" i="10"/>
  <c r="BV124" i="10"/>
  <c r="BT124" i="10"/>
  <c r="BS124" i="10"/>
  <c r="BR124" i="10"/>
  <c r="BQ124" i="10"/>
  <c r="BO124" i="10"/>
  <c r="BN124" i="10"/>
  <c r="BM124" i="10"/>
  <c r="BL124" i="10"/>
  <c r="BJ124" i="10"/>
  <c r="BI124" i="10"/>
  <c r="BH124" i="10"/>
  <c r="BG124" i="10"/>
  <c r="BE124" i="10"/>
  <c r="BD124" i="10"/>
  <c r="BC124" i="10"/>
  <c r="BB124" i="10"/>
  <c r="AZ124" i="10"/>
  <c r="AY124" i="10"/>
  <c r="AX124" i="10"/>
  <c r="AW124" i="10"/>
  <c r="AU124" i="10"/>
  <c r="AT124" i="10"/>
  <c r="AS124" i="10"/>
  <c r="AR124" i="10"/>
  <c r="AP124" i="10"/>
  <c r="AO124" i="10"/>
  <c r="AN124" i="10"/>
  <c r="AM124" i="10"/>
  <c r="AD124" i="10"/>
  <c r="AC124" i="10"/>
  <c r="AB124" i="10"/>
  <c r="AA124" i="10"/>
  <c r="Z124" i="10"/>
  <c r="Y124" i="10"/>
  <c r="N124" i="10"/>
  <c r="M124" i="10"/>
  <c r="L124" i="10"/>
  <c r="K124" i="10"/>
  <c r="J124" i="10"/>
  <c r="I124" i="10"/>
  <c r="H124" i="10"/>
  <c r="F124" i="10"/>
  <c r="E124" i="10"/>
  <c r="D124" i="10"/>
  <c r="C124" i="10"/>
  <c r="A124" i="10"/>
  <c r="BZ123" i="10"/>
  <c r="BY123" i="10"/>
  <c r="BW123" i="10"/>
  <c r="BV123" i="10"/>
  <c r="BT123" i="10"/>
  <c r="BS123" i="10"/>
  <c r="BR123" i="10"/>
  <c r="BQ123" i="10"/>
  <c r="BO123" i="10"/>
  <c r="BN123" i="10"/>
  <c r="BM123" i="10"/>
  <c r="BL123" i="10"/>
  <c r="BJ123" i="10"/>
  <c r="BI123" i="10"/>
  <c r="BH123" i="10"/>
  <c r="BG123" i="10"/>
  <c r="BE123" i="10"/>
  <c r="BD123" i="10"/>
  <c r="BC123" i="10"/>
  <c r="BB123" i="10"/>
  <c r="AZ123" i="10"/>
  <c r="AY123" i="10"/>
  <c r="AX123" i="10"/>
  <c r="AW123" i="10"/>
  <c r="AU123" i="10"/>
  <c r="AT123" i="10"/>
  <c r="AS123" i="10"/>
  <c r="AR123" i="10"/>
  <c r="AP123" i="10"/>
  <c r="AO123" i="10"/>
  <c r="AN123" i="10"/>
  <c r="AM123" i="10"/>
  <c r="AD123" i="10"/>
  <c r="AC123" i="10"/>
  <c r="AB123" i="10"/>
  <c r="AA123" i="10"/>
  <c r="Z123" i="10"/>
  <c r="Y123" i="10"/>
  <c r="N123" i="10"/>
  <c r="M123" i="10"/>
  <c r="L123" i="10"/>
  <c r="K123" i="10"/>
  <c r="J123" i="10"/>
  <c r="I123" i="10"/>
  <c r="H123" i="10"/>
  <c r="F123" i="10"/>
  <c r="E123" i="10"/>
  <c r="D123" i="10"/>
  <c r="C123" i="10"/>
  <c r="A123" i="10"/>
  <c r="BZ122" i="10"/>
  <c r="BY122" i="10"/>
  <c r="BW122" i="10"/>
  <c r="BV122" i="10"/>
  <c r="BT122" i="10"/>
  <c r="BS122" i="10"/>
  <c r="BR122" i="10"/>
  <c r="BQ122" i="10"/>
  <c r="BO122" i="10"/>
  <c r="BN122" i="10"/>
  <c r="BM122" i="10"/>
  <c r="BL122" i="10"/>
  <c r="BJ122" i="10"/>
  <c r="BI122" i="10"/>
  <c r="BH122" i="10"/>
  <c r="BG122" i="10"/>
  <c r="BE122" i="10"/>
  <c r="BD122" i="10"/>
  <c r="BC122" i="10"/>
  <c r="BB122" i="10"/>
  <c r="AZ122" i="10"/>
  <c r="AY122" i="10"/>
  <c r="AX122" i="10"/>
  <c r="AW122" i="10"/>
  <c r="AU122" i="10"/>
  <c r="AT122" i="10"/>
  <c r="AS122" i="10"/>
  <c r="AR122" i="10"/>
  <c r="AP122" i="10"/>
  <c r="AO122" i="10"/>
  <c r="AN122" i="10"/>
  <c r="AM122" i="10"/>
  <c r="AD122" i="10"/>
  <c r="AC122" i="10"/>
  <c r="AB122" i="10"/>
  <c r="AA122" i="10"/>
  <c r="Z122" i="10"/>
  <c r="Y122" i="10"/>
  <c r="N122" i="10"/>
  <c r="M122" i="10"/>
  <c r="L122" i="10"/>
  <c r="K122" i="10"/>
  <c r="J122" i="10"/>
  <c r="I122" i="10"/>
  <c r="H122" i="10"/>
  <c r="F122" i="10"/>
  <c r="E122" i="10"/>
  <c r="D122" i="10"/>
  <c r="C122" i="10"/>
  <c r="A122" i="10"/>
  <c r="BZ121" i="10"/>
  <c r="BY121" i="10"/>
  <c r="BW121" i="10"/>
  <c r="BV121" i="10"/>
  <c r="BT121" i="10"/>
  <c r="BS121" i="10"/>
  <c r="BR121" i="10"/>
  <c r="BQ121" i="10"/>
  <c r="BO121" i="10"/>
  <c r="BN121" i="10"/>
  <c r="BM121" i="10"/>
  <c r="BL121" i="10"/>
  <c r="BJ121" i="10"/>
  <c r="BI121" i="10"/>
  <c r="BH121" i="10"/>
  <c r="BG121" i="10"/>
  <c r="BE121" i="10"/>
  <c r="BD121" i="10"/>
  <c r="BC121" i="10"/>
  <c r="BB121" i="10"/>
  <c r="AZ121" i="10"/>
  <c r="AY121" i="10"/>
  <c r="AX121" i="10"/>
  <c r="AW121" i="10"/>
  <c r="AU121" i="10"/>
  <c r="AT121" i="10"/>
  <c r="AS121" i="10"/>
  <c r="AR121" i="10"/>
  <c r="AP121" i="10"/>
  <c r="AO121" i="10"/>
  <c r="AN121" i="10"/>
  <c r="AM121" i="10"/>
  <c r="AD121" i="10"/>
  <c r="AC121" i="10"/>
  <c r="AB121" i="10"/>
  <c r="AA121" i="10"/>
  <c r="Z121" i="10"/>
  <c r="Y121" i="10"/>
  <c r="N121" i="10"/>
  <c r="M121" i="10"/>
  <c r="L121" i="10"/>
  <c r="K121" i="10"/>
  <c r="J121" i="10"/>
  <c r="I121" i="10"/>
  <c r="H121" i="10"/>
  <c r="F121" i="10"/>
  <c r="E121" i="10"/>
  <c r="D121" i="10"/>
  <c r="C121" i="10"/>
  <c r="A121" i="10"/>
  <c r="BZ120" i="10"/>
  <c r="BY120" i="10"/>
  <c r="BW120" i="10"/>
  <c r="BV120" i="10"/>
  <c r="BT120" i="10"/>
  <c r="BS120" i="10"/>
  <c r="BR120" i="10"/>
  <c r="BQ120" i="10"/>
  <c r="BO120" i="10"/>
  <c r="BN120" i="10"/>
  <c r="BM120" i="10"/>
  <c r="BL120" i="10"/>
  <c r="BJ120" i="10"/>
  <c r="BI120" i="10"/>
  <c r="BH120" i="10"/>
  <c r="BG120" i="10"/>
  <c r="BE120" i="10"/>
  <c r="BD120" i="10"/>
  <c r="BC120" i="10"/>
  <c r="BB120" i="10"/>
  <c r="AZ120" i="10"/>
  <c r="AY120" i="10"/>
  <c r="AX120" i="10"/>
  <c r="AW120" i="10"/>
  <c r="AU120" i="10"/>
  <c r="AT120" i="10"/>
  <c r="AS120" i="10"/>
  <c r="AR120" i="10"/>
  <c r="AP120" i="10"/>
  <c r="AO120" i="10"/>
  <c r="AN120" i="10"/>
  <c r="AM120" i="10"/>
  <c r="AD120" i="10"/>
  <c r="AC120" i="10"/>
  <c r="AB120" i="10"/>
  <c r="AA120" i="10"/>
  <c r="Z120" i="10"/>
  <c r="Y120" i="10"/>
  <c r="N120" i="10"/>
  <c r="M120" i="10"/>
  <c r="L120" i="10"/>
  <c r="K120" i="10"/>
  <c r="J120" i="10"/>
  <c r="I120" i="10"/>
  <c r="H120" i="10"/>
  <c r="F120" i="10"/>
  <c r="E120" i="10"/>
  <c r="D120" i="10"/>
  <c r="C120" i="10"/>
  <c r="A120" i="10"/>
  <c r="BZ119" i="10"/>
  <c r="BY119" i="10"/>
  <c r="BW119" i="10"/>
  <c r="BV119" i="10"/>
  <c r="BT119" i="10"/>
  <c r="BS119" i="10"/>
  <c r="BR119" i="10"/>
  <c r="BQ119" i="10"/>
  <c r="BO119" i="10"/>
  <c r="BN119" i="10"/>
  <c r="BM119" i="10"/>
  <c r="BL119" i="10"/>
  <c r="BJ119" i="10"/>
  <c r="BI119" i="10"/>
  <c r="BH119" i="10"/>
  <c r="BG119" i="10"/>
  <c r="BE119" i="10"/>
  <c r="BD119" i="10"/>
  <c r="BC119" i="10"/>
  <c r="BB119" i="10"/>
  <c r="AZ119" i="10"/>
  <c r="AY119" i="10"/>
  <c r="AX119" i="10"/>
  <c r="AW119" i="10"/>
  <c r="AU119" i="10"/>
  <c r="AT119" i="10"/>
  <c r="AS119" i="10"/>
  <c r="AR119" i="10"/>
  <c r="AP119" i="10"/>
  <c r="AO119" i="10"/>
  <c r="AN119" i="10"/>
  <c r="AM119" i="10"/>
  <c r="AD119" i="10"/>
  <c r="AC119" i="10"/>
  <c r="AB119" i="10"/>
  <c r="AA119" i="10"/>
  <c r="Z119" i="10"/>
  <c r="Y119" i="10"/>
  <c r="N119" i="10"/>
  <c r="M119" i="10"/>
  <c r="L119" i="10"/>
  <c r="K119" i="10"/>
  <c r="J119" i="10"/>
  <c r="I119" i="10"/>
  <c r="H119" i="10"/>
  <c r="F119" i="10"/>
  <c r="E119" i="10"/>
  <c r="D119" i="10"/>
  <c r="C119" i="10"/>
  <c r="A119" i="10"/>
  <c r="BZ118" i="10"/>
  <c r="BY118" i="10"/>
  <c r="BW118" i="10"/>
  <c r="BV118" i="10"/>
  <c r="BT118" i="10"/>
  <c r="BS118" i="10"/>
  <c r="BR118" i="10"/>
  <c r="BQ118" i="10"/>
  <c r="BO118" i="10"/>
  <c r="BN118" i="10"/>
  <c r="BM118" i="10"/>
  <c r="BL118" i="10"/>
  <c r="BJ118" i="10"/>
  <c r="BI118" i="10"/>
  <c r="BH118" i="10"/>
  <c r="BG118" i="10"/>
  <c r="BE118" i="10"/>
  <c r="BD118" i="10"/>
  <c r="BC118" i="10"/>
  <c r="BB118" i="10"/>
  <c r="AZ118" i="10"/>
  <c r="AY118" i="10"/>
  <c r="AX118" i="10"/>
  <c r="AW118" i="10"/>
  <c r="AU118" i="10"/>
  <c r="AT118" i="10"/>
  <c r="AS118" i="10"/>
  <c r="AR118" i="10"/>
  <c r="AP118" i="10"/>
  <c r="AO118" i="10"/>
  <c r="AN118" i="10"/>
  <c r="AM118" i="10"/>
  <c r="AD118" i="10"/>
  <c r="AC118" i="10"/>
  <c r="AB118" i="10"/>
  <c r="AA118" i="10"/>
  <c r="Z118" i="10"/>
  <c r="Y118" i="10"/>
  <c r="N118" i="10"/>
  <c r="M118" i="10"/>
  <c r="L118" i="10"/>
  <c r="K118" i="10"/>
  <c r="J118" i="10"/>
  <c r="I118" i="10"/>
  <c r="H118" i="10"/>
  <c r="F118" i="10"/>
  <c r="E118" i="10"/>
  <c r="D118" i="10"/>
  <c r="C118" i="10"/>
  <c r="A118" i="10"/>
  <c r="BZ117" i="10"/>
  <c r="BY117" i="10"/>
  <c r="BW117" i="10"/>
  <c r="BV117" i="10"/>
  <c r="BT117" i="10"/>
  <c r="BS117" i="10"/>
  <c r="BR117" i="10"/>
  <c r="BQ117" i="10"/>
  <c r="BO117" i="10"/>
  <c r="BN117" i="10"/>
  <c r="BM117" i="10"/>
  <c r="BL117" i="10"/>
  <c r="BJ117" i="10"/>
  <c r="BI117" i="10"/>
  <c r="BH117" i="10"/>
  <c r="BG117" i="10"/>
  <c r="BE117" i="10"/>
  <c r="BD117" i="10"/>
  <c r="BC117" i="10"/>
  <c r="BB117" i="10"/>
  <c r="AZ117" i="10"/>
  <c r="AY117" i="10"/>
  <c r="AX117" i="10"/>
  <c r="AW117" i="10"/>
  <c r="AU117" i="10"/>
  <c r="AT117" i="10"/>
  <c r="AS117" i="10"/>
  <c r="AR117" i="10"/>
  <c r="AP117" i="10"/>
  <c r="AO117" i="10"/>
  <c r="AN117" i="10"/>
  <c r="AM117" i="10"/>
  <c r="AD117" i="10"/>
  <c r="AC117" i="10"/>
  <c r="AB117" i="10"/>
  <c r="AA117" i="10"/>
  <c r="Z117" i="10"/>
  <c r="Y117" i="10"/>
  <c r="N117" i="10"/>
  <c r="M117" i="10"/>
  <c r="L117" i="10"/>
  <c r="K117" i="10"/>
  <c r="J117" i="10"/>
  <c r="I117" i="10"/>
  <c r="H117" i="10"/>
  <c r="F117" i="10"/>
  <c r="E117" i="10"/>
  <c r="D117" i="10"/>
  <c r="C117" i="10"/>
  <c r="A117" i="10"/>
  <c r="BZ116" i="10"/>
  <c r="BY116" i="10"/>
  <c r="BW116" i="10"/>
  <c r="BV116" i="10"/>
  <c r="BT116" i="10"/>
  <c r="BS116" i="10"/>
  <c r="BR116" i="10"/>
  <c r="BQ116" i="10"/>
  <c r="BO116" i="10"/>
  <c r="BN116" i="10"/>
  <c r="BM116" i="10"/>
  <c r="BL116" i="10"/>
  <c r="BJ116" i="10"/>
  <c r="BI116" i="10"/>
  <c r="BH116" i="10"/>
  <c r="BG116" i="10"/>
  <c r="BE116" i="10"/>
  <c r="BD116" i="10"/>
  <c r="BC116" i="10"/>
  <c r="BB116" i="10"/>
  <c r="AZ116" i="10"/>
  <c r="AY116" i="10"/>
  <c r="AX116" i="10"/>
  <c r="AW116" i="10"/>
  <c r="AU116" i="10"/>
  <c r="AT116" i="10"/>
  <c r="AS116" i="10"/>
  <c r="AR116" i="10"/>
  <c r="AP116" i="10"/>
  <c r="AO116" i="10"/>
  <c r="AN116" i="10"/>
  <c r="AM116" i="10"/>
  <c r="AD116" i="10"/>
  <c r="AC116" i="10"/>
  <c r="AB116" i="10"/>
  <c r="AA116" i="10"/>
  <c r="Z116" i="10"/>
  <c r="Y116" i="10"/>
  <c r="N116" i="10"/>
  <c r="M116" i="10"/>
  <c r="L116" i="10"/>
  <c r="K116" i="10"/>
  <c r="J116" i="10"/>
  <c r="I116" i="10"/>
  <c r="H116" i="10"/>
  <c r="F116" i="10"/>
  <c r="E116" i="10"/>
  <c r="D116" i="10"/>
  <c r="C116" i="10"/>
  <c r="A116" i="10"/>
  <c r="BZ115" i="10"/>
  <c r="BY115" i="10"/>
  <c r="BW115" i="10"/>
  <c r="BV115" i="10"/>
  <c r="BT115" i="10"/>
  <c r="BS115" i="10"/>
  <c r="BR115" i="10"/>
  <c r="BQ115" i="10"/>
  <c r="BO115" i="10"/>
  <c r="BN115" i="10"/>
  <c r="BM115" i="10"/>
  <c r="BL115" i="10"/>
  <c r="BJ115" i="10"/>
  <c r="BI115" i="10"/>
  <c r="BH115" i="10"/>
  <c r="BG115" i="10"/>
  <c r="BE115" i="10"/>
  <c r="BD115" i="10"/>
  <c r="BC115" i="10"/>
  <c r="BB115" i="10"/>
  <c r="AZ115" i="10"/>
  <c r="AY115" i="10"/>
  <c r="AX115" i="10"/>
  <c r="AW115" i="10"/>
  <c r="AU115" i="10"/>
  <c r="AT115" i="10"/>
  <c r="AS115" i="10"/>
  <c r="AR115" i="10"/>
  <c r="AP115" i="10"/>
  <c r="AO115" i="10"/>
  <c r="AN115" i="10"/>
  <c r="AM115" i="10"/>
  <c r="AD115" i="10"/>
  <c r="AC115" i="10"/>
  <c r="AB115" i="10"/>
  <c r="AA115" i="10"/>
  <c r="Z115" i="10"/>
  <c r="Y115" i="10"/>
  <c r="N115" i="10"/>
  <c r="M115" i="10"/>
  <c r="L115" i="10"/>
  <c r="K115" i="10"/>
  <c r="J115" i="10"/>
  <c r="I115" i="10"/>
  <c r="H115" i="10"/>
  <c r="F115" i="10"/>
  <c r="E115" i="10"/>
  <c r="D115" i="10"/>
  <c r="C115" i="10"/>
  <c r="A115" i="10"/>
  <c r="BZ114" i="10"/>
  <c r="BY114" i="10"/>
  <c r="BW114" i="10"/>
  <c r="BV114" i="10"/>
  <c r="BT114" i="10"/>
  <c r="BS114" i="10"/>
  <c r="BR114" i="10"/>
  <c r="BQ114" i="10"/>
  <c r="BO114" i="10"/>
  <c r="BN114" i="10"/>
  <c r="BM114" i="10"/>
  <c r="BL114" i="10"/>
  <c r="BJ114" i="10"/>
  <c r="BI114" i="10"/>
  <c r="BH114" i="10"/>
  <c r="BG114" i="10"/>
  <c r="BE114" i="10"/>
  <c r="BD114" i="10"/>
  <c r="BC114" i="10"/>
  <c r="BB114" i="10"/>
  <c r="AZ114" i="10"/>
  <c r="AY114" i="10"/>
  <c r="AX114" i="10"/>
  <c r="AW114" i="10"/>
  <c r="AU114" i="10"/>
  <c r="AT114" i="10"/>
  <c r="AS114" i="10"/>
  <c r="AR114" i="10"/>
  <c r="AP114" i="10"/>
  <c r="AO114" i="10"/>
  <c r="AN114" i="10"/>
  <c r="AM114" i="10"/>
  <c r="AD114" i="10"/>
  <c r="AC114" i="10"/>
  <c r="AB114" i="10"/>
  <c r="AA114" i="10"/>
  <c r="Z114" i="10"/>
  <c r="Y114" i="10"/>
  <c r="N114" i="10"/>
  <c r="M114" i="10"/>
  <c r="L114" i="10"/>
  <c r="K114" i="10"/>
  <c r="J114" i="10"/>
  <c r="I114" i="10"/>
  <c r="H114" i="10"/>
  <c r="F114" i="10"/>
  <c r="E114" i="10"/>
  <c r="D114" i="10"/>
  <c r="C114" i="10"/>
  <c r="A114" i="10"/>
  <c r="BZ113" i="10"/>
  <c r="BY113" i="10"/>
  <c r="BW113" i="10"/>
  <c r="BV113" i="10"/>
  <c r="BT113" i="10"/>
  <c r="BS113" i="10"/>
  <c r="BR113" i="10"/>
  <c r="BQ113" i="10"/>
  <c r="BO113" i="10"/>
  <c r="BN113" i="10"/>
  <c r="BM113" i="10"/>
  <c r="BL113" i="10"/>
  <c r="BJ113" i="10"/>
  <c r="BI113" i="10"/>
  <c r="BH113" i="10"/>
  <c r="BG113" i="10"/>
  <c r="BE113" i="10"/>
  <c r="BD113" i="10"/>
  <c r="BC113" i="10"/>
  <c r="BB113" i="10"/>
  <c r="AZ113" i="10"/>
  <c r="AY113" i="10"/>
  <c r="AX113" i="10"/>
  <c r="AW113" i="10"/>
  <c r="AU113" i="10"/>
  <c r="AT113" i="10"/>
  <c r="AS113" i="10"/>
  <c r="AR113" i="10"/>
  <c r="AP113" i="10"/>
  <c r="AO113" i="10"/>
  <c r="AN113" i="10"/>
  <c r="AM113" i="10"/>
  <c r="AD113" i="10"/>
  <c r="AC113" i="10"/>
  <c r="AB113" i="10"/>
  <c r="AA113" i="10"/>
  <c r="Z113" i="10"/>
  <c r="Y113" i="10"/>
  <c r="N113" i="10"/>
  <c r="M113" i="10"/>
  <c r="L113" i="10"/>
  <c r="K113" i="10"/>
  <c r="J113" i="10"/>
  <c r="I113" i="10"/>
  <c r="H113" i="10"/>
  <c r="F113" i="10"/>
  <c r="E113" i="10"/>
  <c r="D113" i="10"/>
  <c r="C113" i="10"/>
  <c r="A113" i="10"/>
  <c r="BZ112" i="10"/>
  <c r="BY112" i="10"/>
  <c r="BW112" i="10"/>
  <c r="BV112" i="10"/>
  <c r="BT112" i="10"/>
  <c r="BS112" i="10"/>
  <c r="BR112" i="10"/>
  <c r="BQ112" i="10"/>
  <c r="BO112" i="10"/>
  <c r="BN112" i="10"/>
  <c r="BM112" i="10"/>
  <c r="BL112" i="10"/>
  <c r="BJ112" i="10"/>
  <c r="BI112" i="10"/>
  <c r="BH112" i="10"/>
  <c r="BG112" i="10"/>
  <c r="BE112" i="10"/>
  <c r="BD112" i="10"/>
  <c r="BC112" i="10"/>
  <c r="BB112" i="10"/>
  <c r="AZ112" i="10"/>
  <c r="AY112" i="10"/>
  <c r="AX112" i="10"/>
  <c r="AW112" i="10"/>
  <c r="AU112" i="10"/>
  <c r="AT112" i="10"/>
  <c r="AS112" i="10"/>
  <c r="AR112" i="10"/>
  <c r="AP112" i="10"/>
  <c r="AO112" i="10"/>
  <c r="AN112" i="10"/>
  <c r="AM112" i="10"/>
  <c r="AD112" i="10"/>
  <c r="AC112" i="10"/>
  <c r="AB112" i="10"/>
  <c r="AA112" i="10"/>
  <c r="Z112" i="10"/>
  <c r="Y112" i="10"/>
  <c r="N112" i="10"/>
  <c r="M112" i="10"/>
  <c r="L112" i="10"/>
  <c r="K112" i="10"/>
  <c r="J112" i="10"/>
  <c r="I112" i="10"/>
  <c r="H112" i="10"/>
  <c r="F112" i="10"/>
  <c r="E112" i="10"/>
  <c r="D112" i="10"/>
  <c r="C112" i="10"/>
  <c r="A112" i="10"/>
  <c r="BZ111" i="10"/>
  <c r="BY111" i="10"/>
  <c r="BW111" i="10"/>
  <c r="BV111" i="10"/>
  <c r="BT111" i="10"/>
  <c r="BS111" i="10"/>
  <c r="BR111" i="10"/>
  <c r="BQ111" i="10"/>
  <c r="BO111" i="10"/>
  <c r="BN111" i="10"/>
  <c r="BM111" i="10"/>
  <c r="BL111" i="10"/>
  <c r="BJ111" i="10"/>
  <c r="BI111" i="10"/>
  <c r="BH111" i="10"/>
  <c r="BG111" i="10"/>
  <c r="BE111" i="10"/>
  <c r="BD111" i="10"/>
  <c r="BC111" i="10"/>
  <c r="BB111" i="10"/>
  <c r="AZ111" i="10"/>
  <c r="AY111" i="10"/>
  <c r="AX111" i="10"/>
  <c r="AW111" i="10"/>
  <c r="AU111" i="10"/>
  <c r="AT111" i="10"/>
  <c r="AS111" i="10"/>
  <c r="AR111" i="10"/>
  <c r="AP111" i="10"/>
  <c r="AO111" i="10"/>
  <c r="AN111" i="10"/>
  <c r="AM111" i="10"/>
  <c r="AD111" i="10"/>
  <c r="AC111" i="10"/>
  <c r="AB111" i="10"/>
  <c r="AA111" i="10"/>
  <c r="Z111" i="10"/>
  <c r="Y111" i="10"/>
  <c r="N111" i="10"/>
  <c r="M111" i="10"/>
  <c r="L111" i="10"/>
  <c r="K111" i="10"/>
  <c r="J111" i="10"/>
  <c r="I111" i="10"/>
  <c r="H111" i="10"/>
  <c r="F111" i="10"/>
  <c r="E111" i="10"/>
  <c r="D111" i="10"/>
  <c r="C111" i="10"/>
  <c r="A111" i="10"/>
  <c r="BZ110" i="10"/>
  <c r="BY110" i="10"/>
  <c r="BW110" i="10"/>
  <c r="BV110" i="10"/>
  <c r="BT110" i="10"/>
  <c r="BS110" i="10"/>
  <c r="BR110" i="10"/>
  <c r="BQ110" i="10"/>
  <c r="BO110" i="10"/>
  <c r="BN110" i="10"/>
  <c r="BM110" i="10"/>
  <c r="BL110" i="10"/>
  <c r="BJ110" i="10"/>
  <c r="BI110" i="10"/>
  <c r="BH110" i="10"/>
  <c r="BG110" i="10"/>
  <c r="BE110" i="10"/>
  <c r="BD110" i="10"/>
  <c r="BC110" i="10"/>
  <c r="BB110" i="10"/>
  <c r="AZ110" i="10"/>
  <c r="AY110" i="10"/>
  <c r="AX110" i="10"/>
  <c r="AW110" i="10"/>
  <c r="AU110" i="10"/>
  <c r="AT110" i="10"/>
  <c r="AS110" i="10"/>
  <c r="AR110" i="10"/>
  <c r="AP110" i="10"/>
  <c r="AO110" i="10"/>
  <c r="AN110" i="10"/>
  <c r="AM110" i="10"/>
  <c r="AD110" i="10"/>
  <c r="AC110" i="10"/>
  <c r="AB110" i="10"/>
  <c r="AA110" i="10"/>
  <c r="Z110" i="10"/>
  <c r="Y110" i="10"/>
  <c r="N110" i="10"/>
  <c r="M110" i="10"/>
  <c r="L110" i="10"/>
  <c r="K110" i="10"/>
  <c r="J110" i="10"/>
  <c r="I110" i="10"/>
  <c r="H110" i="10"/>
  <c r="F110" i="10"/>
  <c r="E110" i="10"/>
  <c r="D110" i="10"/>
  <c r="C110" i="10"/>
  <c r="A110" i="10"/>
  <c r="BZ109" i="10"/>
  <c r="BY109" i="10"/>
  <c r="BW109" i="10"/>
  <c r="BV109" i="10"/>
  <c r="BT109" i="10"/>
  <c r="BS109" i="10"/>
  <c r="BR109" i="10"/>
  <c r="BQ109" i="10"/>
  <c r="BO109" i="10"/>
  <c r="BN109" i="10"/>
  <c r="BM109" i="10"/>
  <c r="BL109" i="10"/>
  <c r="BJ109" i="10"/>
  <c r="BI109" i="10"/>
  <c r="BH109" i="10"/>
  <c r="BG109" i="10"/>
  <c r="BE109" i="10"/>
  <c r="BD109" i="10"/>
  <c r="BC109" i="10"/>
  <c r="BB109" i="10"/>
  <c r="AZ109" i="10"/>
  <c r="AY109" i="10"/>
  <c r="AX109" i="10"/>
  <c r="AW109" i="10"/>
  <c r="AU109" i="10"/>
  <c r="AT109" i="10"/>
  <c r="AS109" i="10"/>
  <c r="AR109" i="10"/>
  <c r="AP109" i="10"/>
  <c r="AO109" i="10"/>
  <c r="AN109" i="10"/>
  <c r="AM109" i="10"/>
  <c r="AD109" i="10"/>
  <c r="AC109" i="10"/>
  <c r="AB109" i="10"/>
  <c r="AA109" i="10"/>
  <c r="Z109" i="10"/>
  <c r="Y109" i="10"/>
  <c r="N109" i="10"/>
  <c r="M109" i="10"/>
  <c r="L109" i="10"/>
  <c r="K109" i="10"/>
  <c r="J109" i="10"/>
  <c r="I109" i="10"/>
  <c r="H109" i="10"/>
  <c r="F109" i="10"/>
  <c r="E109" i="10"/>
  <c r="D109" i="10"/>
  <c r="C109" i="10"/>
  <c r="A109" i="10"/>
  <c r="BZ108" i="10"/>
  <c r="BY108" i="10"/>
  <c r="BW108" i="10"/>
  <c r="BV108" i="10"/>
  <c r="BT108" i="10"/>
  <c r="BS108" i="10"/>
  <c r="BR108" i="10"/>
  <c r="BQ108" i="10"/>
  <c r="BO108" i="10"/>
  <c r="BN108" i="10"/>
  <c r="BM108" i="10"/>
  <c r="BL108" i="10"/>
  <c r="BJ108" i="10"/>
  <c r="BI108" i="10"/>
  <c r="BH108" i="10"/>
  <c r="BG108" i="10"/>
  <c r="BE108" i="10"/>
  <c r="BD108" i="10"/>
  <c r="BC108" i="10"/>
  <c r="BB108" i="10"/>
  <c r="AZ108" i="10"/>
  <c r="AY108" i="10"/>
  <c r="AX108" i="10"/>
  <c r="AW108" i="10"/>
  <c r="AU108" i="10"/>
  <c r="AT108" i="10"/>
  <c r="AS108" i="10"/>
  <c r="AR108" i="10"/>
  <c r="AP108" i="10"/>
  <c r="AO108" i="10"/>
  <c r="AN108" i="10"/>
  <c r="AM108" i="10"/>
  <c r="AD108" i="10"/>
  <c r="AC108" i="10"/>
  <c r="AB108" i="10"/>
  <c r="AA108" i="10"/>
  <c r="Z108" i="10"/>
  <c r="Y108" i="10"/>
  <c r="N108" i="10"/>
  <c r="M108" i="10"/>
  <c r="L108" i="10"/>
  <c r="K108" i="10"/>
  <c r="J108" i="10"/>
  <c r="I108" i="10"/>
  <c r="H108" i="10"/>
  <c r="F108" i="10"/>
  <c r="E108" i="10"/>
  <c r="D108" i="10"/>
  <c r="C108" i="10"/>
  <c r="A108" i="10"/>
  <c r="BZ107" i="10"/>
  <c r="BY107" i="10"/>
  <c r="BW107" i="10"/>
  <c r="BV107" i="10"/>
  <c r="BT107" i="10"/>
  <c r="BS107" i="10"/>
  <c r="BR107" i="10"/>
  <c r="BQ107" i="10"/>
  <c r="BO107" i="10"/>
  <c r="BN107" i="10"/>
  <c r="BM107" i="10"/>
  <c r="BL107" i="10"/>
  <c r="BJ107" i="10"/>
  <c r="BI107" i="10"/>
  <c r="BH107" i="10"/>
  <c r="BG107" i="10"/>
  <c r="BE107" i="10"/>
  <c r="BD107" i="10"/>
  <c r="BC107" i="10"/>
  <c r="BB107" i="10"/>
  <c r="AZ107" i="10"/>
  <c r="AY107" i="10"/>
  <c r="AX107" i="10"/>
  <c r="AW107" i="10"/>
  <c r="AU107" i="10"/>
  <c r="AT107" i="10"/>
  <c r="AS107" i="10"/>
  <c r="AR107" i="10"/>
  <c r="AP107" i="10"/>
  <c r="AO107" i="10"/>
  <c r="AN107" i="10"/>
  <c r="AM107" i="10"/>
  <c r="AD107" i="10"/>
  <c r="AC107" i="10"/>
  <c r="AB107" i="10"/>
  <c r="AA107" i="10"/>
  <c r="Z107" i="10"/>
  <c r="Y107" i="10"/>
  <c r="N107" i="10"/>
  <c r="M107" i="10"/>
  <c r="L107" i="10"/>
  <c r="K107" i="10"/>
  <c r="J107" i="10"/>
  <c r="I107" i="10"/>
  <c r="H107" i="10"/>
  <c r="F107" i="10"/>
  <c r="E107" i="10"/>
  <c r="D107" i="10"/>
  <c r="C107" i="10"/>
  <c r="A107" i="10"/>
  <c r="BZ106" i="10"/>
  <c r="BY106" i="10"/>
  <c r="BW106" i="10"/>
  <c r="BV106" i="10"/>
  <c r="BT106" i="10"/>
  <c r="BS106" i="10"/>
  <c r="BR106" i="10"/>
  <c r="BQ106" i="10"/>
  <c r="BO106" i="10"/>
  <c r="BN106" i="10"/>
  <c r="BM106" i="10"/>
  <c r="BL106" i="10"/>
  <c r="BJ106" i="10"/>
  <c r="BI106" i="10"/>
  <c r="BH106" i="10"/>
  <c r="BG106" i="10"/>
  <c r="BE106" i="10"/>
  <c r="BD106" i="10"/>
  <c r="BC106" i="10"/>
  <c r="BB106" i="10"/>
  <c r="AZ106" i="10"/>
  <c r="AY106" i="10"/>
  <c r="AX106" i="10"/>
  <c r="AW106" i="10"/>
  <c r="AU106" i="10"/>
  <c r="AT106" i="10"/>
  <c r="AS106" i="10"/>
  <c r="AR106" i="10"/>
  <c r="AP106" i="10"/>
  <c r="AO106" i="10"/>
  <c r="AN106" i="10"/>
  <c r="AM106" i="10"/>
  <c r="AD106" i="10"/>
  <c r="AC106" i="10"/>
  <c r="AB106" i="10"/>
  <c r="AA106" i="10"/>
  <c r="Z106" i="10"/>
  <c r="Y106" i="10"/>
  <c r="N106" i="10"/>
  <c r="M106" i="10"/>
  <c r="L106" i="10"/>
  <c r="K106" i="10"/>
  <c r="J106" i="10"/>
  <c r="I106" i="10"/>
  <c r="H106" i="10"/>
  <c r="F106" i="10"/>
  <c r="E106" i="10"/>
  <c r="D106" i="10"/>
  <c r="C106" i="10"/>
  <c r="A106" i="10"/>
  <c r="BZ105" i="10"/>
  <c r="BY105" i="10"/>
  <c r="BW105" i="10"/>
  <c r="BV105" i="10"/>
  <c r="BT105" i="10"/>
  <c r="BS105" i="10"/>
  <c r="BR105" i="10"/>
  <c r="BQ105" i="10"/>
  <c r="BO105" i="10"/>
  <c r="BN105" i="10"/>
  <c r="BM105" i="10"/>
  <c r="BL105" i="10"/>
  <c r="BJ105" i="10"/>
  <c r="BI105" i="10"/>
  <c r="BH105" i="10"/>
  <c r="BG105" i="10"/>
  <c r="BE105" i="10"/>
  <c r="BD105" i="10"/>
  <c r="BC105" i="10"/>
  <c r="BB105" i="10"/>
  <c r="AZ105" i="10"/>
  <c r="AY105" i="10"/>
  <c r="AX105" i="10"/>
  <c r="AW105" i="10"/>
  <c r="AU105" i="10"/>
  <c r="AT105" i="10"/>
  <c r="AS105" i="10"/>
  <c r="AR105" i="10"/>
  <c r="AP105" i="10"/>
  <c r="AO105" i="10"/>
  <c r="AN105" i="10"/>
  <c r="AM105" i="10"/>
  <c r="AD105" i="10"/>
  <c r="AC105" i="10"/>
  <c r="AB105" i="10"/>
  <c r="AA105" i="10"/>
  <c r="Z105" i="10"/>
  <c r="Y105" i="10"/>
  <c r="N105" i="10"/>
  <c r="M105" i="10"/>
  <c r="L105" i="10"/>
  <c r="K105" i="10"/>
  <c r="J105" i="10"/>
  <c r="I105" i="10"/>
  <c r="H105" i="10"/>
  <c r="F105" i="10"/>
  <c r="E105" i="10"/>
  <c r="D105" i="10"/>
  <c r="C105" i="10"/>
  <c r="A105" i="10"/>
  <c r="BZ104" i="10"/>
  <c r="BY104" i="10"/>
  <c r="BW104" i="10"/>
  <c r="BV104" i="10"/>
  <c r="BT104" i="10"/>
  <c r="BS104" i="10"/>
  <c r="BR104" i="10"/>
  <c r="BQ104" i="10"/>
  <c r="BO104" i="10"/>
  <c r="BN104" i="10"/>
  <c r="BM104" i="10"/>
  <c r="BL104" i="10"/>
  <c r="BJ104" i="10"/>
  <c r="BI104" i="10"/>
  <c r="BH104" i="10"/>
  <c r="BG104" i="10"/>
  <c r="BE104" i="10"/>
  <c r="BD104" i="10"/>
  <c r="BC104" i="10"/>
  <c r="BB104" i="10"/>
  <c r="AZ104" i="10"/>
  <c r="AY104" i="10"/>
  <c r="AX104" i="10"/>
  <c r="AW104" i="10"/>
  <c r="AU104" i="10"/>
  <c r="AT104" i="10"/>
  <c r="AS104" i="10"/>
  <c r="AR104" i="10"/>
  <c r="AP104" i="10"/>
  <c r="AO104" i="10"/>
  <c r="AN104" i="10"/>
  <c r="AM104" i="10"/>
  <c r="AD104" i="10"/>
  <c r="AC104" i="10"/>
  <c r="AB104" i="10"/>
  <c r="AA104" i="10"/>
  <c r="Z104" i="10"/>
  <c r="Y104" i="10"/>
  <c r="N104" i="10"/>
  <c r="M104" i="10"/>
  <c r="L104" i="10"/>
  <c r="K104" i="10"/>
  <c r="J104" i="10"/>
  <c r="I104" i="10"/>
  <c r="H104" i="10"/>
  <c r="F104" i="10"/>
  <c r="E104" i="10"/>
  <c r="D104" i="10"/>
  <c r="C104" i="10"/>
  <c r="A104" i="10"/>
  <c r="BZ103" i="10"/>
  <c r="BY103" i="10"/>
  <c r="BW103" i="10"/>
  <c r="BV103" i="10"/>
  <c r="BT103" i="10"/>
  <c r="BS103" i="10"/>
  <c r="BR103" i="10"/>
  <c r="BQ103" i="10"/>
  <c r="BO103" i="10"/>
  <c r="BN103" i="10"/>
  <c r="BM103" i="10"/>
  <c r="BL103" i="10"/>
  <c r="BJ103" i="10"/>
  <c r="BI103" i="10"/>
  <c r="BH103" i="10"/>
  <c r="BG103" i="10"/>
  <c r="BE103" i="10"/>
  <c r="BD103" i="10"/>
  <c r="BC103" i="10"/>
  <c r="BB103" i="10"/>
  <c r="AZ103" i="10"/>
  <c r="AY103" i="10"/>
  <c r="AX103" i="10"/>
  <c r="AW103" i="10"/>
  <c r="AU103" i="10"/>
  <c r="AT103" i="10"/>
  <c r="AS103" i="10"/>
  <c r="AR103" i="10"/>
  <c r="AP103" i="10"/>
  <c r="AO103" i="10"/>
  <c r="AN103" i="10"/>
  <c r="AM103" i="10"/>
  <c r="AD103" i="10"/>
  <c r="AC103" i="10"/>
  <c r="AB103" i="10"/>
  <c r="AA103" i="10"/>
  <c r="Z103" i="10"/>
  <c r="Y103" i="10"/>
  <c r="N103" i="10"/>
  <c r="M103" i="10"/>
  <c r="L103" i="10"/>
  <c r="K103" i="10"/>
  <c r="J103" i="10"/>
  <c r="I103" i="10"/>
  <c r="H103" i="10"/>
  <c r="F103" i="10"/>
  <c r="E103" i="10"/>
  <c r="D103" i="10"/>
  <c r="C103" i="10"/>
  <c r="A103" i="10"/>
  <c r="BZ102" i="10"/>
  <c r="BY102" i="10"/>
  <c r="BW102" i="10"/>
  <c r="BV102" i="10"/>
  <c r="BT102" i="10"/>
  <c r="BS102" i="10"/>
  <c r="BR102" i="10"/>
  <c r="BQ102" i="10"/>
  <c r="BO102" i="10"/>
  <c r="BN102" i="10"/>
  <c r="BM102" i="10"/>
  <c r="BL102" i="10"/>
  <c r="BJ102" i="10"/>
  <c r="BI102" i="10"/>
  <c r="BH102" i="10"/>
  <c r="BG102" i="10"/>
  <c r="BE102" i="10"/>
  <c r="BD102" i="10"/>
  <c r="BC102" i="10"/>
  <c r="BB102" i="10"/>
  <c r="AZ102" i="10"/>
  <c r="AY102" i="10"/>
  <c r="AX102" i="10"/>
  <c r="AW102" i="10"/>
  <c r="AU102" i="10"/>
  <c r="AT102" i="10"/>
  <c r="AS102" i="10"/>
  <c r="AR102" i="10"/>
  <c r="AP102" i="10"/>
  <c r="AO102" i="10"/>
  <c r="AN102" i="10"/>
  <c r="AM102" i="10"/>
  <c r="AD102" i="10"/>
  <c r="AC102" i="10"/>
  <c r="AB102" i="10"/>
  <c r="AA102" i="10"/>
  <c r="Z102" i="10"/>
  <c r="Y102" i="10"/>
  <c r="N102" i="10"/>
  <c r="M102" i="10"/>
  <c r="L102" i="10"/>
  <c r="K102" i="10"/>
  <c r="J102" i="10"/>
  <c r="I102" i="10"/>
  <c r="H102" i="10"/>
  <c r="F102" i="10"/>
  <c r="E102" i="10"/>
  <c r="D102" i="10"/>
  <c r="C102" i="10"/>
  <c r="A102" i="10"/>
  <c r="BZ101" i="10"/>
  <c r="BY101" i="10"/>
  <c r="BW101" i="10"/>
  <c r="BV101" i="10"/>
  <c r="BT101" i="10"/>
  <c r="BS101" i="10"/>
  <c r="BR101" i="10"/>
  <c r="BQ101" i="10"/>
  <c r="BO101" i="10"/>
  <c r="BN101" i="10"/>
  <c r="BM101" i="10"/>
  <c r="BL101" i="10"/>
  <c r="BJ101" i="10"/>
  <c r="BI101" i="10"/>
  <c r="BH101" i="10"/>
  <c r="BG101" i="10"/>
  <c r="BE101" i="10"/>
  <c r="BD101" i="10"/>
  <c r="BC101" i="10"/>
  <c r="BB101" i="10"/>
  <c r="AZ101" i="10"/>
  <c r="AY101" i="10"/>
  <c r="AX101" i="10"/>
  <c r="AW101" i="10"/>
  <c r="AU101" i="10"/>
  <c r="AT101" i="10"/>
  <c r="AS101" i="10"/>
  <c r="AR101" i="10"/>
  <c r="AP101" i="10"/>
  <c r="AO101" i="10"/>
  <c r="AN101" i="10"/>
  <c r="AM101" i="10"/>
  <c r="AD101" i="10"/>
  <c r="AC101" i="10"/>
  <c r="AB101" i="10"/>
  <c r="AA101" i="10"/>
  <c r="Z101" i="10"/>
  <c r="Y101" i="10"/>
  <c r="N101" i="10"/>
  <c r="M101" i="10"/>
  <c r="L101" i="10"/>
  <c r="K101" i="10"/>
  <c r="J101" i="10"/>
  <c r="I101" i="10"/>
  <c r="H101" i="10"/>
  <c r="F101" i="10"/>
  <c r="E101" i="10"/>
  <c r="D101" i="10"/>
  <c r="C101" i="10"/>
  <c r="A101" i="10"/>
  <c r="BZ100" i="10"/>
  <c r="BY100" i="10"/>
  <c r="BW100" i="10"/>
  <c r="BV100" i="10"/>
  <c r="BT100" i="10"/>
  <c r="BS100" i="10"/>
  <c r="BR100" i="10"/>
  <c r="BQ100" i="10"/>
  <c r="BO100" i="10"/>
  <c r="BN100" i="10"/>
  <c r="BM100" i="10"/>
  <c r="BL100" i="10"/>
  <c r="BJ100" i="10"/>
  <c r="BI100" i="10"/>
  <c r="BH100" i="10"/>
  <c r="BG100" i="10"/>
  <c r="BE100" i="10"/>
  <c r="BD100" i="10"/>
  <c r="BC100" i="10"/>
  <c r="BB100" i="10"/>
  <c r="AZ100" i="10"/>
  <c r="AY100" i="10"/>
  <c r="AX100" i="10"/>
  <c r="AW100" i="10"/>
  <c r="AU100" i="10"/>
  <c r="AT100" i="10"/>
  <c r="AS100" i="10"/>
  <c r="AR100" i="10"/>
  <c r="AP100" i="10"/>
  <c r="AO100" i="10"/>
  <c r="AN100" i="10"/>
  <c r="AM100" i="10"/>
  <c r="AD100" i="10"/>
  <c r="AC100" i="10"/>
  <c r="AB100" i="10"/>
  <c r="AA100" i="10"/>
  <c r="Z100" i="10"/>
  <c r="Y100" i="10"/>
  <c r="N100" i="10"/>
  <c r="M100" i="10"/>
  <c r="L100" i="10"/>
  <c r="K100" i="10"/>
  <c r="J100" i="10"/>
  <c r="I100" i="10"/>
  <c r="H100" i="10"/>
  <c r="F100" i="10"/>
  <c r="E100" i="10"/>
  <c r="D100" i="10"/>
  <c r="C100" i="10"/>
  <c r="A100" i="10"/>
  <c r="BZ99" i="10"/>
  <c r="BY99" i="10"/>
  <c r="BW99" i="10"/>
  <c r="BV99" i="10"/>
  <c r="BT99" i="10"/>
  <c r="BS99" i="10"/>
  <c r="BR99" i="10"/>
  <c r="BQ99" i="10"/>
  <c r="BO99" i="10"/>
  <c r="BN99" i="10"/>
  <c r="BM99" i="10"/>
  <c r="BL99" i="10"/>
  <c r="BJ99" i="10"/>
  <c r="BI99" i="10"/>
  <c r="BH99" i="10"/>
  <c r="BG99" i="10"/>
  <c r="BE99" i="10"/>
  <c r="BD99" i="10"/>
  <c r="BC99" i="10"/>
  <c r="BB99" i="10"/>
  <c r="AZ99" i="10"/>
  <c r="AY99" i="10"/>
  <c r="AX99" i="10"/>
  <c r="AW99" i="10"/>
  <c r="AU99" i="10"/>
  <c r="AT99" i="10"/>
  <c r="AS99" i="10"/>
  <c r="AR99" i="10"/>
  <c r="AP99" i="10"/>
  <c r="AO99" i="10"/>
  <c r="AN99" i="10"/>
  <c r="AM99" i="10"/>
  <c r="AD99" i="10"/>
  <c r="AC99" i="10"/>
  <c r="AB99" i="10"/>
  <c r="AA99" i="10"/>
  <c r="Z99" i="10"/>
  <c r="Y99" i="10"/>
  <c r="N99" i="10"/>
  <c r="M99" i="10"/>
  <c r="L99" i="10"/>
  <c r="K99" i="10"/>
  <c r="J99" i="10"/>
  <c r="I99" i="10"/>
  <c r="H99" i="10"/>
  <c r="F99" i="10"/>
  <c r="E99" i="10"/>
  <c r="D99" i="10"/>
  <c r="C99" i="10"/>
  <c r="A99" i="10"/>
  <c r="BZ98" i="10"/>
  <c r="BY98" i="10"/>
  <c r="BW98" i="10"/>
  <c r="BV98" i="10"/>
  <c r="BT98" i="10"/>
  <c r="BS98" i="10"/>
  <c r="BR98" i="10"/>
  <c r="BQ98" i="10"/>
  <c r="BO98" i="10"/>
  <c r="BN98" i="10"/>
  <c r="BM98" i="10"/>
  <c r="BL98" i="10"/>
  <c r="BJ98" i="10"/>
  <c r="BI98" i="10"/>
  <c r="BH98" i="10"/>
  <c r="BG98" i="10"/>
  <c r="BE98" i="10"/>
  <c r="BD98" i="10"/>
  <c r="BC98" i="10"/>
  <c r="BB98" i="10"/>
  <c r="AZ98" i="10"/>
  <c r="AY98" i="10"/>
  <c r="AX98" i="10"/>
  <c r="AW98" i="10"/>
  <c r="AU98" i="10"/>
  <c r="AT98" i="10"/>
  <c r="AS98" i="10"/>
  <c r="AR98" i="10"/>
  <c r="AP98" i="10"/>
  <c r="AO98" i="10"/>
  <c r="AN98" i="10"/>
  <c r="AM98" i="10"/>
  <c r="AD98" i="10"/>
  <c r="AC98" i="10"/>
  <c r="AB98" i="10"/>
  <c r="AA98" i="10"/>
  <c r="Z98" i="10"/>
  <c r="Y98" i="10"/>
  <c r="N98" i="10"/>
  <c r="M98" i="10"/>
  <c r="L98" i="10"/>
  <c r="K98" i="10"/>
  <c r="J98" i="10"/>
  <c r="I98" i="10"/>
  <c r="H98" i="10"/>
  <c r="F98" i="10"/>
  <c r="E98" i="10"/>
  <c r="D98" i="10"/>
  <c r="C98" i="10"/>
  <c r="A98" i="10"/>
  <c r="BZ97" i="10"/>
  <c r="BY97" i="10"/>
  <c r="BW97" i="10"/>
  <c r="BV97" i="10"/>
  <c r="BT97" i="10"/>
  <c r="BS97" i="10"/>
  <c r="BR97" i="10"/>
  <c r="BQ97" i="10"/>
  <c r="BO97" i="10"/>
  <c r="BN97" i="10"/>
  <c r="BM97" i="10"/>
  <c r="BL97" i="10"/>
  <c r="BJ97" i="10"/>
  <c r="BI97" i="10"/>
  <c r="BH97" i="10"/>
  <c r="BG97" i="10"/>
  <c r="BE97" i="10"/>
  <c r="BD97" i="10"/>
  <c r="BC97" i="10"/>
  <c r="BB97" i="10"/>
  <c r="AZ97" i="10"/>
  <c r="AY97" i="10"/>
  <c r="AX97" i="10"/>
  <c r="AW97" i="10"/>
  <c r="AU97" i="10"/>
  <c r="AT97" i="10"/>
  <c r="AS97" i="10"/>
  <c r="AR97" i="10"/>
  <c r="AP97" i="10"/>
  <c r="AO97" i="10"/>
  <c r="AN97" i="10"/>
  <c r="AM97" i="10"/>
  <c r="AD97" i="10"/>
  <c r="AC97" i="10"/>
  <c r="AB97" i="10"/>
  <c r="AA97" i="10"/>
  <c r="Z97" i="10"/>
  <c r="Y97" i="10"/>
  <c r="N97" i="10"/>
  <c r="M97" i="10"/>
  <c r="L97" i="10"/>
  <c r="K97" i="10"/>
  <c r="J97" i="10"/>
  <c r="I97" i="10"/>
  <c r="H97" i="10"/>
  <c r="F97" i="10"/>
  <c r="E97" i="10"/>
  <c r="D97" i="10"/>
  <c r="C97" i="10"/>
  <c r="A97" i="10"/>
  <c r="BZ96" i="10"/>
  <c r="BY96" i="10"/>
  <c r="BW96" i="10"/>
  <c r="BV96" i="10"/>
  <c r="BT96" i="10"/>
  <c r="BS96" i="10"/>
  <c r="BR96" i="10"/>
  <c r="BQ96" i="10"/>
  <c r="BO96" i="10"/>
  <c r="BN96" i="10"/>
  <c r="BM96" i="10"/>
  <c r="BL96" i="10"/>
  <c r="BJ96" i="10"/>
  <c r="BI96" i="10"/>
  <c r="BH96" i="10"/>
  <c r="BG96" i="10"/>
  <c r="BE96" i="10"/>
  <c r="BD96" i="10"/>
  <c r="BC96" i="10"/>
  <c r="BB96" i="10"/>
  <c r="AZ96" i="10"/>
  <c r="AY96" i="10"/>
  <c r="AX96" i="10"/>
  <c r="AW96" i="10"/>
  <c r="AU96" i="10"/>
  <c r="AT96" i="10"/>
  <c r="AS96" i="10"/>
  <c r="AR96" i="10"/>
  <c r="AP96" i="10"/>
  <c r="AO96" i="10"/>
  <c r="AN96" i="10"/>
  <c r="AM96" i="10"/>
  <c r="AD96" i="10"/>
  <c r="AC96" i="10"/>
  <c r="AB96" i="10"/>
  <c r="AA96" i="10"/>
  <c r="Z96" i="10"/>
  <c r="Y96" i="10"/>
  <c r="N96" i="10"/>
  <c r="M96" i="10"/>
  <c r="L96" i="10"/>
  <c r="K96" i="10"/>
  <c r="J96" i="10"/>
  <c r="I96" i="10"/>
  <c r="H96" i="10"/>
  <c r="F96" i="10"/>
  <c r="E96" i="10"/>
  <c r="D96" i="10"/>
  <c r="C96" i="10"/>
  <c r="A96" i="10"/>
  <c r="BZ95" i="10"/>
  <c r="BY95" i="10"/>
  <c r="BW95" i="10"/>
  <c r="BV95" i="10"/>
  <c r="BT95" i="10"/>
  <c r="BS95" i="10"/>
  <c r="BR95" i="10"/>
  <c r="BQ95" i="10"/>
  <c r="BO95" i="10"/>
  <c r="BN95" i="10"/>
  <c r="BM95" i="10"/>
  <c r="BL95" i="10"/>
  <c r="BJ95" i="10"/>
  <c r="BI95" i="10"/>
  <c r="BH95" i="10"/>
  <c r="BG95" i="10"/>
  <c r="BE95" i="10"/>
  <c r="BD95" i="10"/>
  <c r="BC95" i="10"/>
  <c r="BB95" i="10"/>
  <c r="AZ95" i="10"/>
  <c r="AY95" i="10"/>
  <c r="AX95" i="10"/>
  <c r="AW95" i="10"/>
  <c r="AU95" i="10"/>
  <c r="AT95" i="10"/>
  <c r="AS95" i="10"/>
  <c r="AR95" i="10"/>
  <c r="AP95" i="10"/>
  <c r="AO95" i="10"/>
  <c r="AN95" i="10"/>
  <c r="AM95" i="10"/>
  <c r="AD95" i="10"/>
  <c r="AC95" i="10"/>
  <c r="AB95" i="10"/>
  <c r="AA95" i="10"/>
  <c r="Z95" i="10"/>
  <c r="Y95" i="10"/>
  <c r="N95" i="10"/>
  <c r="M95" i="10"/>
  <c r="L95" i="10"/>
  <c r="K95" i="10"/>
  <c r="J95" i="10"/>
  <c r="I95" i="10"/>
  <c r="H95" i="10"/>
  <c r="F95" i="10"/>
  <c r="E95" i="10"/>
  <c r="D95" i="10"/>
  <c r="C95" i="10"/>
  <c r="A95" i="10"/>
  <c r="BZ94" i="10"/>
  <c r="BY94" i="10"/>
  <c r="BW94" i="10"/>
  <c r="BV94" i="10"/>
  <c r="BT94" i="10"/>
  <c r="BS94" i="10"/>
  <c r="BR94" i="10"/>
  <c r="BQ94" i="10"/>
  <c r="BO94" i="10"/>
  <c r="BN94" i="10"/>
  <c r="BM94" i="10"/>
  <c r="BL94" i="10"/>
  <c r="BJ94" i="10"/>
  <c r="BI94" i="10"/>
  <c r="BH94" i="10"/>
  <c r="BG94" i="10"/>
  <c r="BE94" i="10"/>
  <c r="BD94" i="10"/>
  <c r="BC94" i="10"/>
  <c r="BB94" i="10"/>
  <c r="AZ94" i="10"/>
  <c r="AY94" i="10"/>
  <c r="AX94" i="10"/>
  <c r="AW94" i="10"/>
  <c r="AU94" i="10"/>
  <c r="AT94" i="10"/>
  <c r="AS94" i="10"/>
  <c r="AR94" i="10"/>
  <c r="AP94" i="10"/>
  <c r="AO94" i="10"/>
  <c r="AN94" i="10"/>
  <c r="AM94" i="10"/>
  <c r="AD94" i="10"/>
  <c r="AC94" i="10"/>
  <c r="AB94" i="10"/>
  <c r="AA94" i="10"/>
  <c r="Z94" i="10"/>
  <c r="Y94" i="10"/>
  <c r="N94" i="10"/>
  <c r="M94" i="10"/>
  <c r="L94" i="10"/>
  <c r="K94" i="10"/>
  <c r="J94" i="10"/>
  <c r="I94" i="10"/>
  <c r="H94" i="10"/>
  <c r="F94" i="10"/>
  <c r="E94" i="10"/>
  <c r="D94" i="10"/>
  <c r="C94" i="10"/>
  <c r="A94" i="10"/>
  <c r="BZ93" i="10"/>
  <c r="BY93" i="10"/>
  <c r="BW93" i="10"/>
  <c r="BV93" i="10"/>
  <c r="BT93" i="10"/>
  <c r="BS93" i="10"/>
  <c r="BR93" i="10"/>
  <c r="BQ93" i="10"/>
  <c r="BO93" i="10"/>
  <c r="BN93" i="10"/>
  <c r="BM93" i="10"/>
  <c r="BL93" i="10"/>
  <c r="BJ93" i="10"/>
  <c r="BI93" i="10"/>
  <c r="BH93" i="10"/>
  <c r="BG93" i="10"/>
  <c r="BE93" i="10"/>
  <c r="BD93" i="10"/>
  <c r="BC93" i="10"/>
  <c r="BB93" i="10"/>
  <c r="AZ93" i="10"/>
  <c r="AY93" i="10"/>
  <c r="AX93" i="10"/>
  <c r="AW93" i="10"/>
  <c r="AU93" i="10"/>
  <c r="AT93" i="10"/>
  <c r="AS93" i="10"/>
  <c r="AR93" i="10"/>
  <c r="AP93" i="10"/>
  <c r="AO93" i="10"/>
  <c r="AN93" i="10"/>
  <c r="AM93" i="10"/>
  <c r="AD93" i="10"/>
  <c r="AC93" i="10"/>
  <c r="AB93" i="10"/>
  <c r="AA93" i="10"/>
  <c r="Z93" i="10"/>
  <c r="Y93" i="10"/>
  <c r="N93" i="10"/>
  <c r="M93" i="10"/>
  <c r="L93" i="10"/>
  <c r="K93" i="10"/>
  <c r="J93" i="10"/>
  <c r="I93" i="10"/>
  <c r="H93" i="10"/>
  <c r="F93" i="10"/>
  <c r="E93" i="10"/>
  <c r="D93" i="10"/>
  <c r="C93" i="10"/>
  <c r="A93" i="10"/>
  <c r="BZ92" i="10"/>
  <c r="BY92" i="10"/>
  <c r="BW92" i="10"/>
  <c r="BV92" i="10"/>
  <c r="BT92" i="10"/>
  <c r="BS92" i="10"/>
  <c r="BR92" i="10"/>
  <c r="BQ92" i="10"/>
  <c r="BO92" i="10"/>
  <c r="BN92" i="10"/>
  <c r="BM92" i="10"/>
  <c r="BL92" i="10"/>
  <c r="BJ92" i="10"/>
  <c r="BI92" i="10"/>
  <c r="BH92" i="10"/>
  <c r="BG92" i="10"/>
  <c r="BE92" i="10"/>
  <c r="BD92" i="10"/>
  <c r="BC92" i="10"/>
  <c r="BB92" i="10"/>
  <c r="AZ92" i="10"/>
  <c r="AY92" i="10"/>
  <c r="AX92" i="10"/>
  <c r="AW92" i="10"/>
  <c r="AU92" i="10"/>
  <c r="AT92" i="10"/>
  <c r="AS92" i="10"/>
  <c r="AR92" i="10"/>
  <c r="AP92" i="10"/>
  <c r="AO92" i="10"/>
  <c r="AN92" i="10"/>
  <c r="AM92" i="10"/>
  <c r="AD92" i="10"/>
  <c r="AC92" i="10"/>
  <c r="AB92" i="10"/>
  <c r="AA92" i="10"/>
  <c r="Z92" i="10"/>
  <c r="Y92" i="10"/>
  <c r="N92" i="10"/>
  <c r="M92" i="10"/>
  <c r="L92" i="10"/>
  <c r="K92" i="10"/>
  <c r="J92" i="10"/>
  <c r="I92" i="10"/>
  <c r="H92" i="10"/>
  <c r="F92" i="10"/>
  <c r="E92" i="10"/>
  <c r="D92" i="10"/>
  <c r="C92" i="10"/>
  <c r="A92" i="10"/>
  <c r="BZ91" i="10"/>
  <c r="BY91" i="10"/>
  <c r="BW91" i="10"/>
  <c r="BV91" i="10"/>
  <c r="BT91" i="10"/>
  <c r="BS91" i="10"/>
  <c r="BR91" i="10"/>
  <c r="BQ91" i="10"/>
  <c r="BO91" i="10"/>
  <c r="BN91" i="10"/>
  <c r="BM91" i="10"/>
  <c r="BL91" i="10"/>
  <c r="BJ91" i="10"/>
  <c r="BI91" i="10"/>
  <c r="BH91" i="10"/>
  <c r="BG91" i="10"/>
  <c r="BE91" i="10"/>
  <c r="BD91" i="10"/>
  <c r="BC91" i="10"/>
  <c r="BB91" i="10"/>
  <c r="AZ91" i="10"/>
  <c r="AY91" i="10"/>
  <c r="AX91" i="10"/>
  <c r="AW91" i="10"/>
  <c r="AU91" i="10"/>
  <c r="AT91" i="10"/>
  <c r="AS91" i="10"/>
  <c r="AR91" i="10"/>
  <c r="AP91" i="10"/>
  <c r="AO91" i="10"/>
  <c r="AN91" i="10"/>
  <c r="AM91" i="10"/>
  <c r="AD91" i="10"/>
  <c r="AC91" i="10"/>
  <c r="AB91" i="10"/>
  <c r="AA91" i="10"/>
  <c r="Z91" i="10"/>
  <c r="Y91" i="10"/>
  <c r="N91" i="10"/>
  <c r="M91" i="10"/>
  <c r="L91" i="10"/>
  <c r="K91" i="10"/>
  <c r="J91" i="10"/>
  <c r="I91" i="10"/>
  <c r="H91" i="10"/>
  <c r="F91" i="10"/>
  <c r="E91" i="10"/>
  <c r="D91" i="10"/>
  <c r="C91" i="10"/>
  <c r="A91" i="10"/>
  <c r="BZ90" i="10"/>
  <c r="BY90" i="10"/>
  <c r="BW90" i="10"/>
  <c r="BV90" i="10"/>
  <c r="BT90" i="10"/>
  <c r="BS90" i="10"/>
  <c r="BR90" i="10"/>
  <c r="BQ90" i="10"/>
  <c r="BO90" i="10"/>
  <c r="BN90" i="10"/>
  <c r="BM90" i="10"/>
  <c r="BL90" i="10"/>
  <c r="BJ90" i="10"/>
  <c r="BI90" i="10"/>
  <c r="BH90" i="10"/>
  <c r="BG90" i="10"/>
  <c r="BE90" i="10"/>
  <c r="BD90" i="10"/>
  <c r="BC90" i="10"/>
  <c r="BB90" i="10"/>
  <c r="AZ90" i="10"/>
  <c r="AY90" i="10"/>
  <c r="AX90" i="10"/>
  <c r="AW90" i="10"/>
  <c r="AU90" i="10"/>
  <c r="AT90" i="10"/>
  <c r="AS90" i="10"/>
  <c r="AR90" i="10"/>
  <c r="AP90" i="10"/>
  <c r="AO90" i="10"/>
  <c r="AN90" i="10"/>
  <c r="AM90" i="10"/>
  <c r="AD90" i="10"/>
  <c r="AC90" i="10"/>
  <c r="AB90" i="10"/>
  <c r="AA90" i="10"/>
  <c r="Z90" i="10"/>
  <c r="Y90" i="10"/>
  <c r="N90" i="10"/>
  <c r="M90" i="10"/>
  <c r="L90" i="10"/>
  <c r="K90" i="10"/>
  <c r="J90" i="10"/>
  <c r="I90" i="10"/>
  <c r="H90" i="10"/>
  <c r="F90" i="10"/>
  <c r="E90" i="10"/>
  <c r="D90" i="10"/>
  <c r="C90" i="10"/>
  <c r="A90" i="10"/>
  <c r="BZ89" i="10"/>
  <c r="BY89" i="10"/>
  <c r="BW89" i="10"/>
  <c r="BV89" i="10"/>
  <c r="BT89" i="10"/>
  <c r="BS89" i="10"/>
  <c r="BR89" i="10"/>
  <c r="BQ89" i="10"/>
  <c r="BO89" i="10"/>
  <c r="BN89" i="10"/>
  <c r="BM89" i="10"/>
  <c r="BL89" i="10"/>
  <c r="BJ89" i="10"/>
  <c r="BI89" i="10"/>
  <c r="BH89" i="10"/>
  <c r="BG89" i="10"/>
  <c r="BE89" i="10"/>
  <c r="BD89" i="10"/>
  <c r="BC89" i="10"/>
  <c r="BB89" i="10"/>
  <c r="AZ89" i="10"/>
  <c r="AY89" i="10"/>
  <c r="AX89" i="10"/>
  <c r="AW89" i="10"/>
  <c r="AU89" i="10"/>
  <c r="AT89" i="10"/>
  <c r="AS89" i="10"/>
  <c r="AR89" i="10"/>
  <c r="AP89" i="10"/>
  <c r="AO89" i="10"/>
  <c r="AN89" i="10"/>
  <c r="AM89" i="10"/>
  <c r="AD89" i="10"/>
  <c r="AC89" i="10"/>
  <c r="AB89" i="10"/>
  <c r="AA89" i="10"/>
  <c r="Z89" i="10"/>
  <c r="Y89" i="10"/>
  <c r="N89" i="10"/>
  <c r="M89" i="10"/>
  <c r="L89" i="10"/>
  <c r="K89" i="10"/>
  <c r="J89" i="10"/>
  <c r="I89" i="10"/>
  <c r="H89" i="10"/>
  <c r="F89" i="10"/>
  <c r="E89" i="10"/>
  <c r="D89" i="10"/>
  <c r="C89" i="10"/>
  <c r="A89" i="10"/>
  <c r="BZ88" i="10"/>
  <c r="BY88" i="10"/>
  <c r="BW88" i="10"/>
  <c r="BV88" i="10"/>
  <c r="BT88" i="10"/>
  <c r="BS88" i="10"/>
  <c r="BR88" i="10"/>
  <c r="BQ88" i="10"/>
  <c r="BO88" i="10"/>
  <c r="BN88" i="10"/>
  <c r="BM88" i="10"/>
  <c r="BL88" i="10"/>
  <c r="BJ88" i="10"/>
  <c r="BI88" i="10"/>
  <c r="BH88" i="10"/>
  <c r="BG88" i="10"/>
  <c r="BE88" i="10"/>
  <c r="BD88" i="10"/>
  <c r="BC88" i="10"/>
  <c r="BB88" i="10"/>
  <c r="AZ88" i="10"/>
  <c r="AY88" i="10"/>
  <c r="AX88" i="10"/>
  <c r="AW88" i="10"/>
  <c r="AU88" i="10"/>
  <c r="AT88" i="10"/>
  <c r="AS88" i="10"/>
  <c r="AR88" i="10"/>
  <c r="AP88" i="10"/>
  <c r="AO88" i="10"/>
  <c r="AN88" i="10"/>
  <c r="AM88" i="10"/>
  <c r="AD88" i="10"/>
  <c r="AC88" i="10"/>
  <c r="AB88" i="10"/>
  <c r="AA88" i="10"/>
  <c r="Z88" i="10"/>
  <c r="Y88" i="10"/>
  <c r="N88" i="10"/>
  <c r="M88" i="10"/>
  <c r="L88" i="10"/>
  <c r="K88" i="10"/>
  <c r="J88" i="10"/>
  <c r="I88" i="10"/>
  <c r="H88" i="10"/>
  <c r="F88" i="10"/>
  <c r="E88" i="10"/>
  <c r="D88" i="10"/>
  <c r="C88" i="10"/>
  <c r="A88" i="10"/>
  <c r="BZ87" i="10"/>
  <c r="BY87" i="10"/>
  <c r="BW87" i="10"/>
  <c r="BV87" i="10"/>
  <c r="BT87" i="10"/>
  <c r="BS87" i="10"/>
  <c r="BR87" i="10"/>
  <c r="BQ87" i="10"/>
  <c r="BO87" i="10"/>
  <c r="BN87" i="10"/>
  <c r="BM87" i="10"/>
  <c r="BL87" i="10"/>
  <c r="BJ87" i="10"/>
  <c r="BI87" i="10"/>
  <c r="BH87" i="10"/>
  <c r="BG87" i="10"/>
  <c r="BE87" i="10"/>
  <c r="BD87" i="10"/>
  <c r="BC87" i="10"/>
  <c r="BB87" i="10"/>
  <c r="AZ87" i="10"/>
  <c r="AY87" i="10"/>
  <c r="AX87" i="10"/>
  <c r="AW87" i="10"/>
  <c r="AU87" i="10"/>
  <c r="AT87" i="10"/>
  <c r="AS87" i="10"/>
  <c r="AR87" i="10"/>
  <c r="AP87" i="10"/>
  <c r="AO87" i="10"/>
  <c r="AN87" i="10"/>
  <c r="AM87" i="10"/>
  <c r="AD87" i="10"/>
  <c r="AC87" i="10"/>
  <c r="AB87" i="10"/>
  <c r="AA87" i="10"/>
  <c r="Z87" i="10"/>
  <c r="Y87" i="10"/>
  <c r="N87" i="10"/>
  <c r="M87" i="10"/>
  <c r="L87" i="10"/>
  <c r="K87" i="10"/>
  <c r="J87" i="10"/>
  <c r="I87" i="10"/>
  <c r="H87" i="10"/>
  <c r="F87" i="10"/>
  <c r="E87" i="10"/>
  <c r="D87" i="10"/>
  <c r="C87" i="10"/>
  <c r="A87" i="10"/>
  <c r="BZ86" i="10"/>
  <c r="BY86" i="10"/>
  <c r="BW86" i="10"/>
  <c r="BV86" i="10"/>
  <c r="BT86" i="10"/>
  <c r="BS86" i="10"/>
  <c r="BR86" i="10"/>
  <c r="BQ86" i="10"/>
  <c r="BO86" i="10"/>
  <c r="BN86" i="10"/>
  <c r="BM86" i="10"/>
  <c r="BL86" i="10"/>
  <c r="BJ86" i="10"/>
  <c r="BI86" i="10"/>
  <c r="BH86" i="10"/>
  <c r="BG86" i="10"/>
  <c r="BE86" i="10"/>
  <c r="BD86" i="10"/>
  <c r="BC86" i="10"/>
  <c r="BB86" i="10"/>
  <c r="AZ86" i="10"/>
  <c r="AY86" i="10"/>
  <c r="AX86" i="10"/>
  <c r="AW86" i="10"/>
  <c r="AU86" i="10"/>
  <c r="AT86" i="10"/>
  <c r="AS86" i="10"/>
  <c r="AR86" i="10"/>
  <c r="AP86" i="10"/>
  <c r="AO86" i="10"/>
  <c r="AN86" i="10"/>
  <c r="AM86" i="10"/>
  <c r="AD86" i="10"/>
  <c r="AC86" i="10"/>
  <c r="AB86" i="10"/>
  <c r="AA86" i="10"/>
  <c r="Z86" i="10"/>
  <c r="Y86" i="10"/>
  <c r="N86" i="10"/>
  <c r="M86" i="10"/>
  <c r="L86" i="10"/>
  <c r="K86" i="10"/>
  <c r="J86" i="10"/>
  <c r="I86" i="10"/>
  <c r="H86" i="10"/>
  <c r="F86" i="10"/>
  <c r="E86" i="10"/>
  <c r="D86" i="10"/>
  <c r="C86" i="10"/>
  <c r="A86" i="10"/>
  <c r="BZ85" i="10"/>
  <c r="BY85" i="10"/>
  <c r="BW85" i="10"/>
  <c r="BV85" i="10"/>
  <c r="BT85" i="10"/>
  <c r="BS85" i="10"/>
  <c r="BR85" i="10"/>
  <c r="BQ85" i="10"/>
  <c r="BO85" i="10"/>
  <c r="BN85" i="10"/>
  <c r="BM85" i="10"/>
  <c r="BL85" i="10"/>
  <c r="BJ85" i="10"/>
  <c r="BI85" i="10"/>
  <c r="BH85" i="10"/>
  <c r="BG85" i="10"/>
  <c r="BE85" i="10"/>
  <c r="BD85" i="10"/>
  <c r="BC85" i="10"/>
  <c r="BB85" i="10"/>
  <c r="AZ85" i="10"/>
  <c r="AY85" i="10"/>
  <c r="AX85" i="10"/>
  <c r="AW85" i="10"/>
  <c r="AU85" i="10"/>
  <c r="AT85" i="10"/>
  <c r="AS85" i="10"/>
  <c r="AR85" i="10"/>
  <c r="AP85" i="10"/>
  <c r="AO85" i="10"/>
  <c r="AN85" i="10"/>
  <c r="AM85" i="10"/>
  <c r="AD85" i="10"/>
  <c r="AC85" i="10"/>
  <c r="AB85" i="10"/>
  <c r="AA85" i="10"/>
  <c r="Z85" i="10"/>
  <c r="Y85" i="10"/>
  <c r="N85" i="10"/>
  <c r="M85" i="10"/>
  <c r="L85" i="10"/>
  <c r="K85" i="10"/>
  <c r="J85" i="10"/>
  <c r="I85" i="10"/>
  <c r="H85" i="10"/>
  <c r="F85" i="10"/>
  <c r="E85" i="10"/>
  <c r="D85" i="10"/>
  <c r="C85" i="10"/>
  <c r="A85" i="10"/>
  <c r="BZ84" i="10"/>
  <c r="BY84" i="10"/>
  <c r="BW84" i="10"/>
  <c r="BV84" i="10"/>
  <c r="BT84" i="10"/>
  <c r="BS84" i="10"/>
  <c r="BR84" i="10"/>
  <c r="BQ84" i="10"/>
  <c r="BO84" i="10"/>
  <c r="BN84" i="10"/>
  <c r="BM84" i="10"/>
  <c r="BL84" i="10"/>
  <c r="BJ84" i="10"/>
  <c r="BI84" i="10"/>
  <c r="BH84" i="10"/>
  <c r="BG84" i="10"/>
  <c r="BE84" i="10"/>
  <c r="BD84" i="10"/>
  <c r="BC84" i="10"/>
  <c r="BB84" i="10"/>
  <c r="AZ84" i="10"/>
  <c r="AY84" i="10"/>
  <c r="AX84" i="10"/>
  <c r="AW84" i="10"/>
  <c r="AU84" i="10"/>
  <c r="AT84" i="10"/>
  <c r="AS84" i="10"/>
  <c r="AR84" i="10"/>
  <c r="AP84" i="10"/>
  <c r="AO84" i="10"/>
  <c r="AN84" i="10"/>
  <c r="AM84" i="10"/>
  <c r="AD84" i="10"/>
  <c r="AC84" i="10"/>
  <c r="AB84" i="10"/>
  <c r="AA84" i="10"/>
  <c r="Z84" i="10"/>
  <c r="Y84" i="10"/>
  <c r="N84" i="10"/>
  <c r="M84" i="10"/>
  <c r="L84" i="10"/>
  <c r="K84" i="10"/>
  <c r="J84" i="10"/>
  <c r="I84" i="10"/>
  <c r="H84" i="10"/>
  <c r="F84" i="10"/>
  <c r="E84" i="10"/>
  <c r="D84" i="10"/>
  <c r="C84" i="10"/>
  <c r="A84" i="10"/>
  <c r="BZ83" i="10"/>
  <c r="BY83" i="10"/>
  <c r="BW83" i="10"/>
  <c r="BV83" i="10"/>
  <c r="BT83" i="10"/>
  <c r="BS83" i="10"/>
  <c r="BR83" i="10"/>
  <c r="BQ83" i="10"/>
  <c r="BO83" i="10"/>
  <c r="BN83" i="10"/>
  <c r="BM83" i="10"/>
  <c r="BL83" i="10"/>
  <c r="BJ83" i="10"/>
  <c r="BI83" i="10"/>
  <c r="BH83" i="10"/>
  <c r="BG83" i="10"/>
  <c r="BE83" i="10"/>
  <c r="BD83" i="10"/>
  <c r="BC83" i="10"/>
  <c r="BB83" i="10"/>
  <c r="AZ83" i="10"/>
  <c r="AY83" i="10"/>
  <c r="AX83" i="10"/>
  <c r="AW83" i="10"/>
  <c r="AU83" i="10"/>
  <c r="AT83" i="10"/>
  <c r="AS83" i="10"/>
  <c r="AR83" i="10"/>
  <c r="AP83" i="10"/>
  <c r="AO83" i="10"/>
  <c r="AN83" i="10"/>
  <c r="AM83" i="10"/>
  <c r="AD83" i="10"/>
  <c r="AC83" i="10"/>
  <c r="AB83" i="10"/>
  <c r="AA83" i="10"/>
  <c r="Z83" i="10"/>
  <c r="Y83" i="10"/>
  <c r="N83" i="10"/>
  <c r="M83" i="10"/>
  <c r="L83" i="10"/>
  <c r="K83" i="10"/>
  <c r="J83" i="10"/>
  <c r="I83" i="10"/>
  <c r="H83" i="10"/>
  <c r="F83" i="10"/>
  <c r="E83" i="10"/>
  <c r="D83" i="10"/>
  <c r="C83" i="10"/>
  <c r="A83" i="10"/>
  <c r="BZ82" i="10"/>
  <c r="BY82" i="10"/>
  <c r="BW82" i="10"/>
  <c r="BV82" i="10"/>
  <c r="BT82" i="10"/>
  <c r="BS82" i="10"/>
  <c r="BR82" i="10"/>
  <c r="BQ82" i="10"/>
  <c r="BO82" i="10"/>
  <c r="BN82" i="10"/>
  <c r="BM82" i="10"/>
  <c r="BL82" i="10"/>
  <c r="BJ82" i="10"/>
  <c r="BI82" i="10"/>
  <c r="BH82" i="10"/>
  <c r="BG82" i="10"/>
  <c r="BE82" i="10"/>
  <c r="BD82" i="10"/>
  <c r="BC82" i="10"/>
  <c r="BB82" i="10"/>
  <c r="AZ82" i="10"/>
  <c r="AY82" i="10"/>
  <c r="AX82" i="10"/>
  <c r="AW82" i="10"/>
  <c r="AU82" i="10"/>
  <c r="AT82" i="10"/>
  <c r="AS82" i="10"/>
  <c r="AR82" i="10"/>
  <c r="AP82" i="10"/>
  <c r="AO82" i="10"/>
  <c r="AN82" i="10"/>
  <c r="AM82" i="10"/>
  <c r="AD82" i="10"/>
  <c r="AC82" i="10"/>
  <c r="AB82" i="10"/>
  <c r="AA82" i="10"/>
  <c r="Z82" i="10"/>
  <c r="Y82" i="10"/>
  <c r="N82" i="10"/>
  <c r="M82" i="10"/>
  <c r="L82" i="10"/>
  <c r="K82" i="10"/>
  <c r="J82" i="10"/>
  <c r="I82" i="10"/>
  <c r="H82" i="10"/>
  <c r="F82" i="10"/>
  <c r="E82" i="10"/>
  <c r="D82" i="10"/>
  <c r="C82" i="10"/>
  <c r="A82" i="10"/>
  <c r="BZ81" i="10"/>
  <c r="BY81" i="10"/>
  <c r="BW81" i="10"/>
  <c r="BV81" i="10"/>
  <c r="BT81" i="10"/>
  <c r="BS81" i="10"/>
  <c r="BR81" i="10"/>
  <c r="BQ81" i="10"/>
  <c r="BO81" i="10"/>
  <c r="BN81" i="10"/>
  <c r="BM81" i="10"/>
  <c r="BL81" i="10"/>
  <c r="BJ81" i="10"/>
  <c r="BI81" i="10"/>
  <c r="BH81" i="10"/>
  <c r="BG81" i="10"/>
  <c r="BE81" i="10"/>
  <c r="BD81" i="10"/>
  <c r="BC81" i="10"/>
  <c r="BB81" i="10"/>
  <c r="AZ81" i="10"/>
  <c r="AY81" i="10"/>
  <c r="AX81" i="10"/>
  <c r="AW81" i="10"/>
  <c r="AU81" i="10"/>
  <c r="AT81" i="10"/>
  <c r="AS81" i="10"/>
  <c r="AR81" i="10"/>
  <c r="AP81" i="10"/>
  <c r="AO81" i="10"/>
  <c r="AN81" i="10"/>
  <c r="AM81" i="10"/>
  <c r="AD81" i="10"/>
  <c r="AC81" i="10"/>
  <c r="AB81" i="10"/>
  <c r="AA81" i="10"/>
  <c r="Z81" i="10"/>
  <c r="Y81" i="10"/>
  <c r="N81" i="10"/>
  <c r="M81" i="10"/>
  <c r="L81" i="10"/>
  <c r="K81" i="10"/>
  <c r="J81" i="10"/>
  <c r="I81" i="10"/>
  <c r="H81" i="10"/>
  <c r="F81" i="10"/>
  <c r="E81" i="10"/>
  <c r="D81" i="10"/>
  <c r="C81" i="10"/>
  <c r="A81" i="10"/>
  <c r="BZ80" i="10"/>
  <c r="BY80" i="10"/>
  <c r="BW80" i="10"/>
  <c r="BV80" i="10"/>
  <c r="BT80" i="10"/>
  <c r="BS80" i="10"/>
  <c r="BR80" i="10"/>
  <c r="BQ80" i="10"/>
  <c r="BO80" i="10"/>
  <c r="BN80" i="10"/>
  <c r="BM80" i="10"/>
  <c r="BL80" i="10"/>
  <c r="BJ80" i="10"/>
  <c r="BI80" i="10"/>
  <c r="BH80" i="10"/>
  <c r="BG80" i="10"/>
  <c r="BE80" i="10"/>
  <c r="BD80" i="10"/>
  <c r="BC80" i="10"/>
  <c r="BB80" i="10"/>
  <c r="AZ80" i="10"/>
  <c r="AY80" i="10"/>
  <c r="AX80" i="10"/>
  <c r="AW80" i="10"/>
  <c r="AU80" i="10"/>
  <c r="AT80" i="10"/>
  <c r="AS80" i="10"/>
  <c r="AR80" i="10"/>
  <c r="AP80" i="10"/>
  <c r="AO80" i="10"/>
  <c r="AN80" i="10"/>
  <c r="AM80" i="10"/>
  <c r="AD80" i="10"/>
  <c r="AC80" i="10"/>
  <c r="AB80" i="10"/>
  <c r="AA80" i="10"/>
  <c r="Z80" i="10"/>
  <c r="Y80" i="10"/>
  <c r="N80" i="10"/>
  <c r="M80" i="10"/>
  <c r="L80" i="10"/>
  <c r="K80" i="10"/>
  <c r="J80" i="10"/>
  <c r="I80" i="10"/>
  <c r="H80" i="10"/>
  <c r="F80" i="10"/>
  <c r="E80" i="10"/>
  <c r="D80" i="10"/>
  <c r="C80" i="10"/>
  <c r="A80" i="10"/>
  <c r="BZ79" i="10"/>
  <c r="BY79" i="10"/>
  <c r="BW79" i="10"/>
  <c r="BV79" i="10"/>
  <c r="BT79" i="10"/>
  <c r="BS79" i="10"/>
  <c r="BR79" i="10"/>
  <c r="BQ79" i="10"/>
  <c r="BO79" i="10"/>
  <c r="BN79" i="10"/>
  <c r="BM79" i="10"/>
  <c r="BL79" i="10"/>
  <c r="BJ79" i="10"/>
  <c r="BI79" i="10"/>
  <c r="BH79" i="10"/>
  <c r="BG79" i="10"/>
  <c r="BE79" i="10"/>
  <c r="BD79" i="10"/>
  <c r="BC79" i="10"/>
  <c r="BB79" i="10"/>
  <c r="AZ79" i="10"/>
  <c r="AY79" i="10"/>
  <c r="AX79" i="10"/>
  <c r="AW79" i="10"/>
  <c r="AU79" i="10"/>
  <c r="AT79" i="10"/>
  <c r="AS79" i="10"/>
  <c r="AR79" i="10"/>
  <c r="AP79" i="10"/>
  <c r="AO79" i="10"/>
  <c r="AN79" i="10"/>
  <c r="AM79" i="10"/>
  <c r="AD79" i="10"/>
  <c r="AC79" i="10"/>
  <c r="AB79" i="10"/>
  <c r="AA79" i="10"/>
  <c r="Z79" i="10"/>
  <c r="Y79" i="10"/>
  <c r="N79" i="10"/>
  <c r="M79" i="10"/>
  <c r="L79" i="10"/>
  <c r="K79" i="10"/>
  <c r="J79" i="10"/>
  <c r="I79" i="10"/>
  <c r="H79" i="10"/>
  <c r="F79" i="10"/>
  <c r="E79" i="10"/>
  <c r="D79" i="10"/>
  <c r="C79" i="10"/>
  <c r="A79" i="10"/>
  <c r="BZ78" i="10"/>
  <c r="BY78" i="10"/>
  <c r="BW78" i="10"/>
  <c r="BV78" i="10"/>
  <c r="BT78" i="10"/>
  <c r="BS78" i="10"/>
  <c r="BR78" i="10"/>
  <c r="BQ78" i="10"/>
  <c r="BO78" i="10"/>
  <c r="BN78" i="10"/>
  <c r="BM78" i="10"/>
  <c r="BL78" i="10"/>
  <c r="BJ78" i="10"/>
  <c r="BI78" i="10"/>
  <c r="BH78" i="10"/>
  <c r="BG78" i="10"/>
  <c r="BE78" i="10"/>
  <c r="BD78" i="10"/>
  <c r="BC78" i="10"/>
  <c r="BB78" i="10"/>
  <c r="AZ78" i="10"/>
  <c r="AY78" i="10"/>
  <c r="AX78" i="10"/>
  <c r="AW78" i="10"/>
  <c r="AU78" i="10"/>
  <c r="AT78" i="10"/>
  <c r="AS78" i="10"/>
  <c r="AR78" i="10"/>
  <c r="AP78" i="10"/>
  <c r="AO78" i="10"/>
  <c r="AN78" i="10"/>
  <c r="AM78" i="10"/>
  <c r="AD78" i="10"/>
  <c r="AC78" i="10"/>
  <c r="AB78" i="10"/>
  <c r="AA78" i="10"/>
  <c r="Z78" i="10"/>
  <c r="Y78" i="10"/>
  <c r="N78" i="10"/>
  <c r="M78" i="10"/>
  <c r="L78" i="10"/>
  <c r="K78" i="10"/>
  <c r="J78" i="10"/>
  <c r="I78" i="10"/>
  <c r="H78" i="10"/>
  <c r="F78" i="10"/>
  <c r="E78" i="10"/>
  <c r="D78" i="10"/>
  <c r="C78" i="10"/>
  <c r="A78" i="10"/>
  <c r="BZ77" i="10"/>
  <c r="BY77" i="10"/>
  <c r="BW77" i="10"/>
  <c r="BV77" i="10"/>
  <c r="BT77" i="10"/>
  <c r="BS77" i="10"/>
  <c r="BR77" i="10"/>
  <c r="BQ77" i="10"/>
  <c r="BO77" i="10"/>
  <c r="BN77" i="10"/>
  <c r="BM77" i="10"/>
  <c r="BL77" i="10"/>
  <c r="BJ77" i="10"/>
  <c r="BI77" i="10"/>
  <c r="BH77" i="10"/>
  <c r="BG77" i="10"/>
  <c r="BE77" i="10"/>
  <c r="BD77" i="10"/>
  <c r="BC77" i="10"/>
  <c r="BB77" i="10"/>
  <c r="AZ77" i="10"/>
  <c r="AY77" i="10"/>
  <c r="AX77" i="10"/>
  <c r="AW77" i="10"/>
  <c r="AU77" i="10"/>
  <c r="AT77" i="10"/>
  <c r="AS77" i="10"/>
  <c r="AR77" i="10"/>
  <c r="AP77" i="10"/>
  <c r="AO77" i="10"/>
  <c r="AN77" i="10"/>
  <c r="AM77" i="10"/>
  <c r="AD77" i="10"/>
  <c r="AC77" i="10"/>
  <c r="AB77" i="10"/>
  <c r="AA77" i="10"/>
  <c r="Z77" i="10"/>
  <c r="Y77" i="10"/>
  <c r="N77" i="10"/>
  <c r="M77" i="10"/>
  <c r="L77" i="10"/>
  <c r="K77" i="10"/>
  <c r="J77" i="10"/>
  <c r="I77" i="10"/>
  <c r="H77" i="10"/>
  <c r="F77" i="10"/>
  <c r="E77" i="10"/>
  <c r="D77" i="10"/>
  <c r="C77" i="10"/>
  <c r="A77" i="10"/>
  <c r="BZ76" i="10"/>
  <c r="BY76" i="10"/>
  <c r="BW76" i="10"/>
  <c r="BV76" i="10"/>
  <c r="BT76" i="10"/>
  <c r="BS76" i="10"/>
  <c r="BR76" i="10"/>
  <c r="BQ76" i="10"/>
  <c r="BO76" i="10"/>
  <c r="BN76" i="10"/>
  <c r="BM76" i="10"/>
  <c r="BL76" i="10"/>
  <c r="BJ76" i="10"/>
  <c r="BI76" i="10"/>
  <c r="BH76" i="10"/>
  <c r="BG76" i="10"/>
  <c r="BE76" i="10"/>
  <c r="BD76" i="10"/>
  <c r="BC76" i="10"/>
  <c r="BB76" i="10"/>
  <c r="AZ76" i="10"/>
  <c r="AY76" i="10"/>
  <c r="AX76" i="10"/>
  <c r="AW76" i="10"/>
  <c r="AU76" i="10"/>
  <c r="AT76" i="10"/>
  <c r="AS76" i="10"/>
  <c r="AR76" i="10"/>
  <c r="AP76" i="10"/>
  <c r="AO76" i="10"/>
  <c r="AN76" i="10"/>
  <c r="AM76" i="10"/>
  <c r="AD76" i="10"/>
  <c r="AC76" i="10"/>
  <c r="AB76" i="10"/>
  <c r="AA76" i="10"/>
  <c r="Z76" i="10"/>
  <c r="Y76" i="10"/>
  <c r="N76" i="10"/>
  <c r="M76" i="10"/>
  <c r="L76" i="10"/>
  <c r="K76" i="10"/>
  <c r="J76" i="10"/>
  <c r="I76" i="10"/>
  <c r="H76" i="10"/>
  <c r="F76" i="10"/>
  <c r="E76" i="10"/>
  <c r="D76" i="10"/>
  <c r="C76" i="10"/>
  <c r="A76" i="10"/>
  <c r="BZ75" i="10"/>
  <c r="BY75" i="10"/>
  <c r="BW75" i="10"/>
  <c r="BV75" i="10"/>
  <c r="BT75" i="10"/>
  <c r="BS75" i="10"/>
  <c r="BR75" i="10"/>
  <c r="BQ75" i="10"/>
  <c r="BO75" i="10"/>
  <c r="BN75" i="10"/>
  <c r="BM75" i="10"/>
  <c r="BL75" i="10"/>
  <c r="BJ75" i="10"/>
  <c r="BI75" i="10"/>
  <c r="BH75" i="10"/>
  <c r="BG75" i="10"/>
  <c r="BE75" i="10"/>
  <c r="BD75" i="10"/>
  <c r="BC75" i="10"/>
  <c r="BB75" i="10"/>
  <c r="AZ75" i="10"/>
  <c r="AY75" i="10"/>
  <c r="AX75" i="10"/>
  <c r="AW75" i="10"/>
  <c r="AU75" i="10"/>
  <c r="AT75" i="10"/>
  <c r="AS75" i="10"/>
  <c r="AR75" i="10"/>
  <c r="AP75" i="10"/>
  <c r="AO75" i="10"/>
  <c r="AN75" i="10"/>
  <c r="AM75" i="10"/>
  <c r="AD75" i="10"/>
  <c r="AC75" i="10"/>
  <c r="AB75" i="10"/>
  <c r="AA75" i="10"/>
  <c r="Z75" i="10"/>
  <c r="Y75" i="10"/>
  <c r="N75" i="10"/>
  <c r="M75" i="10"/>
  <c r="L75" i="10"/>
  <c r="K75" i="10"/>
  <c r="J75" i="10"/>
  <c r="I75" i="10"/>
  <c r="H75" i="10"/>
  <c r="F75" i="10"/>
  <c r="E75" i="10"/>
  <c r="D75" i="10"/>
  <c r="C75" i="10"/>
  <c r="A75" i="10"/>
  <c r="BZ74" i="10"/>
  <c r="BY74" i="10"/>
  <c r="BW74" i="10"/>
  <c r="BV74" i="10"/>
  <c r="BT74" i="10"/>
  <c r="BS74" i="10"/>
  <c r="BR74" i="10"/>
  <c r="BQ74" i="10"/>
  <c r="BO74" i="10"/>
  <c r="BN74" i="10"/>
  <c r="BM74" i="10"/>
  <c r="BL74" i="10"/>
  <c r="BJ74" i="10"/>
  <c r="BI74" i="10"/>
  <c r="BH74" i="10"/>
  <c r="BG74" i="10"/>
  <c r="BE74" i="10"/>
  <c r="BD74" i="10"/>
  <c r="BC74" i="10"/>
  <c r="BB74" i="10"/>
  <c r="AZ74" i="10"/>
  <c r="AY74" i="10"/>
  <c r="AX74" i="10"/>
  <c r="AW74" i="10"/>
  <c r="AU74" i="10"/>
  <c r="AT74" i="10"/>
  <c r="AS74" i="10"/>
  <c r="AR74" i="10"/>
  <c r="AP74" i="10"/>
  <c r="AO74" i="10"/>
  <c r="AN74" i="10"/>
  <c r="AM74" i="10"/>
  <c r="AD74" i="10"/>
  <c r="AC74" i="10"/>
  <c r="AB74" i="10"/>
  <c r="AA74" i="10"/>
  <c r="Z74" i="10"/>
  <c r="Y74" i="10"/>
  <c r="N74" i="10"/>
  <c r="M74" i="10"/>
  <c r="L74" i="10"/>
  <c r="K74" i="10"/>
  <c r="J74" i="10"/>
  <c r="I74" i="10"/>
  <c r="H74" i="10"/>
  <c r="F74" i="10"/>
  <c r="E74" i="10"/>
  <c r="D74" i="10"/>
  <c r="C74" i="10"/>
  <c r="A74" i="10"/>
  <c r="BZ73" i="10"/>
  <c r="BY73" i="10"/>
  <c r="BW73" i="10"/>
  <c r="BV73" i="10"/>
  <c r="BT73" i="10"/>
  <c r="BS73" i="10"/>
  <c r="BR73" i="10"/>
  <c r="BQ73" i="10"/>
  <c r="BO73" i="10"/>
  <c r="BN73" i="10"/>
  <c r="BM73" i="10"/>
  <c r="BL73" i="10"/>
  <c r="BJ73" i="10"/>
  <c r="BI73" i="10"/>
  <c r="BH73" i="10"/>
  <c r="BG73" i="10"/>
  <c r="BE73" i="10"/>
  <c r="BD73" i="10"/>
  <c r="BC73" i="10"/>
  <c r="BB73" i="10"/>
  <c r="AZ73" i="10"/>
  <c r="AY73" i="10"/>
  <c r="AX73" i="10"/>
  <c r="AW73" i="10"/>
  <c r="AU73" i="10"/>
  <c r="AT73" i="10"/>
  <c r="AS73" i="10"/>
  <c r="AR73" i="10"/>
  <c r="AP73" i="10"/>
  <c r="AO73" i="10"/>
  <c r="AN73" i="10"/>
  <c r="AM73" i="10"/>
  <c r="AD73" i="10"/>
  <c r="AC73" i="10"/>
  <c r="AB73" i="10"/>
  <c r="AA73" i="10"/>
  <c r="Z73" i="10"/>
  <c r="Y73" i="10"/>
  <c r="N73" i="10"/>
  <c r="M73" i="10"/>
  <c r="L73" i="10"/>
  <c r="K73" i="10"/>
  <c r="J73" i="10"/>
  <c r="I73" i="10"/>
  <c r="H73" i="10"/>
  <c r="F73" i="10"/>
  <c r="E73" i="10"/>
  <c r="D73" i="10"/>
  <c r="C73" i="10"/>
  <c r="A73" i="10"/>
  <c r="BZ72" i="10"/>
  <c r="BY72" i="10"/>
  <c r="BW72" i="10"/>
  <c r="BV72" i="10"/>
  <c r="BT72" i="10"/>
  <c r="BS72" i="10"/>
  <c r="BR72" i="10"/>
  <c r="BQ72" i="10"/>
  <c r="BO72" i="10"/>
  <c r="BN72" i="10"/>
  <c r="BM72" i="10"/>
  <c r="BL72" i="10"/>
  <c r="BJ72" i="10"/>
  <c r="BI72" i="10"/>
  <c r="BH72" i="10"/>
  <c r="BG72" i="10"/>
  <c r="BE72" i="10"/>
  <c r="BD72" i="10"/>
  <c r="BC72" i="10"/>
  <c r="BB72" i="10"/>
  <c r="AZ72" i="10"/>
  <c r="AY72" i="10"/>
  <c r="AX72" i="10"/>
  <c r="AW72" i="10"/>
  <c r="AU72" i="10"/>
  <c r="AT72" i="10"/>
  <c r="AS72" i="10"/>
  <c r="AR72" i="10"/>
  <c r="AP72" i="10"/>
  <c r="AO72" i="10"/>
  <c r="AN72" i="10"/>
  <c r="AM72" i="10"/>
  <c r="AD72" i="10"/>
  <c r="AC72" i="10"/>
  <c r="AB72" i="10"/>
  <c r="AA72" i="10"/>
  <c r="Z72" i="10"/>
  <c r="Y72" i="10"/>
  <c r="N72" i="10"/>
  <c r="M72" i="10"/>
  <c r="L72" i="10"/>
  <c r="K72" i="10"/>
  <c r="J72" i="10"/>
  <c r="I72" i="10"/>
  <c r="H72" i="10"/>
  <c r="F72" i="10"/>
  <c r="E72" i="10"/>
  <c r="D72" i="10"/>
  <c r="C72" i="10"/>
  <c r="A72" i="10"/>
  <c r="BZ71" i="10"/>
  <c r="BY71" i="10"/>
  <c r="BW71" i="10"/>
  <c r="BV71" i="10"/>
  <c r="BT71" i="10"/>
  <c r="BS71" i="10"/>
  <c r="BR71" i="10"/>
  <c r="BQ71" i="10"/>
  <c r="BO71" i="10"/>
  <c r="BN71" i="10"/>
  <c r="BM71" i="10"/>
  <c r="BL71" i="10"/>
  <c r="BJ71" i="10"/>
  <c r="BI71" i="10"/>
  <c r="BH71" i="10"/>
  <c r="BG71" i="10"/>
  <c r="BE71" i="10"/>
  <c r="BD71" i="10"/>
  <c r="BC71" i="10"/>
  <c r="BB71" i="10"/>
  <c r="AZ71" i="10"/>
  <c r="AY71" i="10"/>
  <c r="AX71" i="10"/>
  <c r="AW71" i="10"/>
  <c r="AU71" i="10"/>
  <c r="AT71" i="10"/>
  <c r="AS71" i="10"/>
  <c r="AR71" i="10"/>
  <c r="AP71" i="10"/>
  <c r="AO71" i="10"/>
  <c r="AN71" i="10"/>
  <c r="AM71" i="10"/>
  <c r="AD71" i="10"/>
  <c r="AC71" i="10"/>
  <c r="AB71" i="10"/>
  <c r="AA71" i="10"/>
  <c r="Z71" i="10"/>
  <c r="Y71" i="10"/>
  <c r="N71" i="10"/>
  <c r="M71" i="10"/>
  <c r="L71" i="10"/>
  <c r="K71" i="10"/>
  <c r="J71" i="10"/>
  <c r="I71" i="10"/>
  <c r="H71" i="10"/>
  <c r="F71" i="10"/>
  <c r="E71" i="10"/>
  <c r="D71" i="10"/>
  <c r="C71" i="10"/>
  <c r="A71" i="10"/>
  <c r="BZ70" i="10"/>
  <c r="BY70" i="10"/>
  <c r="BW70" i="10"/>
  <c r="BV70" i="10"/>
  <c r="BT70" i="10"/>
  <c r="BS70" i="10"/>
  <c r="BR70" i="10"/>
  <c r="BQ70" i="10"/>
  <c r="BO70" i="10"/>
  <c r="BN70" i="10"/>
  <c r="BM70" i="10"/>
  <c r="BL70" i="10"/>
  <c r="BJ70" i="10"/>
  <c r="BI70" i="10"/>
  <c r="BH70" i="10"/>
  <c r="BG70" i="10"/>
  <c r="BE70" i="10"/>
  <c r="BD70" i="10"/>
  <c r="BC70" i="10"/>
  <c r="BB70" i="10"/>
  <c r="AZ70" i="10"/>
  <c r="AY70" i="10"/>
  <c r="AX70" i="10"/>
  <c r="AW70" i="10"/>
  <c r="AU70" i="10"/>
  <c r="AT70" i="10"/>
  <c r="AS70" i="10"/>
  <c r="AR70" i="10"/>
  <c r="AP70" i="10"/>
  <c r="AO70" i="10"/>
  <c r="AN70" i="10"/>
  <c r="AM70" i="10"/>
  <c r="AD70" i="10"/>
  <c r="AC70" i="10"/>
  <c r="AB70" i="10"/>
  <c r="AA70" i="10"/>
  <c r="Z70" i="10"/>
  <c r="Y70" i="10"/>
  <c r="N70" i="10"/>
  <c r="M70" i="10"/>
  <c r="L70" i="10"/>
  <c r="K70" i="10"/>
  <c r="J70" i="10"/>
  <c r="I70" i="10"/>
  <c r="H70" i="10"/>
  <c r="F70" i="10"/>
  <c r="E70" i="10"/>
  <c r="D70" i="10"/>
  <c r="C70" i="10"/>
  <c r="A70" i="10"/>
  <c r="BZ69" i="10"/>
  <c r="BY69" i="10"/>
  <c r="BW69" i="10"/>
  <c r="BV69" i="10"/>
  <c r="BT69" i="10"/>
  <c r="BS69" i="10"/>
  <c r="BR69" i="10"/>
  <c r="BQ69" i="10"/>
  <c r="BO69" i="10"/>
  <c r="BN69" i="10"/>
  <c r="BM69" i="10"/>
  <c r="BL69" i="10"/>
  <c r="BJ69" i="10"/>
  <c r="BI69" i="10"/>
  <c r="BH69" i="10"/>
  <c r="BG69" i="10"/>
  <c r="BE69" i="10"/>
  <c r="BD69" i="10"/>
  <c r="BC69" i="10"/>
  <c r="BB69" i="10"/>
  <c r="AZ69" i="10"/>
  <c r="AY69" i="10"/>
  <c r="AX69" i="10"/>
  <c r="AW69" i="10"/>
  <c r="AU69" i="10"/>
  <c r="AT69" i="10"/>
  <c r="AS69" i="10"/>
  <c r="AR69" i="10"/>
  <c r="AP69" i="10"/>
  <c r="AO69" i="10"/>
  <c r="AN69" i="10"/>
  <c r="AM69" i="10"/>
  <c r="AD69" i="10"/>
  <c r="AC69" i="10"/>
  <c r="AB69" i="10"/>
  <c r="AA69" i="10"/>
  <c r="Z69" i="10"/>
  <c r="Y69" i="10"/>
  <c r="N69" i="10"/>
  <c r="M69" i="10"/>
  <c r="L69" i="10"/>
  <c r="K69" i="10"/>
  <c r="J69" i="10"/>
  <c r="I69" i="10"/>
  <c r="H69" i="10"/>
  <c r="F69" i="10"/>
  <c r="E69" i="10"/>
  <c r="D69" i="10"/>
  <c r="C69" i="10"/>
  <c r="A69" i="10"/>
  <c r="BZ68" i="10"/>
  <c r="BY68" i="10"/>
  <c r="BW68" i="10"/>
  <c r="BV68" i="10"/>
  <c r="BT68" i="10"/>
  <c r="BS68" i="10"/>
  <c r="BR68" i="10"/>
  <c r="BQ68" i="10"/>
  <c r="BO68" i="10"/>
  <c r="BN68" i="10"/>
  <c r="BM68" i="10"/>
  <c r="BL68" i="10"/>
  <c r="BJ68" i="10"/>
  <c r="BI68" i="10"/>
  <c r="BH68" i="10"/>
  <c r="BG68" i="10"/>
  <c r="BE68" i="10"/>
  <c r="BD68" i="10"/>
  <c r="BC68" i="10"/>
  <c r="BB68" i="10"/>
  <c r="AZ68" i="10"/>
  <c r="AY68" i="10"/>
  <c r="AX68" i="10"/>
  <c r="AW68" i="10"/>
  <c r="AU68" i="10"/>
  <c r="AT68" i="10"/>
  <c r="AS68" i="10"/>
  <c r="AR68" i="10"/>
  <c r="AP68" i="10"/>
  <c r="AO68" i="10"/>
  <c r="AN68" i="10"/>
  <c r="AM68" i="10"/>
  <c r="AD68" i="10"/>
  <c r="AC68" i="10"/>
  <c r="AB68" i="10"/>
  <c r="AA68" i="10"/>
  <c r="Z68" i="10"/>
  <c r="Y68" i="10"/>
  <c r="N68" i="10"/>
  <c r="M68" i="10"/>
  <c r="L68" i="10"/>
  <c r="K68" i="10"/>
  <c r="J68" i="10"/>
  <c r="I68" i="10"/>
  <c r="H68" i="10"/>
  <c r="F68" i="10"/>
  <c r="E68" i="10"/>
  <c r="D68" i="10"/>
  <c r="C68" i="10"/>
  <c r="A68" i="10"/>
  <c r="BZ67" i="10"/>
  <c r="BY67" i="10"/>
  <c r="BW67" i="10"/>
  <c r="BV67" i="10"/>
  <c r="BT67" i="10"/>
  <c r="BS67" i="10"/>
  <c r="BR67" i="10"/>
  <c r="BQ67" i="10"/>
  <c r="BO67" i="10"/>
  <c r="BN67" i="10"/>
  <c r="BM67" i="10"/>
  <c r="BL67" i="10"/>
  <c r="BJ67" i="10"/>
  <c r="BI67" i="10"/>
  <c r="BH67" i="10"/>
  <c r="BG67" i="10"/>
  <c r="BE67" i="10"/>
  <c r="BD67" i="10"/>
  <c r="BC67" i="10"/>
  <c r="BB67" i="10"/>
  <c r="AZ67" i="10"/>
  <c r="AY67" i="10"/>
  <c r="AX67" i="10"/>
  <c r="AW67" i="10"/>
  <c r="AU67" i="10"/>
  <c r="AT67" i="10"/>
  <c r="AS67" i="10"/>
  <c r="AR67" i="10"/>
  <c r="AP67" i="10"/>
  <c r="AO67" i="10"/>
  <c r="AN67" i="10"/>
  <c r="AM67" i="10"/>
  <c r="AD67" i="10"/>
  <c r="AC67" i="10"/>
  <c r="AB67" i="10"/>
  <c r="AA67" i="10"/>
  <c r="Z67" i="10"/>
  <c r="Y67" i="10"/>
  <c r="N67" i="10"/>
  <c r="M67" i="10"/>
  <c r="L67" i="10"/>
  <c r="K67" i="10"/>
  <c r="J67" i="10"/>
  <c r="I67" i="10"/>
  <c r="H67" i="10"/>
  <c r="F67" i="10"/>
  <c r="E67" i="10"/>
  <c r="D67" i="10"/>
  <c r="C67" i="10"/>
  <c r="A67" i="10"/>
  <c r="BZ66" i="10"/>
  <c r="BY66" i="10"/>
  <c r="BW66" i="10"/>
  <c r="BV66" i="10"/>
  <c r="BT66" i="10"/>
  <c r="BS66" i="10"/>
  <c r="BR66" i="10"/>
  <c r="BQ66" i="10"/>
  <c r="BO66" i="10"/>
  <c r="BN66" i="10"/>
  <c r="BM66" i="10"/>
  <c r="BL66" i="10"/>
  <c r="BJ66" i="10"/>
  <c r="BI66" i="10"/>
  <c r="BH66" i="10"/>
  <c r="BG66" i="10"/>
  <c r="BE66" i="10"/>
  <c r="BD66" i="10"/>
  <c r="BC66" i="10"/>
  <c r="BB66" i="10"/>
  <c r="AZ66" i="10"/>
  <c r="AY66" i="10"/>
  <c r="AX66" i="10"/>
  <c r="AW66" i="10"/>
  <c r="AU66" i="10"/>
  <c r="AT66" i="10"/>
  <c r="AS66" i="10"/>
  <c r="AR66" i="10"/>
  <c r="AP66" i="10"/>
  <c r="AO66" i="10"/>
  <c r="AN66" i="10"/>
  <c r="AM66" i="10"/>
  <c r="AD66" i="10"/>
  <c r="AC66" i="10"/>
  <c r="AB66" i="10"/>
  <c r="AA66" i="10"/>
  <c r="Z66" i="10"/>
  <c r="Y66" i="10"/>
  <c r="N66" i="10"/>
  <c r="M66" i="10"/>
  <c r="L66" i="10"/>
  <c r="K66" i="10"/>
  <c r="J66" i="10"/>
  <c r="I66" i="10"/>
  <c r="H66" i="10"/>
  <c r="F66" i="10"/>
  <c r="E66" i="10"/>
  <c r="D66" i="10"/>
  <c r="C66" i="10"/>
  <c r="A66" i="10"/>
  <c r="BZ65" i="10"/>
  <c r="BY65" i="10"/>
  <c r="BW65" i="10"/>
  <c r="BV65" i="10"/>
  <c r="BT65" i="10"/>
  <c r="BS65" i="10"/>
  <c r="BR65" i="10"/>
  <c r="BQ65" i="10"/>
  <c r="BO65" i="10"/>
  <c r="BN65" i="10"/>
  <c r="BM65" i="10"/>
  <c r="BL65" i="10"/>
  <c r="BJ65" i="10"/>
  <c r="BI65" i="10"/>
  <c r="BH65" i="10"/>
  <c r="BG65" i="10"/>
  <c r="BE65" i="10"/>
  <c r="BD65" i="10"/>
  <c r="BC65" i="10"/>
  <c r="BB65" i="10"/>
  <c r="AZ65" i="10"/>
  <c r="AY65" i="10"/>
  <c r="AX65" i="10"/>
  <c r="AW65" i="10"/>
  <c r="AU65" i="10"/>
  <c r="AT65" i="10"/>
  <c r="AS65" i="10"/>
  <c r="AR65" i="10"/>
  <c r="AP65" i="10"/>
  <c r="AO65" i="10"/>
  <c r="AN65" i="10"/>
  <c r="AM65" i="10"/>
  <c r="AD65" i="10"/>
  <c r="AC65" i="10"/>
  <c r="AB65" i="10"/>
  <c r="AA65" i="10"/>
  <c r="Z65" i="10"/>
  <c r="Y65" i="10"/>
  <c r="N65" i="10"/>
  <c r="M65" i="10"/>
  <c r="L65" i="10"/>
  <c r="K65" i="10"/>
  <c r="J65" i="10"/>
  <c r="I65" i="10"/>
  <c r="H65" i="10"/>
  <c r="F65" i="10"/>
  <c r="E65" i="10"/>
  <c r="D65" i="10"/>
  <c r="C65" i="10"/>
  <c r="A65" i="10"/>
  <c r="BZ64" i="10"/>
  <c r="BY64" i="10"/>
  <c r="BW64" i="10"/>
  <c r="BV64" i="10"/>
  <c r="BT64" i="10"/>
  <c r="BS64" i="10"/>
  <c r="BR64" i="10"/>
  <c r="BQ64" i="10"/>
  <c r="BO64" i="10"/>
  <c r="BN64" i="10"/>
  <c r="BM64" i="10"/>
  <c r="BL64" i="10"/>
  <c r="BJ64" i="10"/>
  <c r="BI64" i="10"/>
  <c r="BH64" i="10"/>
  <c r="BG64" i="10"/>
  <c r="BE64" i="10"/>
  <c r="BD64" i="10"/>
  <c r="BC64" i="10"/>
  <c r="BB64" i="10"/>
  <c r="AZ64" i="10"/>
  <c r="AY64" i="10"/>
  <c r="AX64" i="10"/>
  <c r="AW64" i="10"/>
  <c r="AU64" i="10"/>
  <c r="AT64" i="10"/>
  <c r="AS64" i="10"/>
  <c r="AR64" i="10"/>
  <c r="AP64" i="10"/>
  <c r="AO64" i="10"/>
  <c r="AN64" i="10"/>
  <c r="AM64" i="10"/>
  <c r="AD64" i="10"/>
  <c r="AC64" i="10"/>
  <c r="AB64" i="10"/>
  <c r="AA64" i="10"/>
  <c r="Z64" i="10"/>
  <c r="Y64" i="10"/>
  <c r="N64" i="10"/>
  <c r="M64" i="10"/>
  <c r="L64" i="10"/>
  <c r="K64" i="10"/>
  <c r="J64" i="10"/>
  <c r="I64" i="10"/>
  <c r="H64" i="10"/>
  <c r="F64" i="10"/>
  <c r="E64" i="10"/>
  <c r="D64" i="10"/>
  <c r="C64" i="10"/>
  <c r="A64" i="10"/>
  <c r="BZ63" i="10"/>
  <c r="BY63" i="10"/>
  <c r="BW63" i="10"/>
  <c r="BV63" i="10"/>
  <c r="BT63" i="10"/>
  <c r="BS63" i="10"/>
  <c r="BR63" i="10"/>
  <c r="BQ63" i="10"/>
  <c r="BO63" i="10"/>
  <c r="BN63" i="10"/>
  <c r="BM63" i="10"/>
  <c r="BL63" i="10"/>
  <c r="BJ63" i="10"/>
  <c r="BI63" i="10"/>
  <c r="BH63" i="10"/>
  <c r="BG63" i="10"/>
  <c r="BE63" i="10"/>
  <c r="BD63" i="10"/>
  <c r="BC63" i="10"/>
  <c r="BB63" i="10"/>
  <c r="AZ63" i="10"/>
  <c r="AY63" i="10"/>
  <c r="AX63" i="10"/>
  <c r="AW63" i="10"/>
  <c r="AU63" i="10"/>
  <c r="AT63" i="10"/>
  <c r="AS63" i="10"/>
  <c r="AR63" i="10"/>
  <c r="AP63" i="10"/>
  <c r="AO63" i="10"/>
  <c r="AN63" i="10"/>
  <c r="AM63" i="10"/>
  <c r="AD63" i="10"/>
  <c r="AC63" i="10"/>
  <c r="AB63" i="10"/>
  <c r="AA63" i="10"/>
  <c r="Z63" i="10"/>
  <c r="Y63" i="10"/>
  <c r="N63" i="10"/>
  <c r="M63" i="10"/>
  <c r="L63" i="10"/>
  <c r="K63" i="10"/>
  <c r="J63" i="10"/>
  <c r="I63" i="10"/>
  <c r="H63" i="10"/>
  <c r="F63" i="10"/>
  <c r="E63" i="10"/>
  <c r="D63" i="10"/>
  <c r="C63" i="10"/>
  <c r="A63" i="10"/>
  <c r="BZ62" i="10"/>
  <c r="BY62" i="10"/>
  <c r="BW62" i="10"/>
  <c r="BV62" i="10"/>
  <c r="BT62" i="10"/>
  <c r="BS62" i="10"/>
  <c r="BR62" i="10"/>
  <c r="BQ62" i="10"/>
  <c r="BO62" i="10"/>
  <c r="BN62" i="10"/>
  <c r="BM62" i="10"/>
  <c r="BL62" i="10"/>
  <c r="BJ62" i="10"/>
  <c r="BI62" i="10"/>
  <c r="BH62" i="10"/>
  <c r="BG62" i="10"/>
  <c r="BE62" i="10"/>
  <c r="BD62" i="10"/>
  <c r="BC62" i="10"/>
  <c r="BB62" i="10"/>
  <c r="AZ62" i="10"/>
  <c r="AY62" i="10"/>
  <c r="AX62" i="10"/>
  <c r="AW62" i="10"/>
  <c r="AU62" i="10"/>
  <c r="AT62" i="10"/>
  <c r="AS62" i="10"/>
  <c r="AR62" i="10"/>
  <c r="AP62" i="10"/>
  <c r="AO62" i="10"/>
  <c r="AN62" i="10"/>
  <c r="AM62" i="10"/>
  <c r="AD62" i="10"/>
  <c r="AC62" i="10"/>
  <c r="AB62" i="10"/>
  <c r="AA62" i="10"/>
  <c r="Z62" i="10"/>
  <c r="Y62" i="10"/>
  <c r="N62" i="10"/>
  <c r="M62" i="10"/>
  <c r="L62" i="10"/>
  <c r="K62" i="10"/>
  <c r="J62" i="10"/>
  <c r="I62" i="10"/>
  <c r="H62" i="10"/>
  <c r="F62" i="10"/>
  <c r="E62" i="10"/>
  <c r="D62" i="10"/>
  <c r="C62" i="10"/>
  <c r="A62" i="10"/>
  <c r="BZ61" i="10"/>
  <c r="BY61" i="10"/>
  <c r="BW61" i="10"/>
  <c r="BV61" i="10"/>
  <c r="BT61" i="10"/>
  <c r="BS61" i="10"/>
  <c r="BR61" i="10"/>
  <c r="BQ61" i="10"/>
  <c r="BO61" i="10"/>
  <c r="BN61" i="10"/>
  <c r="BM61" i="10"/>
  <c r="BL61" i="10"/>
  <c r="BJ61" i="10"/>
  <c r="BI61" i="10"/>
  <c r="BH61" i="10"/>
  <c r="BG61" i="10"/>
  <c r="BE61" i="10"/>
  <c r="BD61" i="10"/>
  <c r="BC61" i="10"/>
  <c r="BB61" i="10"/>
  <c r="AZ61" i="10"/>
  <c r="AY61" i="10"/>
  <c r="AX61" i="10"/>
  <c r="AW61" i="10"/>
  <c r="AU61" i="10"/>
  <c r="AT61" i="10"/>
  <c r="AS61" i="10"/>
  <c r="AR61" i="10"/>
  <c r="AP61" i="10"/>
  <c r="AO61" i="10"/>
  <c r="AN61" i="10"/>
  <c r="AM61" i="10"/>
  <c r="AD61" i="10"/>
  <c r="AC61" i="10"/>
  <c r="AB61" i="10"/>
  <c r="AA61" i="10"/>
  <c r="Z61" i="10"/>
  <c r="Y61" i="10"/>
  <c r="N61" i="10"/>
  <c r="M61" i="10"/>
  <c r="L61" i="10"/>
  <c r="K61" i="10"/>
  <c r="J61" i="10"/>
  <c r="I61" i="10"/>
  <c r="H61" i="10"/>
  <c r="F61" i="10"/>
  <c r="E61" i="10"/>
  <c r="D61" i="10"/>
  <c r="C61" i="10"/>
  <c r="A61" i="10"/>
  <c r="BZ60" i="10"/>
  <c r="BY60" i="10"/>
  <c r="BW60" i="10"/>
  <c r="BV60" i="10"/>
  <c r="BT60" i="10"/>
  <c r="BS60" i="10"/>
  <c r="BR60" i="10"/>
  <c r="BQ60" i="10"/>
  <c r="BO60" i="10"/>
  <c r="BN60" i="10"/>
  <c r="BM60" i="10"/>
  <c r="BL60" i="10"/>
  <c r="BJ60" i="10"/>
  <c r="BI60" i="10"/>
  <c r="BH60" i="10"/>
  <c r="BG60" i="10"/>
  <c r="BE60" i="10"/>
  <c r="BD60" i="10"/>
  <c r="BC60" i="10"/>
  <c r="BB60" i="10"/>
  <c r="AZ60" i="10"/>
  <c r="AY60" i="10"/>
  <c r="AX60" i="10"/>
  <c r="AW60" i="10"/>
  <c r="AU60" i="10"/>
  <c r="AT60" i="10"/>
  <c r="AS60" i="10"/>
  <c r="AR60" i="10"/>
  <c r="AP60" i="10"/>
  <c r="AO60" i="10"/>
  <c r="AN60" i="10"/>
  <c r="AM60" i="10"/>
  <c r="AD60" i="10"/>
  <c r="AC60" i="10"/>
  <c r="AB60" i="10"/>
  <c r="AA60" i="10"/>
  <c r="Z60" i="10"/>
  <c r="Y60" i="10"/>
  <c r="N60" i="10"/>
  <c r="M60" i="10"/>
  <c r="L60" i="10"/>
  <c r="K60" i="10"/>
  <c r="J60" i="10"/>
  <c r="I60" i="10"/>
  <c r="H60" i="10"/>
  <c r="F60" i="10"/>
  <c r="E60" i="10"/>
  <c r="D60" i="10"/>
  <c r="C60" i="10"/>
  <c r="A60" i="10"/>
  <c r="BZ59" i="10"/>
  <c r="BY59" i="10"/>
  <c r="BW59" i="10"/>
  <c r="BV59" i="10"/>
  <c r="BT59" i="10"/>
  <c r="BS59" i="10"/>
  <c r="BR59" i="10"/>
  <c r="BQ59" i="10"/>
  <c r="BO59" i="10"/>
  <c r="BN59" i="10"/>
  <c r="BM59" i="10"/>
  <c r="BL59" i="10"/>
  <c r="BJ59" i="10"/>
  <c r="BI59" i="10"/>
  <c r="BH59" i="10"/>
  <c r="BG59" i="10"/>
  <c r="BE59" i="10"/>
  <c r="BD59" i="10"/>
  <c r="BC59" i="10"/>
  <c r="BB59" i="10"/>
  <c r="AZ59" i="10"/>
  <c r="AY59" i="10"/>
  <c r="AX59" i="10"/>
  <c r="AW59" i="10"/>
  <c r="AU59" i="10"/>
  <c r="AT59" i="10"/>
  <c r="AS59" i="10"/>
  <c r="AR59" i="10"/>
  <c r="AP59" i="10"/>
  <c r="AO59" i="10"/>
  <c r="AN59" i="10"/>
  <c r="AM59" i="10"/>
  <c r="AD59" i="10"/>
  <c r="AC59" i="10"/>
  <c r="AB59" i="10"/>
  <c r="AA59" i="10"/>
  <c r="Z59" i="10"/>
  <c r="Y59" i="10"/>
  <c r="N59" i="10"/>
  <c r="M59" i="10"/>
  <c r="L59" i="10"/>
  <c r="K59" i="10"/>
  <c r="J59" i="10"/>
  <c r="I59" i="10"/>
  <c r="H59" i="10"/>
  <c r="F59" i="10"/>
  <c r="E59" i="10"/>
  <c r="D59" i="10"/>
  <c r="C59" i="10"/>
  <c r="A59" i="10"/>
  <c r="BZ58" i="10"/>
  <c r="BY58" i="10"/>
  <c r="BW58" i="10"/>
  <c r="BV58" i="10"/>
  <c r="BT58" i="10"/>
  <c r="BS58" i="10"/>
  <c r="BR58" i="10"/>
  <c r="BQ58" i="10"/>
  <c r="BO58" i="10"/>
  <c r="BN58" i="10"/>
  <c r="BM58" i="10"/>
  <c r="BL58" i="10"/>
  <c r="BJ58" i="10"/>
  <c r="BI58" i="10"/>
  <c r="BH58" i="10"/>
  <c r="BG58" i="10"/>
  <c r="BE58" i="10"/>
  <c r="BD58" i="10"/>
  <c r="BC58" i="10"/>
  <c r="BB58" i="10"/>
  <c r="AZ58" i="10"/>
  <c r="AY58" i="10"/>
  <c r="AX58" i="10"/>
  <c r="AW58" i="10"/>
  <c r="AU58" i="10"/>
  <c r="AT58" i="10"/>
  <c r="AS58" i="10"/>
  <c r="AR58" i="10"/>
  <c r="AP58" i="10"/>
  <c r="AO58" i="10"/>
  <c r="AN58" i="10"/>
  <c r="AM58" i="10"/>
  <c r="AD58" i="10"/>
  <c r="AC58" i="10"/>
  <c r="AB58" i="10"/>
  <c r="AA58" i="10"/>
  <c r="Z58" i="10"/>
  <c r="Y58" i="10"/>
  <c r="N58" i="10"/>
  <c r="M58" i="10"/>
  <c r="L58" i="10"/>
  <c r="K58" i="10"/>
  <c r="J58" i="10"/>
  <c r="I58" i="10"/>
  <c r="H58" i="10"/>
  <c r="F58" i="10"/>
  <c r="E58" i="10"/>
  <c r="D58" i="10"/>
  <c r="C58" i="10"/>
  <c r="A58" i="10"/>
  <c r="BZ57" i="10"/>
  <c r="BY57" i="10"/>
  <c r="BW57" i="10"/>
  <c r="BV57" i="10"/>
  <c r="BT57" i="10"/>
  <c r="BS57" i="10"/>
  <c r="BR57" i="10"/>
  <c r="BQ57" i="10"/>
  <c r="BO57" i="10"/>
  <c r="BN57" i="10"/>
  <c r="BM57" i="10"/>
  <c r="BL57" i="10"/>
  <c r="BJ57" i="10"/>
  <c r="BI57" i="10"/>
  <c r="BH57" i="10"/>
  <c r="BG57" i="10"/>
  <c r="BE57" i="10"/>
  <c r="BD57" i="10"/>
  <c r="BC57" i="10"/>
  <c r="BB57" i="10"/>
  <c r="AZ57" i="10"/>
  <c r="AY57" i="10"/>
  <c r="AX57" i="10"/>
  <c r="AW57" i="10"/>
  <c r="AU57" i="10"/>
  <c r="AT57" i="10"/>
  <c r="AS57" i="10"/>
  <c r="AR57" i="10"/>
  <c r="AP57" i="10"/>
  <c r="AO57" i="10"/>
  <c r="AN57" i="10"/>
  <c r="AM57" i="10"/>
  <c r="AD57" i="10"/>
  <c r="AC57" i="10"/>
  <c r="AB57" i="10"/>
  <c r="AA57" i="10"/>
  <c r="Z57" i="10"/>
  <c r="Y57" i="10"/>
  <c r="N57" i="10"/>
  <c r="M57" i="10"/>
  <c r="L57" i="10"/>
  <c r="K57" i="10"/>
  <c r="J57" i="10"/>
  <c r="I57" i="10"/>
  <c r="H57" i="10"/>
  <c r="F57" i="10"/>
  <c r="E57" i="10"/>
  <c r="D57" i="10"/>
  <c r="C57" i="10"/>
  <c r="A57" i="10"/>
  <c r="BZ56" i="10"/>
  <c r="BY56" i="10"/>
  <c r="BW56" i="10"/>
  <c r="BV56" i="10"/>
  <c r="BT56" i="10"/>
  <c r="BS56" i="10"/>
  <c r="BR56" i="10"/>
  <c r="BQ56" i="10"/>
  <c r="BO56" i="10"/>
  <c r="BN56" i="10"/>
  <c r="BM56" i="10"/>
  <c r="BL56" i="10"/>
  <c r="BJ56" i="10"/>
  <c r="BI56" i="10"/>
  <c r="BH56" i="10"/>
  <c r="BG56" i="10"/>
  <c r="BE56" i="10"/>
  <c r="BD56" i="10"/>
  <c r="BC56" i="10"/>
  <c r="BB56" i="10"/>
  <c r="AZ56" i="10"/>
  <c r="AY56" i="10"/>
  <c r="AX56" i="10"/>
  <c r="AW56" i="10"/>
  <c r="AU56" i="10"/>
  <c r="AT56" i="10"/>
  <c r="AS56" i="10"/>
  <c r="AR56" i="10"/>
  <c r="AP56" i="10"/>
  <c r="AO56" i="10"/>
  <c r="AN56" i="10"/>
  <c r="AM56" i="10"/>
  <c r="AD56" i="10"/>
  <c r="AC56" i="10"/>
  <c r="AB56" i="10"/>
  <c r="AA56" i="10"/>
  <c r="Z56" i="10"/>
  <c r="Y56" i="10"/>
  <c r="N56" i="10"/>
  <c r="M56" i="10"/>
  <c r="L56" i="10"/>
  <c r="K56" i="10"/>
  <c r="J56" i="10"/>
  <c r="I56" i="10"/>
  <c r="H56" i="10"/>
  <c r="F56" i="10"/>
  <c r="E56" i="10"/>
  <c r="D56" i="10"/>
  <c r="C56" i="10"/>
  <c r="A56" i="10"/>
  <c r="BZ55" i="10"/>
  <c r="BY55" i="10"/>
  <c r="BW55" i="10"/>
  <c r="BV55" i="10"/>
  <c r="BT55" i="10"/>
  <c r="BS55" i="10"/>
  <c r="BR55" i="10"/>
  <c r="BQ55" i="10"/>
  <c r="BO55" i="10"/>
  <c r="BN55" i="10"/>
  <c r="BM55" i="10"/>
  <c r="BL55" i="10"/>
  <c r="BJ55" i="10"/>
  <c r="BI55" i="10"/>
  <c r="BH55" i="10"/>
  <c r="BG55" i="10"/>
  <c r="BE55" i="10"/>
  <c r="BD55" i="10"/>
  <c r="BC55" i="10"/>
  <c r="BB55" i="10"/>
  <c r="AZ55" i="10"/>
  <c r="AY55" i="10"/>
  <c r="AX55" i="10"/>
  <c r="AW55" i="10"/>
  <c r="AU55" i="10"/>
  <c r="AT55" i="10"/>
  <c r="AS55" i="10"/>
  <c r="AR55" i="10"/>
  <c r="AP55" i="10"/>
  <c r="AO55" i="10"/>
  <c r="AN55" i="10"/>
  <c r="AM55" i="10"/>
  <c r="AD55" i="10"/>
  <c r="AC55" i="10"/>
  <c r="AB55" i="10"/>
  <c r="AA55" i="10"/>
  <c r="Z55" i="10"/>
  <c r="Y55" i="10"/>
  <c r="N55" i="10"/>
  <c r="M55" i="10"/>
  <c r="L55" i="10"/>
  <c r="K55" i="10"/>
  <c r="J55" i="10"/>
  <c r="I55" i="10"/>
  <c r="H55" i="10"/>
  <c r="F55" i="10"/>
  <c r="E55" i="10"/>
  <c r="D55" i="10"/>
  <c r="C55" i="10"/>
  <c r="A55" i="10"/>
  <c r="BZ54" i="10"/>
  <c r="BY54" i="10"/>
  <c r="BW54" i="10"/>
  <c r="BV54" i="10"/>
  <c r="BT54" i="10"/>
  <c r="BS54" i="10"/>
  <c r="BR54" i="10"/>
  <c r="BQ54" i="10"/>
  <c r="BO54" i="10"/>
  <c r="BN54" i="10"/>
  <c r="BM54" i="10"/>
  <c r="BL54" i="10"/>
  <c r="BJ54" i="10"/>
  <c r="BI54" i="10"/>
  <c r="BH54" i="10"/>
  <c r="BG54" i="10"/>
  <c r="BE54" i="10"/>
  <c r="BD54" i="10"/>
  <c r="BC54" i="10"/>
  <c r="BB54" i="10"/>
  <c r="AZ54" i="10"/>
  <c r="AY54" i="10"/>
  <c r="AX54" i="10"/>
  <c r="AW54" i="10"/>
  <c r="AU54" i="10"/>
  <c r="AT54" i="10"/>
  <c r="AS54" i="10"/>
  <c r="AR54" i="10"/>
  <c r="AP54" i="10"/>
  <c r="AO54" i="10"/>
  <c r="AN54" i="10"/>
  <c r="AM54" i="10"/>
  <c r="AD54" i="10"/>
  <c r="AC54" i="10"/>
  <c r="AB54" i="10"/>
  <c r="AA54" i="10"/>
  <c r="Z54" i="10"/>
  <c r="Y54" i="10"/>
  <c r="N54" i="10"/>
  <c r="M54" i="10"/>
  <c r="L54" i="10"/>
  <c r="K54" i="10"/>
  <c r="J54" i="10"/>
  <c r="I54" i="10"/>
  <c r="H54" i="10"/>
  <c r="F54" i="10"/>
  <c r="E54" i="10"/>
  <c r="D54" i="10"/>
  <c r="C54" i="10"/>
  <c r="A54" i="10"/>
  <c r="BZ53" i="10"/>
  <c r="BY53" i="10"/>
  <c r="BW53" i="10"/>
  <c r="BV53" i="10"/>
  <c r="BT53" i="10"/>
  <c r="BS53" i="10"/>
  <c r="BR53" i="10"/>
  <c r="BQ53" i="10"/>
  <c r="BO53" i="10"/>
  <c r="BN53" i="10"/>
  <c r="BM53" i="10"/>
  <c r="BL53" i="10"/>
  <c r="BJ53" i="10"/>
  <c r="BI53" i="10"/>
  <c r="BH53" i="10"/>
  <c r="BG53" i="10"/>
  <c r="BE53" i="10"/>
  <c r="BD53" i="10"/>
  <c r="BC53" i="10"/>
  <c r="BB53" i="10"/>
  <c r="AZ53" i="10"/>
  <c r="AY53" i="10"/>
  <c r="AX53" i="10"/>
  <c r="AW53" i="10"/>
  <c r="AU53" i="10"/>
  <c r="AT53" i="10"/>
  <c r="AS53" i="10"/>
  <c r="AR53" i="10"/>
  <c r="AP53" i="10"/>
  <c r="AO53" i="10"/>
  <c r="AN53" i="10"/>
  <c r="AM53" i="10"/>
  <c r="AD53" i="10"/>
  <c r="AC53" i="10"/>
  <c r="AB53" i="10"/>
  <c r="AA53" i="10"/>
  <c r="Z53" i="10"/>
  <c r="Y53" i="10"/>
  <c r="N53" i="10"/>
  <c r="M53" i="10"/>
  <c r="L53" i="10"/>
  <c r="K53" i="10"/>
  <c r="J53" i="10"/>
  <c r="I53" i="10"/>
  <c r="H53" i="10"/>
  <c r="F53" i="10"/>
  <c r="E53" i="10"/>
  <c r="D53" i="10"/>
  <c r="C53" i="10"/>
  <c r="A53" i="10"/>
  <c r="BZ52" i="10"/>
  <c r="BY52" i="10"/>
  <c r="BW52" i="10"/>
  <c r="BV52" i="10"/>
  <c r="BT52" i="10"/>
  <c r="BS52" i="10"/>
  <c r="BR52" i="10"/>
  <c r="BQ52" i="10"/>
  <c r="BO52" i="10"/>
  <c r="BN52" i="10"/>
  <c r="BM52" i="10"/>
  <c r="BL52" i="10"/>
  <c r="BJ52" i="10"/>
  <c r="BI52" i="10"/>
  <c r="BH52" i="10"/>
  <c r="BG52" i="10"/>
  <c r="BE52" i="10"/>
  <c r="BD52" i="10"/>
  <c r="BC52" i="10"/>
  <c r="BB52" i="10"/>
  <c r="AZ52" i="10"/>
  <c r="AY52" i="10"/>
  <c r="AX52" i="10"/>
  <c r="AW52" i="10"/>
  <c r="AU52" i="10"/>
  <c r="AT52" i="10"/>
  <c r="AS52" i="10"/>
  <c r="AR52" i="10"/>
  <c r="AP52" i="10"/>
  <c r="AO52" i="10"/>
  <c r="AN52" i="10"/>
  <c r="AM52" i="10"/>
  <c r="AD52" i="10"/>
  <c r="AC52" i="10"/>
  <c r="AB52" i="10"/>
  <c r="AA52" i="10"/>
  <c r="Z52" i="10"/>
  <c r="Y52" i="10"/>
  <c r="N52" i="10"/>
  <c r="M52" i="10"/>
  <c r="L52" i="10"/>
  <c r="K52" i="10"/>
  <c r="J52" i="10"/>
  <c r="I52" i="10"/>
  <c r="H52" i="10"/>
  <c r="F52" i="10"/>
  <c r="E52" i="10"/>
  <c r="D52" i="10"/>
  <c r="C52" i="10"/>
  <c r="A52" i="10"/>
  <c r="BZ51" i="10"/>
  <c r="BY51" i="10"/>
  <c r="BW51" i="10"/>
  <c r="BV51" i="10"/>
  <c r="BT51" i="10"/>
  <c r="BS51" i="10"/>
  <c r="BR51" i="10"/>
  <c r="BQ51" i="10"/>
  <c r="BO51" i="10"/>
  <c r="BN51" i="10"/>
  <c r="BM51" i="10"/>
  <c r="BL51" i="10"/>
  <c r="BJ51" i="10"/>
  <c r="BI51" i="10"/>
  <c r="BH51" i="10"/>
  <c r="BG51" i="10"/>
  <c r="BE51" i="10"/>
  <c r="BD51" i="10"/>
  <c r="BC51" i="10"/>
  <c r="BB51" i="10"/>
  <c r="AZ51" i="10"/>
  <c r="AY51" i="10"/>
  <c r="AX51" i="10"/>
  <c r="AW51" i="10"/>
  <c r="AU51" i="10"/>
  <c r="AT51" i="10"/>
  <c r="AS51" i="10"/>
  <c r="AR51" i="10"/>
  <c r="AP51" i="10"/>
  <c r="AO51" i="10"/>
  <c r="AN51" i="10"/>
  <c r="AM51" i="10"/>
  <c r="AD51" i="10"/>
  <c r="AC51" i="10"/>
  <c r="AB51" i="10"/>
  <c r="AA51" i="10"/>
  <c r="Z51" i="10"/>
  <c r="Y51" i="10"/>
  <c r="N51" i="10"/>
  <c r="M51" i="10"/>
  <c r="L51" i="10"/>
  <c r="K51" i="10"/>
  <c r="J51" i="10"/>
  <c r="I51" i="10"/>
  <c r="H51" i="10"/>
  <c r="F51" i="10"/>
  <c r="E51" i="10"/>
  <c r="D51" i="10"/>
  <c r="C51" i="10"/>
  <c r="A51" i="10"/>
  <c r="BZ50" i="10"/>
  <c r="BY50" i="10"/>
  <c r="BW50" i="10"/>
  <c r="BV50" i="10"/>
  <c r="BT50" i="10"/>
  <c r="BS50" i="10"/>
  <c r="BR50" i="10"/>
  <c r="BQ50" i="10"/>
  <c r="BO50" i="10"/>
  <c r="BN50" i="10"/>
  <c r="BM50" i="10"/>
  <c r="BL50" i="10"/>
  <c r="BJ50" i="10"/>
  <c r="BI50" i="10"/>
  <c r="BH50" i="10"/>
  <c r="BG50" i="10"/>
  <c r="BE50" i="10"/>
  <c r="BD50" i="10"/>
  <c r="BC50" i="10"/>
  <c r="BB50" i="10"/>
  <c r="AZ50" i="10"/>
  <c r="AY50" i="10"/>
  <c r="AX50" i="10"/>
  <c r="AW50" i="10"/>
  <c r="AU50" i="10"/>
  <c r="AT50" i="10"/>
  <c r="AS50" i="10"/>
  <c r="AR50" i="10"/>
  <c r="AP50" i="10"/>
  <c r="AO50" i="10"/>
  <c r="AN50" i="10"/>
  <c r="AM50" i="10"/>
  <c r="AD50" i="10"/>
  <c r="AC50" i="10"/>
  <c r="AB50" i="10"/>
  <c r="AA50" i="10"/>
  <c r="Z50" i="10"/>
  <c r="Y50" i="10"/>
  <c r="N50" i="10"/>
  <c r="M50" i="10"/>
  <c r="L50" i="10"/>
  <c r="K50" i="10"/>
  <c r="J50" i="10"/>
  <c r="I50" i="10"/>
  <c r="H50" i="10"/>
  <c r="F50" i="10"/>
  <c r="E50" i="10"/>
  <c r="D50" i="10"/>
  <c r="C50" i="10"/>
  <c r="A50" i="10"/>
  <c r="BZ49" i="10"/>
  <c r="BY49" i="10"/>
  <c r="BW49" i="10"/>
  <c r="BV49" i="10"/>
  <c r="BT49" i="10"/>
  <c r="BS49" i="10"/>
  <c r="BR49" i="10"/>
  <c r="BQ49" i="10"/>
  <c r="BO49" i="10"/>
  <c r="BN49" i="10"/>
  <c r="BM49" i="10"/>
  <c r="BL49" i="10"/>
  <c r="BJ49" i="10"/>
  <c r="BI49" i="10"/>
  <c r="BH49" i="10"/>
  <c r="BG49" i="10"/>
  <c r="BE49" i="10"/>
  <c r="BD49" i="10"/>
  <c r="BC49" i="10"/>
  <c r="BB49" i="10"/>
  <c r="AZ49" i="10"/>
  <c r="AY49" i="10"/>
  <c r="AX49" i="10"/>
  <c r="AW49" i="10"/>
  <c r="AU49" i="10"/>
  <c r="AT49" i="10"/>
  <c r="AS49" i="10"/>
  <c r="AR49" i="10"/>
  <c r="AP49" i="10"/>
  <c r="AO49" i="10"/>
  <c r="AN49" i="10"/>
  <c r="AM49" i="10"/>
  <c r="AD49" i="10"/>
  <c r="AC49" i="10"/>
  <c r="AB49" i="10"/>
  <c r="AA49" i="10"/>
  <c r="Z49" i="10"/>
  <c r="Y49" i="10"/>
  <c r="N49" i="10"/>
  <c r="M49" i="10"/>
  <c r="L49" i="10"/>
  <c r="K49" i="10"/>
  <c r="J49" i="10"/>
  <c r="I49" i="10"/>
  <c r="H49" i="10"/>
  <c r="F49" i="10"/>
  <c r="E49" i="10"/>
  <c r="D49" i="10"/>
  <c r="C49" i="10"/>
  <c r="A49" i="10"/>
  <c r="BZ48" i="10"/>
  <c r="BY48" i="10"/>
  <c r="BW48" i="10"/>
  <c r="BV48" i="10"/>
  <c r="BT48" i="10"/>
  <c r="BS48" i="10"/>
  <c r="BR48" i="10"/>
  <c r="BQ48" i="10"/>
  <c r="BO48" i="10"/>
  <c r="BN48" i="10"/>
  <c r="BM48" i="10"/>
  <c r="BL48" i="10"/>
  <c r="BJ48" i="10"/>
  <c r="BI48" i="10"/>
  <c r="BH48" i="10"/>
  <c r="BG48" i="10"/>
  <c r="BE48" i="10"/>
  <c r="BD48" i="10"/>
  <c r="BC48" i="10"/>
  <c r="BB48" i="10"/>
  <c r="AZ48" i="10"/>
  <c r="AY48" i="10"/>
  <c r="AX48" i="10"/>
  <c r="AW48" i="10"/>
  <c r="AU48" i="10"/>
  <c r="AT48" i="10"/>
  <c r="AS48" i="10"/>
  <c r="AR48" i="10"/>
  <c r="AP48" i="10"/>
  <c r="AO48" i="10"/>
  <c r="AN48" i="10"/>
  <c r="AM48" i="10"/>
  <c r="AD48" i="10"/>
  <c r="AC48" i="10"/>
  <c r="AB48" i="10"/>
  <c r="AA48" i="10"/>
  <c r="Z48" i="10"/>
  <c r="Y48" i="10"/>
  <c r="N48" i="10"/>
  <c r="M48" i="10"/>
  <c r="L48" i="10"/>
  <c r="K48" i="10"/>
  <c r="J48" i="10"/>
  <c r="I48" i="10"/>
  <c r="H48" i="10"/>
  <c r="F48" i="10"/>
  <c r="E48" i="10"/>
  <c r="D48" i="10"/>
  <c r="C48" i="10"/>
  <c r="A48" i="10"/>
  <c r="BZ47" i="10"/>
  <c r="BY47" i="10"/>
  <c r="BW47" i="10"/>
  <c r="BV47" i="10"/>
  <c r="BT47" i="10"/>
  <c r="BS47" i="10"/>
  <c r="BR47" i="10"/>
  <c r="BQ47" i="10"/>
  <c r="BO47" i="10"/>
  <c r="BN47" i="10"/>
  <c r="BM47" i="10"/>
  <c r="BL47" i="10"/>
  <c r="BJ47" i="10"/>
  <c r="BI47" i="10"/>
  <c r="BH47" i="10"/>
  <c r="BG47" i="10"/>
  <c r="BE47" i="10"/>
  <c r="BD47" i="10"/>
  <c r="BC47" i="10"/>
  <c r="BB47" i="10"/>
  <c r="AZ47" i="10"/>
  <c r="AY47" i="10"/>
  <c r="AX47" i="10"/>
  <c r="AW47" i="10"/>
  <c r="AU47" i="10"/>
  <c r="AT47" i="10"/>
  <c r="AS47" i="10"/>
  <c r="AR47" i="10"/>
  <c r="AP47" i="10"/>
  <c r="AO47" i="10"/>
  <c r="AN47" i="10"/>
  <c r="AM47" i="10"/>
  <c r="AD47" i="10"/>
  <c r="AC47" i="10"/>
  <c r="AB47" i="10"/>
  <c r="AA47" i="10"/>
  <c r="Z47" i="10"/>
  <c r="Y47" i="10"/>
  <c r="N47" i="10"/>
  <c r="M47" i="10"/>
  <c r="L47" i="10"/>
  <c r="K47" i="10"/>
  <c r="J47" i="10"/>
  <c r="I47" i="10"/>
  <c r="H47" i="10"/>
  <c r="F47" i="10"/>
  <c r="E47" i="10"/>
  <c r="D47" i="10"/>
  <c r="C47" i="10"/>
  <c r="A47" i="10"/>
  <c r="BZ46" i="10"/>
  <c r="BY46" i="10"/>
  <c r="BW46" i="10"/>
  <c r="BV46" i="10"/>
  <c r="BT46" i="10"/>
  <c r="BS46" i="10"/>
  <c r="BR46" i="10"/>
  <c r="BQ46" i="10"/>
  <c r="BO46" i="10"/>
  <c r="BN46" i="10"/>
  <c r="BM46" i="10"/>
  <c r="BL46" i="10"/>
  <c r="BJ46" i="10"/>
  <c r="BI46" i="10"/>
  <c r="BH46" i="10"/>
  <c r="BG46" i="10"/>
  <c r="BE46" i="10"/>
  <c r="BD46" i="10"/>
  <c r="BC46" i="10"/>
  <c r="BB46" i="10"/>
  <c r="AZ46" i="10"/>
  <c r="AY46" i="10"/>
  <c r="AX46" i="10"/>
  <c r="AW46" i="10"/>
  <c r="AU46" i="10"/>
  <c r="AT46" i="10"/>
  <c r="AS46" i="10"/>
  <c r="AR46" i="10"/>
  <c r="AP46" i="10"/>
  <c r="AO46" i="10"/>
  <c r="AN46" i="10"/>
  <c r="AM46" i="10"/>
  <c r="AD46" i="10"/>
  <c r="AC46" i="10"/>
  <c r="AB46" i="10"/>
  <c r="AA46" i="10"/>
  <c r="Z46" i="10"/>
  <c r="Y46" i="10"/>
  <c r="N46" i="10"/>
  <c r="M46" i="10"/>
  <c r="L46" i="10"/>
  <c r="K46" i="10"/>
  <c r="J46" i="10"/>
  <c r="I46" i="10"/>
  <c r="H46" i="10"/>
  <c r="F46" i="10"/>
  <c r="E46" i="10"/>
  <c r="D46" i="10"/>
  <c r="C46" i="10"/>
  <c r="A46" i="10"/>
  <c r="BZ45" i="10"/>
  <c r="BY45" i="10"/>
  <c r="BW45" i="10"/>
  <c r="BV45" i="10"/>
  <c r="BT45" i="10"/>
  <c r="BS45" i="10"/>
  <c r="BR45" i="10"/>
  <c r="BQ45" i="10"/>
  <c r="BO45" i="10"/>
  <c r="BN45" i="10"/>
  <c r="BM45" i="10"/>
  <c r="BL45" i="10"/>
  <c r="BJ45" i="10"/>
  <c r="BI45" i="10"/>
  <c r="BH45" i="10"/>
  <c r="BG45" i="10"/>
  <c r="BE45" i="10"/>
  <c r="BD45" i="10"/>
  <c r="BC45" i="10"/>
  <c r="BB45" i="10"/>
  <c r="AZ45" i="10"/>
  <c r="AY45" i="10"/>
  <c r="AX45" i="10"/>
  <c r="AW45" i="10"/>
  <c r="AU45" i="10"/>
  <c r="AT45" i="10"/>
  <c r="AS45" i="10"/>
  <c r="AR45" i="10"/>
  <c r="AP45" i="10"/>
  <c r="AO45" i="10"/>
  <c r="AN45" i="10"/>
  <c r="AM45" i="10"/>
  <c r="AD45" i="10"/>
  <c r="AC45" i="10"/>
  <c r="AB45" i="10"/>
  <c r="AA45" i="10"/>
  <c r="Z45" i="10"/>
  <c r="Y45" i="10"/>
  <c r="N45" i="10"/>
  <c r="M45" i="10"/>
  <c r="L45" i="10"/>
  <c r="K45" i="10"/>
  <c r="J45" i="10"/>
  <c r="I45" i="10"/>
  <c r="H45" i="10"/>
  <c r="F45" i="10"/>
  <c r="E45" i="10"/>
  <c r="D45" i="10"/>
  <c r="C45" i="10"/>
  <c r="A45" i="10"/>
  <c r="BZ44" i="10"/>
  <c r="BY44" i="10"/>
  <c r="BW44" i="10"/>
  <c r="BV44" i="10"/>
  <c r="BT44" i="10"/>
  <c r="BS44" i="10"/>
  <c r="BR44" i="10"/>
  <c r="BQ44" i="10"/>
  <c r="BO44" i="10"/>
  <c r="BN44" i="10"/>
  <c r="BM44" i="10"/>
  <c r="BL44" i="10"/>
  <c r="BJ44" i="10"/>
  <c r="BI44" i="10"/>
  <c r="BH44" i="10"/>
  <c r="BG44" i="10"/>
  <c r="BE44" i="10"/>
  <c r="BD44" i="10"/>
  <c r="BC44" i="10"/>
  <c r="BB44" i="10"/>
  <c r="AZ44" i="10"/>
  <c r="AY44" i="10"/>
  <c r="AX44" i="10"/>
  <c r="AW44" i="10"/>
  <c r="AU44" i="10"/>
  <c r="AT44" i="10"/>
  <c r="AS44" i="10"/>
  <c r="AR44" i="10"/>
  <c r="AP44" i="10"/>
  <c r="AO44" i="10"/>
  <c r="AN44" i="10"/>
  <c r="AM44" i="10"/>
  <c r="AD44" i="10"/>
  <c r="AC44" i="10"/>
  <c r="AB44" i="10"/>
  <c r="AA44" i="10"/>
  <c r="Z44" i="10"/>
  <c r="Y44" i="10"/>
  <c r="N44" i="10"/>
  <c r="M44" i="10"/>
  <c r="L44" i="10"/>
  <c r="K44" i="10"/>
  <c r="J44" i="10"/>
  <c r="I44" i="10"/>
  <c r="H44" i="10"/>
  <c r="F44" i="10"/>
  <c r="E44" i="10"/>
  <c r="D44" i="10"/>
  <c r="C44" i="10"/>
  <c r="A44" i="10"/>
  <c r="BZ43" i="10"/>
  <c r="BY43" i="10"/>
  <c r="BW43" i="10"/>
  <c r="BV43" i="10"/>
  <c r="BT43" i="10"/>
  <c r="BS43" i="10"/>
  <c r="BR43" i="10"/>
  <c r="BQ43" i="10"/>
  <c r="BO43" i="10"/>
  <c r="BN43" i="10"/>
  <c r="BM43" i="10"/>
  <c r="BL43" i="10"/>
  <c r="BJ43" i="10"/>
  <c r="BI43" i="10"/>
  <c r="BH43" i="10"/>
  <c r="BG43" i="10"/>
  <c r="BE43" i="10"/>
  <c r="BD43" i="10"/>
  <c r="BC43" i="10"/>
  <c r="BB43" i="10"/>
  <c r="AZ43" i="10"/>
  <c r="AY43" i="10"/>
  <c r="AX43" i="10"/>
  <c r="AW43" i="10"/>
  <c r="AU43" i="10"/>
  <c r="AT43" i="10"/>
  <c r="AS43" i="10"/>
  <c r="AR43" i="10"/>
  <c r="AP43" i="10"/>
  <c r="AO43" i="10"/>
  <c r="AN43" i="10"/>
  <c r="AM43" i="10"/>
  <c r="AD43" i="10"/>
  <c r="AC43" i="10"/>
  <c r="AB43" i="10"/>
  <c r="AA43" i="10"/>
  <c r="Z43" i="10"/>
  <c r="Y43" i="10"/>
  <c r="N43" i="10"/>
  <c r="M43" i="10"/>
  <c r="L43" i="10"/>
  <c r="K43" i="10"/>
  <c r="J43" i="10"/>
  <c r="I43" i="10"/>
  <c r="H43" i="10"/>
  <c r="F43" i="10"/>
  <c r="E43" i="10"/>
  <c r="D43" i="10"/>
  <c r="C43" i="10"/>
  <c r="A43" i="10"/>
  <c r="BZ42" i="10"/>
  <c r="BY42" i="10"/>
  <c r="BW42" i="10"/>
  <c r="BV42" i="10"/>
  <c r="BT42" i="10"/>
  <c r="BS42" i="10"/>
  <c r="BR42" i="10"/>
  <c r="BQ42" i="10"/>
  <c r="BO42" i="10"/>
  <c r="BN42" i="10"/>
  <c r="BM42" i="10"/>
  <c r="BL42" i="10"/>
  <c r="BJ42" i="10"/>
  <c r="BI42" i="10"/>
  <c r="BH42" i="10"/>
  <c r="BG42" i="10"/>
  <c r="BE42" i="10"/>
  <c r="BD42" i="10"/>
  <c r="BC42" i="10"/>
  <c r="BB42" i="10"/>
  <c r="AZ42" i="10"/>
  <c r="AY42" i="10"/>
  <c r="AX42" i="10"/>
  <c r="AW42" i="10"/>
  <c r="AU42" i="10"/>
  <c r="AT42" i="10"/>
  <c r="AS42" i="10"/>
  <c r="AR42" i="10"/>
  <c r="AP42" i="10"/>
  <c r="AO42" i="10"/>
  <c r="AN42" i="10"/>
  <c r="AM42" i="10"/>
  <c r="AD42" i="10"/>
  <c r="AC42" i="10"/>
  <c r="AB42" i="10"/>
  <c r="AA42" i="10"/>
  <c r="Z42" i="10"/>
  <c r="Y42" i="10"/>
  <c r="N42" i="10"/>
  <c r="M42" i="10"/>
  <c r="L42" i="10"/>
  <c r="K42" i="10"/>
  <c r="J42" i="10"/>
  <c r="I42" i="10"/>
  <c r="H42" i="10"/>
  <c r="F42" i="10"/>
  <c r="E42" i="10"/>
  <c r="D42" i="10"/>
  <c r="C42" i="10"/>
  <c r="A42" i="10"/>
  <c r="BZ41" i="10"/>
  <c r="BY41" i="10"/>
  <c r="BW41" i="10"/>
  <c r="BV41" i="10"/>
  <c r="BT41" i="10"/>
  <c r="BS41" i="10"/>
  <c r="BR41" i="10"/>
  <c r="BQ41" i="10"/>
  <c r="BO41" i="10"/>
  <c r="BN41" i="10"/>
  <c r="BM41" i="10"/>
  <c r="BL41" i="10"/>
  <c r="BJ41" i="10"/>
  <c r="BI41" i="10"/>
  <c r="BH41" i="10"/>
  <c r="BG41" i="10"/>
  <c r="BE41" i="10"/>
  <c r="BD41" i="10"/>
  <c r="BC41" i="10"/>
  <c r="BB41" i="10"/>
  <c r="AZ41" i="10"/>
  <c r="AY41" i="10"/>
  <c r="AX41" i="10"/>
  <c r="AW41" i="10"/>
  <c r="AU41" i="10"/>
  <c r="AT41" i="10"/>
  <c r="AS41" i="10"/>
  <c r="AR41" i="10"/>
  <c r="AP41" i="10"/>
  <c r="AO41" i="10"/>
  <c r="AN41" i="10"/>
  <c r="AM41" i="10"/>
  <c r="AD41" i="10"/>
  <c r="AC41" i="10"/>
  <c r="AB41" i="10"/>
  <c r="AA41" i="10"/>
  <c r="Z41" i="10"/>
  <c r="Y41" i="10"/>
  <c r="N41" i="10"/>
  <c r="M41" i="10"/>
  <c r="L41" i="10"/>
  <c r="K41" i="10"/>
  <c r="J41" i="10"/>
  <c r="I41" i="10"/>
  <c r="H41" i="10"/>
  <c r="F41" i="10"/>
  <c r="E41" i="10"/>
  <c r="D41" i="10"/>
  <c r="C41" i="10"/>
  <c r="A41" i="10"/>
  <c r="BZ40" i="10"/>
  <c r="BY40" i="10"/>
  <c r="BW40" i="10"/>
  <c r="BV40" i="10"/>
  <c r="BT40" i="10"/>
  <c r="BS40" i="10"/>
  <c r="BR40" i="10"/>
  <c r="BQ40" i="10"/>
  <c r="BO40" i="10"/>
  <c r="BN40" i="10"/>
  <c r="BM40" i="10"/>
  <c r="BL40" i="10"/>
  <c r="BJ40" i="10"/>
  <c r="BI40" i="10"/>
  <c r="BH40" i="10"/>
  <c r="BG40" i="10"/>
  <c r="BE40" i="10"/>
  <c r="BD40" i="10"/>
  <c r="BC40" i="10"/>
  <c r="BB40" i="10"/>
  <c r="AZ40" i="10"/>
  <c r="AY40" i="10"/>
  <c r="AX40" i="10"/>
  <c r="AW40" i="10"/>
  <c r="AU40" i="10"/>
  <c r="AT40" i="10"/>
  <c r="AS40" i="10"/>
  <c r="AR40" i="10"/>
  <c r="AP40" i="10"/>
  <c r="AO40" i="10"/>
  <c r="AN40" i="10"/>
  <c r="AM40" i="10"/>
  <c r="AD40" i="10"/>
  <c r="AC40" i="10"/>
  <c r="AB40" i="10"/>
  <c r="AA40" i="10"/>
  <c r="Z40" i="10"/>
  <c r="Y40" i="10"/>
  <c r="N40" i="10"/>
  <c r="M40" i="10"/>
  <c r="L40" i="10"/>
  <c r="K40" i="10"/>
  <c r="J40" i="10"/>
  <c r="I40" i="10"/>
  <c r="H40" i="10"/>
  <c r="F40" i="10"/>
  <c r="E40" i="10"/>
  <c r="D40" i="10"/>
  <c r="C40" i="10"/>
  <c r="A40" i="10"/>
  <c r="BZ39" i="10"/>
  <c r="BY39" i="10"/>
  <c r="BW39" i="10"/>
  <c r="BV39" i="10"/>
  <c r="BT39" i="10"/>
  <c r="BS39" i="10"/>
  <c r="BR39" i="10"/>
  <c r="BQ39" i="10"/>
  <c r="BO39" i="10"/>
  <c r="BN39" i="10"/>
  <c r="BM39" i="10"/>
  <c r="BL39" i="10"/>
  <c r="BJ39" i="10"/>
  <c r="BI39" i="10"/>
  <c r="BH39" i="10"/>
  <c r="BG39" i="10"/>
  <c r="BE39" i="10"/>
  <c r="BD39" i="10"/>
  <c r="BC39" i="10"/>
  <c r="BB39" i="10"/>
  <c r="AZ39" i="10"/>
  <c r="AY39" i="10"/>
  <c r="AX39" i="10"/>
  <c r="AW39" i="10"/>
  <c r="AU39" i="10"/>
  <c r="AT39" i="10"/>
  <c r="AS39" i="10"/>
  <c r="AR39" i="10"/>
  <c r="AP39" i="10"/>
  <c r="AO39" i="10"/>
  <c r="AN39" i="10"/>
  <c r="AM39" i="10"/>
  <c r="AD39" i="10"/>
  <c r="AC39" i="10"/>
  <c r="AB39" i="10"/>
  <c r="AA39" i="10"/>
  <c r="Z39" i="10"/>
  <c r="Y39" i="10"/>
  <c r="N39" i="10"/>
  <c r="M39" i="10"/>
  <c r="L39" i="10"/>
  <c r="K39" i="10"/>
  <c r="J39" i="10"/>
  <c r="I39" i="10"/>
  <c r="H39" i="10"/>
  <c r="F39" i="10"/>
  <c r="E39" i="10"/>
  <c r="D39" i="10"/>
  <c r="C39" i="10"/>
  <c r="A39" i="10"/>
  <c r="BZ38" i="10"/>
  <c r="BY38" i="10"/>
  <c r="BW38" i="10"/>
  <c r="BV38" i="10"/>
  <c r="BT38" i="10"/>
  <c r="BS38" i="10"/>
  <c r="BR38" i="10"/>
  <c r="BQ38" i="10"/>
  <c r="BO38" i="10"/>
  <c r="BN38" i="10"/>
  <c r="BM38" i="10"/>
  <c r="BL38" i="10"/>
  <c r="BJ38" i="10"/>
  <c r="BI38" i="10"/>
  <c r="BH38" i="10"/>
  <c r="BG38" i="10"/>
  <c r="BE38" i="10"/>
  <c r="BD38" i="10"/>
  <c r="BC38" i="10"/>
  <c r="BB38" i="10"/>
  <c r="AZ38" i="10"/>
  <c r="AY38" i="10"/>
  <c r="AX38" i="10"/>
  <c r="AW38" i="10"/>
  <c r="AU38" i="10"/>
  <c r="AT38" i="10"/>
  <c r="AS38" i="10"/>
  <c r="AR38" i="10"/>
  <c r="AP38" i="10"/>
  <c r="AO38" i="10"/>
  <c r="AN38" i="10"/>
  <c r="AM38" i="10"/>
  <c r="AD38" i="10"/>
  <c r="AC38" i="10"/>
  <c r="AB38" i="10"/>
  <c r="AA38" i="10"/>
  <c r="Z38" i="10"/>
  <c r="Y38" i="10"/>
  <c r="N38" i="10"/>
  <c r="M38" i="10"/>
  <c r="L38" i="10"/>
  <c r="K38" i="10"/>
  <c r="J38" i="10"/>
  <c r="I38" i="10"/>
  <c r="H38" i="10"/>
  <c r="F38" i="10"/>
  <c r="E38" i="10"/>
  <c r="D38" i="10"/>
  <c r="C38" i="10"/>
  <c r="A38" i="10"/>
  <c r="BZ37" i="10"/>
  <c r="BY37" i="10"/>
  <c r="BW37" i="10"/>
  <c r="BV37" i="10"/>
  <c r="BT37" i="10"/>
  <c r="BS37" i="10"/>
  <c r="BR37" i="10"/>
  <c r="BQ37" i="10"/>
  <c r="BO37" i="10"/>
  <c r="BN37" i="10"/>
  <c r="BM37" i="10"/>
  <c r="BL37" i="10"/>
  <c r="BJ37" i="10"/>
  <c r="BI37" i="10"/>
  <c r="BH37" i="10"/>
  <c r="BG37" i="10"/>
  <c r="BE37" i="10"/>
  <c r="BD37" i="10"/>
  <c r="BC37" i="10"/>
  <c r="BB37" i="10"/>
  <c r="AZ37" i="10"/>
  <c r="AY37" i="10"/>
  <c r="AX37" i="10"/>
  <c r="AW37" i="10"/>
  <c r="AU37" i="10"/>
  <c r="AT37" i="10"/>
  <c r="AS37" i="10"/>
  <c r="AR37" i="10"/>
  <c r="AP37" i="10"/>
  <c r="AO37" i="10"/>
  <c r="AN37" i="10"/>
  <c r="AM37" i="10"/>
  <c r="AD37" i="10"/>
  <c r="AC37" i="10"/>
  <c r="AB37" i="10"/>
  <c r="AA37" i="10"/>
  <c r="Z37" i="10"/>
  <c r="Y37" i="10"/>
  <c r="N37" i="10"/>
  <c r="M37" i="10"/>
  <c r="L37" i="10"/>
  <c r="K37" i="10"/>
  <c r="J37" i="10"/>
  <c r="I37" i="10"/>
  <c r="H37" i="10"/>
  <c r="F37" i="10"/>
  <c r="E37" i="10"/>
  <c r="D37" i="10"/>
  <c r="C37" i="10"/>
  <c r="A37" i="10"/>
  <c r="BZ36" i="10"/>
  <c r="BY36" i="10"/>
  <c r="BW36" i="10"/>
  <c r="BV36" i="10"/>
  <c r="BT36" i="10"/>
  <c r="BS36" i="10"/>
  <c r="BR36" i="10"/>
  <c r="BQ36" i="10"/>
  <c r="BO36" i="10"/>
  <c r="BN36" i="10"/>
  <c r="BM36" i="10"/>
  <c r="BL36" i="10"/>
  <c r="BJ36" i="10"/>
  <c r="BI36" i="10"/>
  <c r="BH36" i="10"/>
  <c r="BG36" i="10"/>
  <c r="BE36" i="10"/>
  <c r="BD36" i="10"/>
  <c r="BC36" i="10"/>
  <c r="BB36" i="10"/>
  <c r="AZ36" i="10"/>
  <c r="AY36" i="10"/>
  <c r="AX36" i="10"/>
  <c r="AW36" i="10"/>
  <c r="AU36" i="10"/>
  <c r="AT36" i="10"/>
  <c r="AS36" i="10"/>
  <c r="AR36" i="10"/>
  <c r="AP36" i="10"/>
  <c r="AO36" i="10"/>
  <c r="AN36" i="10"/>
  <c r="AM36" i="10"/>
  <c r="AD36" i="10"/>
  <c r="AC36" i="10"/>
  <c r="AB36" i="10"/>
  <c r="AA36" i="10"/>
  <c r="Z36" i="10"/>
  <c r="Y36" i="10"/>
  <c r="N36" i="10"/>
  <c r="M36" i="10"/>
  <c r="L36" i="10"/>
  <c r="K36" i="10"/>
  <c r="J36" i="10"/>
  <c r="I36" i="10"/>
  <c r="H36" i="10"/>
  <c r="F36" i="10"/>
  <c r="E36" i="10"/>
  <c r="D36" i="10"/>
  <c r="C36" i="10"/>
  <c r="A36" i="10"/>
  <c r="BZ35" i="10"/>
  <c r="BY35" i="10"/>
  <c r="BW35" i="10"/>
  <c r="BV35" i="10"/>
  <c r="BT35" i="10"/>
  <c r="BS35" i="10"/>
  <c r="BR35" i="10"/>
  <c r="BQ35" i="10"/>
  <c r="BO35" i="10"/>
  <c r="BN35" i="10"/>
  <c r="BM35" i="10"/>
  <c r="BL35" i="10"/>
  <c r="BJ35" i="10"/>
  <c r="BI35" i="10"/>
  <c r="BH35" i="10"/>
  <c r="BG35" i="10"/>
  <c r="BE35" i="10"/>
  <c r="BD35" i="10"/>
  <c r="BC35" i="10"/>
  <c r="BB35" i="10"/>
  <c r="AZ35" i="10"/>
  <c r="AY35" i="10"/>
  <c r="AX35" i="10"/>
  <c r="AW35" i="10"/>
  <c r="AU35" i="10"/>
  <c r="AT35" i="10"/>
  <c r="AS35" i="10"/>
  <c r="AR35" i="10"/>
  <c r="AP35" i="10"/>
  <c r="AO35" i="10"/>
  <c r="AN35" i="10"/>
  <c r="AM35" i="10"/>
  <c r="AD35" i="10"/>
  <c r="AC35" i="10"/>
  <c r="AB35" i="10"/>
  <c r="AA35" i="10"/>
  <c r="Z35" i="10"/>
  <c r="Y35" i="10"/>
  <c r="N35" i="10"/>
  <c r="M35" i="10"/>
  <c r="L35" i="10"/>
  <c r="K35" i="10"/>
  <c r="J35" i="10"/>
  <c r="I35" i="10"/>
  <c r="H35" i="10"/>
  <c r="F35" i="10"/>
  <c r="E35" i="10"/>
  <c r="D35" i="10"/>
  <c r="C35" i="10"/>
  <c r="A35" i="10"/>
  <c r="BZ34" i="10"/>
  <c r="BY34" i="10"/>
  <c r="BW34" i="10"/>
  <c r="BV34" i="10"/>
  <c r="BT34" i="10"/>
  <c r="BS34" i="10"/>
  <c r="BR34" i="10"/>
  <c r="BQ34" i="10"/>
  <c r="BO34" i="10"/>
  <c r="BN34" i="10"/>
  <c r="BM34" i="10"/>
  <c r="BL34" i="10"/>
  <c r="BJ34" i="10"/>
  <c r="BI34" i="10"/>
  <c r="BH34" i="10"/>
  <c r="BG34" i="10"/>
  <c r="BE34" i="10"/>
  <c r="BD34" i="10"/>
  <c r="BC34" i="10"/>
  <c r="BB34" i="10"/>
  <c r="AZ34" i="10"/>
  <c r="AY34" i="10"/>
  <c r="AX34" i="10"/>
  <c r="AW34" i="10"/>
  <c r="AU34" i="10"/>
  <c r="AT34" i="10"/>
  <c r="AS34" i="10"/>
  <c r="AR34" i="10"/>
  <c r="AP34" i="10"/>
  <c r="AO34" i="10"/>
  <c r="AN34" i="10"/>
  <c r="AM34" i="10"/>
  <c r="AD34" i="10"/>
  <c r="AC34" i="10"/>
  <c r="AB34" i="10"/>
  <c r="AA34" i="10"/>
  <c r="Z34" i="10"/>
  <c r="Y34" i="10"/>
  <c r="N34" i="10"/>
  <c r="M34" i="10"/>
  <c r="L34" i="10"/>
  <c r="K34" i="10"/>
  <c r="J34" i="10"/>
  <c r="I34" i="10"/>
  <c r="H34" i="10"/>
  <c r="F34" i="10"/>
  <c r="E34" i="10"/>
  <c r="D34" i="10"/>
  <c r="C34" i="10"/>
  <c r="A34" i="10"/>
  <c r="BZ33" i="10"/>
  <c r="BY33" i="10"/>
  <c r="BW33" i="10"/>
  <c r="BV33" i="10"/>
  <c r="BT33" i="10"/>
  <c r="BS33" i="10"/>
  <c r="BR33" i="10"/>
  <c r="BQ33" i="10"/>
  <c r="BO33" i="10"/>
  <c r="BN33" i="10"/>
  <c r="BM33" i="10"/>
  <c r="BL33" i="10"/>
  <c r="BJ33" i="10"/>
  <c r="BI33" i="10"/>
  <c r="BH33" i="10"/>
  <c r="BG33" i="10"/>
  <c r="BE33" i="10"/>
  <c r="BD33" i="10"/>
  <c r="BC33" i="10"/>
  <c r="BB33" i="10"/>
  <c r="AZ33" i="10"/>
  <c r="AY33" i="10"/>
  <c r="AX33" i="10"/>
  <c r="AW33" i="10"/>
  <c r="AU33" i="10"/>
  <c r="AT33" i="10"/>
  <c r="AS33" i="10"/>
  <c r="AR33" i="10"/>
  <c r="AP33" i="10"/>
  <c r="AO33" i="10"/>
  <c r="AN33" i="10"/>
  <c r="AM33" i="10"/>
  <c r="AD33" i="10"/>
  <c r="AC33" i="10"/>
  <c r="AB33" i="10"/>
  <c r="AA33" i="10"/>
  <c r="Z33" i="10"/>
  <c r="Y33" i="10"/>
  <c r="N33" i="10"/>
  <c r="M33" i="10"/>
  <c r="L33" i="10"/>
  <c r="K33" i="10"/>
  <c r="J33" i="10"/>
  <c r="I33" i="10"/>
  <c r="H33" i="10"/>
  <c r="F33" i="10"/>
  <c r="E33" i="10"/>
  <c r="D33" i="10"/>
  <c r="C33" i="10"/>
  <c r="A33" i="10"/>
  <c r="BZ32" i="10"/>
  <c r="BY32" i="10"/>
  <c r="BW32" i="10"/>
  <c r="BV32" i="10"/>
  <c r="BT32" i="10"/>
  <c r="BS32" i="10"/>
  <c r="BR32" i="10"/>
  <c r="BQ32" i="10"/>
  <c r="BO32" i="10"/>
  <c r="BN32" i="10"/>
  <c r="BM32" i="10"/>
  <c r="BL32" i="10"/>
  <c r="BJ32" i="10"/>
  <c r="BI32" i="10"/>
  <c r="BH32" i="10"/>
  <c r="BG32" i="10"/>
  <c r="BE32" i="10"/>
  <c r="BD32" i="10"/>
  <c r="BC32" i="10"/>
  <c r="BB32" i="10"/>
  <c r="AZ32" i="10"/>
  <c r="AY32" i="10"/>
  <c r="AX32" i="10"/>
  <c r="AW32" i="10"/>
  <c r="AU32" i="10"/>
  <c r="AT32" i="10"/>
  <c r="AS32" i="10"/>
  <c r="AR32" i="10"/>
  <c r="AP32" i="10"/>
  <c r="AO32" i="10"/>
  <c r="AN32" i="10"/>
  <c r="AM32" i="10"/>
  <c r="AD32" i="10"/>
  <c r="AC32" i="10"/>
  <c r="AB32" i="10"/>
  <c r="AA32" i="10"/>
  <c r="Z32" i="10"/>
  <c r="Y32" i="10"/>
  <c r="N32" i="10"/>
  <c r="M32" i="10"/>
  <c r="L32" i="10"/>
  <c r="K32" i="10"/>
  <c r="J32" i="10"/>
  <c r="I32" i="10"/>
  <c r="H32" i="10"/>
  <c r="F32" i="10"/>
  <c r="E32" i="10"/>
  <c r="D32" i="10"/>
  <c r="C32" i="10"/>
  <c r="A32" i="10"/>
  <c r="BZ31" i="10"/>
  <c r="BY31" i="10"/>
  <c r="BW31" i="10"/>
  <c r="BV31" i="10"/>
  <c r="BT31" i="10"/>
  <c r="BS31" i="10"/>
  <c r="BR31" i="10"/>
  <c r="BQ31" i="10"/>
  <c r="BO31" i="10"/>
  <c r="BN31" i="10"/>
  <c r="BM31" i="10"/>
  <c r="BL31" i="10"/>
  <c r="BJ31" i="10"/>
  <c r="BI31" i="10"/>
  <c r="BH31" i="10"/>
  <c r="BG31" i="10"/>
  <c r="BE31" i="10"/>
  <c r="BD31" i="10"/>
  <c r="BC31" i="10"/>
  <c r="BB31" i="10"/>
  <c r="AZ31" i="10"/>
  <c r="AY31" i="10"/>
  <c r="AX31" i="10"/>
  <c r="AW31" i="10"/>
  <c r="AU31" i="10"/>
  <c r="AT31" i="10"/>
  <c r="AS31" i="10"/>
  <c r="AR31" i="10"/>
  <c r="AP31" i="10"/>
  <c r="AO31" i="10"/>
  <c r="AN31" i="10"/>
  <c r="AM31" i="10"/>
  <c r="AD31" i="10"/>
  <c r="AC31" i="10"/>
  <c r="AB31" i="10"/>
  <c r="AA31" i="10"/>
  <c r="Z31" i="10"/>
  <c r="Y31" i="10"/>
  <c r="N31" i="10"/>
  <c r="M31" i="10"/>
  <c r="L31" i="10"/>
  <c r="K31" i="10"/>
  <c r="J31" i="10"/>
  <c r="I31" i="10"/>
  <c r="H31" i="10"/>
  <c r="F31" i="10"/>
  <c r="E31" i="10"/>
  <c r="D31" i="10"/>
  <c r="C31" i="10"/>
  <c r="A31" i="10"/>
  <c r="BZ30" i="10"/>
  <c r="BY30" i="10"/>
  <c r="BW30" i="10"/>
  <c r="BV30" i="10"/>
  <c r="BT30" i="10"/>
  <c r="BS30" i="10"/>
  <c r="BR30" i="10"/>
  <c r="BQ30" i="10"/>
  <c r="BO30" i="10"/>
  <c r="BN30" i="10"/>
  <c r="BM30" i="10"/>
  <c r="BL30" i="10"/>
  <c r="BJ30" i="10"/>
  <c r="BI30" i="10"/>
  <c r="BH30" i="10"/>
  <c r="BG30" i="10"/>
  <c r="BE30" i="10"/>
  <c r="BD30" i="10"/>
  <c r="BC30" i="10"/>
  <c r="BB30" i="10"/>
  <c r="AZ30" i="10"/>
  <c r="AY30" i="10"/>
  <c r="AX30" i="10"/>
  <c r="AW30" i="10"/>
  <c r="AU30" i="10"/>
  <c r="AT30" i="10"/>
  <c r="AS30" i="10"/>
  <c r="AR30" i="10"/>
  <c r="AP30" i="10"/>
  <c r="AO30" i="10"/>
  <c r="AN30" i="10"/>
  <c r="AM30" i="10"/>
  <c r="AD30" i="10"/>
  <c r="AC30" i="10"/>
  <c r="AB30" i="10"/>
  <c r="AA30" i="10"/>
  <c r="Z30" i="10"/>
  <c r="Y30" i="10"/>
  <c r="N30" i="10"/>
  <c r="M30" i="10"/>
  <c r="L30" i="10"/>
  <c r="K30" i="10"/>
  <c r="J30" i="10"/>
  <c r="I30" i="10"/>
  <c r="H30" i="10"/>
  <c r="F30" i="10"/>
  <c r="E30" i="10"/>
  <c r="D30" i="10"/>
  <c r="C30" i="10"/>
  <c r="A30" i="10"/>
  <c r="BZ29" i="10"/>
  <c r="BY29" i="10"/>
  <c r="BW29" i="10"/>
  <c r="BV29" i="10"/>
  <c r="BT29" i="10"/>
  <c r="BS29" i="10"/>
  <c r="BR29" i="10"/>
  <c r="BQ29" i="10"/>
  <c r="BO29" i="10"/>
  <c r="BN29" i="10"/>
  <c r="BM29" i="10"/>
  <c r="BL29" i="10"/>
  <c r="BJ29" i="10"/>
  <c r="BI29" i="10"/>
  <c r="BH29" i="10"/>
  <c r="BG29" i="10"/>
  <c r="BE29" i="10"/>
  <c r="BD29" i="10"/>
  <c r="BC29" i="10"/>
  <c r="BB29" i="10"/>
  <c r="AZ29" i="10"/>
  <c r="AY29" i="10"/>
  <c r="AX29" i="10"/>
  <c r="AW29" i="10"/>
  <c r="AU29" i="10"/>
  <c r="AT29" i="10"/>
  <c r="AS29" i="10"/>
  <c r="AR29" i="10"/>
  <c r="AP29" i="10"/>
  <c r="AO29" i="10"/>
  <c r="AN29" i="10"/>
  <c r="AM29" i="10"/>
  <c r="AD29" i="10"/>
  <c r="AC29" i="10"/>
  <c r="AB29" i="10"/>
  <c r="AA29" i="10"/>
  <c r="Z29" i="10"/>
  <c r="Y29" i="10"/>
  <c r="N29" i="10"/>
  <c r="M29" i="10"/>
  <c r="L29" i="10"/>
  <c r="K29" i="10"/>
  <c r="J29" i="10"/>
  <c r="I29" i="10"/>
  <c r="H29" i="10"/>
  <c r="F29" i="10"/>
  <c r="E29" i="10"/>
  <c r="D29" i="10"/>
  <c r="C29" i="10"/>
  <c r="A29" i="10"/>
  <c r="BZ28" i="10"/>
  <c r="BY28" i="10"/>
  <c r="BW28" i="10"/>
  <c r="BV28" i="10"/>
  <c r="BT28" i="10"/>
  <c r="BS28" i="10"/>
  <c r="BR28" i="10"/>
  <c r="BQ28" i="10"/>
  <c r="BO28" i="10"/>
  <c r="BN28" i="10"/>
  <c r="BM28" i="10"/>
  <c r="BL28" i="10"/>
  <c r="BJ28" i="10"/>
  <c r="BI28" i="10"/>
  <c r="BH28" i="10"/>
  <c r="BG28" i="10"/>
  <c r="BE28" i="10"/>
  <c r="BD28" i="10"/>
  <c r="BC28" i="10"/>
  <c r="BB28" i="10"/>
  <c r="AZ28" i="10"/>
  <c r="AY28" i="10"/>
  <c r="AX28" i="10"/>
  <c r="AW28" i="10"/>
  <c r="AU28" i="10"/>
  <c r="AT28" i="10"/>
  <c r="AS28" i="10"/>
  <c r="AR28" i="10"/>
  <c r="AP28" i="10"/>
  <c r="AO28" i="10"/>
  <c r="AN28" i="10"/>
  <c r="AM28" i="10"/>
  <c r="AD28" i="10"/>
  <c r="AC28" i="10"/>
  <c r="AB28" i="10"/>
  <c r="AA28" i="10"/>
  <c r="Z28" i="10"/>
  <c r="Y28" i="10"/>
  <c r="N28" i="10"/>
  <c r="M28" i="10"/>
  <c r="L28" i="10"/>
  <c r="K28" i="10"/>
  <c r="J28" i="10"/>
  <c r="I28" i="10"/>
  <c r="H28" i="10"/>
  <c r="F28" i="10"/>
  <c r="E28" i="10"/>
  <c r="D28" i="10"/>
  <c r="C28" i="10"/>
  <c r="A28" i="10"/>
  <c r="BZ27" i="10"/>
  <c r="BY27" i="10"/>
  <c r="BW27" i="10"/>
  <c r="BV27" i="10"/>
  <c r="BT27" i="10"/>
  <c r="BS27" i="10"/>
  <c r="BR27" i="10"/>
  <c r="BQ27" i="10"/>
  <c r="BO27" i="10"/>
  <c r="BN27" i="10"/>
  <c r="BM27" i="10"/>
  <c r="BL27" i="10"/>
  <c r="BJ27" i="10"/>
  <c r="BI27" i="10"/>
  <c r="BH27" i="10"/>
  <c r="BG27" i="10"/>
  <c r="BE27" i="10"/>
  <c r="BD27" i="10"/>
  <c r="BC27" i="10"/>
  <c r="BB27" i="10"/>
  <c r="AZ27" i="10"/>
  <c r="AY27" i="10"/>
  <c r="AX27" i="10"/>
  <c r="AW27" i="10"/>
  <c r="AU27" i="10"/>
  <c r="AT27" i="10"/>
  <c r="AS27" i="10"/>
  <c r="AR27" i="10"/>
  <c r="AP27" i="10"/>
  <c r="AO27" i="10"/>
  <c r="AN27" i="10"/>
  <c r="AM27" i="10"/>
  <c r="AD27" i="10"/>
  <c r="AC27" i="10"/>
  <c r="AB27" i="10"/>
  <c r="AA27" i="10"/>
  <c r="Z27" i="10"/>
  <c r="Y27" i="10"/>
  <c r="N27" i="10"/>
  <c r="M27" i="10"/>
  <c r="L27" i="10"/>
  <c r="K27" i="10"/>
  <c r="J27" i="10"/>
  <c r="I27" i="10"/>
  <c r="H27" i="10"/>
  <c r="F27" i="10"/>
  <c r="E27" i="10"/>
  <c r="D27" i="10"/>
  <c r="C27" i="10"/>
  <c r="A27" i="10"/>
  <c r="BZ26" i="10"/>
  <c r="BY26" i="10"/>
  <c r="BW26" i="10"/>
  <c r="BV26" i="10"/>
  <c r="BT26" i="10"/>
  <c r="BS26" i="10"/>
  <c r="BR26" i="10"/>
  <c r="BQ26" i="10"/>
  <c r="BO26" i="10"/>
  <c r="BN26" i="10"/>
  <c r="BM26" i="10"/>
  <c r="BL26" i="10"/>
  <c r="BJ26" i="10"/>
  <c r="BI26" i="10"/>
  <c r="BH26" i="10"/>
  <c r="BG26" i="10"/>
  <c r="BE26" i="10"/>
  <c r="BD26" i="10"/>
  <c r="BC26" i="10"/>
  <c r="BB26" i="10"/>
  <c r="AZ26" i="10"/>
  <c r="AY26" i="10"/>
  <c r="AX26" i="10"/>
  <c r="AW26" i="10"/>
  <c r="AU26" i="10"/>
  <c r="AT26" i="10"/>
  <c r="AS26" i="10"/>
  <c r="AR26" i="10"/>
  <c r="AP26" i="10"/>
  <c r="AO26" i="10"/>
  <c r="AN26" i="10"/>
  <c r="AM26" i="10"/>
  <c r="AD26" i="10"/>
  <c r="AC26" i="10"/>
  <c r="AB26" i="10"/>
  <c r="AA26" i="10"/>
  <c r="Z26" i="10"/>
  <c r="Y26" i="10"/>
  <c r="N26" i="10"/>
  <c r="M26" i="10"/>
  <c r="L26" i="10"/>
  <c r="K26" i="10"/>
  <c r="J26" i="10"/>
  <c r="I26" i="10"/>
  <c r="H26" i="10"/>
  <c r="F26" i="10"/>
  <c r="E26" i="10"/>
  <c r="D26" i="10"/>
  <c r="C26" i="10"/>
  <c r="A26" i="10"/>
  <c r="BZ25" i="10"/>
  <c r="BY25" i="10"/>
  <c r="BW25" i="10"/>
  <c r="BV25" i="10"/>
  <c r="BT25" i="10"/>
  <c r="BS25" i="10"/>
  <c r="BR25" i="10"/>
  <c r="BQ25" i="10"/>
  <c r="BO25" i="10"/>
  <c r="BN25" i="10"/>
  <c r="BM25" i="10"/>
  <c r="BL25" i="10"/>
  <c r="BJ25" i="10"/>
  <c r="BI25" i="10"/>
  <c r="BH25" i="10"/>
  <c r="BG25" i="10"/>
  <c r="BE25" i="10"/>
  <c r="BD25" i="10"/>
  <c r="BC25" i="10"/>
  <c r="BB25" i="10"/>
  <c r="AZ25" i="10"/>
  <c r="AY25" i="10"/>
  <c r="AX25" i="10"/>
  <c r="AW25" i="10"/>
  <c r="AU25" i="10"/>
  <c r="AT25" i="10"/>
  <c r="AS25" i="10"/>
  <c r="AR25" i="10"/>
  <c r="AP25" i="10"/>
  <c r="AO25" i="10"/>
  <c r="AN25" i="10"/>
  <c r="AM25" i="10"/>
  <c r="AD25" i="10"/>
  <c r="AC25" i="10"/>
  <c r="AB25" i="10"/>
  <c r="AA25" i="10"/>
  <c r="Z25" i="10"/>
  <c r="Y25" i="10"/>
  <c r="N25" i="10"/>
  <c r="M25" i="10"/>
  <c r="L25" i="10"/>
  <c r="K25" i="10"/>
  <c r="J25" i="10"/>
  <c r="I25" i="10"/>
  <c r="H25" i="10"/>
  <c r="F25" i="10"/>
  <c r="E25" i="10"/>
  <c r="D25" i="10"/>
  <c r="C25" i="10"/>
  <c r="A25" i="10"/>
  <c r="BZ24" i="10"/>
  <c r="BY24" i="10"/>
  <c r="BW24" i="10"/>
  <c r="BV24" i="10"/>
  <c r="BT24" i="10"/>
  <c r="BS24" i="10"/>
  <c r="BR24" i="10"/>
  <c r="BQ24" i="10"/>
  <c r="BO24" i="10"/>
  <c r="BN24" i="10"/>
  <c r="BM24" i="10"/>
  <c r="BL24" i="10"/>
  <c r="BJ24" i="10"/>
  <c r="BI24" i="10"/>
  <c r="BH24" i="10"/>
  <c r="BG24" i="10"/>
  <c r="BE24" i="10"/>
  <c r="BD24" i="10"/>
  <c r="BC24" i="10"/>
  <c r="BB24" i="10"/>
  <c r="AZ24" i="10"/>
  <c r="AY24" i="10"/>
  <c r="AX24" i="10"/>
  <c r="AW24" i="10"/>
  <c r="AU24" i="10"/>
  <c r="AT24" i="10"/>
  <c r="AS24" i="10"/>
  <c r="AR24" i="10"/>
  <c r="AP24" i="10"/>
  <c r="AO24" i="10"/>
  <c r="AN24" i="10"/>
  <c r="AM24" i="10"/>
  <c r="AD24" i="10"/>
  <c r="AC24" i="10"/>
  <c r="AB24" i="10"/>
  <c r="AA24" i="10"/>
  <c r="Z24" i="10"/>
  <c r="Y24" i="10"/>
  <c r="N24" i="10"/>
  <c r="M24" i="10"/>
  <c r="L24" i="10"/>
  <c r="K24" i="10"/>
  <c r="J24" i="10"/>
  <c r="I24" i="10"/>
  <c r="H24" i="10"/>
  <c r="F24" i="10"/>
  <c r="E24" i="10"/>
  <c r="D24" i="10"/>
  <c r="C24" i="10"/>
  <c r="A24" i="10"/>
  <c r="BZ23" i="10"/>
  <c r="BY23" i="10"/>
  <c r="BW23" i="10"/>
  <c r="BV23" i="10"/>
  <c r="BT23" i="10"/>
  <c r="BS23" i="10"/>
  <c r="BR23" i="10"/>
  <c r="BQ23" i="10"/>
  <c r="BO23" i="10"/>
  <c r="BN23" i="10"/>
  <c r="BM23" i="10"/>
  <c r="BL23" i="10"/>
  <c r="BJ23" i="10"/>
  <c r="BI23" i="10"/>
  <c r="BH23" i="10"/>
  <c r="BG23" i="10"/>
  <c r="BE23" i="10"/>
  <c r="BD23" i="10"/>
  <c r="BC23" i="10"/>
  <c r="BB23" i="10"/>
  <c r="AZ23" i="10"/>
  <c r="AY23" i="10"/>
  <c r="AX23" i="10"/>
  <c r="AW23" i="10"/>
  <c r="AU23" i="10"/>
  <c r="AT23" i="10"/>
  <c r="AS23" i="10"/>
  <c r="AR23" i="10"/>
  <c r="AP23" i="10"/>
  <c r="AO23" i="10"/>
  <c r="AN23" i="10"/>
  <c r="AM23" i="10"/>
  <c r="AD23" i="10"/>
  <c r="AC23" i="10"/>
  <c r="AB23" i="10"/>
  <c r="AA23" i="10"/>
  <c r="Z23" i="10"/>
  <c r="Y23" i="10"/>
  <c r="N23" i="10"/>
  <c r="M23" i="10"/>
  <c r="L23" i="10"/>
  <c r="K23" i="10"/>
  <c r="J23" i="10"/>
  <c r="I23" i="10"/>
  <c r="H23" i="10"/>
  <c r="F23" i="10"/>
  <c r="E23" i="10"/>
  <c r="D23" i="10"/>
  <c r="C23" i="10"/>
  <c r="A23" i="10"/>
  <c r="BZ22" i="10"/>
  <c r="BY22" i="10"/>
  <c r="BW22" i="10"/>
  <c r="BV22" i="10"/>
  <c r="BT22" i="10"/>
  <c r="BS22" i="10"/>
  <c r="BR22" i="10"/>
  <c r="BQ22" i="10"/>
  <c r="BO22" i="10"/>
  <c r="BN22" i="10"/>
  <c r="BM22" i="10"/>
  <c r="BL22" i="10"/>
  <c r="BJ22" i="10"/>
  <c r="BI22" i="10"/>
  <c r="BH22" i="10"/>
  <c r="BG22" i="10"/>
  <c r="BE22" i="10"/>
  <c r="BD22" i="10"/>
  <c r="BC22" i="10"/>
  <c r="BB22" i="10"/>
  <c r="AZ22" i="10"/>
  <c r="AY22" i="10"/>
  <c r="AX22" i="10"/>
  <c r="AW22" i="10"/>
  <c r="AU22" i="10"/>
  <c r="AT22" i="10"/>
  <c r="AS22" i="10"/>
  <c r="AR22" i="10"/>
  <c r="AP22" i="10"/>
  <c r="AO22" i="10"/>
  <c r="AN22" i="10"/>
  <c r="AM22" i="10"/>
  <c r="AD22" i="10"/>
  <c r="AC22" i="10"/>
  <c r="AB22" i="10"/>
  <c r="AA22" i="10"/>
  <c r="Z22" i="10"/>
  <c r="Y22" i="10"/>
  <c r="N22" i="10"/>
  <c r="M22" i="10"/>
  <c r="L22" i="10"/>
  <c r="K22" i="10"/>
  <c r="J22" i="10"/>
  <c r="I22" i="10"/>
  <c r="H22" i="10"/>
  <c r="F22" i="10"/>
  <c r="E22" i="10"/>
  <c r="D22" i="10"/>
  <c r="C22" i="10"/>
  <c r="A22" i="10"/>
  <c r="BZ21" i="10"/>
  <c r="BY21" i="10"/>
  <c r="BW21" i="10"/>
  <c r="BV21" i="10"/>
  <c r="BT21" i="10"/>
  <c r="BS21" i="10"/>
  <c r="BR21" i="10"/>
  <c r="BQ21" i="10"/>
  <c r="BO21" i="10"/>
  <c r="BN21" i="10"/>
  <c r="BM21" i="10"/>
  <c r="BL21" i="10"/>
  <c r="BJ21" i="10"/>
  <c r="BI21" i="10"/>
  <c r="BH21" i="10"/>
  <c r="BG21" i="10"/>
  <c r="BE21" i="10"/>
  <c r="BD21" i="10"/>
  <c r="BC21" i="10"/>
  <c r="BB21" i="10"/>
  <c r="AZ21" i="10"/>
  <c r="AY21" i="10"/>
  <c r="AX21" i="10"/>
  <c r="AW21" i="10"/>
  <c r="AU21" i="10"/>
  <c r="AT21" i="10"/>
  <c r="AS21" i="10"/>
  <c r="AR21" i="10"/>
  <c r="AP21" i="10"/>
  <c r="AO21" i="10"/>
  <c r="AN21" i="10"/>
  <c r="AM21" i="10"/>
  <c r="AD21" i="10"/>
  <c r="AC21" i="10"/>
  <c r="AB21" i="10"/>
  <c r="AA21" i="10"/>
  <c r="Z21" i="10"/>
  <c r="Y21" i="10"/>
  <c r="N21" i="10"/>
  <c r="M21" i="10"/>
  <c r="L21" i="10"/>
  <c r="K21" i="10"/>
  <c r="J21" i="10"/>
  <c r="I21" i="10"/>
  <c r="H21" i="10"/>
  <c r="F21" i="10"/>
  <c r="E21" i="10"/>
  <c r="D21" i="10"/>
  <c r="C21" i="10"/>
  <c r="A21" i="10"/>
  <c r="BZ20" i="10"/>
  <c r="BY20" i="10"/>
  <c r="BW20" i="10"/>
  <c r="BV20" i="10"/>
  <c r="BT20" i="10"/>
  <c r="BS20" i="10"/>
  <c r="BR20" i="10"/>
  <c r="BQ20" i="10"/>
  <c r="BO20" i="10"/>
  <c r="BN20" i="10"/>
  <c r="BM20" i="10"/>
  <c r="BL20" i="10"/>
  <c r="BJ20" i="10"/>
  <c r="BI20" i="10"/>
  <c r="BH20" i="10"/>
  <c r="BG20" i="10"/>
  <c r="BE20" i="10"/>
  <c r="BD20" i="10"/>
  <c r="BC20" i="10"/>
  <c r="BB20" i="10"/>
  <c r="AZ20" i="10"/>
  <c r="AY20" i="10"/>
  <c r="AX20" i="10"/>
  <c r="AW20" i="10"/>
  <c r="AU20" i="10"/>
  <c r="AT20" i="10"/>
  <c r="AS20" i="10"/>
  <c r="AR20" i="10"/>
  <c r="AP20" i="10"/>
  <c r="AO20" i="10"/>
  <c r="AN20" i="10"/>
  <c r="AM20" i="10"/>
  <c r="AD20" i="10"/>
  <c r="AC20" i="10"/>
  <c r="AB20" i="10"/>
  <c r="AA20" i="10"/>
  <c r="Z20" i="10"/>
  <c r="Y20" i="10"/>
  <c r="N20" i="10"/>
  <c r="M20" i="10"/>
  <c r="L20" i="10"/>
  <c r="K20" i="10"/>
  <c r="J20" i="10"/>
  <c r="I20" i="10"/>
  <c r="H20" i="10"/>
  <c r="F20" i="10"/>
  <c r="E20" i="10"/>
  <c r="D20" i="10"/>
  <c r="C20" i="10"/>
  <c r="A20" i="10"/>
  <c r="BZ19" i="10"/>
  <c r="BY19" i="10"/>
  <c r="BW19" i="10"/>
  <c r="BV19" i="10"/>
  <c r="BT19" i="10"/>
  <c r="BS19" i="10"/>
  <c r="BR19" i="10"/>
  <c r="BQ19" i="10"/>
  <c r="BO19" i="10"/>
  <c r="BN19" i="10"/>
  <c r="BM19" i="10"/>
  <c r="BL19" i="10"/>
  <c r="BJ19" i="10"/>
  <c r="BI19" i="10"/>
  <c r="BH19" i="10"/>
  <c r="BG19" i="10"/>
  <c r="BE19" i="10"/>
  <c r="BD19" i="10"/>
  <c r="BC19" i="10"/>
  <c r="BB19" i="10"/>
  <c r="AZ19" i="10"/>
  <c r="AY19" i="10"/>
  <c r="AX19" i="10"/>
  <c r="AW19" i="10"/>
  <c r="AU19" i="10"/>
  <c r="AT19" i="10"/>
  <c r="AS19" i="10"/>
  <c r="AR19" i="10"/>
  <c r="AP19" i="10"/>
  <c r="AO19" i="10"/>
  <c r="AN19" i="10"/>
  <c r="AM19" i="10"/>
  <c r="AD19" i="10"/>
  <c r="AC19" i="10"/>
  <c r="AB19" i="10"/>
  <c r="AA19" i="10"/>
  <c r="Z19" i="10"/>
  <c r="Y19" i="10"/>
  <c r="N19" i="10"/>
  <c r="M19" i="10"/>
  <c r="L19" i="10"/>
  <c r="K19" i="10"/>
  <c r="J19" i="10"/>
  <c r="I19" i="10"/>
  <c r="H19" i="10"/>
  <c r="F19" i="10"/>
  <c r="E19" i="10"/>
  <c r="D19" i="10"/>
  <c r="C19" i="10"/>
  <c r="A19" i="10"/>
  <c r="BZ18" i="10"/>
  <c r="BY18" i="10"/>
  <c r="BW18" i="10"/>
  <c r="BV18" i="10"/>
  <c r="BT18" i="10"/>
  <c r="BS18" i="10"/>
  <c r="BR18" i="10"/>
  <c r="BQ18" i="10"/>
  <c r="BO18" i="10"/>
  <c r="BN18" i="10"/>
  <c r="BM18" i="10"/>
  <c r="BL18" i="10"/>
  <c r="BJ18" i="10"/>
  <c r="BI18" i="10"/>
  <c r="BH18" i="10"/>
  <c r="BG18" i="10"/>
  <c r="BE18" i="10"/>
  <c r="BD18" i="10"/>
  <c r="BC18" i="10"/>
  <c r="BB18" i="10"/>
  <c r="AZ18" i="10"/>
  <c r="AY18" i="10"/>
  <c r="AX18" i="10"/>
  <c r="AW18" i="10"/>
  <c r="AU18" i="10"/>
  <c r="AT18" i="10"/>
  <c r="AS18" i="10"/>
  <c r="AR18" i="10"/>
  <c r="AP18" i="10"/>
  <c r="AO18" i="10"/>
  <c r="AN18" i="10"/>
  <c r="AM18" i="10"/>
  <c r="AD18" i="10"/>
  <c r="AC18" i="10"/>
  <c r="AB18" i="10"/>
  <c r="AA18" i="10"/>
  <c r="Z18" i="10"/>
  <c r="Y18" i="10"/>
  <c r="N18" i="10"/>
  <c r="M18" i="10"/>
  <c r="L18" i="10"/>
  <c r="K18" i="10"/>
  <c r="J18" i="10"/>
  <c r="I18" i="10"/>
  <c r="H18" i="10"/>
  <c r="F18" i="10"/>
  <c r="E18" i="10"/>
  <c r="D18" i="10"/>
  <c r="C18" i="10"/>
  <c r="A18" i="10"/>
  <c r="BZ17" i="10"/>
  <c r="BY17" i="10"/>
  <c r="BW17" i="10"/>
  <c r="BV17" i="10"/>
  <c r="BT17" i="10"/>
  <c r="BS17" i="10"/>
  <c r="BR17" i="10"/>
  <c r="BQ17" i="10"/>
  <c r="BO17" i="10"/>
  <c r="BN17" i="10"/>
  <c r="BM17" i="10"/>
  <c r="BL17" i="10"/>
  <c r="BJ17" i="10"/>
  <c r="BI17" i="10"/>
  <c r="BH17" i="10"/>
  <c r="BG17" i="10"/>
  <c r="BE17" i="10"/>
  <c r="BD17" i="10"/>
  <c r="BC17" i="10"/>
  <c r="BB17" i="10"/>
  <c r="AZ17" i="10"/>
  <c r="AY17" i="10"/>
  <c r="AX17" i="10"/>
  <c r="AW17" i="10"/>
  <c r="AU17" i="10"/>
  <c r="AT17" i="10"/>
  <c r="AS17" i="10"/>
  <c r="AR17" i="10"/>
  <c r="AP17" i="10"/>
  <c r="AO17" i="10"/>
  <c r="AN17" i="10"/>
  <c r="AM17" i="10"/>
  <c r="AD17" i="10"/>
  <c r="AC17" i="10"/>
  <c r="AB17" i="10"/>
  <c r="AA17" i="10"/>
  <c r="Z17" i="10"/>
  <c r="Y17" i="10"/>
  <c r="N17" i="10"/>
  <c r="M17" i="10"/>
  <c r="L17" i="10"/>
  <c r="K17" i="10"/>
  <c r="J17" i="10"/>
  <c r="I17" i="10"/>
  <c r="H17" i="10"/>
  <c r="F17" i="10"/>
  <c r="E17" i="10"/>
  <c r="D17" i="10"/>
  <c r="C17" i="10"/>
  <c r="A17" i="10"/>
  <c r="BZ16" i="10"/>
  <c r="BY16" i="10"/>
  <c r="BW16" i="10"/>
  <c r="BV16" i="10"/>
  <c r="BT16" i="10"/>
  <c r="BS16" i="10"/>
  <c r="BR16" i="10"/>
  <c r="BQ16" i="10"/>
  <c r="BO16" i="10"/>
  <c r="BN16" i="10"/>
  <c r="BM16" i="10"/>
  <c r="BL16" i="10"/>
  <c r="BJ16" i="10"/>
  <c r="BI16" i="10"/>
  <c r="BH16" i="10"/>
  <c r="BG16" i="10"/>
  <c r="BE16" i="10"/>
  <c r="BD16" i="10"/>
  <c r="BC16" i="10"/>
  <c r="BB16" i="10"/>
  <c r="AZ16" i="10"/>
  <c r="AY16" i="10"/>
  <c r="AX16" i="10"/>
  <c r="AW16" i="10"/>
  <c r="AU16" i="10"/>
  <c r="AT16" i="10"/>
  <c r="AS16" i="10"/>
  <c r="AR16" i="10"/>
  <c r="AP16" i="10"/>
  <c r="AO16" i="10"/>
  <c r="AN16" i="10"/>
  <c r="AM16" i="10"/>
  <c r="AD16" i="10"/>
  <c r="AC16" i="10"/>
  <c r="AB16" i="10"/>
  <c r="AA16" i="10"/>
  <c r="Z16" i="10"/>
  <c r="Y16" i="10"/>
  <c r="N16" i="10"/>
  <c r="M16" i="10"/>
  <c r="L16" i="10"/>
  <c r="K16" i="10"/>
  <c r="J16" i="10"/>
  <c r="I16" i="10"/>
  <c r="H16" i="10"/>
  <c r="F16" i="10"/>
  <c r="E16" i="10"/>
  <c r="D16" i="10"/>
  <c r="C16" i="10"/>
  <c r="A16" i="10"/>
  <c r="BZ15" i="10"/>
  <c r="BY15" i="10"/>
  <c r="BW15" i="10"/>
  <c r="BV15" i="10"/>
  <c r="BT15" i="10"/>
  <c r="BS15" i="10"/>
  <c r="BR15" i="10"/>
  <c r="BQ15" i="10"/>
  <c r="BO15" i="10"/>
  <c r="BN15" i="10"/>
  <c r="BM15" i="10"/>
  <c r="BL15" i="10"/>
  <c r="BJ15" i="10"/>
  <c r="BI15" i="10"/>
  <c r="BH15" i="10"/>
  <c r="BG15" i="10"/>
  <c r="BE15" i="10"/>
  <c r="BD15" i="10"/>
  <c r="BC15" i="10"/>
  <c r="BB15" i="10"/>
  <c r="AZ15" i="10"/>
  <c r="AY15" i="10"/>
  <c r="AX15" i="10"/>
  <c r="AW15" i="10"/>
  <c r="AU15" i="10"/>
  <c r="AT15" i="10"/>
  <c r="AS15" i="10"/>
  <c r="AR15" i="10"/>
  <c r="AP15" i="10"/>
  <c r="AO15" i="10"/>
  <c r="AN15" i="10"/>
  <c r="AM15" i="10"/>
  <c r="AD15" i="10"/>
  <c r="AC15" i="10"/>
  <c r="AB15" i="10"/>
  <c r="AA15" i="10"/>
  <c r="Z15" i="10"/>
  <c r="Y15" i="10"/>
  <c r="N15" i="10"/>
  <c r="M15" i="10"/>
  <c r="L15" i="10"/>
  <c r="K15" i="10"/>
  <c r="J15" i="10"/>
  <c r="I15" i="10"/>
  <c r="H15" i="10"/>
  <c r="F15" i="10"/>
  <c r="E15" i="10"/>
  <c r="D15" i="10"/>
  <c r="C15" i="10"/>
  <c r="A15" i="10"/>
  <c r="BZ14" i="10"/>
  <c r="BY14" i="10"/>
  <c r="BW14" i="10"/>
  <c r="BV14" i="10"/>
  <c r="BT14" i="10"/>
  <c r="BS14" i="10"/>
  <c r="BR14" i="10"/>
  <c r="BQ14" i="10"/>
  <c r="BO14" i="10"/>
  <c r="BN14" i="10"/>
  <c r="BM14" i="10"/>
  <c r="BL14" i="10"/>
  <c r="BJ14" i="10"/>
  <c r="BI14" i="10"/>
  <c r="BH14" i="10"/>
  <c r="BG14" i="10"/>
  <c r="BE14" i="10"/>
  <c r="BD14" i="10"/>
  <c r="BC14" i="10"/>
  <c r="BB14" i="10"/>
  <c r="AZ14" i="10"/>
  <c r="AY14" i="10"/>
  <c r="AX14" i="10"/>
  <c r="AW14" i="10"/>
  <c r="AU14" i="10"/>
  <c r="AT14" i="10"/>
  <c r="AS14" i="10"/>
  <c r="AR14" i="10"/>
  <c r="AP14" i="10"/>
  <c r="AO14" i="10"/>
  <c r="AN14" i="10"/>
  <c r="AM14" i="10"/>
  <c r="AD14" i="10"/>
  <c r="AC14" i="10"/>
  <c r="AB14" i="10"/>
  <c r="AA14" i="10"/>
  <c r="Z14" i="10"/>
  <c r="Y14" i="10"/>
  <c r="N14" i="10"/>
  <c r="M14" i="10"/>
  <c r="L14" i="10"/>
  <c r="K14" i="10"/>
  <c r="J14" i="10"/>
  <c r="I14" i="10"/>
  <c r="H14" i="10"/>
  <c r="F14" i="10"/>
  <c r="E14" i="10"/>
  <c r="D14" i="10"/>
  <c r="C14" i="10"/>
  <c r="A14" i="10"/>
  <c r="BZ13" i="10"/>
  <c r="BY13" i="10"/>
  <c r="BW13" i="10"/>
  <c r="BV13" i="10"/>
  <c r="BT13" i="10"/>
  <c r="BS13" i="10"/>
  <c r="BR13" i="10"/>
  <c r="BQ13" i="10"/>
  <c r="BO13" i="10"/>
  <c r="BN13" i="10"/>
  <c r="BM13" i="10"/>
  <c r="BL13" i="10"/>
  <c r="BJ13" i="10"/>
  <c r="BI13" i="10"/>
  <c r="BH13" i="10"/>
  <c r="BG13" i="10"/>
  <c r="BE13" i="10"/>
  <c r="BD13" i="10"/>
  <c r="BC13" i="10"/>
  <c r="BB13" i="10"/>
  <c r="AZ13" i="10"/>
  <c r="AY13" i="10"/>
  <c r="AX13" i="10"/>
  <c r="AW13" i="10"/>
  <c r="AU13" i="10"/>
  <c r="AT13" i="10"/>
  <c r="AS13" i="10"/>
  <c r="AR13" i="10"/>
  <c r="AP13" i="10"/>
  <c r="AO13" i="10"/>
  <c r="AN13" i="10"/>
  <c r="AM13" i="10"/>
  <c r="AD13" i="10"/>
  <c r="AC13" i="10"/>
  <c r="AB13" i="10"/>
  <c r="AA13" i="10"/>
  <c r="Z13" i="10"/>
  <c r="Y13" i="10"/>
  <c r="N13" i="10"/>
  <c r="M13" i="10"/>
  <c r="L13" i="10"/>
  <c r="K13" i="10"/>
  <c r="J13" i="10"/>
  <c r="I13" i="10"/>
  <c r="H13" i="10"/>
  <c r="F13" i="10"/>
  <c r="E13" i="10"/>
  <c r="D13" i="10"/>
  <c r="C13" i="10"/>
  <c r="A13" i="10"/>
  <c r="BZ12" i="10"/>
  <c r="BY12" i="10"/>
  <c r="BW12" i="10"/>
  <c r="BV12" i="10"/>
  <c r="BT12" i="10"/>
  <c r="BS12" i="10"/>
  <c r="BR12" i="10"/>
  <c r="BQ12" i="10"/>
  <c r="BO12" i="10"/>
  <c r="BN12" i="10"/>
  <c r="BM12" i="10"/>
  <c r="BL12" i="10"/>
  <c r="BJ12" i="10"/>
  <c r="BI12" i="10"/>
  <c r="BH12" i="10"/>
  <c r="BG12" i="10"/>
  <c r="BE12" i="10"/>
  <c r="BD12" i="10"/>
  <c r="BC12" i="10"/>
  <c r="BB12" i="10"/>
  <c r="AZ12" i="10"/>
  <c r="AY12" i="10"/>
  <c r="AX12" i="10"/>
  <c r="AW12" i="10"/>
  <c r="AU12" i="10"/>
  <c r="AT12" i="10"/>
  <c r="AS12" i="10"/>
  <c r="AR12" i="10"/>
  <c r="AP12" i="10"/>
  <c r="AO12" i="10"/>
  <c r="AN12" i="10"/>
  <c r="AM12" i="10"/>
  <c r="AD12" i="10"/>
  <c r="AC12" i="10"/>
  <c r="AB12" i="10"/>
  <c r="AA12" i="10"/>
  <c r="Z12" i="10"/>
  <c r="Y12" i="10"/>
  <c r="N12" i="10"/>
  <c r="M12" i="10"/>
  <c r="L12" i="10"/>
  <c r="K12" i="10"/>
  <c r="J12" i="10"/>
  <c r="I12" i="10"/>
  <c r="H12" i="10"/>
  <c r="F12" i="10"/>
  <c r="E12" i="10"/>
  <c r="D12" i="10"/>
  <c r="C12" i="10"/>
  <c r="A12" i="10"/>
  <c r="BZ11" i="10"/>
  <c r="BY11" i="10"/>
  <c r="BW11" i="10"/>
  <c r="BV11" i="10"/>
  <c r="BT11" i="10"/>
  <c r="BS11" i="10"/>
  <c r="BR11" i="10"/>
  <c r="BQ11" i="10"/>
  <c r="BO11" i="10"/>
  <c r="BN11" i="10"/>
  <c r="BM11" i="10"/>
  <c r="BL11" i="10"/>
  <c r="BJ11" i="10"/>
  <c r="BI11" i="10"/>
  <c r="BH11" i="10"/>
  <c r="BG11" i="10"/>
  <c r="BE11" i="10"/>
  <c r="BD11" i="10"/>
  <c r="BC11" i="10"/>
  <c r="BB11" i="10"/>
  <c r="AZ11" i="10"/>
  <c r="AY11" i="10"/>
  <c r="AX11" i="10"/>
  <c r="AW11" i="10"/>
  <c r="AU11" i="10"/>
  <c r="AT11" i="10"/>
  <c r="AS11" i="10"/>
  <c r="AR11" i="10"/>
  <c r="AP11" i="10"/>
  <c r="AO11" i="10"/>
  <c r="AN11" i="10"/>
  <c r="AM11" i="10"/>
  <c r="AD11" i="10"/>
  <c r="AC11" i="10"/>
  <c r="AB11" i="10"/>
  <c r="AA11" i="10"/>
  <c r="Z11" i="10"/>
  <c r="Y11" i="10"/>
  <c r="N11" i="10"/>
  <c r="M11" i="10"/>
  <c r="L11" i="10"/>
  <c r="K11" i="10"/>
  <c r="J11" i="10"/>
  <c r="I11" i="10"/>
  <c r="H11" i="10"/>
  <c r="F11" i="10"/>
  <c r="E11" i="10"/>
  <c r="D11" i="10"/>
  <c r="C11" i="10"/>
  <c r="A11" i="10"/>
  <c r="BZ10" i="10"/>
  <c r="BY10" i="10"/>
  <c r="BW10" i="10"/>
  <c r="BV10" i="10"/>
  <c r="BT10" i="10"/>
  <c r="BS10" i="10"/>
  <c r="BR10" i="10"/>
  <c r="BQ10" i="10"/>
  <c r="BO10" i="10"/>
  <c r="BN10" i="10"/>
  <c r="BM10" i="10"/>
  <c r="BL10" i="10"/>
  <c r="BJ10" i="10"/>
  <c r="BI10" i="10"/>
  <c r="BH10" i="10"/>
  <c r="BG10" i="10"/>
  <c r="BE10" i="10"/>
  <c r="BD10" i="10"/>
  <c r="BC10" i="10"/>
  <c r="BB10" i="10"/>
  <c r="AZ10" i="10"/>
  <c r="AY10" i="10"/>
  <c r="AX10" i="10"/>
  <c r="AW10" i="10"/>
  <c r="AU10" i="10"/>
  <c r="AT10" i="10"/>
  <c r="AS10" i="10"/>
  <c r="AR10" i="10"/>
  <c r="AP10" i="10"/>
  <c r="AO10" i="10"/>
  <c r="AN10" i="10"/>
  <c r="AM10" i="10"/>
  <c r="AD10" i="10"/>
  <c r="AC10" i="10"/>
  <c r="AB10" i="10"/>
  <c r="AA10" i="10"/>
  <c r="Z10" i="10"/>
  <c r="Y10" i="10"/>
  <c r="N10" i="10"/>
  <c r="M10" i="10"/>
  <c r="L10" i="10"/>
  <c r="K10" i="10"/>
  <c r="J10" i="10"/>
  <c r="I10" i="10"/>
  <c r="H10" i="10"/>
  <c r="F10" i="10"/>
  <c r="E10" i="10"/>
  <c r="D10" i="10"/>
  <c r="C10" i="10"/>
  <c r="A10" i="10"/>
  <c r="BZ9" i="10"/>
  <c r="BY9" i="10"/>
  <c r="BW9" i="10"/>
  <c r="BV9" i="10"/>
  <c r="BT9" i="10"/>
  <c r="BS9" i="10"/>
  <c r="BR9" i="10"/>
  <c r="BQ9" i="10"/>
  <c r="BO9" i="10"/>
  <c r="BN9" i="10"/>
  <c r="BM9" i="10"/>
  <c r="BL9" i="10"/>
  <c r="BJ9" i="10"/>
  <c r="BI9" i="10"/>
  <c r="BH9" i="10"/>
  <c r="BG9" i="10"/>
  <c r="BE9" i="10"/>
  <c r="BD9" i="10"/>
  <c r="BC9" i="10"/>
  <c r="BB9" i="10"/>
  <c r="AZ9" i="10"/>
  <c r="AY9" i="10"/>
  <c r="AX9" i="10"/>
  <c r="AW9" i="10"/>
  <c r="AU9" i="10"/>
  <c r="AT9" i="10"/>
  <c r="AS9" i="10"/>
  <c r="AR9" i="10"/>
  <c r="AP9" i="10"/>
  <c r="AO9" i="10"/>
  <c r="AN9" i="10"/>
  <c r="AM9" i="10"/>
  <c r="AD9" i="10"/>
  <c r="AC9" i="10"/>
  <c r="AB9" i="10"/>
  <c r="AA9" i="10"/>
  <c r="Z9" i="10"/>
  <c r="Y9" i="10"/>
  <c r="N9" i="10"/>
  <c r="M9" i="10"/>
  <c r="L9" i="10"/>
  <c r="K9" i="10"/>
  <c r="J9" i="10"/>
  <c r="I9" i="10"/>
  <c r="H9" i="10"/>
  <c r="F9" i="10"/>
  <c r="E9" i="10"/>
  <c r="D9" i="10"/>
  <c r="C9" i="10"/>
  <c r="A9" i="10"/>
  <c r="BZ8" i="10"/>
  <c r="BY8" i="10"/>
  <c r="BW8" i="10"/>
  <c r="BV8" i="10"/>
  <c r="BT8" i="10"/>
  <c r="BS8" i="10"/>
  <c r="BR8" i="10"/>
  <c r="BQ8" i="10"/>
  <c r="BO8" i="10"/>
  <c r="BN8" i="10"/>
  <c r="BM8" i="10"/>
  <c r="BL8" i="10"/>
  <c r="BJ8" i="10"/>
  <c r="BI8" i="10"/>
  <c r="BH8" i="10"/>
  <c r="BG8" i="10"/>
  <c r="BE8" i="10"/>
  <c r="BD8" i="10"/>
  <c r="BC8" i="10"/>
  <c r="BB8" i="10"/>
  <c r="AZ8" i="10"/>
  <c r="AY8" i="10"/>
  <c r="AX8" i="10"/>
  <c r="AW8" i="10"/>
  <c r="AU8" i="10"/>
  <c r="AT8" i="10"/>
  <c r="AS8" i="10"/>
  <c r="AR8" i="10"/>
  <c r="AP8" i="10"/>
  <c r="AO8" i="10"/>
  <c r="AN8" i="10"/>
  <c r="AM8" i="10"/>
  <c r="AD8" i="10"/>
  <c r="AC8" i="10"/>
  <c r="AB8" i="10"/>
  <c r="AA8" i="10"/>
  <c r="Z8" i="10"/>
  <c r="Y8" i="10"/>
  <c r="N8" i="10"/>
  <c r="M8" i="10"/>
  <c r="L8" i="10"/>
  <c r="K8" i="10"/>
  <c r="J8" i="10"/>
  <c r="I8" i="10"/>
  <c r="H8" i="10"/>
  <c r="F8" i="10"/>
  <c r="E8" i="10"/>
  <c r="D8" i="10"/>
  <c r="C8" i="10"/>
  <c r="A8" i="10"/>
  <c r="BZ7" i="10"/>
  <c r="BY7" i="10"/>
  <c r="BW7" i="10"/>
  <c r="BV7" i="10"/>
  <c r="BT7" i="10"/>
  <c r="BS7" i="10"/>
  <c r="BR7" i="10"/>
  <c r="BQ7" i="10"/>
  <c r="BO7" i="10"/>
  <c r="BN7" i="10"/>
  <c r="BM7" i="10"/>
  <c r="BL7" i="10"/>
  <c r="BJ7" i="10"/>
  <c r="BI7" i="10"/>
  <c r="BH7" i="10"/>
  <c r="BG7" i="10"/>
  <c r="BE7" i="10"/>
  <c r="BD7" i="10"/>
  <c r="BC7" i="10"/>
  <c r="BB7" i="10"/>
  <c r="AZ7" i="10"/>
  <c r="AY7" i="10"/>
  <c r="AX7" i="10"/>
  <c r="AW7" i="10"/>
  <c r="AU7" i="10"/>
  <c r="AT7" i="10"/>
  <c r="AS7" i="10"/>
  <c r="AR7" i="10"/>
  <c r="AP7" i="10"/>
  <c r="AO7" i="10"/>
  <c r="AN7" i="10"/>
  <c r="AM7" i="10"/>
  <c r="AD7" i="10"/>
  <c r="AC7" i="10"/>
  <c r="AB7" i="10"/>
  <c r="AA7" i="10"/>
  <c r="Z7" i="10"/>
  <c r="Y7" i="10"/>
  <c r="N7" i="10"/>
  <c r="M7" i="10"/>
  <c r="L7" i="10"/>
  <c r="K7" i="10"/>
  <c r="J7" i="10"/>
  <c r="I7" i="10"/>
  <c r="H7" i="10"/>
  <c r="F7" i="10"/>
  <c r="E7" i="10"/>
  <c r="D7" i="10"/>
  <c r="C7" i="10"/>
  <c r="A7" i="10"/>
  <c r="BZ6" i="10"/>
  <c r="BY6" i="10"/>
  <c r="BW6" i="10"/>
  <c r="BV6" i="10"/>
  <c r="BT6" i="10"/>
  <c r="BS6" i="10"/>
  <c r="BR6" i="10"/>
  <c r="BQ6" i="10"/>
  <c r="BO6" i="10"/>
  <c r="BN6" i="10"/>
  <c r="BM6" i="10"/>
  <c r="BL6" i="10"/>
  <c r="BJ6" i="10"/>
  <c r="BI6" i="10"/>
  <c r="BH6" i="10"/>
  <c r="BG6" i="10"/>
  <c r="BE6" i="10"/>
  <c r="BD6" i="10"/>
  <c r="BC6" i="10"/>
  <c r="BB6" i="10"/>
  <c r="AZ6" i="10"/>
  <c r="AY6" i="10"/>
  <c r="AX6" i="10"/>
  <c r="AW6" i="10"/>
  <c r="AU6" i="10"/>
  <c r="AT6" i="10"/>
  <c r="AS6" i="10"/>
  <c r="AR6" i="10"/>
  <c r="AP6" i="10"/>
  <c r="AO6" i="10"/>
  <c r="AN6" i="10"/>
  <c r="AM6" i="10"/>
  <c r="AD6" i="10"/>
  <c r="AC6" i="10"/>
  <c r="AB6" i="10"/>
  <c r="AA6" i="10"/>
  <c r="Z6" i="10"/>
  <c r="Y6" i="10"/>
  <c r="N6" i="10"/>
  <c r="M6" i="10"/>
  <c r="L6" i="10"/>
  <c r="K6" i="10"/>
  <c r="J6" i="10"/>
  <c r="I6" i="10"/>
  <c r="H6" i="10"/>
  <c r="F6" i="10"/>
  <c r="E6" i="10"/>
  <c r="D6" i="10"/>
  <c r="C6" i="10"/>
  <c r="A6" i="10"/>
  <c r="BZ5" i="10"/>
  <c r="BY5" i="10"/>
  <c r="BW5" i="10"/>
  <c r="BV5" i="10"/>
  <c r="BT5" i="10"/>
  <c r="BS5" i="10"/>
  <c r="BR5" i="10"/>
  <c r="BQ5" i="10"/>
  <c r="BO5" i="10"/>
  <c r="BN5" i="10"/>
  <c r="BM5" i="10"/>
  <c r="BL5" i="10"/>
  <c r="BJ5" i="10"/>
  <c r="BI5" i="10"/>
  <c r="BH5" i="10"/>
  <c r="BG5" i="10"/>
  <c r="BE5" i="10"/>
  <c r="BD5" i="10"/>
  <c r="BC5" i="10"/>
  <c r="BB5" i="10"/>
  <c r="AZ5" i="10"/>
  <c r="AY5" i="10"/>
  <c r="AX5" i="10"/>
  <c r="AW5" i="10"/>
  <c r="AU5" i="10"/>
  <c r="AT5" i="10"/>
  <c r="AS5" i="10"/>
  <c r="AR5" i="10"/>
  <c r="AP5" i="10"/>
  <c r="AO5" i="10"/>
  <c r="AN5" i="10"/>
  <c r="AM5" i="10"/>
  <c r="AD5" i="10"/>
  <c r="AC5" i="10"/>
  <c r="AB5" i="10"/>
  <c r="AA5" i="10"/>
  <c r="Z5" i="10"/>
  <c r="Y5" i="10"/>
  <c r="N5" i="10"/>
  <c r="M5" i="10"/>
  <c r="L5" i="10"/>
  <c r="K5" i="10"/>
  <c r="J5" i="10"/>
  <c r="I5" i="10"/>
  <c r="H5" i="10"/>
  <c r="F5" i="10"/>
  <c r="E5" i="10"/>
  <c r="D5" i="10"/>
  <c r="C5" i="10"/>
  <c r="A5" i="10"/>
  <c r="BZ4" i="10"/>
  <c r="BW4" i="10"/>
  <c r="BV4" i="10"/>
  <c r="BT4" i="10"/>
  <c r="BS4" i="10"/>
  <c r="BR4" i="10"/>
  <c r="BQ4" i="10"/>
  <c r="BO4" i="10"/>
  <c r="BN4" i="10"/>
  <c r="BM4" i="10"/>
  <c r="BL4" i="10"/>
  <c r="BJ4" i="10"/>
  <c r="BI4" i="10"/>
  <c r="BH4" i="10"/>
  <c r="BG4" i="10"/>
  <c r="BE4" i="10"/>
  <c r="BD4" i="10"/>
  <c r="BC4" i="10"/>
  <c r="BB4" i="10"/>
  <c r="AZ4" i="10"/>
  <c r="AY4" i="10"/>
  <c r="AX4" i="10"/>
  <c r="AW4" i="10"/>
  <c r="AU4" i="10"/>
  <c r="AT4" i="10"/>
  <c r="AS4" i="10"/>
  <c r="AR4" i="10"/>
  <c r="AP4" i="10"/>
  <c r="AO4" i="10"/>
  <c r="AN4" i="10"/>
  <c r="AM4" i="10"/>
  <c r="AD4" i="10"/>
  <c r="AC4" i="10"/>
  <c r="AB4" i="10"/>
  <c r="AA4" i="10"/>
  <c r="Z4" i="10"/>
  <c r="Y4" i="10"/>
  <c r="N4" i="10"/>
  <c r="M4" i="10"/>
  <c r="L4" i="10"/>
  <c r="K4" i="10"/>
  <c r="J4" i="10"/>
  <c r="I4" i="10"/>
  <c r="H4" i="10"/>
  <c r="F4" i="10"/>
  <c r="E4" i="10"/>
  <c r="D4" i="10"/>
  <c r="C4" i="10"/>
  <c r="A4" i="10"/>
  <c r="AM1270" i="9"/>
  <c r="AL1270" i="9"/>
  <c r="AK1270" i="9"/>
  <c r="AJ1270" i="9"/>
  <c r="AI1270" i="9"/>
  <c r="AH1270" i="9"/>
  <c r="AG1270" i="9"/>
  <c r="AF1270" i="9"/>
  <c r="AE1270" i="9"/>
  <c r="AD1270" i="9"/>
  <c r="AC1270" i="9"/>
  <c r="AB1270" i="9"/>
  <c r="AA1270" i="9"/>
  <c r="Z1270" i="9"/>
  <c r="Y1270" i="9"/>
  <c r="X1270" i="9"/>
  <c r="W1270" i="9"/>
  <c r="V1270" i="9"/>
  <c r="U1270" i="9"/>
  <c r="T1270" i="9"/>
  <c r="S1270" i="9"/>
  <c r="R1270" i="9"/>
  <c r="Q1270" i="9"/>
  <c r="P1270" i="9"/>
  <c r="O1270" i="9"/>
  <c r="N1270" i="9"/>
  <c r="M1270" i="9"/>
  <c r="AM1269" i="9"/>
  <c r="AL1269" i="9"/>
  <c r="AK1269" i="9"/>
  <c r="AJ1269" i="9"/>
  <c r="AI1269" i="9"/>
  <c r="AH1269" i="9"/>
  <c r="AG1269" i="9"/>
  <c r="AF1269" i="9"/>
  <c r="AE1269" i="9"/>
  <c r="AD1269" i="9"/>
  <c r="AC1269" i="9"/>
  <c r="AB1269" i="9"/>
  <c r="AA1269" i="9"/>
  <c r="Z1269" i="9"/>
  <c r="Y1269" i="9"/>
  <c r="X1269" i="9"/>
  <c r="W1269" i="9"/>
  <c r="V1269" i="9"/>
  <c r="U1269" i="9"/>
  <c r="T1269" i="9"/>
  <c r="S1269" i="9"/>
  <c r="R1269" i="9"/>
  <c r="Q1269" i="9"/>
  <c r="P1269" i="9"/>
  <c r="O1269" i="9"/>
  <c r="N1269" i="9"/>
  <c r="M1269" i="9"/>
  <c r="CA136" i="9"/>
  <c r="L136" i="9"/>
  <c r="K136" i="9"/>
  <c r="D136" i="9"/>
  <c r="C136" i="9"/>
  <c r="B136" i="9"/>
  <c r="A136" i="9"/>
  <c r="CA135" i="9"/>
  <c r="L135" i="9"/>
  <c r="K135" i="9"/>
  <c r="D135" i="9"/>
  <c r="C135" i="9"/>
  <c r="B135" i="9"/>
  <c r="A135" i="9"/>
  <c r="CA134" i="9"/>
  <c r="L134" i="9"/>
  <c r="K134" i="9"/>
  <c r="D134" i="9"/>
  <c r="C134" i="9"/>
  <c r="B134" i="9"/>
  <c r="A134" i="9"/>
  <c r="CA133" i="9"/>
  <c r="L133" i="9"/>
  <c r="K133" i="9"/>
  <c r="D133" i="9"/>
  <c r="C133" i="9"/>
  <c r="B133" i="9"/>
  <c r="A133" i="9"/>
  <c r="CA132" i="9"/>
  <c r="L132" i="9"/>
  <c r="K132" i="9"/>
  <c r="D132" i="9"/>
  <c r="C132" i="9"/>
  <c r="B132" i="9"/>
  <c r="A132" i="9"/>
  <c r="CA131" i="9"/>
  <c r="L131" i="9"/>
  <c r="K131" i="9"/>
  <c r="D131" i="9"/>
  <c r="C131" i="9"/>
  <c r="B131" i="9"/>
  <c r="A131" i="9"/>
  <c r="CA130" i="9"/>
  <c r="L130" i="9"/>
  <c r="K130" i="9"/>
  <c r="D130" i="9"/>
  <c r="C130" i="9"/>
  <c r="B130" i="9"/>
  <c r="A130" i="9"/>
  <c r="CA129" i="9"/>
  <c r="L129" i="9"/>
  <c r="K129" i="9"/>
  <c r="D129" i="9"/>
  <c r="C129" i="9"/>
  <c r="B129" i="9"/>
  <c r="A129" i="9"/>
  <c r="CA128" i="9"/>
  <c r="L128" i="9"/>
  <c r="K128" i="9"/>
  <c r="D128" i="9"/>
  <c r="C128" i="9"/>
  <c r="B128" i="9"/>
  <c r="A128" i="9"/>
  <c r="CA127" i="9"/>
  <c r="L127" i="9"/>
  <c r="K127" i="9"/>
  <c r="D127" i="9"/>
  <c r="C127" i="9"/>
  <c r="B127" i="9"/>
  <c r="A127" i="9"/>
  <c r="CA126" i="9"/>
  <c r="L126" i="9"/>
  <c r="K126" i="9"/>
  <c r="D126" i="9"/>
  <c r="C126" i="9"/>
  <c r="B126" i="9"/>
  <c r="A126" i="9"/>
  <c r="CA125" i="9"/>
  <c r="L125" i="9"/>
  <c r="K125" i="9"/>
  <c r="D125" i="9"/>
  <c r="C125" i="9"/>
  <c r="B125" i="9"/>
  <c r="A125" i="9"/>
  <c r="CA124" i="9"/>
  <c r="L124" i="9"/>
  <c r="K124" i="9"/>
  <c r="D124" i="9"/>
  <c r="C124" i="9"/>
  <c r="B124" i="9"/>
  <c r="A124" i="9"/>
  <c r="CA123" i="9"/>
  <c r="L123" i="9"/>
  <c r="K123" i="9"/>
  <c r="D123" i="9"/>
  <c r="C123" i="9"/>
  <c r="B123" i="9"/>
  <c r="A123" i="9"/>
  <c r="CA122" i="9"/>
  <c r="L122" i="9"/>
  <c r="K122" i="9"/>
  <c r="D122" i="9"/>
  <c r="C122" i="9"/>
  <c r="B122" i="9"/>
  <c r="A122" i="9"/>
  <c r="CA121" i="9"/>
  <c r="L121" i="9"/>
  <c r="K121" i="9"/>
  <c r="D121" i="9"/>
  <c r="C121" i="9"/>
  <c r="B121" i="9"/>
  <c r="A121" i="9"/>
  <c r="CA120" i="9"/>
  <c r="L120" i="9"/>
  <c r="K120" i="9"/>
  <c r="D120" i="9"/>
  <c r="C120" i="9"/>
  <c r="B120" i="9"/>
  <c r="A120" i="9"/>
  <c r="CA119" i="9"/>
  <c r="L119" i="9"/>
  <c r="K119" i="9"/>
  <c r="D119" i="9"/>
  <c r="C119" i="9"/>
  <c r="B119" i="9"/>
  <c r="A119" i="9"/>
  <c r="CA118" i="9"/>
  <c r="L118" i="9"/>
  <c r="K118" i="9"/>
  <c r="D118" i="9"/>
  <c r="C118" i="9"/>
  <c r="B118" i="9"/>
  <c r="A118" i="9"/>
  <c r="CA117" i="9"/>
  <c r="L117" i="9"/>
  <c r="K117" i="9"/>
  <c r="D117" i="9"/>
  <c r="C117" i="9"/>
  <c r="B117" i="9"/>
  <c r="A117" i="9"/>
  <c r="CA116" i="9"/>
  <c r="L116" i="9"/>
  <c r="K116" i="9"/>
  <c r="D116" i="9"/>
  <c r="C116" i="9"/>
  <c r="B116" i="9"/>
  <c r="A116" i="9"/>
  <c r="CA115" i="9"/>
  <c r="L115" i="9"/>
  <c r="K115" i="9"/>
  <c r="D115" i="9"/>
  <c r="C115" i="9"/>
  <c r="B115" i="9"/>
  <c r="A115" i="9"/>
  <c r="CA114" i="9"/>
  <c r="L114" i="9"/>
  <c r="K114" i="9"/>
  <c r="D114" i="9"/>
  <c r="C114" i="9"/>
  <c r="B114" i="9"/>
  <c r="A114" i="9"/>
  <c r="CA113" i="9"/>
  <c r="L113" i="9"/>
  <c r="K113" i="9"/>
  <c r="D113" i="9"/>
  <c r="C113" i="9"/>
  <c r="B113" i="9"/>
  <c r="A113" i="9"/>
  <c r="CA112" i="9"/>
  <c r="L112" i="9"/>
  <c r="K112" i="9"/>
  <c r="D112" i="9"/>
  <c r="C112" i="9"/>
  <c r="B112" i="9"/>
  <c r="A112" i="9"/>
  <c r="CA111" i="9"/>
  <c r="L111" i="9"/>
  <c r="K111" i="9"/>
  <c r="D111" i="9"/>
  <c r="C111" i="9"/>
  <c r="B111" i="9"/>
  <c r="A111" i="9"/>
  <c r="CA110" i="9"/>
  <c r="L110" i="9"/>
  <c r="K110" i="9"/>
  <c r="D110" i="9"/>
  <c r="C110" i="9"/>
  <c r="B110" i="9"/>
  <c r="A110" i="9"/>
  <c r="CA109" i="9"/>
  <c r="L109" i="9"/>
  <c r="K109" i="9"/>
  <c r="D109" i="9"/>
  <c r="C109" i="9"/>
  <c r="B109" i="9"/>
  <c r="A109" i="9"/>
  <c r="CA108" i="9"/>
  <c r="L108" i="9"/>
  <c r="K108" i="9"/>
  <c r="D108" i="9"/>
  <c r="C108" i="9"/>
  <c r="B108" i="9"/>
  <c r="A108" i="9"/>
  <c r="CA107" i="9"/>
  <c r="L107" i="9"/>
  <c r="K107" i="9"/>
  <c r="D107" i="9"/>
  <c r="C107" i="9"/>
  <c r="B107" i="9"/>
  <c r="A107" i="9"/>
  <c r="CA106" i="9"/>
  <c r="L106" i="9"/>
  <c r="K106" i="9"/>
  <c r="D106" i="9"/>
  <c r="C106" i="9"/>
  <c r="B106" i="9"/>
  <c r="A106" i="9"/>
  <c r="CA105" i="9"/>
  <c r="L105" i="9"/>
  <c r="K105" i="9"/>
  <c r="D105" i="9"/>
  <c r="C105" i="9"/>
  <c r="B105" i="9"/>
  <c r="A105" i="9"/>
  <c r="CA104" i="9"/>
  <c r="L104" i="9"/>
  <c r="K104" i="9"/>
  <c r="D104" i="9"/>
  <c r="C104" i="9"/>
  <c r="B104" i="9"/>
  <c r="A104" i="9"/>
  <c r="CA103" i="9"/>
  <c r="L103" i="9"/>
  <c r="K103" i="9"/>
  <c r="D103" i="9"/>
  <c r="C103" i="9"/>
  <c r="B103" i="9"/>
  <c r="A103" i="9"/>
  <c r="CA102" i="9"/>
  <c r="L102" i="9"/>
  <c r="K102" i="9"/>
  <c r="D102" i="9"/>
  <c r="C102" i="9"/>
  <c r="B102" i="9"/>
  <c r="A102" i="9"/>
  <c r="CA101" i="9"/>
  <c r="L101" i="9"/>
  <c r="K101" i="9"/>
  <c r="D101" i="9"/>
  <c r="C101" i="9"/>
  <c r="B101" i="9"/>
  <c r="A101" i="9"/>
  <c r="CA100" i="9"/>
  <c r="L100" i="9"/>
  <c r="K100" i="9"/>
  <c r="D100" i="9"/>
  <c r="C100" i="9"/>
  <c r="B100" i="9"/>
  <c r="A100" i="9"/>
  <c r="CA99" i="9"/>
  <c r="L99" i="9"/>
  <c r="K99" i="9"/>
  <c r="D99" i="9"/>
  <c r="C99" i="9"/>
  <c r="B99" i="9"/>
  <c r="A99" i="9"/>
  <c r="CA98" i="9"/>
  <c r="L98" i="9"/>
  <c r="K98" i="9"/>
  <c r="D98" i="9"/>
  <c r="C98" i="9"/>
  <c r="B98" i="9"/>
  <c r="A98" i="9"/>
  <c r="CA97" i="9"/>
  <c r="L97" i="9"/>
  <c r="K97" i="9"/>
  <c r="D97" i="9"/>
  <c r="C97" i="9"/>
  <c r="B97" i="9"/>
  <c r="A97" i="9"/>
  <c r="CA96" i="9"/>
  <c r="L96" i="9"/>
  <c r="K96" i="9"/>
  <c r="D96" i="9"/>
  <c r="C96" i="9"/>
  <c r="B96" i="9"/>
  <c r="A96" i="9"/>
  <c r="CA95" i="9"/>
  <c r="L95" i="9"/>
  <c r="K95" i="9"/>
  <c r="D95" i="9"/>
  <c r="C95" i="9"/>
  <c r="B95" i="9"/>
  <c r="A95" i="9"/>
  <c r="CA94" i="9"/>
  <c r="L94" i="9"/>
  <c r="K94" i="9"/>
  <c r="D94" i="9"/>
  <c r="C94" i="9"/>
  <c r="B94" i="9"/>
  <c r="A94" i="9"/>
  <c r="CA93" i="9"/>
  <c r="L93" i="9"/>
  <c r="K93" i="9"/>
  <c r="D93" i="9"/>
  <c r="C93" i="9"/>
  <c r="B93" i="9"/>
  <c r="A93" i="9"/>
  <c r="CA92" i="9"/>
  <c r="L92" i="9"/>
  <c r="K92" i="9"/>
  <c r="D92" i="9"/>
  <c r="C92" i="9"/>
  <c r="B92" i="9"/>
  <c r="A92" i="9"/>
  <c r="CA91" i="9"/>
  <c r="L91" i="9"/>
  <c r="K91" i="9"/>
  <c r="D91" i="9"/>
  <c r="C91" i="9"/>
  <c r="B91" i="9"/>
  <c r="A91" i="9"/>
  <c r="CA90" i="9"/>
  <c r="L90" i="9"/>
  <c r="K90" i="9"/>
  <c r="D90" i="9"/>
  <c r="C90" i="9"/>
  <c r="B90" i="9"/>
  <c r="A90" i="9"/>
  <c r="CA89" i="9"/>
  <c r="L89" i="9"/>
  <c r="K89" i="9"/>
  <c r="D89" i="9"/>
  <c r="C89" i="9"/>
  <c r="B89" i="9"/>
  <c r="A89" i="9"/>
  <c r="CA88" i="9"/>
  <c r="L88" i="9"/>
  <c r="K88" i="9"/>
  <c r="D88" i="9"/>
  <c r="C88" i="9"/>
  <c r="B88" i="9"/>
  <c r="A88" i="9"/>
  <c r="CA87" i="9"/>
  <c r="L87" i="9"/>
  <c r="K87" i="9"/>
  <c r="D87" i="9"/>
  <c r="C87" i="9"/>
  <c r="B87" i="9"/>
  <c r="A87" i="9"/>
  <c r="CA86" i="9"/>
  <c r="L86" i="9"/>
  <c r="K86" i="9"/>
  <c r="D86" i="9"/>
  <c r="C86" i="9"/>
  <c r="B86" i="9"/>
  <c r="A86" i="9"/>
  <c r="CA85" i="9"/>
  <c r="L85" i="9"/>
  <c r="K85" i="9"/>
  <c r="D85" i="9"/>
  <c r="C85" i="9"/>
  <c r="B85" i="9"/>
  <c r="A85" i="9"/>
  <c r="CA84" i="9"/>
  <c r="L84" i="9"/>
  <c r="K84" i="9"/>
  <c r="D84" i="9"/>
  <c r="C84" i="9"/>
  <c r="B84" i="9"/>
  <c r="A84" i="9"/>
  <c r="CA83" i="9"/>
  <c r="L83" i="9"/>
  <c r="K83" i="9"/>
  <c r="D83" i="9"/>
  <c r="C83" i="9"/>
  <c r="B83" i="9"/>
  <c r="A83" i="9"/>
  <c r="CA82" i="9"/>
  <c r="L82" i="9"/>
  <c r="K82" i="9"/>
  <c r="D82" i="9"/>
  <c r="C82" i="9"/>
  <c r="B82" i="9"/>
  <c r="A82" i="9"/>
  <c r="CA81" i="9"/>
  <c r="L81" i="9"/>
  <c r="K81" i="9"/>
  <c r="D81" i="9"/>
  <c r="C81" i="9"/>
  <c r="B81" i="9"/>
  <c r="A81" i="9"/>
  <c r="CA80" i="9"/>
  <c r="L80" i="9"/>
  <c r="K80" i="9"/>
  <c r="D80" i="9"/>
  <c r="C80" i="9"/>
  <c r="B80" i="9"/>
  <c r="A80" i="9"/>
  <c r="CA79" i="9"/>
  <c r="L79" i="9"/>
  <c r="K79" i="9"/>
  <c r="D79" i="9"/>
  <c r="C79" i="9"/>
  <c r="B79" i="9"/>
  <c r="A79" i="9"/>
  <c r="CA78" i="9"/>
  <c r="L78" i="9"/>
  <c r="K78" i="9"/>
  <c r="D78" i="9"/>
  <c r="C78" i="9"/>
  <c r="B78" i="9"/>
  <c r="A78" i="9"/>
  <c r="CA77" i="9"/>
  <c r="L77" i="9"/>
  <c r="K77" i="9"/>
  <c r="D77" i="9"/>
  <c r="C77" i="9"/>
  <c r="B77" i="9"/>
  <c r="A77" i="9"/>
  <c r="CA76" i="9"/>
  <c r="L76" i="9"/>
  <c r="K76" i="9"/>
  <c r="D76" i="9"/>
  <c r="C76" i="9"/>
  <c r="B76" i="9"/>
  <c r="A76" i="9"/>
  <c r="CA75" i="9"/>
  <c r="L75" i="9"/>
  <c r="K75" i="9"/>
  <c r="D75" i="9"/>
  <c r="C75" i="9"/>
  <c r="B75" i="9"/>
  <c r="A75" i="9"/>
  <c r="CA74" i="9"/>
  <c r="L74" i="9"/>
  <c r="K74" i="9"/>
  <c r="D74" i="9"/>
  <c r="C74" i="9"/>
  <c r="B74" i="9"/>
  <c r="A74" i="9"/>
  <c r="CA73" i="9"/>
  <c r="L73" i="9"/>
  <c r="K73" i="9"/>
  <c r="D73" i="9"/>
  <c r="C73" i="9"/>
  <c r="B73" i="9"/>
  <c r="A73" i="9"/>
  <c r="CA72" i="9"/>
  <c r="L72" i="9"/>
  <c r="K72" i="9"/>
  <c r="D72" i="9"/>
  <c r="C72" i="9"/>
  <c r="B72" i="9"/>
  <c r="A72" i="9"/>
  <c r="CA71" i="9"/>
  <c r="L71" i="9"/>
  <c r="K71" i="9"/>
  <c r="D71" i="9"/>
  <c r="C71" i="9"/>
  <c r="B71" i="9"/>
  <c r="A71" i="9"/>
  <c r="CA70" i="9"/>
  <c r="L70" i="9"/>
  <c r="K70" i="9"/>
  <c r="D70" i="9"/>
  <c r="C70" i="9"/>
  <c r="B70" i="9"/>
  <c r="A70" i="9"/>
  <c r="CA69" i="9"/>
  <c r="L69" i="9"/>
  <c r="K69" i="9"/>
  <c r="D69" i="9"/>
  <c r="C69" i="9"/>
  <c r="B69" i="9"/>
  <c r="A69" i="9"/>
  <c r="CA68" i="9"/>
  <c r="L68" i="9"/>
  <c r="K68" i="9"/>
  <c r="D68" i="9"/>
  <c r="C68" i="9"/>
  <c r="B68" i="9"/>
  <c r="A68" i="9"/>
  <c r="CA67" i="9"/>
  <c r="L67" i="9"/>
  <c r="K67" i="9"/>
  <c r="D67" i="9"/>
  <c r="C67" i="9"/>
  <c r="B67" i="9"/>
  <c r="A67" i="9"/>
  <c r="CA66" i="9"/>
  <c r="L66" i="9"/>
  <c r="K66" i="9"/>
  <c r="D66" i="9"/>
  <c r="C66" i="9"/>
  <c r="B66" i="9"/>
  <c r="A66" i="9"/>
  <c r="CA65" i="9"/>
  <c r="L65" i="9"/>
  <c r="K65" i="9"/>
  <c r="D65" i="9"/>
  <c r="C65" i="9"/>
  <c r="B65" i="9"/>
  <c r="A65" i="9"/>
  <c r="CA64" i="9"/>
  <c r="L64" i="9"/>
  <c r="K64" i="9"/>
  <c r="D64" i="9"/>
  <c r="C64" i="9"/>
  <c r="B64" i="9"/>
  <c r="A64" i="9"/>
  <c r="CA63" i="9"/>
  <c r="BF63" i="9" a="1"/>
  <c r="BF63" i="9"/>
  <c r="L63" i="9"/>
  <c r="K63" i="9"/>
  <c r="D63" i="9"/>
  <c r="C63" i="9"/>
  <c r="B63" i="9"/>
  <c r="A63" i="9"/>
  <c r="CA62" i="9"/>
  <c r="L62" i="9"/>
  <c r="K62" i="9"/>
  <c r="D62" i="9"/>
  <c r="C62" i="9"/>
  <c r="B62" i="9"/>
  <c r="A62" i="9"/>
  <c r="CA61" i="9"/>
  <c r="L61" i="9"/>
  <c r="K61" i="9"/>
  <c r="D61" i="9"/>
  <c r="C61" i="9"/>
  <c r="B61" i="9"/>
  <c r="A61" i="9"/>
  <c r="CA60" i="9"/>
  <c r="L60" i="9"/>
  <c r="K60" i="9"/>
  <c r="D60" i="9"/>
  <c r="C60" i="9"/>
  <c r="B60" i="9"/>
  <c r="A60" i="9"/>
  <c r="CA59" i="9"/>
  <c r="L59" i="9"/>
  <c r="K59" i="9"/>
  <c r="D59" i="9"/>
  <c r="C59" i="9"/>
  <c r="B59" i="9"/>
  <c r="A59" i="9"/>
  <c r="CA58" i="9"/>
  <c r="L58" i="9"/>
  <c r="K58" i="9"/>
  <c r="D58" i="9"/>
  <c r="C58" i="9"/>
  <c r="B58" i="9"/>
  <c r="A58" i="9"/>
  <c r="CA57" i="9"/>
  <c r="L57" i="9"/>
  <c r="K57" i="9"/>
  <c r="D57" i="9"/>
  <c r="C57" i="9"/>
  <c r="B57" i="9"/>
  <c r="A57" i="9"/>
  <c r="CA56" i="9"/>
  <c r="L56" i="9"/>
  <c r="K56" i="9"/>
  <c r="D56" i="9"/>
  <c r="C56" i="9"/>
  <c r="B56" i="9"/>
  <c r="A56" i="9"/>
  <c r="CA55" i="9"/>
  <c r="L55" i="9"/>
  <c r="K55" i="9"/>
  <c r="D55" i="9"/>
  <c r="C55" i="9"/>
  <c r="B55" i="9"/>
  <c r="A55" i="9"/>
  <c r="CA54" i="9"/>
  <c r="L54" i="9"/>
  <c r="K54" i="9"/>
  <c r="D54" i="9"/>
  <c r="C54" i="9"/>
  <c r="B54" i="9"/>
  <c r="A54" i="9"/>
  <c r="CA53" i="9"/>
  <c r="L53" i="9"/>
  <c r="K53" i="9"/>
  <c r="D53" i="9"/>
  <c r="C53" i="9"/>
  <c r="B53" i="9"/>
  <c r="A53" i="9"/>
  <c r="CA52" i="9"/>
  <c r="L52" i="9"/>
  <c r="K52" i="9"/>
  <c r="D52" i="9"/>
  <c r="C52" i="9"/>
  <c r="B52" i="9"/>
  <c r="A52" i="9"/>
  <c r="CA51" i="9"/>
  <c r="L51" i="9"/>
  <c r="K51" i="9"/>
  <c r="D51" i="9"/>
  <c r="C51" i="9"/>
  <c r="B51" i="9"/>
  <c r="A51" i="9"/>
  <c r="CA50" i="9"/>
  <c r="L50" i="9"/>
  <c r="K50" i="9"/>
  <c r="D50" i="9"/>
  <c r="C50" i="9"/>
  <c r="B50" i="9"/>
  <c r="A50" i="9"/>
  <c r="CA49" i="9"/>
  <c r="L49" i="9"/>
  <c r="K49" i="9"/>
  <c r="D49" i="9"/>
  <c r="C49" i="9"/>
  <c r="B49" i="9"/>
  <c r="A49" i="9"/>
  <c r="CA48" i="9"/>
  <c r="L48" i="9"/>
  <c r="K48" i="9"/>
  <c r="D48" i="9"/>
  <c r="C48" i="9"/>
  <c r="B48" i="9"/>
  <c r="A48" i="9"/>
  <c r="CA47" i="9"/>
  <c r="L47" i="9"/>
  <c r="K47" i="9"/>
  <c r="D47" i="9"/>
  <c r="C47" i="9"/>
  <c r="B47" i="9"/>
  <c r="A47" i="9"/>
  <c r="CA46" i="9"/>
  <c r="L46" i="9"/>
  <c r="K46" i="9"/>
  <c r="D46" i="9"/>
  <c r="C46" i="9"/>
  <c r="B46" i="9"/>
  <c r="A46" i="9"/>
  <c r="CA45" i="9"/>
  <c r="L45" i="9"/>
  <c r="K45" i="9"/>
  <c r="D45" i="9"/>
  <c r="C45" i="9"/>
  <c r="B45" i="9"/>
  <c r="A45" i="9"/>
  <c r="CA44" i="9"/>
  <c r="L44" i="9"/>
  <c r="K44" i="9"/>
  <c r="D44" i="9"/>
  <c r="C44" i="9"/>
  <c r="B44" i="9"/>
  <c r="A44" i="9"/>
  <c r="CA43" i="9"/>
  <c r="L43" i="9"/>
  <c r="K43" i="9"/>
  <c r="D43" i="9"/>
  <c r="C43" i="9"/>
  <c r="B43" i="9"/>
  <c r="A43" i="9"/>
  <c r="CA42" i="9"/>
  <c r="L42" i="9"/>
  <c r="K42" i="9"/>
  <c r="D42" i="9"/>
  <c r="C42" i="9"/>
  <c r="B42" i="9"/>
  <c r="A42" i="9"/>
  <c r="CA41" i="9"/>
  <c r="L41" i="9"/>
  <c r="K41" i="9"/>
  <c r="D41" i="9"/>
  <c r="C41" i="9"/>
  <c r="B41" i="9"/>
  <c r="A41" i="9"/>
  <c r="CA40" i="9"/>
  <c r="L40" i="9"/>
  <c r="K40" i="9"/>
  <c r="D40" i="9"/>
  <c r="C40" i="9"/>
  <c r="B40" i="9"/>
  <c r="A40" i="9"/>
  <c r="CA39" i="9"/>
  <c r="L39" i="9"/>
  <c r="K39" i="9"/>
  <c r="D39" i="9"/>
  <c r="C39" i="9"/>
  <c r="B39" i="9"/>
  <c r="A39" i="9"/>
  <c r="CA38" i="9"/>
  <c r="L38" i="9"/>
  <c r="K38" i="9"/>
  <c r="D38" i="9"/>
  <c r="C38" i="9"/>
  <c r="B38" i="9"/>
  <c r="A38" i="9"/>
  <c r="CA37" i="9"/>
  <c r="L37" i="9"/>
  <c r="K37" i="9"/>
  <c r="D37" i="9"/>
  <c r="C37" i="9"/>
  <c r="B37" i="9"/>
  <c r="A37" i="9"/>
  <c r="CA36" i="9"/>
  <c r="L36" i="9"/>
  <c r="K36" i="9"/>
  <c r="D36" i="9"/>
  <c r="C36" i="9"/>
  <c r="B36" i="9"/>
  <c r="A36" i="9"/>
  <c r="CA35" i="9"/>
  <c r="L35" i="9"/>
  <c r="K35" i="9"/>
  <c r="D35" i="9"/>
  <c r="C35" i="9"/>
  <c r="B35" i="9"/>
  <c r="A35" i="9"/>
  <c r="CA34" i="9"/>
  <c r="L34" i="9"/>
  <c r="K34" i="9"/>
  <c r="D34" i="9"/>
  <c r="C34" i="9"/>
  <c r="B34" i="9"/>
  <c r="A34" i="9"/>
  <c r="CA33" i="9"/>
  <c r="L33" i="9"/>
  <c r="K33" i="9"/>
  <c r="D33" i="9"/>
  <c r="C33" i="9"/>
  <c r="B33" i="9"/>
  <c r="A33" i="9"/>
  <c r="CA32" i="9"/>
  <c r="BF32" i="9" a="1"/>
  <c r="BF32" i="9" s="1"/>
  <c r="AH32" i="9" a="1"/>
  <c r="AH32" i="9" s="1"/>
  <c r="L32" i="9"/>
  <c r="K32" i="9"/>
  <c r="D32" i="9"/>
  <c r="C32" i="9"/>
  <c r="B32" i="9"/>
  <c r="A32" i="9"/>
  <c r="CA31" i="9"/>
  <c r="L31" i="9"/>
  <c r="K31" i="9"/>
  <c r="D31" i="9"/>
  <c r="C31" i="9"/>
  <c r="B31" i="9"/>
  <c r="A31" i="9"/>
  <c r="CA30" i="9"/>
  <c r="BU30" i="9" a="1"/>
  <c r="BU30" i="9" s="1"/>
  <c r="AW30" i="9" a="1"/>
  <c r="AW30" i="9" s="1"/>
  <c r="Y30" i="9" a="1"/>
  <c r="Y30" i="9" s="1"/>
  <c r="L30" i="9"/>
  <c r="K30" i="9"/>
  <c r="D30" i="9"/>
  <c r="C30" i="9"/>
  <c r="B30" i="9"/>
  <c r="A30" i="9"/>
  <c r="CA29" i="9"/>
  <c r="L29" i="9"/>
  <c r="K29" i="9"/>
  <c r="D29" i="9"/>
  <c r="C29" i="9"/>
  <c r="B29" i="9"/>
  <c r="A29" i="9"/>
  <c r="CA28" i="9"/>
  <c r="L28" i="9"/>
  <c r="K28" i="9"/>
  <c r="D28" i="9"/>
  <c r="C28" i="9"/>
  <c r="B28" i="9"/>
  <c r="A28" i="9"/>
  <c r="CA27" i="9"/>
  <c r="L27" i="9"/>
  <c r="K27" i="9"/>
  <c r="D27" i="9"/>
  <c r="C27" i="9"/>
  <c r="B27" i="9"/>
  <c r="A27" i="9"/>
  <c r="CA26" i="9"/>
  <c r="AW26" i="9" a="1"/>
  <c r="AW26" i="9" s="1"/>
  <c r="L26" i="9"/>
  <c r="K26" i="9"/>
  <c r="D26" i="9"/>
  <c r="C26" i="9"/>
  <c r="B26" i="9"/>
  <c r="A26" i="9"/>
  <c r="CA25" i="9"/>
  <c r="L25" i="9"/>
  <c r="K25" i="9"/>
  <c r="D25" i="9"/>
  <c r="C25" i="9"/>
  <c r="B25" i="9"/>
  <c r="A25" i="9"/>
  <c r="CA24" i="9"/>
  <c r="BR24" i="9" a="1"/>
  <c r="BR24" i="9" s="1"/>
  <c r="L24" i="9"/>
  <c r="K24" i="9"/>
  <c r="D24" i="9"/>
  <c r="C24" i="9"/>
  <c r="B24" i="9"/>
  <c r="A24" i="9"/>
  <c r="CA23" i="9"/>
  <c r="L23" i="9"/>
  <c r="K23" i="9"/>
  <c r="D23" i="9"/>
  <c r="C23" i="9"/>
  <c r="B23" i="9"/>
  <c r="A23" i="9"/>
  <c r="CA22" i="9"/>
  <c r="L22" i="9"/>
  <c r="K22" i="9"/>
  <c r="D22" i="9"/>
  <c r="C22" i="9"/>
  <c r="B22" i="9"/>
  <c r="A22" i="9"/>
  <c r="CA21" i="9"/>
  <c r="BX21" i="9" a="1"/>
  <c r="BX21" i="9" s="1"/>
  <c r="BI21" i="9" a="1"/>
  <c r="BI21" i="9" s="1"/>
  <c r="AH21" i="9" a="1"/>
  <c r="AH21" i="9" s="1"/>
  <c r="L21" i="9"/>
  <c r="K21" i="9"/>
  <c r="D21" i="9"/>
  <c r="C21" i="9"/>
  <c r="B21" i="9"/>
  <c r="A21" i="9"/>
  <c r="CA20" i="9"/>
  <c r="V20" i="9" a="1"/>
  <c r="V20" i="9" s="1"/>
  <c r="L20" i="9"/>
  <c r="K20" i="9"/>
  <c r="D20" i="9"/>
  <c r="C20" i="9"/>
  <c r="B20" i="9"/>
  <c r="A20" i="9"/>
  <c r="CA19" i="9"/>
  <c r="Y19" i="9" a="1"/>
  <c r="Y19" i="9" s="1"/>
  <c r="L19" i="9"/>
  <c r="K19" i="9"/>
  <c r="D19" i="9"/>
  <c r="C19" i="9"/>
  <c r="B19" i="9"/>
  <c r="A19" i="9"/>
  <c r="CA18" i="9"/>
  <c r="M18" i="9" a="1"/>
  <c r="M18" i="9" s="1"/>
  <c r="L18" i="9"/>
  <c r="K18" i="9"/>
  <c r="D18" i="9"/>
  <c r="C18" i="9"/>
  <c r="B18" i="9"/>
  <c r="A18" i="9"/>
  <c r="CA17" i="9"/>
  <c r="O17" i="9" a="1"/>
  <c r="O17" i="9"/>
  <c r="L17" i="9"/>
  <c r="K17" i="9"/>
  <c r="D17" i="9"/>
  <c r="C17" i="9"/>
  <c r="B17" i="9"/>
  <c r="A17" i="9"/>
  <c r="CA16" i="9"/>
  <c r="BH16" i="9" a="1"/>
  <c r="BH16" i="9" s="1"/>
  <c r="V16" i="9" a="1"/>
  <c r="V16" i="9" s="1"/>
  <c r="L16" i="9"/>
  <c r="K16" i="9"/>
  <c r="D16" i="9"/>
  <c r="C16" i="9"/>
  <c r="B16" i="9"/>
  <c r="A16" i="9"/>
  <c r="CA15" i="9"/>
  <c r="AX15" i="9" a="1"/>
  <c r="AX15" i="9"/>
  <c r="AR15" i="9" a="1"/>
  <c r="AR15" i="9" s="1"/>
  <c r="N15" i="9" a="1"/>
  <c r="N15" i="9"/>
  <c r="L15" i="9"/>
  <c r="K15" i="9"/>
  <c r="D15" i="9"/>
  <c r="C15" i="9"/>
  <c r="B15" i="9"/>
  <c r="A15" i="9"/>
  <c r="CA14" i="9"/>
  <c r="BM14" i="9" a="1"/>
  <c r="BM14" i="9" s="1"/>
  <c r="AC14" i="9" a="1"/>
  <c r="AC14" i="9" s="1"/>
  <c r="L14" i="9"/>
  <c r="K14" i="9"/>
  <c r="D14" i="9"/>
  <c r="C14" i="9"/>
  <c r="B14" i="9"/>
  <c r="A14" i="9"/>
  <c r="CA13" i="9"/>
  <c r="BW13" i="9" a="1"/>
  <c r="BW13" i="9" s="1"/>
  <c r="AM13" i="9" a="1"/>
  <c r="AM13" i="9" s="1"/>
  <c r="L13" i="9"/>
  <c r="K13" i="9"/>
  <c r="D13" i="9"/>
  <c r="C13" i="9"/>
  <c r="B13" i="9"/>
  <c r="A13" i="9"/>
  <c r="CA12" i="9"/>
  <c r="BH12" i="9" a="1"/>
  <c r="BH12" i="9" s="1"/>
  <c r="X12" i="9" a="1"/>
  <c r="X12" i="9" s="1"/>
  <c r="L12" i="9"/>
  <c r="K12" i="9"/>
  <c r="D12" i="9"/>
  <c r="C12" i="9"/>
  <c r="B12" i="9"/>
  <c r="A12" i="9"/>
  <c r="CA11" i="9"/>
  <c r="BX11" i="9" a="1"/>
  <c r="BX11" i="9"/>
  <c r="BR11" i="9" a="1"/>
  <c r="BR11" i="9" s="1"/>
  <c r="BL11" i="9" a="1"/>
  <c r="BL11" i="9" s="1"/>
  <c r="BF11" i="9" a="1"/>
  <c r="BF11" i="9" s="1"/>
  <c r="AT11" i="9" a="1"/>
  <c r="AT11" i="9" s="1"/>
  <c r="AN11" i="9" a="1"/>
  <c r="AN11" i="9"/>
  <c r="AH11" i="9" a="1"/>
  <c r="AH11" i="9" s="1"/>
  <c r="V11" i="9" a="1"/>
  <c r="V11" i="9" s="1"/>
  <c r="L11" i="9"/>
  <c r="K11" i="9"/>
  <c r="D11" i="9"/>
  <c r="C11" i="9"/>
  <c r="B11" i="9"/>
  <c r="A11" i="9"/>
  <c r="CA10" i="9"/>
  <c r="BU10" i="9" a="1"/>
  <c r="BU10" i="9" s="1"/>
  <c r="BR10" i="9" a="1"/>
  <c r="BR10" i="9" s="1"/>
  <c r="BL10" i="9" a="1"/>
  <c r="BL10" i="9" s="1"/>
  <c r="BI10" i="9" a="1"/>
  <c r="BI10" i="9" s="1"/>
  <c r="BF10" i="9" a="1"/>
  <c r="BF10" i="9" s="1"/>
  <c r="AW10" i="9" a="1"/>
  <c r="AW10" i="9" s="1"/>
  <c r="AT10" i="9" a="1"/>
  <c r="AT10" i="9" s="1"/>
  <c r="AK10" i="9" a="1"/>
  <c r="AK10" i="9" s="1"/>
  <c r="AH10" i="9" a="1"/>
  <c r="AH10" i="9" s="1"/>
  <c r="Y10" i="9" a="1"/>
  <c r="Y10" i="9" s="1"/>
  <c r="V10" i="9" a="1"/>
  <c r="V10" i="9" s="1"/>
  <c r="M10" i="9" a="1"/>
  <c r="M10" i="9" s="1"/>
  <c r="L10" i="9"/>
  <c r="K10" i="9"/>
  <c r="D10" i="9"/>
  <c r="C10" i="9"/>
  <c r="B10" i="9"/>
  <c r="A10" i="9"/>
  <c r="CA9" i="9"/>
  <c r="BR9" i="9" a="1"/>
  <c r="BR9" i="9" s="1"/>
  <c r="BL9" i="9" a="1"/>
  <c r="BL9" i="9" s="1"/>
  <c r="BF9" i="9" a="1"/>
  <c r="BF9" i="9" s="1"/>
  <c r="AZ9" i="9" a="1"/>
  <c r="AZ9" i="9" s="1"/>
  <c r="AT9" i="9" a="1"/>
  <c r="AT9" i="9" s="1"/>
  <c r="AH9" i="9" a="1"/>
  <c r="AH9" i="9" s="1"/>
  <c r="V9" i="9" a="1"/>
  <c r="V9" i="9" s="1"/>
  <c r="P9" i="9" a="1"/>
  <c r="P9" i="9" s="1"/>
  <c r="L9" i="9"/>
  <c r="K9" i="9"/>
  <c r="D9" i="9"/>
  <c r="C9" i="9"/>
  <c r="B9" i="9"/>
  <c r="A9" i="9"/>
  <c r="CA8" i="9"/>
  <c r="BV8" i="9" a="1"/>
  <c r="BV8" i="9"/>
  <c r="BU8" i="9" a="1"/>
  <c r="BU8" i="9" s="1"/>
  <c r="BR8" i="9" a="1"/>
  <c r="BR8" i="9" s="1"/>
  <c r="BL8" i="9" a="1"/>
  <c r="BL8" i="9" s="1"/>
  <c r="BJ8" i="9" a="1"/>
  <c r="BJ8" i="9"/>
  <c r="BI8" i="9" a="1"/>
  <c r="BI8" i="9" s="1"/>
  <c r="BF8" i="9" a="1"/>
  <c r="BF8" i="9" s="1"/>
  <c r="AX8" i="9" a="1"/>
  <c r="AX8" i="9"/>
  <c r="AW8" i="9" a="1"/>
  <c r="AW8" i="9" s="1"/>
  <c r="AT8" i="9" a="1"/>
  <c r="AT8" i="9" s="1"/>
  <c r="AL8" i="9" a="1"/>
  <c r="AL8" i="9"/>
  <c r="AK8" i="9" a="1"/>
  <c r="AK8" i="9" s="1"/>
  <c r="AH8" i="9" a="1"/>
  <c r="AH8" i="9" s="1"/>
  <c r="Z8" i="9" a="1"/>
  <c r="Z8" i="9"/>
  <c r="Y8" i="9" a="1"/>
  <c r="Y8" i="9" s="1"/>
  <c r="V8" i="9" a="1"/>
  <c r="V8" i="9" s="1"/>
  <c r="N8" i="9" a="1"/>
  <c r="N8" i="9"/>
  <c r="M8" i="9" a="1"/>
  <c r="M8" i="9" s="1"/>
  <c r="L8" i="9"/>
  <c r="K8" i="9"/>
  <c r="D8" i="9"/>
  <c r="C8" i="9"/>
  <c r="B8" i="9"/>
  <c r="A8" i="9"/>
  <c r="CA7" i="9"/>
  <c r="BY7" i="9" a="1"/>
  <c r="BY7" i="9"/>
  <c r="BU7" i="9" a="1"/>
  <c r="BU7" i="9" s="1"/>
  <c r="BR7" i="9" a="1"/>
  <c r="BR7" i="9" s="1"/>
  <c r="BO7" i="9" a="1"/>
  <c r="BO7" i="9" s="1"/>
  <c r="BN7" i="9" a="1"/>
  <c r="BN7" i="9" s="1"/>
  <c r="BL7" i="9" a="1"/>
  <c r="BL7" i="9" s="1"/>
  <c r="BI7" i="9" a="1"/>
  <c r="BI7" i="9" s="1"/>
  <c r="BH7" i="9" a="1"/>
  <c r="BH7" i="9" s="1"/>
  <c r="BF7" i="9" a="1"/>
  <c r="BF7" i="9" s="1"/>
  <c r="AW7" i="9" a="1"/>
  <c r="AW7" i="9" s="1"/>
  <c r="AV7" i="9" a="1"/>
  <c r="AV7" i="9" s="1"/>
  <c r="AT7" i="9" a="1"/>
  <c r="AT7" i="9" s="1"/>
  <c r="AN7" i="9" a="1"/>
  <c r="AN7" i="9" s="1"/>
  <c r="AK7" i="9" a="1"/>
  <c r="AK7" i="9" s="1"/>
  <c r="AJ7" i="9" a="1"/>
  <c r="AJ7" i="9"/>
  <c r="AH7" i="9" a="1"/>
  <c r="AH7" i="9" s="1"/>
  <c r="AE7" i="9" a="1"/>
  <c r="AE7" i="9" s="1"/>
  <c r="AD7" i="9" a="1"/>
  <c r="AD7" i="9"/>
  <c r="Y7" i="9" a="1"/>
  <c r="Y7" i="9" s="1"/>
  <c r="X7" i="9" a="1"/>
  <c r="X7" i="9" s="1"/>
  <c r="V7" i="9" a="1"/>
  <c r="V7" i="9" s="1"/>
  <c r="M7" i="9" a="1"/>
  <c r="M7" i="9" s="1"/>
  <c r="L7" i="9"/>
  <c r="K7" i="9"/>
  <c r="D7" i="9"/>
  <c r="C7" i="9"/>
  <c r="B7" i="9"/>
  <c r="A7" i="9"/>
  <c r="CA6" i="9"/>
  <c r="BW6" i="9" a="1"/>
  <c r="BW6" i="9"/>
  <c r="BV6" i="9" a="1"/>
  <c r="BV6" i="9" s="1"/>
  <c r="BU6" i="9" a="1"/>
  <c r="BU6" i="9" s="1"/>
  <c r="BT6" i="9" a="1"/>
  <c r="BT6" i="9" s="1"/>
  <c r="BN6" i="9" a="1"/>
  <c r="BN6" i="9" s="1"/>
  <c r="BM6" i="9" a="1"/>
  <c r="BM6" i="9" s="1"/>
  <c r="BK6" i="9" a="1"/>
  <c r="BK6" i="9" s="1"/>
  <c r="BI6" i="9" a="1"/>
  <c r="BI6" i="9" s="1"/>
  <c r="AX6" i="9" a="1"/>
  <c r="AX6" i="9"/>
  <c r="AW6" i="9" a="1"/>
  <c r="AW6" i="9" s="1"/>
  <c r="AR6" i="9" a="1"/>
  <c r="AR6" i="9" s="1"/>
  <c r="AO6" i="9" a="1"/>
  <c r="AO6" i="9"/>
  <c r="AK6" i="9" a="1"/>
  <c r="AK6" i="9" s="1"/>
  <c r="AF6" i="9" a="1"/>
  <c r="AF6" i="9" s="1"/>
  <c r="Y6" i="9" a="1"/>
  <c r="Y6" i="9" s="1"/>
  <c r="X6" i="9" a="1"/>
  <c r="X6" i="9" s="1"/>
  <c r="W6" i="9" a="1"/>
  <c r="W6" i="9" s="1"/>
  <c r="O6" i="9" a="1"/>
  <c r="O6" i="9" s="1"/>
  <c r="M6" i="9" a="1"/>
  <c r="M6" i="9" s="1"/>
  <c r="L6" i="9"/>
  <c r="K6" i="9"/>
  <c r="D6" i="9"/>
  <c r="C6" i="9"/>
  <c r="B6" i="9"/>
  <c r="A6" i="9"/>
  <c r="CA5" i="9"/>
  <c r="BZ5" i="9" a="1"/>
  <c r="BZ5" i="9" s="1"/>
  <c r="BU5" i="9" a="1"/>
  <c r="BU5" i="9" s="1"/>
  <c r="BT5" i="9" a="1"/>
  <c r="BT5" i="9" s="1"/>
  <c r="BR5" i="9" a="1"/>
  <c r="BR5" i="9"/>
  <c r="BI5" i="9" a="1"/>
  <c r="BI5" i="9"/>
  <c r="BH5" i="9" a="1"/>
  <c r="BH5" i="9" s="1"/>
  <c r="BF5" i="9" a="1"/>
  <c r="BF5" i="9"/>
  <c r="BA5" i="9" a="1"/>
  <c r="BA5" i="9" s="1"/>
  <c r="AW5" i="9" a="1"/>
  <c r="AW5" i="9" s="1"/>
  <c r="AV5" i="9" a="1"/>
  <c r="AV5" i="9" s="1"/>
  <c r="AT5" i="9" a="1"/>
  <c r="AT5" i="9"/>
  <c r="AR5" i="9" a="1"/>
  <c r="AR5" i="9" s="1"/>
  <c r="AQ5" i="9" a="1"/>
  <c r="AQ5" i="9" s="1"/>
  <c r="AK5" i="9" a="1"/>
  <c r="AK5" i="9"/>
  <c r="AJ5" i="9" a="1"/>
  <c r="AJ5" i="9" s="1"/>
  <c r="AH5" i="9" a="1"/>
  <c r="AH5" i="9"/>
  <c r="AC5" i="9" a="1"/>
  <c r="AC5" i="9" s="1"/>
  <c r="AB5" i="9" a="1"/>
  <c r="AB5" i="9"/>
  <c r="Y5" i="9" a="1"/>
  <c r="Y5" i="9" s="1"/>
  <c r="X5" i="9" a="1"/>
  <c r="X5" i="9" s="1"/>
  <c r="V5" i="9" a="1"/>
  <c r="V5" i="9" s="1"/>
  <c r="T5" i="9" a="1"/>
  <c r="T5" i="9" s="1"/>
  <c r="S5" i="9" a="1"/>
  <c r="S5" i="9" s="1"/>
  <c r="M5" i="9" a="1"/>
  <c r="M5" i="9"/>
  <c r="L5" i="9"/>
  <c r="K5" i="9"/>
  <c r="D5" i="9"/>
  <c r="C5" i="9"/>
  <c r="B5" i="9"/>
  <c r="A5" i="9"/>
  <c r="CA4" i="9"/>
  <c r="BX4" i="9" a="1"/>
  <c r="BX4" i="9"/>
  <c r="BW4" i="9" a="1"/>
  <c r="BW4" i="9"/>
  <c r="BU4" i="9" a="1"/>
  <c r="BU4" i="9" s="1"/>
  <c r="BT4" i="9" a="1"/>
  <c r="BT4" i="9" s="1"/>
  <c r="BR4" i="9" a="1"/>
  <c r="BR4" i="9"/>
  <c r="BO4" i="9" a="1"/>
  <c r="BO4" i="9" s="1"/>
  <c r="BN4" i="9" a="1"/>
  <c r="BN4" i="9" s="1"/>
  <c r="BL4" i="9" a="1"/>
  <c r="BL4" i="9" s="1"/>
  <c r="BK4" i="9" a="1"/>
  <c r="BK4" i="9" s="1"/>
  <c r="BI4" i="9" a="1"/>
  <c r="BI4" i="9" s="1"/>
  <c r="BF4" i="9" a="1"/>
  <c r="BF4" i="9" s="1"/>
  <c r="AY4" i="9" a="1"/>
  <c r="AY4" i="9" s="1"/>
  <c r="AW4" i="9" a="1"/>
  <c r="AW4" i="9" s="1"/>
  <c r="AV4" i="9" a="1"/>
  <c r="AV4" i="9" s="1"/>
  <c r="AT4" i="9" a="1"/>
  <c r="AT4" i="9"/>
  <c r="AQ4" i="9" a="1"/>
  <c r="AQ4" i="9" s="1"/>
  <c r="AP4" i="9" a="1"/>
  <c r="AP4" i="9" s="1"/>
  <c r="AM4" i="9" a="1"/>
  <c r="AM4" i="9" s="1"/>
  <c r="AK4" i="9" a="1"/>
  <c r="AK4" i="9" s="1"/>
  <c r="AH4" i="9" a="1"/>
  <c r="AH4" i="9" s="1"/>
  <c r="AA4" i="9" a="1"/>
  <c r="AA4" i="9" s="1"/>
  <c r="Y4" i="9" a="1"/>
  <c r="Y4" i="9" s="1"/>
  <c r="X4" i="9" a="1"/>
  <c r="X4" i="9" s="1"/>
  <c r="V4" i="9" a="1"/>
  <c r="V4" i="9"/>
  <c r="S4" i="9" a="1"/>
  <c r="S4" i="9" s="1"/>
  <c r="R4" i="9" a="1"/>
  <c r="R4" i="9" s="1"/>
  <c r="O4" i="9" a="1"/>
  <c r="O4" i="9" s="1"/>
  <c r="M4" i="9" a="1"/>
  <c r="M4" i="9" s="1"/>
  <c r="L4" i="9"/>
  <c r="K4" i="9"/>
  <c r="D4" i="9"/>
  <c r="C4" i="9"/>
  <c r="B4" i="9"/>
  <c r="A4" i="9"/>
  <c r="BZ2" i="9"/>
  <c r="BZ12" i="9" s="1" a="1"/>
  <c r="BZ12" i="9" s="1"/>
  <c r="BY2" i="9"/>
  <c r="BY9" i="9" s="1" a="1"/>
  <c r="BY9" i="9" s="1"/>
  <c r="BX2" i="9"/>
  <c r="BX25" i="9" s="1" a="1"/>
  <c r="BX25" i="9" s="1"/>
  <c r="BW2" i="9"/>
  <c r="BV2" i="9"/>
  <c r="BV16" i="9" s="1" a="1"/>
  <c r="BV16" i="9" s="1"/>
  <c r="BU2" i="9"/>
  <c r="BU31" i="9" s="1" a="1"/>
  <c r="BU31" i="9" s="1"/>
  <c r="BT2" i="9"/>
  <c r="BS2" i="9"/>
  <c r="BR2" i="9"/>
  <c r="BQ2" i="9"/>
  <c r="BP2" i="9"/>
  <c r="BP15" i="9" s="1" a="1"/>
  <c r="BP15" i="9" s="1"/>
  <c r="BO2" i="9"/>
  <c r="BO19" i="9" s="1" a="1"/>
  <c r="BO19" i="9" s="1"/>
  <c r="BN2" i="9"/>
  <c r="BN5" i="9" s="1" a="1"/>
  <c r="BN5" i="9" s="1"/>
  <c r="BM2" i="9"/>
  <c r="BM5" i="9" s="1" a="1"/>
  <c r="BM5" i="9" s="1"/>
  <c r="BL2" i="9"/>
  <c r="BL5" i="9" s="1" a="1"/>
  <c r="BL5" i="9" s="1"/>
  <c r="BK2" i="9"/>
  <c r="BJ2" i="9"/>
  <c r="BJ5" i="9" s="1" a="1"/>
  <c r="BJ5" i="9" s="1"/>
  <c r="BI2" i="9"/>
  <c r="BI14" i="9" s="1" a="1"/>
  <c r="BI14" i="9" s="1"/>
  <c r="BH2" i="9"/>
  <c r="BG2" i="9"/>
  <c r="BF2" i="9"/>
  <c r="BE2" i="9"/>
  <c r="BE6" i="9" s="1" a="1"/>
  <c r="BE6" i="9" s="1"/>
  <c r="BD2" i="9"/>
  <c r="BD6" i="9" s="1" a="1"/>
  <c r="BD6" i="9" s="1"/>
  <c r="BC2" i="9"/>
  <c r="BC4" i="9" s="1" a="1"/>
  <c r="BC4" i="9" s="1"/>
  <c r="BB2" i="9"/>
  <c r="BB6" i="9" s="1" a="1"/>
  <c r="BB6" i="9" s="1"/>
  <c r="BA2" i="9"/>
  <c r="BA7" i="9" s="1" a="1"/>
  <c r="BA7" i="9" s="1"/>
  <c r="AZ2" i="9"/>
  <c r="AZ11" i="9" s="1" a="1"/>
  <c r="AZ11" i="9" s="1"/>
  <c r="AY2" i="9"/>
  <c r="AY13" i="9" s="1" a="1"/>
  <c r="AY13" i="9" s="1"/>
  <c r="AX2" i="9"/>
  <c r="AW2" i="9"/>
  <c r="AW31" i="9" s="1" a="1"/>
  <c r="AW31" i="9" s="1"/>
  <c r="AV2" i="9"/>
  <c r="AU2" i="9"/>
  <c r="AT2" i="9"/>
  <c r="AS2" i="9"/>
  <c r="AR2" i="9"/>
  <c r="AR8" i="9" s="1" a="1"/>
  <c r="AR8" i="9" s="1"/>
  <c r="AQ2" i="9"/>
  <c r="AQ8" i="9" s="1" a="1"/>
  <c r="AQ8" i="9" s="1"/>
  <c r="AP2" i="9"/>
  <c r="AP12" i="9" s="1" a="1"/>
  <c r="AP12" i="9" s="1"/>
  <c r="AO2" i="9"/>
  <c r="AO9" i="9" s="1" a="1"/>
  <c r="AO9" i="9" s="1"/>
  <c r="AN2" i="9"/>
  <c r="AN9" i="9" s="1" a="1"/>
  <c r="AN9" i="9" s="1"/>
  <c r="AM2" i="9"/>
  <c r="AL2" i="9"/>
  <c r="AL5" i="9" s="1" a="1"/>
  <c r="AL5" i="9" s="1"/>
  <c r="AK2" i="9"/>
  <c r="AK21" i="9" s="1" a="1"/>
  <c r="AK21" i="9" s="1"/>
  <c r="AJ2" i="9"/>
  <c r="AI2" i="9"/>
  <c r="AH2" i="9"/>
  <c r="AG2" i="9"/>
  <c r="AF2" i="9"/>
  <c r="AF15" i="9" s="1" a="1"/>
  <c r="AF15" i="9" s="1"/>
  <c r="AE2" i="9"/>
  <c r="AE4" i="9" s="1" a="1"/>
  <c r="AE4" i="9" s="1"/>
  <c r="AD2" i="9"/>
  <c r="AD4" i="9" s="1" a="1"/>
  <c r="AD4" i="9" s="1"/>
  <c r="AC2" i="9"/>
  <c r="AC8" i="9" s="1" a="1"/>
  <c r="AC8" i="9" s="1"/>
  <c r="AB2" i="9"/>
  <c r="AB8" i="9" s="1" a="1"/>
  <c r="AB8" i="9" s="1"/>
  <c r="AA2" i="9"/>
  <c r="Z2" i="9"/>
  <c r="Z6" i="9" s="1" a="1"/>
  <c r="Z6" i="9" s="1"/>
  <c r="Y2" i="9"/>
  <c r="Y43" i="9" s="1" a="1"/>
  <c r="Y43" i="9" s="1"/>
  <c r="X2" i="9"/>
  <c r="W2" i="9"/>
  <c r="V2" i="9"/>
  <c r="U2" i="9"/>
  <c r="T2" i="9"/>
  <c r="T8" i="9" s="1" a="1"/>
  <c r="T8" i="9" s="1"/>
  <c r="S2" i="9"/>
  <c r="S8" i="9" s="1" a="1"/>
  <c r="S8" i="9" s="1"/>
  <c r="R2" i="9"/>
  <c r="R6" i="9" s="1" a="1"/>
  <c r="R6" i="9" s="1"/>
  <c r="Q2" i="9"/>
  <c r="Q7" i="9" s="1" a="1"/>
  <c r="Q7" i="9" s="1"/>
  <c r="P2" i="9"/>
  <c r="P16" i="9" s="1" a="1"/>
  <c r="P16" i="9" s="1"/>
  <c r="O2" i="9"/>
  <c r="O13" i="9" s="1" a="1"/>
  <c r="O13" i="9" s="1"/>
  <c r="N2" i="9"/>
  <c r="N5" i="9" s="1" a="1"/>
  <c r="N5" i="9" s="1"/>
  <c r="M2" i="9"/>
  <c r="M14" i="9" s="1" a="1"/>
  <c r="M14" i="9" s="1"/>
  <c r="F2" i="9"/>
  <c r="AO136" i="8"/>
  <c r="AN136" i="8"/>
  <c r="AM136" i="8"/>
  <c r="AL136" i="8"/>
  <c r="AK136" i="8"/>
  <c r="AJ136" i="8"/>
  <c r="AI136" i="8"/>
  <c r="AH136" i="8"/>
  <c r="AG136" i="8"/>
  <c r="AF136" i="8"/>
  <c r="AE136" i="8"/>
  <c r="AD136" i="8"/>
  <c r="AC136" i="8"/>
  <c r="AB136" i="8"/>
  <c r="AA136" i="8"/>
  <c r="Y136" i="8"/>
  <c r="X136" i="8"/>
  <c r="F136" i="8"/>
  <c r="E136" i="8"/>
  <c r="D136" i="8"/>
  <c r="C136" i="8"/>
  <c r="B136" i="8"/>
  <c r="A136" i="8"/>
  <c r="AO135" i="8"/>
  <c r="AN135" i="8"/>
  <c r="AM135" i="8"/>
  <c r="AL135" i="8"/>
  <c r="AK135" i="8"/>
  <c r="AJ135" i="8"/>
  <c r="AI135" i="8"/>
  <c r="AH135" i="8"/>
  <c r="AG135" i="8"/>
  <c r="AF135" i="8"/>
  <c r="AE135" i="8"/>
  <c r="AD135" i="8"/>
  <c r="AC135" i="8"/>
  <c r="AB135" i="8"/>
  <c r="AA135" i="8"/>
  <c r="Y135" i="8"/>
  <c r="X135" i="8"/>
  <c r="F135" i="8"/>
  <c r="E135" i="8"/>
  <c r="D135" i="8"/>
  <c r="C135" i="8"/>
  <c r="B135" i="8"/>
  <c r="A135" i="8"/>
  <c r="AO134" i="8"/>
  <c r="AN134" i="8"/>
  <c r="AM134" i="8"/>
  <c r="AL134" i="8"/>
  <c r="AK134" i="8"/>
  <c r="AJ134" i="8"/>
  <c r="AI134" i="8"/>
  <c r="AH134" i="8"/>
  <c r="AG134" i="8"/>
  <c r="AF134" i="8"/>
  <c r="AE134" i="8"/>
  <c r="AD134" i="8"/>
  <c r="AC134" i="8"/>
  <c r="AB134" i="8"/>
  <c r="AA134" i="8"/>
  <c r="Y134" i="8"/>
  <c r="X134" i="8"/>
  <c r="F134" i="8"/>
  <c r="E134" i="8"/>
  <c r="D134" i="8"/>
  <c r="C134" i="8"/>
  <c r="B134" i="8"/>
  <c r="A134" i="8"/>
  <c r="AO133" i="8"/>
  <c r="AN133" i="8"/>
  <c r="AM133" i="8"/>
  <c r="AL133" i="8"/>
  <c r="AK133" i="8"/>
  <c r="AJ133" i="8"/>
  <c r="AI133" i="8"/>
  <c r="AH133" i="8"/>
  <c r="AG133" i="8"/>
  <c r="AF133" i="8"/>
  <c r="AE133" i="8"/>
  <c r="AD133" i="8"/>
  <c r="AC133" i="8"/>
  <c r="AB133" i="8"/>
  <c r="AA133" i="8"/>
  <c r="Y133" i="8"/>
  <c r="X133" i="8"/>
  <c r="F133" i="8"/>
  <c r="E133" i="8"/>
  <c r="D133" i="8"/>
  <c r="C133" i="8"/>
  <c r="B133" i="8"/>
  <c r="A133" i="8"/>
  <c r="AO132" i="8"/>
  <c r="AN132" i="8"/>
  <c r="AM132" i="8"/>
  <c r="AL132" i="8"/>
  <c r="AK132" i="8"/>
  <c r="AJ132" i="8"/>
  <c r="AI132" i="8"/>
  <c r="AH132" i="8"/>
  <c r="AG132" i="8"/>
  <c r="AF132" i="8"/>
  <c r="AE132" i="8"/>
  <c r="AD132" i="8"/>
  <c r="AC132" i="8"/>
  <c r="AB132" i="8"/>
  <c r="AA132" i="8"/>
  <c r="Y132" i="8"/>
  <c r="X132" i="8"/>
  <c r="F132" i="8"/>
  <c r="E132" i="8"/>
  <c r="D132" i="8"/>
  <c r="C132" i="8"/>
  <c r="B132" i="8"/>
  <c r="A132" i="8"/>
  <c r="AO131" i="8"/>
  <c r="AN131" i="8"/>
  <c r="AM131" i="8"/>
  <c r="AL131" i="8"/>
  <c r="AK131" i="8"/>
  <c r="AJ131" i="8"/>
  <c r="AI131" i="8"/>
  <c r="AH131" i="8"/>
  <c r="AG131" i="8"/>
  <c r="AF131" i="8"/>
  <c r="AE131" i="8"/>
  <c r="AD131" i="8"/>
  <c r="AC131" i="8"/>
  <c r="AB131" i="8"/>
  <c r="AA131" i="8"/>
  <c r="Y131" i="8"/>
  <c r="X131" i="8"/>
  <c r="F131" i="8"/>
  <c r="E131" i="8"/>
  <c r="D131" i="8"/>
  <c r="C131" i="8"/>
  <c r="B131" i="8"/>
  <c r="A131" i="8"/>
  <c r="AO130" i="8"/>
  <c r="AN130" i="8"/>
  <c r="AM130" i="8"/>
  <c r="AL130" i="8"/>
  <c r="AK130" i="8"/>
  <c r="AJ130" i="8"/>
  <c r="AI130" i="8"/>
  <c r="AH130" i="8"/>
  <c r="AG130" i="8"/>
  <c r="AF130" i="8"/>
  <c r="AE130" i="8"/>
  <c r="AD130" i="8"/>
  <c r="AC130" i="8"/>
  <c r="AB130" i="8"/>
  <c r="AA130" i="8"/>
  <c r="Y130" i="8"/>
  <c r="X130" i="8"/>
  <c r="F130" i="8"/>
  <c r="E130" i="8"/>
  <c r="D130" i="8"/>
  <c r="C130" i="8"/>
  <c r="B130" i="8"/>
  <c r="A130" i="8"/>
  <c r="AO129" i="8"/>
  <c r="AN129" i="8"/>
  <c r="AM129" i="8"/>
  <c r="AL129" i="8"/>
  <c r="AK129" i="8"/>
  <c r="AJ129" i="8"/>
  <c r="AI129" i="8"/>
  <c r="AH129" i="8"/>
  <c r="AG129" i="8"/>
  <c r="AF129" i="8"/>
  <c r="AE129" i="8"/>
  <c r="AD129" i="8"/>
  <c r="AC129" i="8"/>
  <c r="AB129" i="8"/>
  <c r="AA129" i="8"/>
  <c r="Y129" i="8"/>
  <c r="X129" i="8"/>
  <c r="F129" i="8"/>
  <c r="E129" i="8"/>
  <c r="D129" i="8"/>
  <c r="C129" i="8"/>
  <c r="B129" i="8"/>
  <c r="A129" i="8"/>
  <c r="AO128" i="8"/>
  <c r="AN128" i="8"/>
  <c r="AM128" i="8"/>
  <c r="AL128" i="8"/>
  <c r="AK128" i="8"/>
  <c r="AJ128" i="8"/>
  <c r="AI128" i="8"/>
  <c r="AH128" i="8"/>
  <c r="AG128" i="8"/>
  <c r="AF128" i="8"/>
  <c r="AE128" i="8"/>
  <c r="AD128" i="8"/>
  <c r="AC128" i="8"/>
  <c r="AB128" i="8"/>
  <c r="AA128" i="8"/>
  <c r="Y128" i="8"/>
  <c r="X128" i="8"/>
  <c r="F128" i="8"/>
  <c r="E128" i="8"/>
  <c r="D128" i="8"/>
  <c r="C128" i="8"/>
  <c r="B128" i="8"/>
  <c r="A128" i="8"/>
  <c r="AO127" i="8"/>
  <c r="AN127" i="8"/>
  <c r="AM127" i="8"/>
  <c r="AL127" i="8"/>
  <c r="AK127" i="8"/>
  <c r="AJ127" i="8"/>
  <c r="AI127" i="8"/>
  <c r="AH127" i="8"/>
  <c r="AG127" i="8"/>
  <c r="AF127" i="8"/>
  <c r="AE127" i="8"/>
  <c r="AD127" i="8"/>
  <c r="AC127" i="8"/>
  <c r="AB127" i="8"/>
  <c r="AA127" i="8"/>
  <c r="Y127" i="8"/>
  <c r="X127" i="8"/>
  <c r="F127" i="8"/>
  <c r="E127" i="8"/>
  <c r="D127" i="8"/>
  <c r="C127" i="8"/>
  <c r="B127" i="8"/>
  <c r="A127" i="8"/>
  <c r="AO126" i="8"/>
  <c r="AN126" i="8"/>
  <c r="AM126" i="8"/>
  <c r="AL126" i="8"/>
  <c r="AK126" i="8"/>
  <c r="AJ126" i="8"/>
  <c r="AI126" i="8"/>
  <c r="AH126" i="8"/>
  <c r="AG126" i="8"/>
  <c r="AF126" i="8"/>
  <c r="AE126" i="8"/>
  <c r="AD126" i="8"/>
  <c r="AC126" i="8"/>
  <c r="AB126" i="8"/>
  <c r="AA126" i="8"/>
  <c r="Y126" i="8"/>
  <c r="X126" i="8"/>
  <c r="F126" i="8"/>
  <c r="E126" i="8"/>
  <c r="D126" i="8"/>
  <c r="C126" i="8"/>
  <c r="B126" i="8"/>
  <c r="A126" i="8"/>
  <c r="AO125" i="8"/>
  <c r="AN125" i="8"/>
  <c r="AM125" i="8"/>
  <c r="AL125" i="8"/>
  <c r="AK125" i="8"/>
  <c r="AJ125" i="8"/>
  <c r="AI125" i="8"/>
  <c r="AH125" i="8"/>
  <c r="AG125" i="8"/>
  <c r="AF125" i="8"/>
  <c r="AE125" i="8"/>
  <c r="AD125" i="8"/>
  <c r="AC125" i="8"/>
  <c r="AB125" i="8"/>
  <c r="AA125" i="8"/>
  <c r="Y125" i="8"/>
  <c r="X125" i="8"/>
  <c r="F125" i="8"/>
  <c r="E125" i="8"/>
  <c r="D125" i="8"/>
  <c r="C125" i="8"/>
  <c r="B125" i="8"/>
  <c r="A125" i="8"/>
  <c r="AO124" i="8"/>
  <c r="AN124" i="8"/>
  <c r="AM124" i="8"/>
  <c r="AL124" i="8"/>
  <c r="AK124" i="8"/>
  <c r="AJ124" i="8"/>
  <c r="AI124" i="8"/>
  <c r="AH124" i="8"/>
  <c r="AG124" i="8"/>
  <c r="AF124" i="8"/>
  <c r="AE124" i="8"/>
  <c r="AD124" i="8"/>
  <c r="AC124" i="8"/>
  <c r="AB124" i="8"/>
  <c r="AA124" i="8"/>
  <c r="Y124" i="8"/>
  <c r="X124" i="8"/>
  <c r="F124" i="8"/>
  <c r="E124" i="8"/>
  <c r="D124" i="8"/>
  <c r="C124" i="8"/>
  <c r="B124" i="8"/>
  <c r="A124" i="8"/>
  <c r="AO123" i="8"/>
  <c r="AN123" i="8"/>
  <c r="AM123" i="8"/>
  <c r="AL123" i="8"/>
  <c r="AK123" i="8"/>
  <c r="AJ123" i="8"/>
  <c r="AI123" i="8"/>
  <c r="AH123" i="8"/>
  <c r="AG123" i="8"/>
  <c r="AF123" i="8"/>
  <c r="AE123" i="8"/>
  <c r="AD123" i="8"/>
  <c r="AC123" i="8"/>
  <c r="AB123" i="8"/>
  <c r="AA123" i="8"/>
  <c r="Y123" i="8"/>
  <c r="X123" i="8"/>
  <c r="F123" i="8"/>
  <c r="E123" i="8"/>
  <c r="D123" i="8"/>
  <c r="C123" i="8"/>
  <c r="B123" i="8"/>
  <c r="A123" i="8"/>
  <c r="AO122" i="8"/>
  <c r="AN122" i="8"/>
  <c r="AM122" i="8"/>
  <c r="AL122" i="8"/>
  <c r="AK122" i="8"/>
  <c r="AJ122" i="8"/>
  <c r="AI122" i="8"/>
  <c r="AH122" i="8"/>
  <c r="AG122" i="8"/>
  <c r="AF122" i="8"/>
  <c r="AE122" i="8"/>
  <c r="AD122" i="8"/>
  <c r="AC122" i="8"/>
  <c r="AB122" i="8"/>
  <c r="AA122" i="8"/>
  <c r="Y122" i="8"/>
  <c r="X122" i="8"/>
  <c r="F122" i="8"/>
  <c r="E122" i="8"/>
  <c r="D122" i="8"/>
  <c r="C122" i="8"/>
  <c r="B122" i="8"/>
  <c r="A122" i="8"/>
  <c r="AO121" i="8"/>
  <c r="AN121" i="8"/>
  <c r="AM121" i="8"/>
  <c r="AL121" i="8"/>
  <c r="AK121" i="8"/>
  <c r="AJ121" i="8"/>
  <c r="AI121" i="8"/>
  <c r="AH121" i="8"/>
  <c r="AG121" i="8"/>
  <c r="AF121" i="8"/>
  <c r="AE121" i="8"/>
  <c r="AD121" i="8"/>
  <c r="AC121" i="8"/>
  <c r="AB121" i="8"/>
  <c r="AA121" i="8"/>
  <c r="Y121" i="8"/>
  <c r="X121" i="8"/>
  <c r="F121" i="8"/>
  <c r="E121" i="8"/>
  <c r="D121" i="8"/>
  <c r="C121" i="8"/>
  <c r="B121" i="8"/>
  <c r="A121" i="8"/>
  <c r="AO120" i="8"/>
  <c r="AN120" i="8"/>
  <c r="AM120" i="8"/>
  <c r="AL120" i="8"/>
  <c r="AK120" i="8"/>
  <c r="AJ120" i="8"/>
  <c r="AI120" i="8"/>
  <c r="AH120" i="8"/>
  <c r="AG120" i="8"/>
  <c r="AF120" i="8"/>
  <c r="AE120" i="8"/>
  <c r="AD120" i="8"/>
  <c r="AC120" i="8"/>
  <c r="AB120" i="8"/>
  <c r="AA120" i="8"/>
  <c r="Y120" i="8"/>
  <c r="X120" i="8"/>
  <c r="F120" i="8"/>
  <c r="E120" i="8"/>
  <c r="D120" i="8"/>
  <c r="C120" i="8"/>
  <c r="B120" i="8"/>
  <c r="A120" i="8"/>
  <c r="AO119" i="8"/>
  <c r="AN119" i="8"/>
  <c r="AM119" i="8"/>
  <c r="AL119" i="8"/>
  <c r="AK119" i="8"/>
  <c r="AJ119" i="8"/>
  <c r="AI119" i="8"/>
  <c r="AH119" i="8"/>
  <c r="AG119" i="8"/>
  <c r="AF119" i="8"/>
  <c r="AE119" i="8"/>
  <c r="AD119" i="8"/>
  <c r="AC119" i="8"/>
  <c r="AB119" i="8"/>
  <c r="AA119" i="8"/>
  <c r="Y119" i="8"/>
  <c r="X119" i="8"/>
  <c r="F119" i="8"/>
  <c r="E119" i="8"/>
  <c r="D119" i="8"/>
  <c r="C119" i="8"/>
  <c r="B119" i="8"/>
  <c r="A119" i="8"/>
  <c r="AO118" i="8"/>
  <c r="AN118" i="8"/>
  <c r="AM118" i="8"/>
  <c r="AL118" i="8"/>
  <c r="AK118" i="8"/>
  <c r="AJ118" i="8"/>
  <c r="AI118" i="8"/>
  <c r="AH118" i="8"/>
  <c r="AG118" i="8"/>
  <c r="AF118" i="8"/>
  <c r="AE118" i="8"/>
  <c r="AD118" i="8"/>
  <c r="AC118" i="8"/>
  <c r="AB118" i="8"/>
  <c r="AA118" i="8"/>
  <c r="Y118" i="8"/>
  <c r="X118" i="8"/>
  <c r="F118" i="8"/>
  <c r="E118" i="8"/>
  <c r="D118" i="8"/>
  <c r="C118" i="8"/>
  <c r="B118" i="8"/>
  <c r="A118" i="8"/>
  <c r="AO117" i="8"/>
  <c r="AN117" i="8"/>
  <c r="AM117" i="8"/>
  <c r="AL117" i="8"/>
  <c r="AK117" i="8"/>
  <c r="AJ117" i="8"/>
  <c r="AI117" i="8"/>
  <c r="AH117" i="8"/>
  <c r="AG117" i="8"/>
  <c r="AF117" i="8"/>
  <c r="AE117" i="8"/>
  <c r="AD117" i="8"/>
  <c r="AC117" i="8"/>
  <c r="AB117" i="8"/>
  <c r="AA117" i="8"/>
  <c r="Y117" i="8"/>
  <c r="X117" i="8"/>
  <c r="F117" i="8"/>
  <c r="E117" i="8"/>
  <c r="D117" i="8"/>
  <c r="C117" i="8"/>
  <c r="B117" i="8"/>
  <c r="A117" i="8"/>
  <c r="AO116" i="8"/>
  <c r="AN116" i="8"/>
  <c r="AM116" i="8"/>
  <c r="AL116" i="8"/>
  <c r="AK116" i="8"/>
  <c r="AJ116" i="8"/>
  <c r="AI116" i="8"/>
  <c r="AH116" i="8"/>
  <c r="AG116" i="8"/>
  <c r="AF116" i="8"/>
  <c r="AE116" i="8"/>
  <c r="AD116" i="8"/>
  <c r="AC116" i="8"/>
  <c r="AB116" i="8"/>
  <c r="AA116" i="8"/>
  <c r="Y116" i="8"/>
  <c r="X116" i="8"/>
  <c r="F116" i="8"/>
  <c r="E116" i="8"/>
  <c r="D116" i="8"/>
  <c r="C116" i="8"/>
  <c r="B116" i="8"/>
  <c r="A116" i="8"/>
  <c r="AO115" i="8"/>
  <c r="AN115" i="8"/>
  <c r="AM115" i="8"/>
  <c r="AL115" i="8"/>
  <c r="AK115" i="8"/>
  <c r="AJ115" i="8"/>
  <c r="AI115" i="8"/>
  <c r="AH115" i="8"/>
  <c r="AG115" i="8"/>
  <c r="AF115" i="8"/>
  <c r="AE115" i="8"/>
  <c r="AD115" i="8"/>
  <c r="AC115" i="8"/>
  <c r="AB115" i="8"/>
  <c r="AA115" i="8"/>
  <c r="Y115" i="8"/>
  <c r="X115" i="8"/>
  <c r="F115" i="8"/>
  <c r="E115" i="8"/>
  <c r="D115" i="8"/>
  <c r="C115" i="8"/>
  <c r="B115" i="8"/>
  <c r="A115" i="8"/>
  <c r="AO114" i="8"/>
  <c r="AN114" i="8"/>
  <c r="AM114" i="8"/>
  <c r="AL114" i="8"/>
  <c r="AK114" i="8"/>
  <c r="AJ114" i="8"/>
  <c r="AI114" i="8"/>
  <c r="AH114" i="8"/>
  <c r="AG114" i="8"/>
  <c r="AF114" i="8"/>
  <c r="AE114" i="8"/>
  <c r="AD114" i="8"/>
  <c r="AC114" i="8"/>
  <c r="AB114" i="8"/>
  <c r="AA114" i="8"/>
  <c r="Y114" i="8"/>
  <c r="X114" i="8"/>
  <c r="F114" i="8"/>
  <c r="E114" i="8"/>
  <c r="D114" i="8"/>
  <c r="C114" i="8"/>
  <c r="B114" i="8"/>
  <c r="A114" i="8"/>
  <c r="AO113" i="8"/>
  <c r="AN113" i="8"/>
  <c r="AM113" i="8"/>
  <c r="AL113" i="8"/>
  <c r="AK113" i="8"/>
  <c r="AJ113" i="8"/>
  <c r="AI113" i="8"/>
  <c r="AH113" i="8"/>
  <c r="AG113" i="8"/>
  <c r="AF113" i="8"/>
  <c r="AE113" i="8"/>
  <c r="AD113" i="8"/>
  <c r="AC113" i="8"/>
  <c r="AB113" i="8"/>
  <c r="AA113" i="8"/>
  <c r="Y113" i="8"/>
  <c r="X113" i="8"/>
  <c r="F113" i="8"/>
  <c r="E113" i="8"/>
  <c r="D113" i="8"/>
  <c r="C113" i="8"/>
  <c r="B113" i="8"/>
  <c r="A113" i="8"/>
  <c r="AO112" i="8"/>
  <c r="AN112" i="8"/>
  <c r="AM112" i="8"/>
  <c r="AL112" i="8"/>
  <c r="AK112" i="8"/>
  <c r="AJ112" i="8"/>
  <c r="AI112" i="8"/>
  <c r="AH112" i="8"/>
  <c r="AG112" i="8"/>
  <c r="AF112" i="8"/>
  <c r="AE112" i="8"/>
  <c r="AD112" i="8"/>
  <c r="AC112" i="8"/>
  <c r="AB112" i="8"/>
  <c r="AA112" i="8"/>
  <c r="Y112" i="8"/>
  <c r="X112" i="8"/>
  <c r="F112" i="8"/>
  <c r="E112" i="8"/>
  <c r="D112" i="8"/>
  <c r="C112" i="8"/>
  <c r="B112" i="8"/>
  <c r="A112" i="8"/>
  <c r="AO111" i="8"/>
  <c r="AN111" i="8"/>
  <c r="AM111" i="8"/>
  <c r="AL111" i="8"/>
  <c r="AK111" i="8"/>
  <c r="AJ111" i="8"/>
  <c r="AI111" i="8"/>
  <c r="AH111" i="8"/>
  <c r="AG111" i="8"/>
  <c r="AF111" i="8"/>
  <c r="AE111" i="8"/>
  <c r="AD111" i="8"/>
  <c r="AC111" i="8"/>
  <c r="AB111" i="8"/>
  <c r="AA111" i="8"/>
  <c r="Y111" i="8"/>
  <c r="X111" i="8"/>
  <c r="F111" i="8"/>
  <c r="E111" i="8"/>
  <c r="D111" i="8"/>
  <c r="C111" i="8"/>
  <c r="B111" i="8"/>
  <c r="A111" i="8"/>
  <c r="AO110" i="8"/>
  <c r="AN110" i="8"/>
  <c r="AM110" i="8"/>
  <c r="AL110" i="8"/>
  <c r="AK110" i="8"/>
  <c r="AJ110" i="8"/>
  <c r="AI110" i="8"/>
  <c r="AH110" i="8"/>
  <c r="AG110" i="8"/>
  <c r="AF110" i="8"/>
  <c r="AE110" i="8"/>
  <c r="AD110" i="8"/>
  <c r="AC110" i="8"/>
  <c r="AB110" i="8"/>
  <c r="AA110" i="8"/>
  <c r="Y110" i="8"/>
  <c r="X110" i="8"/>
  <c r="F110" i="8"/>
  <c r="E110" i="8"/>
  <c r="D110" i="8"/>
  <c r="C110" i="8"/>
  <c r="B110" i="8"/>
  <c r="A110" i="8"/>
  <c r="AO109" i="8"/>
  <c r="AN109" i="8"/>
  <c r="AM109" i="8"/>
  <c r="AL109" i="8"/>
  <c r="AK109" i="8"/>
  <c r="AJ109" i="8"/>
  <c r="AI109" i="8"/>
  <c r="AH109" i="8"/>
  <c r="AG109" i="8"/>
  <c r="AF109" i="8"/>
  <c r="AE109" i="8"/>
  <c r="AD109" i="8"/>
  <c r="AC109" i="8"/>
  <c r="AB109" i="8"/>
  <c r="AA109" i="8"/>
  <c r="Y109" i="8"/>
  <c r="X109" i="8"/>
  <c r="F109" i="8"/>
  <c r="E109" i="8"/>
  <c r="D109" i="8"/>
  <c r="C109" i="8"/>
  <c r="B109" i="8"/>
  <c r="A109" i="8"/>
  <c r="AO108" i="8"/>
  <c r="AN108" i="8"/>
  <c r="AM108" i="8"/>
  <c r="AL108" i="8"/>
  <c r="AK108" i="8"/>
  <c r="AJ108" i="8"/>
  <c r="AI108" i="8"/>
  <c r="AH108" i="8"/>
  <c r="AG108" i="8"/>
  <c r="AF108" i="8"/>
  <c r="AE108" i="8"/>
  <c r="AD108" i="8"/>
  <c r="AC108" i="8"/>
  <c r="AB108" i="8"/>
  <c r="AA108" i="8"/>
  <c r="Y108" i="8"/>
  <c r="X108" i="8"/>
  <c r="F108" i="8"/>
  <c r="E108" i="8"/>
  <c r="D108" i="8"/>
  <c r="C108" i="8"/>
  <c r="B108" i="8"/>
  <c r="A108" i="8"/>
  <c r="AO107" i="8"/>
  <c r="AN107" i="8"/>
  <c r="AM107" i="8"/>
  <c r="AL107" i="8"/>
  <c r="AK107" i="8"/>
  <c r="AJ107" i="8"/>
  <c r="AI107" i="8"/>
  <c r="AH107" i="8"/>
  <c r="AG107" i="8"/>
  <c r="AF107" i="8"/>
  <c r="AE107" i="8"/>
  <c r="AD107" i="8"/>
  <c r="AC107" i="8"/>
  <c r="AB107" i="8"/>
  <c r="AA107" i="8"/>
  <c r="Y107" i="8"/>
  <c r="X107" i="8"/>
  <c r="F107" i="8"/>
  <c r="E107" i="8"/>
  <c r="D107" i="8"/>
  <c r="C107" i="8"/>
  <c r="B107" i="8"/>
  <c r="A107" i="8"/>
  <c r="AO106" i="8"/>
  <c r="AN106" i="8"/>
  <c r="AM106" i="8"/>
  <c r="AL106" i="8"/>
  <c r="AK106" i="8"/>
  <c r="AJ106" i="8"/>
  <c r="AI106" i="8"/>
  <c r="AH106" i="8"/>
  <c r="AG106" i="8"/>
  <c r="AF106" i="8"/>
  <c r="AE106" i="8"/>
  <c r="AD106" i="8"/>
  <c r="AC106" i="8"/>
  <c r="AB106" i="8"/>
  <c r="AA106" i="8"/>
  <c r="Y106" i="8"/>
  <c r="X106" i="8"/>
  <c r="F106" i="8"/>
  <c r="E106" i="8"/>
  <c r="D106" i="8"/>
  <c r="C106" i="8"/>
  <c r="B106" i="8"/>
  <c r="A106" i="8"/>
  <c r="AO105" i="8"/>
  <c r="AN105" i="8"/>
  <c r="AM105" i="8"/>
  <c r="AL105" i="8"/>
  <c r="AK105" i="8"/>
  <c r="AJ105" i="8"/>
  <c r="AI105" i="8"/>
  <c r="AH105" i="8"/>
  <c r="AG105" i="8"/>
  <c r="AF105" i="8"/>
  <c r="AE105" i="8"/>
  <c r="AD105" i="8"/>
  <c r="AC105" i="8"/>
  <c r="AB105" i="8"/>
  <c r="AA105" i="8"/>
  <c r="Y105" i="8"/>
  <c r="X105" i="8"/>
  <c r="F105" i="8"/>
  <c r="E105" i="8"/>
  <c r="D105" i="8"/>
  <c r="C105" i="8"/>
  <c r="B105" i="8"/>
  <c r="A105" i="8"/>
  <c r="AO104" i="8"/>
  <c r="AN104" i="8"/>
  <c r="AM104" i="8"/>
  <c r="AL104" i="8"/>
  <c r="AK104" i="8"/>
  <c r="AJ104" i="8"/>
  <c r="AI104" i="8"/>
  <c r="AH104" i="8"/>
  <c r="AG104" i="8"/>
  <c r="AF104" i="8"/>
  <c r="AE104" i="8"/>
  <c r="AD104" i="8"/>
  <c r="AC104" i="8"/>
  <c r="AB104" i="8"/>
  <c r="AA104" i="8"/>
  <c r="Y104" i="8"/>
  <c r="X104" i="8"/>
  <c r="F104" i="8"/>
  <c r="E104" i="8"/>
  <c r="D104" i="8"/>
  <c r="C104" i="8"/>
  <c r="B104" i="8"/>
  <c r="A104" i="8"/>
  <c r="AO103" i="8"/>
  <c r="AN103" i="8"/>
  <c r="AM103" i="8"/>
  <c r="AL103" i="8"/>
  <c r="AK103" i="8"/>
  <c r="AJ103" i="8"/>
  <c r="AI103" i="8"/>
  <c r="AH103" i="8"/>
  <c r="AG103" i="8"/>
  <c r="AF103" i="8"/>
  <c r="AE103" i="8"/>
  <c r="AD103" i="8"/>
  <c r="AC103" i="8"/>
  <c r="AB103" i="8"/>
  <c r="AA103" i="8"/>
  <c r="Y103" i="8"/>
  <c r="X103" i="8"/>
  <c r="F103" i="8"/>
  <c r="E103" i="8"/>
  <c r="D103" i="8"/>
  <c r="C103" i="8"/>
  <c r="B103" i="8"/>
  <c r="A103" i="8"/>
  <c r="AO102" i="8"/>
  <c r="AN102" i="8"/>
  <c r="AM102" i="8"/>
  <c r="AL102" i="8"/>
  <c r="AK102" i="8"/>
  <c r="AJ102" i="8"/>
  <c r="AI102" i="8"/>
  <c r="AH102" i="8"/>
  <c r="AG102" i="8"/>
  <c r="AF102" i="8"/>
  <c r="AE102" i="8"/>
  <c r="AD102" i="8"/>
  <c r="AC102" i="8"/>
  <c r="AB102" i="8"/>
  <c r="AA102" i="8"/>
  <c r="Y102" i="8"/>
  <c r="X102" i="8"/>
  <c r="F102" i="8"/>
  <c r="E102" i="8"/>
  <c r="D102" i="8"/>
  <c r="C102" i="8"/>
  <c r="B102" i="8"/>
  <c r="A102" i="8"/>
  <c r="AO101" i="8"/>
  <c r="AN101" i="8"/>
  <c r="AM101" i="8"/>
  <c r="AL101" i="8"/>
  <c r="AK101" i="8"/>
  <c r="AJ101" i="8"/>
  <c r="AI101" i="8"/>
  <c r="AH101" i="8"/>
  <c r="AG101" i="8"/>
  <c r="AF101" i="8"/>
  <c r="AE101" i="8"/>
  <c r="AD101" i="8"/>
  <c r="AC101" i="8"/>
  <c r="AB101" i="8"/>
  <c r="AA101" i="8"/>
  <c r="Y101" i="8"/>
  <c r="X101" i="8"/>
  <c r="F101" i="8"/>
  <c r="E101" i="8"/>
  <c r="D101" i="8"/>
  <c r="C101" i="8"/>
  <c r="B101" i="8"/>
  <c r="A101" i="8"/>
  <c r="AO100" i="8"/>
  <c r="AN100" i="8"/>
  <c r="AM100" i="8"/>
  <c r="AL100" i="8"/>
  <c r="AK100" i="8"/>
  <c r="AJ100" i="8"/>
  <c r="AI100" i="8"/>
  <c r="AH100" i="8"/>
  <c r="AG100" i="8"/>
  <c r="AF100" i="8"/>
  <c r="AE100" i="8"/>
  <c r="AD100" i="8"/>
  <c r="AC100" i="8"/>
  <c r="AB100" i="8"/>
  <c r="AA100" i="8"/>
  <c r="Y100" i="8"/>
  <c r="X100" i="8"/>
  <c r="F100" i="8"/>
  <c r="E100" i="8"/>
  <c r="D100" i="8"/>
  <c r="C100" i="8"/>
  <c r="B100" i="8"/>
  <c r="A100" i="8"/>
  <c r="AO99" i="8"/>
  <c r="AN99" i="8"/>
  <c r="AM99" i="8"/>
  <c r="AL99" i="8"/>
  <c r="AK99" i="8"/>
  <c r="AJ99" i="8"/>
  <c r="AI99" i="8"/>
  <c r="AH99" i="8"/>
  <c r="AG99" i="8"/>
  <c r="AF99" i="8"/>
  <c r="AE99" i="8"/>
  <c r="AD99" i="8"/>
  <c r="AC99" i="8"/>
  <c r="AB99" i="8"/>
  <c r="AA99" i="8"/>
  <c r="Y99" i="8"/>
  <c r="X99" i="8"/>
  <c r="F99" i="8"/>
  <c r="E99" i="8"/>
  <c r="D99" i="8"/>
  <c r="C99" i="8"/>
  <c r="B99" i="8"/>
  <c r="A99" i="8"/>
  <c r="AO98" i="8"/>
  <c r="AN98" i="8"/>
  <c r="AM98" i="8"/>
  <c r="AL98" i="8"/>
  <c r="AK98" i="8"/>
  <c r="AJ98" i="8"/>
  <c r="AI98" i="8"/>
  <c r="AH98" i="8"/>
  <c r="AG98" i="8"/>
  <c r="AF98" i="8"/>
  <c r="AE98" i="8"/>
  <c r="AD98" i="8"/>
  <c r="AC98" i="8"/>
  <c r="AB98" i="8"/>
  <c r="AA98" i="8"/>
  <c r="Y98" i="8"/>
  <c r="X98" i="8"/>
  <c r="F98" i="8"/>
  <c r="E98" i="8"/>
  <c r="D98" i="8"/>
  <c r="C98" i="8"/>
  <c r="B98" i="8"/>
  <c r="A98" i="8"/>
  <c r="AO97" i="8"/>
  <c r="AN97" i="8"/>
  <c r="AM97" i="8"/>
  <c r="AL97" i="8"/>
  <c r="AK97" i="8"/>
  <c r="AJ97" i="8"/>
  <c r="AI97" i="8"/>
  <c r="AH97" i="8"/>
  <c r="AG97" i="8"/>
  <c r="AF97" i="8"/>
  <c r="AE97" i="8"/>
  <c r="AD97" i="8"/>
  <c r="AC97" i="8"/>
  <c r="AB97" i="8"/>
  <c r="AA97" i="8"/>
  <c r="Y97" i="8"/>
  <c r="X97" i="8"/>
  <c r="F97" i="8"/>
  <c r="E97" i="8"/>
  <c r="D97" i="8"/>
  <c r="C97" i="8"/>
  <c r="B97" i="8"/>
  <c r="A97" i="8"/>
  <c r="AO96" i="8"/>
  <c r="AN96" i="8"/>
  <c r="AM96" i="8"/>
  <c r="AL96" i="8"/>
  <c r="AK96" i="8"/>
  <c r="AJ96" i="8"/>
  <c r="AI96" i="8"/>
  <c r="AH96" i="8"/>
  <c r="AG96" i="8"/>
  <c r="AF96" i="8"/>
  <c r="AE96" i="8"/>
  <c r="AD96" i="8"/>
  <c r="AC96" i="8"/>
  <c r="AB96" i="8"/>
  <c r="AA96" i="8"/>
  <c r="Y96" i="8"/>
  <c r="X96" i="8"/>
  <c r="F96" i="8"/>
  <c r="E96" i="8"/>
  <c r="D96" i="8"/>
  <c r="C96" i="8"/>
  <c r="B96" i="8"/>
  <c r="A96" i="8"/>
  <c r="AO95" i="8"/>
  <c r="AN95" i="8"/>
  <c r="AM95" i="8"/>
  <c r="AL95" i="8"/>
  <c r="AK95" i="8"/>
  <c r="AJ95" i="8"/>
  <c r="AI95" i="8"/>
  <c r="AH95" i="8"/>
  <c r="AG95" i="8"/>
  <c r="AF95" i="8"/>
  <c r="AE95" i="8"/>
  <c r="AD95" i="8"/>
  <c r="AC95" i="8"/>
  <c r="AB95" i="8"/>
  <c r="AA95" i="8"/>
  <c r="Y95" i="8"/>
  <c r="X95" i="8"/>
  <c r="F95" i="8"/>
  <c r="E95" i="8"/>
  <c r="D95" i="8"/>
  <c r="C95" i="8"/>
  <c r="B95" i="8"/>
  <c r="A95" i="8"/>
  <c r="AO94" i="8"/>
  <c r="AN94" i="8"/>
  <c r="AM94" i="8"/>
  <c r="AL94" i="8"/>
  <c r="AK94" i="8"/>
  <c r="AJ94" i="8"/>
  <c r="AI94" i="8"/>
  <c r="AH94" i="8"/>
  <c r="AG94" i="8"/>
  <c r="AF94" i="8"/>
  <c r="AE94" i="8"/>
  <c r="AD94" i="8"/>
  <c r="AC94" i="8"/>
  <c r="AB94" i="8"/>
  <c r="AA94" i="8"/>
  <c r="Y94" i="8"/>
  <c r="X94" i="8"/>
  <c r="F94" i="8"/>
  <c r="E94" i="8"/>
  <c r="D94" i="8"/>
  <c r="C94" i="8"/>
  <c r="B94" i="8"/>
  <c r="A94" i="8"/>
  <c r="AO93" i="8"/>
  <c r="AN93" i="8"/>
  <c r="AM93" i="8"/>
  <c r="AL93" i="8"/>
  <c r="AK93" i="8"/>
  <c r="AJ93" i="8"/>
  <c r="AI93" i="8"/>
  <c r="AH93" i="8"/>
  <c r="AG93" i="8"/>
  <c r="AF93" i="8"/>
  <c r="AE93" i="8"/>
  <c r="AD93" i="8"/>
  <c r="AC93" i="8"/>
  <c r="AB93" i="8"/>
  <c r="AA93" i="8"/>
  <c r="Y93" i="8"/>
  <c r="X93" i="8"/>
  <c r="F93" i="8"/>
  <c r="E93" i="8"/>
  <c r="D93" i="8"/>
  <c r="C93" i="8"/>
  <c r="B93" i="8"/>
  <c r="A93" i="8"/>
  <c r="AO92" i="8"/>
  <c r="AN92" i="8"/>
  <c r="AM92" i="8"/>
  <c r="AL92" i="8"/>
  <c r="AK92" i="8"/>
  <c r="AJ92" i="8"/>
  <c r="AI92" i="8"/>
  <c r="AH92" i="8"/>
  <c r="AG92" i="8"/>
  <c r="AF92" i="8"/>
  <c r="AE92" i="8"/>
  <c r="AD92" i="8"/>
  <c r="AC92" i="8"/>
  <c r="AB92" i="8"/>
  <c r="AA92" i="8"/>
  <c r="Y92" i="8"/>
  <c r="X92" i="8"/>
  <c r="F92" i="8"/>
  <c r="E92" i="8"/>
  <c r="D92" i="8"/>
  <c r="C92" i="8"/>
  <c r="B92" i="8"/>
  <c r="A92" i="8"/>
  <c r="AO91" i="8"/>
  <c r="AN91" i="8"/>
  <c r="AM91" i="8"/>
  <c r="AL91" i="8"/>
  <c r="AK91" i="8"/>
  <c r="AJ91" i="8"/>
  <c r="AI91" i="8"/>
  <c r="AH91" i="8"/>
  <c r="AG91" i="8"/>
  <c r="AF91" i="8"/>
  <c r="AE91" i="8"/>
  <c r="AD91" i="8"/>
  <c r="AC91" i="8"/>
  <c r="AB91" i="8"/>
  <c r="AA91" i="8"/>
  <c r="Y91" i="8"/>
  <c r="X91" i="8"/>
  <c r="F91" i="8"/>
  <c r="E91" i="8"/>
  <c r="D91" i="8"/>
  <c r="C91" i="8"/>
  <c r="B91" i="8"/>
  <c r="A91" i="8"/>
  <c r="AO90" i="8"/>
  <c r="AN90" i="8"/>
  <c r="AM90" i="8"/>
  <c r="AL90" i="8"/>
  <c r="AK90" i="8"/>
  <c r="AJ90" i="8"/>
  <c r="AI90" i="8"/>
  <c r="AH90" i="8"/>
  <c r="AG90" i="8"/>
  <c r="AF90" i="8"/>
  <c r="AE90" i="8"/>
  <c r="AD90" i="8"/>
  <c r="AC90" i="8"/>
  <c r="AB90" i="8"/>
  <c r="AA90" i="8"/>
  <c r="Y90" i="8"/>
  <c r="X90" i="8"/>
  <c r="F90" i="8"/>
  <c r="E90" i="8"/>
  <c r="D90" i="8"/>
  <c r="C90" i="8"/>
  <c r="B90" i="8"/>
  <c r="A90" i="8"/>
  <c r="AO89" i="8"/>
  <c r="AN89" i="8"/>
  <c r="AM89" i="8"/>
  <c r="AL89" i="8"/>
  <c r="AK89" i="8"/>
  <c r="AJ89" i="8"/>
  <c r="AI89" i="8"/>
  <c r="AH89" i="8"/>
  <c r="AG89" i="8"/>
  <c r="AF89" i="8"/>
  <c r="AE89" i="8"/>
  <c r="AD89" i="8"/>
  <c r="AC89" i="8"/>
  <c r="AB89" i="8"/>
  <c r="AA89" i="8"/>
  <c r="Y89" i="8"/>
  <c r="X89" i="8"/>
  <c r="F89" i="8"/>
  <c r="E89" i="8"/>
  <c r="D89" i="8"/>
  <c r="C89" i="8"/>
  <c r="B89" i="8"/>
  <c r="A89" i="8"/>
  <c r="AO88" i="8"/>
  <c r="AN88" i="8"/>
  <c r="AM88" i="8"/>
  <c r="AL88" i="8"/>
  <c r="AK88" i="8"/>
  <c r="AJ88" i="8"/>
  <c r="AI88" i="8"/>
  <c r="AH88" i="8"/>
  <c r="AG88" i="8"/>
  <c r="AF88" i="8"/>
  <c r="AE88" i="8"/>
  <c r="AD88" i="8"/>
  <c r="AC88" i="8"/>
  <c r="AB88" i="8"/>
  <c r="AA88" i="8"/>
  <c r="Y88" i="8"/>
  <c r="X88" i="8"/>
  <c r="F88" i="8"/>
  <c r="E88" i="8"/>
  <c r="D88" i="8"/>
  <c r="C88" i="8"/>
  <c r="B88" i="8"/>
  <c r="A88" i="8"/>
  <c r="AO87" i="8"/>
  <c r="AN87" i="8"/>
  <c r="AM87" i="8"/>
  <c r="AL87" i="8"/>
  <c r="AK87" i="8"/>
  <c r="AJ87" i="8"/>
  <c r="AI87" i="8"/>
  <c r="AH87" i="8"/>
  <c r="AG87" i="8"/>
  <c r="AF87" i="8"/>
  <c r="AE87" i="8"/>
  <c r="AD87" i="8"/>
  <c r="AC87" i="8"/>
  <c r="AB87" i="8"/>
  <c r="AA87" i="8"/>
  <c r="Y87" i="8"/>
  <c r="X87" i="8"/>
  <c r="F87" i="8"/>
  <c r="E87" i="8"/>
  <c r="D87" i="8"/>
  <c r="C87" i="8"/>
  <c r="B87" i="8"/>
  <c r="A87" i="8"/>
  <c r="AO86" i="8"/>
  <c r="AN86" i="8"/>
  <c r="AM86" i="8"/>
  <c r="AL86" i="8"/>
  <c r="AK86" i="8"/>
  <c r="AJ86" i="8"/>
  <c r="AI86" i="8"/>
  <c r="AH86" i="8"/>
  <c r="AG86" i="8"/>
  <c r="AF86" i="8"/>
  <c r="AE86" i="8"/>
  <c r="AD86" i="8"/>
  <c r="AC86" i="8"/>
  <c r="AB86" i="8"/>
  <c r="AA86" i="8"/>
  <c r="Y86" i="8"/>
  <c r="X86" i="8"/>
  <c r="F86" i="8"/>
  <c r="E86" i="8"/>
  <c r="D86" i="8"/>
  <c r="C86" i="8"/>
  <c r="B86" i="8"/>
  <c r="A86" i="8"/>
  <c r="AO85" i="8"/>
  <c r="AN85" i="8"/>
  <c r="AM85" i="8"/>
  <c r="AL85" i="8"/>
  <c r="AK85" i="8"/>
  <c r="AJ85" i="8"/>
  <c r="AI85" i="8"/>
  <c r="AH85" i="8"/>
  <c r="AG85" i="8"/>
  <c r="AF85" i="8"/>
  <c r="AE85" i="8"/>
  <c r="AD85" i="8"/>
  <c r="AC85" i="8"/>
  <c r="AB85" i="8"/>
  <c r="AA85" i="8"/>
  <c r="Y85" i="8"/>
  <c r="X85" i="8"/>
  <c r="F85" i="8"/>
  <c r="E85" i="8"/>
  <c r="D85" i="8"/>
  <c r="C85" i="8"/>
  <c r="B85" i="8"/>
  <c r="A85" i="8"/>
  <c r="AO84" i="8"/>
  <c r="AN84" i="8"/>
  <c r="AM84" i="8"/>
  <c r="AL84" i="8"/>
  <c r="AK84" i="8"/>
  <c r="AJ84" i="8"/>
  <c r="AI84" i="8"/>
  <c r="AH84" i="8"/>
  <c r="AG84" i="8"/>
  <c r="AF84" i="8"/>
  <c r="AE84" i="8"/>
  <c r="AD84" i="8"/>
  <c r="AC84" i="8"/>
  <c r="AB84" i="8"/>
  <c r="AA84" i="8"/>
  <c r="Y84" i="8"/>
  <c r="X84" i="8"/>
  <c r="F84" i="8"/>
  <c r="E84" i="8"/>
  <c r="D84" i="8"/>
  <c r="C84" i="8"/>
  <c r="B84" i="8"/>
  <c r="A84" i="8"/>
  <c r="AO83" i="8"/>
  <c r="AN83" i="8"/>
  <c r="AM83" i="8"/>
  <c r="AL83" i="8"/>
  <c r="AK83" i="8"/>
  <c r="AJ83" i="8"/>
  <c r="AI83" i="8"/>
  <c r="AH83" i="8"/>
  <c r="AG83" i="8"/>
  <c r="AF83" i="8"/>
  <c r="AE83" i="8"/>
  <c r="AD83" i="8"/>
  <c r="AC83" i="8"/>
  <c r="AB83" i="8"/>
  <c r="AA83" i="8"/>
  <c r="Y83" i="8"/>
  <c r="X83" i="8"/>
  <c r="F83" i="8"/>
  <c r="E83" i="8"/>
  <c r="D83" i="8"/>
  <c r="C83" i="8"/>
  <c r="B83" i="8"/>
  <c r="A83" i="8"/>
  <c r="AO82" i="8"/>
  <c r="AN82" i="8"/>
  <c r="AM82" i="8"/>
  <c r="AL82" i="8"/>
  <c r="AK82" i="8"/>
  <c r="AJ82" i="8"/>
  <c r="AI82" i="8"/>
  <c r="AH82" i="8"/>
  <c r="AG82" i="8"/>
  <c r="AF82" i="8"/>
  <c r="AE82" i="8"/>
  <c r="AD82" i="8"/>
  <c r="AC82" i="8"/>
  <c r="AB82" i="8"/>
  <c r="AA82" i="8"/>
  <c r="Y82" i="8"/>
  <c r="X82" i="8"/>
  <c r="F82" i="8"/>
  <c r="E82" i="8"/>
  <c r="D82" i="8"/>
  <c r="C82" i="8"/>
  <c r="B82" i="8"/>
  <c r="A82" i="8"/>
  <c r="AO81" i="8"/>
  <c r="AN81" i="8"/>
  <c r="AM81" i="8"/>
  <c r="AL81" i="8"/>
  <c r="AK81" i="8"/>
  <c r="AJ81" i="8"/>
  <c r="AI81" i="8"/>
  <c r="AH81" i="8"/>
  <c r="AG81" i="8"/>
  <c r="AF81" i="8"/>
  <c r="AE81" i="8"/>
  <c r="AD81" i="8"/>
  <c r="AC81" i="8"/>
  <c r="AB81" i="8"/>
  <c r="AA81" i="8"/>
  <c r="Y81" i="8"/>
  <c r="X81" i="8"/>
  <c r="F81" i="8"/>
  <c r="E81" i="8"/>
  <c r="D81" i="8"/>
  <c r="C81" i="8"/>
  <c r="B81" i="8"/>
  <c r="A81" i="8"/>
  <c r="AO80" i="8"/>
  <c r="AN80" i="8"/>
  <c r="AM80" i="8"/>
  <c r="AL80" i="8"/>
  <c r="AK80" i="8"/>
  <c r="AJ80" i="8"/>
  <c r="AI80" i="8"/>
  <c r="AH80" i="8"/>
  <c r="AG80" i="8"/>
  <c r="AF80" i="8"/>
  <c r="AE80" i="8"/>
  <c r="AD80" i="8"/>
  <c r="AC80" i="8"/>
  <c r="AB80" i="8"/>
  <c r="AA80" i="8"/>
  <c r="Y80" i="8"/>
  <c r="X80" i="8"/>
  <c r="F80" i="8"/>
  <c r="E80" i="8"/>
  <c r="D80" i="8"/>
  <c r="C80" i="8"/>
  <c r="B80" i="8"/>
  <c r="A80" i="8"/>
  <c r="AO79" i="8"/>
  <c r="AN79" i="8"/>
  <c r="AM79" i="8"/>
  <c r="AL79" i="8"/>
  <c r="AK79" i="8"/>
  <c r="AJ79" i="8"/>
  <c r="AI79" i="8"/>
  <c r="AH79" i="8"/>
  <c r="AG79" i="8"/>
  <c r="AF79" i="8"/>
  <c r="AE79" i="8"/>
  <c r="AD79" i="8"/>
  <c r="AC79" i="8"/>
  <c r="AB79" i="8"/>
  <c r="AA79" i="8"/>
  <c r="Y79" i="8"/>
  <c r="X79" i="8"/>
  <c r="F79" i="8"/>
  <c r="E79" i="8"/>
  <c r="D79" i="8"/>
  <c r="C79" i="8"/>
  <c r="B79" i="8"/>
  <c r="A79" i="8"/>
  <c r="AO78" i="8"/>
  <c r="AN78" i="8"/>
  <c r="AM78" i="8"/>
  <c r="AL78" i="8"/>
  <c r="AK78" i="8"/>
  <c r="AJ78" i="8"/>
  <c r="AI78" i="8"/>
  <c r="AH78" i="8"/>
  <c r="AG78" i="8"/>
  <c r="AF78" i="8"/>
  <c r="AE78" i="8"/>
  <c r="AD78" i="8"/>
  <c r="AC78" i="8"/>
  <c r="AB78" i="8"/>
  <c r="AA78" i="8"/>
  <c r="Y78" i="8"/>
  <c r="X78" i="8"/>
  <c r="F78" i="8"/>
  <c r="E78" i="8"/>
  <c r="D78" i="8"/>
  <c r="C78" i="8"/>
  <c r="B78" i="8"/>
  <c r="A78" i="8"/>
  <c r="AO77" i="8"/>
  <c r="AN77" i="8"/>
  <c r="AM77" i="8"/>
  <c r="AL77" i="8"/>
  <c r="AK77" i="8"/>
  <c r="AJ77" i="8"/>
  <c r="AI77" i="8"/>
  <c r="AH77" i="8"/>
  <c r="AG77" i="8"/>
  <c r="AF77" i="8"/>
  <c r="AE77" i="8"/>
  <c r="AD77" i="8"/>
  <c r="AC77" i="8"/>
  <c r="AB77" i="8"/>
  <c r="AA77" i="8"/>
  <c r="Y77" i="8"/>
  <c r="X77" i="8"/>
  <c r="F77" i="8"/>
  <c r="E77" i="8"/>
  <c r="D77" i="8"/>
  <c r="C77" i="8"/>
  <c r="B77" i="8"/>
  <c r="A77" i="8"/>
  <c r="AO76" i="8"/>
  <c r="AN76" i="8"/>
  <c r="AM76" i="8"/>
  <c r="AL76" i="8"/>
  <c r="AK76" i="8"/>
  <c r="AJ76" i="8"/>
  <c r="AI76" i="8"/>
  <c r="AH76" i="8"/>
  <c r="AG76" i="8"/>
  <c r="AF76" i="8"/>
  <c r="AE76" i="8"/>
  <c r="AD76" i="8"/>
  <c r="AC76" i="8"/>
  <c r="AB76" i="8"/>
  <c r="AA76" i="8"/>
  <c r="Y76" i="8"/>
  <c r="X76" i="8"/>
  <c r="F76" i="8"/>
  <c r="E76" i="8"/>
  <c r="D76" i="8"/>
  <c r="C76" i="8"/>
  <c r="B76" i="8"/>
  <c r="A76" i="8"/>
  <c r="AO75" i="8"/>
  <c r="AN75" i="8"/>
  <c r="AM75" i="8"/>
  <c r="AL75" i="8"/>
  <c r="AK75" i="8"/>
  <c r="AJ75" i="8"/>
  <c r="AI75" i="8"/>
  <c r="AH75" i="8"/>
  <c r="AG75" i="8"/>
  <c r="AF75" i="8"/>
  <c r="AE75" i="8"/>
  <c r="AD75" i="8"/>
  <c r="AC75" i="8"/>
  <c r="AB75" i="8"/>
  <c r="AA75" i="8"/>
  <c r="Y75" i="8"/>
  <c r="X75" i="8"/>
  <c r="F75" i="8"/>
  <c r="E75" i="8"/>
  <c r="D75" i="8"/>
  <c r="C75" i="8"/>
  <c r="B75" i="8"/>
  <c r="A75" i="8"/>
  <c r="AO74" i="8"/>
  <c r="AN74" i="8"/>
  <c r="AM74" i="8"/>
  <c r="AL74" i="8"/>
  <c r="AK74" i="8"/>
  <c r="AJ74" i="8"/>
  <c r="AI74" i="8"/>
  <c r="AH74" i="8"/>
  <c r="AG74" i="8"/>
  <c r="AF74" i="8"/>
  <c r="AE74" i="8"/>
  <c r="AD74" i="8"/>
  <c r="AC74" i="8"/>
  <c r="AB74" i="8"/>
  <c r="AA74" i="8"/>
  <c r="Y74" i="8"/>
  <c r="X74" i="8"/>
  <c r="F74" i="8"/>
  <c r="E74" i="8"/>
  <c r="D74" i="8"/>
  <c r="C74" i="8"/>
  <c r="B74" i="8"/>
  <c r="A74" i="8"/>
  <c r="AO73" i="8"/>
  <c r="AN73" i="8"/>
  <c r="AM73" i="8"/>
  <c r="AL73" i="8"/>
  <c r="AK73" i="8"/>
  <c r="AJ73" i="8"/>
  <c r="AI73" i="8"/>
  <c r="AH73" i="8"/>
  <c r="AG73" i="8"/>
  <c r="AF73" i="8"/>
  <c r="AE73" i="8"/>
  <c r="AD73" i="8"/>
  <c r="AC73" i="8"/>
  <c r="AB73" i="8"/>
  <c r="AA73" i="8"/>
  <c r="Y73" i="8"/>
  <c r="X73" i="8"/>
  <c r="F73" i="8"/>
  <c r="E73" i="8"/>
  <c r="D73" i="8"/>
  <c r="C73" i="8"/>
  <c r="B73" i="8"/>
  <c r="A73" i="8"/>
  <c r="AO72" i="8"/>
  <c r="AN72" i="8"/>
  <c r="AM72" i="8"/>
  <c r="AL72" i="8"/>
  <c r="AK72" i="8"/>
  <c r="AJ72" i="8"/>
  <c r="AI72" i="8"/>
  <c r="AH72" i="8"/>
  <c r="AG72" i="8"/>
  <c r="AF72" i="8"/>
  <c r="AE72" i="8"/>
  <c r="AD72" i="8"/>
  <c r="AC72" i="8"/>
  <c r="AB72" i="8"/>
  <c r="AA72" i="8"/>
  <c r="Y72" i="8"/>
  <c r="X72" i="8"/>
  <c r="F72" i="8"/>
  <c r="E72" i="8"/>
  <c r="D72" i="8"/>
  <c r="C72" i="8"/>
  <c r="B72" i="8"/>
  <c r="A72" i="8"/>
  <c r="AO71" i="8"/>
  <c r="AN71" i="8"/>
  <c r="AM71" i="8"/>
  <c r="AL71" i="8"/>
  <c r="AK71" i="8"/>
  <c r="AJ71" i="8"/>
  <c r="AI71" i="8"/>
  <c r="AH71" i="8"/>
  <c r="AG71" i="8"/>
  <c r="AF71" i="8"/>
  <c r="AE71" i="8"/>
  <c r="AD71" i="8"/>
  <c r="AC71" i="8"/>
  <c r="AB71" i="8"/>
  <c r="AA71" i="8"/>
  <c r="Y71" i="8"/>
  <c r="X71" i="8"/>
  <c r="F71" i="8"/>
  <c r="E71" i="8"/>
  <c r="D71" i="8"/>
  <c r="C71" i="8"/>
  <c r="B71" i="8"/>
  <c r="A71" i="8"/>
  <c r="AO70" i="8"/>
  <c r="AN70" i="8"/>
  <c r="AM70" i="8"/>
  <c r="AL70" i="8"/>
  <c r="AK70" i="8"/>
  <c r="AJ70" i="8"/>
  <c r="AI70" i="8"/>
  <c r="AH70" i="8"/>
  <c r="AG70" i="8"/>
  <c r="AF70" i="8"/>
  <c r="AE70" i="8"/>
  <c r="AD70" i="8"/>
  <c r="AC70" i="8"/>
  <c r="AB70" i="8"/>
  <c r="AA70" i="8"/>
  <c r="Y70" i="8"/>
  <c r="X70" i="8"/>
  <c r="F70" i="8"/>
  <c r="E70" i="8"/>
  <c r="D70" i="8"/>
  <c r="C70" i="8"/>
  <c r="B70" i="8"/>
  <c r="A70" i="8"/>
  <c r="AO69" i="8"/>
  <c r="AN69" i="8"/>
  <c r="AM69" i="8"/>
  <c r="AL69" i="8"/>
  <c r="AK69" i="8"/>
  <c r="AJ69" i="8"/>
  <c r="AI69" i="8"/>
  <c r="AH69" i="8"/>
  <c r="AG69" i="8"/>
  <c r="AF69" i="8"/>
  <c r="AE69" i="8"/>
  <c r="AD69" i="8"/>
  <c r="AC69" i="8"/>
  <c r="AB69" i="8"/>
  <c r="AA69" i="8"/>
  <c r="Y69" i="8"/>
  <c r="X69" i="8"/>
  <c r="F69" i="8"/>
  <c r="E69" i="8"/>
  <c r="D69" i="8"/>
  <c r="C69" i="8"/>
  <c r="B69" i="8"/>
  <c r="A69" i="8"/>
  <c r="AO68" i="8"/>
  <c r="AN68" i="8"/>
  <c r="AM68" i="8"/>
  <c r="AL68" i="8"/>
  <c r="AK68" i="8"/>
  <c r="AJ68" i="8"/>
  <c r="AI68" i="8"/>
  <c r="AH68" i="8"/>
  <c r="AG68" i="8"/>
  <c r="AF68" i="8"/>
  <c r="AE68" i="8"/>
  <c r="AD68" i="8"/>
  <c r="AC68" i="8"/>
  <c r="AB68" i="8"/>
  <c r="AA68" i="8"/>
  <c r="Y68" i="8"/>
  <c r="X68" i="8"/>
  <c r="F68" i="8"/>
  <c r="E68" i="8"/>
  <c r="D68" i="8"/>
  <c r="C68" i="8"/>
  <c r="B68" i="8"/>
  <c r="A68" i="8"/>
  <c r="AO67" i="8"/>
  <c r="AN67" i="8"/>
  <c r="AM67" i="8"/>
  <c r="AL67" i="8"/>
  <c r="AK67" i="8"/>
  <c r="AJ67" i="8"/>
  <c r="AI67" i="8"/>
  <c r="AH67" i="8"/>
  <c r="AG67" i="8"/>
  <c r="AF67" i="8"/>
  <c r="AE67" i="8"/>
  <c r="AD67" i="8"/>
  <c r="AC67" i="8"/>
  <c r="AB67" i="8"/>
  <c r="AA67" i="8"/>
  <c r="Y67" i="8"/>
  <c r="X67" i="8"/>
  <c r="F67" i="8"/>
  <c r="E67" i="8"/>
  <c r="D67" i="8"/>
  <c r="C67" i="8"/>
  <c r="B67" i="8"/>
  <c r="A67" i="8"/>
  <c r="AO66" i="8"/>
  <c r="AN66" i="8"/>
  <c r="AM66" i="8"/>
  <c r="AL66" i="8"/>
  <c r="AK66" i="8"/>
  <c r="AJ66" i="8"/>
  <c r="AI66" i="8"/>
  <c r="AH66" i="8"/>
  <c r="AG66" i="8"/>
  <c r="AF66" i="8"/>
  <c r="AE66" i="8"/>
  <c r="AD66" i="8"/>
  <c r="AC66" i="8"/>
  <c r="AB66" i="8"/>
  <c r="AA66" i="8"/>
  <c r="Y66" i="8"/>
  <c r="X66" i="8"/>
  <c r="F66" i="8"/>
  <c r="E66" i="8"/>
  <c r="D66" i="8"/>
  <c r="C66" i="8"/>
  <c r="B66" i="8"/>
  <c r="A66" i="8"/>
  <c r="AO65" i="8"/>
  <c r="AN65" i="8"/>
  <c r="AM65" i="8"/>
  <c r="AL65" i="8"/>
  <c r="AK65" i="8"/>
  <c r="AJ65" i="8"/>
  <c r="AI65" i="8"/>
  <c r="AH65" i="8"/>
  <c r="AG65" i="8"/>
  <c r="AF65" i="8"/>
  <c r="AE65" i="8"/>
  <c r="AD65" i="8"/>
  <c r="AC65" i="8"/>
  <c r="AB65" i="8"/>
  <c r="AA65" i="8"/>
  <c r="Y65" i="8"/>
  <c r="X65" i="8"/>
  <c r="F65" i="8"/>
  <c r="E65" i="8"/>
  <c r="D65" i="8"/>
  <c r="C65" i="8"/>
  <c r="B65" i="8"/>
  <c r="A65" i="8"/>
  <c r="AO64" i="8"/>
  <c r="AN64" i="8"/>
  <c r="AM64" i="8"/>
  <c r="AL64" i="8"/>
  <c r="AK64" i="8"/>
  <c r="AJ64" i="8"/>
  <c r="AI64" i="8"/>
  <c r="AH64" i="8"/>
  <c r="AG64" i="8"/>
  <c r="AF64" i="8"/>
  <c r="AE64" i="8"/>
  <c r="AD64" i="8"/>
  <c r="AC64" i="8"/>
  <c r="AB64" i="8"/>
  <c r="AA64" i="8"/>
  <c r="Y64" i="8"/>
  <c r="X64" i="8"/>
  <c r="F64" i="8"/>
  <c r="E64" i="8"/>
  <c r="D64" i="8"/>
  <c r="C64" i="8"/>
  <c r="B64" i="8"/>
  <c r="A64" i="8"/>
  <c r="AO63" i="8"/>
  <c r="AN63" i="8"/>
  <c r="AM63" i="8"/>
  <c r="AL63" i="8"/>
  <c r="AK63" i="8"/>
  <c r="AJ63" i="8"/>
  <c r="AI63" i="8"/>
  <c r="AH63" i="8"/>
  <c r="AG63" i="8"/>
  <c r="AF63" i="8"/>
  <c r="AE63" i="8"/>
  <c r="AD63" i="8"/>
  <c r="AC63" i="8"/>
  <c r="AB63" i="8"/>
  <c r="AA63" i="8"/>
  <c r="Y63" i="8"/>
  <c r="X63" i="8"/>
  <c r="F63" i="8"/>
  <c r="E63" i="8"/>
  <c r="D63" i="8"/>
  <c r="C63" i="8"/>
  <c r="B63" i="8"/>
  <c r="A63" i="8"/>
  <c r="AO62" i="8"/>
  <c r="AN62" i="8"/>
  <c r="AM62" i="8"/>
  <c r="AL62" i="8"/>
  <c r="AK62" i="8"/>
  <c r="AJ62" i="8"/>
  <c r="AI62" i="8"/>
  <c r="AH62" i="8"/>
  <c r="AG62" i="8"/>
  <c r="AF62" i="8"/>
  <c r="AE62" i="8"/>
  <c r="AD62" i="8"/>
  <c r="AC62" i="8"/>
  <c r="AB62" i="8"/>
  <c r="AA62" i="8"/>
  <c r="Y62" i="8"/>
  <c r="X62" i="8"/>
  <c r="F62" i="8"/>
  <c r="E62" i="8"/>
  <c r="D62" i="8"/>
  <c r="C62" i="8"/>
  <c r="B62" i="8"/>
  <c r="A62" i="8"/>
  <c r="AO61" i="8"/>
  <c r="AN61" i="8"/>
  <c r="AM61" i="8"/>
  <c r="AL61" i="8"/>
  <c r="AK61" i="8"/>
  <c r="AJ61" i="8"/>
  <c r="AI61" i="8"/>
  <c r="AH61" i="8"/>
  <c r="AG61" i="8"/>
  <c r="AF61" i="8"/>
  <c r="AE61" i="8"/>
  <c r="AD61" i="8"/>
  <c r="AC61" i="8"/>
  <c r="AB61" i="8"/>
  <c r="AA61" i="8"/>
  <c r="Y61" i="8"/>
  <c r="X61" i="8"/>
  <c r="F61" i="8"/>
  <c r="E61" i="8"/>
  <c r="D61" i="8"/>
  <c r="C61" i="8"/>
  <c r="B61" i="8"/>
  <c r="A61" i="8"/>
  <c r="AO60" i="8"/>
  <c r="AN60" i="8"/>
  <c r="AM60" i="8"/>
  <c r="AL60" i="8"/>
  <c r="AK60" i="8"/>
  <c r="AJ60" i="8"/>
  <c r="AI60" i="8"/>
  <c r="AH60" i="8"/>
  <c r="AG60" i="8"/>
  <c r="AF60" i="8"/>
  <c r="AE60" i="8"/>
  <c r="AD60" i="8"/>
  <c r="AC60" i="8"/>
  <c r="AB60" i="8"/>
  <c r="AA60" i="8"/>
  <c r="Y60" i="8"/>
  <c r="X60" i="8"/>
  <c r="F60" i="8"/>
  <c r="E60" i="8"/>
  <c r="D60" i="8"/>
  <c r="C60" i="8"/>
  <c r="B60" i="8"/>
  <c r="A60" i="8"/>
  <c r="AO59" i="8"/>
  <c r="AN59" i="8"/>
  <c r="AM59" i="8"/>
  <c r="AL59" i="8"/>
  <c r="AK59" i="8"/>
  <c r="AJ59" i="8"/>
  <c r="AI59" i="8"/>
  <c r="AH59" i="8"/>
  <c r="AG59" i="8"/>
  <c r="AF59" i="8"/>
  <c r="AE59" i="8"/>
  <c r="AD59" i="8"/>
  <c r="AC59" i="8"/>
  <c r="AB59" i="8"/>
  <c r="AA59" i="8"/>
  <c r="Y59" i="8"/>
  <c r="X59" i="8"/>
  <c r="F59" i="8"/>
  <c r="E59" i="8"/>
  <c r="D59" i="8"/>
  <c r="C59" i="8"/>
  <c r="B59" i="8"/>
  <c r="A59" i="8"/>
  <c r="AO58" i="8"/>
  <c r="AN58" i="8"/>
  <c r="AM58" i="8"/>
  <c r="AL58" i="8"/>
  <c r="AK58" i="8"/>
  <c r="AJ58" i="8"/>
  <c r="AI58" i="8"/>
  <c r="AH58" i="8"/>
  <c r="AG58" i="8"/>
  <c r="AF58" i="8"/>
  <c r="AE58" i="8"/>
  <c r="AD58" i="8"/>
  <c r="AC58" i="8"/>
  <c r="AB58" i="8"/>
  <c r="AA58" i="8"/>
  <c r="Y58" i="8"/>
  <c r="X58" i="8"/>
  <c r="F58" i="8"/>
  <c r="E58" i="8"/>
  <c r="D58" i="8"/>
  <c r="C58" i="8"/>
  <c r="B58" i="8"/>
  <c r="A58" i="8"/>
  <c r="AO57" i="8"/>
  <c r="AN57" i="8"/>
  <c r="AM57" i="8"/>
  <c r="AL57" i="8"/>
  <c r="AK57" i="8"/>
  <c r="AJ57" i="8"/>
  <c r="AI57" i="8"/>
  <c r="AH57" i="8"/>
  <c r="AG57" i="8"/>
  <c r="AF57" i="8"/>
  <c r="AE57" i="8"/>
  <c r="AD57" i="8"/>
  <c r="AC57" i="8"/>
  <c r="AB57" i="8"/>
  <c r="AA57" i="8"/>
  <c r="Y57" i="8"/>
  <c r="X57" i="8"/>
  <c r="F57" i="8"/>
  <c r="E57" i="8"/>
  <c r="D57" i="8"/>
  <c r="C57" i="8"/>
  <c r="B57" i="8"/>
  <c r="A57" i="8"/>
  <c r="AO56" i="8"/>
  <c r="AN56" i="8"/>
  <c r="AM56" i="8"/>
  <c r="AL56" i="8"/>
  <c r="AK56" i="8"/>
  <c r="AJ56" i="8"/>
  <c r="AI56" i="8"/>
  <c r="AH56" i="8"/>
  <c r="AG56" i="8"/>
  <c r="AF56" i="8"/>
  <c r="AE56" i="8"/>
  <c r="AD56" i="8"/>
  <c r="AC56" i="8"/>
  <c r="AB56" i="8"/>
  <c r="AA56" i="8"/>
  <c r="Y56" i="8"/>
  <c r="X56" i="8"/>
  <c r="F56" i="8"/>
  <c r="E56" i="8"/>
  <c r="D56" i="8"/>
  <c r="C56" i="8"/>
  <c r="B56" i="8"/>
  <c r="A56" i="8"/>
  <c r="AO55" i="8"/>
  <c r="AN55" i="8"/>
  <c r="AM55" i="8"/>
  <c r="AL55" i="8"/>
  <c r="AK55" i="8"/>
  <c r="AJ55" i="8"/>
  <c r="AI55" i="8"/>
  <c r="AH55" i="8"/>
  <c r="AG55" i="8"/>
  <c r="AF55" i="8"/>
  <c r="AE55" i="8"/>
  <c r="AD55" i="8"/>
  <c r="AC55" i="8"/>
  <c r="AB55" i="8"/>
  <c r="AA55" i="8"/>
  <c r="Y55" i="8"/>
  <c r="X55" i="8"/>
  <c r="F55" i="8"/>
  <c r="E55" i="8"/>
  <c r="D55" i="8"/>
  <c r="C55" i="8"/>
  <c r="B55" i="8"/>
  <c r="A55" i="8"/>
  <c r="AO54" i="8"/>
  <c r="AN54" i="8"/>
  <c r="AM54" i="8"/>
  <c r="AL54" i="8"/>
  <c r="AK54" i="8"/>
  <c r="AJ54" i="8"/>
  <c r="AI54" i="8"/>
  <c r="AH54" i="8"/>
  <c r="AG54" i="8"/>
  <c r="AF54" i="8"/>
  <c r="AE54" i="8"/>
  <c r="AD54" i="8"/>
  <c r="AC54" i="8"/>
  <c r="AB54" i="8"/>
  <c r="AA54" i="8"/>
  <c r="Y54" i="8"/>
  <c r="X54" i="8"/>
  <c r="F54" i="8"/>
  <c r="E54" i="8"/>
  <c r="D54" i="8"/>
  <c r="C54" i="8"/>
  <c r="B54" i="8"/>
  <c r="A54" i="8"/>
  <c r="AO53" i="8"/>
  <c r="AN53" i="8"/>
  <c r="AM53" i="8"/>
  <c r="AL53" i="8"/>
  <c r="AK53" i="8"/>
  <c r="AJ53" i="8"/>
  <c r="AI53" i="8"/>
  <c r="AH53" i="8"/>
  <c r="AG53" i="8"/>
  <c r="AF53" i="8"/>
  <c r="AE53" i="8"/>
  <c r="AD53" i="8"/>
  <c r="AC53" i="8"/>
  <c r="AB53" i="8"/>
  <c r="AA53" i="8"/>
  <c r="Y53" i="8"/>
  <c r="X53" i="8"/>
  <c r="F53" i="8"/>
  <c r="E53" i="8"/>
  <c r="D53" i="8"/>
  <c r="C53" i="8"/>
  <c r="B53" i="8"/>
  <c r="A53" i="8"/>
  <c r="AO52" i="8"/>
  <c r="AN52" i="8"/>
  <c r="AM52" i="8"/>
  <c r="AL52" i="8"/>
  <c r="AK52" i="8"/>
  <c r="AJ52" i="8"/>
  <c r="AI52" i="8"/>
  <c r="AH52" i="8"/>
  <c r="AG52" i="8"/>
  <c r="AF52" i="8"/>
  <c r="AE52" i="8"/>
  <c r="AD52" i="8"/>
  <c r="AC52" i="8"/>
  <c r="AB52" i="8"/>
  <c r="AA52" i="8"/>
  <c r="Y52" i="8"/>
  <c r="X52" i="8"/>
  <c r="F52" i="8"/>
  <c r="E52" i="8"/>
  <c r="D52" i="8"/>
  <c r="C52" i="8"/>
  <c r="B52" i="8"/>
  <c r="A52" i="8"/>
  <c r="AO51" i="8"/>
  <c r="AN51" i="8"/>
  <c r="AM51" i="8"/>
  <c r="AL51" i="8"/>
  <c r="AK51" i="8"/>
  <c r="AJ51" i="8"/>
  <c r="AI51" i="8"/>
  <c r="AH51" i="8"/>
  <c r="AG51" i="8"/>
  <c r="AF51" i="8"/>
  <c r="AE51" i="8"/>
  <c r="AD51" i="8"/>
  <c r="AC51" i="8"/>
  <c r="AB51" i="8"/>
  <c r="AA51" i="8"/>
  <c r="Y51" i="8"/>
  <c r="X51" i="8"/>
  <c r="F51" i="8"/>
  <c r="E51" i="8"/>
  <c r="D51" i="8"/>
  <c r="C51" i="8"/>
  <c r="B51" i="8"/>
  <c r="A51" i="8"/>
  <c r="AO50" i="8"/>
  <c r="AN50" i="8"/>
  <c r="AM50" i="8"/>
  <c r="AL50" i="8"/>
  <c r="AK50" i="8"/>
  <c r="AJ50" i="8"/>
  <c r="AI50" i="8"/>
  <c r="AH50" i="8"/>
  <c r="AG50" i="8"/>
  <c r="AF50" i="8"/>
  <c r="AE50" i="8"/>
  <c r="AD50" i="8"/>
  <c r="AC50" i="8"/>
  <c r="AB50" i="8"/>
  <c r="AA50" i="8"/>
  <c r="Y50" i="8"/>
  <c r="X50" i="8"/>
  <c r="F50" i="8"/>
  <c r="E50" i="8"/>
  <c r="D50" i="8"/>
  <c r="C50" i="8"/>
  <c r="B50" i="8"/>
  <c r="A50" i="8"/>
  <c r="AO49" i="8"/>
  <c r="AN49" i="8"/>
  <c r="AM49" i="8"/>
  <c r="AL49" i="8"/>
  <c r="AK49" i="8"/>
  <c r="AJ49" i="8"/>
  <c r="AI49" i="8"/>
  <c r="AH49" i="8"/>
  <c r="AG49" i="8"/>
  <c r="AF49" i="8"/>
  <c r="AE49" i="8"/>
  <c r="AD49" i="8"/>
  <c r="AC49" i="8"/>
  <c r="AB49" i="8"/>
  <c r="AA49" i="8"/>
  <c r="Y49" i="8"/>
  <c r="X49" i="8"/>
  <c r="F49" i="8"/>
  <c r="E49" i="8"/>
  <c r="D49" i="8"/>
  <c r="C49" i="8"/>
  <c r="B49" i="8"/>
  <c r="A49" i="8"/>
  <c r="AO48" i="8"/>
  <c r="AN48" i="8"/>
  <c r="AM48" i="8"/>
  <c r="AL48" i="8"/>
  <c r="AK48" i="8"/>
  <c r="AJ48" i="8"/>
  <c r="AI48" i="8"/>
  <c r="AH48" i="8"/>
  <c r="AG48" i="8"/>
  <c r="AF48" i="8"/>
  <c r="AE48" i="8"/>
  <c r="AD48" i="8"/>
  <c r="AC48" i="8"/>
  <c r="AB48" i="8"/>
  <c r="AA48" i="8"/>
  <c r="Y48" i="8"/>
  <c r="X48" i="8"/>
  <c r="F48" i="8"/>
  <c r="E48" i="8"/>
  <c r="D48" i="8"/>
  <c r="C48" i="8"/>
  <c r="B48" i="8"/>
  <c r="A48" i="8"/>
  <c r="AO47" i="8"/>
  <c r="AN47" i="8"/>
  <c r="AM47" i="8"/>
  <c r="AL47" i="8"/>
  <c r="AK47" i="8"/>
  <c r="AJ47" i="8"/>
  <c r="AI47" i="8"/>
  <c r="AH47" i="8"/>
  <c r="AG47" i="8"/>
  <c r="AF47" i="8"/>
  <c r="AE47" i="8"/>
  <c r="AD47" i="8"/>
  <c r="AC47" i="8"/>
  <c r="AB47" i="8"/>
  <c r="AA47" i="8"/>
  <c r="Y47" i="8"/>
  <c r="X47" i="8"/>
  <c r="F47" i="8"/>
  <c r="E47" i="8"/>
  <c r="D47" i="8"/>
  <c r="C47" i="8"/>
  <c r="B47" i="8"/>
  <c r="A47" i="8"/>
  <c r="AO46" i="8"/>
  <c r="AN46" i="8"/>
  <c r="AM46" i="8"/>
  <c r="AL46" i="8"/>
  <c r="AK46" i="8"/>
  <c r="AJ46" i="8"/>
  <c r="AI46" i="8"/>
  <c r="AH46" i="8"/>
  <c r="AG46" i="8"/>
  <c r="AF46" i="8"/>
  <c r="AE46" i="8"/>
  <c r="AD46" i="8"/>
  <c r="AC46" i="8"/>
  <c r="AB46" i="8"/>
  <c r="AA46" i="8"/>
  <c r="Y46" i="8"/>
  <c r="X46" i="8"/>
  <c r="F46" i="8"/>
  <c r="E46" i="8"/>
  <c r="D46" i="8"/>
  <c r="C46" i="8"/>
  <c r="B46" i="8"/>
  <c r="A46" i="8"/>
  <c r="AO45" i="8"/>
  <c r="AN45" i="8"/>
  <c r="AM45" i="8"/>
  <c r="AL45" i="8"/>
  <c r="AK45" i="8"/>
  <c r="AJ45" i="8"/>
  <c r="AI45" i="8"/>
  <c r="AH45" i="8"/>
  <c r="AG45" i="8"/>
  <c r="AF45" i="8"/>
  <c r="AE45" i="8"/>
  <c r="AD45" i="8"/>
  <c r="AC45" i="8"/>
  <c r="AB45" i="8"/>
  <c r="AA45" i="8"/>
  <c r="Y45" i="8"/>
  <c r="X45" i="8"/>
  <c r="F45" i="8"/>
  <c r="E45" i="8"/>
  <c r="D45" i="8"/>
  <c r="C45" i="8"/>
  <c r="B45" i="8"/>
  <c r="A45" i="8"/>
  <c r="AO44" i="8"/>
  <c r="AN44" i="8"/>
  <c r="AM44" i="8"/>
  <c r="AL44" i="8"/>
  <c r="AK44" i="8"/>
  <c r="AJ44" i="8"/>
  <c r="AI44" i="8"/>
  <c r="AH44" i="8"/>
  <c r="AG44" i="8"/>
  <c r="AF44" i="8"/>
  <c r="AE44" i="8"/>
  <c r="AD44" i="8"/>
  <c r="AC44" i="8"/>
  <c r="AB44" i="8"/>
  <c r="AA44" i="8"/>
  <c r="Y44" i="8"/>
  <c r="X44" i="8"/>
  <c r="F44" i="8"/>
  <c r="E44" i="8"/>
  <c r="D44" i="8"/>
  <c r="C44" i="8"/>
  <c r="B44" i="8"/>
  <c r="A44" i="8"/>
  <c r="AO43" i="8"/>
  <c r="AN43" i="8"/>
  <c r="AM43" i="8"/>
  <c r="AL43" i="8"/>
  <c r="AK43" i="8"/>
  <c r="AJ43" i="8"/>
  <c r="AI43" i="8"/>
  <c r="AH43" i="8"/>
  <c r="AG43" i="8"/>
  <c r="AF43" i="8"/>
  <c r="AE43" i="8"/>
  <c r="AD43" i="8"/>
  <c r="AC43" i="8"/>
  <c r="AB43" i="8"/>
  <c r="AA43" i="8"/>
  <c r="Y43" i="8"/>
  <c r="X43" i="8"/>
  <c r="F43" i="8"/>
  <c r="E43" i="8"/>
  <c r="D43" i="8"/>
  <c r="C43" i="8"/>
  <c r="B43" i="8"/>
  <c r="A43" i="8"/>
  <c r="AO42" i="8"/>
  <c r="AN42" i="8"/>
  <c r="AM42" i="8"/>
  <c r="AL42" i="8"/>
  <c r="AK42" i="8"/>
  <c r="AJ42" i="8"/>
  <c r="AI42" i="8"/>
  <c r="AH42" i="8"/>
  <c r="AG42" i="8"/>
  <c r="AF42" i="8"/>
  <c r="AE42" i="8"/>
  <c r="AD42" i="8"/>
  <c r="AC42" i="8"/>
  <c r="AB42" i="8"/>
  <c r="AA42" i="8"/>
  <c r="Y42" i="8"/>
  <c r="X42" i="8"/>
  <c r="F42" i="8"/>
  <c r="E42" i="8"/>
  <c r="D42" i="8"/>
  <c r="C42" i="8"/>
  <c r="B42" i="8"/>
  <c r="A42" i="8"/>
  <c r="AO41" i="8"/>
  <c r="AN41" i="8"/>
  <c r="AM41" i="8"/>
  <c r="AL41" i="8"/>
  <c r="AK41" i="8"/>
  <c r="AJ41" i="8"/>
  <c r="AI41" i="8"/>
  <c r="AH41" i="8"/>
  <c r="AG41" i="8"/>
  <c r="AF41" i="8"/>
  <c r="AE41" i="8"/>
  <c r="AD41" i="8"/>
  <c r="AC41" i="8"/>
  <c r="AB41" i="8"/>
  <c r="AA41" i="8"/>
  <c r="Y41" i="8"/>
  <c r="X41" i="8"/>
  <c r="F41" i="8"/>
  <c r="E41" i="8"/>
  <c r="D41" i="8"/>
  <c r="C41" i="8"/>
  <c r="B41" i="8"/>
  <c r="A41" i="8"/>
  <c r="AO40" i="8"/>
  <c r="AN40" i="8"/>
  <c r="AM40" i="8"/>
  <c r="AL40" i="8"/>
  <c r="AK40" i="8"/>
  <c r="AJ40" i="8"/>
  <c r="AI40" i="8"/>
  <c r="AH40" i="8"/>
  <c r="AG40" i="8"/>
  <c r="AF40" i="8"/>
  <c r="AE40" i="8"/>
  <c r="AD40" i="8"/>
  <c r="AC40" i="8"/>
  <c r="AB40" i="8"/>
  <c r="AA40" i="8"/>
  <c r="Y40" i="8"/>
  <c r="X40" i="8"/>
  <c r="F40" i="8"/>
  <c r="E40" i="8"/>
  <c r="D40" i="8"/>
  <c r="C40" i="8"/>
  <c r="B40" i="8"/>
  <c r="A40" i="8"/>
  <c r="AO39" i="8"/>
  <c r="AN39" i="8"/>
  <c r="AM39" i="8"/>
  <c r="AL39" i="8"/>
  <c r="AK39" i="8"/>
  <c r="AJ39" i="8"/>
  <c r="AI39" i="8"/>
  <c r="AH39" i="8"/>
  <c r="AG39" i="8"/>
  <c r="AF39" i="8"/>
  <c r="AE39" i="8"/>
  <c r="AD39" i="8"/>
  <c r="AC39" i="8"/>
  <c r="AB39" i="8"/>
  <c r="AA39" i="8"/>
  <c r="Y39" i="8"/>
  <c r="X39" i="8"/>
  <c r="F39" i="8"/>
  <c r="E39" i="8"/>
  <c r="D39" i="8"/>
  <c r="C39" i="8"/>
  <c r="B39" i="8"/>
  <c r="A39" i="8"/>
  <c r="AO38" i="8"/>
  <c r="AN38" i="8"/>
  <c r="AM38" i="8"/>
  <c r="AL38" i="8"/>
  <c r="AK38" i="8"/>
  <c r="AJ38" i="8"/>
  <c r="AI38" i="8"/>
  <c r="AH38" i="8"/>
  <c r="AG38" i="8"/>
  <c r="AF38" i="8"/>
  <c r="AE38" i="8"/>
  <c r="AD38" i="8"/>
  <c r="AC38" i="8"/>
  <c r="AB38" i="8"/>
  <c r="AA38" i="8"/>
  <c r="Y38" i="8"/>
  <c r="X38" i="8"/>
  <c r="F38" i="8"/>
  <c r="E38" i="8"/>
  <c r="D38" i="8"/>
  <c r="C38" i="8"/>
  <c r="B38" i="8"/>
  <c r="A38" i="8"/>
  <c r="AO37" i="8"/>
  <c r="AN37" i="8"/>
  <c r="AM37" i="8"/>
  <c r="AL37" i="8"/>
  <c r="AK37" i="8"/>
  <c r="AJ37" i="8"/>
  <c r="AI37" i="8"/>
  <c r="AH37" i="8"/>
  <c r="AG37" i="8"/>
  <c r="AF37" i="8"/>
  <c r="AE37" i="8"/>
  <c r="AD37" i="8"/>
  <c r="AC37" i="8"/>
  <c r="AB37" i="8"/>
  <c r="AA37" i="8"/>
  <c r="Y37" i="8"/>
  <c r="X37" i="8"/>
  <c r="F37" i="8"/>
  <c r="E37" i="8"/>
  <c r="D37" i="8"/>
  <c r="C37" i="8"/>
  <c r="B37" i="8"/>
  <c r="A37" i="8"/>
  <c r="AO36" i="8"/>
  <c r="AN36" i="8"/>
  <c r="AM36" i="8"/>
  <c r="AL36" i="8"/>
  <c r="AK36" i="8"/>
  <c r="AJ36" i="8"/>
  <c r="AI36" i="8"/>
  <c r="AH36" i="8"/>
  <c r="AG36" i="8"/>
  <c r="AF36" i="8"/>
  <c r="AE36" i="8"/>
  <c r="AD36" i="8"/>
  <c r="AC36" i="8"/>
  <c r="AB36" i="8"/>
  <c r="AA36" i="8"/>
  <c r="Y36" i="8"/>
  <c r="X36" i="8"/>
  <c r="F36" i="8"/>
  <c r="E36" i="8"/>
  <c r="D36" i="8"/>
  <c r="C36" i="8"/>
  <c r="B36" i="8"/>
  <c r="A36" i="8"/>
  <c r="AO35" i="8"/>
  <c r="AN35" i="8"/>
  <c r="AM35" i="8"/>
  <c r="AL35" i="8"/>
  <c r="AK35" i="8"/>
  <c r="AJ35" i="8"/>
  <c r="AI35" i="8"/>
  <c r="AH35" i="8"/>
  <c r="AG35" i="8"/>
  <c r="AF35" i="8"/>
  <c r="AE35" i="8"/>
  <c r="AD35" i="8"/>
  <c r="AC35" i="8"/>
  <c r="AB35" i="8"/>
  <c r="AA35" i="8"/>
  <c r="Y35" i="8"/>
  <c r="X35" i="8"/>
  <c r="F35" i="8"/>
  <c r="E35" i="8"/>
  <c r="D35" i="8"/>
  <c r="C35" i="8"/>
  <c r="B35" i="8"/>
  <c r="A35" i="8"/>
  <c r="AO34" i="8"/>
  <c r="AN34" i="8"/>
  <c r="AM34" i="8"/>
  <c r="AL34" i="8"/>
  <c r="AK34" i="8"/>
  <c r="AJ34" i="8"/>
  <c r="AI34" i="8"/>
  <c r="AH34" i="8"/>
  <c r="AG34" i="8"/>
  <c r="AF34" i="8"/>
  <c r="AE34" i="8"/>
  <c r="AD34" i="8"/>
  <c r="AC34" i="8"/>
  <c r="AB34" i="8"/>
  <c r="AA34" i="8"/>
  <c r="Y34" i="8"/>
  <c r="X34" i="8"/>
  <c r="F34" i="8"/>
  <c r="E34" i="8"/>
  <c r="D34" i="8"/>
  <c r="C34" i="8"/>
  <c r="B34" i="8"/>
  <c r="A34" i="8"/>
  <c r="AO33" i="8"/>
  <c r="AN33" i="8"/>
  <c r="AM33" i="8"/>
  <c r="AL33" i="8"/>
  <c r="AK33" i="8"/>
  <c r="AJ33" i="8"/>
  <c r="AI33" i="8"/>
  <c r="AH33" i="8"/>
  <c r="AG33" i="8"/>
  <c r="AF33" i="8"/>
  <c r="AE33" i="8"/>
  <c r="AD33" i="8"/>
  <c r="AC33" i="8"/>
  <c r="AB33" i="8"/>
  <c r="AA33" i="8"/>
  <c r="Y33" i="8"/>
  <c r="X33" i="8"/>
  <c r="F33" i="8"/>
  <c r="E33" i="8"/>
  <c r="D33" i="8"/>
  <c r="C33" i="8"/>
  <c r="B33" i="8"/>
  <c r="A33" i="8"/>
  <c r="AO32" i="8"/>
  <c r="AN32" i="8"/>
  <c r="AM32" i="8"/>
  <c r="AL32" i="8"/>
  <c r="AK32" i="8"/>
  <c r="AJ32" i="8"/>
  <c r="AI32" i="8"/>
  <c r="AH32" i="8"/>
  <c r="AG32" i="8"/>
  <c r="AF32" i="8"/>
  <c r="AE32" i="8"/>
  <c r="AD32" i="8"/>
  <c r="AC32" i="8"/>
  <c r="AB32" i="8"/>
  <c r="AA32" i="8"/>
  <c r="Y32" i="8"/>
  <c r="X32" i="8"/>
  <c r="F32" i="8"/>
  <c r="E32" i="8"/>
  <c r="D32" i="8"/>
  <c r="C32" i="8"/>
  <c r="B32" i="8"/>
  <c r="A32" i="8"/>
  <c r="AO31" i="8"/>
  <c r="AN31" i="8"/>
  <c r="AM31" i="8"/>
  <c r="AL31" i="8"/>
  <c r="AK31" i="8"/>
  <c r="AJ31" i="8"/>
  <c r="AI31" i="8"/>
  <c r="AH31" i="8"/>
  <c r="AG31" i="8"/>
  <c r="AF31" i="8"/>
  <c r="AE31" i="8"/>
  <c r="AD31" i="8"/>
  <c r="AC31" i="8"/>
  <c r="AB31" i="8"/>
  <c r="AA31" i="8"/>
  <c r="Y31" i="8"/>
  <c r="X31" i="8"/>
  <c r="F31" i="8"/>
  <c r="E31" i="8"/>
  <c r="D31" i="8"/>
  <c r="C31" i="8"/>
  <c r="B31" i="8"/>
  <c r="A31" i="8"/>
  <c r="AO30" i="8"/>
  <c r="AN30" i="8"/>
  <c r="AM30" i="8"/>
  <c r="AL30" i="8"/>
  <c r="AK30" i="8"/>
  <c r="AJ30" i="8"/>
  <c r="AI30" i="8"/>
  <c r="AH30" i="8"/>
  <c r="AG30" i="8"/>
  <c r="AF30" i="8"/>
  <c r="AE30" i="8"/>
  <c r="AD30" i="8"/>
  <c r="AC30" i="8"/>
  <c r="AB30" i="8"/>
  <c r="AA30" i="8"/>
  <c r="Y30" i="8"/>
  <c r="X30" i="8"/>
  <c r="F30" i="8"/>
  <c r="E30" i="8"/>
  <c r="D30" i="8"/>
  <c r="C30" i="8"/>
  <c r="B30" i="8"/>
  <c r="A30" i="8"/>
  <c r="AO29" i="8"/>
  <c r="AN29" i="8"/>
  <c r="AM29" i="8"/>
  <c r="AL29" i="8"/>
  <c r="AK29" i="8"/>
  <c r="AJ29" i="8"/>
  <c r="AI29" i="8"/>
  <c r="AH29" i="8"/>
  <c r="AG29" i="8"/>
  <c r="AF29" i="8"/>
  <c r="AE29" i="8"/>
  <c r="AD29" i="8"/>
  <c r="AC29" i="8"/>
  <c r="AB29" i="8"/>
  <c r="AA29" i="8"/>
  <c r="Y29" i="8"/>
  <c r="X29" i="8"/>
  <c r="F29" i="8"/>
  <c r="E29" i="8"/>
  <c r="D29" i="8"/>
  <c r="C29" i="8"/>
  <c r="B29" i="8"/>
  <c r="A29" i="8"/>
  <c r="AO28" i="8"/>
  <c r="AN28" i="8"/>
  <c r="AM28" i="8"/>
  <c r="AL28" i="8"/>
  <c r="AK28" i="8"/>
  <c r="AJ28" i="8"/>
  <c r="AI28" i="8"/>
  <c r="AH28" i="8"/>
  <c r="AG28" i="8"/>
  <c r="AF28" i="8"/>
  <c r="AE28" i="8"/>
  <c r="AD28" i="8"/>
  <c r="AC28" i="8"/>
  <c r="AB28" i="8"/>
  <c r="AA28" i="8"/>
  <c r="Y28" i="8"/>
  <c r="X28" i="8"/>
  <c r="F28" i="8"/>
  <c r="E28" i="8"/>
  <c r="D28" i="8"/>
  <c r="C28" i="8"/>
  <c r="B28" i="8"/>
  <c r="A28" i="8"/>
  <c r="AO27" i="8"/>
  <c r="AN27" i="8"/>
  <c r="AM27" i="8"/>
  <c r="AL27" i="8"/>
  <c r="AK27" i="8"/>
  <c r="AJ27" i="8"/>
  <c r="AI27" i="8"/>
  <c r="AH27" i="8"/>
  <c r="AG27" i="8"/>
  <c r="AF27" i="8"/>
  <c r="AE27" i="8"/>
  <c r="AD27" i="8"/>
  <c r="AC27" i="8"/>
  <c r="AB27" i="8"/>
  <c r="AA27" i="8"/>
  <c r="Y27" i="8"/>
  <c r="X27" i="8"/>
  <c r="F27" i="8"/>
  <c r="E27" i="8"/>
  <c r="D27" i="8"/>
  <c r="C27" i="8"/>
  <c r="B27" i="8"/>
  <c r="A27" i="8"/>
  <c r="AO26" i="8"/>
  <c r="AN26" i="8"/>
  <c r="AM26" i="8"/>
  <c r="AL26" i="8"/>
  <c r="AK26" i="8"/>
  <c r="AJ26" i="8"/>
  <c r="AI26" i="8"/>
  <c r="AH26" i="8"/>
  <c r="AG26" i="8"/>
  <c r="AF26" i="8"/>
  <c r="AE26" i="8"/>
  <c r="AD26" i="8"/>
  <c r="AC26" i="8"/>
  <c r="AB26" i="8"/>
  <c r="AA26" i="8"/>
  <c r="Y26" i="8"/>
  <c r="X26" i="8"/>
  <c r="F26" i="8"/>
  <c r="E26" i="8"/>
  <c r="D26" i="8"/>
  <c r="C26" i="8"/>
  <c r="B26" i="8"/>
  <c r="A26" i="8"/>
  <c r="AO25" i="8"/>
  <c r="AN25" i="8"/>
  <c r="AM25" i="8"/>
  <c r="AL25" i="8"/>
  <c r="AK25" i="8"/>
  <c r="AJ25" i="8"/>
  <c r="AI25" i="8"/>
  <c r="AH25" i="8"/>
  <c r="AG25" i="8"/>
  <c r="AF25" i="8"/>
  <c r="AE25" i="8"/>
  <c r="AD25" i="8"/>
  <c r="AC25" i="8"/>
  <c r="AB25" i="8"/>
  <c r="AA25" i="8"/>
  <c r="Y25" i="8"/>
  <c r="X25" i="8"/>
  <c r="F25" i="8"/>
  <c r="E25" i="8"/>
  <c r="D25" i="8"/>
  <c r="C25" i="8"/>
  <c r="B25" i="8"/>
  <c r="A25" i="8"/>
  <c r="AO24" i="8"/>
  <c r="AN24" i="8"/>
  <c r="AM24" i="8"/>
  <c r="AL24" i="8"/>
  <c r="AK24" i="8"/>
  <c r="AJ24" i="8"/>
  <c r="AI24" i="8"/>
  <c r="AH24" i="8"/>
  <c r="AG24" i="8"/>
  <c r="AF24" i="8"/>
  <c r="AE24" i="8"/>
  <c r="AD24" i="8"/>
  <c r="AC24" i="8"/>
  <c r="AB24" i="8"/>
  <c r="AA24" i="8"/>
  <c r="Y24" i="8"/>
  <c r="X24" i="8"/>
  <c r="F24" i="8"/>
  <c r="E24" i="8"/>
  <c r="D24" i="8"/>
  <c r="C24" i="8"/>
  <c r="B24" i="8"/>
  <c r="A24" i="8"/>
  <c r="AO23" i="8"/>
  <c r="AN23" i="8"/>
  <c r="AM23" i="8"/>
  <c r="AL23" i="8"/>
  <c r="AK23" i="8"/>
  <c r="AJ23" i="8"/>
  <c r="AI23" i="8"/>
  <c r="AH23" i="8"/>
  <c r="AG23" i="8"/>
  <c r="AF23" i="8"/>
  <c r="AE23" i="8"/>
  <c r="AD23" i="8"/>
  <c r="AC23" i="8"/>
  <c r="AB23" i="8"/>
  <c r="AA23" i="8"/>
  <c r="Y23" i="8"/>
  <c r="X23" i="8"/>
  <c r="F23" i="8"/>
  <c r="E23" i="8"/>
  <c r="D23" i="8"/>
  <c r="C23" i="8"/>
  <c r="B23" i="8"/>
  <c r="A23" i="8"/>
  <c r="AO22" i="8"/>
  <c r="AN22" i="8"/>
  <c r="AM22" i="8"/>
  <c r="AL22" i="8"/>
  <c r="AK22" i="8"/>
  <c r="AJ22" i="8"/>
  <c r="AI22" i="8"/>
  <c r="AH22" i="8"/>
  <c r="AG22" i="8"/>
  <c r="AF22" i="8"/>
  <c r="AE22" i="8"/>
  <c r="AD22" i="8"/>
  <c r="AC22" i="8"/>
  <c r="AB22" i="8"/>
  <c r="AA22" i="8"/>
  <c r="Y22" i="8"/>
  <c r="X22" i="8"/>
  <c r="F22" i="8"/>
  <c r="E22" i="8"/>
  <c r="D22" i="8"/>
  <c r="C22" i="8"/>
  <c r="B22" i="8"/>
  <c r="A22" i="8"/>
  <c r="AO21" i="8"/>
  <c r="AN21" i="8"/>
  <c r="AM21" i="8"/>
  <c r="AL21" i="8"/>
  <c r="AK21" i="8"/>
  <c r="AJ21" i="8"/>
  <c r="AI21" i="8"/>
  <c r="AH21" i="8"/>
  <c r="AG21" i="8"/>
  <c r="AF21" i="8"/>
  <c r="AE21" i="8"/>
  <c r="AD21" i="8"/>
  <c r="AC21" i="8"/>
  <c r="AB21" i="8"/>
  <c r="AA21" i="8"/>
  <c r="Y21" i="8"/>
  <c r="X21" i="8"/>
  <c r="F21" i="8"/>
  <c r="E21" i="8"/>
  <c r="D21" i="8"/>
  <c r="C21" i="8"/>
  <c r="B21" i="8"/>
  <c r="A21" i="8"/>
  <c r="AO20" i="8"/>
  <c r="AN20" i="8"/>
  <c r="AM20" i="8"/>
  <c r="AL20" i="8"/>
  <c r="AK20" i="8"/>
  <c r="AJ20" i="8"/>
  <c r="AI20" i="8"/>
  <c r="AH20" i="8"/>
  <c r="AG20" i="8"/>
  <c r="AF20" i="8"/>
  <c r="AE20" i="8"/>
  <c r="AD20" i="8"/>
  <c r="AC20" i="8"/>
  <c r="AB20" i="8"/>
  <c r="AA20" i="8"/>
  <c r="Y20" i="8"/>
  <c r="X20" i="8"/>
  <c r="F20" i="8"/>
  <c r="E20" i="8"/>
  <c r="D20" i="8"/>
  <c r="C20" i="8"/>
  <c r="B20" i="8"/>
  <c r="A20" i="8"/>
  <c r="AO19" i="8"/>
  <c r="AN19" i="8"/>
  <c r="AM19" i="8"/>
  <c r="AL19" i="8"/>
  <c r="AK19" i="8"/>
  <c r="AJ19" i="8"/>
  <c r="AI19" i="8"/>
  <c r="AH19" i="8"/>
  <c r="AG19" i="8"/>
  <c r="AF19" i="8"/>
  <c r="AE19" i="8"/>
  <c r="AD19" i="8"/>
  <c r="AC19" i="8"/>
  <c r="AB19" i="8"/>
  <c r="AA19" i="8"/>
  <c r="Y19" i="8"/>
  <c r="X19" i="8"/>
  <c r="F19" i="8"/>
  <c r="E19" i="8"/>
  <c r="D19" i="8"/>
  <c r="C19" i="8"/>
  <c r="B19" i="8"/>
  <c r="A19" i="8"/>
  <c r="AO18" i="8"/>
  <c r="AN18" i="8"/>
  <c r="AM18" i="8"/>
  <c r="AL18" i="8"/>
  <c r="AK18" i="8"/>
  <c r="AJ18" i="8"/>
  <c r="AI18" i="8"/>
  <c r="AH18" i="8"/>
  <c r="AG18" i="8"/>
  <c r="AF18" i="8"/>
  <c r="AE18" i="8"/>
  <c r="AD18" i="8"/>
  <c r="AC18" i="8"/>
  <c r="AB18" i="8"/>
  <c r="AA18" i="8"/>
  <c r="Y18" i="8"/>
  <c r="X18" i="8"/>
  <c r="F18" i="8"/>
  <c r="E18" i="8"/>
  <c r="D18" i="8"/>
  <c r="C18" i="8"/>
  <c r="B18" i="8"/>
  <c r="A18" i="8"/>
  <c r="AO17" i="8"/>
  <c r="AN17" i="8"/>
  <c r="AM17" i="8"/>
  <c r="AL17" i="8"/>
  <c r="AK17" i="8"/>
  <c r="AJ17" i="8"/>
  <c r="AI17" i="8"/>
  <c r="AH17" i="8"/>
  <c r="AG17" i="8"/>
  <c r="AF17" i="8"/>
  <c r="AE17" i="8"/>
  <c r="AD17" i="8"/>
  <c r="AC17" i="8"/>
  <c r="AB17" i="8"/>
  <c r="AA17" i="8"/>
  <c r="Y17" i="8"/>
  <c r="X17" i="8"/>
  <c r="F17" i="8"/>
  <c r="E17" i="8"/>
  <c r="D17" i="8"/>
  <c r="C17" i="8"/>
  <c r="B17" i="8"/>
  <c r="A17" i="8"/>
  <c r="AO16" i="8"/>
  <c r="AN16" i="8"/>
  <c r="AM16" i="8"/>
  <c r="AL16" i="8"/>
  <c r="AK16" i="8"/>
  <c r="AJ16" i="8"/>
  <c r="AI16" i="8"/>
  <c r="AH16" i="8"/>
  <c r="AG16" i="8"/>
  <c r="AF16" i="8"/>
  <c r="AE16" i="8"/>
  <c r="AD16" i="8"/>
  <c r="AC16" i="8"/>
  <c r="AB16" i="8"/>
  <c r="AA16" i="8"/>
  <c r="Y16" i="8"/>
  <c r="X16" i="8"/>
  <c r="F16" i="8"/>
  <c r="E16" i="8"/>
  <c r="D16" i="8"/>
  <c r="C16" i="8"/>
  <c r="B16" i="8"/>
  <c r="A16" i="8"/>
  <c r="AO15" i="8"/>
  <c r="AN15" i="8"/>
  <c r="AM15" i="8"/>
  <c r="AL15" i="8"/>
  <c r="AK15" i="8"/>
  <c r="AJ15" i="8"/>
  <c r="AI15" i="8"/>
  <c r="AH15" i="8"/>
  <c r="AG15" i="8"/>
  <c r="AF15" i="8"/>
  <c r="AE15" i="8"/>
  <c r="AD15" i="8"/>
  <c r="AC15" i="8"/>
  <c r="AB15" i="8"/>
  <c r="AA15" i="8"/>
  <c r="Y15" i="8"/>
  <c r="X15" i="8"/>
  <c r="F15" i="8"/>
  <c r="E15" i="8"/>
  <c r="D15" i="8"/>
  <c r="C15" i="8"/>
  <c r="B15" i="8"/>
  <c r="A15" i="8"/>
  <c r="AO14" i="8"/>
  <c r="AN14" i="8"/>
  <c r="AM14" i="8"/>
  <c r="AL14" i="8"/>
  <c r="AK14" i="8"/>
  <c r="AJ14" i="8"/>
  <c r="AI14" i="8"/>
  <c r="AH14" i="8"/>
  <c r="AG14" i="8"/>
  <c r="AF14" i="8"/>
  <c r="AE14" i="8"/>
  <c r="AD14" i="8"/>
  <c r="AC14" i="8"/>
  <c r="AB14" i="8"/>
  <c r="AA14" i="8"/>
  <c r="Y14" i="8"/>
  <c r="X14" i="8"/>
  <c r="F14" i="8"/>
  <c r="E14" i="8"/>
  <c r="D14" i="8"/>
  <c r="C14" i="8"/>
  <c r="B14" i="8"/>
  <c r="A14" i="8"/>
  <c r="AO13" i="8"/>
  <c r="AN13" i="8"/>
  <c r="AM13" i="8"/>
  <c r="AL13" i="8"/>
  <c r="AK13" i="8"/>
  <c r="AJ13" i="8"/>
  <c r="AI13" i="8"/>
  <c r="AH13" i="8"/>
  <c r="AG13" i="8"/>
  <c r="AF13" i="8"/>
  <c r="AE13" i="8"/>
  <c r="AD13" i="8"/>
  <c r="AC13" i="8"/>
  <c r="AB13" i="8"/>
  <c r="AA13" i="8"/>
  <c r="Y13" i="8"/>
  <c r="X13" i="8"/>
  <c r="F13" i="8"/>
  <c r="E13" i="8"/>
  <c r="D13" i="8"/>
  <c r="C13" i="8"/>
  <c r="B13" i="8"/>
  <c r="A13" i="8"/>
  <c r="AO12" i="8"/>
  <c r="AN12" i="8"/>
  <c r="AM12" i="8"/>
  <c r="AL12" i="8"/>
  <c r="AK12" i="8"/>
  <c r="AJ12" i="8"/>
  <c r="AI12" i="8"/>
  <c r="AH12" i="8"/>
  <c r="AG12" i="8"/>
  <c r="AF12" i="8"/>
  <c r="AE12" i="8"/>
  <c r="AD12" i="8"/>
  <c r="AC12" i="8"/>
  <c r="AB12" i="8"/>
  <c r="AA12" i="8"/>
  <c r="Y12" i="8"/>
  <c r="X12" i="8"/>
  <c r="F12" i="8"/>
  <c r="E12" i="8"/>
  <c r="D12" i="8"/>
  <c r="C12" i="8"/>
  <c r="B12" i="8"/>
  <c r="A12" i="8"/>
  <c r="AO11" i="8"/>
  <c r="AN11" i="8"/>
  <c r="AM11" i="8"/>
  <c r="AL11" i="8"/>
  <c r="AK11" i="8"/>
  <c r="AJ11" i="8"/>
  <c r="AI11" i="8"/>
  <c r="AH11" i="8"/>
  <c r="AG11" i="8"/>
  <c r="AF11" i="8"/>
  <c r="AE11" i="8"/>
  <c r="AD11" i="8"/>
  <c r="AC11" i="8"/>
  <c r="AB11" i="8"/>
  <c r="AA11" i="8"/>
  <c r="Y11" i="8"/>
  <c r="X11" i="8"/>
  <c r="F11" i="8"/>
  <c r="E11" i="8"/>
  <c r="D11" i="8"/>
  <c r="C11" i="8"/>
  <c r="B11" i="8"/>
  <c r="A11" i="8"/>
  <c r="AO10" i="8"/>
  <c r="AN10" i="8"/>
  <c r="AM10" i="8"/>
  <c r="AL10" i="8"/>
  <c r="AK10" i="8"/>
  <c r="AJ10" i="8"/>
  <c r="AI10" i="8"/>
  <c r="AH10" i="8"/>
  <c r="AG10" i="8"/>
  <c r="AF10" i="8"/>
  <c r="AE10" i="8"/>
  <c r="AD10" i="8"/>
  <c r="AC10" i="8"/>
  <c r="AB10" i="8"/>
  <c r="AA10" i="8"/>
  <c r="Y10" i="8"/>
  <c r="X10" i="8"/>
  <c r="F10" i="8"/>
  <c r="E10" i="8"/>
  <c r="D10" i="8"/>
  <c r="C10" i="8"/>
  <c r="B10" i="8"/>
  <c r="A10" i="8"/>
  <c r="AO9" i="8"/>
  <c r="AN9" i="8"/>
  <c r="AM9" i="8"/>
  <c r="AL9" i="8"/>
  <c r="AK9" i="8"/>
  <c r="AJ9" i="8"/>
  <c r="AI9" i="8"/>
  <c r="AH9" i="8"/>
  <c r="AG9" i="8"/>
  <c r="AF9" i="8"/>
  <c r="AE9" i="8"/>
  <c r="AD9" i="8"/>
  <c r="AC9" i="8"/>
  <c r="AB9" i="8"/>
  <c r="AA9" i="8"/>
  <c r="Y9" i="8"/>
  <c r="X9" i="8"/>
  <c r="F9" i="8"/>
  <c r="E9" i="8"/>
  <c r="D9" i="8"/>
  <c r="C9" i="8"/>
  <c r="B9" i="8"/>
  <c r="A9" i="8"/>
  <c r="AO8" i="8"/>
  <c r="AN8" i="8"/>
  <c r="AM8" i="8"/>
  <c r="AL8" i="8"/>
  <c r="AK8" i="8"/>
  <c r="AJ8" i="8"/>
  <c r="AI8" i="8"/>
  <c r="AH8" i="8"/>
  <c r="AG8" i="8"/>
  <c r="AF8" i="8"/>
  <c r="AE8" i="8"/>
  <c r="AD8" i="8"/>
  <c r="AC8" i="8"/>
  <c r="AB8" i="8"/>
  <c r="AA8" i="8"/>
  <c r="Y8" i="8"/>
  <c r="X8" i="8"/>
  <c r="F8" i="8"/>
  <c r="E8" i="8"/>
  <c r="D8" i="8"/>
  <c r="C8" i="8"/>
  <c r="B8" i="8"/>
  <c r="A8" i="8"/>
  <c r="AO7" i="8"/>
  <c r="AN7" i="8"/>
  <c r="AM7" i="8"/>
  <c r="AL7" i="8"/>
  <c r="AK7" i="8"/>
  <c r="AJ7" i="8"/>
  <c r="AI7" i="8"/>
  <c r="AH7" i="8"/>
  <c r="AG7" i="8"/>
  <c r="AF7" i="8"/>
  <c r="AE7" i="8"/>
  <c r="AD7" i="8"/>
  <c r="AC7" i="8"/>
  <c r="AB7" i="8"/>
  <c r="AA7" i="8"/>
  <c r="Y7" i="8"/>
  <c r="X7" i="8"/>
  <c r="F7" i="8"/>
  <c r="E7" i="8"/>
  <c r="D7" i="8"/>
  <c r="C7" i="8"/>
  <c r="B7" i="8"/>
  <c r="A7" i="8"/>
  <c r="AO6" i="8"/>
  <c r="AN6" i="8"/>
  <c r="AM6" i="8"/>
  <c r="AL6" i="8"/>
  <c r="AK6" i="8"/>
  <c r="AJ6" i="8"/>
  <c r="AI6" i="8"/>
  <c r="AH6" i="8"/>
  <c r="AG6" i="8"/>
  <c r="AF6" i="8"/>
  <c r="AE6" i="8"/>
  <c r="AD6" i="8"/>
  <c r="AC6" i="8"/>
  <c r="AB6" i="8"/>
  <c r="AA6" i="8"/>
  <c r="Y6" i="8"/>
  <c r="X6" i="8"/>
  <c r="F6" i="8"/>
  <c r="E6" i="8"/>
  <c r="D6" i="8"/>
  <c r="C6" i="8"/>
  <c r="B6" i="8"/>
  <c r="A6" i="8"/>
  <c r="AO5" i="8"/>
  <c r="AN5" i="8"/>
  <c r="AM5" i="8"/>
  <c r="AL5" i="8"/>
  <c r="AK5" i="8"/>
  <c r="AJ5" i="8"/>
  <c r="AI5" i="8"/>
  <c r="AH5" i="8"/>
  <c r="AG5" i="8"/>
  <c r="AF5" i="8"/>
  <c r="AE5" i="8"/>
  <c r="AD5" i="8"/>
  <c r="AC5" i="8"/>
  <c r="AB5" i="8"/>
  <c r="AA5" i="8"/>
  <c r="Y5" i="8"/>
  <c r="X5" i="8"/>
  <c r="F5" i="8"/>
  <c r="E5" i="8"/>
  <c r="D5" i="8"/>
  <c r="C5" i="8"/>
  <c r="B5" i="8"/>
  <c r="A5" i="8"/>
  <c r="AO4" i="8"/>
  <c r="AN4" i="8"/>
  <c r="AM4" i="8"/>
  <c r="AL4" i="8"/>
  <c r="AK4" i="8"/>
  <c r="AJ4" i="8"/>
  <c r="AI4" i="8"/>
  <c r="AH4" i="8"/>
  <c r="AG4" i="8"/>
  <c r="AF4" i="8"/>
  <c r="AE4" i="8"/>
  <c r="AD4" i="8"/>
  <c r="AC4" i="8"/>
  <c r="AB4" i="8"/>
  <c r="AA4" i="8"/>
  <c r="Y4" i="8"/>
  <c r="X4" i="8"/>
  <c r="F4" i="8"/>
  <c r="E4" i="8"/>
  <c r="D4" i="8"/>
  <c r="C4" i="8"/>
  <c r="B4" i="8"/>
  <c r="A4" i="8"/>
  <c r="AF139" i="7"/>
  <c r="DE136" i="7"/>
  <c r="DA136" i="7"/>
  <c r="CY136" i="7"/>
  <c r="CX136" i="7"/>
  <c r="CW136" i="7"/>
  <c r="CU136" i="7"/>
  <c r="CS136" i="7"/>
  <c r="CR136" i="7"/>
  <c r="CQ136" i="7"/>
  <c r="CP136" i="7"/>
  <c r="CO136" i="7"/>
  <c r="CN136" i="7"/>
  <c r="CJ136" i="7"/>
  <c r="CI136" i="7"/>
  <c r="CH136" i="7"/>
  <c r="CG136" i="7"/>
  <c r="CF136" i="7"/>
  <c r="CE136" i="7"/>
  <c r="CD136" i="7"/>
  <c r="CC136" i="7"/>
  <c r="CB136" i="7"/>
  <c r="CA136" i="7"/>
  <c r="BZ136" i="7"/>
  <c r="BY136" i="7"/>
  <c r="BX136" i="7"/>
  <c r="BW136" i="7"/>
  <c r="BV136" i="7"/>
  <c r="BH136" i="7"/>
  <c r="BG136" i="7"/>
  <c r="AV136" i="7"/>
  <c r="AU136" i="7"/>
  <c r="AT136" i="7"/>
  <c r="AS136" i="7"/>
  <c r="AR136" i="7"/>
  <c r="AP136" i="7"/>
  <c r="AF136" i="7"/>
  <c r="AE136" i="7"/>
  <c r="AC136" i="7"/>
  <c r="AA136" i="7"/>
  <c r="Z136" i="7"/>
  <c r="X136" i="7"/>
  <c r="W136" i="7"/>
  <c r="V136" i="7"/>
  <c r="T136" i="7"/>
  <c r="R136" i="7"/>
  <c r="N136" i="7"/>
  <c r="L136" i="7"/>
  <c r="K136" i="7"/>
  <c r="J136" i="7"/>
  <c r="I136" i="7"/>
  <c r="H136" i="7"/>
  <c r="G136" i="7"/>
  <c r="F136" i="7"/>
  <c r="E136" i="7"/>
  <c r="C136" i="7"/>
  <c r="B136" i="7"/>
  <c r="A136" i="7"/>
  <c r="DE135" i="7"/>
  <c r="DA135" i="7"/>
  <c r="CY135" i="7"/>
  <c r="CX135" i="7"/>
  <c r="CW135" i="7"/>
  <c r="CU135" i="7"/>
  <c r="CS135" i="7"/>
  <c r="CQ135" i="7"/>
  <c r="CP135" i="7"/>
  <c r="CO135" i="7"/>
  <c r="CN135" i="7"/>
  <c r="CJ135" i="7"/>
  <c r="CI135" i="7"/>
  <c r="CH135" i="7"/>
  <c r="CG135" i="7"/>
  <c r="CF135" i="7"/>
  <c r="CE135" i="7"/>
  <c r="CD135" i="7"/>
  <c r="CC135" i="7"/>
  <c r="CB135" i="7"/>
  <c r="CA135" i="7"/>
  <c r="BZ135" i="7"/>
  <c r="BY135" i="7"/>
  <c r="BX135" i="7"/>
  <c r="BW135" i="7"/>
  <c r="BV135" i="7"/>
  <c r="BH135" i="7"/>
  <c r="BG135" i="7"/>
  <c r="AV135" i="7"/>
  <c r="AU135" i="7"/>
  <c r="AT135" i="7"/>
  <c r="AS135" i="7"/>
  <c r="AR135" i="7"/>
  <c r="AP135" i="7"/>
  <c r="AF135" i="7"/>
  <c r="AE135" i="7"/>
  <c r="AC135" i="7"/>
  <c r="AA135" i="7"/>
  <c r="Z135" i="7"/>
  <c r="X135" i="7"/>
  <c r="W135" i="7"/>
  <c r="V135" i="7"/>
  <c r="T135" i="7"/>
  <c r="R135" i="7"/>
  <c r="N135" i="7"/>
  <c r="L135" i="7"/>
  <c r="K135" i="7"/>
  <c r="J135" i="7"/>
  <c r="I135" i="7"/>
  <c r="H135" i="7"/>
  <c r="G135" i="7"/>
  <c r="F135" i="7"/>
  <c r="E135" i="7"/>
  <c r="C135" i="7"/>
  <c r="B135" i="7"/>
  <c r="A135" i="7"/>
  <c r="DE134" i="7"/>
  <c r="DA134" i="7"/>
  <c r="CY134" i="7"/>
  <c r="CX134" i="7"/>
  <c r="CW134" i="7"/>
  <c r="CU134" i="7"/>
  <c r="CS134" i="7"/>
  <c r="CR134" i="7"/>
  <c r="CQ134" i="7"/>
  <c r="CP134" i="7"/>
  <c r="CO134" i="7"/>
  <c r="CN134" i="7"/>
  <c r="CJ134" i="7"/>
  <c r="CI134" i="7"/>
  <c r="CH134" i="7"/>
  <c r="CG134" i="7"/>
  <c r="CF134" i="7"/>
  <c r="CE134" i="7"/>
  <c r="CD134" i="7"/>
  <c r="CC134" i="7"/>
  <c r="CB134" i="7"/>
  <c r="CA134" i="7"/>
  <c r="BZ134" i="7"/>
  <c r="BY134" i="7"/>
  <c r="BX134" i="7"/>
  <c r="BW134" i="7"/>
  <c r="BV134" i="7"/>
  <c r="BH134" i="7"/>
  <c r="BG134" i="7"/>
  <c r="AV134" i="7"/>
  <c r="AU134" i="7"/>
  <c r="AT134" i="7"/>
  <c r="AS134" i="7"/>
  <c r="AR134" i="7"/>
  <c r="AP134" i="7"/>
  <c r="AF134" i="7"/>
  <c r="AE134" i="7"/>
  <c r="AC134" i="7"/>
  <c r="AA134" i="7"/>
  <c r="Z134" i="7"/>
  <c r="X134" i="7"/>
  <c r="W134" i="7"/>
  <c r="V134" i="7"/>
  <c r="T134" i="7"/>
  <c r="R134" i="7"/>
  <c r="N134" i="7"/>
  <c r="L134" i="7"/>
  <c r="K134" i="7"/>
  <c r="J134" i="7"/>
  <c r="I134" i="7"/>
  <c r="H134" i="7"/>
  <c r="G134" i="7"/>
  <c r="F134" i="7"/>
  <c r="E134" i="7"/>
  <c r="C134" i="7"/>
  <c r="B134" i="7"/>
  <c r="A134" i="7"/>
  <c r="DE133" i="7"/>
  <c r="DA133" i="7"/>
  <c r="CY133" i="7"/>
  <c r="CX133" i="7"/>
  <c r="CW133" i="7"/>
  <c r="CU133" i="7"/>
  <c r="CS133" i="7"/>
  <c r="CQ133" i="7"/>
  <c r="CP133" i="7"/>
  <c r="CO133" i="7"/>
  <c r="CN133" i="7"/>
  <c r="CJ133" i="7"/>
  <c r="CI133" i="7"/>
  <c r="CH133" i="7"/>
  <c r="CG133" i="7"/>
  <c r="CF133" i="7"/>
  <c r="CE133" i="7"/>
  <c r="CD133" i="7"/>
  <c r="CC133" i="7"/>
  <c r="CB133" i="7"/>
  <c r="CA133" i="7"/>
  <c r="BZ133" i="7"/>
  <c r="BY133" i="7"/>
  <c r="BX133" i="7"/>
  <c r="BW133" i="7"/>
  <c r="BV133" i="7"/>
  <c r="BH133" i="7"/>
  <c r="BG133" i="7"/>
  <c r="AV133" i="7"/>
  <c r="AU133" i="7"/>
  <c r="AT133" i="7"/>
  <c r="AS133" i="7"/>
  <c r="AR133" i="7"/>
  <c r="AP133" i="7"/>
  <c r="AF133" i="7"/>
  <c r="AE133" i="7"/>
  <c r="AC133" i="7"/>
  <c r="AA133" i="7"/>
  <c r="Z133" i="7"/>
  <c r="X133" i="7"/>
  <c r="W133" i="7"/>
  <c r="V133" i="7"/>
  <c r="T133" i="7"/>
  <c r="R133" i="7"/>
  <c r="N133" i="7"/>
  <c r="L133" i="7"/>
  <c r="K133" i="7"/>
  <c r="J133" i="7"/>
  <c r="I133" i="7"/>
  <c r="H133" i="7"/>
  <c r="G133" i="7"/>
  <c r="F133" i="7"/>
  <c r="E133" i="7"/>
  <c r="C133" i="7"/>
  <c r="B133" i="7"/>
  <c r="A133" i="7"/>
  <c r="DE132" i="7"/>
  <c r="DA132" i="7"/>
  <c r="CY132" i="7"/>
  <c r="CX132" i="7"/>
  <c r="CW132" i="7"/>
  <c r="CU132" i="7"/>
  <c r="CS132" i="7"/>
  <c r="CR132" i="7"/>
  <c r="CQ132" i="7"/>
  <c r="CP132" i="7"/>
  <c r="CO132" i="7"/>
  <c r="CN132" i="7"/>
  <c r="CJ132" i="7"/>
  <c r="CI132" i="7"/>
  <c r="CH132" i="7"/>
  <c r="CG132" i="7"/>
  <c r="CF132" i="7"/>
  <c r="CE132" i="7"/>
  <c r="CD132" i="7"/>
  <c r="CC132" i="7"/>
  <c r="CB132" i="7"/>
  <c r="CA132" i="7"/>
  <c r="BZ132" i="7"/>
  <c r="BY132" i="7"/>
  <c r="BX132" i="7"/>
  <c r="BW132" i="7"/>
  <c r="BV132" i="7"/>
  <c r="BH132" i="7"/>
  <c r="BG132" i="7"/>
  <c r="AV132" i="7"/>
  <c r="AU132" i="7"/>
  <c r="AT132" i="7"/>
  <c r="AS132" i="7"/>
  <c r="AR132" i="7"/>
  <c r="AP132" i="7"/>
  <c r="AF132" i="7"/>
  <c r="AE132" i="7"/>
  <c r="AC132" i="7"/>
  <c r="AA132" i="7"/>
  <c r="Z132" i="7"/>
  <c r="X132" i="7"/>
  <c r="W132" i="7"/>
  <c r="V132" i="7"/>
  <c r="T132" i="7"/>
  <c r="R132" i="7"/>
  <c r="N132" i="7"/>
  <c r="L132" i="7"/>
  <c r="K132" i="7"/>
  <c r="J132" i="7"/>
  <c r="I132" i="7"/>
  <c r="H132" i="7"/>
  <c r="G132" i="7"/>
  <c r="F132" i="7"/>
  <c r="E132" i="7"/>
  <c r="C132" i="7"/>
  <c r="B132" i="7"/>
  <c r="A132" i="7"/>
  <c r="DE131" i="7"/>
  <c r="DA131" i="7"/>
  <c r="CY131" i="7"/>
  <c r="CX131" i="7"/>
  <c r="CW131" i="7"/>
  <c r="CU131" i="7"/>
  <c r="CS131" i="7"/>
  <c r="CQ131" i="7"/>
  <c r="CP131" i="7"/>
  <c r="CO131" i="7"/>
  <c r="CN131" i="7"/>
  <c r="CJ131" i="7"/>
  <c r="CI131" i="7"/>
  <c r="CH131" i="7"/>
  <c r="CG131" i="7"/>
  <c r="CF131" i="7"/>
  <c r="CE131" i="7"/>
  <c r="CD131" i="7"/>
  <c r="CC131" i="7"/>
  <c r="CB131" i="7"/>
  <c r="CA131" i="7"/>
  <c r="BZ131" i="7"/>
  <c r="BY131" i="7"/>
  <c r="BX131" i="7"/>
  <c r="BW131" i="7"/>
  <c r="BV131" i="7"/>
  <c r="BH131" i="7"/>
  <c r="BG131" i="7"/>
  <c r="AV131" i="7"/>
  <c r="AU131" i="7"/>
  <c r="AT131" i="7"/>
  <c r="AS131" i="7"/>
  <c r="AR131" i="7"/>
  <c r="AP131" i="7"/>
  <c r="AF131" i="7"/>
  <c r="AE131" i="7"/>
  <c r="AC131" i="7"/>
  <c r="AA131" i="7"/>
  <c r="Z131" i="7"/>
  <c r="X131" i="7"/>
  <c r="W131" i="7"/>
  <c r="V131" i="7"/>
  <c r="T131" i="7"/>
  <c r="R131" i="7"/>
  <c r="N131" i="7"/>
  <c r="L131" i="7"/>
  <c r="K131" i="7"/>
  <c r="J131" i="7"/>
  <c r="I131" i="7"/>
  <c r="H131" i="7"/>
  <c r="G131" i="7"/>
  <c r="F131" i="7"/>
  <c r="E131" i="7"/>
  <c r="C131" i="7"/>
  <c r="B131" i="7"/>
  <c r="A131" i="7"/>
  <c r="DE130" i="7"/>
  <c r="DA130" i="7"/>
  <c r="CY130" i="7"/>
  <c r="CX130" i="7"/>
  <c r="CW130" i="7"/>
  <c r="CU130" i="7"/>
  <c r="CS130" i="7"/>
  <c r="CR130" i="7"/>
  <c r="CQ130" i="7"/>
  <c r="CP130" i="7"/>
  <c r="CO130" i="7"/>
  <c r="CN130" i="7"/>
  <c r="CJ130" i="7"/>
  <c r="CI130" i="7"/>
  <c r="CH130" i="7"/>
  <c r="CG130" i="7"/>
  <c r="CF130" i="7"/>
  <c r="CE130" i="7"/>
  <c r="CD130" i="7"/>
  <c r="CC130" i="7"/>
  <c r="CB130" i="7"/>
  <c r="CA130" i="7"/>
  <c r="BZ130" i="7"/>
  <c r="BY130" i="7"/>
  <c r="BX130" i="7"/>
  <c r="BW130" i="7"/>
  <c r="BV130" i="7"/>
  <c r="BH130" i="7"/>
  <c r="BG130" i="7"/>
  <c r="AV130" i="7"/>
  <c r="AU130" i="7"/>
  <c r="AT130" i="7"/>
  <c r="AS130" i="7"/>
  <c r="AR130" i="7"/>
  <c r="AP130" i="7"/>
  <c r="AF130" i="7"/>
  <c r="AE130" i="7"/>
  <c r="AC130" i="7"/>
  <c r="AA130" i="7"/>
  <c r="Z130" i="7"/>
  <c r="X130" i="7"/>
  <c r="W130" i="7"/>
  <c r="V130" i="7"/>
  <c r="T130" i="7"/>
  <c r="R130" i="7"/>
  <c r="N130" i="7"/>
  <c r="L130" i="7"/>
  <c r="K130" i="7"/>
  <c r="J130" i="7"/>
  <c r="I130" i="7"/>
  <c r="H130" i="7"/>
  <c r="G130" i="7"/>
  <c r="F130" i="7"/>
  <c r="E130" i="7"/>
  <c r="C130" i="7"/>
  <c r="B130" i="7"/>
  <c r="A130" i="7"/>
  <c r="DE129" i="7"/>
  <c r="DA129" i="7"/>
  <c r="CY129" i="7"/>
  <c r="CX129" i="7"/>
  <c r="CW129" i="7"/>
  <c r="CU129" i="7"/>
  <c r="CS129" i="7"/>
  <c r="CQ129" i="7"/>
  <c r="CP129" i="7"/>
  <c r="CO129" i="7"/>
  <c r="CN129" i="7"/>
  <c r="CJ129" i="7"/>
  <c r="CI129" i="7"/>
  <c r="CH129" i="7"/>
  <c r="CG129" i="7"/>
  <c r="CF129" i="7"/>
  <c r="CE129" i="7"/>
  <c r="CD129" i="7"/>
  <c r="CC129" i="7"/>
  <c r="CB129" i="7"/>
  <c r="CA129" i="7"/>
  <c r="BZ129" i="7"/>
  <c r="BY129" i="7"/>
  <c r="BX129" i="7"/>
  <c r="BW129" i="7"/>
  <c r="BV129" i="7"/>
  <c r="BH129" i="7"/>
  <c r="BG129" i="7"/>
  <c r="AV129" i="7"/>
  <c r="AU129" i="7"/>
  <c r="AT129" i="7"/>
  <c r="AS129" i="7"/>
  <c r="AR129" i="7"/>
  <c r="AP129" i="7"/>
  <c r="AF129" i="7"/>
  <c r="AE129" i="7"/>
  <c r="AC129" i="7"/>
  <c r="AA129" i="7"/>
  <c r="Z129" i="7"/>
  <c r="X129" i="7"/>
  <c r="W129" i="7"/>
  <c r="V129" i="7"/>
  <c r="T129" i="7"/>
  <c r="R129" i="7"/>
  <c r="N129" i="7"/>
  <c r="L129" i="7"/>
  <c r="K129" i="7"/>
  <c r="J129" i="7"/>
  <c r="I129" i="7"/>
  <c r="H129" i="7"/>
  <c r="G129" i="7"/>
  <c r="F129" i="7"/>
  <c r="E129" i="7"/>
  <c r="C129" i="7"/>
  <c r="B129" i="7"/>
  <c r="A129" i="7"/>
  <c r="DE128" i="7"/>
  <c r="DA128" i="7"/>
  <c r="CY128" i="7"/>
  <c r="CX128" i="7"/>
  <c r="CW128" i="7"/>
  <c r="CU128" i="7"/>
  <c r="CS128" i="7"/>
  <c r="CR128" i="7"/>
  <c r="CQ128" i="7"/>
  <c r="CP128" i="7"/>
  <c r="CO128" i="7"/>
  <c r="CN128" i="7"/>
  <c r="CJ128" i="7"/>
  <c r="CI128" i="7"/>
  <c r="CH128" i="7"/>
  <c r="CG128" i="7"/>
  <c r="CF128" i="7"/>
  <c r="CE128" i="7"/>
  <c r="CD128" i="7"/>
  <c r="CC128" i="7"/>
  <c r="CB128" i="7"/>
  <c r="CA128" i="7"/>
  <c r="BZ128" i="7"/>
  <c r="BY128" i="7"/>
  <c r="BX128" i="7"/>
  <c r="BW128" i="7"/>
  <c r="BV128" i="7"/>
  <c r="BH128" i="7"/>
  <c r="BG128" i="7"/>
  <c r="AV128" i="7"/>
  <c r="AU128" i="7"/>
  <c r="AT128" i="7"/>
  <c r="AS128" i="7"/>
  <c r="AR128" i="7"/>
  <c r="AP128" i="7"/>
  <c r="AF128" i="7"/>
  <c r="AE128" i="7"/>
  <c r="AC128" i="7"/>
  <c r="AA128" i="7"/>
  <c r="Z128" i="7"/>
  <c r="X128" i="7"/>
  <c r="W128" i="7"/>
  <c r="V128" i="7"/>
  <c r="T128" i="7"/>
  <c r="R128" i="7"/>
  <c r="N128" i="7"/>
  <c r="L128" i="7"/>
  <c r="K128" i="7"/>
  <c r="J128" i="7"/>
  <c r="I128" i="7"/>
  <c r="H128" i="7"/>
  <c r="G128" i="7"/>
  <c r="F128" i="7"/>
  <c r="E128" i="7"/>
  <c r="C128" i="7"/>
  <c r="B128" i="7"/>
  <c r="A128" i="7"/>
  <c r="DE127" i="7"/>
  <c r="DA127" i="7"/>
  <c r="CY127" i="7"/>
  <c r="CX127" i="7"/>
  <c r="CW127" i="7"/>
  <c r="CU127" i="7"/>
  <c r="CS127" i="7"/>
  <c r="CQ127" i="7"/>
  <c r="CP127" i="7"/>
  <c r="CO127" i="7"/>
  <c r="CN127" i="7"/>
  <c r="CJ127" i="7"/>
  <c r="CI127" i="7"/>
  <c r="CH127" i="7"/>
  <c r="CG127" i="7"/>
  <c r="CF127" i="7"/>
  <c r="CE127" i="7"/>
  <c r="CD127" i="7"/>
  <c r="CC127" i="7"/>
  <c r="CB127" i="7"/>
  <c r="CA127" i="7"/>
  <c r="BZ127" i="7"/>
  <c r="BY127" i="7"/>
  <c r="BX127" i="7"/>
  <c r="BW127" i="7"/>
  <c r="BV127" i="7"/>
  <c r="BH127" i="7"/>
  <c r="BG127" i="7"/>
  <c r="AV127" i="7"/>
  <c r="AU127" i="7"/>
  <c r="AT127" i="7"/>
  <c r="AS127" i="7"/>
  <c r="AR127" i="7"/>
  <c r="AP127" i="7"/>
  <c r="AF127" i="7"/>
  <c r="AE127" i="7"/>
  <c r="AC127" i="7"/>
  <c r="AA127" i="7"/>
  <c r="Z127" i="7"/>
  <c r="X127" i="7"/>
  <c r="W127" i="7"/>
  <c r="V127" i="7"/>
  <c r="T127" i="7"/>
  <c r="R127" i="7"/>
  <c r="N127" i="7"/>
  <c r="L127" i="7"/>
  <c r="K127" i="7"/>
  <c r="J127" i="7"/>
  <c r="I127" i="7"/>
  <c r="H127" i="7"/>
  <c r="G127" i="7"/>
  <c r="F127" i="7"/>
  <c r="E127" i="7"/>
  <c r="C127" i="7"/>
  <c r="B127" i="7"/>
  <c r="A127" i="7"/>
  <c r="DE126" i="7"/>
  <c r="DA126" i="7"/>
  <c r="CY126" i="7"/>
  <c r="CX126" i="7"/>
  <c r="CW126" i="7"/>
  <c r="CU126" i="7"/>
  <c r="CS126" i="7"/>
  <c r="CR126" i="7"/>
  <c r="CQ126" i="7"/>
  <c r="CP126" i="7"/>
  <c r="CO126" i="7"/>
  <c r="CN126" i="7"/>
  <c r="CJ126" i="7"/>
  <c r="CI126" i="7"/>
  <c r="CH126" i="7"/>
  <c r="CG126" i="7"/>
  <c r="CF126" i="7"/>
  <c r="CE126" i="7"/>
  <c r="CD126" i="7"/>
  <c r="CC126" i="7"/>
  <c r="CB126" i="7"/>
  <c r="CA126" i="7"/>
  <c r="BZ126" i="7"/>
  <c r="BY126" i="7"/>
  <c r="BX126" i="7"/>
  <c r="BW126" i="7"/>
  <c r="BV126" i="7"/>
  <c r="BH126" i="7"/>
  <c r="BG126" i="7"/>
  <c r="AV126" i="7"/>
  <c r="AU126" i="7"/>
  <c r="AT126" i="7"/>
  <c r="AS126" i="7"/>
  <c r="AR126" i="7"/>
  <c r="AP126" i="7"/>
  <c r="AF126" i="7"/>
  <c r="AE126" i="7"/>
  <c r="AC126" i="7"/>
  <c r="AA126" i="7"/>
  <c r="Z126" i="7"/>
  <c r="X126" i="7"/>
  <c r="W126" i="7"/>
  <c r="V126" i="7"/>
  <c r="T126" i="7"/>
  <c r="R126" i="7"/>
  <c r="N126" i="7"/>
  <c r="L126" i="7"/>
  <c r="K126" i="7"/>
  <c r="J126" i="7"/>
  <c r="I126" i="7"/>
  <c r="H126" i="7"/>
  <c r="G126" i="7"/>
  <c r="F126" i="7"/>
  <c r="E126" i="7"/>
  <c r="C126" i="7"/>
  <c r="B126" i="7"/>
  <c r="A126" i="7"/>
  <c r="DE125" i="7"/>
  <c r="DA125" i="7"/>
  <c r="CY125" i="7"/>
  <c r="CX125" i="7"/>
  <c r="CW125" i="7"/>
  <c r="CU125" i="7"/>
  <c r="CS125" i="7"/>
  <c r="CQ125" i="7"/>
  <c r="CP125" i="7"/>
  <c r="CO125" i="7"/>
  <c r="CN125" i="7"/>
  <c r="CJ125" i="7"/>
  <c r="CI125" i="7"/>
  <c r="CH125" i="7"/>
  <c r="CG125" i="7"/>
  <c r="CF125" i="7"/>
  <c r="CE125" i="7"/>
  <c r="CD125" i="7"/>
  <c r="CC125" i="7"/>
  <c r="CB125" i="7"/>
  <c r="CA125" i="7"/>
  <c r="BZ125" i="7"/>
  <c r="BY125" i="7"/>
  <c r="BX125" i="7"/>
  <c r="BW125" i="7"/>
  <c r="BV125" i="7"/>
  <c r="BH125" i="7"/>
  <c r="BG125" i="7"/>
  <c r="AV125" i="7"/>
  <c r="AU125" i="7"/>
  <c r="AT125" i="7"/>
  <c r="AS125" i="7"/>
  <c r="AR125" i="7"/>
  <c r="AP125" i="7"/>
  <c r="AF125" i="7"/>
  <c r="AE125" i="7"/>
  <c r="AC125" i="7"/>
  <c r="AA125" i="7"/>
  <c r="Z125" i="7"/>
  <c r="X125" i="7"/>
  <c r="W125" i="7"/>
  <c r="V125" i="7"/>
  <c r="T125" i="7"/>
  <c r="R125" i="7"/>
  <c r="N125" i="7"/>
  <c r="L125" i="7"/>
  <c r="K125" i="7"/>
  <c r="J125" i="7"/>
  <c r="I125" i="7"/>
  <c r="H125" i="7"/>
  <c r="G125" i="7"/>
  <c r="F125" i="7"/>
  <c r="E125" i="7"/>
  <c r="C125" i="7"/>
  <c r="B125" i="7"/>
  <c r="A125" i="7"/>
  <c r="DE124" i="7"/>
  <c r="DA124" i="7"/>
  <c r="CY124" i="7"/>
  <c r="CX124" i="7"/>
  <c r="CW124" i="7"/>
  <c r="CU124" i="7"/>
  <c r="CS124" i="7"/>
  <c r="CR124" i="7"/>
  <c r="CQ124" i="7"/>
  <c r="CP124" i="7"/>
  <c r="CO124" i="7"/>
  <c r="CN124" i="7"/>
  <c r="CJ124" i="7"/>
  <c r="CI124" i="7"/>
  <c r="CH124" i="7"/>
  <c r="CG124" i="7"/>
  <c r="CF124" i="7"/>
  <c r="CE124" i="7"/>
  <c r="CD124" i="7"/>
  <c r="CC124" i="7"/>
  <c r="CB124" i="7"/>
  <c r="CA124" i="7"/>
  <c r="BZ124" i="7"/>
  <c r="BY124" i="7"/>
  <c r="BX124" i="7"/>
  <c r="BW124" i="7"/>
  <c r="BV124" i="7"/>
  <c r="BH124" i="7"/>
  <c r="BG124" i="7"/>
  <c r="AV124" i="7"/>
  <c r="AU124" i="7"/>
  <c r="AT124" i="7"/>
  <c r="AS124" i="7"/>
  <c r="AR124" i="7"/>
  <c r="AP124" i="7"/>
  <c r="AF124" i="7"/>
  <c r="AE124" i="7"/>
  <c r="AC124" i="7"/>
  <c r="AA124" i="7"/>
  <c r="Z124" i="7"/>
  <c r="X124" i="7"/>
  <c r="W124" i="7"/>
  <c r="V124" i="7"/>
  <c r="T124" i="7"/>
  <c r="R124" i="7"/>
  <c r="N124" i="7"/>
  <c r="L124" i="7"/>
  <c r="K124" i="7"/>
  <c r="J124" i="7"/>
  <c r="I124" i="7"/>
  <c r="H124" i="7"/>
  <c r="G124" i="7"/>
  <c r="F124" i="7"/>
  <c r="E124" i="7"/>
  <c r="C124" i="7"/>
  <c r="B124" i="7"/>
  <c r="A124" i="7"/>
  <c r="DE123" i="7"/>
  <c r="DA123" i="7"/>
  <c r="CY123" i="7"/>
  <c r="CX123" i="7"/>
  <c r="CW123" i="7"/>
  <c r="CU123" i="7"/>
  <c r="CS123" i="7"/>
  <c r="CQ123" i="7"/>
  <c r="CP123" i="7"/>
  <c r="CO123" i="7"/>
  <c r="CN123" i="7"/>
  <c r="CJ123" i="7"/>
  <c r="CI123" i="7"/>
  <c r="CH123" i="7"/>
  <c r="CG123" i="7"/>
  <c r="CF123" i="7"/>
  <c r="CE123" i="7"/>
  <c r="CD123" i="7"/>
  <c r="CC123" i="7"/>
  <c r="CB123" i="7"/>
  <c r="CA123" i="7"/>
  <c r="BZ123" i="7"/>
  <c r="BY123" i="7"/>
  <c r="BX123" i="7"/>
  <c r="BW123" i="7"/>
  <c r="BV123" i="7"/>
  <c r="BH123" i="7"/>
  <c r="BG123" i="7"/>
  <c r="AV123" i="7"/>
  <c r="AU123" i="7"/>
  <c r="AT123" i="7"/>
  <c r="AS123" i="7"/>
  <c r="AR123" i="7"/>
  <c r="AP123" i="7"/>
  <c r="AF123" i="7"/>
  <c r="AE123" i="7"/>
  <c r="AC123" i="7"/>
  <c r="AA123" i="7"/>
  <c r="Z123" i="7"/>
  <c r="X123" i="7"/>
  <c r="W123" i="7"/>
  <c r="V123" i="7"/>
  <c r="T123" i="7"/>
  <c r="R123" i="7"/>
  <c r="N123" i="7"/>
  <c r="L123" i="7"/>
  <c r="K123" i="7"/>
  <c r="J123" i="7"/>
  <c r="I123" i="7"/>
  <c r="H123" i="7"/>
  <c r="G123" i="7"/>
  <c r="F123" i="7"/>
  <c r="E123" i="7"/>
  <c r="C123" i="7"/>
  <c r="B123" i="7"/>
  <c r="A123" i="7"/>
  <c r="DE122" i="7"/>
  <c r="DA122" i="7"/>
  <c r="CY122" i="7"/>
  <c r="CX122" i="7"/>
  <c r="CW122" i="7"/>
  <c r="CU122" i="7"/>
  <c r="CS122" i="7"/>
  <c r="CR122" i="7"/>
  <c r="CQ122" i="7"/>
  <c r="CP122" i="7"/>
  <c r="CO122" i="7"/>
  <c r="CN122" i="7"/>
  <c r="CJ122" i="7"/>
  <c r="CI122" i="7"/>
  <c r="CH122" i="7"/>
  <c r="CG122" i="7"/>
  <c r="CF122" i="7"/>
  <c r="CE122" i="7"/>
  <c r="CD122" i="7"/>
  <c r="CC122" i="7"/>
  <c r="CB122" i="7"/>
  <c r="CA122" i="7"/>
  <c r="BZ122" i="7"/>
  <c r="BY122" i="7"/>
  <c r="BX122" i="7"/>
  <c r="BW122" i="7"/>
  <c r="BV122" i="7"/>
  <c r="BH122" i="7"/>
  <c r="BG122" i="7"/>
  <c r="AV122" i="7"/>
  <c r="AU122" i="7"/>
  <c r="AT122" i="7"/>
  <c r="AS122" i="7"/>
  <c r="AR122" i="7"/>
  <c r="AP122" i="7"/>
  <c r="AF122" i="7"/>
  <c r="AE122" i="7"/>
  <c r="AC122" i="7"/>
  <c r="AA122" i="7"/>
  <c r="Z122" i="7"/>
  <c r="X122" i="7"/>
  <c r="W122" i="7"/>
  <c r="V122" i="7"/>
  <c r="T122" i="7"/>
  <c r="R122" i="7"/>
  <c r="N122" i="7"/>
  <c r="L122" i="7"/>
  <c r="K122" i="7"/>
  <c r="J122" i="7"/>
  <c r="I122" i="7"/>
  <c r="H122" i="7"/>
  <c r="G122" i="7"/>
  <c r="F122" i="7"/>
  <c r="E122" i="7"/>
  <c r="C122" i="7"/>
  <c r="B122" i="7"/>
  <c r="A122" i="7"/>
  <c r="DE121" i="7"/>
  <c r="DA121" i="7"/>
  <c r="CY121" i="7"/>
  <c r="CX121" i="7"/>
  <c r="CW121" i="7"/>
  <c r="CU121" i="7"/>
  <c r="CS121" i="7"/>
  <c r="CQ121" i="7"/>
  <c r="CP121" i="7"/>
  <c r="CO121" i="7"/>
  <c r="CN121" i="7"/>
  <c r="CJ121" i="7"/>
  <c r="CI121" i="7"/>
  <c r="CH121" i="7"/>
  <c r="CG121" i="7"/>
  <c r="CF121" i="7"/>
  <c r="CE121" i="7"/>
  <c r="CD121" i="7"/>
  <c r="CC121" i="7"/>
  <c r="CB121" i="7"/>
  <c r="CA121" i="7"/>
  <c r="BZ121" i="7"/>
  <c r="BY121" i="7"/>
  <c r="BX121" i="7"/>
  <c r="BW121" i="7"/>
  <c r="BV121" i="7"/>
  <c r="BH121" i="7"/>
  <c r="BG121" i="7"/>
  <c r="AV121" i="7"/>
  <c r="AU121" i="7"/>
  <c r="AT121" i="7"/>
  <c r="AS121" i="7"/>
  <c r="AR121" i="7"/>
  <c r="AP121" i="7"/>
  <c r="AF121" i="7"/>
  <c r="AE121" i="7"/>
  <c r="AC121" i="7"/>
  <c r="AA121" i="7"/>
  <c r="Z121" i="7"/>
  <c r="X121" i="7"/>
  <c r="W121" i="7"/>
  <c r="V121" i="7"/>
  <c r="T121" i="7"/>
  <c r="R121" i="7"/>
  <c r="N121" i="7"/>
  <c r="L121" i="7"/>
  <c r="K121" i="7"/>
  <c r="J121" i="7"/>
  <c r="I121" i="7"/>
  <c r="H121" i="7"/>
  <c r="G121" i="7"/>
  <c r="F121" i="7"/>
  <c r="E121" i="7"/>
  <c r="C121" i="7"/>
  <c r="B121" i="7"/>
  <c r="A121" i="7"/>
  <c r="DE120" i="7"/>
  <c r="DA120" i="7"/>
  <c r="CY120" i="7"/>
  <c r="CX120" i="7"/>
  <c r="CW120" i="7"/>
  <c r="CU120" i="7"/>
  <c r="CS120" i="7"/>
  <c r="CR120" i="7"/>
  <c r="CQ120" i="7"/>
  <c r="CP120" i="7"/>
  <c r="CO120" i="7"/>
  <c r="CN120" i="7"/>
  <c r="CJ120" i="7"/>
  <c r="CI120" i="7"/>
  <c r="CH120" i="7"/>
  <c r="CG120" i="7"/>
  <c r="CF120" i="7"/>
  <c r="CE120" i="7"/>
  <c r="CD120" i="7"/>
  <c r="CC120" i="7"/>
  <c r="CB120" i="7"/>
  <c r="CA120" i="7"/>
  <c r="BZ120" i="7"/>
  <c r="BY120" i="7"/>
  <c r="BX120" i="7"/>
  <c r="BW120" i="7"/>
  <c r="BV120" i="7"/>
  <c r="BH120" i="7"/>
  <c r="BG120" i="7"/>
  <c r="AV120" i="7"/>
  <c r="AU120" i="7"/>
  <c r="AT120" i="7"/>
  <c r="AS120" i="7"/>
  <c r="AR120" i="7"/>
  <c r="AP120" i="7"/>
  <c r="AF120" i="7"/>
  <c r="AE120" i="7"/>
  <c r="AC120" i="7"/>
  <c r="AA120" i="7"/>
  <c r="Z120" i="7"/>
  <c r="X120" i="7"/>
  <c r="W120" i="7"/>
  <c r="V120" i="7"/>
  <c r="T120" i="7"/>
  <c r="R120" i="7"/>
  <c r="N120" i="7"/>
  <c r="L120" i="7"/>
  <c r="K120" i="7"/>
  <c r="J120" i="7"/>
  <c r="I120" i="7"/>
  <c r="H120" i="7"/>
  <c r="G120" i="7"/>
  <c r="F120" i="7"/>
  <c r="E120" i="7"/>
  <c r="C120" i="7"/>
  <c r="B120" i="7"/>
  <c r="A120" i="7"/>
  <c r="DE119" i="7"/>
  <c r="DA119" i="7"/>
  <c r="CY119" i="7"/>
  <c r="CX119" i="7"/>
  <c r="CW119" i="7"/>
  <c r="CU119" i="7"/>
  <c r="CS119" i="7"/>
  <c r="CQ119" i="7"/>
  <c r="CP119" i="7"/>
  <c r="CO119" i="7"/>
  <c r="CN119" i="7"/>
  <c r="CJ119" i="7"/>
  <c r="CI119" i="7"/>
  <c r="CH119" i="7"/>
  <c r="CG119" i="7"/>
  <c r="CF119" i="7"/>
  <c r="CE119" i="7"/>
  <c r="CD119" i="7"/>
  <c r="CC119" i="7"/>
  <c r="CB119" i="7"/>
  <c r="CA119" i="7"/>
  <c r="BZ119" i="7"/>
  <c r="BY119" i="7"/>
  <c r="BX119" i="7"/>
  <c r="BW119" i="7"/>
  <c r="BV119" i="7"/>
  <c r="BH119" i="7"/>
  <c r="BG119" i="7"/>
  <c r="AV119" i="7"/>
  <c r="AU119" i="7"/>
  <c r="AT119" i="7"/>
  <c r="AS119" i="7"/>
  <c r="AR119" i="7"/>
  <c r="AP119" i="7"/>
  <c r="AF119" i="7"/>
  <c r="AE119" i="7"/>
  <c r="AC119" i="7"/>
  <c r="AA119" i="7"/>
  <c r="Z119" i="7"/>
  <c r="X119" i="7"/>
  <c r="W119" i="7"/>
  <c r="V119" i="7"/>
  <c r="T119" i="7"/>
  <c r="R119" i="7"/>
  <c r="N119" i="7"/>
  <c r="L119" i="7"/>
  <c r="K119" i="7"/>
  <c r="J119" i="7"/>
  <c r="I119" i="7"/>
  <c r="H119" i="7"/>
  <c r="G119" i="7"/>
  <c r="F119" i="7"/>
  <c r="E119" i="7"/>
  <c r="C119" i="7"/>
  <c r="B119" i="7"/>
  <c r="A119" i="7"/>
  <c r="DE118" i="7"/>
  <c r="DA118" i="7"/>
  <c r="CY118" i="7"/>
  <c r="CX118" i="7"/>
  <c r="CW118" i="7"/>
  <c r="CU118" i="7"/>
  <c r="CS118" i="7"/>
  <c r="CR118" i="7"/>
  <c r="CQ118" i="7"/>
  <c r="CP118" i="7"/>
  <c r="CO118" i="7"/>
  <c r="CN118" i="7"/>
  <c r="CJ118" i="7"/>
  <c r="CI118" i="7"/>
  <c r="CH118" i="7"/>
  <c r="CG118" i="7"/>
  <c r="CF118" i="7"/>
  <c r="CE118" i="7"/>
  <c r="CD118" i="7"/>
  <c r="CC118" i="7"/>
  <c r="CB118" i="7"/>
  <c r="CA118" i="7"/>
  <c r="BZ118" i="7"/>
  <c r="BY118" i="7"/>
  <c r="BX118" i="7"/>
  <c r="BW118" i="7"/>
  <c r="BV118" i="7"/>
  <c r="BH118" i="7"/>
  <c r="BG118" i="7"/>
  <c r="AV118" i="7"/>
  <c r="AU118" i="7"/>
  <c r="AT118" i="7"/>
  <c r="AS118" i="7"/>
  <c r="AR118" i="7"/>
  <c r="AP118" i="7"/>
  <c r="AF118" i="7"/>
  <c r="AE118" i="7"/>
  <c r="AC118" i="7"/>
  <c r="AA118" i="7"/>
  <c r="Z118" i="7"/>
  <c r="X118" i="7"/>
  <c r="W118" i="7"/>
  <c r="V118" i="7"/>
  <c r="T118" i="7"/>
  <c r="R118" i="7"/>
  <c r="N118" i="7"/>
  <c r="L118" i="7"/>
  <c r="K118" i="7"/>
  <c r="J118" i="7"/>
  <c r="I118" i="7"/>
  <c r="H118" i="7"/>
  <c r="G118" i="7"/>
  <c r="F118" i="7"/>
  <c r="E118" i="7"/>
  <c r="C118" i="7"/>
  <c r="B118" i="7"/>
  <c r="A118" i="7"/>
  <c r="DE117" i="7"/>
  <c r="DA117" i="7"/>
  <c r="CY117" i="7"/>
  <c r="CX117" i="7"/>
  <c r="CW117" i="7"/>
  <c r="CU117" i="7"/>
  <c r="CS117" i="7"/>
  <c r="CQ117" i="7"/>
  <c r="CP117" i="7"/>
  <c r="CO117" i="7"/>
  <c r="CN117" i="7"/>
  <c r="CJ117" i="7"/>
  <c r="CI117" i="7"/>
  <c r="CH117" i="7"/>
  <c r="CG117" i="7"/>
  <c r="CF117" i="7"/>
  <c r="CE117" i="7"/>
  <c r="CD117" i="7"/>
  <c r="CC117" i="7"/>
  <c r="CB117" i="7"/>
  <c r="CA117" i="7"/>
  <c r="BZ117" i="7"/>
  <c r="BY117" i="7"/>
  <c r="BX117" i="7"/>
  <c r="BW117" i="7"/>
  <c r="BV117" i="7"/>
  <c r="BH117" i="7"/>
  <c r="BG117" i="7"/>
  <c r="AV117" i="7"/>
  <c r="AU117" i="7"/>
  <c r="AT117" i="7"/>
  <c r="AS117" i="7"/>
  <c r="AR117" i="7"/>
  <c r="AP117" i="7"/>
  <c r="AF117" i="7"/>
  <c r="AE117" i="7"/>
  <c r="AC117" i="7"/>
  <c r="AA117" i="7"/>
  <c r="Z117" i="7"/>
  <c r="X117" i="7"/>
  <c r="W117" i="7"/>
  <c r="V117" i="7"/>
  <c r="T117" i="7"/>
  <c r="R117" i="7"/>
  <c r="N117" i="7"/>
  <c r="L117" i="7"/>
  <c r="K117" i="7"/>
  <c r="J117" i="7"/>
  <c r="I117" i="7"/>
  <c r="H117" i="7"/>
  <c r="G117" i="7"/>
  <c r="F117" i="7"/>
  <c r="E117" i="7"/>
  <c r="C117" i="7"/>
  <c r="B117" i="7"/>
  <c r="A117" i="7"/>
  <c r="DE116" i="7"/>
  <c r="DA116" i="7"/>
  <c r="CY116" i="7"/>
  <c r="CX116" i="7"/>
  <c r="CW116" i="7"/>
  <c r="CU116" i="7"/>
  <c r="CS116" i="7"/>
  <c r="CR116" i="7"/>
  <c r="CQ116" i="7"/>
  <c r="CP116" i="7"/>
  <c r="CO116" i="7"/>
  <c r="CN116" i="7"/>
  <c r="CJ116" i="7"/>
  <c r="CI116" i="7"/>
  <c r="CH116" i="7"/>
  <c r="CG116" i="7"/>
  <c r="CF116" i="7"/>
  <c r="CE116" i="7"/>
  <c r="CD116" i="7"/>
  <c r="CC116" i="7"/>
  <c r="CB116" i="7"/>
  <c r="CA116" i="7"/>
  <c r="BZ116" i="7"/>
  <c r="BY116" i="7"/>
  <c r="BX116" i="7"/>
  <c r="BW116" i="7"/>
  <c r="BV116" i="7"/>
  <c r="BH116" i="7"/>
  <c r="BG116" i="7"/>
  <c r="AV116" i="7"/>
  <c r="AU116" i="7"/>
  <c r="AT116" i="7"/>
  <c r="AS116" i="7"/>
  <c r="AR116" i="7"/>
  <c r="AP116" i="7"/>
  <c r="AF116" i="7"/>
  <c r="AE116" i="7"/>
  <c r="AC116" i="7"/>
  <c r="AA116" i="7"/>
  <c r="Z116" i="7"/>
  <c r="X116" i="7"/>
  <c r="W116" i="7"/>
  <c r="V116" i="7"/>
  <c r="T116" i="7"/>
  <c r="R116" i="7"/>
  <c r="N116" i="7"/>
  <c r="L116" i="7"/>
  <c r="K116" i="7"/>
  <c r="J116" i="7"/>
  <c r="I116" i="7"/>
  <c r="H116" i="7"/>
  <c r="G116" i="7"/>
  <c r="F116" i="7"/>
  <c r="E116" i="7"/>
  <c r="C116" i="7"/>
  <c r="B116" i="7"/>
  <c r="A116" i="7"/>
  <c r="DE115" i="7"/>
  <c r="DA115" i="7"/>
  <c r="CY115" i="7"/>
  <c r="CX115" i="7"/>
  <c r="CW115" i="7"/>
  <c r="CU115" i="7"/>
  <c r="CS115" i="7"/>
  <c r="CQ115" i="7"/>
  <c r="CP115" i="7"/>
  <c r="CO115" i="7"/>
  <c r="CN115" i="7"/>
  <c r="CJ115" i="7"/>
  <c r="CI115" i="7"/>
  <c r="CH115" i="7"/>
  <c r="CG115" i="7"/>
  <c r="CF115" i="7"/>
  <c r="CE115" i="7"/>
  <c r="CD115" i="7"/>
  <c r="CC115" i="7"/>
  <c r="CB115" i="7"/>
  <c r="CA115" i="7"/>
  <c r="BZ115" i="7"/>
  <c r="BY115" i="7"/>
  <c r="BX115" i="7"/>
  <c r="BW115" i="7"/>
  <c r="BV115" i="7"/>
  <c r="BH115" i="7"/>
  <c r="BG115" i="7"/>
  <c r="AV115" i="7"/>
  <c r="AU115" i="7"/>
  <c r="AT115" i="7"/>
  <c r="AS115" i="7"/>
  <c r="AR115" i="7"/>
  <c r="AP115" i="7"/>
  <c r="AF115" i="7"/>
  <c r="AE115" i="7"/>
  <c r="AC115" i="7"/>
  <c r="AA115" i="7"/>
  <c r="Z115" i="7"/>
  <c r="X115" i="7"/>
  <c r="W115" i="7"/>
  <c r="V115" i="7"/>
  <c r="T115" i="7"/>
  <c r="R115" i="7"/>
  <c r="N115" i="7"/>
  <c r="L115" i="7"/>
  <c r="K115" i="7"/>
  <c r="J115" i="7"/>
  <c r="I115" i="7"/>
  <c r="H115" i="7"/>
  <c r="G115" i="7"/>
  <c r="F115" i="7"/>
  <c r="E115" i="7"/>
  <c r="C115" i="7"/>
  <c r="B115" i="7"/>
  <c r="A115" i="7"/>
  <c r="DE114" i="7"/>
  <c r="DA114" i="7"/>
  <c r="CY114" i="7"/>
  <c r="CX114" i="7"/>
  <c r="CW114" i="7"/>
  <c r="CU114" i="7"/>
  <c r="CS114" i="7"/>
  <c r="CR114" i="7"/>
  <c r="CQ114" i="7"/>
  <c r="CP114" i="7"/>
  <c r="CO114" i="7"/>
  <c r="CN114" i="7"/>
  <c r="CJ114" i="7"/>
  <c r="CI114" i="7"/>
  <c r="CH114" i="7"/>
  <c r="CG114" i="7"/>
  <c r="CF114" i="7"/>
  <c r="CE114" i="7"/>
  <c r="CD114" i="7"/>
  <c r="CC114" i="7"/>
  <c r="CB114" i="7"/>
  <c r="CA114" i="7"/>
  <c r="BZ114" i="7"/>
  <c r="BY114" i="7"/>
  <c r="BX114" i="7"/>
  <c r="BW114" i="7"/>
  <c r="BV114" i="7"/>
  <c r="BH114" i="7"/>
  <c r="BG114" i="7"/>
  <c r="AV114" i="7"/>
  <c r="AU114" i="7"/>
  <c r="AT114" i="7"/>
  <c r="AS114" i="7"/>
  <c r="AR114" i="7"/>
  <c r="AP114" i="7"/>
  <c r="AF114" i="7"/>
  <c r="AE114" i="7"/>
  <c r="AC114" i="7"/>
  <c r="AA114" i="7"/>
  <c r="Z114" i="7"/>
  <c r="X114" i="7"/>
  <c r="W114" i="7"/>
  <c r="V114" i="7"/>
  <c r="T114" i="7"/>
  <c r="R114" i="7"/>
  <c r="N114" i="7"/>
  <c r="L114" i="7"/>
  <c r="K114" i="7"/>
  <c r="J114" i="7"/>
  <c r="I114" i="7"/>
  <c r="H114" i="7"/>
  <c r="G114" i="7"/>
  <c r="F114" i="7"/>
  <c r="E114" i="7"/>
  <c r="C114" i="7"/>
  <c r="B114" i="7"/>
  <c r="A114" i="7"/>
  <c r="DE113" i="7"/>
  <c r="DA113" i="7"/>
  <c r="CY113" i="7"/>
  <c r="CX113" i="7"/>
  <c r="CW113" i="7"/>
  <c r="CU113" i="7"/>
  <c r="CS113" i="7"/>
  <c r="CQ113" i="7"/>
  <c r="CP113" i="7"/>
  <c r="CO113" i="7"/>
  <c r="CN113" i="7"/>
  <c r="CJ113" i="7"/>
  <c r="CI113" i="7"/>
  <c r="CH113" i="7"/>
  <c r="CG113" i="7"/>
  <c r="CF113" i="7"/>
  <c r="CE113" i="7"/>
  <c r="CD113" i="7"/>
  <c r="CC113" i="7"/>
  <c r="CB113" i="7"/>
  <c r="CA113" i="7"/>
  <c r="BZ113" i="7"/>
  <c r="BY113" i="7"/>
  <c r="BX113" i="7"/>
  <c r="BW113" i="7"/>
  <c r="BV113" i="7"/>
  <c r="BH113" i="7"/>
  <c r="BG113" i="7"/>
  <c r="AV113" i="7"/>
  <c r="AU113" i="7"/>
  <c r="AT113" i="7"/>
  <c r="AS113" i="7"/>
  <c r="AR113" i="7"/>
  <c r="AP113" i="7"/>
  <c r="AF113" i="7"/>
  <c r="AE113" i="7"/>
  <c r="AC113" i="7"/>
  <c r="AA113" i="7"/>
  <c r="Z113" i="7"/>
  <c r="X113" i="7"/>
  <c r="W113" i="7"/>
  <c r="V113" i="7"/>
  <c r="T113" i="7"/>
  <c r="R113" i="7"/>
  <c r="N113" i="7"/>
  <c r="L113" i="7"/>
  <c r="K113" i="7"/>
  <c r="J113" i="7"/>
  <c r="I113" i="7"/>
  <c r="H113" i="7"/>
  <c r="G113" i="7"/>
  <c r="F113" i="7"/>
  <c r="E113" i="7"/>
  <c r="C113" i="7"/>
  <c r="B113" i="7"/>
  <c r="A113" i="7"/>
  <c r="DE112" i="7"/>
  <c r="DA112" i="7"/>
  <c r="CY112" i="7"/>
  <c r="CX112" i="7"/>
  <c r="CW112" i="7"/>
  <c r="CU112" i="7"/>
  <c r="CS112" i="7"/>
  <c r="CR112" i="7"/>
  <c r="CQ112" i="7"/>
  <c r="CP112" i="7"/>
  <c r="CO112" i="7"/>
  <c r="CN112" i="7"/>
  <c r="CJ112" i="7"/>
  <c r="CI112" i="7"/>
  <c r="CH112" i="7"/>
  <c r="CG112" i="7"/>
  <c r="CF112" i="7"/>
  <c r="CE112" i="7"/>
  <c r="CD112" i="7"/>
  <c r="CC112" i="7"/>
  <c r="CB112" i="7"/>
  <c r="CA112" i="7"/>
  <c r="BZ112" i="7"/>
  <c r="BY112" i="7"/>
  <c r="BX112" i="7"/>
  <c r="BW112" i="7"/>
  <c r="BV112" i="7"/>
  <c r="BH112" i="7"/>
  <c r="BG112" i="7"/>
  <c r="AV112" i="7"/>
  <c r="AU112" i="7"/>
  <c r="AT112" i="7"/>
  <c r="AS112" i="7"/>
  <c r="AR112" i="7"/>
  <c r="AP112" i="7"/>
  <c r="AF112" i="7"/>
  <c r="AE112" i="7"/>
  <c r="AC112" i="7"/>
  <c r="AA112" i="7"/>
  <c r="Z112" i="7"/>
  <c r="X112" i="7"/>
  <c r="W112" i="7"/>
  <c r="V112" i="7"/>
  <c r="T112" i="7"/>
  <c r="R112" i="7"/>
  <c r="N112" i="7"/>
  <c r="L112" i="7"/>
  <c r="K112" i="7"/>
  <c r="J112" i="7"/>
  <c r="I112" i="7"/>
  <c r="H112" i="7"/>
  <c r="G112" i="7"/>
  <c r="F112" i="7"/>
  <c r="E112" i="7"/>
  <c r="C112" i="7"/>
  <c r="B112" i="7"/>
  <c r="A112" i="7"/>
  <c r="DE111" i="7"/>
  <c r="DA111" i="7"/>
  <c r="CY111" i="7"/>
  <c r="CX111" i="7"/>
  <c r="CW111" i="7"/>
  <c r="CU111" i="7"/>
  <c r="CS111" i="7"/>
  <c r="CQ111" i="7"/>
  <c r="CP111" i="7"/>
  <c r="CO111" i="7"/>
  <c r="CN111" i="7"/>
  <c r="CJ111" i="7"/>
  <c r="CI111" i="7"/>
  <c r="CH111" i="7"/>
  <c r="CG111" i="7"/>
  <c r="CF111" i="7"/>
  <c r="CE111" i="7"/>
  <c r="CD111" i="7"/>
  <c r="CC111" i="7"/>
  <c r="CB111" i="7"/>
  <c r="CA111" i="7"/>
  <c r="BZ111" i="7"/>
  <c r="BY111" i="7"/>
  <c r="BX111" i="7"/>
  <c r="BW111" i="7"/>
  <c r="BV111" i="7"/>
  <c r="BH111" i="7"/>
  <c r="BG111" i="7"/>
  <c r="AV111" i="7"/>
  <c r="AU111" i="7"/>
  <c r="AT111" i="7"/>
  <c r="AS111" i="7"/>
  <c r="AR111" i="7"/>
  <c r="AP111" i="7"/>
  <c r="AF111" i="7"/>
  <c r="AE111" i="7"/>
  <c r="AC111" i="7"/>
  <c r="AA111" i="7"/>
  <c r="Z111" i="7"/>
  <c r="X111" i="7"/>
  <c r="W111" i="7"/>
  <c r="V111" i="7"/>
  <c r="T111" i="7"/>
  <c r="R111" i="7"/>
  <c r="N111" i="7"/>
  <c r="L111" i="7"/>
  <c r="K111" i="7"/>
  <c r="J111" i="7"/>
  <c r="I111" i="7"/>
  <c r="H111" i="7"/>
  <c r="G111" i="7"/>
  <c r="F111" i="7"/>
  <c r="E111" i="7"/>
  <c r="C111" i="7"/>
  <c r="B111" i="7"/>
  <c r="A111" i="7"/>
  <c r="DE110" i="7"/>
  <c r="DA110" i="7"/>
  <c r="CY110" i="7"/>
  <c r="CX110" i="7"/>
  <c r="CW110" i="7"/>
  <c r="CU110" i="7"/>
  <c r="CS110" i="7"/>
  <c r="CR110" i="7"/>
  <c r="CQ110" i="7"/>
  <c r="CP110" i="7"/>
  <c r="CO110" i="7"/>
  <c r="CN110" i="7"/>
  <c r="CJ110" i="7"/>
  <c r="CI110" i="7"/>
  <c r="CH110" i="7"/>
  <c r="CG110" i="7"/>
  <c r="CF110" i="7"/>
  <c r="CE110" i="7"/>
  <c r="CD110" i="7"/>
  <c r="CC110" i="7"/>
  <c r="CB110" i="7"/>
  <c r="CA110" i="7"/>
  <c r="BZ110" i="7"/>
  <c r="BY110" i="7"/>
  <c r="BX110" i="7"/>
  <c r="BW110" i="7"/>
  <c r="BV110" i="7"/>
  <c r="BH110" i="7"/>
  <c r="BG110" i="7"/>
  <c r="AV110" i="7"/>
  <c r="AU110" i="7"/>
  <c r="AT110" i="7"/>
  <c r="AS110" i="7"/>
  <c r="AR110" i="7"/>
  <c r="AP110" i="7"/>
  <c r="AF110" i="7"/>
  <c r="AE110" i="7"/>
  <c r="AC110" i="7"/>
  <c r="AA110" i="7"/>
  <c r="Z110" i="7"/>
  <c r="X110" i="7"/>
  <c r="W110" i="7"/>
  <c r="V110" i="7"/>
  <c r="T110" i="7"/>
  <c r="R110" i="7"/>
  <c r="N110" i="7"/>
  <c r="L110" i="7"/>
  <c r="K110" i="7"/>
  <c r="J110" i="7"/>
  <c r="I110" i="7"/>
  <c r="H110" i="7"/>
  <c r="G110" i="7"/>
  <c r="F110" i="7"/>
  <c r="E110" i="7"/>
  <c r="C110" i="7"/>
  <c r="B110" i="7"/>
  <c r="A110" i="7"/>
  <c r="DE109" i="7"/>
  <c r="DA109" i="7"/>
  <c r="CY109" i="7"/>
  <c r="CX109" i="7"/>
  <c r="CW109" i="7"/>
  <c r="CU109" i="7"/>
  <c r="CS109" i="7"/>
  <c r="CQ109" i="7"/>
  <c r="CP109" i="7"/>
  <c r="CO109" i="7"/>
  <c r="CN109" i="7"/>
  <c r="CJ109" i="7"/>
  <c r="CI109" i="7"/>
  <c r="CH109" i="7"/>
  <c r="CG109" i="7"/>
  <c r="CF109" i="7"/>
  <c r="CE109" i="7"/>
  <c r="CD109" i="7"/>
  <c r="CC109" i="7"/>
  <c r="CB109" i="7"/>
  <c r="CA109" i="7"/>
  <c r="BZ109" i="7"/>
  <c r="BY109" i="7"/>
  <c r="BX109" i="7"/>
  <c r="BW109" i="7"/>
  <c r="BV109" i="7"/>
  <c r="BH109" i="7"/>
  <c r="BG109" i="7"/>
  <c r="AV109" i="7"/>
  <c r="AU109" i="7"/>
  <c r="AT109" i="7"/>
  <c r="AS109" i="7"/>
  <c r="AR109" i="7"/>
  <c r="AP109" i="7"/>
  <c r="AF109" i="7"/>
  <c r="AE109" i="7"/>
  <c r="AC109" i="7"/>
  <c r="AA109" i="7"/>
  <c r="Z109" i="7"/>
  <c r="X109" i="7"/>
  <c r="W109" i="7"/>
  <c r="V109" i="7"/>
  <c r="T109" i="7"/>
  <c r="R109" i="7"/>
  <c r="N109" i="7"/>
  <c r="L109" i="7"/>
  <c r="K109" i="7"/>
  <c r="J109" i="7"/>
  <c r="I109" i="7"/>
  <c r="H109" i="7"/>
  <c r="G109" i="7"/>
  <c r="F109" i="7"/>
  <c r="E109" i="7"/>
  <c r="C109" i="7"/>
  <c r="B109" i="7"/>
  <c r="A109" i="7"/>
  <c r="DE108" i="7"/>
  <c r="DA108" i="7"/>
  <c r="CY108" i="7"/>
  <c r="CX108" i="7"/>
  <c r="CW108" i="7"/>
  <c r="CU108" i="7"/>
  <c r="CS108" i="7"/>
  <c r="CR108" i="7"/>
  <c r="CQ108" i="7"/>
  <c r="CP108" i="7"/>
  <c r="CO108" i="7"/>
  <c r="CN108" i="7"/>
  <c r="CJ108" i="7"/>
  <c r="CI108" i="7"/>
  <c r="CH108" i="7"/>
  <c r="CG108" i="7"/>
  <c r="CF108" i="7"/>
  <c r="CE108" i="7"/>
  <c r="CD108" i="7"/>
  <c r="CC108" i="7"/>
  <c r="CB108" i="7"/>
  <c r="CA108" i="7"/>
  <c r="BZ108" i="7"/>
  <c r="BY108" i="7"/>
  <c r="BX108" i="7"/>
  <c r="BW108" i="7"/>
  <c r="BV108" i="7"/>
  <c r="BH108" i="7"/>
  <c r="BG108" i="7"/>
  <c r="AV108" i="7"/>
  <c r="AU108" i="7"/>
  <c r="AT108" i="7"/>
  <c r="AS108" i="7"/>
  <c r="AR108" i="7"/>
  <c r="AP108" i="7"/>
  <c r="AF108" i="7"/>
  <c r="AE108" i="7"/>
  <c r="AC108" i="7"/>
  <c r="AA108" i="7"/>
  <c r="Z108" i="7"/>
  <c r="X108" i="7"/>
  <c r="W108" i="7"/>
  <c r="V108" i="7"/>
  <c r="T108" i="7"/>
  <c r="R108" i="7"/>
  <c r="N108" i="7"/>
  <c r="L108" i="7"/>
  <c r="K108" i="7"/>
  <c r="J108" i="7"/>
  <c r="I108" i="7"/>
  <c r="H108" i="7"/>
  <c r="G108" i="7"/>
  <c r="F108" i="7"/>
  <c r="E108" i="7"/>
  <c r="C108" i="7"/>
  <c r="B108" i="7"/>
  <c r="A108" i="7"/>
  <c r="DE107" i="7"/>
  <c r="DA107" i="7"/>
  <c r="CY107" i="7"/>
  <c r="CX107" i="7"/>
  <c r="CW107" i="7"/>
  <c r="CU107" i="7"/>
  <c r="CS107" i="7"/>
  <c r="CQ107" i="7"/>
  <c r="CP107" i="7"/>
  <c r="CO107" i="7"/>
  <c r="CN107" i="7"/>
  <c r="CJ107" i="7"/>
  <c r="CI107" i="7"/>
  <c r="CH107" i="7"/>
  <c r="CG107" i="7"/>
  <c r="CF107" i="7"/>
  <c r="CE107" i="7"/>
  <c r="CD107" i="7"/>
  <c r="CC107" i="7"/>
  <c r="CB107" i="7"/>
  <c r="CA107" i="7"/>
  <c r="BZ107" i="7"/>
  <c r="BY107" i="7"/>
  <c r="BX107" i="7"/>
  <c r="BW107" i="7"/>
  <c r="BV107" i="7"/>
  <c r="BH107" i="7"/>
  <c r="BG107" i="7"/>
  <c r="AV107" i="7"/>
  <c r="AU107" i="7"/>
  <c r="AT107" i="7"/>
  <c r="AS107" i="7"/>
  <c r="AR107" i="7"/>
  <c r="AP107" i="7"/>
  <c r="AF107" i="7"/>
  <c r="AE107" i="7"/>
  <c r="AC107" i="7"/>
  <c r="AA107" i="7"/>
  <c r="Z107" i="7"/>
  <c r="X107" i="7"/>
  <c r="W107" i="7"/>
  <c r="V107" i="7"/>
  <c r="T107" i="7"/>
  <c r="R107" i="7"/>
  <c r="N107" i="7"/>
  <c r="L107" i="7"/>
  <c r="K107" i="7"/>
  <c r="J107" i="7"/>
  <c r="I107" i="7"/>
  <c r="H107" i="7"/>
  <c r="G107" i="7"/>
  <c r="F107" i="7"/>
  <c r="E107" i="7"/>
  <c r="C107" i="7"/>
  <c r="B107" i="7"/>
  <c r="A107" i="7"/>
  <c r="DE106" i="7"/>
  <c r="DA106" i="7"/>
  <c r="CY106" i="7"/>
  <c r="CX106" i="7"/>
  <c r="CW106" i="7"/>
  <c r="CU106" i="7"/>
  <c r="CS106" i="7"/>
  <c r="CR106" i="7"/>
  <c r="CQ106" i="7"/>
  <c r="CP106" i="7"/>
  <c r="CO106" i="7"/>
  <c r="CN106" i="7"/>
  <c r="CJ106" i="7"/>
  <c r="CI106" i="7"/>
  <c r="CH106" i="7"/>
  <c r="CG106" i="7"/>
  <c r="CF106" i="7"/>
  <c r="CE106" i="7"/>
  <c r="CD106" i="7"/>
  <c r="CC106" i="7"/>
  <c r="CB106" i="7"/>
  <c r="CA106" i="7"/>
  <c r="BZ106" i="7"/>
  <c r="BY106" i="7"/>
  <c r="BX106" i="7"/>
  <c r="BW106" i="7"/>
  <c r="BV106" i="7"/>
  <c r="BH106" i="7"/>
  <c r="BG106" i="7"/>
  <c r="AV106" i="7"/>
  <c r="AU106" i="7"/>
  <c r="AT106" i="7"/>
  <c r="AS106" i="7"/>
  <c r="AR106" i="7"/>
  <c r="AP106" i="7"/>
  <c r="AF106" i="7"/>
  <c r="AE106" i="7"/>
  <c r="AC106" i="7"/>
  <c r="AA106" i="7"/>
  <c r="Z106" i="7"/>
  <c r="X106" i="7"/>
  <c r="W106" i="7"/>
  <c r="V106" i="7"/>
  <c r="T106" i="7"/>
  <c r="R106" i="7"/>
  <c r="N106" i="7"/>
  <c r="L106" i="7"/>
  <c r="K106" i="7"/>
  <c r="J106" i="7"/>
  <c r="I106" i="7"/>
  <c r="H106" i="7"/>
  <c r="G106" i="7"/>
  <c r="F106" i="7"/>
  <c r="E106" i="7"/>
  <c r="C106" i="7"/>
  <c r="B106" i="7"/>
  <c r="A106" i="7"/>
  <c r="DE105" i="7"/>
  <c r="DA105" i="7"/>
  <c r="CY105" i="7"/>
  <c r="CX105" i="7"/>
  <c r="CW105" i="7"/>
  <c r="CU105" i="7"/>
  <c r="CS105" i="7"/>
  <c r="CQ105" i="7"/>
  <c r="CP105" i="7"/>
  <c r="CO105" i="7"/>
  <c r="CN105" i="7"/>
  <c r="CJ105" i="7"/>
  <c r="CI105" i="7"/>
  <c r="CH105" i="7"/>
  <c r="CG105" i="7"/>
  <c r="CF105" i="7"/>
  <c r="CE105" i="7"/>
  <c r="CD105" i="7"/>
  <c r="CC105" i="7"/>
  <c r="CB105" i="7"/>
  <c r="CA105" i="7"/>
  <c r="BZ105" i="7"/>
  <c r="BY105" i="7"/>
  <c r="BX105" i="7"/>
  <c r="BW105" i="7"/>
  <c r="BV105" i="7"/>
  <c r="BH105" i="7"/>
  <c r="BG105" i="7"/>
  <c r="AV105" i="7"/>
  <c r="AU105" i="7"/>
  <c r="AT105" i="7"/>
  <c r="AS105" i="7"/>
  <c r="AR105" i="7"/>
  <c r="AP105" i="7"/>
  <c r="AF105" i="7"/>
  <c r="AE105" i="7"/>
  <c r="AC105" i="7"/>
  <c r="AA105" i="7"/>
  <c r="Z105" i="7"/>
  <c r="X105" i="7"/>
  <c r="W105" i="7"/>
  <c r="V105" i="7"/>
  <c r="T105" i="7"/>
  <c r="R105" i="7"/>
  <c r="N105" i="7"/>
  <c r="L105" i="7"/>
  <c r="K105" i="7"/>
  <c r="J105" i="7"/>
  <c r="I105" i="7"/>
  <c r="H105" i="7"/>
  <c r="G105" i="7"/>
  <c r="F105" i="7"/>
  <c r="E105" i="7"/>
  <c r="C105" i="7"/>
  <c r="B105" i="7"/>
  <c r="A105" i="7"/>
  <c r="DE104" i="7"/>
  <c r="DA104" i="7"/>
  <c r="CY104" i="7"/>
  <c r="CX104" i="7"/>
  <c r="CW104" i="7"/>
  <c r="CU104" i="7"/>
  <c r="CS104" i="7"/>
  <c r="CR104" i="7"/>
  <c r="CQ104" i="7"/>
  <c r="CP104" i="7"/>
  <c r="CO104" i="7"/>
  <c r="CN104" i="7"/>
  <c r="CJ104" i="7"/>
  <c r="CI104" i="7"/>
  <c r="CH104" i="7"/>
  <c r="CG104" i="7"/>
  <c r="CF104" i="7"/>
  <c r="CE104" i="7"/>
  <c r="CD104" i="7"/>
  <c r="CC104" i="7"/>
  <c r="CB104" i="7"/>
  <c r="CA104" i="7"/>
  <c r="BZ104" i="7"/>
  <c r="BY104" i="7"/>
  <c r="BX104" i="7"/>
  <c r="BW104" i="7"/>
  <c r="BV104" i="7"/>
  <c r="BH104" i="7"/>
  <c r="BG104" i="7"/>
  <c r="AV104" i="7"/>
  <c r="AU104" i="7"/>
  <c r="AT104" i="7"/>
  <c r="AS104" i="7"/>
  <c r="AR104" i="7"/>
  <c r="AP104" i="7"/>
  <c r="AF104" i="7"/>
  <c r="AE104" i="7"/>
  <c r="AC104" i="7"/>
  <c r="AA104" i="7"/>
  <c r="Z104" i="7"/>
  <c r="X104" i="7"/>
  <c r="W104" i="7"/>
  <c r="V104" i="7"/>
  <c r="T104" i="7"/>
  <c r="R104" i="7"/>
  <c r="N104" i="7"/>
  <c r="L104" i="7"/>
  <c r="K104" i="7"/>
  <c r="J104" i="7"/>
  <c r="I104" i="7"/>
  <c r="H104" i="7"/>
  <c r="G104" i="7"/>
  <c r="F104" i="7"/>
  <c r="E104" i="7"/>
  <c r="C104" i="7"/>
  <c r="B104" i="7"/>
  <c r="A104" i="7"/>
  <c r="DE103" i="7"/>
  <c r="DA103" i="7"/>
  <c r="CY103" i="7"/>
  <c r="CX103" i="7"/>
  <c r="CW103" i="7"/>
  <c r="CU103" i="7"/>
  <c r="CS103" i="7"/>
  <c r="CQ103" i="7"/>
  <c r="CP103" i="7"/>
  <c r="CO103" i="7"/>
  <c r="CN103" i="7"/>
  <c r="CJ103" i="7"/>
  <c r="CI103" i="7"/>
  <c r="CH103" i="7"/>
  <c r="CG103" i="7"/>
  <c r="CF103" i="7"/>
  <c r="CE103" i="7"/>
  <c r="CD103" i="7"/>
  <c r="CC103" i="7"/>
  <c r="CB103" i="7"/>
  <c r="CA103" i="7"/>
  <c r="BZ103" i="7"/>
  <c r="BY103" i="7"/>
  <c r="BX103" i="7"/>
  <c r="BW103" i="7"/>
  <c r="BV103" i="7"/>
  <c r="BH103" i="7"/>
  <c r="BG103" i="7"/>
  <c r="AV103" i="7"/>
  <c r="AU103" i="7"/>
  <c r="AT103" i="7"/>
  <c r="AS103" i="7"/>
  <c r="AR103" i="7"/>
  <c r="AP103" i="7"/>
  <c r="AF103" i="7"/>
  <c r="AE103" i="7"/>
  <c r="AC103" i="7"/>
  <c r="AA103" i="7"/>
  <c r="Z103" i="7"/>
  <c r="X103" i="7"/>
  <c r="W103" i="7"/>
  <c r="V103" i="7"/>
  <c r="T103" i="7"/>
  <c r="R103" i="7"/>
  <c r="N103" i="7"/>
  <c r="L103" i="7"/>
  <c r="K103" i="7"/>
  <c r="J103" i="7"/>
  <c r="I103" i="7"/>
  <c r="H103" i="7"/>
  <c r="G103" i="7"/>
  <c r="F103" i="7"/>
  <c r="E103" i="7"/>
  <c r="C103" i="7"/>
  <c r="B103" i="7"/>
  <c r="A103" i="7"/>
  <c r="DE102" i="7"/>
  <c r="DA102" i="7"/>
  <c r="CY102" i="7"/>
  <c r="CX102" i="7"/>
  <c r="CW102" i="7"/>
  <c r="CU102" i="7"/>
  <c r="CS102" i="7"/>
  <c r="CR102" i="7"/>
  <c r="CQ102" i="7"/>
  <c r="CP102" i="7"/>
  <c r="CO102" i="7"/>
  <c r="CN102" i="7"/>
  <c r="CJ102" i="7"/>
  <c r="CI102" i="7"/>
  <c r="CH102" i="7"/>
  <c r="CG102" i="7"/>
  <c r="CF102" i="7"/>
  <c r="CE102" i="7"/>
  <c r="CD102" i="7"/>
  <c r="CC102" i="7"/>
  <c r="CB102" i="7"/>
  <c r="CA102" i="7"/>
  <c r="BZ102" i="7"/>
  <c r="BY102" i="7"/>
  <c r="BX102" i="7"/>
  <c r="BW102" i="7"/>
  <c r="BV102" i="7"/>
  <c r="BH102" i="7"/>
  <c r="BG102" i="7"/>
  <c r="AV102" i="7"/>
  <c r="AU102" i="7"/>
  <c r="AT102" i="7"/>
  <c r="AS102" i="7"/>
  <c r="AR102" i="7"/>
  <c r="AP102" i="7"/>
  <c r="AF102" i="7"/>
  <c r="AE102" i="7"/>
  <c r="AC102" i="7"/>
  <c r="AA102" i="7"/>
  <c r="Z102" i="7"/>
  <c r="X102" i="7"/>
  <c r="W102" i="7"/>
  <c r="V102" i="7"/>
  <c r="T102" i="7"/>
  <c r="R102" i="7"/>
  <c r="N102" i="7"/>
  <c r="L102" i="7"/>
  <c r="K102" i="7"/>
  <c r="J102" i="7"/>
  <c r="I102" i="7"/>
  <c r="H102" i="7"/>
  <c r="G102" i="7"/>
  <c r="F102" i="7"/>
  <c r="E102" i="7"/>
  <c r="C102" i="7"/>
  <c r="B102" i="7"/>
  <c r="A102" i="7"/>
  <c r="DE101" i="7"/>
  <c r="DA101" i="7"/>
  <c r="CY101" i="7"/>
  <c r="CX101" i="7"/>
  <c r="CW101" i="7"/>
  <c r="CU101" i="7"/>
  <c r="CS101" i="7"/>
  <c r="CQ101" i="7"/>
  <c r="CP101" i="7"/>
  <c r="CO101" i="7"/>
  <c r="CN101" i="7"/>
  <c r="CJ101" i="7"/>
  <c r="CI101" i="7"/>
  <c r="CH101" i="7"/>
  <c r="CG101" i="7"/>
  <c r="CF101" i="7"/>
  <c r="CE101" i="7"/>
  <c r="CD101" i="7"/>
  <c r="CC101" i="7"/>
  <c r="CB101" i="7"/>
  <c r="CA101" i="7"/>
  <c r="BZ101" i="7"/>
  <c r="BY101" i="7"/>
  <c r="BX101" i="7"/>
  <c r="BW101" i="7"/>
  <c r="BV101" i="7"/>
  <c r="BH101" i="7"/>
  <c r="BG101" i="7"/>
  <c r="AV101" i="7"/>
  <c r="AU101" i="7"/>
  <c r="AT101" i="7"/>
  <c r="AS101" i="7"/>
  <c r="AR101" i="7"/>
  <c r="AP101" i="7"/>
  <c r="AF101" i="7"/>
  <c r="AE101" i="7"/>
  <c r="AC101" i="7"/>
  <c r="AA101" i="7"/>
  <c r="Z101" i="7"/>
  <c r="X101" i="7"/>
  <c r="W101" i="7"/>
  <c r="V101" i="7"/>
  <c r="T101" i="7"/>
  <c r="R101" i="7"/>
  <c r="N101" i="7"/>
  <c r="L101" i="7"/>
  <c r="K101" i="7"/>
  <c r="J101" i="7"/>
  <c r="I101" i="7"/>
  <c r="H101" i="7"/>
  <c r="G101" i="7"/>
  <c r="F101" i="7"/>
  <c r="E101" i="7"/>
  <c r="C101" i="7"/>
  <c r="B101" i="7"/>
  <c r="A101" i="7"/>
  <c r="DE100" i="7"/>
  <c r="DA100" i="7"/>
  <c r="CY100" i="7"/>
  <c r="CX100" i="7"/>
  <c r="CW100" i="7"/>
  <c r="CU100" i="7"/>
  <c r="CS100" i="7"/>
  <c r="CR100" i="7"/>
  <c r="CQ100" i="7"/>
  <c r="CP100" i="7"/>
  <c r="CO100" i="7"/>
  <c r="CN100" i="7"/>
  <c r="CJ100" i="7"/>
  <c r="CI100" i="7"/>
  <c r="CH100" i="7"/>
  <c r="CG100" i="7"/>
  <c r="CF100" i="7"/>
  <c r="CE100" i="7"/>
  <c r="CD100" i="7"/>
  <c r="CC100" i="7"/>
  <c r="CB100" i="7"/>
  <c r="CA100" i="7"/>
  <c r="BZ100" i="7"/>
  <c r="BY100" i="7"/>
  <c r="BX100" i="7"/>
  <c r="BW100" i="7"/>
  <c r="BV100" i="7"/>
  <c r="BH100" i="7"/>
  <c r="BG100" i="7"/>
  <c r="AV100" i="7"/>
  <c r="AU100" i="7"/>
  <c r="AT100" i="7"/>
  <c r="AS100" i="7"/>
  <c r="AR100" i="7"/>
  <c r="AP100" i="7"/>
  <c r="AF100" i="7"/>
  <c r="AE100" i="7"/>
  <c r="AC100" i="7"/>
  <c r="AA100" i="7"/>
  <c r="Z100" i="7"/>
  <c r="X100" i="7"/>
  <c r="W100" i="7"/>
  <c r="V100" i="7"/>
  <c r="T100" i="7"/>
  <c r="R100" i="7"/>
  <c r="N100" i="7"/>
  <c r="L100" i="7"/>
  <c r="K100" i="7"/>
  <c r="J100" i="7"/>
  <c r="I100" i="7"/>
  <c r="H100" i="7"/>
  <c r="G100" i="7"/>
  <c r="F100" i="7"/>
  <c r="E100" i="7"/>
  <c r="C100" i="7"/>
  <c r="B100" i="7"/>
  <c r="A100" i="7"/>
  <c r="DE99" i="7"/>
  <c r="DA99" i="7"/>
  <c r="CY99" i="7"/>
  <c r="CX99" i="7"/>
  <c r="CW99" i="7"/>
  <c r="CU99" i="7"/>
  <c r="CS99" i="7"/>
  <c r="CQ99" i="7"/>
  <c r="CP99" i="7"/>
  <c r="CO99" i="7"/>
  <c r="CN99" i="7"/>
  <c r="CJ99" i="7"/>
  <c r="CI99" i="7"/>
  <c r="CH99" i="7"/>
  <c r="CG99" i="7"/>
  <c r="CF99" i="7"/>
  <c r="CE99" i="7"/>
  <c r="CD99" i="7"/>
  <c r="CC99" i="7"/>
  <c r="CB99" i="7"/>
  <c r="CA99" i="7"/>
  <c r="BZ99" i="7"/>
  <c r="BY99" i="7"/>
  <c r="BX99" i="7"/>
  <c r="BW99" i="7"/>
  <c r="BV99" i="7"/>
  <c r="BH99" i="7"/>
  <c r="BG99" i="7"/>
  <c r="AV99" i="7"/>
  <c r="AU99" i="7"/>
  <c r="AT99" i="7"/>
  <c r="AS99" i="7"/>
  <c r="AR99" i="7"/>
  <c r="AP99" i="7"/>
  <c r="AF99" i="7"/>
  <c r="AE99" i="7"/>
  <c r="AC99" i="7"/>
  <c r="AA99" i="7"/>
  <c r="Z99" i="7"/>
  <c r="X99" i="7"/>
  <c r="W99" i="7"/>
  <c r="V99" i="7"/>
  <c r="T99" i="7"/>
  <c r="R99" i="7"/>
  <c r="N99" i="7"/>
  <c r="L99" i="7"/>
  <c r="K99" i="7"/>
  <c r="J99" i="7"/>
  <c r="I99" i="7"/>
  <c r="H99" i="7"/>
  <c r="G99" i="7"/>
  <c r="F99" i="7"/>
  <c r="E99" i="7"/>
  <c r="C99" i="7"/>
  <c r="B99" i="7"/>
  <c r="A99" i="7"/>
  <c r="DE98" i="7"/>
  <c r="DA98" i="7"/>
  <c r="CY98" i="7"/>
  <c r="CX98" i="7"/>
  <c r="CW98" i="7"/>
  <c r="CU98" i="7"/>
  <c r="CS98" i="7"/>
  <c r="CR98" i="7"/>
  <c r="CQ98" i="7"/>
  <c r="CP98" i="7"/>
  <c r="CO98" i="7"/>
  <c r="CN98" i="7"/>
  <c r="CJ98" i="7"/>
  <c r="CI98" i="7"/>
  <c r="CH98" i="7"/>
  <c r="CG98" i="7"/>
  <c r="CF98" i="7"/>
  <c r="CE98" i="7"/>
  <c r="CD98" i="7"/>
  <c r="CC98" i="7"/>
  <c r="CB98" i="7"/>
  <c r="CA98" i="7"/>
  <c r="BZ98" i="7"/>
  <c r="BY98" i="7"/>
  <c r="BX98" i="7"/>
  <c r="BW98" i="7"/>
  <c r="BV98" i="7"/>
  <c r="BH98" i="7"/>
  <c r="BG98" i="7"/>
  <c r="AV98" i="7"/>
  <c r="AU98" i="7"/>
  <c r="AT98" i="7"/>
  <c r="AS98" i="7"/>
  <c r="AR98" i="7"/>
  <c r="AP98" i="7"/>
  <c r="AF98" i="7"/>
  <c r="AE98" i="7"/>
  <c r="AC98" i="7"/>
  <c r="AA98" i="7"/>
  <c r="Z98" i="7"/>
  <c r="X98" i="7"/>
  <c r="W98" i="7"/>
  <c r="V98" i="7"/>
  <c r="T98" i="7"/>
  <c r="R98" i="7"/>
  <c r="N98" i="7"/>
  <c r="L98" i="7"/>
  <c r="K98" i="7"/>
  <c r="J98" i="7"/>
  <c r="I98" i="7"/>
  <c r="H98" i="7"/>
  <c r="G98" i="7"/>
  <c r="F98" i="7"/>
  <c r="E98" i="7"/>
  <c r="C98" i="7"/>
  <c r="B98" i="7"/>
  <c r="A98" i="7"/>
  <c r="DE97" i="7"/>
  <c r="DA97" i="7"/>
  <c r="CY97" i="7"/>
  <c r="CX97" i="7"/>
  <c r="CW97" i="7"/>
  <c r="CU97" i="7"/>
  <c r="CS97" i="7"/>
  <c r="CQ97" i="7"/>
  <c r="CP97" i="7"/>
  <c r="CO97" i="7"/>
  <c r="CN97" i="7"/>
  <c r="CJ97" i="7"/>
  <c r="CI97" i="7"/>
  <c r="CH97" i="7"/>
  <c r="CG97" i="7"/>
  <c r="CF97" i="7"/>
  <c r="CE97" i="7"/>
  <c r="CD97" i="7"/>
  <c r="CC97" i="7"/>
  <c r="CB97" i="7"/>
  <c r="CA97" i="7"/>
  <c r="BZ97" i="7"/>
  <c r="BY97" i="7"/>
  <c r="BX97" i="7"/>
  <c r="BW97" i="7"/>
  <c r="BV97" i="7"/>
  <c r="BH97" i="7"/>
  <c r="BG97" i="7"/>
  <c r="AV97" i="7"/>
  <c r="AU97" i="7"/>
  <c r="AT97" i="7"/>
  <c r="AS97" i="7"/>
  <c r="AR97" i="7"/>
  <c r="AP97" i="7"/>
  <c r="AF97" i="7"/>
  <c r="AE97" i="7"/>
  <c r="AC97" i="7"/>
  <c r="AA97" i="7"/>
  <c r="Z97" i="7"/>
  <c r="X97" i="7"/>
  <c r="W97" i="7"/>
  <c r="V97" i="7"/>
  <c r="T97" i="7"/>
  <c r="R97" i="7"/>
  <c r="N97" i="7"/>
  <c r="L97" i="7"/>
  <c r="K97" i="7"/>
  <c r="J97" i="7"/>
  <c r="I97" i="7"/>
  <c r="H97" i="7"/>
  <c r="G97" i="7"/>
  <c r="F97" i="7"/>
  <c r="E97" i="7"/>
  <c r="C97" i="7"/>
  <c r="B97" i="7"/>
  <c r="A97" i="7"/>
  <c r="DE96" i="7"/>
  <c r="DA96" i="7"/>
  <c r="CY96" i="7"/>
  <c r="CX96" i="7"/>
  <c r="CW96" i="7"/>
  <c r="CU96" i="7"/>
  <c r="CS96" i="7"/>
  <c r="CR96" i="7"/>
  <c r="CQ96" i="7"/>
  <c r="CP96" i="7"/>
  <c r="CO96" i="7"/>
  <c r="CN96" i="7"/>
  <c r="CJ96" i="7"/>
  <c r="CI96" i="7"/>
  <c r="CH96" i="7"/>
  <c r="CG96" i="7"/>
  <c r="CF96" i="7"/>
  <c r="CE96" i="7"/>
  <c r="CD96" i="7"/>
  <c r="CC96" i="7"/>
  <c r="CB96" i="7"/>
  <c r="CA96" i="7"/>
  <c r="BZ96" i="7"/>
  <c r="BY96" i="7"/>
  <c r="BX96" i="7"/>
  <c r="BW96" i="7"/>
  <c r="BV96" i="7"/>
  <c r="BH96" i="7"/>
  <c r="BG96" i="7"/>
  <c r="AV96" i="7"/>
  <c r="AU96" i="7"/>
  <c r="AT96" i="7"/>
  <c r="AS96" i="7"/>
  <c r="AR96" i="7"/>
  <c r="AP96" i="7"/>
  <c r="AF96" i="7"/>
  <c r="AE96" i="7"/>
  <c r="AC96" i="7"/>
  <c r="AA96" i="7"/>
  <c r="Z96" i="7"/>
  <c r="X96" i="7"/>
  <c r="W96" i="7"/>
  <c r="V96" i="7"/>
  <c r="T96" i="7"/>
  <c r="R96" i="7"/>
  <c r="N96" i="7"/>
  <c r="L96" i="7"/>
  <c r="K96" i="7"/>
  <c r="J96" i="7"/>
  <c r="I96" i="7"/>
  <c r="H96" i="7"/>
  <c r="G96" i="7"/>
  <c r="F96" i="7"/>
  <c r="E96" i="7"/>
  <c r="C96" i="7"/>
  <c r="B96" i="7"/>
  <c r="A96" i="7"/>
  <c r="DE95" i="7"/>
  <c r="DA95" i="7"/>
  <c r="CY95" i="7"/>
  <c r="CX95" i="7"/>
  <c r="CW95" i="7"/>
  <c r="CU95" i="7"/>
  <c r="CS95" i="7"/>
  <c r="CQ95" i="7"/>
  <c r="CP95" i="7"/>
  <c r="CO95" i="7"/>
  <c r="CN95" i="7"/>
  <c r="CJ95" i="7"/>
  <c r="CI95" i="7"/>
  <c r="CH95" i="7"/>
  <c r="CG95" i="7"/>
  <c r="CF95" i="7"/>
  <c r="CE95" i="7"/>
  <c r="CD95" i="7"/>
  <c r="CC95" i="7"/>
  <c r="CB95" i="7"/>
  <c r="CA95" i="7"/>
  <c r="BZ95" i="7"/>
  <c r="BY95" i="7"/>
  <c r="BX95" i="7"/>
  <c r="BW95" i="7"/>
  <c r="BV95" i="7"/>
  <c r="BH95" i="7"/>
  <c r="BG95" i="7"/>
  <c r="AV95" i="7"/>
  <c r="AU95" i="7"/>
  <c r="AT95" i="7"/>
  <c r="AS95" i="7"/>
  <c r="AR95" i="7"/>
  <c r="AP95" i="7"/>
  <c r="AF95" i="7"/>
  <c r="AE95" i="7"/>
  <c r="AC95" i="7"/>
  <c r="AA95" i="7"/>
  <c r="Z95" i="7"/>
  <c r="X95" i="7"/>
  <c r="W95" i="7"/>
  <c r="V95" i="7"/>
  <c r="T95" i="7"/>
  <c r="R95" i="7"/>
  <c r="N95" i="7"/>
  <c r="L95" i="7"/>
  <c r="K95" i="7"/>
  <c r="J95" i="7"/>
  <c r="I95" i="7"/>
  <c r="H95" i="7"/>
  <c r="G95" i="7"/>
  <c r="F95" i="7"/>
  <c r="E95" i="7"/>
  <c r="C95" i="7"/>
  <c r="B95" i="7"/>
  <c r="A95" i="7"/>
  <c r="DE94" i="7"/>
  <c r="DA94" i="7"/>
  <c r="CY94" i="7"/>
  <c r="CX94" i="7"/>
  <c r="CW94" i="7"/>
  <c r="CU94" i="7"/>
  <c r="CS94" i="7"/>
  <c r="CR94" i="7"/>
  <c r="CQ94" i="7"/>
  <c r="CP94" i="7"/>
  <c r="CO94" i="7"/>
  <c r="CN94" i="7"/>
  <c r="CJ94" i="7"/>
  <c r="CI94" i="7"/>
  <c r="CH94" i="7"/>
  <c r="CG94" i="7"/>
  <c r="CF94" i="7"/>
  <c r="CE94" i="7"/>
  <c r="CD94" i="7"/>
  <c r="CC94" i="7"/>
  <c r="CB94" i="7"/>
  <c r="CA94" i="7"/>
  <c r="BZ94" i="7"/>
  <c r="BY94" i="7"/>
  <c r="BX94" i="7"/>
  <c r="BW94" i="7"/>
  <c r="BV94" i="7"/>
  <c r="BH94" i="7"/>
  <c r="BG94" i="7"/>
  <c r="AV94" i="7"/>
  <c r="AU94" i="7"/>
  <c r="AT94" i="7"/>
  <c r="AS94" i="7"/>
  <c r="AR94" i="7"/>
  <c r="AP94" i="7"/>
  <c r="AF94" i="7"/>
  <c r="AE94" i="7"/>
  <c r="AC94" i="7"/>
  <c r="AA94" i="7"/>
  <c r="Z94" i="7"/>
  <c r="X94" i="7"/>
  <c r="W94" i="7"/>
  <c r="V94" i="7"/>
  <c r="T94" i="7"/>
  <c r="R94" i="7"/>
  <c r="N94" i="7"/>
  <c r="L94" i="7"/>
  <c r="K94" i="7"/>
  <c r="J94" i="7"/>
  <c r="I94" i="7"/>
  <c r="H94" i="7"/>
  <c r="G94" i="7"/>
  <c r="F94" i="7"/>
  <c r="E94" i="7"/>
  <c r="C94" i="7"/>
  <c r="B94" i="7"/>
  <c r="A94" i="7"/>
  <c r="DE93" i="7"/>
  <c r="DA93" i="7"/>
  <c r="CY93" i="7"/>
  <c r="CX93" i="7"/>
  <c r="CW93" i="7"/>
  <c r="CU93" i="7"/>
  <c r="CS93" i="7"/>
  <c r="CQ93" i="7"/>
  <c r="CP93" i="7"/>
  <c r="CO93" i="7"/>
  <c r="CN93" i="7"/>
  <c r="CJ93" i="7"/>
  <c r="CI93" i="7"/>
  <c r="CH93" i="7"/>
  <c r="CG93" i="7"/>
  <c r="CF93" i="7"/>
  <c r="CE93" i="7"/>
  <c r="CD93" i="7"/>
  <c r="CC93" i="7"/>
  <c r="CB93" i="7"/>
  <c r="CA93" i="7"/>
  <c r="BZ93" i="7"/>
  <c r="BY93" i="7"/>
  <c r="BX93" i="7"/>
  <c r="BW93" i="7"/>
  <c r="BV93" i="7"/>
  <c r="BH93" i="7"/>
  <c r="BG93" i="7"/>
  <c r="AV93" i="7"/>
  <c r="AU93" i="7"/>
  <c r="AT93" i="7"/>
  <c r="AS93" i="7"/>
  <c r="AR93" i="7"/>
  <c r="AP93" i="7"/>
  <c r="AF93" i="7"/>
  <c r="AE93" i="7"/>
  <c r="AC93" i="7"/>
  <c r="AA93" i="7"/>
  <c r="Z93" i="7"/>
  <c r="X93" i="7"/>
  <c r="W93" i="7"/>
  <c r="V93" i="7"/>
  <c r="T93" i="7"/>
  <c r="R93" i="7"/>
  <c r="N93" i="7"/>
  <c r="L93" i="7"/>
  <c r="K93" i="7"/>
  <c r="J93" i="7"/>
  <c r="I93" i="7"/>
  <c r="H93" i="7"/>
  <c r="G93" i="7"/>
  <c r="F93" i="7"/>
  <c r="E93" i="7"/>
  <c r="C93" i="7"/>
  <c r="B93" i="7"/>
  <c r="A93" i="7"/>
  <c r="DE92" i="7"/>
  <c r="DA92" i="7"/>
  <c r="CY92" i="7"/>
  <c r="CX92" i="7"/>
  <c r="CW92" i="7"/>
  <c r="CU92" i="7"/>
  <c r="CS92" i="7"/>
  <c r="CR92" i="7"/>
  <c r="CQ92" i="7"/>
  <c r="CP92" i="7"/>
  <c r="CO92" i="7"/>
  <c r="CN92" i="7"/>
  <c r="CJ92" i="7"/>
  <c r="CI92" i="7"/>
  <c r="CH92" i="7"/>
  <c r="CG92" i="7"/>
  <c r="CF92" i="7"/>
  <c r="CE92" i="7"/>
  <c r="CD92" i="7"/>
  <c r="CC92" i="7"/>
  <c r="CB92" i="7"/>
  <c r="CA92" i="7"/>
  <c r="BZ92" i="7"/>
  <c r="BY92" i="7"/>
  <c r="BX92" i="7"/>
  <c r="BW92" i="7"/>
  <c r="BV92" i="7"/>
  <c r="BH92" i="7"/>
  <c r="BG92" i="7"/>
  <c r="AV92" i="7"/>
  <c r="AU92" i="7"/>
  <c r="AT92" i="7"/>
  <c r="AS92" i="7"/>
  <c r="AR92" i="7"/>
  <c r="AP92" i="7"/>
  <c r="AF92" i="7"/>
  <c r="AE92" i="7"/>
  <c r="AC92" i="7"/>
  <c r="AA92" i="7"/>
  <c r="Z92" i="7"/>
  <c r="X92" i="7"/>
  <c r="W92" i="7"/>
  <c r="V92" i="7"/>
  <c r="T92" i="7"/>
  <c r="R92" i="7"/>
  <c r="N92" i="7"/>
  <c r="L92" i="7"/>
  <c r="K92" i="7"/>
  <c r="J92" i="7"/>
  <c r="I92" i="7"/>
  <c r="H92" i="7"/>
  <c r="G92" i="7"/>
  <c r="F92" i="7"/>
  <c r="E92" i="7"/>
  <c r="C92" i="7"/>
  <c r="B92" i="7"/>
  <c r="A92" i="7"/>
  <c r="DE91" i="7"/>
  <c r="DA91" i="7"/>
  <c r="CY91" i="7"/>
  <c r="CX91" i="7"/>
  <c r="CW91" i="7"/>
  <c r="CU91" i="7"/>
  <c r="CS91" i="7"/>
  <c r="CQ91" i="7"/>
  <c r="CP91" i="7"/>
  <c r="CO91" i="7"/>
  <c r="CN91" i="7"/>
  <c r="CJ91" i="7"/>
  <c r="CI91" i="7"/>
  <c r="CH91" i="7"/>
  <c r="CG91" i="7"/>
  <c r="CF91" i="7"/>
  <c r="CE91" i="7"/>
  <c r="CD91" i="7"/>
  <c r="CC91" i="7"/>
  <c r="CB91" i="7"/>
  <c r="CA91" i="7"/>
  <c r="BZ91" i="7"/>
  <c r="BY91" i="7"/>
  <c r="BX91" i="7"/>
  <c r="BW91" i="7"/>
  <c r="BV91" i="7"/>
  <c r="BH91" i="7"/>
  <c r="BG91" i="7"/>
  <c r="AV91" i="7"/>
  <c r="AU91" i="7"/>
  <c r="AT91" i="7"/>
  <c r="AS91" i="7"/>
  <c r="AR91" i="7"/>
  <c r="AP91" i="7"/>
  <c r="AF91" i="7"/>
  <c r="AE91" i="7"/>
  <c r="AC91" i="7"/>
  <c r="AA91" i="7"/>
  <c r="Z91" i="7"/>
  <c r="X91" i="7"/>
  <c r="W91" i="7"/>
  <c r="V91" i="7"/>
  <c r="T91" i="7"/>
  <c r="R91" i="7"/>
  <c r="N91" i="7"/>
  <c r="L91" i="7"/>
  <c r="K91" i="7"/>
  <c r="J91" i="7"/>
  <c r="I91" i="7"/>
  <c r="H91" i="7"/>
  <c r="G91" i="7"/>
  <c r="F91" i="7"/>
  <c r="E91" i="7"/>
  <c r="C91" i="7"/>
  <c r="B91" i="7"/>
  <c r="A91" i="7"/>
  <c r="DE90" i="7"/>
  <c r="DA90" i="7"/>
  <c r="CY90" i="7"/>
  <c r="CX90" i="7"/>
  <c r="CW90" i="7"/>
  <c r="CU90" i="7"/>
  <c r="CS90" i="7"/>
  <c r="CR90" i="7"/>
  <c r="CQ90" i="7"/>
  <c r="CP90" i="7"/>
  <c r="CO90" i="7"/>
  <c r="CN90" i="7"/>
  <c r="CJ90" i="7"/>
  <c r="CI90" i="7"/>
  <c r="CH90" i="7"/>
  <c r="CG90" i="7"/>
  <c r="CF90" i="7"/>
  <c r="CE90" i="7"/>
  <c r="CD90" i="7"/>
  <c r="CC90" i="7"/>
  <c r="CB90" i="7"/>
  <c r="CA90" i="7"/>
  <c r="BZ90" i="7"/>
  <c r="BY90" i="7"/>
  <c r="BX90" i="7"/>
  <c r="BW90" i="7"/>
  <c r="BV90" i="7"/>
  <c r="BH90" i="7"/>
  <c r="BG90" i="7"/>
  <c r="AV90" i="7"/>
  <c r="AU90" i="7"/>
  <c r="AT90" i="7"/>
  <c r="AS90" i="7"/>
  <c r="AR90" i="7"/>
  <c r="AP90" i="7"/>
  <c r="AF90" i="7"/>
  <c r="AE90" i="7"/>
  <c r="AC90" i="7"/>
  <c r="AA90" i="7"/>
  <c r="Z90" i="7"/>
  <c r="X90" i="7"/>
  <c r="W90" i="7"/>
  <c r="V90" i="7"/>
  <c r="T90" i="7"/>
  <c r="R90" i="7"/>
  <c r="N90" i="7"/>
  <c r="L90" i="7"/>
  <c r="K90" i="7"/>
  <c r="J90" i="7"/>
  <c r="I90" i="7"/>
  <c r="H90" i="7"/>
  <c r="G90" i="7"/>
  <c r="F90" i="7"/>
  <c r="E90" i="7"/>
  <c r="C90" i="7"/>
  <c r="B90" i="7"/>
  <c r="A90" i="7"/>
  <c r="DE89" i="7"/>
  <c r="DA89" i="7"/>
  <c r="CY89" i="7"/>
  <c r="CX89" i="7"/>
  <c r="CW89" i="7"/>
  <c r="CU89" i="7"/>
  <c r="CS89" i="7"/>
  <c r="CQ89" i="7"/>
  <c r="CP89" i="7"/>
  <c r="CO89" i="7"/>
  <c r="CN89" i="7"/>
  <c r="CJ89" i="7"/>
  <c r="CI89" i="7"/>
  <c r="CH89" i="7"/>
  <c r="CG89" i="7"/>
  <c r="CF89" i="7"/>
  <c r="CE89" i="7"/>
  <c r="CD89" i="7"/>
  <c r="CC89" i="7"/>
  <c r="CB89" i="7"/>
  <c r="CA89" i="7"/>
  <c r="BZ89" i="7"/>
  <c r="BY89" i="7"/>
  <c r="BX89" i="7"/>
  <c r="BW89" i="7"/>
  <c r="BV89" i="7"/>
  <c r="BH89" i="7"/>
  <c r="BG89" i="7"/>
  <c r="AV89" i="7"/>
  <c r="AU89" i="7"/>
  <c r="AT89" i="7"/>
  <c r="AS89" i="7"/>
  <c r="AR89" i="7"/>
  <c r="AP89" i="7"/>
  <c r="AF89" i="7"/>
  <c r="AE89" i="7"/>
  <c r="AC89" i="7"/>
  <c r="AA89" i="7"/>
  <c r="Z89" i="7"/>
  <c r="X89" i="7"/>
  <c r="W89" i="7"/>
  <c r="V89" i="7"/>
  <c r="T89" i="7"/>
  <c r="R89" i="7"/>
  <c r="N89" i="7"/>
  <c r="L89" i="7"/>
  <c r="K89" i="7"/>
  <c r="J89" i="7"/>
  <c r="I89" i="7"/>
  <c r="H89" i="7"/>
  <c r="G89" i="7"/>
  <c r="F89" i="7"/>
  <c r="E89" i="7"/>
  <c r="C89" i="7"/>
  <c r="B89" i="7"/>
  <c r="A89" i="7"/>
  <c r="DE88" i="7"/>
  <c r="DA88" i="7"/>
  <c r="CY88" i="7"/>
  <c r="CX88" i="7"/>
  <c r="CW88" i="7"/>
  <c r="CU88" i="7"/>
  <c r="CS88" i="7"/>
  <c r="CR88" i="7"/>
  <c r="CQ88" i="7"/>
  <c r="CP88" i="7"/>
  <c r="CO88" i="7"/>
  <c r="CN88" i="7"/>
  <c r="CJ88" i="7"/>
  <c r="CI88" i="7"/>
  <c r="CH88" i="7"/>
  <c r="CG88" i="7"/>
  <c r="CF88" i="7"/>
  <c r="CE88" i="7"/>
  <c r="CD88" i="7"/>
  <c r="CC88" i="7"/>
  <c r="CB88" i="7"/>
  <c r="CA88" i="7"/>
  <c r="BZ88" i="7"/>
  <c r="BY88" i="7"/>
  <c r="BX88" i="7"/>
  <c r="BW88" i="7"/>
  <c r="BV88" i="7"/>
  <c r="BH88" i="7"/>
  <c r="BG88" i="7"/>
  <c r="AV88" i="7"/>
  <c r="AU88" i="7"/>
  <c r="AT88" i="7"/>
  <c r="AS88" i="7"/>
  <c r="AR88" i="7"/>
  <c r="AP88" i="7"/>
  <c r="AF88" i="7"/>
  <c r="AE88" i="7"/>
  <c r="AC88" i="7"/>
  <c r="AA88" i="7"/>
  <c r="Z88" i="7"/>
  <c r="X88" i="7"/>
  <c r="W88" i="7"/>
  <c r="V88" i="7"/>
  <c r="T88" i="7"/>
  <c r="R88" i="7"/>
  <c r="N88" i="7"/>
  <c r="L88" i="7"/>
  <c r="K88" i="7"/>
  <c r="J88" i="7"/>
  <c r="I88" i="7"/>
  <c r="H88" i="7"/>
  <c r="G88" i="7"/>
  <c r="F88" i="7"/>
  <c r="E88" i="7"/>
  <c r="C88" i="7"/>
  <c r="B88" i="7"/>
  <c r="A88" i="7"/>
  <c r="DE87" i="7"/>
  <c r="DA87" i="7"/>
  <c r="CY87" i="7"/>
  <c r="CX87" i="7"/>
  <c r="CW87" i="7"/>
  <c r="CU87" i="7"/>
  <c r="CS87" i="7"/>
  <c r="CQ87" i="7"/>
  <c r="CP87" i="7"/>
  <c r="CO87" i="7"/>
  <c r="CN87" i="7"/>
  <c r="CJ87" i="7"/>
  <c r="CI87" i="7"/>
  <c r="CH87" i="7"/>
  <c r="CG87" i="7"/>
  <c r="CF87" i="7"/>
  <c r="CE87" i="7"/>
  <c r="CD87" i="7"/>
  <c r="CC87" i="7"/>
  <c r="CB87" i="7"/>
  <c r="CA87" i="7"/>
  <c r="BZ87" i="7"/>
  <c r="BY87" i="7"/>
  <c r="BX87" i="7"/>
  <c r="BW87" i="7"/>
  <c r="BV87" i="7"/>
  <c r="BH87" i="7"/>
  <c r="BG87" i="7"/>
  <c r="AV87" i="7"/>
  <c r="AU87" i="7"/>
  <c r="AT87" i="7"/>
  <c r="AS87" i="7"/>
  <c r="AR87" i="7"/>
  <c r="AP87" i="7"/>
  <c r="AF87" i="7"/>
  <c r="AE87" i="7"/>
  <c r="AC87" i="7"/>
  <c r="AA87" i="7"/>
  <c r="Z87" i="7"/>
  <c r="X87" i="7"/>
  <c r="W87" i="7"/>
  <c r="V87" i="7"/>
  <c r="T87" i="7"/>
  <c r="R87" i="7"/>
  <c r="N87" i="7"/>
  <c r="L87" i="7"/>
  <c r="K87" i="7"/>
  <c r="J87" i="7"/>
  <c r="I87" i="7"/>
  <c r="H87" i="7"/>
  <c r="G87" i="7"/>
  <c r="F87" i="7"/>
  <c r="E87" i="7"/>
  <c r="C87" i="7"/>
  <c r="B87" i="7"/>
  <c r="A87" i="7"/>
  <c r="DE86" i="7"/>
  <c r="DA86" i="7"/>
  <c r="CY86" i="7"/>
  <c r="CX86" i="7"/>
  <c r="CW86" i="7"/>
  <c r="CU86" i="7"/>
  <c r="CS86" i="7"/>
  <c r="CR86" i="7"/>
  <c r="CQ86" i="7"/>
  <c r="CP86" i="7"/>
  <c r="CO86" i="7"/>
  <c r="CN86" i="7"/>
  <c r="CJ86" i="7"/>
  <c r="CI86" i="7"/>
  <c r="CH86" i="7"/>
  <c r="CG86" i="7"/>
  <c r="CF86" i="7"/>
  <c r="CE86" i="7"/>
  <c r="CD86" i="7"/>
  <c r="CC86" i="7"/>
  <c r="CB86" i="7"/>
  <c r="CA86" i="7"/>
  <c r="BZ86" i="7"/>
  <c r="BY86" i="7"/>
  <c r="BX86" i="7"/>
  <c r="BW86" i="7"/>
  <c r="BV86" i="7"/>
  <c r="BH86" i="7"/>
  <c r="BG86" i="7"/>
  <c r="AV86" i="7"/>
  <c r="AU86" i="7"/>
  <c r="AT86" i="7"/>
  <c r="AS86" i="7"/>
  <c r="AR86" i="7"/>
  <c r="AP86" i="7"/>
  <c r="AF86" i="7"/>
  <c r="AE86" i="7"/>
  <c r="AC86" i="7"/>
  <c r="AA86" i="7"/>
  <c r="Z86" i="7"/>
  <c r="X86" i="7"/>
  <c r="W86" i="7"/>
  <c r="V86" i="7"/>
  <c r="T86" i="7"/>
  <c r="R86" i="7"/>
  <c r="N86" i="7"/>
  <c r="L86" i="7"/>
  <c r="K86" i="7"/>
  <c r="J86" i="7"/>
  <c r="I86" i="7"/>
  <c r="H86" i="7"/>
  <c r="G86" i="7"/>
  <c r="F86" i="7"/>
  <c r="E86" i="7"/>
  <c r="C86" i="7"/>
  <c r="B86" i="7"/>
  <c r="A86" i="7"/>
  <c r="DE85" i="7"/>
  <c r="DA85" i="7"/>
  <c r="CY85" i="7"/>
  <c r="CX85" i="7"/>
  <c r="CW85" i="7"/>
  <c r="CU85" i="7"/>
  <c r="CS85" i="7"/>
  <c r="CQ85" i="7"/>
  <c r="CP85" i="7"/>
  <c r="CO85" i="7"/>
  <c r="CN85" i="7"/>
  <c r="CJ85" i="7"/>
  <c r="CI85" i="7"/>
  <c r="CH85" i="7"/>
  <c r="CG85" i="7"/>
  <c r="CF85" i="7"/>
  <c r="CE85" i="7"/>
  <c r="CD85" i="7"/>
  <c r="CC85" i="7"/>
  <c r="CB85" i="7"/>
  <c r="CA85" i="7"/>
  <c r="BZ85" i="7"/>
  <c r="BY85" i="7"/>
  <c r="BX85" i="7"/>
  <c r="BW85" i="7"/>
  <c r="BV85" i="7"/>
  <c r="BH85" i="7"/>
  <c r="BG85" i="7"/>
  <c r="AV85" i="7"/>
  <c r="AU85" i="7"/>
  <c r="AT85" i="7"/>
  <c r="AS85" i="7"/>
  <c r="AR85" i="7"/>
  <c r="AP85" i="7"/>
  <c r="AF85" i="7"/>
  <c r="AE85" i="7"/>
  <c r="AC85" i="7"/>
  <c r="AA85" i="7"/>
  <c r="Z85" i="7"/>
  <c r="X85" i="7"/>
  <c r="W85" i="7"/>
  <c r="V85" i="7"/>
  <c r="T85" i="7"/>
  <c r="R85" i="7"/>
  <c r="N85" i="7"/>
  <c r="L85" i="7"/>
  <c r="K85" i="7"/>
  <c r="J85" i="7"/>
  <c r="I85" i="7"/>
  <c r="H85" i="7"/>
  <c r="G85" i="7"/>
  <c r="F85" i="7"/>
  <c r="E85" i="7"/>
  <c r="C85" i="7"/>
  <c r="B85" i="7"/>
  <c r="A85" i="7"/>
  <c r="DE84" i="7"/>
  <c r="DA84" i="7"/>
  <c r="CY84" i="7"/>
  <c r="CX84" i="7"/>
  <c r="CW84" i="7"/>
  <c r="CU84" i="7"/>
  <c r="CS84" i="7"/>
  <c r="CR84" i="7"/>
  <c r="CQ84" i="7"/>
  <c r="CP84" i="7"/>
  <c r="CO84" i="7"/>
  <c r="CN84" i="7"/>
  <c r="CJ84" i="7"/>
  <c r="CI84" i="7"/>
  <c r="CH84" i="7"/>
  <c r="CG84" i="7"/>
  <c r="CF84" i="7"/>
  <c r="CE84" i="7"/>
  <c r="CD84" i="7"/>
  <c r="CC84" i="7"/>
  <c r="CB84" i="7"/>
  <c r="CA84" i="7"/>
  <c r="BZ84" i="7"/>
  <c r="BY84" i="7"/>
  <c r="BX84" i="7"/>
  <c r="BW84" i="7"/>
  <c r="BV84" i="7"/>
  <c r="BH84" i="7"/>
  <c r="BG84" i="7"/>
  <c r="AV84" i="7"/>
  <c r="AU84" i="7"/>
  <c r="AT84" i="7"/>
  <c r="AS84" i="7"/>
  <c r="AR84" i="7"/>
  <c r="AP84" i="7"/>
  <c r="AF84" i="7"/>
  <c r="AE84" i="7"/>
  <c r="AC84" i="7"/>
  <c r="AA84" i="7"/>
  <c r="Z84" i="7"/>
  <c r="X84" i="7"/>
  <c r="W84" i="7"/>
  <c r="V84" i="7"/>
  <c r="T84" i="7"/>
  <c r="R84" i="7"/>
  <c r="N84" i="7"/>
  <c r="L84" i="7"/>
  <c r="K84" i="7"/>
  <c r="J84" i="7"/>
  <c r="I84" i="7"/>
  <c r="H84" i="7"/>
  <c r="G84" i="7"/>
  <c r="F84" i="7"/>
  <c r="E84" i="7"/>
  <c r="C84" i="7"/>
  <c r="B84" i="7"/>
  <c r="A84" i="7"/>
  <c r="DE83" i="7"/>
  <c r="DA83" i="7"/>
  <c r="CY83" i="7"/>
  <c r="CX83" i="7"/>
  <c r="CW83" i="7"/>
  <c r="CU83" i="7"/>
  <c r="CS83" i="7"/>
  <c r="CQ83" i="7"/>
  <c r="CP83" i="7"/>
  <c r="CO83" i="7"/>
  <c r="CN83" i="7"/>
  <c r="CJ83" i="7"/>
  <c r="CI83" i="7"/>
  <c r="CH83" i="7"/>
  <c r="CG83" i="7"/>
  <c r="CF83" i="7"/>
  <c r="CE83" i="7"/>
  <c r="CD83" i="7"/>
  <c r="CC83" i="7"/>
  <c r="CB83" i="7"/>
  <c r="CA83" i="7"/>
  <c r="BZ83" i="7"/>
  <c r="BY83" i="7"/>
  <c r="BX83" i="7"/>
  <c r="BW83" i="7"/>
  <c r="BV83" i="7"/>
  <c r="BH83" i="7"/>
  <c r="BG83" i="7"/>
  <c r="AV83" i="7"/>
  <c r="AU83" i="7"/>
  <c r="AT83" i="7"/>
  <c r="AS83" i="7"/>
  <c r="AR83" i="7"/>
  <c r="AP83" i="7"/>
  <c r="AF83" i="7"/>
  <c r="AE83" i="7"/>
  <c r="AC83" i="7"/>
  <c r="AA83" i="7"/>
  <c r="Z83" i="7"/>
  <c r="X83" i="7"/>
  <c r="W83" i="7"/>
  <c r="V83" i="7"/>
  <c r="T83" i="7"/>
  <c r="R83" i="7"/>
  <c r="N83" i="7"/>
  <c r="L83" i="7"/>
  <c r="K83" i="7"/>
  <c r="J83" i="7"/>
  <c r="I83" i="7"/>
  <c r="H83" i="7"/>
  <c r="G83" i="7"/>
  <c r="F83" i="7"/>
  <c r="E83" i="7"/>
  <c r="C83" i="7"/>
  <c r="B83" i="7"/>
  <c r="A83" i="7"/>
  <c r="DE82" i="7"/>
  <c r="DA82" i="7"/>
  <c r="CY82" i="7"/>
  <c r="CX82" i="7"/>
  <c r="CW82" i="7"/>
  <c r="CU82" i="7"/>
  <c r="CS82" i="7"/>
  <c r="CR82" i="7"/>
  <c r="CQ82" i="7"/>
  <c r="CP82" i="7"/>
  <c r="CO82" i="7"/>
  <c r="CN82" i="7"/>
  <c r="CJ82" i="7"/>
  <c r="CI82" i="7"/>
  <c r="CH82" i="7"/>
  <c r="CG82" i="7"/>
  <c r="CF82" i="7"/>
  <c r="CE82" i="7"/>
  <c r="CD82" i="7"/>
  <c r="CC82" i="7"/>
  <c r="CB82" i="7"/>
  <c r="CA82" i="7"/>
  <c r="BZ82" i="7"/>
  <c r="BY82" i="7"/>
  <c r="BX82" i="7"/>
  <c r="BW82" i="7"/>
  <c r="BV82" i="7"/>
  <c r="BH82" i="7"/>
  <c r="BG82" i="7"/>
  <c r="AV82" i="7"/>
  <c r="AU82" i="7"/>
  <c r="AT82" i="7"/>
  <c r="AS82" i="7"/>
  <c r="AR82" i="7"/>
  <c r="AP82" i="7"/>
  <c r="AF82" i="7"/>
  <c r="AE82" i="7"/>
  <c r="AC82" i="7"/>
  <c r="AA82" i="7"/>
  <c r="Z82" i="7"/>
  <c r="X82" i="7"/>
  <c r="W82" i="7"/>
  <c r="V82" i="7"/>
  <c r="T82" i="7"/>
  <c r="R82" i="7"/>
  <c r="N82" i="7"/>
  <c r="L82" i="7"/>
  <c r="K82" i="7"/>
  <c r="J82" i="7"/>
  <c r="I82" i="7"/>
  <c r="H82" i="7"/>
  <c r="G82" i="7"/>
  <c r="F82" i="7"/>
  <c r="E82" i="7"/>
  <c r="C82" i="7"/>
  <c r="B82" i="7"/>
  <c r="A82" i="7"/>
  <c r="DE81" i="7"/>
  <c r="DA81" i="7"/>
  <c r="CY81" i="7"/>
  <c r="CX81" i="7"/>
  <c r="CW81" i="7"/>
  <c r="CU81" i="7"/>
  <c r="CS81" i="7"/>
  <c r="CQ81" i="7"/>
  <c r="CP81" i="7"/>
  <c r="CO81" i="7"/>
  <c r="CN81" i="7"/>
  <c r="CJ81" i="7"/>
  <c r="CI81" i="7"/>
  <c r="CH81" i="7"/>
  <c r="CG81" i="7"/>
  <c r="CF81" i="7"/>
  <c r="CE81" i="7"/>
  <c r="CD81" i="7"/>
  <c r="CC81" i="7"/>
  <c r="CB81" i="7"/>
  <c r="CA81" i="7"/>
  <c r="BZ81" i="7"/>
  <c r="BY81" i="7"/>
  <c r="BX81" i="7"/>
  <c r="BW81" i="7"/>
  <c r="BV81" i="7"/>
  <c r="BH81" i="7"/>
  <c r="BG81" i="7"/>
  <c r="AV81" i="7"/>
  <c r="AU81" i="7"/>
  <c r="AT81" i="7"/>
  <c r="AS81" i="7"/>
  <c r="AR81" i="7"/>
  <c r="AP81" i="7"/>
  <c r="AF81" i="7"/>
  <c r="AE81" i="7"/>
  <c r="AC81" i="7"/>
  <c r="AA81" i="7"/>
  <c r="Z81" i="7"/>
  <c r="X81" i="7"/>
  <c r="W81" i="7"/>
  <c r="V81" i="7"/>
  <c r="T81" i="7"/>
  <c r="R81" i="7"/>
  <c r="N81" i="7"/>
  <c r="L81" i="7"/>
  <c r="K81" i="7"/>
  <c r="J81" i="7"/>
  <c r="I81" i="7"/>
  <c r="H81" i="7"/>
  <c r="G81" i="7"/>
  <c r="F81" i="7"/>
  <c r="E81" i="7"/>
  <c r="C81" i="7"/>
  <c r="B81" i="7"/>
  <c r="A81" i="7"/>
  <c r="DE80" i="7"/>
  <c r="DA80" i="7"/>
  <c r="CY80" i="7"/>
  <c r="CX80" i="7"/>
  <c r="CW80" i="7"/>
  <c r="CU80" i="7"/>
  <c r="CS80" i="7"/>
  <c r="CR80" i="7"/>
  <c r="CQ80" i="7"/>
  <c r="CP80" i="7"/>
  <c r="CO80" i="7"/>
  <c r="CN80" i="7"/>
  <c r="CJ80" i="7"/>
  <c r="CI80" i="7"/>
  <c r="CH80" i="7"/>
  <c r="CG80" i="7"/>
  <c r="CF80" i="7"/>
  <c r="CE80" i="7"/>
  <c r="CD80" i="7"/>
  <c r="CC80" i="7"/>
  <c r="CB80" i="7"/>
  <c r="CA80" i="7"/>
  <c r="BZ80" i="7"/>
  <c r="BY80" i="7"/>
  <c r="BX80" i="7"/>
  <c r="BW80" i="7"/>
  <c r="BV80" i="7"/>
  <c r="BH80" i="7"/>
  <c r="BG80" i="7"/>
  <c r="AV80" i="7"/>
  <c r="AU80" i="7"/>
  <c r="AT80" i="7"/>
  <c r="AS80" i="7"/>
  <c r="AR80" i="7"/>
  <c r="AP80" i="7"/>
  <c r="AF80" i="7"/>
  <c r="AE80" i="7"/>
  <c r="AC80" i="7"/>
  <c r="AA80" i="7"/>
  <c r="Z80" i="7"/>
  <c r="X80" i="7"/>
  <c r="W80" i="7"/>
  <c r="V80" i="7"/>
  <c r="T80" i="7"/>
  <c r="R80" i="7"/>
  <c r="N80" i="7"/>
  <c r="L80" i="7"/>
  <c r="K80" i="7"/>
  <c r="J80" i="7"/>
  <c r="I80" i="7"/>
  <c r="H80" i="7"/>
  <c r="G80" i="7"/>
  <c r="F80" i="7"/>
  <c r="E80" i="7"/>
  <c r="C80" i="7"/>
  <c r="B80" i="7"/>
  <c r="A80" i="7"/>
  <c r="DE79" i="7"/>
  <c r="DA79" i="7"/>
  <c r="CY79" i="7"/>
  <c r="CX79" i="7"/>
  <c r="CW79" i="7"/>
  <c r="CU79" i="7"/>
  <c r="CS79" i="7"/>
  <c r="CQ79" i="7"/>
  <c r="CP79" i="7"/>
  <c r="CO79" i="7"/>
  <c r="CN79" i="7"/>
  <c r="CJ79" i="7"/>
  <c r="CI79" i="7"/>
  <c r="CH79" i="7"/>
  <c r="CG79" i="7"/>
  <c r="CF79" i="7"/>
  <c r="CE79" i="7"/>
  <c r="CD79" i="7"/>
  <c r="CC79" i="7"/>
  <c r="CB79" i="7"/>
  <c r="CA79" i="7"/>
  <c r="BZ79" i="7"/>
  <c r="BY79" i="7"/>
  <c r="BX79" i="7"/>
  <c r="BW79" i="7"/>
  <c r="BV79" i="7"/>
  <c r="BH79" i="7"/>
  <c r="BG79" i="7"/>
  <c r="AV79" i="7"/>
  <c r="AU79" i="7"/>
  <c r="AT79" i="7"/>
  <c r="AS79" i="7"/>
  <c r="AR79" i="7"/>
  <c r="AP79" i="7"/>
  <c r="AF79" i="7"/>
  <c r="AE79" i="7"/>
  <c r="AC79" i="7"/>
  <c r="AA79" i="7"/>
  <c r="Z79" i="7"/>
  <c r="X79" i="7"/>
  <c r="W79" i="7"/>
  <c r="V79" i="7"/>
  <c r="T79" i="7"/>
  <c r="R79" i="7"/>
  <c r="N79" i="7"/>
  <c r="L79" i="7"/>
  <c r="K79" i="7"/>
  <c r="J79" i="7"/>
  <c r="I79" i="7"/>
  <c r="H79" i="7"/>
  <c r="G79" i="7"/>
  <c r="F79" i="7"/>
  <c r="E79" i="7"/>
  <c r="C79" i="7"/>
  <c r="B79" i="7"/>
  <c r="A79" i="7"/>
  <c r="DE78" i="7"/>
  <c r="DA78" i="7"/>
  <c r="CY78" i="7"/>
  <c r="CX78" i="7"/>
  <c r="CW78" i="7"/>
  <c r="CU78" i="7"/>
  <c r="CS78" i="7"/>
  <c r="CR78" i="7"/>
  <c r="CQ78" i="7"/>
  <c r="CP78" i="7"/>
  <c r="CO78" i="7"/>
  <c r="CN78" i="7"/>
  <c r="CJ78" i="7"/>
  <c r="CI78" i="7"/>
  <c r="CH78" i="7"/>
  <c r="CG78" i="7"/>
  <c r="CF78" i="7"/>
  <c r="CE78" i="7"/>
  <c r="CD78" i="7"/>
  <c r="CC78" i="7"/>
  <c r="CB78" i="7"/>
  <c r="CA78" i="7"/>
  <c r="BZ78" i="7"/>
  <c r="BY78" i="7"/>
  <c r="BX78" i="7"/>
  <c r="BW78" i="7"/>
  <c r="BV78" i="7"/>
  <c r="BH78" i="7"/>
  <c r="BG78" i="7"/>
  <c r="AV78" i="7"/>
  <c r="AU78" i="7"/>
  <c r="AT78" i="7"/>
  <c r="AS78" i="7"/>
  <c r="AR78" i="7"/>
  <c r="AP78" i="7"/>
  <c r="AF78" i="7"/>
  <c r="AE78" i="7"/>
  <c r="AC78" i="7"/>
  <c r="AA78" i="7"/>
  <c r="Z78" i="7"/>
  <c r="X78" i="7"/>
  <c r="W78" i="7"/>
  <c r="V78" i="7"/>
  <c r="T78" i="7"/>
  <c r="R78" i="7"/>
  <c r="N78" i="7"/>
  <c r="L78" i="7"/>
  <c r="K78" i="7"/>
  <c r="J78" i="7"/>
  <c r="I78" i="7"/>
  <c r="H78" i="7"/>
  <c r="G78" i="7"/>
  <c r="F78" i="7"/>
  <c r="E78" i="7"/>
  <c r="C78" i="7"/>
  <c r="B78" i="7"/>
  <c r="A78" i="7"/>
  <c r="DE77" i="7"/>
  <c r="DA77" i="7"/>
  <c r="CY77" i="7"/>
  <c r="CX77" i="7"/>
  <c r="CW77" i="7"/>
  <c r="CU77" i="7"/>
  <c r="CS77" i="7"/>
  <c r="CQ77" i="7"/>
  <c r="CP77" i="7"/>
  <c r="CO77" i="7"/>
  <c r="CN77" i="7"/>
  <c r="CJ77" i="7"/>
  <c r="CI77" i="7"/>
  <c r="CH77" i="7"/>
  <c r="CG77" i="7"/>
  <c r="CF77" i="7"/>
  <c r="CE77" i="7"/>
  <c r="CD77" i="7"/>
  <c r="CC77" i="7"/>
  <c r="CB77" i="7"/>
  <c r="CA77" i="7"/>
  <c r="BZ77" i="7"/>
  <c r="BY77" i="7"/>
  <c r="BX77" i="7"/>
  <c r="BW77" i="7"/>
  <c r="BV77" i="7"/>
  <c r="BH77" i="7"/>
  <c r="BG77" i="7"/>
  <c r="AV77" i="7"/>
  <c r="AU77" i="7"/>
  <c r="AT77" i="7"/>
  <c r="AS77" i="7"/>
  <c r="AR77" i="7"/>
  <c r="AP77" i="7"/>
  <c r="AF77" i="7"/>
  <c r="AE77" i="7"/>
  <c r="AC77" i="7"/>
  <c r="AA77" i="7"/>
  <c r="Z77" i="7"/>
  <c r="X77" i="7"/>
  <c r="W77" i="7"/>
  <c r="V77" i="7"/>
  <c r="T77" i="7"/>
  <c r="R77" i="7"/>
  <c r="N77" i="7"/>
  <c r="L77" i="7"/>
  <c r="K77" i="7"/>
  <c r="J77" i="7"/>
  <c r="I77" i="7"/>
  <c r="H77" i="7"/>
  <c r="G77" i="7"/>
  <c r="F77" i="7"/>
  <c r="E77" i="7"/>
  <c r="C77" i="7"/>
  <c r="B77" i="7"/>
  <c r="A77" i="7"/>
  <c r="DE76" i="7"/>
  <c r="DA76" i="7"/>
  <c r="CY76" i="7"/>
  <c r="CX76" i="7"/>
  <c r="CW76" i="7"/>
  <c r="CU76" i="7"/>
  <c r="CS76" i="7"/>
  <c r="CR76" i="7"/>
  <c r="CQ76" i="7"/>
  <c r="CP76" i="7"/>
  <c r="CO76" i="7"/>
  <c r="CN76" i="7"/>
  <c r="CJ76" i="7"/>
  <c r="CI76" i="7"/>
  <c r="CH76" i="7"/>
  <c r="CG76" i="7"/>
  <c r="CF76" i="7"/>
  <c r="CE76" i="7"/>
  <c r="CD76" i="7"/>
  <c r="CC76" i="7"/>
  <c r="CB76" i="7"/>
  <c r="CA76" i="7"/>
  <c r="BZ76" i="7"/>
  <c r="BY76" i="7"/>
  <c r="BX76" i="7"/>
  <c r="BW76" i="7"/>
  <c r="BV76" i="7"/>
  <c r="BH76" i="7"/>
  <c r="BG76" i="7"/>
  <c r="AV76" i="7"/>
  <c r="AU76" i="7"/>
  <c r="AT76" i="7"/>
  <c r="AS76" i="7"/>
  <c r="AR76" i="7"/>
  <c r="AP76" i="7"/>
  <c r="AF76" i="7"/>
  <c r="AE76" i="7"/>
  <c r="AC76" i="7"/>
  <c r="AA76" i="7"/>
  <c r="Z76" i="7"/>
  <c r="X76" i="7"/>
  <c r="W76" i="7"/>
  <c r="V76" i="7"/>
  <c r="T76" i="7"/>
  <c r="R76" i="7"/>
  <c r="N76" i="7"/>
  <c r="L76" i="7"/>
  <c r="K76" i="7"/>
  <c r="J76" i="7"/>
  <c r="I76" i="7"/>
  <c r="H76" i="7"/>
  <c r="G76" i="7"/>
  <c r="F76" i="7"/>
  <c r="E76" i="7"/>
  <c r="C76" i="7"/>
  <c r="B76" i="7"/>
  <c r="A76" i="7"/>
  <c r="DE75" i="7"/>
  <c r="DA75" i="7"/>
  <c r="CY75" i="7"/>
  <c r="CX75" i="7"/>
  <c r="CW75" i="7"/>
  <c r="CU75" i="7"/>
  <c r="CS75" i="7"/>
  <c r="CQ75" i="7"/>
  <c r="CP75" i="7"/>
  <c r="CO75" i="7"/>
  <c r="CN75" i="7"/>
  <c r="CJ75" i="7"/>
  <c r="CI75" i="7"/>
  <c r="CH75" i="7"/>
  <c r="CG75" i="7"/>
  <c r="CF75" i="7"/>
  <c r="CE75" i="7"/>
  <c r="CD75" i="7"/>
  <c r="CC75" i="7"/>
  <c r="CB75" i="7"/>
  <c r="CA75" i="7"/>
  <c r="BZ75" i="7"/>
  <c r="BY75" i="7"/>
  <c r="BX75" i="7"/>
  <c r="BW75" i="7"/>
  <c r="BV75" i="7"/>
  <c r="BH75" i="7"/>
  <c r="BG75" i="7"/>
  <c r="AV75" i="7"/>
  <c r="AU75" i="7"/>
  <c r="AT75" i="7"/>
  <c r="AS75" i="7"/>
  <c r="AR75" i="7"/>
  <c r="AP75" i="7"/>
  <c r="AF75" i="7"/>
  <c r="AE75" i="7"/>
  <c r="AC75" i="7"/>
  <c r="AA75" i="7"/>
  <c r="Z75" i="7"/>
  <c r="X75" i="7"/>
  <c r="W75" i="7"/>
  <c r="V75" i="7"/>
  <c r="T75" i="7"/>
  <c r="R75" i="7"/>
  <c r="N75" i="7"/>
  <c r="L75" i="7"/>
  <c r="K75" i="7"/>
  <c r="J75" i="7"/>
  <c r="I75" i="7"/>
  <c r="H75" i="7"/>
  <c r="G75" i="7"/>
  <c r="F75" i="7"/>
  <c r="E75" i="7"/>
  <c r="C75" i="7"/>
  <c r="B75" i="7"/>
  <c r="A75" i="7"/>
  <c r="DE74" i="7"/>
  <c r="DA74" i="7"/>
  <c r="CY74" i="7"/>
  <c r="CX74" i="7"/>
  <c r="CW74" i="7"/>
  <c r="CU74" i="7"/>
  <c r="CS74" i="7"/>
  <c r="CR74" i="7"/>
  <c r="CQ74" i="7"/>
  <c r="CP74" i="7"/>
  <c r="CO74" i="7"/>
  <c r="CN74" i="7"/>
  <c r="CJ74" i="7"/>
  <c r="CI74" i="7"/>
  <c r="CH74" i="7"/>
  <c r="CG74" i="7"/>
  <c r="CF74" i="7"/>
  <c r="CE74" i="7"/>
  <c r="CD74" i="7"/>
  <c r="CC74" i="7"/>
  <c r="CB74" i="7"/>
  <c r="CA74" i="7"/>
  <c r="BZ74" i="7"/>
  <c r="BY74" i="7"/>
  <c r="BX74" i="7"/>
  <c r="BW74" i="7"/>
  <c r="BV74" i="7"/>
  <c r="BH74" i="7"/>
  <c r="BG74" i="7"/>
  <c r="AV74" i="7"/>
  <c r="AU74" i="7"/>
  <c r="AT74" i="7"/>
  <c r="AS74" i="7"/>
  <c r="AR74" i="7"/>
  <c r="AP74" i="7"/>
  <c r="AF74" i="7"/>
  <c r="AE74" i="7"/>
  <c r="AC74" i="7"/>
  <c r="AA74" i="7"/>
  <c r="Z74" i="7"/>
  <c r="X74" i="7"/>
  <c r="W74" i="7"/>
  <c r="V74" i="7"/>
  <c r="T74" i="7"/>
  <c r="R74" i="7"/>
  <c r="N74" i="7"/>
  <c r="L74" i="7"/>
  <c r="K74" i="7"/>
  <c r="J74" i="7"/>
  <c r="I74" i="7"/>
  <c r="H74" i="7"/>
  <c r="G74" i="7"/>
  <c r="F74" i="7"/>
  <c r="E74" i="7"/>
  <c r="C74" i="7"/>
  <c r="B74" i="7"/>
  <c r="A74" i="7"/>
  <c r="DE73" i="7"/>
  <c r="DA73" i="7"/>
  <c r="CY73" i="7"/>
  <c r="CX73" i="7"/>
  <c r="CW73" i="7"/>
  <c r="CU73" i="7"/>
  <c r="CS73" i="7"/>
  <c r="CQ73" i="7"/>
  <c r="CP73" i="7"/>
  <c r="CO73" i="7"/>
  <c r="CN73" i="7"/>
  <c r="CJ73" i="7"/>
  <c r="CI73" i="7"/>
  <c r="CH73" i="7"/>
  <c r="CG73" i="7"/>
  <c r="CF73" i="7"/>
  <c r="CE73" i="7"/>
  <c r="CD73" i="7"/>
  <c r="CC73" i="7"/>
  <c r="CB73" i="7"/>
  <c r="CA73" i="7"/>
  <c r="BZ73" i="7"/>
  <c r="BY73" i="7"/>
  <c r="BX73" i="7"/>
  <c r="BW73" i="7"/>
  <c r="BV73" i="7"/>
  <c r="BH73" i="7"/>
  <c r="BG73" i="7"/>
  <c r="AV73" i="7"/>
  <c r="AU73" i="7"/>
  <c r="AT73" i="7"/>
  <c r="AS73" i="7"/>
  <c r="AR73" i="7"/>
  <c r="AP73" i="7"/>
  <c r="AF73" i="7"/>
  <c r="AE73" i="7"/>
  <c r="AC73" i="7"/>
  <c r="AA73" i="7"/>
  <c r="Z73" i="7"/>
  <c r="X73" i="7"/>
  <c r="W73" i="7"/>
  <c r="V73" i="7"/>
  <c r="T73" i="7"/>
  <c r="R73" i="7"/>
  <c r="N73" i="7"/>
  <c r="L73" i="7"/>
  <c r="K73" i="7"/>
  <c r="J73" i="7"/>
  <c r="I73" i="7"/>
  <c r="H73" i="7"/>
  <c r="G73" i="7"/>
  <c r="F73" i="7"/>
  <c r="E73" i="7"/>
  <c r="C73" i="7"/>
  <c r="B73" i="7"/>
  <c r="A73" i="7"/>
  <c r="DE72" i="7"/>
  <c r="DA72" i="7"/>
  <c r="CY72" i="7"/>
  <c r="CX72" i="7"/>
  <c r="CW72" i="7"/>
  <c r="CU72" i="7"/>
  <c r="CS72" i="7"/>
  <c r="CR72" i="7"/>
  <c r="CQ72" i="7"/>
  <c r="CP72" i="7"/>
  <c r="CO72" i="7"/>
  <c r="CN72" i="7"/>
  <c r="CJ72" i="7"/>
  <c r="CI72" i="7"/>
  <c r="CH72" i="7"/>
  <c r="CG72" i="7"/>
  <c r="CF72" i="7"/>
  <c r="CE72" i="7"/>
  <c r="CD72" i="7"/>
  <c r="CC72" i="7"/>
  <c r="CB72" i="7"/>
  <c r="CA72" i="7"/>
  <c r="BZ72" i="7"/>
  <c r="BY72" i="7"/>
  <c r="BX72" i="7"/>
  <c r="BW72" i="7"/>
  <c r="BV72" i="7"/>
  <c r="BH72" i="7"/>
  <c r="BG72" i="7"/>
  <c r="AV72" i="7"/>
  <c r="AU72" i="7"/>
  <c r="AT72" i="7"/>
  <c r="AS72" i="7"/>
  <c r="AR72" i="7"/>
  <c r="AP72" i="7"/>
  <c r="AF72" i="7"/>
  <c r="AE72" i="7"/>
  <c r="AC72" i="7"/>
  <c r="AA72" i="7"/>
  <c r="Z72" i="7"/>
  <c r="X72" i="7"/>
  <c r="W72" i="7"/>
  <c r="V72" i="7"/>
  <c r="T72" i="7"/>
  <c r="R72" i="7"/>
  <c r="N72" i="7"/>
  <c r="L72" i="7"/>
  <c r="K72" i="7"/>
  <c r="J72" i="7"/>
  <c r="I72" i="7"/>
  <c r="H72" i="7"/>
  <c r="G72" i="7"/>
  <c r="F72" i="7"/>
  <c r="E72" i="7"/>
  <c r="C72" i="7"/>
  <c r="B72" i="7"/>
  <c r="A72" i="7"/>
  <c r="DE71" i="7"/>
  <c r="DA71" i="7"/>
  <c r="CY71" i="7"/>
  <c r="CX71" i="7"/>
  <c r="CW71" i="7"/>
  <c r="CU71" i="7"/>
  <c r="CS71" i="7"/>
  <c r="CQ71" i="7"/>
  <c r="CP71" i="7"/>
  <c r="CO71" i="7"/>
  <c r="CN71" i="7"/>
  <c r="CJ71" i="7"/>
  <c r="CI71" i="7"/>
  <c r="CH71" i="7"/>
  <c r="CG71" i="7"/>
  <c r="CF71" i="7"/>
  <c r="CE71" i="7"/>
  <c r="CD71" i="7"/>
  <c r="CC71" i="7"/>
  <c r="CB71" i="7"/>
  <c r="CA71" i="7"/>
  <c r="BZ71" i="7"/>
  <c r="BY71" i="7"/>
  <c r="BX71" i="7"/>
  <c r="BW71" i="7"/>
  <c r="BV71" i="7"/>
  <c r="BH71" i="7"/>
  <c r="BG71" i="7"/>
  <c r="AV71" i="7"/>
  <c r="AU71" i="7"/>
  <c r="AT71" i="7"/>
  <c r="AS71" i="7"/>
  <c r="AR71" i="7"/>
  <c r="AP71" i="7"/>
  <c r="AF71" i="7"/>
  <c r="AE71" i="7"/>
  <c r="AC71" i="7"/>
  <c r="AA71" i="7"/>
  <c r="Z71" i="7"/>
  <c r="X71" i="7"/>
  <c r="W71" i="7"/>
  <c r="V71" i="7"/>
  <c r="T71" i="7"/>
  <c r="R71" i="7"/>
  <c r="N71" i="7"/>
  <c r="L71" i="7"/>
  <c r="K71" i="7"/>
  <c r="J71" i="7"/>
  <c r="I71" i="7"/>
  <c r="H71" i="7"/>
  <c r="G71" i="7"/>
  <c r="F71" i="7"/>
  <c r="E71" i="7"/>
  <c r="C71" i="7"/>
  <c r="B71" i="7"/>
  <c r="A71" i="7"/>
  <c r="DE70" i="7"/>
  <c r="DA70" i="7"/>
  <c r="CY70" i="7"/>
  <c r="CX70" i="7"/>
  <c r="CW70" i="7"/>
  <c r="CU70" i="7"/>
  <c r="CS70" i="7"/>
  <c r="CR70" i="7"/>
  <c r="CQ70" i="7"/>
  <c r="CP70" i="7"/>
  <c r="CO70" i="7"/>
  <c r="CN70" i="7"/>
  <c r="CJ70" i="7"/>
  <c r="CI70" i="7"/>
  <c r="CH70" i="7"/>
  <c r="CG70" i="7"/>
  <c r="CF70" i="7"/>
  <c r="CE70" i="7"/>
  <c r="CD70" i="7"/>
  <c r="CC70" i="7"/>
  <c r="CB70" i="7"/>
  <c r="CA70" i="7"/>
  <c r="BZ70" i="7"/>
  <c r="BY70" i="7"/>
  <c r="BX70" i="7"/>
  <c r="BW70" i="7"/>
  <c r="BV70" i="7"/>
  <c r="BH70" i="7"/>
  <c r="BG70" i="7"/>
  <c r="AV70" i="7"/>
  <c r="AU70" i="7"/>
  <c r="AT70" i="7"/>
  <c r="AS70" i="7"/>
  <c r="AR70" i="7"/>
  <c r="AP70" i="7"/>
  <c r="AF70" i="7"/>
  <c r="AE70" i="7"/>
  <c r="AC70" i="7"/>
  <c r="AA70" i="7"/>
  <c r="Z70" i="7"/>
  <c r="X70" i="7"/>
  <c r="W70" i="7"/>
  <c r="V70" i="7"/>
  <c r="T70" i="7"/>
  <c r="R70" i="7"/>
  <c r="N70" i="7"/>
  <c r="L70" i="7"/>
  <c r="K70" i="7"/>
  <c r="J70" i="7"/>
  <c r="I70" i="7"/>
  <c r="H70" i="7"/>
  <c r="G70" i="7"/>
  <c r="F70" i="7"/>
  <c r="E70" i="7"/>
  <c r="C70" i="7"/>
  <c r="B70" i="7"/>
  <c r="A70" i="7"/>
  <c r="DE69" i="7"/>
  <c r="DA69" i="7"/>
  <c r="CY69" i="7"/>
  <c r="CX69" i="7"/>
  <c r="CW69" i="7"/>
  <c r="CU69" i="7"/>
  <c r="CS69" i="7"/>
  <c r="CQ69" i="7"/>
  <c r="CP69" i="7"/>
  <c r="CO69" i="7"/>
  <c r="CN69" i="7"/>
  <c r="CJ69" i="7"/>
  <c r="CI69" i="7"/>
  <c r="CH69" i="7"/>
  <c r="CG69" i="7"/>
  <c r="CF69" i="7"/>
  <c r="CE69" i="7"/>
  <c r="CD69" i="7"/>
  <c r="CC69" i="7"/>
  <c r="CB69" i="7"/>
  <c r="CA69" i="7"/>
  <c r="BZ69" i="7"/>
  <c r="BY69" i="7"/>
  <c r="BX69" i="7"/>
  <c r="BW69" i="7"/>
  <c r="BV69" i="7"/>
  <c r="BH69" i="7"/>
  <c r="BG69" i="7"/>
  <c r="AV69" i="7"/>
  <c r="AU69" i="7"/>
  <c r="AT69" i="7"/>
  <c r="AS69" i="7"/>
  <c r="AR69" i="7"/>
  <c r="AP69" i="7"/>
  <c r="AF69" i="7"/>
  <c r="AE69" i="7"/>
  <c r="AC69" i="7"/>
  <c r="AA69" i="7"/>
  <c r="Z69" i="7"/>
  <c r="X69" i="7"/>
  <c r="W69" i="7"/>
  <c r="V69" i="7"/>
  <c r="T69" i="7"/>
  <c r="R69" i="7"/>
  <c r="N69" i="7"/>
  <c r="L69" i="7"/>
  <c r="K69" i="7"/>
  <c r="J69" i="7"/>
  <c r="I69" i="7"/>
  <c r="H69" i="7"/>
  <c r="G69" i="7"/>
  <c r="F69" i="7"/>
  <c r="E69" i="7"/>
  <c r="C69" i="7"/>
  <c r="B69" i="7"/>
  <c r="A69" i="7"/>
  <c r="DE68" i="7"/>
  <c r="DA68" i="7"/>
  <c r="CY68" i="7"/>
  <c r="CX68" i="7"/>
  <c r="CW68" i="7"/>
  <c r="CU68" i="7"/>
  <c r="CS68" i="7"/>
  <c r="CR68" i="7"/>
  <c r="CQ68" i="7"/>
  <c r="CP68" i="7"/>
  <c r="CO68" i="7"/>
  <c r="CN68" i="7"/>
  <c r="CJ68" i="7"/>
  <c r="CI68" i="7"/>
  <c r="CH68" i="7"/>
  <c r="CG68" i="7"/>
  <c r="CF68" i="7"/>
  <c r="CE68" i="7"/>
  <c r="CD68" i="7"/>
  <c r="CC68" i="7"/>
  <c r="CB68" i="7"/>
  <c r="CA68" i="7"/>
  <c r="BZ68" i="7"/>
  <c r="BY68" i="7"/>
  <c r="BX68" i="7"/>
  <c r="BW68" i="7"/>
  <c r="BV68" i="7"/>
  <c r="BH68" i="7"/>
  <c r="BG68" i="7"/>
  <c r="AV68" i="7"/>
  <c r="AU68" i="7"/>
  <c r="AT68" i="7"/>
  <c r="AS68" i="7"/>
  <c r="AR68" i="7"/>
  <c r="AP68" i="7"/>
  <c r="AF68" i="7"/>
  <c r="AE68" i="7"/>
  <c r="AC68" i="7"/>
  <c r="AA68" i="7"/>
  <c r="Z68" i="7"/>
  <c r="X68" i="7"/>
  <c r="W68" i="7"/>
  <c r="V68" i="7"/>
  <c r="T68" i="7"/>
  <c r="R68" i="7"/>
  <c r="N68" i="7"/>
  <c r="L68" i="7"/>
  <c r="K68" i="7"/>
  <c r="J68" i="7"/>
  <c r="I68" i="7"/>
  <c r="H68" i="7"/>
  <c r="G68" i="7"/>
  <c r="F68" i="7"/>
  <c r="E68" i="7"/>
  <c r="C68" i="7"/>
  <c r="B68" i="7"/>
  <c r="A68" i="7"/>
  <c r="DE67" i="7"/>
  <c r="DA67" i="7"/>
  <c r="CY67" i="7"/>
  <c r="CX67" i="7"/>
  <c r="CW67" i="7"/>
  <c r="CU67" i="7"/>
  <c r="CS67" i="7"/>
  <c r="CQ67" i="7"/>
  <c r="CP67" i="7"/>
  <c r="CO67" i="7"/>
  <c r="CN67" i="7"/>
  <c r="CJ67" i="7"/>
  <c r="CI67" i="7"/>
  <c r="CH67" i="7"/>
  <c r="CG67" i="7"/>
  <c r="CF67" i="7"/>
  <c r="CE67" i="7"/>
  <c r="CD67" i="7"/>
  <c r="CC67" i="7"/>
  <c r="CB67" i="7"/>
  <c r="CA67" i="7"/>
  <c r="BZ67" i="7"/>
  <c r="BY67" i="7"/>
  <c r="BX67" i="7"/>
  <c r="BW67" i="7"/>
  <c r="BV67" i="7"/>
  <c r="BH67" i="7"/>
  <c r="BG67" i="7"/>
  <c r="AV67" i="7"/>
  <c r="AU67" i="7"/>
  <c r="AT67" i="7"/>
  <c r="AS67" i="7"/>
  <c r="AR67" i="7"/>
  <c r="AP67" i="7"/>
  <c r="AF67" i="7"/>
  <c r="AE67" i="7"/>
  <c r="AC67" i="7"/>
  <c r="AA67" i="7"/>
  <c r="Z67" i="7"/>
  <c r="X67" i="7"/>
  <c r="W67" i="7"/>
  <c r="V67" i="7"/>
  <c r="T67" i="7"/>
  <c r="R67" i="7"/>
  <c r="N67" i="7"/>
  <c r="L67" i="7"/>
  <c r="K67" i="7"/>
  <c r="J67" i="7"/>
  <c r="I67" i="7"/>
  <c r="H67" i="7"/>
  <c r="G67" i="7"/>
  <c r="F67" i="7"/>
  <c r="E67" i="7"/>
  <c r="C67" i="7"/>
  <c r="B67" i="7"/>
  <c r="A67" i="7"/>
  <c r="DE66" i="7"/>
  <c r="DA66" i="7"/>
  <c r="CY66" i="7"/>
  <c r="CX66" i="7"/>
  <c r="CW66" i="7"/>
  <c r="CU66" i="7"/>
  <c r="CS66" i="7"/>
  <c r="CR66" i="7"/>
  <c r="CQ66" i="7"/>
  <c r="CP66" i="7"/>
  <c r="CO66" i="7"/>
  <c r="CN66" i="7"/>
  <c r="CJ66" i="7"/>
  <c r="CI66" i="7"/>
  <c r="CH66" i="7"/>
  <c r="CG66" i="7"/>
  <c r="CF66" i="7"/>
  <c r="CE66" i="7"/>
  <c r="CD66" i="7"/>
  <c r="CC66" i="7"/>
  <c r="CB66" i="7"/>
  <c r="CA66" i="7"/>
  <c r="BZ66" i="7"/>
  <c r="BY66" i="7"/>
  <c r="BX66" i="7"/>
  <c r="BW66" i="7"/>
  <c r="BV66" i="7"/>
  <c r="BH66" i="7"/>
  <c r="BG66" i="7"/>
  <c r="AV66" i="7"/>
  <c r="AU66" i="7"/>
  <c r="AT66" i="7"/>
  <c r="AS66" i="7"/>
  <c r="AR66" i="7"/>
  <c r="AP66" i="7"/>
  <c r="AF66" i="7"/>
  <c r="AE66" i="7"/>
  <c r="AC66" i="7"/>
  <c r="AA66" i="7"/>
  <c r="Z66" i="7"/>
  <c r="X66" i="7"/>
  <c r="W66" i="7"/>
  <c r="V66" i="7"/>
  <c r="T66" i="7"/>
  <c r="R66" i="7"/>
  <c r="N66" i="7"/>
  <c r="L66" i="7"/>
  <c r="K66" i="7"/>
  <c r="J66" i="7"/>
  <c r="I66" i="7"/>
  <c r="H66" i="7"/>
  <c r="G66" i="7"/>
  <c r="F66" i="7"/>
  <c r="E66" i="7"/>
  <c r="C66" i="7"/>
  <c r="B66" i="7"/>
  <c r="A66" i="7"/>
  <c r="DE65" i="7"/>
  <c r="DA65" i="7"/>
  <c r="CY65" i="7"/>
  <c r="CX65" i="7"/>
  <c r="CW65" i="7"/>
  <c r="CU65" i="7"/>
  <c r="CS65" i="7"/>
  <c r="CQ65" i="7"/>
  <c r="CP65" i="7"/>
  <c r="CO65" i="7"/>
  <c r="CN65" i="7"/>
  <c r="CJ65" i="7"/>
  <c r="CI65" i="7"/>
  <c r="CH65" i="7"/>
  <c r="CG65" i="7"/>
  <c r="CF65" i="7"/>
  <c r="CE65" i="7"/>
  <c r="CD65" i="7"/>
  <c r="CC65" i="7"/>
  <c r="CB65" i="7"/>
  <c r="CA65" i="7"/>
  <c r="BZ65" i="7"/>
  <c r="BY65" i="7"/>
  <c r="BX65" i="7"/>
  <c r="BW65" i="7"/>
  <c r="BV65" i="7"/>
  <c r="BH65" i="7"/>
  <c r="BG65" i="7"/>
  <c r="AV65" i="7"/>
  <c r="AU65" i="7"/>
  <c r="AT65" i="7"/>
  <c r="AS65" i="7"/>
  <c r="AR65" i="7"/>
  <c r="AP65" i="7"/>
  <c r="AF65" i="7"/>
  <c r="AE65" i="7"/>
  <c r="AC65" i="7"/>
  <c r="AA65" i="7"/>
  <c r="Z65" i="7"/>
  <c r="X65" i="7"/>
  <c r="W65" i="7"/>
  <c r="V65" i="7"/>
  <c r="T65" i="7"/>
  <c r="R65" i="7"/>
  <c r="N65" i="7"/>
  <c r="L65" i="7"/>
  <c r="K65" i="7"/>
  <c r="J65" i="7"/>
  <c r="I65" i="7"/>
  <c r="H65" i="7"/>
  <c r="G65" i="7"/>
  <c r="F65" i="7"/>
  <c r="E65" i="7"/>
  <c r="C65" i="7"/>
  <c r="B65" i="7"/>
  <c r="A65" i="7"/>
  <c r="DE64" i="7"/>
  <c r="DA64" i="7"/>
  <c r="CY64" i="7"/>
  <c r="CX64" i="7"/>
  <c r="CW64" i="7"/>
  <c r="CU64" i="7"/>
  <c r="CS64" i="7"/>
  <c r="CR64" i="7"/>
  <c r="CQ64" i="7"/>
  <c r="CP64" i="7"/>
  <c r="CO64" i="7"/>
  <c r="CN64" i="7"/>
  <c r="CJ64" i="7"/>
  <c r="CI64" i="7"/>
  <c r="CH64" i="7"/>
  <c r="CG64" i="7"/>
  <c r="CF64" i="7"/>
  <c r="CE64" i="7"/>
  <c r="CD64" i="7"/>
  <c r="CC64" i="7"/>
  <c r="CB64" i="7"/>
  <c r="CA64" i="7"/>
  <c r="BZ64" i="7"/>
  <c r="BY64" i="7"/>
  <c r="BX64" i="7"/>
  <c r="BW64" i="7"/>
  <c r="BV64" i="7"/>
  <c r="BH64" i="7"/>
  <c r="BG64" i="7"/>
  <c r="AV64" i="7"/>
  <c r="AU64" i="7"/>
  <c r="AT64" i="7"/>
  <c r="AS64" i="7"/>
  <c r="AR64" i="7"/>
  <c r="AP64" i="7"/>
  <c r="AF64" i="7"/>
  <c r="AE64" i="7"/>
  <c r="AC64" i="7"/>
  <c r="AA64" i="7"/>
  <c r="Z64" i="7"/>
  <c r="X64" i="7"/>
  <c r="W64" i="7"/>
  <c r="V64" i="7"/>
  <c r="T64" i="7"/>
  <c r="R64" i="7"/>
  <c r="N64" i="7"/>
  <c r="L64" i="7"/>
  <c r="K64" i="7"/>
  <c r="J64" i="7"/>
  <c r="I64" i="7"/>
  <c r="H64" i="7"/>
  <c r="G64" i="7"/>
  <c r="F64" i="7"/>
  <c r="E64" i="7"/>
  <c r="C64" i="7"/>
  <c r="B64" i="7"/>
  <c r="A64" i="7"/>
  <c r="DE63" i="7"/>
  <c r="DA63" i="7"/>
  <c r="CY63" i="7"/>
  <c r="CX63" i="7"/>
  <c r="CW63" i="7"/>
  <c r="CU63" i="7"/>
  <c r="CS63" i="7"/>
  <c r="CQ63" i="7"/>
  <c r="CP63" i="7"/>
  <c r="CO63" i="7"/>
  <c r="CN63" i="7"/>
  <c r="CJ63" i="7"/>
  <c r="CI63" i="7"/>
  <c r="CH63" i="7"/>
  <c r="CG63" i="7"/>
  <c r="CF63" i="7"/>
  <c r="CE63" i="7"/>
  <c r="CD63" i="7"/>
  <c r="CC63" i="7"/>
  <c r="CB63" i="7"/>
  <c r="CA63" i="7"/>
  <c r="BZ63" i="7"/>
  <c r="BY63" i="7"/>
  <c r="BX63" i="7"/>
  <c r="BW63" i="7"/>
  <c r="BV63" i="7"/>
  <c r="BH63" i="7"/>
  <c r="BG63" i="7"/>
  <c r="AV63" i="7"/>
  <c r="AU63" i="7"/>
  <c r="AT63" i="7"/>
  <c r="AS63" i="7"/>
  <c r="AR63" i="7"/>
  <c r="AP63" i="7"/>
  <c r="AF63" i="7"/>
  <c r="AE63" i="7"/>
  <c r="AC63" i="7"/>
  <c r="AA63" i="7"/>
  <c r="Z63" i="7"/>
  <c r="X63" i="7"/>
  <c r="W63" i="7"/>
  <c r="V63" i="7"/>
  <c r="T63" i="7"/>
  <c r="R63" i="7"/>
  <c r="N63" i="7"/>
  <c r="L63" i="7"/>
  <c r="K63" i="7"/>
  <c r="J63" i="7"/>
  <c r="I63" i="7"/>
  <c r="H63" i="7"/>
  <c r="G63" i="7"/>
  <c r="F63" i="7"/>
  <c r="E63" i="7"/>
  <c r="C63" i="7"/>
  <c r="B63" i="7"/>
  <c r="A63" i="7"/>
  <c r="DE62" i="7"/>
  <c r="DA62" i="7"/>
  <c r="CY62" i="7"/>
  <c r="CX62" i="7"/>
  <c r="CW62" i="7"/>
  <c r="CU62" i="7"/>
  <c r="CS62" i="7"/>
  <c r="CR62" i="7"/>
  <c r="CQ62" i="7"/>
  <c r="CP62" i="7"/>
  <c r="CO62" i="7"/>
  <c r="CN62" i="7"/>
  <c r="CJ62" i="7"/>
  <c r="CI62" i="7"/>
  <c r="CH62" i="7"/>
  <c r="CG62" i="7"/>
  <c r="CF62" i="7"/>
  <c r="CE62" i="7"/>
  <c r="CD62" i="7"/>
  <c r="CC62" i="7"/>
  <c r="CB62" i="7"/>
  <c r="CA62" i="7"/>
  <c r="BZ62" i="7"/>
  <c r="BY62" i="7"/>
  <c r="BX62" i="7"/>
  <c r="BW62" i="7"/>
  <c r="BV62" i="7"/>
  <c r="BH62" i="7"/>
  <c r="BG62" i="7"/>
  <c r="AV62" i="7"/>
  <c r="AU62" i="7"/>
  <c r="AT62" i="7"/>
  <c r="AS62" i="7"/>
  <c r="AR62" i="7"/>
  <c r="AP62" i="7"/>
  <c r="AF62" i="7"/>
  <c r="AE62" i="7"/>
  <c r="AC62" i="7"/>
  <c r="AA62" i="7"/>
  <c r="Z62" i="7"/>
  <c r="X62" i="7"/>
  <c r="W62" i="7"/>
  <c r="V62" i="7"/>
  <c r="T62" i="7"/>
  <c r="R62" i="7"/>
  <c r="N62" i="7"/>
  <c r="L62" i="7"/>
  <c r="K62" i="7"/>
  <c r="J62" i="7"/>
  <c r="I62" i="7"/>
  <c r="H62" i="7"/>
  <c r="G62" i="7"/>
  <c r="F62" i="7"/>
  <c r="E62" i="7"/>
  <c r="C62" i="7"/>
  <c r="B62" i="7"/>
  <c r="A62" i="7"/>
  <c r="DE61" i="7"/>
  <c r="DA61" i="7"/>
  <c r="CY61" i="7"/>
  <c r="CX61" i="7"/>
  <c r="CW61" i="7"/>
  <c r="CU61" i="7"/>
  <c r="CS61" i="7"/>
  <c r="CQ61" i="7"/>
  <c r="CP61" i="7"/>
  <c r="CO61" i="7"/>
  <c r="CN61" i="7"/>
  <c r="CJ61" i="7"/>
  <c r="CI61" i="7"/>
  <c r="CH61" i="7"/>
  <c r="CG61" i="7"/>
  <c r="CF61" i="7"/>
  <c r="CE61" i="7"/>
  <c r="CD61" i="7"/>
  <c r="CC61" i="7"/>
  <c r="CB61" i="7"/>
  <c r="CA61" i="7"/>
  <c r="BZ61" i="7"/>
  <c r="BY61" i="7"/>
  <c r="BX61" i="7"/>
  <c r="BW61" i="7"/>
  <c r="BV61" i="7"/>
  <c r="BH61" i="7"/>
  <c r="BG61" i="7"/>
  <c r="AV61" i="7"/>
  <c r="AU61" i="7"/>
  <c r="AT61" i="7"/>
  <c r="AS61" i="7"/>
  <c r="AR61" i="7"/>
  <c r="AP61" i="7"/>
  <c r="AF61" i="7"/>
  <c r="AE61" i="7"/>
  <c r="AC61" i="7"/>
  <c r="AA61" i="7"/>
  <c r="Z61" i="7"/>
  <c r="X61" i="7"/>
  <c r="W61" i="7"/>
  <c r="V61" i="7"/>
  <c r="T61" i="7"/>
  <c r="R61" i="7"/>
  <c r="N61" i="7"/>
  <c r="L61" i="7"/>
  <c r="K61" i="7"/>
  <c r="J61" i="7"/>
  <c r="I61" i="7"/>
  <c r="H61" i="7"/>
  <c r="G61" i="7"/>
  <c r="F61" i="7"/>
  <c r="E61" i="7"/>
  <c r="C61" i="7"/>
  <c r="B61" i="7"/>
  <c r="A61" i="7"/>
  <c r="DE60" i="7"/>
  <c r="DA60" i="7"/>
  <c r="CY60" i="7"/>
  <c r="CX60" i="7"/>
  <c r="CW60" i="7"/>
  <c r="CU60" i="7"/>
  <c r="CS60" i="7"/>
  <c r="CR60" i="7"/>
  <c r="CQ60" i="7"/>
  <c r="CP60" i="7"/>
  <c r="CO60" i="7"/>
  <c r="CN60" i="7"/>
  <c r="CJ60" i="7"/>
  <c r="CI60" i="7"/>
  <c r="CH60" i="7"/>
  <c r="CG60" i="7"/>
  <c r="CF60" i="7"/>
  <c r="CE60" i="7"/>
  <c r="CD60" i="7"/>
  <c r="CC60" i="7"/>
  <c r="CB60" i="7"/>
  <c r="CA60" i="7"/>
  <c r="BZ60" i="7"/>
  <c r="BY60" i="7"/>
  <c r="BX60" i="7"/>
  <c r="BW60" i="7"/>
  <c r="BV60" i="7"/>
  <c r="BH60" i="7"/>
  <c r="BG60" i="7"/>
  <c r="AV60" i="7"/>
  <c r="AU60" i="7"/>
  <c r="AT60" i="7"/>
  <c r="AS60" i="7"/>
  <c r="AR60" i="7"/>
  <c r="AP60" i="7"/>
  <c r="AF60" i="7"/>
  <c r="AE60" i="7"/>
  <c r="AC60" i="7"/>
  <c r="AA60" i="7"/>
  <c r="Z60" i="7"/>
  <c r="X60" i="7"/>
  <c r="W60" i="7"/>
  <c r="V60" i="7"/>
  <c r="T60" i="7"/>
  <c r="R60" i="7"/>
  <c r="N60" i="7"/>
  <c r="L60" i="7"/>
  <c r="K60" i="7"/>
  <c r="J60" i="7"/>
  <c r="I60" i="7"/>
  <c r="H60" i="7"/>
  <c r="G60" i="7"/>
  <c r="F60" i="7"/>
  <c r="E60" i="7"/>
  <c r="C60" i="7"/>
  <c r="B60" i="7"/>
  <c r="A60" i="7"/>
  <c r="DE59" i="7"/>
  <c r="DA59" i="7"/>
  <c r="CY59" i="7"/>
  <c r="CX59" i="7"/>
  <c r="CW59" i="7"/>
  <c r="CU59" i="7"/>
  <c r="CS59" i="7"/>
  <c r="CQ59" i="7"/>
  <c r="CP59" i="7"/>
  <c r="CO59" i="7"/>
  <c r="CN59" i="7"/>
  <c r="CJ59" i="7"/>
  <c r="CI59" i="7"/>
  <c r="CH59" i="7"/>
  <c r="CG59" i="7"/>
  <c r="CF59" i="7"/>
  <c r="CE59" i="7"/>
  <c r="CD59" i="7"/>
  <c r="CC59" i="7"/>
  <c r="CB59" i="7"/>
  <c r="CA59" i="7"/>
  <c r="BZ59" i="7"/>
  <c r="BY59" i="7"/>
  <c r="BX59" i="7"/>
  <c r="BW59" i="7"/>
  <c r="BV59" i="7"/>
  <c r="BH59" i="7"/>
  <c r="BG59" i="7"/>
  <c r="AV59" i="7"/>
  <c r="AU59" i="7"/>
  <c r="AT59" i="7"/>
  <c r="AS59" i="7"/>
  <c r="AR59" i="7"/>
  <c r="AP59" i="7"/>
  <c r="AF59" i="7"/>
  <c r="AE59" i="7"/>
  <c r="AC59" i="7"/>
  <c r="AA59" i="7"/>
  <c r="Z59" i="7"/>
  <c r="X59" i="7"/>
  <c r="W59" i="7"/>
  <c r="V59" i="7"/>
  <c r="T59" i="7"/>
  <c r="R59" i="7"/>
  <c r="N59" i="7"/>
  <c r="L59" i="7"/>
  <c r="K59" i="7"/>
  <c r="J59" i="7"/>
  <c r="I59" i="7"/>
  <c r="H59" i="7"/>
  <c r="G59" i="7"/>
  <c r="F59" i="7"/>
  <c r="E59" i="7"/>
  <c r="C59" i="7"/>
  <c r="B59" i="7"/>
  <c r="A59" i="7"/>
  <c r="DE58" i="7"/>
  <c r="DA58" i="7"/>
  <c r="CY58" i="7"/>
  <c r="CX58" i="7"/>
  <c r="CW58" i="7"/>
  <c r="CU58" i="7"/>
  <c r="CS58" i="7"/>
  <c r="CR58" i="7"/>
  <c r="CQ58" i="7"/>
  <c r="CP58" i="7"/>
  <c r="CO58" i="7"/>
  <c r="CN58" i="7"/>
  <c r="CJ58" i="7"/>
  <c r="CI58" i="7"/>
  <c r="CH58" i="7"/>
  <c r="CG58" i="7"/>
  <c r="CF58" i="7"/>
  <c r="CE58" i="7"/>
  <c r="CD58" i="7"/>
  <c r="CC58" i="7"/>
  <c r="CB58" i="7"/>
  <c r="CA58" i="7"/>
  <c r="BZ58" i="7"/>
  <c r="BY58" i="7"/>
  <c r="BX58" i="7"/>
  <c r="BW58" i="7"/>
  <c r="BV58" i="7"/>
  <c r="BH58" i="7"/>
  <c r="BG58" i="7"/>
  <c r="AV58" i="7"/>
  <c r="AU58" i="7"/>
  <c r="AT58" i="7"/>
  <c r="AS58" i="7"/>
  <c r="AR58" i="7"/>
  <c r="AP58" i="7"/>
  <c r="AF58" i="7"/>
  <c r="AE58" i="7"/>
  <c r="AC58" i="7"/>
  <c r="AA58" i="7"/>
  <c r="Z58" i="7"/>
  <c r="X58" i="7"/>
  <c r="W58" i="7"/>
  <c r="V58" i="7"/>
  <c r="T58" i="7"/>
  <c r="R58" i="7"/>
  <c r="N58" i="7"/>
  <c r="L58" i="7"/>
  <c r="K58" i="7"/>
  <c r="J58" i="7"/>
  <c r="I58" i="7"/>
  <c r="H58" i="7"/>
  <c r="G58" i="7"/>
  <c r="F58" i="7"/>
  <c r="E58" i="7"/>
  <c r="C58" i="7"/>
  <c r="B58" i="7"/>
  <c r="A58" i="7"/>
  <c r="DE57" i="7"/>
  <c r="DA57" i="7"/>
  <c r="CY57" i="7"/>
  <c r="CX57" i="7"/>
  <c r="CW57" i="7"/>
  <c r="CU57" i="7"/>
  <c r="CS57" i="7"/>
  <c r="CQ57" i="7"/>
  <c r="CP57" i="7"/>
  <c r="CO57" i="7"/>
  <c r="CN57" i="7"/>
  <c r="CJ57" i="7"/>
  <c r="CI57" i="7"/>
  <c r="CH57" i="7"/>
  <c r="CG57" i="7"/>
  <c r="CF57" i="7"/>
  <c r="CE57" i="7"/>
  <c r="CD57" i="7"/>
  <c r="CC57" i="7"/>
  <c r="CB57" i="7"/>
  <c r="CA57" i="7"/>
  <c r="BZ57" i="7"/>
  <c r="BY57" i="7"/>
  <c r="BX57" i="7"/>
  <c r="BW57" i="7"/>
  <c r="BV57" i="7"/>
  <c r="BH57" i="7"/>
  <c r="BG57" i="7"/>
  <c r="AV57" i="7"/>
  <c r="AU57" i="7"/>
  <c r="AT57" i="7"/>
  <c r="AS57" i="7"/>
  <c r="AR57" i="7"/>
  <c r="AP57" i="7"/>
  <c r="AF57" i="7"/>
  <c r="AE57" i="7"/>
  <c r="AC57" i="7"/>
  <c r="AA57" i="7"/>
  <c r="Z57" i="7"/>
  <c r="X57" i="7"/>
  <c r="W57" i="7"/>
  <c r="V57" i="7"/>
  <c r="T57" i="7"/>
  <c r="R57" i="7"/>
  <c r="N57" i="7"/>
  <c r="L57" i="7"/>
  <c r="K57" i="7"/>
  <c r="J57" i="7"/>
  <c r="I57" i="7"/>
  <c r="H57" i="7"/>
  <c r="G57" i="7"/>
  <c r="F57" i="7"/>
  <c r="E57" i="7"/>
  <c r="C57" i="7"/>
  <c r="B57" i="7"/>
  <c r="A57" i="7"/>
  <c r="DE56" i="7"/>
  <c r="DA56" i="7"/>
  <c r="CY56" i="7"/>
  <c r="CX56" i="7"/>
  <c r="CW56" i="7"/>
  <c r="CU56" i="7"/>
  <c r="CS56" i="7"/>
  <c r="CR56" i="7"/>
  <c r="CQ56" i="7"/>
  <c r="CP56" i="7"/>
  <c r="CO56" i="7"/>
  <c r="CN56" i="7"/>
  <c r="CJ56" i="7"/>
  <c r="CI56" i="7"/>
  <c r="CH56" i="7"/>
  <c r="CG56" i="7"/>
  <c r="CF56" i="7"/>
  <c r="CE56" i="7"/>
  <c r="CD56" i="7"/>
  <c r="CC56" i="7"/>
  <c r="CB56" i="7"/>
  <c r="CA56" i="7"/>
  <c r="BZ56" i="7"/>
  <c r="BY56" i="7"/>
  <c r="BX56" i="7"/>
  <c r="BW56" i="7"/>
  <c r="BV56" i="7"/>
  <c r="BH56" i="7"/>
  <c r="BG56" i="7"/>
  <c r="AV56" i="7"/>
  <c r="AU56" i="7"/>
  <c r="AT56" i="7"/>
  <c r="AS56" i="7"/>
  <c r="AR56" i="7"/>
  <c r="AP56" i="7"/>
  <c r="AF56" i="7"/>
  <c r="AE56" i="7"/>
  <c r="AC56" i="7"/>
  <c r="AA56" i="7"/>
  <c r="Z56" i="7"/>
  <c r="X56" i="7"/>
  <c r="W56" i="7"/>
  <c r="V56" i="7"/>
  <c r="T56" i="7"/>
  <c r="R56" i="7"/>
  <c r="N56" i="7"/>
  <c r="L56" i="7"/>
  <c r="K56" i="7"/>
  <c r="J56" i="7"/>
  <c r="I56" i="7"/>
  <c r="H56" i="7"/>
  <c r="G56" i="7"/>
  <c r="F56" i="7"/>
  <c r="E56" i="7"/>
  <c r="C56" i="7"/>
  <c r="B56" i="7"/>
  <c r="A56" i="7"/>
  <c r="DE55" i="7"/>
  <c r="DA55" i="7"/>
  <c r="CY55" i="7"/>
  <c r="CX55" i="7"/>
  <c r="CW55" i="7"/>
  <c r="CU55" i="7"/>
  <c r="CS55" i="7"/>
  <c r="CQ55" i="7"/>
  <c r="CP55" i="7"/>
  <c r="CO55" i="7"/>
  <c r="CN55" i="7"/>
  <c r="CJ55" i="7"/>
  <c r="CI55" i="7"/>
  <c r="CH55" i="7"/>
  <c r="CG55" i="7"/>
  <c r="CF55" i="7"/>
  <c r="CE55" i="7"/>
  <c r="CD55" i="7"/>
  <c r="CC55" i="7"/>
  <c r="CB55" i="7"/>
  <c r="CA55" i="7"/>
  <c r="BZ55" i="7"/>
  <c r="BY55" i="7"/>
  <c r="BX55" i="7"/>
  <c r="BW55" i="7"/>
  <c r="BV55" i="7"/>
  <c r="BH55" i="7"/>
  <c r="BG55" i="7"/>
  <c r="AV55" i="7"/>
  <c r="AU55" i="7"/>
  <c r="AT55" i="7"/>
  <c r="AS55" i="7"/>
  <c r="AR55" i="7"/>
  <c r="AP55" i="7"/>
  <c r="AF55" i="7"/>
  <c r="AE55" i="7"/>
  <c r="AC55" i="7"/>
  <c r="AA55" i="7"/>
  <c r="Z55" i="7"/>
  <c r="X55" i="7"/>
  <c r="W55" i="7"/>
  <c r="V55" i="7"/>
  <c r="T55" i="7"/>
  <c r="R55" i="7"/>
  <c r="N55" i="7"/>
  <c r="L55" i="7"/>
  <c r="K55" i="7"/>
  <c r="J55" i="7"/>
  <c r="I55" i="7"/>
  <c r="H55" i="7"/>
  <c r="G55" i="7"/>
  <c r="F55" i="7"/>
  <c r="E55" i="7"/>
  <c r="C55" i="7"/>
  <c r="B55" i="7"/>
  <c r="A55" i="7"/>
  <c r="DE54" i="7"/>
  <c r="DA54" i="7"/>
  <c r="CY54" i="7"/>
  <c r="CX54" i="7"/>
  <c r="CW54" i="7"/>
  <c r="CU54" i="7"/>
  <c r="CS54" i="7"/>
  <c r="CR54" i="7"/>
  <c r="CQ54" i="7"/>
  <c r="CP54" i="7"/>
  <c r="CO54" i="7"/>
  <c r="CN54" i="7"/>
  <c r="CJ54" i="7"/>
  <c r="CI54" i="7"/>
  <c r="CH54" i="7"/>
  <c r="CG54" i="7"/>
  <c r="CF54" i="7"/>
  <c r="CE54" i="7"/>
  <c r="CD54" i="7"/>
  <c r="CC54" i="7"/>
  <c r="CB54" i="7"/>
  <c r="CA54" i="7"/>
  <c r="BZ54" i="7"/>
  <c r="BY54" i="7"/>
  <c r="BX54" i="7"/>
  <c r="BW54" i="7"/>
  <c r="BV54" i="7"/>
  <c r="BH54" i="7"/>
  <c r="BG54" i="7"/>
  <c r="AV54" i="7"/>
  <c r="AU54" i="7"/>
  <c r="AT54" i="7"/>
  <c r="AS54" i="7"/>
  <c r="AR54" i="7"/>
  <c r="AP54" i="7"/>
  <c r="AF54" i="7"/>
  <c r="AE54" i="7"/>
  <c r="AC54" i="7"/>
  <c r="AA54" i="7"/>
  <c r="Z54" i="7"/>
  <c r="X54" i="7"/>
  <c r="W54" i="7"/>
  <c r="V54" i="7"/>
  <c r="T54" i="7"/>
  <c r="R54" i="7"/>
  <c r="N54" i="7"/>
  <c r="L54" i="7"/>
  <c r="K54" i="7"/>
  <c r="J54" i="7"/>
  <c r="I54" i="7"/>
  <c r="H54" i="7"/>
  <c r="G54" i="7"/>
  <c r="F54" i="7"/>
  <c r="E54" i="7"/>
  <c r="C54" i="7"/>
  <c r="B54" i="7"/>
  <c r="A54" i="7"/>
  <c r="DE53" i="7"/>
  <c r="DA53" i="7"/>
  <c r="CY53" i="7"/>
  <c r="CX53" i="7"/>
  <c r="CW53" i="7"/>
  <c r="CU53" i="7"/>
  <c r="CS53" i="7"/>
  <c r="CQ53" i="7"/>
  <c r="CP53" i="7"/>
  <c r="CO53" i="7"/>
  <c r="CN53" i="7"/>
  <c r="CJ53" i="7"/>
  <c r="CI53" i="7"/>
  <c r="CH53" i="7"/>
  <c r="CG53" i="7"/>
  <c r="CF53" i="7"/>
  <c r="CE53" i="7"/>
  <c r="CD53" i="7"/>
  <c r="CC53" i="7"/>
  <c r="CB53" i="7"/>
  <c r="CA53" i="7"/>
  <c r="BZ53" i="7"/>
  <c r="BY53" i="7"/>
  <c r="BX53" i="7"/>
  <c r="BW53" i="7"/>
  <c r="BV53" i="7"/>
  <c r="BH53" i="7"/>
  <c r="BG53" i="7"/>
  <c r="AV53" i="7"/>
  <c r="AU53" i="7"/>
  <c r="AT53" i="7"/>
  <c r="AS53" i="7"/>
  <c r="AR53" i="7"/>
  <c r="AP53" i="7"/>
  <c r="AF53" i="7"/>
  <c r="AE53" i="7"/>
  <c r="AC53" i="7"/>
  <c r="AA53" i="7"/>
  <c r="Z53" i="7"/>
  <c r="X53" i="7"/>
  <c r="W53" i="7"/>
  <c r="V53" i="7"/>
  <c r="T53" i="7"/>
  <c r="R53" i="7"/>
  <c r="N53" i="7"/>
  <c r="L53" i="7"/>
  <c r="K53" i="7"/>
  <c r="J53" i="7"/>
  <c r="I53" i="7"/>
  <c r="H53" i="7"/>
  <c r="G53" i="7"/>
  <c r="F53" i="7"/>
  <c r="E53" i="7"/>
  <c r="C53" i="7"/>
  <c r="B53" i="7"/>
  <c r="A53" i="7"/>
  <c r="DE52" i="7"/>
  <c r="DA52" i="7"/>
  <c r="CY52" i="7"/>
  <c r="CX52" i="7"/>
  <c r="CW52" i="7"/>
  <c r="CU52" i="7"/>
  <c r="CS52" i="7"/>
  <c r="CR52" i="7"/>
  <c r="CQ52" i="7"/>
  <c r="CP52" i="7"/>
  <c r="CO52" i="7"/>
  <c r="CN52" i="7"/>
  <c r="CJ52" i="7"/>
  <c r="CI52" i="7"/>
  <c r="CH52" i="7"/>
  <c r="CG52" i="7"/>
  <c r="CF52" i="7"/>
  <c r="CE52" i="7"/>
  <c r="CD52" i="7"/>
  <c r="CC52" i="7"/>
  <c r="CB52" i="7"/>
  <c r="CA52" i="7"/>
  <c r="BZ52" i="7"/>
  <c r="BY52" i="7"/>
  <c r="BX52" i="7"/>
  <c r="BW52" i="7"/>
  <c r="BV52" i="7"/>
  <c r="BH52" i="7"/>
  <c r="BG52" i="7"/>
  <c r="AV52" i="7"/>
  <c r="AU52" i="7"/>
  <c r="AT52" i="7"/>
  <c r="AS52" i="7"/>
  <c r="AR52" i="7"/>
  <c r="AP52" i="7"/>
  <c r="AF52" i="7"/>
  <c r="AE52" i="7"/>
  <c r="AC52" i="7"/>
  <c r="AA52" i="7"/>
  <c r="Z52" i="7"/>
  <c r="X52" i="7"/>
  <c r="W52" i="7"/>
  <c r="V52" i="7"/>
  <c r="T52" i="7"/>
  <c r="R52" i="7"/>
  <c r="N52" i="7"/>
  <c r="L52" i="7"/>
  <c r="K52" i="7"/>
  <c r="J52" i="7"/>
  <c r="I52" i="7"/>
  <c r="H52" i="7"/>
  <c r="G52" i="7"/>
  <c r="F52" i="7"/>
  <c r="E52" i="7"/>
  <c r="C52" i="7"/>
  <c r="B52" i="7"/>
  <c r="A52" i="7"/>
  <c r="DE51" i="7"/>
  <c r="DA51" i="7"/>
  <c r="CY51" i="7"/>
  <c r="CX51" i="7"/>
  <c r="CW51" i="7"/>
  <c r="CU51" i="7"/>
  <c r="CS51" i="7"/>
  <c r="CQ51" i="7"/>
  <c r="CP51" i="7"/>
  <c r="CO51" i="7"/>
  <c r="CN51" i="7"/>
  <c r="CJ51" i="7"/>
  <c r="CI51" i="7"/>
  <c r="CH51" i="7"/>
  <c r="CG51" i="7"/>
  <c r="CF51" i="7"/>
  <c r="CE51" i="7"/>
  <c r="CD51" i="7"/>
  <c r="CC51" i="7"/>
  <c r="CB51" i="7"/>
  <c r="CA51" i="7"/>
  <c r="BZ51" i="7"/>
  <c r="BY51" i="7"/>
  <c r="BX51" i="7"/>
  <c r="BW51" i="7"/>
  <c r="BV51" i="7"/>
  <c r="BH51" i="7"/>
  <c r="BG51" i="7"/>
  <c r="AV51" i="7"/>
  <c r="AU51" i="7"/>
  <c r="AT51" i="7"/>
  <c r="AS51" i="7"/>
  <c r="AR51" i="7"/>
  <c r="AP51" i="7"/>
  <c r="AF51" i="7"/>
  <c r="AE51" i="7"/>
  <c r="AC51" i="7"/>
  <c r="AA51" i="7"/>
  <c r="Z51" i="7"/>
  <c r="X51" i="7"/>
  <c r="W51" i="7"/>
  <c r="V51" i="7"/>
  <c r="T51" i="7"/>
  <c r="R51" i="7"/>
  <c r="N51" i="7"/>
  <c r="L51" i="7"/>
  <c r="K51" i="7"/>
  <c r="J51" i="7"/>
  <c r="I51" i="7"/>
  <c r="H51" i="7"/>
  <c r="G51" i="7"/>
  <c r="F51" i="7"/>
  <c r="E51" i="7"/>
  <c r="C51" i="7"/>
  <c r="B51" i="7"/>
  <c r="A51" i="7"/>
  <c r="DE50" i="7"/>
  <c r="DA50" i="7"/>
  <c r="CY50" i="7"/>
  <c r="CX50" i="7"/>
  <c r="CW50" i="7"/>
  <c r="CU50" i="7"/>
  <c r="CS50" i="7"/>
  <c r="CR50" i="7"/>
  <c r="CQ50" i="7"/>
  <c r="CP50" i="7"/>
  <c r="CO50" i="7"/>
  <c r="CN50" i="7"/>
  <c r="CJ50" i="7"/>
  <c r="CI50" i="7"/>
  <c r="CH50" i="7"/>
  <c r="CG50" i="7"/>
  <c r="CF50" i="7"/>
  <c r="CE50" i="7"/>
  <c r="CD50" i="7"/>
  <c r="CC50" i="7"/>
  <c r="CB50" i="7"/>
  <c r="CA50" i="7"/>
  <c r="BZ50" i="7"/>
  <c r="BY50" i="7"/>
  <c r="BX50" i="7"/>
  <c r="BW50" i="7"/>
  <c r="BV50" i="7"/>
  <c r="BH50" i="7"/>
  <c r="BG50" i="7"/>
  <c r="AV50" i="7"/>
  <c r="AU50" i="7"/>
  <c r="AT50" i="7"/>
  <c r="AS50" i="7"/>
  <c r="AR50" i="7"/>
  <c r="AP50" i="7"/>
  <c r="AF50" i="7"/>
  <c r="AE50" i="7"/>
  <c r="AC50" i="7"/>
  <c r="AA50" i="7"/>
  <c r="Z50" i="7"/>
  <c r="X50" i="7"/>
  <c r="W50" i="7"/>
  <c r="V50" i="7"/>
  <c r="T50" i="7"/>
  <c r="R50" i="7"/>
  <c r="N50" i="7"/>
  <c r="L50" i="7"/>
  <c r="K50" i="7"/>
  <c r="J50" i="7"/>
  <c r="I50" i="7"/>
  <c r="H50" i="7"/>
  <c r="G50" i="7"/>
  <c r="F50" i="7"/>
  <c r="E50" i="7"/>
  <c r="C50" i="7"/>
  <c r="B50" i="7"/>
  <c r="A50" i="7"/>
  <c r="DE49" i="7"/>
  <c r="DA49" i="7"/>
  <c r="CY49" i="7"/>
  <c r="CX49" i="7"/>
  <c r="CW49" i="7"/>
  <c r="CU49" i="7"/>
  <c r="CS49" i="7"/>
  <c r="CQ49" i="7"/>
  <c r="CP49" i="7"/>
  <c r="CO49" i="7"/>
  <c r="CN49" i="7"/>
  <c r="CJ49" i="7"/>
  <c r="CI49" i="7"/>
  <c r="CH49" i="7"/>
  <c r="CG49" i="7"/>
  <c r="CF49" i="7"/>
  <c r="CE49" i="7"/>
  <c r="CD49" i="7"/>
  <c r="CC49" i="7"/>
  <c r="CB49" i="7"/>
  <c r="CA49" i="7"/>
  <c r="BZ49" i="7"/>
  <c r="BY49" i="7"/>
  <c r="BX49" i="7"/>
  <c r="BW49" i="7"/>
  <c r="BV49" i="7"/>
  <c r="BH49" i="7"/>
  <c r="BG49" i="7"/>
  <c r="AV49" i="7"/>
  <c r="AU49" i="7"/>
  <c r="AT49" i="7"/>
  <c r="AS49" i="7"/>
  <c r="AR49" i="7"/>
  <c r="AP49" i="7"/>
  <c r="AF49" i="7"/>
  <c r="AE49" i="7"/>
  <c r="AC49" i="7"/>
  <c r="AA49" i="7"/>
  <c r="Z49" i="7"/>
  <c r="X49" i="7"/>
  <c r="W49" i="7"/>
  <c r="V49" i="7"/>
  <c r="T49" i="7"/>
  <c r="R49" i="7"/>
  <c r="N49" i="7"/>
  <c r="L49" i="7"/>
  <c r="K49" i="7"/>
  <c r="J49" i="7"/>
  <c r="I49" i="7"/>
  <c r="H49" i="7"/>
  <c r="G49" i="7"/>
  <c r="F49" i="7"/>
  <c r="E49" i="7"/>
  <c r="C49" i="7"/>
  <c r="B49" i="7"/>
  <c r="A49" i="7"/>
  <c r="DE48" i="7"/>
  <c r="DA48" i="7"/>
  <c r="CY48" i="7"/>
  <c r="CX48" i="7"/>
  <c r="CW48" i="7"/>
  <c r="CU48" i="7"/>
  <c r="CS48" i="7"/>
  <c r="CR48" i="7"/>
  <c r="CQ48" i="7"/>
  <c r="CP48" i="7"/>
  <c r="CO48" i="7"/>
  <c r="CN48" i="7"/>
  <c r="CJ48" i="7"/>
  <c r="CI48" i="7"/>
  <c r="CH48" i="7"/>
  <c r="CG48" i="7"/>
  <c r="CF48" i="7"/>
  <c r="CE48" i="7"/>
  <c r="CD48" i="7"/>
  <c r="CC48" i="7"/>
  <c r="CB48" i="7"/>
  <c r="CA48" i="7"/>
  <c r="BZ48" i="7"/>
  <c r="BY48" i="7"/>
  <c r="BX48" i="7"/>
  <c r="BW48" i="7"/>
  <c r="BV48" i="7"/>
  <c r="BH48" i="7"/>
  <c r="BG48" i="7"/>
  <c r="AV48" i="7"/>
  <c r="AU48" i="7"/>
  <c r="AT48" i="7"/>
  <c r="AS48" i="7"/>
  <c r="AR48" i="7"/>
  <c r="AP48" i="7"/>
  <c r="AF48" i="7"/>
  <c r="AE48" i="7"/>
  <c r="AC48" i="7"/>
  <c r="AA48" i="7"/>
  <c r="Z48" i="7"/>
  <c r="X48" i="7"/>
  <c r="W48" i="7"/>
  <c r="V48" i="7"/>
  <c r="T48" i="7"/>
  <c r="R48" i="7"/>
  <c r="N48" i="7"/>
  <c r="L48" i="7"/>
  <c r="K48" i="7"/>
  <c r="J48" i="7"/>
  <c r="I48" i="7"/>
  <c r="H48" i="7"/>
  <c r="G48" i="7"/>
  <c r="F48" i="7"/>
  <c r="E48" i="7"/>
  <c r="C48" i="7"/>
  <c r="B48" i="7"/>
  <c r="A48" i="7"/>
  <c r="DE47" i="7"/>
  <c r="DA47" i="7"/>
  <c r="CY47" i="7"/>
  <c r="CX47" i="7"/>
  <c r="CW47" i="7"/>
  <c r="CU47" i="7"/>
  <c r="CS47" i="7"/>
  <c r="CQ47" i="7"/>
  <c r="CP47" i="7"/>
  <c r="CO47" i="7"/>
  <c r="CN47" i="7"/>
  <c r="CJ47" i="7"/>
  <c r="CI47" i="7"/>
  <c r="CH47" i="7"/>
  <c r="CG47" i="7"/>
  <c r="CF47" i="7"/>
  <c r="CE47" i="7"/>
  <c r="CD47" i="7"/>
  <c r="CC47" i="7"/>
  <c r="CB47" i="7"/>
  <c r="CA47" i="7"/>
  <c r="BZ47" i="7"/>
  <c r="BY47" i="7"/>
  <c r="BX47" i="7"/>
  <c r="BW47" i="7"/>
  <c r="BV47" i="7"/>
  <c r="BH47" i="7"/>
  <c r="BG47" i="7"/>
  <c r="AV47" i="7"/>
  <c r="AU47" i="7"/>
  <c r="AT47" i="7"/>
  <c r="AS47" i="7"/>
  <c r="AR47" i="7"/>
  <c r="AP47" i="7"/>
  <c r="AF47" i="7"/>
  <c r="AE47" i="7"/>
  <c r="AC47" i="7"/>
  <c r="AA47" i="7"/>
  <c r="Z47" i="7"/>
  <c r="X47" i="7"/>
  <c r="W47" i="7"/>
  <c r="V47" i="7"/>
  <c r="T47" i="7"/>
  <c r="R47" i="7"/>
  <c r="N47" i="7"/>
  <c r="L47" i="7"/>
  <c r="K47" i="7"/>
  <c r="J47" i="7"/>
  <c r="I47" i="7"/>
  <c r="H47" i="7"/>
  <c r="G47" i="7"/>
  <c r="F47" i="7"/>
  <c r="E47" i="7"/>
  <c r="C47" i="7"/>
  <c r="B47" i="7"/>
  <c r="A47" i="7"/>
  <c r="DE46" i="7"/>
  <c r="DA46" i="7"/>
  <c r="CY46" i="7"/>
  <c r="CX46" i="7"/>
  <c r="CW46" i="7"/>
  <c r="CU46" i="7"/>
  <c r="CS46" i="7"/>
  <c r="CR46" i="7"/>
  <c r="CQ46" i="7"/>
  <c r="CP46" i="7"/>
  <c r="CO46" i="7"/>
  <c r="CN46" i="7"/>
  <c r="CJ46" i="7"/>
  <c r="CI46" i="7"/>
  <c r="CH46" i="7"/>
  <c r="CG46" i="7"/>
  <c r="CF46" i="7"/>
  <c r="CE46" i="7"/>
  <c r="CD46" i="7"/>
  <c r="CC46" i="7"/>
  <c r="CB46" i="7"/>
  <c r="CA46" i="7"/>
  <c r="BZ46" i="7"/>
  <c r="BY46" i="7"/>
  <c r="BX46" i="7"/>
  <c r="BW46" i="7"/>
  <c r="BV46" i="7"/>
  <c r="BH46" i="7"/>
  <c r="BG46" i="7"/>
  <c r="AV46" i="7"/>
  <c r="AU46" i="7"/>
  <c r="AT46" i="7"/>
  <c r="AS46" i="7"/>
  <c r="AR46" i="7"/>
  <c r="AP46" i="7"/>
  <c r="AF46" i="7"/>
  <c r="AE46" i="7"/>
  <c r="AC46" i="7"/>
  <c r="AA46" i="7"/>
  <c r="Z46" i="7"/>
  <c r="X46" i="7"/>
  <c r="W46" i="7"/>
  <c r="V46" i="7"/>
  <c r="T46" i="7"/>
  <c r="R46" i="7"/>
  <c r="N46" i="7"/>
  <c r="L46" i="7"/>
  <c r="K46" i="7"/>
  <c r="J46" i="7"/>
  <c r="I46" i="7"/>
  <c r="H46" i="7"/>
  <c r="G46" i="7"/>
  <c r="F46" i="7"/>
  <c r="E46" i="7"/>
  <c r="C46" i="7"/>
  <c r="B46" i="7"/>
  <c r="A46" i="7"/>
  <c r="DE45" i="7"/>
  <c r="DA45" i="7"/>
  <c r="CY45" i="7"/>
  <c r="CX45" i="7"/>
  <c r="CW45" i="7"/>
  <c r="CU45" i="7"/>
  <c r="CS45" i="7"/>
  <c r="CQ45" i="7"/>
  <c r="CP45" i="7"/>
  <c r="CO45" i="7"/>
  <c r="CN45" i="7"/>
  <c r="CJ45" i="7"/>
  <c r="CI45" i="7"/>
  <c r="CH45" i="7"/>
  <c r="CG45" i="7"/>
  <c r="CF45" i="7"/>
  <c r="CE45" i="7"/>
  <c r="CD45" i="7"/>
  <c r="CC45" i="7"/>
  <c r="CB45" i="7"/>
  <c r="CA45" i="7"/>
  <c r="BZ45" i="7"/>
  <c r="BY45" i="7"/>
  <c r="BX45" i="7"/>
  <c r="BW45" i="7"/>
  <c r="BV45" i="7"/>
  <c r="BH45" i="7"/>
  <c r="BG45" i="7"/>
  <c r="AV45" i="7"/>
  <c r="AU45" i="7"/>
  <c r="AT45" i="7"/>
  <c r="AS45" i="7"/>
  <c r="AR45" i="7"/>
  <c r="AP45" i="7"/>
  <c r="AF45" i="7"/>
  <c r="AE45" i="7"/>
  <c r="AC45" i="7"/>
  <c r="AA45" i="7"/>
  <c r="Z45" i="7"/>
  <c r="X45" i="7"/>
  <c r="W45" i="7"/>
  <c r="V45" i="7"/>
  <c r="T45" i="7"/>
  <c r="R45" i="7"/>
  <c r="N45" i="7"/>
  <c r="L45" i="7"/>
  <c r="K45" i="7"/>
  <c r="J45" i="7"/>
  <c r="I45" i="7"/>
  <c r="H45" i="7"/>
  <c r="G45" i="7"/>
  <c r="F45" i="7"/>
  <c r="E45" i="7"/>
  <c r="C45" i="7"/>
  <c r="B45" i="7"/>
  <c r="A45" i="7"/>
  <c r="DE44" i="7"/>
  <c r="DA44" i="7"/>
  <c r="CY44" i="7"/>
  <c r="CX44" i="7"/>
  <c r="CW44" i="7"/>
  <c r="CU44" i="7"/>
  <c r="CS44" i="7"/>
  <c r="CR44" i="7"/>
  <c r="CQ44" i="7"/>
  <c r="CP44" i="7"/>
  <c r="CO44" i="7"/>
  <c r="CN44" i="7"/>
  <c r="CJ44" i="7"/>
  <c r="CI44" i="7"/>
  <c r="CH44" i="7"/>
  <c r="CG44" i="7"/>
  <c r="CF44" i="7"/>
  <c r="CE44" i="7"/>
  <c r="CD44" i="7"/>
  <c r="CC44" i="7"/>
  <c r="CB44" i="7"/>
  <c r="CA44" i="7"/>
  <c r="BZ44" i="7"/>
  <c r="BY44" i="7"/>
  <c r="BX44" i="7"/>
  <c r="BW44" i="7"/>
  <c r="BV44" i="7"/>
  <c r="BH44" i="7"/>
  <c r="BG44" i="7"/>
  <c r="AV44" i="7"/>
  <c r="AU44" i="7"/>
  <c r="AT44" i="7"/>
  <c r="AS44" i="7"/>
  <c r="AR44" i="7"/>
  <c r="AP44" i="7"/>
  <c r="AF44" i="7"/>
  <c r="AE44" i="7"/>
  <c r="AC44" i="7"/>
  <c r="AA44" i="7"/>
  <c r="Z44" i="7"/>
  <c r="X44" i="7"/>
  <c r="W44" i="7"/>
  <c r="V44" i="7"/>
  <c r="T44" i="7"/>
  <c r="R44" i="7"/>
  <c r="N44" i="7"/>
  <c r="L44" i="7"/>
  <c r="K44" i="7"/>
  <c r="J44" i="7"/>
  <c r="I44" i="7"/>
  <c r="H44" i="7"/>
  <c r="G44" i="7"/>
  <c r="F44" i="7"/>
  <c r="E44" i="7"/>
  <c r="C44" i="7"/>
  <c r="B44" i="7"/>
  <c r="A44" i="7"/>
  <c r="DE43" i="7"/>
  <c r="DA43" i="7"/>
  <c r="CY43" i="7"/>
  <c r="CX43" i="7"/>
  <c r="CW43" i="7"/>
  <c r="CU43" i="7"/>
  <c r="CS43" i="7"/>
  <c r="CQ43" i="7"/>
  <c r="CP43" i="7"/>
  <c r="CO43" i="7"/>
  <c r="CN43" i="7"/>
  <c r="CJ43" i="7"/>
  <c r="CI43" i="7"/>
  <c r="CH43" i="7"/>
  <c r="CG43" i="7"/>
  <c r="CF43" i="7"/>
  <c r="CE43" i="7"/>
  <c r="CD43" i="7"/>
  <c r="CC43" i="7"/>
  <c r="CB43" i="7"/>
  <c r="CA43" i="7"/>
  <c r="BZ43" i="7"/>
  <c r="BY43" i="7"/>
  <c r="BX43" i="7"/>
  <c r="BW43" i="7"/>
  <c r="BV43" i="7"/>
  <c r="BH43" i="7"/>
  <c r="BG43" i="7"/>
  <c r="AV43" i="7"/>
  <c r="AU43" i="7"/>
  <c r="AT43" i="7"/>
  <c r="AS43" i="7"/>
  <c r="AR43" i="7"/>
  <c r="AP43" i="7"/>
  <c r="AF43" i="7"/>
  <c r="AE43" i="7"/>
  <c r="AC43" i="7"/>
  <c r="AA43" i="7"/>
  <c r="Z43" i="7"/>
  <c r="X43" i="7"/>
  <c r="W43" i="7"/>
  <c r="V43" i="7"/>
  <c r="T43" i="7"/>
  <c r="R43" i="7"/>
  <c r="N43" i="7"/>
  <c r="L43" i="7"/>
  <c r="K43" i="7"/>
  <c r="J43" i="7"/>
  <c r="I43" i="7"/>
  <c r="H43" i="7"/>
  <c r="G43" i="7"/>
  <c r="F43" i="7"/>
  <c r="E43" i="7"/>
  <c r="C43" i="7"/>
  <c r="B43" i="7"/>
  <c r="A43" i="7"/>
  <c r="DE42" i="7"/>
  <c r="DA42" i="7"/>
  <c r="CY42" i="7"/>
  <c r="CX42" i="7"/>
  <c r="CW42" i="7"/>
  <c r="CU42" i="7"/>
  <c r="CS42" i="7"/>
  <c r="CR42" i="7"/>
  <c r="CQ42" i="7"/>
  <c r="CP42" i="7"/>
  <c r="CO42" i="7"/>
  <c r="CN42" i="7"/>
  <c r="CJ42" i="7"/>
  <c r="CI42" i="7"/>
  <c r="CH42" i="7"/>
  <c r="CG42" i="7"/>
  <c r="CF42" i="7"/>
  <c r="CE42" i="7"/>
  <c r="CD42" i="7"/>
  <c r="CC42" i="7"/>
  <c r="CB42" i="7"/>
  <c r="CA42" i="7"/>
  <c r="BZ42" i="7"/>
  <c r="BY42" i="7"/>
  <c r="BX42" i="7"/>
  <c r="BW42" i="7"/>
  <c r="BV42" i="7"/>
  <c r="BH42" i="7"/>
  <c r="BG42" i="7"/>
  <c r="AV42" i="7"/>
  <c r="AU42" i="7"/>
  <c r="AT42" i="7"/>
  <c r="AS42" i="7"/>
  <c r="AR42" i="7"/>
  <c r="AP42" i="7"/>
  <c r="AF42" i="7"/>
  <c r="AE42" i="7"/>
  <c r="AC42" i="7"/>
  <c r="AA42" i="7"/>
  <c r="Z42" i="7"/>
  <c r="X42" i="7"/>
  <c r="W42" i="7"/>
  <c r="V42" i="7"/>
  <c r="T42" i="7"/>
  <c r="R42" i="7"/>
  <c r="N42" i="7"/>
  <c r="L42" i="7"/>
  <c r="K42" i="7"/>
  <c r="J42" i="7"/>
  <c r="I42" i="7"/>
  <c r="H42" i="7"/>
  <c r="G42" i="7"/>
  <c r="F42" i="7"/>
  <c r="E42" i="7"/>
  <c r="C42" i="7"/>
  <c r="B42" i="7"/>
  <c r="A42" i="7"/>
  <c r="DE41" i="7"/>
  <c r="DA41" i="7"/>
  <c r="CY41" i="7"/>
  <c r="CX41" i="7"/>
  <c r="CW41" i="7"/>
  <c r="CU41" i="7"/>
  <c r="CS41" i="7"/>
  <c r="CQ41" i="7"/>
  <c r="CP41" i="7"/>
  <c r="CO41" i="7"/>
  <c r="CN41" i="7"/>
  <c r="CJ41" i="7"/>
  <c r="CI41" i="7"/>
  <c r="CH41" i="7"/>
  <c r="CG41" i="7"/>
  <c r="CF41" i="7"/>
  <c r="CE41" i="7"/>
  <c r="CD41" i="7"/>
  <c r="CC41" i="7"/>
  <c r="CB41" i="7"/>
  <c r="CA41" i="7"/>
  <c r="BZ41" i="7"/>
  <c r="BY41" i="7"/>
  <c r="BX41" i="7"/>
  <c r="BW41" i="7"/>
  <c r="BV41" i="7"/>
  <c r="BH41" i="7"/>
  <c r="BG41" i="7"/>
  <c r="AV41" i="7"/>
  <c r="AU41" i="7"/>
  <c r="AT41" i="7"/>
  <c r="AS41" i="7"/>
  <c r="AR41" i="7"/>
  <c r="AP41" i="7"/>
  <c r="AF41" i="7"/>
  <c r="AE41" i="7"/>
  <c r="AC41" i="7"/>
  <c r="AA41" i="7"/>
  <c r="Z41" i="7"/>
  <c r="X41" i="7"/>
  <c r="W41" i="7"/>
  <c r="V41" i="7"/>
  <c r="T41" i="7"/>
  <c r="R41" i="7"/>
  <c r="N41" i="7"/>
  <c r="L41" i="7"/>
  <c r="K41" i="7"/>
  <c r="J41" i="7"/>
  <c r="I41" i="7"/>
  <c r="H41" i="7"/>
  <c r="G41" i="7"/>
  <c r="F41" i="7"/>
  <c r="E41" i="7"/>
  <c r="C41" i="7"/>
  <c r="B41" i="7"/>
  <c r="A41" i="7"/>
  <c r="DE40" i="7"/>
  <c r="DA40" i="7"/>
  <c r="CY40" i="7"/>
  <c r="CX40" i="7"/>
  <c r="CW40" i="7"/>
  <c r="CU40" i="7"/>
  <c r="CS40" i="7"/>
  <c r="CR40" i="7"/>
  <c r="CQ40" i="7"/>
  <c r="CP40" i="7"/>
  <c r="CO40" i="7"/>
  <c r="CN40" i="7"/>
  <c r="CJ40" i="7"/>
  <c r="CI40" i="7"/>
  <c r="CH40" i="7"/>
  <c r="CG40" i="7"/>
  <c r="CF40" i="7"/>
  <c r="CE40" i="7"/>
  <c r="CD40" i="7"/>
  <c r="CC40" i="7"/>
  <c r="CB40" i="7"/>
  <c r="CA40" i="7"/>
  <c r="BZ40" i="7"/>
  <c r="BY40" i="7"/>
  <c r="BX40" i="7"/>
  <c r="BW40" i="7"/>
  <c r="BV40" i="7"/>
  <c r="BH40" i="7"/>
  <c r="BG40" i="7"/>
  <c r="AV40" i="7"/>
  <c r="AU40" i="7"/>
  <c r="AT40" i="7"/>
  <c r="AS40" i="7"/>
  <c r="AR40" i="7"/>
  <c r="AP40" i="7"/>
  <c r="AF40" i="7"/>
  <c r="AE40" i="7"/>
  <c r="AC40" i="7"/>
  <c r="AA40" i="7"/>
  <c r="Z40" i="7"/>
  <c r="X40" i="7"/>
  <c r="W40" i="7"/>
  <c r="V40" i="7"/>
  <c r="T40" i="7"/>
  <c r="R40" i="7"/>
  <c r="N40" i="7"/>
  <c r="L40" i="7"/>
  <c r="K40" i="7"/>
  <c r="J40" i="7"/>
  <c r="I40" i="7"/>
  <c r="H40" i="7"/>
  <c r="G40" i="7"/>
  <c r="F40" i="7"/>
  <c r="E40" i="7"/>
  <c r="C40" i="7"/>
  <c r="B40" i="7"/>
  <c r="A40" i="7"/>
  <c r="DE39" i="7"/>
  <c r="DA39" i="7"/>
  <c r="CY39" i="7"/>
  <c r="CX39" i="7"/>
  <c r="CW39" i="7"/>
  <c r="CU39" i="7"/>
  <c r="CS39" i="7"/>
  <c r="CQ39" i="7"/>
  <c r="CP39" i="7"/>
  <c r="CO39" i="7"/>
  <c r="CN39" i="7"/>
  <c r="CJ39" i="7"/>
  <c r="CI39" i="7"/>
  <c r="CH39" i="7"/>
  <c r="CG39" i="7"/>
  <c r="CF39" i="7"/>
  <c r="CE39" i="7"/>
  <c r="CD39" i="7"/>
  <c r="CC39" i="7"/>
  <c r="CB39" i="7"/>
  <c r="CA39" i="7"/>
  <c r="BZ39" i="7"/>
  <c r="BY39" i="7"/>
  <c r="BX39" i="7"/>
  <c r="BW39" i="7"/>
  <c r="BV39" i="7"/>
  <c r="BH39" i="7"/>
  <c r="BG39" i="7"/>
  <c r="AV39" i="7"/>
  <c r="AU39" i="7"/>
  <c r="AT39" i="7"/>
  <c r="AS39" i="7"/>
  <c r="AR39" i="7"/>
  <c r="AP39" i="7"/>
  <c r="AF39" i="7"/>
  <c r="AE39" i="7"/>
  <c r="AC39" i="7"/>
  <c r="AA39" i="7"/>
  <c r="Z39" i="7"/>
  <c r="X39" i="7"/>
  <c r="W39" i="7"/>
  <c r="V39" i="7"/>
  <c r="T39" i="7"/>
  <c r="R39" i="7"/>
  <c r="N39" i="7"/>
  <c r="L39" i="7"/>
  <c r="K39" i="7"/>
  <c r="J39" i="7"/>
  <c r="I39" i="7"/>
  <c r="H39" i="7"/>
  <c r="G39" i="7"/>
  <c r="F39" i="7"/>
  <c r="E39" i="7"/>
  <c r="C39" i="7"/>
  <c r="B39" i="7"/>
  <c r="A39" i="7"/>
  <c r="DE38" i="7"/>
  <c r="DA38" i="7"/>
  <c r="CY38" i="7"/>
  <c r="CX38" i="7"/>
  <c r="CW38" i="7"/>
  <c r="CU38" i="7"/>
  <c r="CS38" i="7"/>
  <c r="CR38" i="7"/>
  <c r="CQ38" i="7"/>
  <c r="CP38" i="7"/>
  <c r="CO38" i="7"/>
  <c r="CN38" i="7"/>
  <c r="CJ38" i="7"/>
  <c r="CI38" i="7"/>
  <c r="CH38" i="7"/>
  <c r="CG38" i="7"/>
  <c r="CF38" i="7"/>
  <c r="CE38" i="7"/>
  <c r="CD38" i="7"/>
  <c r="CC38" i="7"/>
  <c r="CB38" i="7"/>
  <c r="CA38" i="7"/>
  <c r="BZ38" i="7"/>
  <c r="BY38" i="7"/>
  <c r="BX38" i="7"/>
  <c r="BW38" i="7"/>
  <c r="BV38" i="7"/>
  <c r="BH38" i="7"/>
  <c r="BG38" i="7"/>
  <c r="AV38" i="7"/>
  <c r="AU38" i="7"/>
  <c r="AT38" i="7"/>
  <c r="AS38" i="7"/>
  <c r="AR38" i="7"/>
  <c r="AP38" i="7"/>
  <c r="AF38" i="7"/>
  <c r="AE38" i="7"/>
  <c r="AC38" i="7"/>
  <c r="AA38" i="7"/>
  <c r="Z38" i="7"/>
  <c r="X38" i="7"/>
  <c r="W38" i="7"/>
  <c r="V38" i="7"/>
  <c r="T38" i="7"/>
  <c r="R38" i="7"/>
  <c r="N38" i="7"/>
  <c r="L38" i="7"/>
  <c r="K38" i="7"/>
  <c r="J38" i="7"/>
  <c r="I38" i="7"/>
  <c r="H38" i="7"/>
  <c r="G38" i="7"/>
  <c r="F38" i="7"/>
  <c r="E38" i="7"/>
  <c r="C38" i="7"/>
  <c r="B38" i="7"/>
  <c r="A38" i="7"/>
  <c r="DE37" i="7"/>
  <c r="DA37" i="7"/>
  <c r="CY37" i="7"/>
  <c r="CX37" i="7"/>
  <c r="CW37" i="7"/>
  <c r="CU37" i="7"/>
  <c r="CS37" i="7"/>
  <c r="CQ37" i="7"/>
  <c r="CP37" i="7"/>
  <c r="CO37" i="7"/>
  <c r="CN37" i="7"/>
  <c r="CJ37" i="7"/>
  <c r="CI37" i="7"/>
  <c r="CH37" i="7"/>
  <c r="CG37" i="7"/>
  <c r="CF37" i="7"/>
  <c r="CE37" i="7"/>
  <c r="CD37" i="7"/>
  <c r="CC37" i="7"/>
  <c r="CB37" i="7"/>
  <c r="CA37" i="7"/>
  <c r="BZ37" i="7"/>
  <c r="BY37" i="7"/>
  <c r="BX37" i="7"/>
  <c r="BW37" i="7"/>
  <c r="BV37" i="7"/>
  <c r="BH37" i="7"/>
  <c r="BG37" i="7"/>
  <c r="AV37" i="7"/>
  <c r="AU37" i="7"/>
  <c r="AT37" i="7"/>
  <c r="AS37" i="7"/>
  <c r="AR37" i="7"/>
  <c r="AP37" i="7"/>
  <c r="AF37" i="7"/>
  <c r="AE37" i="7"/>
  <c r="AC37" i="7"/>
  <c r="AA37" i="7"/>
  <c r="Z37" i="7"/>
  <c r="X37" i="7"/>
  <c r="W37" i="7"/>
  <c r="V37" i="7"/>
  <c r="T37" i="7"/>
  <c r="R37" i="7"/>
  <c r="N37" i="7"/>
  <c r="L37" i="7"/>
  <c r="K37" i="7"/>
  <c r="J37" i="7"/>
  <c r="I37" i="7"/>
  <c r="H37" i="7"/>
  <c r="G37" i="7"/>
  <c r="F37" i="7"/>
  <c r="E37" i="7"/>
  <c r="C37" i="7"/>
  <c r="B37" i="7"/>
  <c r="A37" i="7"/>
  <c r="DE36" i="7"/>
  <c r="DA36" i="7"/>
  <c r="CY36" i="7"/>
  <c r="CX36" i="7"/>
  <c r="CW36" i="7"/>
  <c r="CU36" i="7"/>
  <c r="CS36" i="7"/>
  <c r="CR36" i="7"/>
  <c r="CQ36" i="7"/>
  <c r="CP36" i="7"/>
  <c r="CO36" i="7"/>
  <c r="CN36" i="7"/>
  <c r="CJ36" i="7"/>
  <c r="CI36" i="7"/>
  <c r="CH36" i="7"/>
  <c r="CG36" i="7"/>
  <c r="CF36" i="7"/>
  <c r="CE36" i="7"/>
  <c r="CD36" i="7"/>
  <c r="CC36" i="7"/>
  <c r="CB36" i="7"/>
  <c r="CA36" i="7"/>
  <c r="BZ36" i="7"/>
  <c r="BY36" i="7"/>
  <c r="BX36" i="7"/>
  <c r="BW36" i="7"/>
  <c r="BV36" i="7"/>
  <c r="BH36" i="7"/>
  <c r="BG36" i="7"/>
  <c r="AV36" i="7"/>
  <c r="AU36" i="7"/>
  <c r="AT36" i="7"/>
  <c r="AS36" i="7"/>
  <c r="AR36" i="7"/>
  <c r="AP36" i="7"/>
  <c r="AF36" i="7"/>
  <c r="AE36" i="7"/>
  <c r="AC36" i="7"/>
  <c r="AA36" i="7"/>
  <c r="Z36" i="7"/>
  <c r="X36" i="7"/>
  <c r="W36" i="7"/>
  <c r="V36" i="7"/>
  <c r="T36" i="7"/>
  <c r="R36" i="7"/>
  <c r="N36" i="7"/>
  <c r="L36" i="7"/>
  <c r="K36" i="7"/>
  <c r="J36" i="7"/>
  <c r="I36" i="7"/>
  <c r="H36" i="7"/>
  <c r="G36" i="7"/>
  <c r="F36" i="7"/>
  <c r="E36" i="7"/>
  <c r="C36" i="7"/>
  <c r="B36" i="7"/>
  <c r="A36" i="7"/>
  <c r="DE35" i="7"/>
  <c r="DA35" i="7"/>
  <c r="CY35" i="7"/>
  <c r="CX35" i="7"/>
  <c r="CW35" i="7"/>
  <c r="CU35" i="7"/>
  <c r="CS35" i="7"/>
  <c r="CQ35" i="7"/>
  <c r="CP35" i="7"/>
  <c r="CO35" i="7"/>
  <c r="CN35" i="7"/>
  <c r="CJ35" i="7"/>
  <c r="CI35" i="7"/>
  <c r="CH35" i="7"/>
  <c r="CG35" i="7"/>
  <c r="CF35" i="7"/>
  <c r="CE35" i="7"/>
  <c r="CD35" i="7"/>
  <c r="CC35" i="7"/>
  <c r="CB35" i="7"/>
  <c r="CA35" i="7"/>
  <c r="BZ35" i="7"/>
  <c r="BY35" i="7"/>
  <c r="BX35" i="7"/>
  <c r="BW35" i="7"/>
  <c r="BV35" i="7"/>
  <c r="BH35" i="7"/>
  <c r="BG35" i="7"/>
  <c r="AV35" i="7"/>
  <c r="AU35" i="7"/>
  <c r="AT35" i="7"/>
  <c r="AS35" i="7"/>
  <c r="AR35" i="7"/>
  <c r="AP35" i="7"/>
  <c r="AF35" i="7"/>
  <c r="AE35" i="7"/>
  <c r="AC35" i="7"/>
  <c r="AA35" i="7"/>
  <c r="Z35" i="7"/>
  <c r="X35" i="7"/>
  <c r="W35" i="7"/>
  <c r="V35" i="7"/>
  <c r="T35" i="7"/>
  <c r="R35" i="7"/>
  <c r="N35" i="7"/>
  <c r="L35" i="7"/>
  <c r="K35" i="7"/>
  <c r="J35" i="7"/>
  <c r="I35" i="7"/>
  <c r="H35" i="7"/>
  <c r="G35" i="7"/>
  <c r="F35" i="7"/>
  <c r="E35" i="7"/>
  <c r="C35" i="7"/>
  <c r="B35" i="7"/>
  <c r="A35" i="7"/>
  <c r="DE34" i="7"/>
  <c r="DA34" i="7"/>
  <c r="CY34" i="7"/>
  <c r="CX34" i="7"/>
  <c r="CW34" i="7"/>
  <c r="CU34" i="7"/>
  <c r="CS34" i="7"/>
  <c r="CR34" i="7"/>
  <c r="CQ34" i="7"/>
  <c r="CP34" i="7"/>
  <c r="CO34" i="7"/>
  <c r="CN34" i="7"/>
  <c r="CJ34" i="7"/>
  <c r="CI34" i="7"/>
  <c r="CH34" i="7"/>
  <c r="CG34" i="7"/>
  <c r="CF34" i="7"/>
  <c r="CE34" i="7"/>
  <c r="CD34" i="7"/>
  <c r="CC34" i="7"/>
  <c r="CB34" i="7"/>
  <c r="CA34" i="7"/>
  <c r="BZ34" i="7"/>
  <c r="BY34" i="7"/>
  <c r="BX34" i="7"/>
  <c r="BW34" i="7"/>
  <c r="BV34" i="7"/>
  <c r="BH34" i="7"/>
  <c r="BG34" i="7"/>
  <c r="AV34" i="7"/>
  <c r="AU34" i="7"/>
  <c r="AT34" i="7"/>
  <c r="AS34" i="7"/>
  <c r="AR34" i="7"/>
  <c r="AQ34" i="7"/>
  <c r="AP34" i="7"/>
  <c r="AF34" i="7"/>
  <c r="AE34" i="7"/>
  <c r="AC34" i="7"/>
  <c r="AA34" i="7"/>
  <c r="Z34" i="7"/>
  <c r="X34" i="7"/>
  <c r="W34" i="7"/>
  <c r="V34" i="7"/>
  <c r="T34" i="7"/>
  <c r="R34" i="7"/>
  <c r="N34" i="7"/>
  <c r="L34" i="7"/>
  <c r="K34" i="7"/>
  <c r="J34" i="7"/>
  <c r="I34" i="7"/>
  <c r="H34" i="7"/>
  <c r="G34" i="7"/>
  <c r="F34" i="7"/>
  <c r="E34" i="7"/>
  <c r="C34" i="7"/>
  <c r="B34" i="7"/>
  <c r="A34" i="7"/>
  <c r="DE33" i="7"/>
  <c r="DA33" i="7"/>
  <c r="CY33" i="7"/>
  <c r="CX33" i="7"/>
  <c r="CW33" i="7"/>
  <c r="CU33" i="7"/>
  <c r="CS33" i="7"/>
  <c r="CQ33" i="7"/>
  <c r="CP33" i="7"/>
  <c r="CO33" i="7"/>
  <c r="CN33" i="7"/>
  <c r="CJ33" i="7"/>
  <c r="CI33" i="7"/>
  <c r="CH33" i="7"/>
  <c r="CG33" i="7"/>
  <c r="CF33" i="7"/>
  <c r="CE33" i="7"/>
  <c r="CD33" i="7"/>
  <c r="CC33" i="7"/>
  <c r="CB33" i="7"/>
  <c r="CA33" i="7"/>
  <c r="BZ33" i="7"/>
  <c r="BY33" i="7"/>
  <c r="BX33" i="7"/>
  <c r="BW33" i="7"/>
  <c r="BV33" i="7"/>
  <c r="BH33" i="7"/>
  <c r="BG33" i="7"/>
  <c r="AV33" i="7"/>
  <c r="AU33" i="7"/>
  <c r="AT33" i="7"/>
  <c r="AS33" i="7"/>
  <c r="AR33" i="7"/>
  <c r="AP33" i="7"/>
  <c r="AF33" i="7"/>
  <c r="AE33" i="7"/>
  <c r="AC33" i="7"/>
  <c r="AA33" i="7"/>
  <c r="Z33" i="7"/>
  <c r="X33" i="7"/>
  <c r="W33" i="7"/>
  <c r="V33" i="7"/>
  <c r="T33" i="7"/>
  <c r="R33" i="7"/>
  <c r="N33" i="7"/>
  <c r="L33" i="7"/>
  <c r="K33" i="7"/>
  <c r="J33" i="7"/>
  <c r="I33" i="7"/>
  <c r="H33" i="7"/>
  <c r="G33" i="7"/>
  <c r="F33" i="7"/>
  <c r="E33" i="7"/>
  <c r="C33" i="7"/>
  <c r="B33" i="7"/>
  <c r="A33" i="7"/>
  <c r="DE32" i="7"/>
  <c r="DA32" i="7"/>
  <c r="CY32" i="7"/>
  <c r="CX32" i="7"/>
  <c r="CW32" i="7"/>
  <c r="CU32" i="7"/>
  <c r="CS32" i="7"/>
  <c r="CR32" i="7"/>
  <c r="CQ32" i="7"/>
  <c r="CP32" i="7"/>
  <c r="CO32" i="7"/>
  <c r="CN32" i="7"/>
  <c r="CJ32" i="7"/>
  <c r="CI32" i="7"/>
  <c r="CH32" i="7"/>
  <c r="CG32" i="7"/>
  <c r="CF32" i="7"/>
  <c r="CE32" i="7"/>
  <c r="CD32" i="7"/>
  <c r="CC32" i="7"/>
  <c r="CB32" i="7"/>
  <c r="CA32" i="7"/>
  <c r="BZ32" i="7"/>
  <c r="BY32" i="7"/>
  <c r="BX32" i="7"/>
  <c r="BW32" i="7"/>
  <c r="BV32" i="7"/>
  <c r="BH32" i="7"/>
  <c r="BG32" i="7"/>
  <c r="AV32" i="7"/>
  <c r="AU32" i="7"/>
  <c r="AT32" i="7"/>
  <c r="AS32" i="7"/>
  <c r="AR32" i="7"/>
  <c r="AP32" i="7"/>
  <c r="AF32" i="7"/>
  <c r="AE32" i="7"/>
  <c r="AC32" i="7"/>
  <c r="AA32" i="7"/>
  <c r="Z32" i="7"/>
  <c r="X32" i="7"/>
  <c r="W32" i="7"/>
  <c r="V32" i="7"/>
  <c r="T32" i="7"/>
  <c r="R32" i="7"/>
  <c r="N32" i="7"/>
  <c r="L32" i="7"/>
  <c r="K32" i="7"/>
  <c r="J32" i="7"/>
  <c r="I32" i="7"/>
  <c r="H32" i="7"/>
  <c r="G32" i="7"/>
  <c r="F32" i="7"/>
  <c r="E32" i="7"/>
  <c r="C32" i="7"/>
  <c r="B32" i="7"/>
  <c r="A32" i="7"/>
  <c r="DE31" i="7"/>
  <c r="DA31" i="7"/>
  <c r="CY31" i="7"/>
  <c r="CX31" i="7"/>
  <c r="CW31" i="7"/>
  <c r="CU31" i="7"/>
  <c r="CS31" i="7"/>
  <c r="CQ31" i="7"/>
  <c r="CP31" i="7"/>
  <c r="CO31" i="7"/>
  <c r="CN31" i="7"/>
  <c r="CJ31" i="7"/>
  <c r="CI31" i="7"/>
  <c r="CH31" i="7"/>
  <c r="CG31" i="7"/>
  <c r="CF31" i="7"/>
  <c r="CE31" i="7"/>
  <c r="CD31" i="7"/>
  <c r="CC31" i="7"/>
  <c r="CB31" i="7"/>
  <c r="CA31" i="7"/>
  <c r="BZ31" i="7"/>
  <c r="BY31" i="7"/>
  <c r="BX31" i="7"/>
  <c r="BW31" i="7"/>
  <c r="BV31" i="7"/>
  <c r="BH31" i="7"/>
  <c r="BG31" i="7"/>
  <c r="AV31" i="7"/>
  <c r="AU31" i="7"/>
  <c r="AT31" i="7"/>
  <c r="AS31" i="7"/>
  <c r="AR31" i="7"/>
  <c r="AP31" i="7"/>
  <c r="AF31" i="7"/>
  <c r="AE31" i="7"/>
  <c r="AC31" i="7"/>
  <c r="AA31" i="7"/>
  <c r="Z31" i="7"/>
  <c r="X31" i="7"/>
  <c r="W31" i="7"/>
  <c r="V31" i="7"/>
  <c r="T31" i="7"/>
  <c r="R31" i="7"/>
  <c r="N31" i="7"/>
  <c r="L31" i="7"/>
  <c r="K31" i="7"/>
  <c r="J31" i="7"/>
  <c r="I31" i="7"/>
  <c r="H31" i="7"/>
  <c r="G31" i="7"/>
  <c r="F31" i="7"/>
  <c r="E31" i="7"/>
  <c r="C31" i="7"/>
  <c r="B31" i="7"/>
  <c r="A31" i="7"/>
  <c r="DE30" i="7"/>
  <c r="DA30" i="7"/>
  <c r="CY30" i="7"/>
  <c r="CX30" i="7"/>
  <c r="CW30" i="7"/>
  <c r="CU30" i="7"/>
  <c r="CS30" i="7"/>
  <c r="CR30" i="7"/>
  <c r="CQ30" i="7"/>
  <c r="CP30" i="7"/>
  <c r="CO30" i="7"/>
  <c r="CN30" i="7"/>
  <c r="CJ30" i="7"/>
  <c r="CI30" i="7"/>
  <c r="CH30" i="7"/>
  <c r="CG30" i="7"/>
  <c r="CF30" i="7"/>
  <c r="CE30" i="7"/>
  <c r="CD30" i="7"/>
  <c r="CC30" i="7"/>
  <c r="CB30" i="7"/>
  <c r="CA30" i="7"/>
  <c r="BZ30" i="7"/>
  <c r="BY30" i="7"/>
  <c r="BX30" i="7"/>
  <c r="BW30" i="7"/>
  <c r="BV30" i="7"/>
  <c r="BH30" i="7"/>
  <c r="BG30" i="7"/>
  <c r="AV30" i="7"/>
  <c r="AU30" i="7"/>
  <c r="AT30" i="7"/>
  <c r="AS30" i="7"/>
  <c r="AR30" i="7"/>
  <c r="AP30" i="7"/>
  <c r="AF30" i="7"/>
  <c r="AE30" i="7"/>
  <c r="AC30" i="7"/>
  <c r="AA30" i="7"/>
  <c r="Z30" i="7"/>
  <c r="X30" i="7"/>
  <c r="W30" i="7"/>
  <c r="V30" i="7"/>
  <c r="T30" i="7"/>
  <c r="R30" i="7"/>
  <c r="N30" i="7"/>
  <c r="L30" i="7"/>
  <c r="K30" i="7"/>
  <c r="J30" i="7"/>
  <c r="I30" i="7"/>
  <c r="H30" i="7"/>
  <c r="G30" i="7"/>
  <c r="F30" i="7"/>
  <c r="E30" i="7"/>
  <c r="C30" i="7"/>
  <c r="B30" i="7"/>
  <c r="A30" i="7"/>
  <c r="DE29" i="7"/>
  <c r="DA29" i="7"/>
  <c r="CY29" i="7"/>
  <c r="CX29" i="7"/>
  <c r="CW29" i="7"/>
  <c r="CU29" i="7"/>
  <c r="CS29" i="7"/>
  <c r="CQ29" i="7"/>
  <c r="CP29" i="7"/>
  <c r="CO29" i="7"/>
  <c r="CN29" i="7"/>
  <c r="CJ29" i="7"/>
  <c r="CI29" i="7"/>
  <c r="CH29" i="7"/>
  <c r="CG29" i="7"/>
  <c r="CF29" i="7"/>
  <c r="CE29" i="7"/>
  <c r="CD29" i="7"/>
  <c r="CC29" i="7"/>
  <c r="CB29" i="7"/>
  <c r="CA29" i="7"/>
  <c r="BZ29" i="7"/>
  <c r="BY29" i="7"/>
  <c r="BX29" i="7"/>
  <c r="BW29" i="7"/>
  <c r="BV29" i="7"/>
  <c r="BH29" i="7"/>
  <c r="BG29" i="7"/>
  <c r="AV29" i="7"/>
  <c r="AU29" i="7"/>
  <c r="AT29" i="7"/>
  <c r="AS29" i="7"/>
  <c r="AR29" i="7"/>
  <c r="AP29" i="7"/>
  <c r="AF29" i="7"/>
  <c r="AE29" i="7"/>
  <c r="AC29" i="7"/>
  <c r="AA29" i="7"/>
  <c r="Z29" i="7"/>
  <c r="X29" i="7"/>
  <c r="W29" i="7"/>
  <c r="V29" i="7"/>
  <c r="T29" i="7"/>
  <c r="R29" i="7"/>
  <c r="N29" i="7"/>
  <c r="L29" i="7"/>
  <c r="K29" i="7"/>
  <c r="J29" i="7"/>
  <c r="I29" i="7"/>
  <c r="H29" i="7"/>
  <c r="G29" i="7"/>
  <c r="F29" i="7"/>
  <c r="E29" i="7"/>
  <c r="C29" i="7"/>
  <c r="B29" i="7"/>
  <c r="A29" i="7"/>
  <c r="DE28" i="7"/>
  <c r="DA28" i="7"/>
  <c r="CY28" i="7"/>
  <c r="CX28" i="7"/>
  <c r="CW28" i="7"/>
  <c r="CU28" i="7"/>
  <c r="CS28" i="7"/>
  <c r="CR28" i="7"/>
  <c r="CQ28" i="7"/>
  <c r="CP28" i="7"/>
  <c r="CO28" i="7"/>
  <c r="CN28" i="7"/>
  <c r="CJ28" i="7"/>
  <c r="CI28" i="7"/>
  <c r="CH28" i="7"/>
  <c r="CG28" i="7"/>
  <c r="CF28" i="7"/>
  <c r="CE28" i="7"/>
  <c r="CD28" i="7"/>
  <c r="CC28" i="7"/>
  <c r="CB28" i="7"/>
  <c r="CA28" i="7"/>
  <c r="BZ28" i="7"/>
  <c r="BY28" i="7"/>
  <c r="BX28" i="7"/>
  <c r="BW28" i="7"/>
  <c r="BV28" i="7"/>
  <c r="BH28" i="7"/>
  <c r="BG28" i="7"/>
  <c r="AV28" i="7"/>
  <c r="AU28" i="7"/>
  <c r="AT28" i="7"/>
  <c r="AS28" i="7"/>
  <c r="AR28" i="7"/>
  <c r="AQ28" i="7"/>
  <c r="AP28" i="7"/>
  <c r="AF28" i="7"/>
  <c r="AE28" i="7"/>
  <c r="AC28" i="7"/>
  <c r="AA28" i="7"/>
  <c r="Z28" i="7"/>
  <c r="X28" i="7"/>
  <c r="W28" i="7"/>
  <c r="V28" i="7"/>
  <c r="T28" i="7"/>
  <c r="R28" i="7"/>
  <c r="N28" i="7"/>
  <c r="L28" i="7"/>
  <c r="K28" i="7"/>
  <c r="J28" i="7"/>
  <c r="I28" i="7"/>
  <c r="H28" i="7"/>
  <c r="G28" i="7"/>
  <c r="F28" i="7"/>
  <c r="E28" i="7"/>
  <c r="C28" i="7"/>
  <c r="B28" i="7"/>
  <c r="A28" i="7"/>
  <c r="DE27" i="7"/>
  <c r="DA27" i="7"/>
  <c r="CY27" i="7"/>
  <c r="CX27" i="7"/>
  <c r="CW27" i="7"/>
  <c r="CU27" i="7"/>
  <c r="CS27" i="7"/>
  <c r="CQ27" i="7"/>
  <c r="CP27" i="7"/>
  <c r="CO27" i="7"/>
  <c r="CN27" i="7"/>
  <c r="CJ27" i="7"/>
  <c r="CI27" i="7"/>
  <c r="CH27" i="7"/>
  <c r="CG27" i="7"/>
  <c r="CF27" i="7"/>
  <c r="CE27" i="7"/>
  <c r="CD27" i="7"/>
  <c r="CC27" i="7"/>
  <c r="CB27" i="7"/>
  <c r="CA27" i="7"/>
  <c r="BZ27" i="7"/>
  <c r="BY27" i="7"/>
  <c r="BX27" i="7"/>
  <c r="BW27" i="7"/>
  <c r="BV27" i="7"/>
  <c r="BH27" i="7"/>
  <c r="BG27" i="7"/>
  <c r="AV27" i="7"/>
  <c r="AU27" i="7"/>
  <c r="AT27" i="7"/>
  <c r="AS27" i="7"/>
  <c r="AR27" i="7"/>
  <c r="AP27" i="7"/>
  <c r="AF27" i="7"/>
  <c r="AE27" i="7"/>
  <c r="AC27" i="7"/>
  <c r="AA27" i="7"/>
  <c r="Z27" i="7"/>
  <c r="X27" i="7"/>
  <c r="W27" i="7"/>
  <c r="V27" i="7"/>
  <c r="T27" i="7"/>
  <c r="R27" i="7"/>
  <c r="N27" i="7"/>
  <c r="L27" i="7"/>
  <c r="K27" i="7"/>
  <c r="J27" i="7"/>
  <c r="I27" i="7"/>
  <c r="H27" i="7"/>
  <c r="G27" i="7"/>
  <c r="F27" i="7"/>
  <c r="E27" i="7"/>
  <c r="C27" i="7"/>
  <c r="B27" i="7"/>
  <c r="A27" i="7"/>
  <c r="DE26" i="7"/>
  <c r="DA26" i="7"/>
  <c r="CY26" i="7"/>
  <c r="CX26" i="7"/>
  <c r="CW26" i="7"/>
  <c r="CU26" i="7"/>
  <c r="CS26" i="7"/>
  <c r="CR26" i="7"/>
  <c r="CQ26" i="7"/>
  <c r="CP26" i="7"/>
  <c r="CO26" i="7"/>
  <c r="CN26" i="7"/>
  <c r="CJ26" i="7"/>
  <c r="CI26" i="7"/>
  <c r="CH26" i="7"/>
  <c r="CG26" i="7"/>
  <c r="CF26" i="7"/>
  <c r="CE26" i="7"/>
  <c r="CD26" i="7"/>
  <c r="CC26" i="7"/>
  <c r="CB26" i="7"/>
  <c r="CA26" i="7"/>
  <c r="BZ26" i="7"/>
  <c r="BY26" i="7"/>
  <c r="BX26" i="7"/>
  <c r="BW26" i="7"/>
  <c r="BV26" i="7"/>
  <c r="BH26" i="7"/>
  <c r="BG26" i="7"/>
  <c r="AV26" i="7"/>
  <c r="AU26" i="7"/>
  <c r="AT26" i="7"/>
  <c r="AS26" i="7"/>
  <c r="AR26" i="7"/>
  <c r="AP26" i="7"/>
  <c r="AF26" i="7"/>
  <c r="AE26" i="7"/>
  <c r="AC26" i="7"/>
  <c r="AA26" i="7"/>
  <c r="Z26" i="7"/>
  <c r="X26" i="7"/>
  <c r="W26" i="7"/>
  <c r="V26" i="7"/>
  <c r="T26" i="7"/>
  <c r="R26" i="7"/>
  <c r="N26" i="7"/>
  <c r="L26" i="7"/>
  <c r="K26" i="7"/>
  <c r="J26" i="7"/>
  <c r="I26" i="7"/>
  <c r="H26" i="7"/>
  <c r="G26" i="7"/>
  <c r="F26" i="7"/>
  <c r="E26" i="7"/>
  <c r="C26" i="7"/>
  <c r="B26" i="7"/>
  <c r="A26" i="7"/>
  <c r="DE25" i="7"/>
  <c r="DA25" i="7"/>
  <c r="CY25" i="7"/>
  <c r="CX25" i="7"/>
  <c r="CW25" i="7"/>
  <c r="CV25" i="7"/>
  <c r="CU25" i="7"/>
  <c r="CS25" i="7"/>
  <c r="CQ25" i="7"/>
  <c r="CP25" i="7"/>
  <c r="CO25" i="7"/>
  <c r="CN25" i="7"/>
  <c r="CL25" i="7"/>
  <c r="CJ25" i="7"/>
  <c r="CI25" i="7"/>
  <c r="CH25" i="7"/>
  <c r="CG25" i="7"/>
  <c r="CF25" i="7"/>
  <c r="CE25" i="7"/>
  <c r="CD25" i="7"/>
  <c r="CC25" i="7"/>
  <c r="CB25" i="7"/>
  <c r="CA25" i="7"/>
  <c r="BZ25" i="7"/>
  <c r="BY25" i="7"/>
  <c r="BX25" i="7"/>
  <c r="BW25" i="7"/>
  <c r="BV25" i="7"/>
  <c r="BH25" i="7"/>
  <c r="BG25" i="7"/>
  <c r="AV25" i="7"/>
  <c r="AU25" i="7"/>
  <c r="AT25" i="7"/>
  <c r="AS25" i="7"/>
  <c r="AR25" i="7"/>
  <c r="AP25" i="7"/>
  <c r="AF25" i="7"/>
  <c r="AE25" i="7"/>
  <c r="AC25" i="7"/>
  <c r="AA25" i="7"/>
  <c r="Z25" i="7"/>
  <c r="X25" i="7"/>
  <c r="W25" i="7"/>
  <c r="V25" i="7"/>
  <c r="T25" i="7"/>
  <c r="R25" i="7"/>
  <c r="N25" i="7"/>
  <c r="L25" i="7"/>
  <c r="K25" i="7"/>
  <c r="J25" i="7"/>
  <c r="I25" i="7"/>
  <c r="H25" i="7"/>
  <c r="G25" i="7"/>
  <c r="F25" i="7"/>
  <c r="E25" i="7"/>
  <c r="C25" i="7"/>
  <c r="B25" i="7"/>
  <c r="A25" i="7"/>
  <c r="DE24" i="7"/>
  <c r="DA24" i="7"/>
  <c r="CY24" i="7"/>
  <c r="CX24" i="7"/>
  <c r="CW24" i="7"/>
  <c r="CU24" i="7"/>
  <c r="CS24" i="7"/>
  <c r="CQ24" i="7"/>
  <c r="CP24" i="7"/>
  <c r="CO24" i="7"/>
  <c r="CN24" i="7"/>
  <c r="CJ24" i="7"/>
  <c r="CI24" i="7"/>
  <c r="CH24" i="7"/>
  <c r="CG24" i="7"/>
  <c r="CF24" i="7"/>
  <c r="CE24" i="7"/>
  <c r="CD24" i="7"/>
  <c r="CC24" i="7"/>
  <c r="CB24" i="7"/>
  <c r="CA24" i="7"/>
  <c r="BZ24" i="7"/>
  <c r="BY24" i="7"/>
  <c r="BX24" i="7"/>
  <c r="BW24" i="7"/>
  <c r="BV24" i="7"/>
  <c r="BH24" i="7"/>
  <c r="BG24" i="7"/>
  <c r="AV24" i="7"/>
  <c r="AU24" i="7"/>
  <c r="AT24" i="7"/>
  <c r="AS24" i="7"/>
  <c r="AR24" i="7"/>
  <c r="AP24" i="7"/>
  <c r="AF24" i="7"/>
  <c r="AE24" i="7"/>
  <c r="AC24" i="7"/>
  <c r="AA24" i="7"/>
  <c r="Z24" i="7"/>
  <c r="X24" i="7"/>
  <c r="W24" i="7"/>
  <c r="V24" i="7"/>
  <c r="T24" i="7"/>
  <c r="R24" i="7"/>
  <c r="N24" i="7"/>
  <c r="L24" i="7"/>
  <c r="K24" i="7"/>
  <c r="J24" i="7"/>
  <c r="I24" i="7"/>
  <c r="H24" i="7"/>
  <c r="G24" i="7"/>
  <c r="F24" i="7"/>
  <c r="E24" i="7"/>
  <c r="C24" i="7"/>
  <c r="B24" i="7"/>
  <c r="A24" i="7"/>
  <c r="DE23" i="7"/>
  <c r="DA23" i="7"/>
  <c r="CY23" i="7"/>
  <c r="CX23" i="7"/>
  <c r="CW23" i="7"/>
  <c r="CV23" i="7"/>
  <c r="CU23" i="7"/>
  <c r="CS23" i="7"/>
  <c r="CQ23" i="7"/>
  <c r="CP23" i="7"/>
  <c r="CO23" i="7"/>
  <c r="CN23" i="7"/>
  <c r="CJ23" i="7"/>
  <c r="CI23" i="7"/>
  <c r="CH23" i="7"/>
  <c r="CG23" i="7"/>
  <c r="CF23" i="7"/>
  <c r="CE23" i="7"/>
  <c r="CD23" i="7"/>
  <c r="CC23" i="7"/>
  <c r="CB23" i="7"/>
  <c r="CA23" i="7"/>
  <c r="BZ23" i="7"/>
  <c r="BY23" i="7"/>
  <c r="BX23" i="7"/>
  <c r="BW23" i="7"/>
  <c r="BV23" i="7"/>
  <c r="BH23" i="7"/>
  <c r="BG23" i="7"/>
  <c r="AV23" i="7"/>
  <c r="AU23" i="7"/>
  <c r="AT23" i="7"/>
  <c r="AS23" i="7"/>
  <c r="AR23" i="7"/>
  <c r="AP23" i="7"/>
  <c r="AF23" i="7"/>
  <c r="AE23" i="7"/>
  <c r="AC23" i="7"/>
  <c r="AA23" i="7"/>
  <c r="Z23" i="7"/>
  <c r="X23" i="7"/>
  <c r="W23" i="7"/>
  <c r="V23" i="7"/>
  <c r="T23" i="7"/>
  <c r="R23" i="7"/>
  <c r="N23" i="7"/>
  <c r="L23" i="7"/>
  <c r="K23" i="7"/>
  <c r="J23" i="7"/>
  <c r="I23" i="7"/>
  <c r="H23" i="7"/>
  <c r="G23" i="7"/>
  <c r="F23" i="7"/>
  <c r="E23" i="7"/>
  <c r="C23" i="7"/>
  <c r="B23" i="7"/>
  <c r="A23" i="7"/>
  <c r="DE22" i="7"/>
  <c r="DA22" i="7"/>
  <c r="CY22" i="7"/>
  <c r="CX22" i="7"/>
  <c r="CW22" i="7"/>
  <c r="CV22" i="7"/>
  <c r="CU22" i="7"/>
  <c r="CS22" i="7"/>
  <c r="CR22" i="7"/>
  <c r="CQ22" i="7"/>
  <c r="CP22" i="7"/>
  <c r="CO22" i="7"/>
  <c r="CN22" i="7"/>
  <c r="CJ22" i="7"/>
  <c r="CI22" i="7"/>
  <c r="CH22" i="7"/>
  <c r="CG22" i="7"/>
  <c r="CF22" i="7"/>
  <c r="CE22" i="7"/>
  <c r="CD22" i="7"/>
  <c r="CC22" i="7"/>
  <c r="CB22" i="7"/>
  <c r="CA22" i="7"/>
  <c r="BZ22" i="7"/>
  <c r="BY22" i="7"/>
  <c r="BX22" i="7"/>
  <c r="BW22" i="7"/>
  <c r="BV22" i="7"/>
  <c r="BH22" i="7"/>
  <c r="BG22" i="7"/>
  <c r="AV22" i="7"/>
  <c r="AU22" i="7"/>
  <c r="AT22" i="7"/>
  <c r="AS22" i="7"/>
  <c r="AR22" i="7"/>
  <c r="AP22" i="7"/>
  <c r="AF22" i="7"/>
  <c r="AE22" i="7"/>
  <c r="AC22" i="7"/>
  <c r="AA22" i="7"/>
  <c r="Z22" i="7"/>
  <c r="X22" i="7"/>
  <c r="W22" i="7"/>
  <c r="V22" i="7"/>
  <c r="T22" i="7"/>
  <c r="R22" i="7"/>
  <c r="N22" i="7"/>
  <c r="L22" i="7"/>
  <c r="K22" i="7"/>
  <c r="J22" i="7"/>
  <c r="I22" i="7"/>
  <c r="H22" i="7"/>
  <c r="G22" i="7"/>
  <c r="F22" i="7"/>
  <c r="E22" i="7"/>
  <c r="C22" i="7"/>
  <c r="B22" i="7"/>
  <c r="A22" i="7"/>
  <c r="DE21" i="7"/>
  <c r="DA21" i="7"/>
  <c r="CY21" i="7"/>
  <c r="CX21" i="7"/>
  <c r="CW21" i="7"/>
  <c r="CV21" i="7"/>
  <c r="CU21" i="7"/>
  <c r="CS21" i="7"/>
  <c r="CQ21" i="7"/>
  <c r="CP21" i="7"/>
  <c r="CO21" i="7"/>
  <c r="CN21" i="7"/>
  <c r="CJ21" i="7"/>
  <c r="CI21" i="7"/>
  <c r="CH21" i="7"/>
  <c r="CG21" i="7"/>
  <c r="CF21" i="7"/>
  <c r="CE21" i="7"/>
  <c r="CD21" i="7"/>
  <c r="CC21" i="7"/>
  <c r="CB21" i="7"/>
  <c r="CA21" i="7"/>
  <c r="BZ21" i="7"/>
  <c r="BY21" i="7"/>
  <c r="BX21" i="7"/>
  <c r="BW21" i="7"/>
  <c r="BV21" i="7"/>
  <c r="BH21" i="7"/>
  <c r="BG21" i="7"/>
  <c r="AV21" i="7"/>
  <c r="AU21" i="7"/>
  <c r="AT21" i="7"/>
  <c r="AS21" i="7"/>
  <c r="AR21" i="7"/>
  <c r="AQ21" i="7"/>
  <c r="AP21" i="7"/>
  <c r="AF21" i="7"/>
  <c r="AE21" i="7"/>
  <c r="AC21" i="7"/>
  <c r="AA21" i="7"/>
  <c r="Z21" i="7"/>
  <c r="X21" i="7"/>
  <c r="W21" i="7"/>
  <c r="V21" i="7"/>
  <c r="T21" i="7"/>
  <c r="R21" i="7"/>
  <c r="N21" i="7"/>
  <c r="L21" i="7"/>
  <c r="K21" i="7"/>
  <c r="J21" i="7"/>
  <c r="I21" i="7"/>
  <c r="H21" i="7"/>
  <c r="G21" i="7"/>
  <c r="F21" i="7"/>
  <c r="E21" i="7"/>
  <c r="C21" i="7"/>
  <c r="B21" i="7"/>
  <c r="A21" i="7"/>
  <c r="DE20" i="7"/>
  <c r="DA20" i="7"/>
  <c r="CY20" i="7"/>
  <c r="CX20" i="7"/>
  <c r="CW20" i="7"/>
  <c r="CV20" i="7"/>
  <c r="CU20" i="7"/>
  <c r="CS20" i="7"/>
  <c r="CQ20" i="7"/>
  <c r="CP20" i="7"/>
  <c r="CO20" i="7"/>
  <c r="CN20" i="7"/>
  <c r="CJ20" i="7"/>
  <c r="CI20" i="7"/>
  <c r="CH20" i="7"/>
  <c r="CG20" i="7"/>
  <c r="CF20" i="7"/>
  <c r="CE20" i="7"/>
  <c r="CD20" i="7"/>
  <c r="CC20" i="7"/>
  <c r="CB20" i="7"/>
  <c r="CA20" i="7"/>
  <c r="BZ20" i="7"/>
  <c r="BY20" i="7"/>
  <c r="BX20" i="7"/>
  <c r="BW20" i="7"/>
  <c r="BV20" i="7"/>
  <c r="BH20" i="7"/>
  <c r="BG20" i="7"/>
  <c r="AV20" i="7"/>
  <c r="AU20" i="7"/>
  <c r="AT20" i="7"/>
  <c r="AS20" i="7"/>
  <c r="AR20" i="7"/>
  <c r="AP20" i="7"/>
  <c r="AF20" i="7"/>
  <c r="AE20" i="7"/>
  <c r="AC20" i="7"/>
  <c r="AA20" i="7"/>
  <c r="Z20" i="7"/>
  <c r="X20" i="7"/>
  <c r="W20" i="7"/>
  <c r="V20" i="7"/>
  <c r="T20" i="7"/>
  <c r="R20" i="7"/>
  <c r="N20" i="7"/>
  <c r="L20" i="7"/>
  <c r="K20" i="7"/>
  <c r="J20" i="7"/>
  <c r="I20" i="7"/>
  <c r="H20" i="7"/>
  <c r="G20" i="7"/>
  <c r="F20" i="7"/>
  <c r="E20" i="7"/>
  <c r="C20" i="7"/>
  <c r="B20" i="7"/>
  <c r="A20" i="7"/>
  <c r="DE19" i="7"/>
  <c r="DA19" i="7"/>
  <c r="CY19" i="7"/>
  <c r="CX19" i="7"/>
  <c r="CW19" i="7"/>
  <c r="CU19" i="7"/>
  <c r="CS19" i="7"/>
  <c r="CR19" i="7"/>
  <c r="CQ19" i="7"/>
  <c r="CP19" i="7"/>
  <c r="CO19" i="7"/>
  <c r="CN19" i="7"/>
  <c r="CJ19" i="7"/>
  <c r="CI19" i="7"/>
  <c r="CH19" i="7"/>
  <c r="CG19" i="7"/>
  <c r="CF19" i="7"/>
  <c r="CE19" i="7"/>
  <c r="CD19" i="7"/>
  <c r="CC19" i="7"/>
  <c r="CB19" i="7"/>
  <c r="CA19" i="7"/>
  <c r="BZ19" i="7"/>
  <c r="BY19" i="7"/>
  <c r="BX19" i="7"/>
  <c r="BW19" i="7"/>
  <c r="BV19" i="7"/>
  <c r="BH19" i="7"/>
  <c r="BG19" i="7"/>
  <c r="AV19" i="7"/>
  <c r="AU19" i="7"/>
  <c r="AT19" i="7"/>
  <c r="AS19" i="7"/>
  <c r="AR19" i="7"/>
  <c r="AP19" i="7"/>
  <c r="AF19" i="7"/>
  <c r="AE19" i="7"/>
  <c r="AC19" i="7"/>
  <c r="AA19" i="7"/>
  <c r="Z19" i="7"/>
  <c r="X19" i="7"/>
  <c r="W19" i="7"/>
  <c r="V19" i="7"/>
  <c r="T19" i="7"/>
  <c r="R19" i="7"/>
  <c r="N19" i="7"/>
  <c r="L19" i="7"/>
  <c r="K19" i="7"/>
  <c r="J19" i="7"/>
  <c r="I19" i="7"/>
  <c r="H19" i="7"/>
  <c r="G19" i="7"/>
  <c r="F19" i="7"/>
  <c r="E19" i="7"/>
  <c r="C19" i="7"/>
  <c r="B19" i="7"/>
  <c r="A19" i="7"/>
  <c r="DE18" i="7"/>
  <c r="DA18" i="7"/>
  <c r="CY18" i="7"/>
  <c r="CX18" i="7"/>
  <c r="CW18" i="7"/>
  <c r="CV18" i="7"/>
  <c r="CU18" i="7"/>
  <c r="CS18" i="7"/>
  <c r="CQ18" i="7"/>
  <c r="CP18" i="7"/>
  <c r="CO18" i="7"/>
  <c r="CN18" i="7"/>
  <c r="CJ18" i="7"/>
  <c r="CI18" i="7"/>
  <c r="CH18" i="7"/>
  <c r="CG18" i="7"/>
  <c r="CF18" i="7"/>
  <c r="CE18" i="7"/>
  <c r="CD18" i="7"/>
  <c r="CC18" i="7"/>
  <c r="CB18" i="7"/>
  <c r="CA18" i="7"/>
  <c r="BZ18" i="7"/>
  <c r="BY18" i="7"/>
  <c r="BX18" i="7"/>
  <c r="BW18" i="7"/>
  <c r="BV18" i="7"/>
  <c r="BH18" i="7"/>
  <c r="BG18" i="7"/>
  <c r="AV18" i="7"/>
  <c r="AU18" i="7"/>
  <c r="AT18" i="7"/>
  <c r="AS18" i="7"/>
  <c r="AR18" i="7"/>
  <c r="AP18" i="7"/>
  <c r="AF18" i="7"/>
  <c r="AE18" i="7"/>
  <c r="AC18" i="7"/>
  <c r="AA18" i="7"/>
  <c r="Z18" i="7"/>
  <c r="X18" i="7"/>
  <c r="W18" i="7"/>
  <c r="V18" i="7"/>
  <c r="T18" i="7"/>
  <c r="R18" i="7"/>
  <c r="N18" i="7"/>
  <c r="L18" i="7"/>
  <c r="K18" i="7"/>
  <c r="J18" i="7"/>
  <c r="I18" i="7"/>
  <c r="H18" i="7"/>
  <c r="G18" i="7"/>
  <c r="F18" i="7"/>
  <c r="E18" i="7"/>
  <c r="C18" i="7"/>
  <c r="B18" i="7"/>
  <c r="A18" i="7"/>
  <c r="DE17" i="7"/>
  <c r="DA17" i="7"/>
  <c r="CY17" i="7"/>
  <c r="CX17" i="7"/>
  <c r="CW17" i="7"/>
  <c r="CU17" i="7"/>
  <c r="CT17" i="7"/>
  <c r="CS17" i="7"/>
  <c r="CR17" i="7"/>
  <c r="CQ17" i="7"/>
  <c r="CP17" i="7"/>
  <c r="CO17" i="7"/>
  <c r="CN17" i="7"/>
  <c r="CJ17" i="7"/>
  <c r="CI17" i="7"/>
  <c r="CH17" i="7"/>
  <c r="CG17" i="7"/>
  <c r="CF17" i="7"/>
  <c r="CE17" i="7"/>
  <c r="CD17" i="7"/>
  <c r="CC17" i="7"/>
  <c r="CB17" i="7"/>
  <c r="CA17" i="7"/>
  <c r="BZ17" i="7"/>
  <c r="BY17" i="7"/>
  <c r="BX17" i="7"/>
  <c r="BW17" i="7"/>
  <c r="BV17" i="7"/>
  <c r="BH17" i="7"/>
  <c r="BG17" i="7"/>
  <c r="AV17" i="7"/>
  <c r="AU17" i="7"/>
  <c r="AT17" i="7"/>
  <c r="AS17" i="7"/>
  <c r="AR17" i="7"/>
  <c r="AP17" i="7"/>
  <c r="AF17" i="7"/>
  <c r="AE17" i="7"/>
  <c r="AC17" i="7"/>
  <c r="AA17" i="7"/>
  <c r="Z17" i="7"/>
  <c r="X17" i="7"/>
  <c r="W17" i="7"/>
  <c r="V17" i="7"/>
  <c r="T17" i="7"/>
  <c r="R17" i="7"/>
  <c r="N17" i="7"/>
  <c r="L17" i="7"/>
  <c r="K17" i="7"/>
  <c r="J17" i="7"/>
  <c r="I17" i="7"/>
  <c r="H17" i="7"/>
  <c r="G17" i="7"/>
  <c r="F17" i="7"/>
  <c r="E17" i="7"/>
  <c r="C17" i="7"/>
  <c r="B17" i="7"/>
  <c r="A17" i="7"/>
  <c r="DE16" i="7"/>
  <c r="DA16" i="7"/>
  <c r="CY16" i="7"/>
  <c r="CX16" i="7"/>
  <c r="CW16" i="7"/>
  <c r="CV16" i="7"/>
  <c r="CU16" i="7"/>
  <c r="CT16" i="7"/>
  <c r="CS16" i="7"/>
  <c r="CQ16" i="7"/>
  <c r="CP16" i="7"/>
  <c r="CO16" i="7"/>
  <c r="CN16" i="7"/>
  <c r="CJ16" i="7"/>
  <c r="CI16" i="7"/>
  <c r="CH16" i="7"/>
  <c r="CG16" i="7"/>
  <c r="CF16" i="7"/>
  <c r="CE16" i="7"/>
  <c r="CD16" i="7"/>
  <c r="CC16" i="7"/>
  <c r="CB16" i="7"/>
  <c r="CA16" i="7"/>
  <c r="BZ16" i="7"/>
  <c r="BY16" i="7"/>
  <c r="BX16" i="7"/>
  <c r="BW16" i="7"/>
  <c r="BV16" i="7"/>
  <c r="BH16" i="7"/>
  <c r="BG16" i="7"/>
  <c r="AV16" i="7"/>
  <c r="AU16" i="7"/>
  <c r="AT16" i="7"/>
  <c r="AS16" i="7"/>
  <c r="AR16" i="7"/>
  <c r="AP16" i="7"/>
  <c r="AF16" i="7"/>
  <c r="AE16" i="7"/>
  <c r="AC16" i="7"/>
  <c r="AA16" i="7"/>
  <c r="Z16" i="7"/>
  <c r="X16" i="7"/>
  <c r="W16" i="7"/>
  <c r="V16" i="7"/>
  <c r="T16" i="7"/>
  <c r="R16" i="7"/>
  <c r="N16" i="7"/>
  <c r="L16" i="7"/>
  <c r="K16" i="7"/>
  <c r="J16" i="7"/>
  <c r="I16" i="7"/>
  <c r="H16" i="7"/>
  <c r="G16" i="7"/>
  <c r="F16" i="7"/>
  <c r="E16" i="7"/>
  <c r="C16" i="7"/>
  <c r="B16" i="7"/>
  <c r="A16" i="7"/>
  <c r="DE15" i="7"/>
  <c r="DA15" i="7"/>
  <c r="CY15" i="7"/>
  <c r="CX15" i="7"/>
  <c r="CW15" i="7"/>
  <c r="CU15" i="7"/>
  <c r="CS15" i="7"/>
  <c r="CR15" i="7"/>
  <c r="CQ15" i="7"/>
  <c r="CP15" i="7"/>
  <c r="CO15" i="7"/>
  <c r="CN15" i="7"/>
  <c r="CJ15" i="7"/>
  <c r="CI15" i="7"/>
  <c r="CH15" i="7"/>
  <c r="CG15" i="7"/>
  <c r="CF15" i="7"/>
  <c r="CE15" i="7"/>
  <c r="CD15" i="7"/>
  <c r="CC15" i="7"/>
  <c r="CB15" i="7"/>
  <c r="CA15" i="7"/>
  <c r="BZ15" i="7"/>
  <c r="BY15" i="7"/>
  <c r="BX15" i="7"/>
  <c r="BW15" i="7"/>
  <c r="BV15" i="7"/>
  <c r="BH15" i="7"/>
  <c r="BG15" i="7"/>
  <c r="AV15" i="7"/>
  <c r="AU15" i="7"/>
  <c r="AT15" i="7"/>
  <c r="AS15" i="7"/>
  <c r="AR15" i="7"/>
  <c r="AP15" i="7"/>
  <c r="AF15" i="7"/>
  <c r="AE15" i="7"/>
  <c r="AC15" i="7"/>
  <c r="AA15" i="7"/>
  <c r="Z15" i="7"/>
  <c r="X15" i="7"/>
  <c r="W15" i="7"/>
  <c r="V15" i="7"/>
  <c r="T15" i="7"/>
  <c r="R15" i="7"/>
  <c r="N15" i="7"/>
  <c r="L15" i="7"/>
  <c r="K15" i="7"/>
  <c r="J15" i="7"/>
  <c r="I15" i="7"/>
  <c r="H15" i="7"/>
  <c r="G15" i="7"/>
  <c r="F15" i="7"/>
  <c r="E15" i="7"/>
  <c r="C15" i="7"/>
  <c r="B15" i="7"/>
  <c r="A15" i="7"/>
  <c r="DE14" i="7"/>
  <c r="DA14" i="7"/>
  <c r="CY14" i="7"/>
  <c r="CX14" i="7"/>
  <c r="CW14" i="7"/>
  <c r="CV14" i="7"/>
  <c r="CU14" i="7"/>
  <c r="CS14" i="7"/>
  <c r="CQ14" i="7"/>
  <c r="CP14" i="7"/>
  <c r="CO14" i="7"/>
  <c r="CN14" i="7"/>
  <c r="CJ14" i="7"/>
  <c r="CI14" i="7"/>
  <c r="CH14" i="7"/>
  <c r="CG14" i="7"/>
  <c r="CF14" i="7"/>
  <c r="CE14" i="7"/>
  <c r="CD14" i="7"/>
  <c r="CC14" i="7"/>
  <c r="CB14" i="7"/>
  <c r="CA14" i="7"/>
  <c r="BZ14" i="7"/>
  <c r="BY14" i="7"/>
  <c r="BX14" i="7"/>
  <c r="BW14" i="7"/>
  <c r="BV14" i="7"/>
  <c r="BH14" i="7"/>
  <c r="BG14" i="7"/>
  <c r="AV14" i="7"/>
  <c r="AU14" i="7"/>
  <c r="AT14" i="7"/>
  <c r="AS14" i="7"/>
  <c r="AR14" i="7"/>
  <c r="AP14" i="7"/>
  <c r="AF14" i="7"/>
  <c r="AE14" i="7"/>
  <c r="AC14" i="7"/>
  <c r="AA14" i="7"/>
  <c r="Z14" i="7"/>
  <c r="X14" i="7"/>
  <c r="W14" i="7"/>
  <c r="V14" i="7"/>
  <c r="T14" i="7"/>
  <c r="R14" i="7"/>
  <c r="N14" i="7"/>
  <c r="L14" i="7"/>
  <c r="K14" i="7"/>
  <c r="J14" i="7"/>
  <c r="I14" i="7"/>
  <c r="H14" i="7"/>
  <c r="G14" i="7"/>
  <c r="F14" i="7"/>
  <c r="E14" i="7"/>
  <c r="C14" i="7"/>
  <c r="B14" i="7"/>
  <c r="A14" i="7"/>
  <c r="DE13" i="7"/>
  <c r="DA13" i="7"/>
  <c r="CY13" i="7"/>
  <c r="CX13" i="7"/>
  <c r="CW13" i="7"/>
  <c r="CU13" i="7"/>
  <c r="CS13" i="7"/>
  <c r="CR13" i="7"/>
  <c r="CQ13" i="7"/>
  <c r="CP13" i="7"/>
  <c r="CO13" i="7"/>
  <c r="CN13" i="7"/>
  <c r="CJ13" i="7"/>
  <c r="CI13" i="7"/>
  <c r="CH13" i="7"/>
  <c r="CG13" i="7"/>
  <c r="CF13" i="7"/>
  <c r="CE13" i="7"/>
  <c r="CD13" i="7"/>
  <c r="CC13" i="7"/>
  <c r="CB13" i="7"/>
  <c r="CA13" i="7"/>
  <c r="BZ13" i="7"/>
  <c r="BY13" i="7"/>
  <c r="BX13" i="7"/>
  <c r="BW13" i="7"/>
  <c r="BV13" i="7"/>
  <c r="BH13" i="7"/>
  <c r="BG13" i="7"/>
  <c r="AV13" i="7"/>
  <c r="AU13" i="7"/>
  <c r="AT13" i="7"/>
  <c r="AS13" i="7"/>
  <c r="AR13" i="7"/>
  <c r="AP13" i="7"/>
  <c r="AF13" i="7"/>
  <c r="AE13" i="7"/>
  <c r="AC13" i="7"/>
  <c r="AA13" i="7"/>
  <c r="Z13" i="7"/>
  <c r="X13" i="7"/>
  <c r="W13" i="7"/>
  <c r="V13" i="7"/>
  <c r="T13" i="7"/>
  <c r="R13" i="7"/>
  <c r="N13" i="7"/>
  <c r="L13" i="7"/>
  <c r="K13" i="7"/>
  <c r="J13" i="7"/>
  <c r="I13" i="7"/>
  <c r="H13" i="7"/>
  <c r="G13" i="7"/>
  <c r="F13" i="7"/>
  <c r="E13" i="7"/>
  <c r="C13" i="7"/>
  <c r="B13" i="7"/>
  <c r="A13" i="7"/>
  <c r="DE12" i="7"/>
  <c r="DA12" i="7"/>
  <c r="CY12" i="7"/>
  <c r="CX12" i="7"/>
  <c r="CW12" i="7"/>
  <c r="CV12" i="7"/>
  <c r="CU12" i="7"/>
  <c r="CS12" i="7"/>
  <c r="CQ12" i="7"/>
  <c r="CP12" i="7"/>
  <c r="CO12" i="7"/>
  <c r="CN12" i="7"/>
  <c r="CL12" i="7"/>
  <c r="CJ12" i="7"/>
  <c r="CI12" i="7"/>
  <c r="CH12" i="7"/>
  <c r="CG12" i="7"/>
  <c r="CF12" i="7"/>
  <c r="CE12" i="7"/>
  <c r="CD12" i="7"/>
  <c r="CC12" i="7"/>
  <c r="CB12" i="7"/>
  <c r="CA12" i="7"/>
  <c r="BZ12" i="7"/>
  <c r="BY12" i="7"/>
  <c r="BX12" i="7"/>
  <c r="BW12" i="7"/>
  <c r="BV12" i="7"/>
  <c r="BH12" i="7"/>
  <c r="BG12" i="7"/>
  <c r="AV12" i="7"/>
  <c r="AU12" i="7"/>
  <c r="AT12" i="7"/>
  <c r="AS12" i="7"/>
  <c r="AR12" i="7"/>
  <c r="AP12" i="7"/>
  <c r="AF12" i="7"/>
  <c r="AE12" i="7"/>
  <c r="AC12" i="7"/>
  <c r="AA12" i="7"/>
  <c r="Z12" i="7"/>
  <c r="X12" i="7"/>
  <c r="W12" i="7"/>
  <c r="V12" i="7"/>
  <c r="T12" i="7"/>
  <c r="R12" i="7"/>
  <c r="N12" i="7"/>
  <c r="L12" i="7"/>
  <c r="K12" i="7"/>
  <c r="J12" i="7"/>
  <c r="I12" i="7"/>
  <c r="H12" i="7"/>
  <c r="G12" i="7"/>
  <c r="F12" i="7"/>
  <c r="E12" i="7"/>
  <c r="C12" i="7"/>
  <c r="B12" i="7"/>
  <c r="A12" i="7"/>
  <c r="DE11" i="7"/>
  <c r="DA11" i="7"/>
  <c r="CY11" i="7"/>
  <c r="CX11" i="7"/>
  <c r="CW11" i="7"/>
  <c r="CU11" i="7"/>
  <c r="CT11" i="7"/>
  <c r="CS11" i="7"/>
  <c r="CR11" i="7"/>
  <c r="CQ11" i="7"/>
  <c r="CP11" i="7"/>
  <c r="CO11" i="7"/>
  <c r="CN11" i="7"/>
  <c r="CL11" i="7"/>
  <c r="CJ11" i="7"/>
  <c r="CI11" i="7"/>
  <c r="CH11" i="7"/>
  <c r="CG11" i="7"/>
  <c r="CF11" i="7"/>
  <c r="CE11" i="7"/>
  <c r="CD11" i="7"/>
  <c r="CC11" i="7"/>
  <c r="CB11" i="7"/>
  <c r="CA11" i="7"/>
  <c r="BZ11" i="7"/>
  <c r="BY11" i="7"/>
  <c r="BX11" i="7"/>
  <c r="BW11" i="7"/>
  <c r="BV11" i="7"/>
  <c r="BH11" i="7"/>
  <c r="BG11" i="7"/>
  <c r="AV11" i="7"/>
  <c r="AU11" i="7"/>
  <c r="AT11" i="7"/>
  <c r="AS11" i="7"/>
  <c r="AR11" i="7"/>
  <c r="AP11" i="7"/>
  <c r="AF11" i="7"/>
  <c r="AE11" i="7"/>
  <c r="AC11" i="7"/>
  <c r="AA11" i="7"/>
  <c r="Z11" i="7"/>
  <c r="X11" i="7"/>
  <c r="W11" i="7"/>
  <c r="V11" i="7"/>
  <c r="T11" i="7"/>
  <c r="R11" i="7"/>
  <c r="N11" i="7"/>
  <c r="L11" i="7"/>
  <c r="K11" i="7"/>
  <c r="J11" i="7"/>
  <c r="I11" i="7"/>
  <c r="H11" i="7"/>
  <c r="G11" i="7"/>
  <c r="F11" i="7"/>
  <c r="E11" i="7"/>
  <c r="C11" i="7"/>
  <c r="B11" i="7"/>
  <c r="A11" i="7"/>
  <c r="DE10" i="7"/>
  <c r="DA10" i="7"/>
  <c r="CY10" i="7"/>
  <c r="CX10" i="7"/>
  <c r="CW10" i="7"/>
  <c r="CV10" i="7"/>
  <c r="CU10" i="7"/>
  <c r="CS10" i="7"/>
  <c r="CQ10" i="7"/>
  <c r="CP10" i="7"/>
  <c r="CO10" i="7"/>
  <c r="CN10" i="7"/>
  <c r="CL10" i="7"/>
  <c r="CJ10" i="7"/>
  <c r="CI10" i="7"/>
  <c r="CH10" i="7"/>
  <c r="CG10" i="7"/>
  <c r="CF10" i="7"/>
  <c r="CE10" i="7"/>
  <c r="CD10" i="7"/>
  <c r="CC10" i="7"/>
  <c r="CB10" i="7"/>
  <c r="CA10" i="7"/>
  <c r="BZ10" i="7"/>
  <c r="BY10" i="7"/>
  <c r="BX10" i="7"/>
  <c r="BW10" i="7"/>
  <c r="BV10" i="7"/>
  <c r="BH10" i="7"/>
  <c r="BG10" i="7"/>
  <c r="AV10" i="7"/>
  <c r="AU10" i="7"/>
  <c r="AT10" i="7"/>
  <c r="AS10" i="7"/>
  <c r="AR10" i="7"/>
  <c r="AP10" i="7"/>
  <c r="AF10" i="7"/>
  <c r="AE10" i="7"/>
  <c r="AC10" i="7"/>
  <c r="AA10" i="7"/>
  <c r="Z10" i="7"/>
  <c r="X10" i="7"/>
  <c r="W10" i="7"/>
  <c r="V10" i="7"/>
  <c r="T10" i="7"/>
  <c r="R10" i="7"/>
  <c r="N10" i="7"/>
  <c r="L10" i="7"/>
  <c r="K10" i="7"/>
  <c r="J10" i="7"/>
  <c r="I10" i="7"/>
  <c r="H10" i="7"/>
  <c r="G10" i="7"/>
  <c r="F10" i="7"/>
  <c r="E10" i="7"/>
  <c r="C10" i="7"/>
  <c r="B10" i="7"/>
  <c r="A10" i="7"/>
  <c r="DE9" i="7"/>
  <c r="DA9" i="7"/>
  <c r="CY9" i="7"/>
  <c r="CX9" i="7"/>
  <c r="CW9" i="7"/>
  <c r="CV9" i="7"/>
  <c r="CU9" i="7"/>
  <c r="CS9" i="7"/>
  <c r="CQ9" i="7"/>
  <c r="CP9" i="7"/>
  <c r="CO9" i="7"/>
  <c r="CN9" i="7"/>
  <c r="CL9" i="7"/>
  <c r="CJ9" i="7"/>
  <c r="CI9" i="7"/>
  <c r="CH9" i="7"/>
  <c r="CG9" i="7"/>
  <c r="CF9" i="7"/>
  <c r="CE9" i="7"/>
  <c r="CD9" i="7"/>
  <c r="CC9" i="7"/>
  <c r="CB9" i="7"/>
  <c r="CA9" i="7"/>
  <c r="BZ9" i="7"/>
  <c r="BY9" i="7"/>
  <c r="BX9" i="7"/>
  <c r="BW9" i="7"/>
  <c r="BV9" i="7"/>
  <c r="BH9" i="7"/>
  <c r="BG9" i="7"/>
  <c r="AV9" i="7"/>
  <c r="AU9" i="7"/>
  <c r="AT9" i="7"/>
  <c r="AS9" i="7"/>
  <c r="AR9" i="7"/>
  <c r="AP9" i="7"/>
  <c r="AF9" i="7"/>
  <c r="AE9" i="7"/>
  <c r="AC9" i="7"/>
  <c r="AA9" i="7"/>
  <c r="Z9" i="7"/>
  <c r="X9" i="7"/>
  <c r="W9" i="7"/>
  <c r="V9" i="7"/>
  <c r="T9" i="7"/>
  <c r="R9" i="7"/>
  <c r="N9" i="7"/>
  <c r="L9" i="7"/>
  <c r="K9" i="7"/>
  <c r="J9" i="7"/>
  <c r="I9" i="7"/>
  <c r="H9" i="7"/>
  <c r="G9" i="7"/>
  <c r="F9" i="7"/>
  <c r="E9" i="7"/>
  <c r="C9" i="7"/>
  <c r="B9" i="7"/>
  <c r="A9" i="7"/>
  <c r="DE8" i="7"/>
  <c r="DA8" i="7"/>
  <c r="CY8" i="7"/>
  <c r="CX8" i="7"/>
  <c r="CW8" i="7"/>
  <c r="CU8" i="7"/>
  <c r="CS8" i="7"/>
  <c r="CR8" i="7"/>
  <c r="CQ8" i="7"/>
  <c r="CP8" i="7"/>
  <c r="CO8" i="7"/>
  <c r="CN8" i="7"/>
  <c r="CL8" i="7"/>
  <c r="CV135" i="7" s="1"/>
  <c r="CJ8" i="7"/>
  <c r="CI8" i="7"/>
  <c r="CH8" i="7"/>
  <c r="CG8" i="7"/>
  <c r="CF8" i="7"/>
  <c r="CE8" i="7"/>
  <c r="CD8" i="7"/>
  <c r="CC8" i="7"/>
  <c r="CB8" i="7"/>
  <c r="CA8" i="7"/>
  <c r="BZ8" i="7"/>
  <c r="BY8" i="7"/>
  <c r="BX8" i="7"/>
  <c r="BW8" i="7"/>
  <c r="BV8" i="7"/>
  <c r="BH8" i="7"/>
  <c r="BG8" i="7"/>
  <c r="AV8" i="7"/>
  <c r="AU8" i="7"/>
  <c r="AT8" i="7"/>
  <c r="AS8" i="7"/>
  <c r="AR8" i="7"/>
  <c r="AP8" i="7"/>
  <c r="AF8" i="7"/>
  <c r="AE8" i="7"/>
  <c r="AC8" i="7"/>
  <c r="AA8" i="7"/>
  <c r="Z8" i="7"/>
  <c r="X8" i="7"/>
  <c r="W8" i="7"/>
  <c r="V8" i="7"/>
  <c r="T8" i="7"/>
  <c r="R8" i="7"/>
  <c r="N8" i="7"/>
  <c r="L8" i="7"/>
  <c r="K8" i="7"/>
  <c r="J8" i="7"/>
  <c r="I8" i="7"/>
  <c r="H8" i="7"/>
  <c r="G8" i="7"/>
  <c r="F8" i="7"/>
  <c r="E8" i="7"/>
  <c r="C8" i="7"/>
  <c r="B8" i="7"/>
  <c r="A8" i="7"/>
  <c r="DE7" i="7"/>
  <c r="DA7" i="7"/>
  <c r="CY7" i="7"/>
  <c r="CX7" i="7"/>
  <c r="CW7" i="7"/>
  <c r="CV7" i="7"/>
  <c r="CU7" i="7"/>
  <c r="CS7" i="7"/>
  <c r="CQ7" i="7"/>
  <c r="CP7" i="7"/>
  <c r="CO7" i="7"/>
  <c r="CN7" i="7"/>
  <c r="CL7" i="7"/>
  <c r="CJ7" i="7"/>
  <c r="CI7" i="7"/>
  <c r="CH7" i="7"/>
  <c r="CG7" i="7"/>
  <c r="CF7" i="7"/>
  <c r="CE7" i="7"/>
  <c r="CD7" i="7"/>
  <c r="CC7" i="7"/>
  <c r="CB7" i="7"/>
  <c r="CA7" i="7"/>
  <c r="BZ7" i="7"/>
  <c r="BY7" i="7"/>
  <c r="BX7" i="7"/>
  <c r="BW7" i="7"/>
  <c r="BV7" i="7"/>
  <c r="BH7" i="7"/>
  <c r="BG7" i="7"/>
  <c r="AV7" i="7"/>
  <c r="AU7" i="7"/>
  <c r="AT7" i="7"/>
  <c r="AS7" i="7"/>
  <c r="AR7" i="7"/>
  <c r="AP7" i="7"/>
  <c r="AF7" i="7"/>
  <c r="AE7" i="7"/>
  <c r="AC7" i="7"/>
  <c r="AA7" i="7"/>
  <c r="Z7" i="7"/>
  <c r="X7" i="7"/>
  <c r="W7" i="7"/>
  <c r="V7" i="7"/>
  <c r="T7" i="7"/>
  <c r="R7" i="7"/>
  <c r="N7" i="7"/>
  <c r="L7" i="7"/>
  <c r="K7" i="7"/>
  <c r="J7" i="7"/>
  <c r="I7" i="7"/>
  <c r="H7" i="7"/>
  <c r="G7" i="7"/>
  <c r="F7" i="7"/>
  <c r="E7" i="7"/>
  <c r="C7" i="7"/>
  <c r="B7" i="7"/>
  <c r="A7" i="7"/>
  <c r="DE6" i="7"/>
  <c r="DA6" i="7"/>
  <c r="CY6" i="7"/>
  <c r="CX6" i="7"/>
  <c r="CW6" i="7"/>
  <c r="CU6" i="7"/>
  <c r="CS6" i="7"/>
  <c r="CR6" i="7"/>
  <c r="CQ6" i="7"/>
  <c r="CP6" i="7"/>
  <c r="CO6" i="7"/>
  <c r="CN6" i="7"/>
  <c r="CL6" i="7"/>
  <c r="CR24" i="7" s="1"/>
  <c r="CJ6" i="7"/>
  <c r="CI6" i="7"/>
  <c r="CH6" i="7"/>
  <c r="CG6" i="7"/>
  <c r="CF6" i="7"/>
  <c r="CE6" i="7"/>
  <c r="CD6" i="7"/>
  <c r="CC6" i="7"/>
  <c r="CB6" i="7"/>
  <c r="CA6" i="7"/>
  <c r="BZ6" i="7"/>
  <c r="BY6" i="7"/>
  <c r="BX6" i="7"/>
  <c r="BW6" i="7"/>
  <c r="BV6" i="7"/>
  <c r="BH6" i="7"/>
  <c r="BG6" i="7"/>
  <c r="AV6" i="7"/>
  <c r="AU6" i="7"/>
  <c r="AT6" i="7"/>
  <c r="AS6" i="7"/>
  <c r="AR6" i="7"/>
  <c r="AP6" i="7"/>
  <c r="AF6" i="7"/>
  <c r="AE6" i="7"/>
  <c r="AC6" i="7"/>
  <c r="AA6" i="7"/>
  <c r="Z6" i="7"/>
  <c r="X6" i="7"/>
  <c r="W6" i="7"/>
  <c r="V6" i="7"/>
  <c r="T6" i="7"/>
  <c r="R6" i="7"/>
  <c r="N6" i="7"/>
  <c r="L6" i="7"/>
  <c r="K6" i="7"/>
  <c r="J6" i="7"/>
  <c r="I6" i="7"/>
  <c r="H6" i="7"/>
  <c r="G6" i="7"/>
  <c r="F6" i="7"/>
  <c r="E6" i="7"/>
  <c r="C6" i="7"/>
  <c r="B6" i="7"/>
  <c r="A6" i="7"/>
  <c r="DE5" i="7"/>
  <c r="DA5" i="7"/>
  <c r="CY5" i="7"/>
  <c r="CX5" i="7"/>
  <c r="CW5" i="7"/>
  <c r="CV5" i="7"/>
  <c r="CU5" i="7"/>
  <c r="CS5" i="7"/>
  <c r="CQ5" i="7"/>
  <c r="CP5" i="7"/>
  <c r="CO5" i="7"/>
  <c r="CN5" i="7"/>
  <c r="CL5" i="7"/>
  <c r="CJ5" i="7"/>
  <c r="CI5" i="7"/>
  <c r="CH5" i="7"/>
  <c r="CG5" i="7"/>
  <c r="CF5" i="7"/>
  <c r="CE5" i="7"/>
  <c r="CD5" i="7"/>
  <c r="CC5" i="7"/>
  <c r="CB5" i="7"/>
  <c r="CA5" i="7"/>
  <c r="BZ5" i="7"/>
  <c r="BY5" i="7"/>
  <c r="BX5" i="7"/>
  <c r="BW5" i="7"/>
  <c r="BV5" i="7"/>
  <c r="BH5" i="7"/>
  <c r="BG5" i="7"/>
  <c r="AV5" i="7"/>
  <c r="AU5" i="7"/>
  <c r="AT5" i="7"/>
  <c r="AS5" i="7"/>
  <c r="AR5" i="7"/>
  <c r="AP5" i="7"/>
  <c r="AF5" i="7"/>
  <c r="AE5" i="7"/>
  <c r="AC5" i="7"/>
  <c r="AA5" i="7"/>
  <c r="Z5" i="7"/>
  <c r="X5" i="7"/>
  <c r="W5" i="7"/>
  <c r="V5" i="7"/>
  <c r="T5" i="7"/>
  <c r="R5" i="7"/>
  <c r="N5" i="7"/>
  <c r="L5" i="7"/>
  <c r="K5" i="7"/>
  <c r="J5" i="7"/>
  <c r="I5" i="7"/>
  <c r="H5" i="7"/>
  <c r="G5" i="7"/>
  <c r="F5" i="7"/>
  <c r="E5" i="7"/>
  <c r="C5" i="7"/>
  <c r="B5" i="7"/>
  <c r="A5" i="7"/>
  <c r="DE4" i="7"/>
  <c r="DA4" i="7"/>
  <c r="CY4" i="7"/>
  <c r="CX4" i="7"/>
  <c r="CW4" i="7"/>
  <c r="CV4" i="7"/>
  <c r="CU4" i="7"/>
  <c r="CS4" i="7"/>
  <c r="CR4" i="7"/>
  <c r="CQ4" i="7"/>
  <c r="CP4" i="7"/>
  <c r="CO4" i="7"/>
  <c r="CN4" i="7"/>
  <c r="CJ4" i="7"/>
  <c r="CI4" i="7"/>
  <c r="CH4" i="7"/>
  <c r="CG4" i="7"/>
  <c r="CF4" i="7"/>
  <c r="CE4" i="7"/>
  <c r="CD4" i="7"/>
  <c r="CC4" i="7"/>
  <c r="CB4" i="7"/>
  <c r="CA4" i="7"/>
  <c r="BZ4" i="7"/>
  <c r="BY4" i="7"/>
  <c r="BX4" i="7"/>
  <c r="BW4" i="7"/>
  <c r="BV4" i="7"/>
  <c r="BH4" i="7"/>
  <c r="BG4" i="7"/>
  <c r="AV4" i="7"/>
  <c r="AU4" i="7"/>
  <c r="AT4" i="7"/>
  <c r="AS4" i="7"/>
  <c r="AR4" i="7"/>
  <c r="AP4" i="7"/>
  <c r="AF4" i="7"/>
  <c r="AE4" i="7"/>
  <c r="AC4" i="7"/>
  <c r="AA4" i="7"/>
  <c r="Z4" i="7"/>
  <c r="X4" i="7"/>
  <c r="W4" i="7"/>
  <c r="V4" i="7"/>
  <c r="T4" i="7"/>
  <c r="R4" i="7"/>
  <c r="N4" i="7"/>
  <c r="L4" i="7"/>
  <c r="K4" i="7"/>
  <c r="J4" i="7"/>
  <c r="I4" i="7"/>
  <c r="H4" i="7"/>
  <c r="G4" i="7"/>
  <c r="F4" i="7"/>
  <c r="E4" i="7"/>
  <c r="C4" i="7"/>
  <c r="B4" i="7"/>
  <c r="A4" i="7"/>
  <c r="AQ2" i="7"/>
  <c r="AQ19" i="7" s="1"/>
  <c r="AC136" i="6"/>
  <c r="AA136" i="6"/>
  <c r="Y136" i="6"/>
  <c r="V136" i="6"/>
  <c r="T136" i="6"/>
  <c r="S136" i="6"/>
  <c r="K136" i="6"/>
  <c r="H136" i="6"/>
  <c r="G136" i="6"/>
  <c r="F136" i="6"/>
  <c r="E136" i="6"/>
  <c r="D136" i="6"/>
  <c r="C136" i="6"/>
  <c r="B136" i="6"/>
  <c r="A136" i="6"/>
  <c r="AC135" i="6"/>
  <c r="AA135" i="6"/>
  <c r="Y135" i="6"/>
  <c r="V135" i="6"/>
  <c r="T135" i="6"/>
  <c r="S135" i="6"/>
  <c r="K135" i="6"/>
  <c r="H135" i="6"/>
  <c r="G135" i="6"/>
  <c r="F135" i="6"/>
  <c r="E135" i="6"/>
  <c r="D135" i="6"/>
  <c r="C135" i="6"/>
  <c r="B135" i="6"/>
  <c r="A135" i="6"/>
  <c r="AC134" i="6"/>
  <c r="AA134" i="6"/>
  <c r="Y134" i="6"/>
  <c r="V134" i="6"/>
  <c r="T134" i="6"/>
  <c r="S134" i="6"/>
  <c r="K134" i="6"/>
  <c r="H134" i="6"/>
  <c r="G134" i="6"/>
  <c r="F134" i="6"/>
  <c r="E134" i="6"/>
  <c r="D134" i="6"/>
  <c r="C134" i="6"/>
  <c r="B134" i="6"/>
  <c r="A134" i="6"/>
  <c r="AC133" i="6"/>
  <c r="AA133" i="6"/>
  <c r="Y133" i="6"/>
  <c r="V133" i="6"/>
  <c r="T133" i="6"/>
  <c r="S133" i="6"/>
  <c r="K133" i="6"/>
  <c r="H133" i="6"/>
  <c r="G133" i="6"/>
  <c r="F133" i="6"/>
  <c r="E133" i="6"/>
  <c r="D133" i="6"/>
  <c r="C133" i="6"/>
  <c r="B133" i="6"/>
  <c r="A133" i="6"/>
  <c r="AC132" i="6"/>
  <c r="AA132" i="6"/>
  <c r="Y132" i="6"/>
  <c r="V132" i="6"/>
  <c r="T132" i="6"/>
  <c r="S132" i="6"/>
  <c r="K132" i="6"/>
  <c r="H132" i="6"/>
  <c r="G132" i="6"/>
  <c r="F132" i="6"/>
  <c r="E132" i="6"/>
  <c r="D132" i="6"/>
  <c r="C132" i="6"/>
  <c r="B132" i="6"/>
  <c r="A132" i="6"/>
  <c r="AC131" i="6"/>
  <c r="AA131" i="6"/>
  <c r="Y131" i="6"/>
  <c r="V131" i="6"/>
  <c r="T131" i="6"/>
  <c r="S131" i="6"/>
  <c r="K131" i="6"/>
  <c r="H131" i="6"/>
  <c r="G131" i="6"/>
  <c r="F131" i="6"/>
  <c r="E131" i="6"/>
  <c r="D131" i="6"/>
  <c r="C131" i="6"/>
  <c r="B131" i="6"/>
  <c r="A131" i="6"/>
  <c r="AC130" i="6"/>
  <c r="AA130" i="6"/>
  <c r="Y130" i="6"/>
  <c r="V130" i="6"/>
  <c r="T130" i="6"/>
  <c r="S130" i="6"/>
  <c r="K130" i="6"/>
  <c r="H130" i="6"/>
  <c r="G130" i="6"/>
  <c r="F130" i="6"/>
  <c r="E130" i="6"/>
  <c r="D130" i="6"/>
  <c r="C130" i="6"/>
  <c r="B130" i="6"/>
  <c r="A130" i="6"/>
  <c r="AC129" i="6"/>
  <c r="AA129" i="6"/>
  <c r="Y129" i="6"/>
  <c r="V129" i="6"/>
  <c r="T129" i="6"/>
  <c r="S129" i="6"/>
  <c r="K129" i="6"/>
  <c r="H129" i="6"/>
  <c r="G129" i="6"/>
  <c r="F129" i="6"/>
  <c r="E129" i="6"/>
  <c r="D129" i="6"/>
  <c r="C129" i="6"/>
  <c r="B129" i="6"/>
  <c r="A129" i="6"/>
  <c r="AC128" i="6"/>
  <c r="AA128" i="6"/>
  <c r="Y128" i="6"/>
  <c r="V128" i="6"/>
  <c r="T128" i="6"/>
  <c r="S128" i="6"/>
  <c r="K128" i="6"/>
  <c r="H128" i="6"/>
  <c r="G128" i="6"/>
  <c r="F128" i="6"/>
  <c r="E128" i="6"/>
  <c r="D128" i="6"/>
  <c r="C128" i="6"/>
  <c r="B128" i="6"/>
  <c r="A128" i="6"/>
  <c r="AC127" i="6"/>
  <c r="AA127" i="6"/>
  <c r="Y127" i="6"/>
  <c r="V127" i="6"/>
  <c r="T127" i="6"/>
  <c r="S127" i="6"/>
  <c r="K127" i="6"/>
  <c r="H127" i="6"/>
  <c r="G127" i="6"/>
  <c r="F127" i="6"/>
  <c r="E127" i="6"/>
  <c r="D127" i="6"/>
  <c r="C127" i="6"/>
  <c r="B127" i="6"/>
  <c r="A127" i="6"/>
  <c r="AC126" i="6"/>
  <c r="AA126" i="6"/>
  <c r="Y126" i="6"/>
  <c r="V126" i="6"/>
  <c r="T126" i="6"/>
  <c r="S126" i="6"/>
  <c r="K126" i="6"/>
  <c r="H126" i="6"/>
  <c r="G126" i="6"/>
  <c r="F126" i="6"/>
  <c r="E126" i="6"/>
  <c r="D126" i="6"/>
  <c r="C126" i="6"/>
  <c r="B126" i="6"/>
  <c r="A126" i="6"/>
  <c r="AC125" i="6"/>
  <c r="AA125" i="6"/>
  <c r="Y125" i="6"/>
  <c r="V125" i="6"/>
  <c r="T125" i="6"/>
  <c r="S125" i="6"/>
  <c r="K125" i="6"/>
  <c r="H125" i="6"/>
  <c r="G125" i="6"/>
  <c r="F125" i="6"/>
  <c r="E125" i="6"/>
  <c r="D125" i="6"/>
  <c r="C125" i="6"/>
  <c r="B125" i="6"/>
  <c r="A125" i="6"/>
  <c r="AC124" i="6"/>
  <c r="AA124" i="6"/>
  <c r="Y124" i="6"/>
  <c r="V124" i="6"/>
  <c r="T124" i="6"/>
  <c r="S124" i="6"/>
  <c r="K124" i="6"/>
  <c r="H124" i="6"/>
  <c r="G124" i="6"/>
  <c r="F124" i="6"/>
  <c r="E124" i="6"/>
  <c r="D124" i="6"/>
  <c r="C124" i="6"/>
  <c r="B124" i="6"/>
  <c r="A124" i="6"/>
  <c r="AC123" i="6"/>
  <c r="AA123" i="6"/>
  <c r="Y123" i="6"/>
  <c r="V123" i="6"/>
  <c r="T123" i="6"/>
  <c r="S123" i="6"/>
  <c r="K123" i="6"/>
  <c r="H123" i="6"/>
  <c r="G123" i="6"/>
  <c r="F123" i="6"/>
  <c r="E123" i="6"/>
  <c r="D123" i="6"/>
  <c r="C123" i="6"/>
  <c r="B123" i="6"/>
  <c r="A123" i="6"/>
  <c r="AC122" i="6"/>
  <c r="AA122" i="6"/>
  <c r="Y122" i="6"/>
  <c r="V122" i="6"/>
  <c r="T122" i="6"/>
  <c r="S122" i="6"/>
  <c r="K122" i="6"/>
  <c r="H122" i="6"/>
  <c r="G122" i="6"/>
  <c r="F122" i="6"/>
  <c r="E122" i="6"/>
  <c r="D122" i="6"/>
  <c r="C122" i="6"/>
  <c r="B122" i="6"/>
  <c r="A122" i="6"/>
  <c r="AC121" i="6"/>
  <c r="AA121" i="6"/>
  <c r="Y121" i="6"/>
  <c r="V121" i="6"/>
  <c r="T121" i="6"/>
  <c r="S121" i="6"/>
  <c r="K121" i="6"/>
  <c r="H121" i="6"/>
  <c r="G121" i="6"/>
  <c r="F121" i="6"/>
  <c r="E121" i="6"/>
  <c r="D121" i="6"/>
  <c r="C121" i="6"/>
  <c r="B121" i="6"/>
  <c r="A121" i="6"/>
  <c r="AC120" i="6"/>
  <c r="AA120" i="6"/>
  <c r="Y120" i="6"/>
  <c r="V120" i="6"/>
  <c r="T120" i="6"/>
  <c r="S120" i="6"/>
  <c r="K120" i="6"/>
  <c r="H120" i="6"/>
  <c r="G120" i="6"/>
  <c r="F120" i="6"/>
  <c r="E120" i="6"/>
  <c r="D120" i="6"/>
  <c r="C120" i="6"/>
  <c r="B120" i="6"/>
  <c r="A120" i="6"/>
  <c r="AC119" i="6"/>
  <c r="AA119" i="6"/>
  <c r="Y119" i="6"/>
  <c r="V119" i="6"/>
  <c r="T119" i="6"/>
  <c r="S119" i="6"/>
  <c r="K119" i="6"/>
  <c r="H119" i="6"/>
  <c r="G119" i="6"/>
  <c r="F119" i="6"/>
  <c r="E119" i="6"/>
  <c r="D119" i="6"/>
  <c r="C119" i="6"/>
  <c r="B119" i="6"/>
  <c r="A119" i="6"/>
  <c r="AC118" i="6"/>
  <c r="AA118" i="6"/>
  <c r="Y118" i="6"/>
  <c r="V118" i="6"/>
  <c r="T118" i="6"/>
  <c r="S118" i="6"/>
  <c r="K118" i="6"/>
  <c r="H118" i="6"/>
  <c r="G118" i="6"/>
  <c r="F118" i="6"/>
  <c r="E118" i="6"/>
  <c r="D118" i="6"/>
  <c r="C118" i="6"/>
  <c r="B118" i="6"/>
  <c r="A118" i="6"/>
  <c r="AC117" i="6"/>
  <c r="AA117" i="6"/>
  <c r="Y117" i="6"/>
  <c r="V117" i="6"/>
  <c r="T117" i="6"/>
  <c r="S117" i="6"/>
  <c r="K117" i="6"/>
  <c r="H117" i="6"/>
  <c r="G117" i="6"/>
  <c r="F117" i="6"/>
  <c r="E117" i="6"/>
  <c r="D117" i="6"/>
  <c r="C117" i="6"/>
  <c r="B117" i="6"/>
  <c r="A117" i="6"/>
  <c r="AC116" i="6"/>
  <c r="AA116" i="6"/>
  <c r="Y116" i="6"/>
  <c r="V116" i="6"/>
  <c r="T116" i="6"/>
  <c r="S116" i="6"/>
  <c r="K116" i="6"/>
  <c r="H116" i="6"/>
  <c r="G116" i="6"/>
  <c r="F116" i="6"/>
  <c r="E116" i="6"/>
  <c r="D116" i="6"/>
  <c r="C116" i="6"/>
  <c r="B116" i="6"/>
  <c r="A116" i="6"/>
  <c r="AC115" i="6"/>
  <c r="AA115" i="6"/>
  <c r="Y115" i="6"/>
  <c r="V115" i="6"/>
  <c r="T115" i="6"/>
  <c r="S115" i="6"/>
  <c r="K115" i="6"/>
  <c r="H115" i="6"/>
  <c r="G115" i="6"/>
  <c r="F115" i="6"/>
  <c r="E115" i="6"/>
  <c r="D115" i="6"/>
  <c r="C115" i="6"/>
  <c r="B115" i="6"/>
  <c r="A115" i="6"/>
  <c r="AC114" i="6"/>
  <c r="AA114" i="6"/>
  <c r="Y114" i="6"/>
  <c r="V114" i="6"/>
  <c r="T114" i="6"/>
  <c r="S114" i="6"/>
  <c r="K114" i="6"/>
  <c r="H114" i="6"/>
  <c r="G114" i="6"/>
  <c r="F114" i="6"/>
  <c r="E114" i="6"/>
  <c r="D114" i="6"/>
  <c r="C114" i="6"/>
  <c r="B114" i="6"/>
  <c r="A114" i="6"/>
  <c r="AC113" i="6"/>
  <c r="AA113" i="6"/>
  <c r="Y113" i="6"/>
  <c r="V113" i="6"/>
  <c r="T113" i="6"/>
  <c r="S113" i="6"/>
  <c r="K113" i="6"/>
  <c r="H113" i="6"/>
  <c r="G113" i="6"/>
  <c r="F113" i="6"/>
  <c r="E113" i="6"/>
  <c r="D113" i="6"/>
  <c r="C113" i="6"/>
  <c r="B113" i="6"/>
  <c r="A113" i="6"/>
  <c r="AC112" i="6"/>
  <c r="AA112" i="6"/>
  <c r="Y112" i="6"/>
  <c r="V112" i="6"/>
  <c r="T112" i="6"/>
  <c r="S112" i="6"/>
  <c r="K112" i="6"/>
  <c r="H112" i="6"/>
  <c r="G112" i="6"/>
  <c r="F112" i="6"/>
  <c r="E112" i="6"/>
  <c r="D112" i="6"/>
  <c r="C112" i="6"/>
  <c r="B112" i="6"/>
  <c r="A112" i="6"/>
  <c r="AC111" i="6"/>
  <c r="AA111" i="6"/>
  <c r="Y111" i="6"/>
  <c r="V111" i="6"/>
  <c r="T111" i="6"/>
  <c r="S111" i="6"/>
  <c r="K111" i="6"/>
  <c r="H111" i="6"/>
  <c r="G111" i="6"/>
  <c r="F111" i="6"/>
  <c r="E111" i="6"/>
  <c r="D111" i="6"/>
  <c r="C111" i="6"/>
  <c r="B111" i="6"/>
  <c r="A111" i="6"/>
  <c r="AC110" i="6"/>
  <c r="AA110" i="6"/>
  <c r="Y110" i="6"/>
  <c r="V110" i="6"/>
  <c r="T110" i="6"/>
  <c r="S110" i="6"/>
  <c r="K110" i="6"/>
  <c r="H110" i="6"/>
  <c r="G110" i="6"/>
  <c r="F110" i="6"/>
  <c r="E110" i="6"/>
  <c r="D110" i="6"/>
  <c r="C110" i="6"/>
  <c r="B110" i="6"/>
  <c r="A110" i="6"/>
  <c r="AC109" i="6"/>
  <c r="AA109" i="6"/>
  <c r="Y109" i="6"/>
  <c r="V109" i="6"/>
  <c r="T109" i="6"/>
  <c r="S109" i="6"/>
  <c r="K109" i="6"/>
  <c r="H109" i="6"/>
  <c r="G109" i="6"/>
  <c r="F109" i="6"/>
  <c r="E109" i="6"/>
  <c r="D109" i="6"/>
  <c r="C109" i="6"/>
  <c r="B109" i="6"/>
  <c r="A109" i="6"/>
  <c r="AC108" i="6"/>
  <c r="AA108" i="6"/>
  <c r="Y108" i="6"/>
  <c r="V108" i="6"/>
  <c r="T108" i="6"/>
  <c r="S108" i="6"/>
  <c r="K108" i="6"/>
  <c r="H108" i="6"/>
  <c r="G108" i="6"/>
  <c r="F108" i="6"/>
  <c r="E108" i="6"/>
  <c r="D108" i="6"/>
  <c r="C108" i="6"/>
  <c r="B108" i="6"/>
  <c r="A108" i="6"/>
  <c r="AC107" i="6"/>
  <c r="AA107" i="6"/>
  <c r="Y107" i="6"/>
  <c r="V107" i="6"/>
  <c r="T107" i="6"/>
  <c r="S107" i="6"/>
  <c r="K107" i="6"/>
  <c r="H107" i="6"/>
  <c r="G107" i="6"/>
  <c r="F107" i="6"/>
  <c r="E107" i="6"/>
  <c r="D107" i="6"/>
  <c r="C107" i="6"/>
  <c r="B107" i="6"/>
  <c r="A107" i="6"/>
  <c r="AC106" i="6"/>
  <c r="AA106" i="6"/>
  <c r="Y106" i="6"/>
  <c r="V106" i="6"/>
  <c r="T106" i="6"/>
  <c r="S106" i="6"/>
  <c r="K106" i="6"/>
  <c r="H106" i="6"/>
  <c r="G106" i="6"/>
  <c r="F106" i="6"/>
  <c r="E106" i="6"/>
  <c r="D106" i="6"/>
  <c r="C106" i="6"/>
  <c r="B106" i="6"/>
  <c r="A106" i="6"/>
  <c r="AC105" i="6"/>
  <c r="AA105" i="6"/>
  <c r="Y105" i="6"/>
  <c r="V105" i="6"/>
  <c r="T105" i="6"/>
  <c r="S105" i="6"/>
  <c r="K105" i="6"/>
  <c r="H105" i="6"/>
  <c r="G105" i="6"/>
  <c r="F105" i="6"/>
  <c r="E105" i="6"/>
  <c r="D105" i="6"/>
  <c r="C105" i="6"/>
  <c r="B105" i="6"/>
  <c r="A105" i="6"/>
  <c r="AC104" i="6"/>
  <c r="AA104" i="6"/>
  <c r="Y104" i="6"/>
  <c r="V104" i="6"/>
  <c r="T104" i="6"/>
  <c r="S104" i="6"/>
  <c r="K104" i="6"/>
  <c r="H104" i="6"/>
  <c r="G104" i="6"/>
  <c r="F104" i="6"/>
  <c r="E104" i="6"/>
  <c r="D104" i="6"/>
  <c r="C104" i="6"/>
  <c r="B104" i="6"/>
  <c r="A104" i="6"/>
  <c r="AC103" i="6"/>
  <c r="AA103" i="6"/>
  <c r="Y103" i="6"/>
  <c r="V103" i="6"/>
  <c r="T103" i="6"/>
  <c r="S103" i="6"/>
  <c r="K103" i="6"/>
  <c r="H103" i="6"/>
  <c r="G103" i="6"/>
  <c r="F103" i="6"/>
  <c r="E103" i="6"/>
  <c r="D103" i="6"/>
  <c r="C103" i="6"/>
  <c r="B103" i="6"/>
  <c r="A103" i="6"/>
  <c r="AC102" i="6"/>
  <c r="AA102" i="6"/>
  <c r="Y102" i="6"/>
  <c r="V102" i="6"/>
  <c r="T102" i="6"/>
  <c r="S102" i="6"/>
  <c r="K102" i="6"/>
  <c r="H102" i="6"/>
  <c r="G102" i="6"/>
  <c r="F102" i="6"/>
  <c r="E102" i="6"/>
  <c r="D102" i="6"/>
  <c r="C102" i="6"/>
  <c r="B102" i="6"/>
  <c r="A102" i="6"/>
  <c r="AC101" i="6"/>
  <c r="AA101" i="6"/>
  <c r="Y101" i="6"/>
  <c r="V101" i="6"/>
  <c r="T101" i="6"/>
  <c r="S101" i="6"/>
  <c r="K101" i="6"/>
  <c r="H101" i="6"/>
  <c r="G101" i="6"/>
  <c r="F101" i="6"/>
  <c r="E101" i="6"/>
  <c r="D101" i="6"/>
  <c r="C101" i="6"/>
  <c r="B101" i="6"/>
  <c r="A101" i="6"/>
  <c r="AC100" i="6"/>
  <c r="AA100" i="6"/>
  <c r="Y100" i="6"/>
  <c r="V100" i="6"/>
  <c r="T100" i="6"/>
  <c r="S100" i="6"/>
  <c r="K100" i="6"/>
  <c r="H100" i="6"/>
  <c r="G100" i="6"/>
  <c r="F100" i="6"/>
  <c r="E100" i="6"/>
  <c r="D100" i="6"/>
  <c r="C100" i="6"/>
  <c r="B100" i="6"/>
  <c r="A100" i="6"/>
  <c r="AC99" i="6"/>
  <c r="AA99" i="6"/>
  <c r="Y99" i="6"/>
  <c r="V99" i="6"/>
  <c r="T99" i="6"/>
  <c r="S99" i="6"/>
  <c r="K99" i="6"/>
  <c r="H99" i="6"/>
  <c r="G99" i="6"/>
  <c r="F99" i="6"/>
  <c r="E99" i="6"/>
  <c r="D99" i="6"/>
  <c r="C99" i="6"/>
  <c r="B99" i="6"/>
  <c r="A99" i="6"/>
  <c r="AC98" i="6"/>
  <c r="AA98" i="6"/>
  <c r="Y98" i="6"/>
  <c r="V98" i="6"/>
  <c r="T98" i="6"/>
  <c r="S98" i="6"/>
  <c r="K98" i="6"/>
  <c r="H98" i="6"/>
  <c r="G98" i="6"/>
  <c r="F98" i="6"/>
  <c r="E98" i="6"/>
  <c r="D98" i="6"/>
  <c r="C98" i="6"/>
  <c r="B98" i="6"/>
  <c r="A98" i="6"/>
  <c r="AC97" i="6"/>
  <c r="AA97" i="6"/>
  <c r="Y97" i="6"/>
  <c r="V97" i="6"/>
  <c r="T97" i="6"/>
  <c r="S97" i="6"/>
  <c r="K97" i="6"/>
  <c r="H97" i="6"/>
  <c r="G97" i="6"/>
  <c r="F97" i="6"/>
  <c r="E97" i="6"/>
  <c r="D97" i="6"/>
  <c r="C97" i="6"/>
  <c r="B97" i="6"/>
  <c r="A97" i="6"/>
  <c r="AC96" i="6"/>
  <c r="AA96" i="6"/>
  <c r="Y96" i="6"/>
  <c r="V96" i="6"/>
  <c r="T96" i="6"/>
  <c r="S96" i="6"/>
  <c r="K96" i="6"/>
  <c r="H96" i="6"/>
  <c r="G96" i="6"/>
  <c r="F96" i="6"/>
  <c r="E96" i="6"/>
  <c r="D96" i="6"/>
  <c r="C96" i="6"/>
  <c r="B96" i="6"/>
  <c r="A96" i="6"/>
  <c r="AC95" i="6"/>
  <c r="AA95" i="6"/>
  <c r="Y95" i="6"/>
  <c r="V95" i="6"/>
  <c r="T95" i="6"/>
  <c r="S95" i="6"/>
  <c r="K95" i="6"/>
  <c r="H95" i="6"/>
  <c r="G95" i="6"/>
  <c r="F95" i="6"/>
  <c r="E95" i="6"/>
  <c r="D95" i="6"/>
  <c r="C95" i="6"/>
  <c r="B95" i="6"/>
  <c r="A95" i="6"/>
  <c r="AC94" i="6"/>
  <c r="AA94" i="6"/>
  <c r="Y94" i="6"/>
  <c r="V94" i="6"/>
  <c r="T94" i="6"/>
  <c r="S94" i="6"/>
  <c r="K94" i="6"/>
  <c r="H94" i="6"/>
  <c r="G94" i="6"/>
  <c r="F94" i="6"/>
  <c r="E94" i="6"/>
  <c r="D94" i="6"/>
  <c r="C94" i="6"/>
  <c r="B94" i="6"/>
  <c r="A94" i="6"/>
  <c r="AC93" i="6"/>
  <c r="AA93" i="6"/>
  <c r="Y93" i="6"/>
  <c r="V93" i="6"/>
  <c r="T93" i="6"/>
  <c r="S93" i="6"/>
  <c r="K93" i="6"/>
  <c r="H93" i="6"/>
  <c r="G93" i="6"/>
  <c r="F93" i="6"/>
  <c r="E93" i="6"/>
  <c r="D93" i="6"/>
  <c r="C93" i="6"/>
  <c r="B93" i="6"/>
  <c r="A93" i="6"/>
  <c r="AC92" i="6"/>
  <c r="AA92" i="6"/>
  <c r="Y92" i="6"/>
  <c r="V92" i="6"/>
  <c r="T92" i="6"/>
  <c r="S92" i="6"/>
  <c r="K92" i="6"/>
  <c r="H92" i="6"/>
  <c r="G92" i="6"/>
  <c r="F92" i="6"/>
  <c r="E92" i="6"/>
  <c r="D92" i="6"/>
  <c r="C92" i="6"/>
  <c r="B92" i="6"/>
  <c r="A92" i="6"/>
  <c r="AC91" i="6"/>
  <c r="AA91" i="6"/>
  <c r="Y91" i="6"/>
  <c r="V91" i="6"/>
  <c r="T91" i="6"/>
  <c r="S91" i="6"/>
  <c r="K91" i="6"/>
  <c r="H91" i="6"/>
  <c r="G91" i="6"/>
  <c r="F91" i="6"/>
  <c r="E91" i="6"/>
  <c r="D91" i="6"/>
  <c r="C91" i="6"/>
  <c r="B91" i="6"/>
  <c r="A91" i="6"/>
  <c r="AC90" i="6"/>
  <c r="AA90" i="6"/>
  <c r="Y90" i="6"/>
  <c r="V90" i="6"/>
  <c r="T90" i="6"/>
  <c r="S90" i="6"/>
  <c r="K90" i="6"/>
  <c r="H90" i="6"/>
  <c r="G90" i="6"/>
  <c r="F90" i="6"/>
  <c r="E90" i="6"/>
  <c r="D90" i="6"/>
  <c r="C90" i="6"/>
  <c r="B90" i="6"/>
  <c r="A90" i="6"/>
  <c r="AC89" i="6"/>
  <c r="AA89" i="6"/>
  <c r="Y89" i="6"/>
  <c r="V89" i="6"/>
  <c r="T89" i="6"/>
  <c r="S89" i="6"/>
  <c r="K89" i="6"/>
  <c r="H89" i="6"/>
  <c r="G89" i="6"/>
  <c r="F89" i="6"/>
  <c r="E89" i="6"/>
  <c r="D89" i="6"/>
  <c r="C89" i="6"/>
  <c r="B89" i="6"/>
  <c r="A89" i="6"/>
  <c r="AC88" i="6"/>
  <c r="AA88" i="6"/>
  <c r="Y88" i="6"/>
  <c r="V88" i="6"/>
  <c r="T88" i="6"/>
  <c r="S88" i="6"/>
  <c r="K88" i="6"/>
  <c r="H88" i="6"/>
  <c r="G88" i="6"/>
  <c r="F88" i="6"/>
  <c r="E88" i="6"/>
  <c r="D88" i="6"/>
  <c r="C88" i="6"/>
  <c r="B88" i="6"/>
  <c r="A88" i="6"/>
  <c r="AC87" i="6"/>
  <c r="AA87" i="6"/>
  <c r="Y87" i="6"/>
  <c r="V87" i="6"/>
  <c r="T87" i="6"/>
  <c r="S87" i="6"/>
  <c r="K87" i="6"/>
  <c r="H87" i="6"/>
  <c r="G87" i="6"/>
  <c r="F87" i="6"/>
  <c r="E87" i="6"/>
  <c r="D87" i="6"/>
  <c r="C87" i="6"/>
  <c r="B87" i="6"/>
  <c r="A87" i="6"/>
  <c r="AC86" i="6"/>
  <c r="AA86" i="6"/>
  <c r="Y86" i="6"/>
  <c r="V86" i="6"/>
  <c r="T86" i="6"/>
  <c r="S86" i="6"/>
  <c r="K86" i="6"/>
  <c r="H86" i="6"/>
  <c r="G86" i="6"/>
  <c r="F86" i="6"/>
  <c r="E86" i="6"/>
  <c r="D86" i="6"/>
  <c r="C86" i="6"/>
  <c r="B86" i="6"/>
  <c r="A86" i="6"/>
  <c r="AC85" i="6"/>
  <c r="AA85" i="6"/>
  <c r="Y85" i="6"/>
  <c r="V85" i="6"/>
  <c r="T85" i="6"/>
  <c r="S85" i="6"/>
  <c r="K85" i="6"/>
  <c r="H85" i="6"/>
  <c r="G85" i="6"/>
  <c r="F85" i="6"/>
  <c r="E85" i="6"/>
  <c r="D85" i="6"/>
  <c r="C85" i="6"/>
  <c r="B85" i="6"/>
  <c r="A85" i="6"/>
  <c r="AC84" i="6"/>
  <c r="AA84" i="6"/>
  <c r="Y84" i="6"/>
  <c r="V84" i="6"/>
  <c r="T84" i="6"/>
  <c r="S84" i="6"/>
  <c r="K84" i="6"/>
  <c r="H84" i="6"/>
  <c r="G84" i="6"/>
  <c r="F84" i="6"/>
  <c r="E84" i="6"/>
  <c r="D84" i="6"/>
  <c r="C84" i="6"/>
  <c r="B84" i="6"/>
  <c r="A84" i="6"/>
  <c r="AC83" i="6"/>
  <c r="AA83" i="6"/>
  <c r="Y83" i="6"/>
  <c r="V83" i="6"/>
  <c r="T83" i="6"/>
  <c r="S83" i="6"/>
  <c r="K83" i="6"/>
  <c r="H83" i="6"/>
  <c r="G83" i="6"/>
  <c r="F83" i="6"/>
  <c r="E83" i="6"/>
  <c r="D83" i="6"/>
  <c r="C83" i="6"/>
  <c r="B83" i="6"/>
  <c r="A83" i="6"/>
  <c r="AC82" i="6"/>
  <c r="AA82" i="6"/>
  <c r="Y82" i="6"/>
  <c r="V82" i="6"/>
  <c r="T82" i="6"/>
  <c r="S82" i="6"/>
  <c r="K82" i="6"/>
  <c r="H82" i="6"/>
  <c r="G82" i="6"/>
  <c r="F82" i="6"/>
  <c r="E82" i="6"/>
  <c r="D82" i="6"/>
  <c r="C82" i="6"/>
  <c r="B82" i="6"/>
  <c r="A82" i="6"/>
  <c r="AC81" i="6"/>
  <c r="AA81" i="6"/>
  <c r="Y81" i="6"/>
  <c r="V81" i="6"/>
  <c r="T81" i="6"/>
  <c r="S81" i="6"/>
  <c r="K81" i="6"/>
  <c r="H81" i="6"/>
  <c r="G81" i="6"/>
  <c r="F81" i="6"/>
  <c r="E81" i="6"/>
  <c r="D81" i="6"/>
  <c r="C81" i="6"/>
  <c r="B81" i="6"/>
  <c r="A81" i="6"/>
  <c r="AC80" i="6"/>
  <c r="AA80" i="6"/>
  <c r="Y80" i="6"/>
  <c r="V80" i="6"/>
  <c r="T80" i="6"/>
  <c r="S80" i="6"/>
  <c r="K80" i="6"/>
  <c r="H80" i="6"/>
  <c r="G80" i="6"/>
  <c r="F80" i="6"/>
  <c r="E80" i="6"/>
  <c r="D80" i="6"/>
  <c r="C80" i="6"/>
  <c r="B80" i="6"/>
  <c r="A80" i="6"/>
  <c r="AC79" i="6"/>
  <c r="AA79" i="6"/>
  <c r="Y79" i="6"/>
  <c r="V79" i="6"/>
  <c r="T79" i="6"/>
  <c r="S79" i="6"/>
  <c r="K79" i="6"/>
  <c r="H79" i="6"/>
  <c r="G79" i="6"/>
  <c r="F79" i="6"/>
  <c r="E79" i="6"/>
  <c r="D79" i="6"/>
  <c r="C79" i="6"/>
  <c r="B79" i="6"/>
  <c r="A79" i="6"/>
  <c r="AC78" i="6"/>
  <c r="AA78" i="6"/>
  <c r="Y78" i="6"/>
  <c r="V78" i="6"/>
  <c r="T78" i="6"/>
  <c r="S78" i="6"/>
  <c r="K78" i="6"/>
  <c r="H78" i="6"/>
  <c r="G78" i="6"/>
  <c r="F78" i="6"/>
  <c r="E78" i="6"/>
  <c r="D78" i="6"/>
  <c r="C78" i="6"/>
  <c r="B78" i="6"/>
  <c r="A78" i="6"/>
  <c r="AC77" i="6"/>
  <c r="AA77" i="6"/>
  <c r="Y77" i="6"/>
  <c r="V77" i="6"/>
  <c r="T77" i="6"/>
  <c r="S77" i="6"/>
  <c r="K77" i="6"/>
  <c r="H77" i="6"/>
  <c r="G77" i="6"/>
  <c r="F77" i="6"/>
  <c r="E77" i="6"/>
  <c r="D77" i="6"/>
  <c r="C77" i="6"/>
  <c r="B77" i="6"/>
  <c r="A77" i="6"/>
  <c r="AC76" i="6"/>
  <c r="AA76" i="6"/>
  <c r="Y76" i="6"/>
  <c r="V76" i="6"/>
  <c r="T76" i="6"/>
  <c r="S76" i="6"/>
  <c r="K76" i="6"/>
  <c r="H76" i="6"/>
  <c r="G76" i="6"/>
  <c r="F76" i="6"/>
  <c r="E76" i="6"/>
  <c r="D76" i="6"/>
  <c r="C76" i="6"/>
  <c r="B76" i="6"/>
  <c r="A76" i="6"/>
  <c r="AC75" i="6"/>
  <c r="AA75" i="6"/>
  <c r="Y75" i="6"/>
  <c r="V75" i="6"/>
  <c r="T75" i="6"/>
  <c r="S75" i="6"/>
  <c r="K75" i="6"/>
  <c r="H75" i="6"/>
  <c r="G75" i="6"/>
  <c r="F75" i="6"/>
  <c r="E75" i="6"/>
  <c r="D75" i="6"/>
  <c r="C75" i="6"/>
  <c r="B75" i="6"/>
  <c r="A75" i="6"/>
  <c r="AC74" i="6"/>
  <c r="AA74" i="6"/>
  <c r="Y74" i="6"/>
  <c r="V74" i="6"/>
  <c r="T74" i="6"/>
  <c r="S74" i="6"/>
  <c r="K74" i="6"/>
  <c r="H74" i="6"/>
  <c r="G74" i="6"/>
  <c r="F74" i="6"/>
  <c r="E74" i="6"/>
  <c r="D74" i="6"/>
  <c r="C74" i="6"/>
  <c r="B74" i="6"/>
  <c r="A74" i="6"/>
  <c r="AC73" i="6"/>
  <c r="AA73" i="6"/>
  <c r="Y73" i="6"/>
  <c r="V73" i="6"/>
  <c r="T73" i="6"/>
  <c r="S73" i="6"/>
  <c r="K73" i="6"/>
  <c r="H73" i="6"/>
  <c r="G73" i="6"/>
  <c r="F73" i="6"/>
  <c r="E73" i="6"/>
  <c r="D73" i="6"/>
  <c r="C73" i="6"/>
  <c r="B73" i="6"/>
  <c r="A73" i="6"/>
  <c r="AC72" i="6"/>
  <c r="AA72" i="6"/>
  <c r="Y72" i="6"/>
  <c r="V72" i="6"/>
  <c r="T72" i="6"/>
  <c r="S72" i="6"/>
  <c r="K72" i="6"/>
  <c r="H72" i="6"/>
  <c r="G72" i="6"/>
  <c r="F72" i="6"/>
  <c r="E72" i="6"/>
  <c r="D72" i="6"/>
  <c r="C72" i="6"/>
  <c r="B72" i="6"/>
  <c r="A72" i="6"/>
  <c r="AC71" i="6"/>
  <c r="AA71" i="6"/>
  <c r="Y71" i="6"/>
  <c r="V71" i="6"/>
  <c r="T71" i="6"/>
  <c r="S71" i="6"/>
  <c r="K71" i="6"/>
  <c r="H71" i="6"/>
  <c r="G71" i="6"/>
  <c r="F71" i="6"/>
  <c r="E71" i="6"/>
  <c r="D71" i="6"/>
  <c r="C71" i="6"/>
  <c r="B71" i="6"/>
  <c r="A71" i="6"/>
  <c r="AC70" i="6"/>
  <c r="AA70" i="6"/>
  <c r="Y70" i="6"/>
  <c r="V70" i="6"/>
  <c r="T70" i="6"/>
  <c r="S70" i="6"/>
  <c r="K70" i="6"/>
  <c r="H70" i="6"/>
  <c r="G70" i="6"/>
  <c r="F70" i="6"/>
  <c r="E70" i="6"/>
  <c r="D70" i="6"/>
  <c r="C70" i="6"/>
  <c r="B70" i="6"/>
  <c r="A70" i="6"/>
  <c r="AC69" i="6"/>
  <c r="AA69" i="6"/>
  <c r="Y69" i="6"/>
  <c r="V69" i="6"/>
  <c r="T69" i="6"/>
  <c r="S69" i="6"/>
  <c r="K69" i="6"/>
  <c r="H69" i="6"/>
  <c r="G69" i="6"/>
  <c r="F69" i="6"/>
  <c r="E69" i="6"/>
  <c r="D69" i="6"/>
  <c r="C69" i="6"/>
  <c r="B69" i="6"/>
  <c r="A69" i="6"/>
  <c r="AC68" i="6"/>
  <c r="AA68" i="6"/>
  <c r="Y68" i="6"/>
  <c r="V68" i="6"/>
  <c r="T68" i="6"/>
  <c r="S68" i="6"/>
  <c r="K68" i="6"/>
  <c r="H68" i="6"/>
  <c r="G68" i="6"/>
  <c r="F68" i="6"/>
  <c r="E68" i="6"/>
  <c r="D68" i="6"/>
  <c r="C68" i="6"/>
  <c r="B68" i="6"/>
  <c r="A68" i="6"/>
  <c r="AC67" i="6"/>
  <c r="AA67" i="6"/>
  <c r="Y67" i="6"/>
  <c r="V67" i="6"/>
  <c r="T67" i="6"/>
  <c r="S67" i="6"/>
  <c r="K67" i="6"/>
  <c r="H67" i="6"/>
  <c r="G67" i="6"/>
  <c r="F67" i="6"/>
  <c r="E67" i="6"/>
  <c r="D67" i="6"/>
  <c r="C67" i="6"/>
  <c r="B67" i="6"/>
  <c r="A67" i="6"/>
  <c r="AC66" i="6"/>
  <c r="AA66" i="6"/>
  <c r="Y66" i="6"/>
  <c r="V66" i="6"/>
  <c r="T66" i="6"/>
  <c r="S66" i="6"/>
  <c r="K66" i="6"/>
  <c r="H66" i="6"/>
  <c r="G66" i="6"/>
  <c r="F66" i="6"/>
  <c r="E66" i="6"/>
  <c r="D66" i="6"/>
  <c r="C66" i="6"/>
  <c r="B66" i="6"/>
  <c r="A66" i="6"/>
  <c r="AC65" i="6"/>
  <c r="AA65" i="6"/>
  <c r="Y65" i="6"/>
  <c r="V65" i="6"/>
  <c r="T65" i="6"/>
  <c r="S65" i="6"/>
  <c r="K65" i="6"/>
  <c r="H65" i="6"/>
  <c r="G65" i="6"/>
  <c r="F65" i="6"/>
  <c r="E65" i="6"/>
  <c r="D65" i="6"/>
  <c r="C65" i="6"/>
  <c r="B65" i="6"/>
  <c r="A65" i="6"/>
  <c r="AC64" i="6"/>
  <c r="AA64" i="6"/>
  <c r="Y64" i="6"/>
  <c r="V64" i="6"/>
  <c r="T64" i="6"/>
  <c r="S64" i="6"/>
  <c r="K64" i="6"/>
  <c r="H64" i="6"/>
  <c r="G64" i="6"/>
  <c r="F64" i="6"/>
  <c r="E64" i="6"/>
  <c r="D64" i="6"/>
  <c r="C64" i="6"/>
  <c r="B64" i="6"/>
  <c r="A64" i="6"/>
  <c r="AC63" i="6"/>
  <c r="AA63" i="6"/>
  <c r="Y63" i="6"/>
  <c r="V63" i="6"/>
  <c r="T63" i="6"/>
  <c r="S63" i="6"/>
  <c r="K63" i="6"/>
  <c r="H63" i="6"/>
  <c r="G63" i="6"/>
  <c r="F63" i="6"/>
  <c r="E63" i="6"/>
  <c r="D63" i="6"/>
  <c r="C63" i="6"/>
  <c r="B63" i="6"/>
  <c r="A63" i="6"/>
  <c r="AC62" i="6"/>
  <c r="AA62" i="6"/>
  <c r="Y62" i="6"/>
  <c r="V62" i="6"/>
  <c r="T62" i="6"/>
  <c r="S62" i="6"/>
  <c r="K62" i="6"/>
  <c r="H62" i="6"/>
  <c r="G62" i="6"/>
  <c r="F62" i="6"/>
  <c r="E62" i="6"/>
  <c r="D62" i="6"/>
  <c r="C62" i="6"/>
  <c r="B62" i="6"/>
  <c r="A62" i="6"/>
  <c r="AC61" i="6"/>
  <c r="AA61" i="6"/>
  <c r="Y61" i="6"/>
  <c r="V61" i="6"/>
  <c r="T61" i="6"/>
  <c r="S61" i="6"/>
  <c r="K61" i="6"/>
  <c r="H61" i="6"/>
  <c r="G61" i="6"/>
  <c r="F61" i="6"/>
  <c r="E61" i="6"/>
  <c r="D61" i="6"/>
  <c r="C61" i="6"/>
  <c r="B61" i="6"/>
  <c r="A61" i="6"/>
  <c r="AC60" i="6"/>
  <c r="AA60" i="6"/>
  <c r="Y60" i="6"/>
  <c r="V60" i="6"/>
  <c r="T60" i="6"/>
  <c r="S60" i="6"/>
  <c r="K60" i="6"/>
  <c r="H60" i="6"/>
  <c r="G60" i="6"/>
  <c r="F60" i="6"/>
  <c r="E60" i="6"/>
  <c r="D60" i="6"/>
  <c r="C60" i="6"/>
  <c r="B60" i="6"/>
  <c r="A60" i="6"/>
  <c r="AC59" i="6"/>
  <c r="AA59" i="6"/>
  <c r="Y59" i="6"/>
  <c r="V59" i="6"/>
  <c r="T59" i="6"/>
  <c r="S59" i="6"/>
  <c r="K59" i="6"/>
  <c r="H59" i="6"/>
  <c r="G59" i="6"/>
  <c r="F59" i="6"/>
  <c r="E59" i="6"/>
  <c r="D59" i="6"/>
  <c r="C59" i="6"/>
  <c r="B59" i="6"/>
  <c r="A59" i="6"/>
  <c r="AC58" i="6"/>
  <c r="AA58" i="6"/>
  <c r="Y58" i="6"/>
  <c r="V58" i="6"/>
  <c r="T58" i="6"/>
  <c r="S58" i="6"/>
  <c r="K58" i="6"/>
  <c r="H58" i="6"/>
  <c r="G58" i="6"/>
  <c r="F58" i="6"/>
  <c r="E58" i="6"/>
  <c r="D58" i="6"/>
  <c r="C58" i="6"/>
  <c r="B58" i="6"/>
  <c r="A58" i="6"/>
  <c r="AC57" i="6"/>
  <c r="AA57" i="6"/>
  <c r="Y57" i="6"/>
  <c r="V57" i="6"/>
  <c r="T57" i="6"/>
  <c r="S57" i="6"/>
  <c r="K57" i="6"/>
  <c r="H57" i="6"/>
  <c r="G57" i="6"/>
  <c r="F57" i="6"/>
  <c r="E57" i="6"/>
  <c r="D57" i="6"/>
  <c r="C57" i="6"/>
  <c r="B57" i="6"/>
  <c r="A57" i="6"/>
  <c r="AC56" i="6"/>
  <c r="AA56" i="6"/>
  <c r="Y56" i="6"/>
  <c r="V56" i="6"/>
  <c r="T56" i="6"/>
  <c r="S56" i="6"/>
  <c r="K56" i="6"/>
  <c r="H56" i="6"/>
  <c r="G56" i="6"/>
  <c r="F56" i="6"/>
  <c r="E56" i="6"/>
  <c r="D56" i="6"/>
  <c r="C56" i="6"/>
  <c r="B56" i="6"/>
  <c r="A56" i="6"/>
  <c r="AC55" i="6"/>
  <c r="AA55" i="6"/>
  <c r="Y55" i="6"/>
  <c r="V55" i="6"/>
  <c r="T55" i="6"/>
  <c r="S55" i="6"/>
  <c r="K55" i="6"/>
  <c r="H55" i="6"/>
  <c r="G55" i="6"/>
  <c r="F55" i="6"/>
  <c r="E55" i="6"/>
  <c r="D55" i="6"/>
  <c r="C55" i="6"/>
  <c r="B55" i="6"/>
  <c r="A55" i="6"/>
  <c r="AC54" i="6"/>
  <c r="AA54" i="6"/>
  <c r="Y54" i="6"/>
  <c r="V54" i="6"/>
  <c r="T54" i="6"/>
  <c r="S54" i="6"/>
  <c r="K54" i="6"/>
  <c r="H54" i="6"/>
  <c r="G54" i="6"/>
  <c r="F54" i="6"/>
  <c r="E54" i="6"/>
  <c r="D54" i="6"/>
  <c r="C54" i="6"/>
  <c r="B54" i="6"/>
  <c r="A54" i="6"/>
  <c r="AC53" i="6"/>
  <c r="AA53" i="6"/>
  <c r="Y53" i="6"/>
  <c r="V53" i="6"/>
  <c r="T53" i="6"/>
  <c r="S53" i="6"/>
  <c r="K53" i="6"/>
  <c r="H53" i="6"/>
  <c r="G53" i="6"/>
  <c r="F53" i="6"/>
  <c r="E53" i="6"/>
  <c r="D53" i="6"/>
  <c r="C53" i="6"/>
  <c r="B53" i="6"/>
  <c r="A53" i="6"/>
  <c r="AC52" i="6"/>
  <c r="AA52" i="6"/>
  <c r="Y52" i="6"/>
  <c r="V52" i="6"/>
  <c r="T52" i="6"/>
  <c r="S52" i="6"/>
  <c r="K52" i="6"/>
  <c r="H52" i="6"/>
  <c r="G52" i="6"/>
  <c r="F52" i="6"/>
  <c r="E52" i="6"/>
  <c r="D52" i="6"/>
  <c r="C52" i="6"/>
  <c r="B52" i="6"/>
  <c r="A52" i="6"/>
  <c r="AC51" i="6"/>
  <c r="AA51" i="6"/>
  <c r="Y51" i="6"/>
  <c r="V51" i="6"/>
  <c r="T51" i="6"/>
  <c r="S51" i="6"/>
  <c r="K51" i="6"/>
  <c r="H51" i="6"/>
  <c r="G51" i="6"/>
  <c r="F51" i="6"/>
  <c r="E51" i="6"/>
  <c r="D51" i="6"/>
  <c r="C51" i="6"/>
  <c r="B51" i="6"/>
  <c r="A51" i="6"/>
  <c r="AC50" i="6"/>
  <c r="AA50" i="6"/>
  <c r="Y50" i="6"/>
  <c r="V50" i="6"/>
  <c r="T50" i="6"/>
  <c r="S50" i="6"/>
  <c r="K50" i="6"/>
  <c r="H50" i="6"/>
  <c r="G50" i="6"/>
  <c r="F50" i="6"/>
  <c r="E50" i="6"/>
  <c r="D50" i="6"/>
  <c r="C50" i="6"/>
  <c r="B50" i="6"/>
  <c r="A50" i="6"/>
  <c r="AC49" i="6"/>
  <c r="AA49" i="6"/>
  <c r="Y49" i="6"/>
  <c r="V49" i="6"/>
  <c r="T49" i="6"/>
  <c r="S49" i="6"/>
  <c r="K49" i="6"/>
  <c r="H49" i="6"/>
  <c r="G49" i="6"/>
  <c r="F49" i="6"/>
  <c r="E49" i="6"/>
  <c r="D49" i="6"/>
  <c r="C49" i="6"/>
  <c r="B49" i="6"/>
  <c r="A49" i="6"/>
  <c r="AC48" i="6"/>
  <c r="AA48" i="6"/>
  <c r="Y48" i="6"/>
  <c r="V48" i="6"/>
  <c r="T48" i="6"/>
  <c r="S48" i="6"/>
  <c r="K48" i="6"/>
  <c r="H48" i="6"/>
  <c r="G48" i="6"/>
  <c r="F48" i="6"/>
  <c r="E48" i="6"/>
  <c r="D48" i="6"/>
  <c r="C48" i="6"/>
  <c r="B48" i="6"/>
  <c r="A48" i="6"/>
  <c r="AC47" i="6"/>
  <c r="AA47" i="6"/>
  <c r="Y47" i="6"/>
  <c r="V47" i="6"/>
  <c r="T47" i="6"/>
  <c r="S47" i="6"/>
  <c r="K47" i="6"/>
  <c r="H47" i="6"/>
  <c r="G47" i="6"/>
  <c r="F47" i="6"/>
  <c r="E47" i="6"/>
  <c r="D47" i="6"/>
  <c r="C47" i="6"/>
  <c r="B47" i="6"/>
  <c r="A47" i="6"/>
  <c r="AC46" i="6"/>
  <c r="AA46" i="6"/>
  <c r="Y46" i="6"/>
  <c r="V46" i="6"/>
  <c r="T46" i="6"/>
  <c r="S46" i="6"/>
  <c r="K46" i="6"/>
  <c r="H46" i="6"/>
  <c r="G46" i="6"/>
  <c r="F46" i="6"/>
  <c r="E46" i="6"/>
  <c r="D46" i="6"/>
  <c r="C46" i="6"/>
  <c r="B46" i="6"/>
  <c r="A46" i="6"/>
  <c r="AC45" i="6"/>
  <c r="AA45" i="6"/>
  <c r="Y45" i="6"/>
  <c r="V45" i="6"/>
  <c r="T45" i="6"/>
  <c r="S45" i="6"/>
  <c r="K45" i="6"/>
  <c r="H45" i="6"/>
  <c r="G45" i="6"/>
  <c r="F45" i="6"/>
  <c r="E45" i="6"/>
  <c r="D45" i="6"/>
  <c r="C45" i="6"/>
  <c r="B45" i="6"/>
  <c r="A45" i="6"/>
  <c r="AC44" i="6"/>
  <c r="AA44" i="6"/>
  <c r="Y44" i="6"/>
  <c r="V44" i="6"/>
  <c r="T44" i="6"/>
  <c r="S44" i="6"/>
  <c r="K44" i="6"/>
  <c r="H44" i="6"/>
  <c r="G44" i="6"/>
  <c r="F44" i="6"/>
  <c r="E44" i="6"/>
  <c r="D44" i="6"/>
  <c r="C44" i="6"/>
  <c r="B44" i="6"/>
  <c r="A44" i="6"/>
  <c r="AC43" i="6"/>
  <c r="AA43" i="6"/>
  <c r="Y43" i="6"/>
  <c r="V43" i="6"/>
  <c r="T43" i="6"/>
  <c r="S43" i="6"/>
  <c r="K43" i="6"/>
  <c r="H43" i="6"/>
  <c r="G43" i="6"/>
  <c r="F43" i="6"/>
  <c r="E43" i="6"/>
  <c r="D43" i="6"/>
  <c r="C43" i="6"/>
  <c r="B43" i="6"/>
  <c r="A43" i="6"/>
  <c r="AC42" i="6"/>
  <c r="AA42" i="6"/>
  <c r="Y42" i="6"/>
  <c r="V42" i="6"/>
  <c r="T42" i="6"/>
  <c r="S42" i="6"/>
  <c r="K42" i="6"/>
  <c r="H42" i="6"/>
  <c r="G42" i="6"/>
  <c r="F42" i="6"/>
  <c r="E42" i="6"/>
  <c r="D42" i="6"/>
  <c r="C42" i="6"/>
  <c r="B42" i="6"/>
  <c r="A42" i="6"/>
  <c r="AC41" i="6"/>
  <c r="AA41" i="6"/>
  <c r="Y41" i="6"/>
  <c r="V41" i="6"/>
  <c r="T41" i="6"/>
  <c r="S41" i="6"/>
  <c r="K41" i="6"/>
  <c r="H41" i="6"/>
  <c r="G41" i="6"/>
  <c r="F41" i="6"/>
  <c r="E41" i="6"/>
  <c r="D41" i="6"/>
  <c r="C41" i="6"/>
  <c r="B41" i="6"/>
  <c r="A41" i="6"/>
  <c r="AC40" i="6"/>
  <c r="AA40" i="6"/>
  <c r="Y40" i="6"/>
  <c r="V40" i="6"/>
  <c r="T40" i="6"/>
  <c r="S40" i="6"/>
  <c r="K40" i="6"/>
  <c r="H40" i="6"/>
  <c r="G40" i="6"/>
  <c r="F40" i="6"/>
  <c r="E40" i="6"/>
  <c r="D40" i="6"/>
  <c r="C40" i="6"/>
  <c r="B40" i="6"/>
  <c r="A40" i="6"/>
  <c r="AC39" i="6"/>
  <c r="AA39" i="6"/>
  <c r="Y39" i="6"/>
  <c r="V39" i="6"/>
  <c r="T39" i="6"/>
  <c r="S39" i="6"/>
  <c r="K39" i="6"/>
  <c r="H39" i="6"/>
  <c r="G39" i="6"/>
  <c r="F39" i="6"/>
  <c r="E39" i="6"/>
  <c r="D39" i="6"/>
  <c r="C39" i="6"/>
  <c r="B39" i="6"/>
  <c r="A39" i="6"/>
  <c r="AC38" i="6"/>
  <c r="AA38" i="6"/>
  <c r="Y38" i="6"/>
  <c r="V38" i="6"/>
  <c r="T38" i="6"/>
  <c r="S38" i="6"/>
  <c r="K38" i="6"/>
  <c r="H38" i="6"/>
  <c r="G38" i="6"/>
  <c r="F38" i="6"/>
  <c r="E38" i="6"/>
  <c r="D38" i="6"/>
  <c r="C38" i="6"/>
  <c r="B38" i="6"/>
  <c r="A38" i="6"/>
  <c r="AC37" i="6"/>
  <c r="AA37" i="6"/>
  <c r="Y37" i="6"/>
  <c r="V37" i="6"/>
  <c r="T37" i="6"/>
  <c r="S37" i="6"/>
  <c r="K37" i="6"/>
  <c r="H37" i="6"/>
  <c r="G37" i="6"/>
  <c r="F37" i="6"/>
  <c r="E37" i="6"/>
  <c r="D37" i="6"/>
  <c r="C37" i="6"/>
  <c r="B37" i="6"/>
  <c r="A37" i="6"/>
  <c r="AC36" i="6"/>
  <c r="AA36" i="6"/>
  <c r="Y36" i="6"/>
  <c r="V36" i="6"/>
  <c r="T36" i="6"/>
  <c r="S36" i="6"/>
  <c r="K36" i="6"/>
  <c r="H36" i="6"/>
  <c r="G36" i="6"/>
  <c r="F36" i="6"/>
  <c r="E36" i="6"/>
  <c r="D36" i="6"/>
  <c r="C36" i="6"/>
  <c r="B36" i="6"/>
  <c r="A36" i="6"/>
  <c r="AC35" i="6"/>
  <c r="AA35" i="6"/>
  <c r="Y35" i="6"/>
  <c r="V35" i="6"/>
  <c r="T35" i="6"/>
  <c r="S35" i="6"/>
  <c r="K35" i="6"/>
  <c r="H35" i="6"/>
  <c r="G35" i="6"/>
  <c r="F35" i="6"/>
  <c r="E35" i="6"/>
  <c r="D35" i="6"/>
  <c r="C35" i="6"/>
  <c r="B35" i="6"/>
  <c r="A35" i="6"/>
  <c r="AC34" i="6"/>
  <c r="AA34" i="6"/>
  <c r="Y34" i="6"/>
  <c r="V34" i="6"/>
  <c r="T34" i="6"/>
  <c r="S34" i="6"/>
  <c r="K34" i="6"/>
  <c r="H34" i="6"/>
  <c r="G34" i="6"/>
  <c r="F34" i="6"/>
  <c r="E34" i="6"/>
  <c r="D34" i="6"/>
  <c r="C34" i="6"/>
  <c r="B34" i="6"/>
  <c r="A34" i="6"/>
  <c r="AC33" i="6"/>
  <c r="AA33" i="6"/>
  <c r="Y33" i="6"/>
  <c r="V33" i="6"/>
  <c r="T33" i="6"/>
  <c r="S33" i="6"/>
  <c r="K33" i="6"/>
  <c r="H33" i="6"/>
  <c r="G33" i="6"/>
  <c r="F33" i="6"/>
  <c r="E33" i="6"/>
  <c r="D33" i="6"/>
  <c r="C33" i="6"/>
  <c r="B33" i="6"/>
  <c r="A33" i="6"/>
  <c r="AC32" i="6"/>
  <c r="AA32" i="6"/>
  <c r="Y32" i="6"/>
  <c r="V32" i="6"/>
  <c r="T32" i="6"/>
  <c r="S32" i="6"/>
  <c r="K32" i="6"/>
  <c r="H32" i="6"/>
  <c r="G32" i="6"/>
  <c r="F32" i="6"/>
  <c r="E32" i="6"/>
  <c r="D32" i="6"/>
  <c r="C32" i="6"/>
  <c r="B32" i="6"/>
  <c r="A32" i="6"/>
  <c r="AC31" i="6"/>
  <c r="AA31" i="6"/>
  <c r="Y31" i="6"/>
  <c r="V31" i="6"/>
  <c r="T31" i="6"/>
  <c r="S31" i="6"/>
  <c r="K31" i="6"/>
  <c r="H31" i="6"/>
  <c r="G31" i="6"/>
  <c r="F31" i="6"/>
  <c r="E31" i="6"/>
  <c r="D31" i="6"/>
  <c r="C31" i="6"/>
  <c r="B31" i="6"/>
  <c r="A31" i="6"/>
  <c r="AC30" i="6"/>
  <c r="AA30" i="6"/>
  <c r="Y30" i="6"/>
  <c r="V30" i="6"/>
  <c r="T30" i="6"/>
  <c r="S30" i="6"/>
  <c r="K30" i="6"/>
  <c r="H30" i="6"/>
  <c r="G30" i="6"/>
  <c r="F30" i="6"/>
  <c r="E30" i="6"/>
  <c r="D30" i="6"/>
  <c r="C30" i="6"/>
  <c r="B30" i="6"/>
  <c r="A30" i="6"/>
  <c r="AC29" i="6"/>
  <c r="AA29" i="6"/>
  <c r="Y29" i="6"/>
  <c r="V29" i="6"/>
  <c r="T29" i="6"/>
  <c r="S29" i="6"/>
  <c r="K29" i="6"/>
  <c r="H29" i="6"/>
  <c r="G29" i="6"/>
  <c r="F29" i="6"/>
  <c r="E29" i="6"/>
  <c r="D29" i="6"/>
  <c r="C29" i="6"/>
  <c r="B29" i="6"/>
  <c r="A29" i="6"/>
  <c r="AC28" i="6"/>
  <c r="AA28" i="6"/>
  <c r="Y28" i="6"/>
  <c r="V28" i="6"/>
  <c r="T28" i="6"/>
  <c r="S28" i="6"/>
  <c r="K28" i="6"/>
  <c r="H28" i="6"/>
  <c r="G28" i="6"/>
  <c r="F28" i="6"/>
  <c r="E28" i="6"/>
  <c r="D28" i="6"/>
  <c r="C28" i="6"/>
  <c r="B28" i="6"/>
  <c r="A28" i="6"/>
  <c r="AC27" i="6"/>
  <c r="AA27" i="6"/>
  <c r="Y27" i="6"/>
  <c r="V27" i="6"/>
  <c r="T27" i="6"/>
  <c r="S27" i="6"/>
  <c r="K27" i="6"/>
  <c r="H27" i="6"/>
  <c r="G27" i="6"/>
  <c r="F27" i="6"/>
  <c r="E27" i="6"/>
  <c r="D27" i="6"/>
  <c r="C27" i="6"/>
  <c r="B27" i="6"/>
  <c r="A27" i="6"/>
  <c r="AC26" i="6"/>
  <c r="AA26" i="6"/>
  <c r="Y26" i="6"/>
  <c r="V26" i="6"/>
  <c r="T26" i="6"/>
  <c r="S26" i="6"/>
  <c r="K26" i="6"/>
  <c r="H26" i="6"/>
  <c r="G26" i="6"/>
  <c r="F26" i="6"/>
  <c r="E26" i="6"/>
  <c r="D26" i="6"/>
  <c r="C26" i="6"/>
  <c r="B26" i="6"/>
  <c r="A26" i="6"/>
  <c r="AC25" i="6"/>
  <c r="AA25" i="6"/>
  <c r="Y25" i="6"/>
  <c r="V25" i="6"/>
  <c r="T25" i="6"/>
  <c r="S25" i="6"/>
  <c r="K25" i="6"/>
  <c r="H25" i="6"/>
  <c r="G25" i="6"/>
  <c r="F25" i="6"/>
  <c r="E25" i="6"/>
  <c r="D25" i="6"/>
  <c r="C25" i="6"/>
  <c r="B25" i="6"/>
  <c r="A25" i="6"/>
  <c r="AC24" i="6"/>
  <c r="AA24" i="6"/>
  <c r="Y24" i="6"/>
  <c r="V24" i="6"/>
  <c r="T24" i="6"/>
  <c r="S24" i="6"/>
  <c r="K24" i="6"/>
  <c r="H24" i="6"/>
  <c r="G24" i="6"/>
  <c r="F24" i="6"/>
  <c r="E24" i="6"/>
  <c r="D24" i="6"/>
  <c r="C24" i="6"/>
  <c r="B24" i="6"/>
  <c r="A24" i="6"/>
  <c r="AC23" i="6"/>
  <c r="AA23" i="6"/>
  <c r="Y23" i="6"/>
  <c r="V23" i="6"/>
  <c r="T23" i="6"/>
  <c r="S23" i="6"/>
  <c r="K23" i="6"/>
  <c r="H23" i="6"/>
  <c r="G23" i="6"/>
  <c r="F23" i="6"/>
  <c r="E23" i="6"/>
  <c r="D23" i="6"/>
  <c r="C23" i="6"/>
  <c r="B23" i="6"/>
  <c r="A23" i="6"/>
  <c r="AC22" i="6"/>
  <c r="AA22" i="6"/>
  <c r="Y22" i="6"/>
  <c r="V22" i="6"/>
  <c r="T22" i="6"/>
  <c r="S22" i="6"/>
  <c r="K22" i="6"/>
  <c r="H22" i="6"/>
  <c r="G22" i="6"/>
  <c r="F22" i="6"/>
  <c r="E22" i="6"/>
  <c r="D22" i="6"/>
  <c r="C22" i="6"/>
  <c r="B22" i="6"/>
  <c r="A22" i="6"/>
  <c r="AC21" i="6"/>
  <c r="AA21" i="6"/>
  <c r="Y21" i="6"/>
  <c r="V21" i="6"/>
  <c r="T21" i="6"/>
  <c r="S21" i="6"/>
  <c r="K21" i="6"/>
  <c r="H21" i="6"/>
  <c r="G21" i="6"/>
  <c r="F21" i="6"/>
  <c r="E21" i="6"/>
  <c r="D21" i="6"/>
  <c r="C21" i="6"/>
  <c r="B21" i="6"/>
  <c r="A21" i="6"/>
  <c r="AC20" i="6"/>
  <c r="AA20" i="6"/>
  <c r="Y20" i="6"/>
  <c r="V20" i="6"/>
  <c r="T20" i="6"/>
  <c r="S20" i="6"/>
  <c r="K20" i="6"/>
  <c r="H20" i="6"/>
  <c r="G20" i="6"/>
  <c r="F20" i="6"/>
  <c r="E20" i="6"/>
  <c r="D20" i="6"/>
  <c r="C20" i="6"/>
  <c r="B20" i="6"/>
  <c r="A20" i="6"/>
  <c r="AC19" i="6"/>
  <c r="AA19" i="6"/>
  <c r="Y19" i="6"/>
  <c r="V19" i="6"/>
  <c r="T19" i="6"/>
  <c r="S19" i="6"/>
  <c r="K19" i="6"/>
  <c r="H19" i="6"/>
  <c r="G19" i="6"/>
  <c r="F19" i="6"/>
  <c r="E19" i="6"/>
  <c r="D19" i="6"/>
  <c r="C19" i="6"/>
  <c r="B19" i="6"/>
  <c r="A19" i="6"/>
  <c r="AC18" i="6"/>
  <c r="AA18" i="6"/>
  <c r="Y18" i="6"/>
  <c r="V18" i="6"/>
  <c r="T18" i="6"/>
  <c r="S18" i="6"/>
  <c r="K18" i="6"/>
  <c r="H18" i="6"/>
  <c r="G18" i="6"/>
  <c r="F18" i="6"/>
  <c r="E18" i="6"/>
  <c r="D18" i="6"/>
  <c r="C18" i="6"/>
  <c r="B18" i="6"/>
  <c r="A18" i="6"/>
  <c r="AC17" i="6"/>
  <c r="AA17" i="6"/>
  <c r="Y17" i="6"/>
  <c r="V17" i="6"/>
  <c r="T17" i="6"/>
  <c r="S17" i="6"/>
  <c r="K17" i="6"/>
  <c r="H17" i="6"/>
  <c r="G17" i="6"/>
  <c r="F17" i="6"/>
  <c r="E17" i="6"/>
  <c r="D17" i="6"/>
  <c r="C17" i="6"/>
  <c r="B17" i="6"/>
  <c r="A17" i="6"/>
  <c r="AC16" i="6"/>
  <c r="AA16" i="6"/>
  <c r="Y16" i="6"/>
  <c r="V16" i="6"/>
  <c r="T16" i="6"/>
  <c r="S16" i="6"/>
  <c r="K16" i="6"/>
  <c r="H16" i="6"/>
  <c r="G16" i="6"/>
  <c r="F16" i="6"/>
  <c r="E16" i="6"/>
  <c r="D16" i="6"/>
  <c r="C16" i="6"/>
  <c r="B16" i="6"/>
  <c r="A16" i="6"/>
  <c r="AC15" i="6"/>
  <c r="AA15" i="6"/>
  <c r="Y15" i="6"/>
  <c r="V15" i="6"/>
  <c r="T15" i="6"/>
  <c r="S15" i="6"/>
  <c r="K15" i="6"/>
  <c r="H15" i="6"/>
  <c r="G15" i="6"/>
  <c r="F15" i="6"/>
  <c r="E15" i="6"/>
  <c r="D15" i="6"/>
  <c r="C15" i="6"/>
  <c r="B15" i="6"/>
  <c r="A15" i="6"/>
  <c r="AC14" i="6"/>
  <c r="AA14" i="6"/>
  <c r="Y14" i="6"/>
  <c r="V14" i="6"/>
  <c r="T14" i="6"/>
  <c r="S14" i="6"/>
  <c r="K14" i="6"/>
  <c r="H14" i="6"/>
  <c r="G14" i="6"/>
  <c r="F14" i="6"/>
  <c r="E14" i="6"/>
  <c r="D14" i="6"/>
  <c r="C14" i="6"/>
  <c r="B14" i="6"/>
  <c r="A14" i="6"/>
  <c r="AC13" i="6"/>
  <c r="AA13" i="6"/>
  <c r="Y13" i="6"/>
  <c r="V13" i="6"/>
  <c r="T13" i="6"/>
  <c r="S13" i="6"/>
  <c r="K13" i="6"/>
  <c r="H13" i="6"/>
  <c r="G13" i="6"/>
  <c r="F13" i="6"/>
  <c r="E13" i="6"/>
  <c r="D13" i="6"/>
  <c r="C13" i="6"/>
  <c r="B13" i="6"/>
  <c r="A13" i="6"/>
  <c r="AC12" i="6"/>
  <c r="AA12" i="6"/>
  <c r="Y12" i="6"/>
  <c r="V12" i="6"/>
  <c r="T12" i="6"/>
  <c r="S12" i="6"/>
  <c r="K12" i="6"/>
  <c r="H12" i="6"/>
  <c r="G12" i="6"/>
  <c r="F12" i="6"/>
  <c r="E12" i="6"/>
  <c r="D12" i="6"/>
  <c r="C12" i="6"/>
  <c r="B12" i="6"/>
  <c r="A12" i="6"/>
  <c r="AC11" i="6"/>
  <c r="AA11" i="6"/>
  <c r="Y11" i="6"/>
  <c r="V11" i="6"/>
  <c r="T11" i="6"/>
  <c r="S11" i="6"/>
  <c r="K11" i="6"/>
  <c r="H11" i="6"/>
  <c r="G11" i="6"/>
  <c r="F11" i="6"/>
  <c r="E11" i="6"/>
  <c r="D11" i="6"/>
  <c r="C11" i="6"/>
  <c r="B11" i="6"/>
  <c r="A11" i="6"/>
  <c r="AC10" i="6"/>
  <c r="AA10" i="6"/>
  <c r="Y10" i="6"/>
  <c r="V10" i="6"/>
  <c r="T10" i="6"/>
  <c r="S10" i="6"/>
  <c r="K10" i="6"/>
  <c r="H10" i="6"/>
  <c r="G10" i="6"/>
  <c r="F10" i="6"/>
  <c r="E10" i="6"/>
  <c r="D10" i="6"/>
  <c r="C10" i="6"/>
  <c r="B10" i="6"/>
  <c r="A10" i="6"/>
  <c r="AC9" i="6"/>
  <c r="AA9" i="6"/>
  <c r="Y9" i="6"/>
  <c r="V9" i="6"/>
  <c r="T9" i="6"/>
  <c r="S9" i="6"/>
  <c r="K9" i="6"/>
  <c r="H9" i="6"/>
  <c r="G9" i="6"/>
  <c r="F9" i="6"/>
  <c r="E9" i="6"/>
  <c r="D9" i="6"/>
  <c r="C9" i="6"/>
  <c r="B9" i="6"/>
  <c r="A9" i="6"/>
  <c r="AC8" i="6"/>
  <c r="AA8" i="6"/>
  <c r="Y8" i="6"/>
  <c r="V8" i="6"/>
  <c r="T8" i="6"/>
  <c r="S8" i="6"/>
  <c r="K8" i="6"/>
  <c r="H8" i="6"/>
  <c r="G8" i="6"/>
  <c r="F8" i="6"/>
  <c r="E8" i="6"/>
  <c r="D8" i="6"/>
  <c r="C8" i="6"/>
  <c r="B8" i="6"/>
  <c r="A8" i="6"/>
  <c r="AC7" i="6"/>
  <c r="AA7" i="6"/>
  <c r="Y7" i="6"/>
  <c r="V7" i="6"/>
  <c r="T7" i="6"/>
  <c r="S7" i="6"/>
  <c r="K7" i="6"/>
  <c r="H7" i="6"/>
  <c r="G7" i="6"/>
  <c r="F7" i="6"/>
  <c r="E7" i="6"/>
  <c r="D7" i="6"/>
  <c r="C7" i="6"/>
  <c r="B7" i="6"/>
  <c r="A7" i="6"/>
  <c r="AC6" i="6"/>
  <c r="AA6" i="6"/>
  <c r="Y6" i="6"/>
  <c r="V6" i="6"/>
  <c r="T6" i="6"/>
  <c r="S6" i="6"/>
  <c r="K6" i="6"/>
  <c r="H6" i="6"/>
  <c r="G6" i="6"/>
  <c r="F6" i="6"/>
  <c r="E6" i="6"/>
  <c r="D6" i="6"/>
  <c r="C6" i="6"/>
  <c r="B6" i="6"/>
  <c r="A6" i="6"/>
  <c r="AC5" i="6"/>
  <c r="AA5" i="6"/>
  <c r="Y5" i="6"/>
  <c r="V5" i="6"/>
  <c r="T5" i="6"/>
  <c r="S5" i="6"/>
  <c r="K5" i="6"/>
  <c r="J5" i="6"/>
  <c r="J6" i="6" s="1"/>
  <c r="J7" i="6" s="1"/>
  <c r="J8" i="6" s="1"/>
  <c r="J9" i="6" s="1"/>
  <c r="J10" i="6" s="1"/>
  <c r="J11" i="6" s="1"/>
  <c r="J12" i="6" s="1"/>
  <c r="J13" i="6" s="1"/>
  <c r="J14" i="6" s="1"/>
  <c r="J15" i="6" s="1"/>
  <c r="J16" i="6" s="1"/>
  <c r="J17" i="6" s="1"/>
  <c r="J18" i="6" s="1"/>
  <c r="J19" i="6" s="1"/>
  <c r="J20" i="6" s="1"/>
  <c r="J21" i="6" s="1"/>
  <c r="J22" i="6" s="1"/>
  <c r="J23" i="6" s="1"/>
  <c r="J24" i="6" s="1"/>
  <c r="J25" i="6" s="1"/>
  <c r="J26" i="6" s="1"/>
  <c r="J27" i="6" s="1"/>
  <c r="J28" i="6" s="1"/>
  <c r="J29" i="6" s="1"/>
  <c r="J30" i="6" s="1"/>
  <c r="J31" i="6" s="1"/>
  <c r="J32" i="6" s="1"/>
  <c r="J33" i="6" s="1"/>
  <c r="J34" i="6" s="1"/>
  <c r="J35" i="6" s="1"/>
  <c r="J36" i="6" s="1"/>
  <c r="J37" i="6" s="1"/>
  <c r="J38" i="6" s="1"/>
  <c r="J39" i="6" s="1"/>
  <c r="J40" i="6" s="1"/>
  <c r="J41" i="6" s="1"/>
  <c r="J42" i="6" s="1"/>
  <c r="J43" i="6" s="1"/>
  <c r="J44" i="6" s="1"/>
  <c r="J45" i="6" s="1"/>
  <c r="J46" i="6" s="1"/>
  <c r="J47" i="6" s="1"/>
  <c r="J48" i="6" s="1"/>
  <c r="J49" i="6" s="1"/>
  <c r="J50" i="6" s="1"/>
  <c r="J51" i="6" s="1"/>
  <c r="J52" i="6" s="1"/>
  <c r="J53" i="6" s="1"/>
  <c r="J54" i="6" s="1"/>
  <c r="J55" i="6" s="1"/>
  <c r="J56" i="6" s="1"/>
  <c r="J57" i="6" s="1"/>
  <c r="J58" i="6" s="1"/>
  <c r="J59" i="6" s="1"/>
  <c r="J60" i="6" s="1"/>
  <c r="J61" i="6" s="1"/>
  <c r="J62" i="6" s="1"/>
  <c r="J63" i="6" s="1"/>
  <c r="J64" i="6" s="1"/>
  <c r="J65" i="6" s="1"/>
  <c r="J66" i="6" s="1"/>
  <c r="J67" i="6" s="1"/>
  <c r="J68" i="6" s="1"/>
  <c r="J69" i="6" s="1"/>
  <c r="J70" i="6" s="1"/>
  <c r="J71" i="6" s="1"/>
  <c r="J72" i="6" s="1"/>
  <c r="J73" i="6" s="1"/>
  <c r="J74" i="6" s="1"/>
  <c r="J75" i="6" s="1"/>
  <c r="J76" i="6" s="1"/>
  <c r="J77" i="6" s="1"/>
  <c r="J78" i="6" s="1"/>
  <c r="J79" i="6" s="1"/>
  <c r="J80" i="6" s="1"/>
  <c r="J81" i="6" s="1"/>
  <c r="J82" i="6" s="1"/>
  <c r="J83" i="6" s="1"/>
  <c r="J84" i="6" s="1"/>
  <c r="J85" i="6" s="1"/>
  <c r="J86" i="6" s="1"/>
  <c r="J87" i="6" s="1"/>
  <c r="J88" i="6" s="1"/>
  <c r="J89" i="6" s="1"/>
  <c r="J90" i="6" s="1"/>
  <c r="J91" i="6" s="1"/>
  <c r="J92" i="6" s="1"/>
  <c r="J93" i="6" s="1"/>
  <c r="J94" i="6" s="1"/>
  <c r="J95" i="6" s="1"/>
  <c r="J96" i="6" s="1"/>
  <c r="J97" i="6" s="1"/>
  <c r="J98" i="6" s="1"/>
  <c r="J99" i="6" s="1"/>
  <c r="J100" i="6" s="1"/>
  <c r="J101" i="6" s="1"/>
  <c r="J102" i="6" s="1"/>
  <c r="J103" i="6" s="1"/>
  <c r="J104" i="6" s="1"/>
  <c r="J105" i="6" s="1"/>
  <c r="J106" i="6" s="1"/>
  <c r="J107" i="6" s="1"/>
  <c r="J108" i="6" s="1"/>
  <c r="J109" i="6" s="1"/>
  <c r="J110" i="6" s="1"/>
  <c r="J111" i="6" s="1"/>
  <c r="J112" i="6" s="1"/>
  <c r="J113" i="6" s="1"/>
  <c r="J114" i="6" s="1"/>
  <c r="J115" i="6" s="1"/>
  <c r="J116" i="6" s="1"/>
  <c r="J117" i="6" s="1"/>
  <c r="J118" i="6" s="1"/>
  <c r="J119" i="6" s="1"/>
  <c r="J120" i="6" s="1"/>
  <c r="J121" i="6" s="1"/>
  <c r="J122" i="6" s="1"/>
  <c r="J123" i="6" s="1"/>
  <c r="J124" i="6" s="1"/>
  <c r="J125" i="6" s="1"/>
  <c r="J126" i="6" s="1"/>
  <c r="J127" i="6" s="1"/>
  <c r="J128" i="6" s="1"/>
  <c r="J129" i="6" s="1"/>
  <c r="J130" i="6" s="1"/>
  <c r="J131" i="6" s="1"/>
  <c r="J132" i="6" s="1"/>
  <c r="J133" i="6" s="1"/>
  <c r="J134" i="6" s="1"/>
  <c r="J135" i="6" s="1"/>
  <c r="J136" i="6" s="1"/>
  <c r="H5" i="6"/>
  <c r="G5" i="6"/>
  <c r="F5" i="6"/>
  <c r="E5" i="6"/>
  <c r="D5" i="6"/>
  <c r="C5" i="6"/>
  <c r="B5" i="6"/>
  <c r="A5" i="6"/>
  <c r="AC4" i="6"/>
  <c r="AA4" i="6"/>
  <c r="Y4" i="6"/>
  <c r="V4" i="6"/>
  <c r="T4" i="6"/>
  <c r="S4" i="6"/>
  <c r="K4" i="6"/>
  <c r="H4" i="6"/>
  <c r="G4" i="6"/>
  <c r="F4" i="6"/>
  <c r="E4" i="6"/>
  <c r="D4" i="6"/>
  <c r="C4" i="6"/>
  <c r="B4" i="6"/>
  <c r="A4" i="6"/>
  <c r="AJ136" i="5"/>
  <c r="AI136" i="5"/>
  <c r="AH136" i="5"/>
  <c r="AG136" i="5"/>
  <c r="AE136" i="5"/>
  <c r="AC136" i="5"/>
  <c r="AB136" i="5"/>
  <c r="AA136" i="5"/>
  <c r="R136" i="5"/>
  <c r="Q136" i="5"/>
  <c r="P136" i="5"/>
  <c r="O136" i="5"/>
  <c r="N136" i="5"/>
  <c r="J136" i="5"/>
  <c r="I136" i="5"/>
  <c r="H136" i="5"/>
  <c r="G136" i="5"/>
  <c r="F136" i="5"/>
  <c r="E136" i="5"/>
  <c r="D136" i="5"/>
  <c r="B136" i="5"/>
  <c r="A136" i="5"/>
  <c r="AJ135" i="5"/>
  <c r="AI135" i="5"/>
  <c r="AH135" i="5"/>
  <c r="AG135" i="5"/>
  <c r="AE135" i="5"/>
  <c r="AC135" i="5"/>
  <c r="AB135" i="5"/>
  <c r="AA135" i="5"/>
  <c r="R135" i="5"/>
  <c r="Q135" i="5"/>
  <c r="P135" i="5"/>
  <c r="O135" i="5"/>
  <c r="N135" i="5"/>
  <c r="J135" i="5"/>
  <c r="I135" i="5"/>
  <c r="H135" i="5"/>
  <c r="G135" i="5"/>
  <c r="F135" i="5"/>
  <c r="E135" i="5"/>
  <c r="D135" i="5"/>
  <c r="B135" i="5"/>
  <c r="A135" i="5"/>
  <c r="AJ134" i="5"/>
  <c r="AI134" i="5"/>
  <c r="AH134" i="5"/>
  <c r="AG134" i="5"/>
  <c r="AE134" i="5"/>
  <c r="AC134" i="5"/>
  <c r="AB134" i="5"/>
  <c r="AA134" i="5"/>
  <c r="R134" i="5"/>
  <c r="Q134" i="5"/>
  <c r="P134" i="5"/>
  <c r="O134" i="5"/>
  <c r="N134" i="5"/>
  <c r="J134" i="5"/>
  <c r="I134" i="5"/>
  <c r="H134" i="5"/>
  <c r="G134" i="5"/>
  <c r="F134" i="5"/>
  <c r="E134" i="5"/>
  <c r="D134" i="5"/>
  <c r="B134" i="5"/>
  <c r="A134" i="5"/>
  <c r="AJ133" i="5"/>
  <c r="AI133" i="5"/>
  <c r="AH133" i="5"/>
  <c r="AG133" i="5"/>
  <c r="AE133" i="5"/>
  <c r="AC133" i="5"/>
  <c r="AB133" i="5"/>
  <c r="AA133" i="5"/>
  <c r="R133" i="5"/>
  <c r="Q133" i="5"/>
  <c r="P133" i="5"/>
  <c r="O133" i="5"/>
  <c r="N133" i="5"/>
  <c r="J133" i="5"/>
  <c r="I133" i="5"/>
  <c r="H133" i="5"/>
  <c r="G133" i="5"/>
  <c r="F133" i="5"/>
  <c r="E133" i="5"/>
  <c r="D133" i="5"/>
  <c r="B133" i="5"/>
  <c r="A133" i="5"/>
  <c r="AJ132" i="5"/>
  <c r="AI132" i="5"/>
  <c r="AH132" i="5"/>
  <c r="AG132" i="5"/>
  <c r="AE132" i="5"/>
  <c r="AC132" i="5"/>
  <c r="AB132" i="5"/>
  <c r="AA132" i="5"/>
  <c r="R132" i="5"/>
  <c r="Q132" i="5"/>
  <c r="P132" i="5"/>
  <c r="O132" i="5"/>
  <c r="N132" i="5"/>
  <c r="J132" i="5"/>
  <c r="I132" i="5"/>
  <c r="H132" i="5"/>
  <c r="G132" i="5"/>
  <c r="F132" i="5"/>
  <c r="E132" i="5"/>
  <c r="D132" i="5"/>
  <c r="B132" i="5"/>
  <c r="A132" i="5"/>
  <c r="AJ131" i="5"/>
  <c r="AI131" i="5"/>
  <c r="AH131" i="5"/>
  <c r="AG131" i="5"/>
  <c r="AE131" i="5"/>
  <c r="AC131" i="5"/>
  <c r="AB131" i="5"/>
  <c r="AA131" i="5"/>
  <c r="R131" i="5"/>
  <c r="Q131" i="5"/>
  <c r="P131" i="5"/>
  <c r="O131" i="5"/>
  <c r="N131" i="5"/>
  <c r="J131" i="5"/>
  <c r="I131" i="5"/>
  <c r="H131" i="5"/>
  <c r="G131" i="5"/>
  <c r="F131" i="5"/>
  <c r="E131" i="5"/>
  <c r="D131" i="5"/>
  <c r="B131" i="5"/>
  <c r="A131" i="5"/>
  <c r="AJ130" i="5"/>
  <c r="AI130" i="5"/>
  <c r="AH130" i="5"/>
  <c r="AG130" i="5"/>
  <c r="AE130" i="5"/>
  <c r="AC130" i="5"/>
  <c r="AB130" i="5"/>
  <c r="AA130" i="5"/>
  <c r="R130" i="5"/>
  <c r="Q130" i="5"/>
  <c r="P130" i="5"/>
  <c r="O130" i="5"/>
  <c r="N130" i="5"/>
  <c r="J130" i="5"/>
  <c r="I130" i="5"/>
  <c r="H130" i="5"/>
  <c r="G130" i="5"/>
  <c r="F130" i="5"/>
  <c r="E130" i="5"/>
  <c r="D130" i="5"/>
  <c r="B130" i="5"/>
  <c r="A130" i="5"/>
  <c r="AJ129" i="5"/>
  <c r="AI129" i="5"/>
  <c r="AH129" i="5"/>
  <c r="AG129" i="5"/>
  <c r="AE129" i="5"/>
  <c r="AC129" i="5"/>
  <c r="AB129" i="5"/>
  <c r="AA129" i="5"/>
  <c r="R129" i="5"/>
  <c r="Q129" i="5"/>
  <c r="P129" i="5"/>
  <c r="O129" i="5"/>
  <c r="N129" i="5"/>
  <c r="J129" i="5"/>
  <c r="I129" i="5"/>
  <c r="H129" i="5"/>
  <c r="G129" i="5"/>
  <c r="F129" i="5"/>
  <c r="E129" i="5"/>
  <c r="D129" i="5"/>
  <c r="B129" i="5"/>
  <c r="A129" i="5"/>
  <c r="AJ128" i="5"/>
  <c r="AI128" i="5"/>
  <c r="AH128" i="5"/>
  <c r="AG128" i="5"/>
  <c r="AE128" i="5"/>
  <c r="AC128" i="5"/>
  <c r="AB128" i="5"/>
  <c r="AA128" i="5"/>
  <c r="R128" i="5"/>
  <c r="Q128" i="5"/>
  <c r="P128" i="5"/>
  <c r="O128" i="5"/>
  <c r="N128" i="5"/>
  <c r="J128" i="5"/>
  <c r="I128" i="5"/>
  <c r="H128" i="5"/>
  <c r="G128" i="5"/>
  <c r="F128" i="5"/>
  <c r="E128" i="5"/>
  <c r="D128" i="5"/>
  <c r="B128" i="5"/>
  <c r="A128" i="5"/>
  <c r="AJ127" i="5"/>
  <c r="AI127" i="5"/>
  <c r="AH127" i="5"/>
  <c r="AG127" i="5"/>
  <c r="AE127" i="5"/>
  <c r="AC127" i="5"/>
  <c r="AB127" i="5"/>
  <c r="AA127" i="5"/>
  <c r="R127" i="5"/>
  <c r="Q127" i="5"/>
  <c r="P127" i="5"/>
  <c r="O127" i="5"/>
  <c r="N127" i="5"/>
  <c r="J127" i="5"/>
  <c r="I127" i="5"/>
  <c r="H127" i="5"/>
  <c r="G127" i="5"/>
  <c r="F127" i="5"/>
  <c r="E127" i="5"/>
  <c r="D127" i="5"/>
  <c r="B127" i="5"/>
  <c r="A127" i="5"/>
  <c r="AJ126" i="5"/>
  <c r="AI126" i="5"/>
  <c r="AH126" i="5"/>
  <c r="AG126" i="5"/>
  <c r="AE126" i="5"/>
  <c r="AC126" i="5"/>
  <c r="AB126" i="5"/>
  <c r="AA126" i="5"/>
  <c r="R126" i="5"/>
  <c r="Q126" i="5"/>
  <c r="P126" i="5"/>
  <c r="O126" i="5"/>
  <c r="N126" i="5"/>
  <c r="J126" i="5"/>
  <c r="I126" i="5"/>
  <c r="H126" i="5"/>
  <c r="G126" i="5"/>
  <c r="F126" i="5"/>
  <c r="E126" i="5"/>
  <c r="D126" i="5"/>
  <c r="B126" i="5"/>
  <c r="A126" i="5"/>
  <c r="AJ125" i="5"/>
  <c r="AI125" i="5"/>
  <c r="AH125" i="5"/>
  <c r="AG125" i="5"/>
  <c r="AE125" i="5"/>
  <c r="AC125" i="5"/>
  <c r="AB125" i="5"/>
  <c r="AA125" i="5"/>
  <c r="R125" i="5"/>
  <c r="Q125" i="5"/>
  <c r="P125" i="5"/>
  <c r="O125" i="5"/>
  <c r="N125" i="5"/>
  <c r="J125" i="5"/>
  <c r="I125" i="5"/>
  <c r="H125" i="5"/>
  <c r="G125" i="5"/>
  <c r="F125" i="5"/>
  <c r="E125" i="5"/>
  <c r="D125" i="5"/>
  <c r="B125" i="5"/>
  <c r="A125" i="5"/>
  <c r="AJ124" i="5"/>
  <c r="AI124" i="5"/>
  <c r="AH124" i="5"/>
  <c r="AG124" i="5"/>
  <c r="AE124" i="5"/>
  <c r="AC124" i="5"/>
  <c r="AB124" i="5"/>
  <c r="AA124" i="5"/>
  <c r="R124" i="5"/>
  <c r="Q124" i="5"/>
  <c r="P124" i="5"/>
  <c r="O124" i="5"/>
  <c r="N124" i="5"/>
  <c r="J124" i="5"/>
  <c r="I124" i="5"/>
  <c r="H124" i="5"/>
  <c r="G124" i="5"/>
  <c r="F124" i="5"/>
  <c r="E124" i="5"/>
  <c r="D124" i="5"/>
  <c r="B124" i="5"/>
  <c r="A124" i="5"/>
  <c r="AJ123" i="5"/>
  <c r="AI123" i="5"/>
  <c r="AH123" i="5"/>
  <c r="AG123" i="5"/>
  <c r="AE123" i="5"/>
  <c r="AC123" i="5"/>
  <c r="AB123" i="5"/>
  <c r="AA123" i="5"/>
  <c r="R123" i="5"/>
  <c r="Q123" i="5"/>
  <c r="P123" i="5"/>
  <c r="O123" i="5"/>
  <c r="N123" i="5"/>
  <c r="J123" i="5"/>
  <c r="I123" i="5"/>
  <c r="H123" i="5"/>
  <c r="G123" i="5"/>
  <c r="F123" i="5"/>
  <c r="E123" i="5"/>
  <c r="D123" i="5"/>
  <c r="B123" i="5"/>
  <c r="A123" i="5"/>
  <c r="AJ122" i="5"/>
  <c r="AI122" i="5"/>
  <c r="AH122" i="5"/>
  <c r="AG122" i="5"/>
  <c r="AE122" i="5"/>
  <c r="AC122" i="5"/>
  <c r="AB122" i="5"/>
  <c r="AA122" i="5"/>
  <c r="R122" i="5"/>
  <c r="Q122" i="5"/>
  <c r="P122" i="5"/>
  <c r="O122" i="5"/>
  <c r="N122" i="5"/>
  <c r="J122" i="5"/>
  <c r="I122" i="5"/>
  <c r="H122" i="5"/>
  <c r="G122" i="5"/>
  <c r="F122" i="5"/>
  <c r="E122" i="5"/>
  <c r="D122" i="5"/>
  <c r="B122" i="5"/>
  <c r="A122" i="5"/>
  <c r="AJ121" i="5"/>
  <c r="AI121" i="5"/>
  <c r="AH121" i="5"/>
  <c r="AG121" i="5"/>
  <c r="AE121" i="5"/>
  <c r="AC121" i="5"/>
  <c r="AB121" i="5"/>
  <c r="AA121" i="5"/>
  <c r="R121" i="5"/>
  <c r="Q121" i="5"/>
  <c r="P121" i="5"/>
  <c r="O121" i="5"/>
  <c r="N121" i="5"/>
  <c r="J121" i="5"/>
  <c r="I121" i="5"/>
  <c r="H121" i="5"/>
  <c r="G121" i="5"/>
  <c r="F121" i="5"/>
  <c r="E121" i="5"/>
  <c r="D121" i="5"/>
  <c r="B121" i="5"/>
  <c r="A121" i="5"/>
  <c r="AJ120" i="5"/>
  <c r="AI120" i="5"/>
  <c r="AH120" i="5"/>
  <c r="AG120" i="5"/>
  <c r="AE120" i="5"/>
  <c r="AC120" i="5"/>
  <c r="AB120" i="5"/>
  <c r="AA120" i="5"/>
  <c r="R120" i="5"/>
  <c r="Q120" i="5"/>
  <c r="P120" i="5"/>
  <c r="O120" i="5"/>
  <c r="N120" i="5"/>
  <c r="J120" i="5"/>
  <c r="I120" i="5"/>
  <c r="H120" i="5"/>
  <c r="G120" i="5"/>
  <c r="F120" i="5"/>
  <c r="E120" i="5"/>
  <c r="D120" i="5"/>
  <c r="B120" i="5"/>
  <c r="A120" i="5"/>
  <c r="AJ119" i="5"/>
  <c r="AI119" i="5"/>
  <c r="AH119" i="5"/>
  <c r="AG119" i="5"/>
  <c r="AE119" i="5"/>
  <c r="AC119" i="5"/>
  <c r="AB119" i="5"/>
  <c r="AA119" i="5"/>
  <c r="R119" i="5"/>
  <c r="Q119" i="5"/>
  <c r="P119" i="5"/>
  <c r="O119" i="5"/>
  <c r="N119" i="5"/>
  <c r="J119" i="5"/>
  <c r="I119" i="5"/>
  <c r="H119" i="5"/>
  <c r="G119" i="5"/>
  <c r="F119" i="5"/>
  <c r="E119" i="5"/>
  <c r="D119" i="5"/>
  <c r="B119" i="5"/>
  <c r="A119" i="5"/>
  <c r="AJ118" i="5"/>
  <c r="AI118" i="5"/>
  <c r="AH118" i="5"/>
  <c r="AG118" i="5"/>
  <c r="AE118" i="5"/>
  <c r="AC118" i="5"/>
  <c r="AB118" i="5"/>
  <c r="AA118" i="5"/>
  <c r="R118" i="5"/>
  <c r="Q118" i="5"/>
  <c r="P118" i="5"/>
  <c r="O118" i="5"/>
  <c r="N118" i="5"/>
  <c r="J118" i="5"/>
  <c r="I118" i="5"/>
  <c r="H118" i="5"/>
  <c r="G118" i="5"/>
  <c r="F118" i="5"/>
  <c r="E118" i="5"/>
  <c r="D118" i="5"/>
  <c r="B118" i="5"/>
  <c r="A118" i="5"/>
  <c r="AJ117" i="5"/>
  <c r="AI117" i="5"/>
  <c r="AH117" i="5"/>
  <c r="AG117" i="5"/>
  <c r="AE117" i="5"/>
  <c r="AC117" i="5"/>
  <c r="AB117" i="5"/>
  <c r="AA117" i="5"/>
  <c r="R117" i="5"/>
  <c r="Q117" i="5"/>
  <c r="P117" i="5"/>
  <c r="O117" i="5"/>
  <c r="N117" i="5"/>
  <c r="J117" i="5"/>
  <c r="I117" i="5"/>
  <c r="H117" i="5"/>
  <c r="G117" i="5"/>
  <c r="F117" i="5"/>
  <c r="E117" i="5"/>
  <c r="D117" i="5"/>
  <c r="B117" i="5"/>
  <c r="A117" i="5"/>
  <c r="AJ116" i="5"/>
  <c r="AI116" i="5"/>
  <c r="AH116" i="5"/>
  <c r="AG116" i="5"/>
  <c r="AE116" i="5"/>
  <c r="AC116" i="5"/>
  <c r="AB116" i="5"/>
  <c r="AA116" i="5"/>
  <c r="R116" i="5"/>
  <c r="Q116" i="5"/>
  <c r="P116" i="5"/>
  <c r="O116" i="5"/>
  <c r="N116" i="5"/>
  <c r="J116" i="5"/>
  <c r="I116" i="5"/>
  <c r="H116" i="5"/>
  <c r="G116" i="5"/>
  <c r="F116" i="5"/>
  <c r="E116" i="5"/>
  <c r="D116" i="5"/>
  <c r="B116" i="5"/>
  <c r="A116" i="5"/>
  <c r="AJ115" i="5"/>
  <c r="AI115" i="5"/>
  <c r="AH115" i="5"/>
  <c r="AG115" i="5"/>
  <c r="AE115" i="5"/>
  <c r="AC115" i="5"/>
  <c r="AB115" i="5"/>
  <c r="AA115" i="5"/>
  <c r="R115" i="5"/>
  <c r="Q115" i="5"/>
  <c r="P115" i="5"/>
  <c r="O115" i="5"/>
  <c r="N115" i="5"/>
  <c r="J115" i="5"/>
  <c r="I115" i="5"/>
  <c r="H115" i="5"/>
  <c r="G115" i="5"/>
  <c r="F115" i="5"/>
  <c r="E115" i="5"/>
  <c r="D115" i="5"/>
  <c r="B115" i="5"/>
  <c r="A115" i="5"/>
  <c r="AJ114" i="5"/>
  <c r="AI114" i="5"/>
  <c r="AH114" i="5"/>
  <c r="AG114" i="5"/>
  <c r="AE114" i="5"/>
  <c r="AC114" i="5"/>
  <c r="AB114" i="5"/>
  <c r="AA114" i="5"/>
  <c r="R114" i="5"/>
  <c r="Q114" i="5"/>
  <c r="P114" i="5"/>
  <c r="O114" i="5"/>
  <c r="N114" i="5"/>
  <c r="J114" i="5"/>
  <c r="I114" i="5"/>
  <c r="H114" i="5"/>
  <c r="G114" i="5"/>
  <c r="F114" i="5"/>
  <c r="E114" i="5"/>
  <c r="D114" i="5"/>
  <c r="B114" i="5"/>
  <c r="A114" i="5"/>
  <c r="AJ113" i="5"/>
  <c r="AI113" i="5"/>
  <c r="AH113" i="5"/>
  <c r="AG113" i="5"/>
  <c r="AE113" i="5"/>
  <c r="AC113" i="5"/>
  <c r="AB113" i="5"/>
  <c r="AA113" i="5"/>
  <c r="R113" i="5"/>
  <c r="Q113" i="5"/>
  <c r="P113" i="5"/>
  <c r="O113" i="5"/>
  <c r="N113" i="5"/>
  <c r="J113" i="5"/>
  <c r="I113" i="5"/>
  <c r="H113" i="5"/>
  <c r="G113" i="5"/>
  <c r="F113" i="5"/>
  <c r="E113" i="5"/>
  <c r="D113" i="5"/>
  <c r="B113" i="5"/>
  <c r="A113" i="5"/>
  <c r="AJ112" i="5"/>
  <c r="AI112" i="5"/>
  <c r="AH112" i="5"/>
  <c r="AG112" i="5"/>
  <c r="AE112" i="5"/>
  <c r="AC112" i="5"/>
  <c r="AB112" i="5"/>
  <c r="AA112" i="5"/>
  <c r="R112" i="5"/>
  <c r="Q112" i="5"/>
  <c r="P112" i="5"/>
  <c r="O112" i="5"/>
  <c r="N112" i="5"/>
  <c r="J112" i="5"/>
  <c r="I112" i="5"/>
  <c r="H112" i="5"/>
  <c r="G112" i="5"/>
  <c r="F112" i="5"/>
  <c r="E112" i="5"/>
  <c r="D112" i="5"/>
  <c r="B112" i="5"/>
  <c r="A112" i="5"/>
  <c r="AJ111" i="5"/>
  <c r="AI111" i="5"/>
  <c r="AH111" i="5"/>
  <c r="AG111" i="5"/>
  <c r="AE111" i="5"/>
  <c r="AC111" i="5"/>
  <c r="AB111" i="5"/>
  <c r="AA111" i="5"/>
  <c r="R111" i="5"/>
  <c r="Q111" i="5"/>
  <c r="P111" i="5"/>
  <c r="O111" i="5"/>
  <c r="N111" i="5"/>
  <c r="J111" i="5"/>
  <c r="I111" i="5"/>
  <c r="H111" i="5"/>
  <c r="G111" i="5"/>
  <c r="F111" i="5"/>
  <c r="E111" i="5"/>
  <c r="D111" i="5"/>
  <c r="B111" i="5"/>
  <c r="A111" i="5"/>
  <c r="AJ110" i="5"/>
  <c r="AI110" i="5"/>
  <c r="AH110" i="5"/>
  <c r="AG110" i="5"/>
  <c r="AE110" i="5"/>
  <c r="AC110" i="5"/>
  <c r="AB110" i="5"/>
  <c r="AA110" i="5"/>
  <c r="R110" i="5"/>
  <c r="Q110" i="5"/>
  <c r="P110" i="5"/>
  <c r="O110" i="5"/>
  <c r="N110" i="5"/>
  <c r="J110" i="5"/>
  <c r="I110" i="5"/>
  <c r="H110" i="5"/>
  <c r="G110" i="5"/>
  <c r="F110" i="5"/>
  <c r="E110" i="5"/>
  <c r="D110" i="5"/>
  <c r="B110" i="5"/>
  <c r="A110" i="5"/>
  <c r="AJ109" i="5"/>
  <c r="AI109" i="5"/>
  <c r="AH109" i="5"/>
  <c r="AG109" i="5"/>
  <c r="AE109" i="5"/>
  <c r="AC109" i="5"/>
  <c r="AB109" i="5"/>
  <c r="AA109" i="5"/>
  <c r="R109" i="5"/>
  <c r="Q109" i="5"/>
  <c r="P109" i="5"/>
  <c r="O109" i="5"/>
  <c r="N109" i="5"/>
  <c r="J109" i="5"/>
  <c r="I109" i="5"/>
  <c r="H109" i="5"/>
  <c r="G109" i="5"/>
  <c r="F109" i="5"/>
  <c r="E109" i="5"/>
  <c r="D109" i="5"/>
  <c r="B109" i="5"/>
  <c r="A109" i="5"/>
  <c r="AJ108" i="5"/>
  <c r="AI108" i="5"/>
  <c r="AH108" i="5"/>
  <c r="AG108" i="5"/>
  <c r="AE108" i="5"/>
  <c r="AC108" i="5"/>
  <c r="AB108" i="5"/>
  <c r="AA108" i="5"/>
  <c r="R108" i="5"/>
  <c r="Q108" i="5"/>
  <c r="P108" i="5"/>
  <c r="O108" i="5"/>
  <c r="N108" i="5"/>
  <c r="J108" i="5"/>
  <c r="I108" i="5"/>
  <c r="H108" i="5"/>
  <c r="G108" i="5"/>
  <c r="F108" i="5"/>
  <c r="E108" i="5"/>
  <c r="D108" i="5"/>
  <c r="B108" i="5"/>
  <c r="A108" i="5"/>
  <c r="AJ107" i="5"/>
  <c r="AI107" i="5"/>
  <c r="AH107" i="5"/>
  <c r="AG107" i="5"/>
  <c r="AE107" i="5"/>
  <c r="AC107" i="5"/>
  <c r="AB107" i="5"/>
  <c r="AA107" i="5"/>
  <c r="R107" i="5"/>
  <c r="Q107" i="5"/>
  <c r="P107" i="5"/>
  <c r="O107" i="5"/>
  <c r="N107" i="5"/>
  <c r="J107" i="5"/>
  <c r="I107" i="5"/>
  <c r="H107" i="5"/>
  <c r="G107" i="5"/>
  <c r="F107" i="5"/>
  <c r="E107" i="5"/>
  <c r="D107" i="5"/>
  <c r="B107" i="5"/>
  <c r="A107" i="5"/>
  <c r="AJ106" i="5"/>
  <c r="AI106" i="5"/>
  <c r="AH106" i="5"/>
  <c r="AG106" i="5"/>
  <c r="AE106" i="5"/>
  <c r="AC106" i="5"/>
  <c r="AB106" i="5"/>
  <c r="AA106" i="5"/>
  <c r="R106" i="5"/>
  <c r="Q106" i="5"/>
  <c r="P106" i="5"/>
  <c r="O106" i="5"/>
  <c r="N106" i="5"/>
  <c r="J106" i="5"/>
  <c r="I106" i="5"/>
  <c r="H106" i="5"/>
  <c r="G106" i="5"/>
  <c r="F106" i="5"/>
  <c r="E106" i="5"/>
  <c r="D106" i="5"/>
  <c r="B106" i="5"/>
  <c r="A106" i="5"/>
  <c r="AJ105" i="5"/>
  <c r="AI105" i="5"/>
  <c r="AH105" i="5"/>
  <c r="AG105" i="5"/>
  <c r="AE105" i="5"/>
  <c r="AC105" i="5"/>
  <c r="AB105" i="5"/>
  <c r="AA105" i="5"/>
  <c r="R105" i="5"/>
  <c r="Q105" i="5"/>
  <c r="P105" i="5"/>
  <c r="O105" i="5"/>
  <c r="N105" i="5"/>
  <c r="J105" i="5"/>
  <c r="I105" i="5"/>
  <c r="H105" i="5"/>
  <c r="G105" i="5"/>
  <c r="F105" i="5"/>
  <c r="E105" i="5"/>
  <c r="D105" i="5"/>
  <c r="B105" i="5"/>
  <c r="A105" i="5"/>
  <c r="AJ104" i="5"/>
  <c r="AI104" i="5"/>
  <c r="AH104" i="5"/>
  <c r="AG104" i="5"/>
  <c r="AE104" i="5"/>
  <c r="AC104" i="5"/>
  <c r="AB104" i="5"/>
  <c r="AA104" i="5"/>
  <c r="R104" i="5"/>
  <c r="Q104" i="5"/>
  <c r="P104" i="5"/>
  <c r="O104" i="5"/>
  <c r="N104" i="5"/>
  <c r="J104" i="5"/>
  <c r="I104" i="5"/>
  <c r="H104" i="5"/>
  <c r="G104" i="5"/>
  <c r="F104" i="5"/>
  <c r="E104" i="5"/>
  <c r="D104" i="5"/>
  <c r="B104" i="5"/>
  <c r="A104" i="5"/>
  <c r="AJ103" i="5"/>
  <c r="AI103" i="5"/>
  <c r="AH103" i="5"/>
  <c r="AG103" i="5"/>
  <c r="AE103" i="5"/>
  <c r="AC103" i="5"/>
  <c r="AB103" i="5"/>
  <c r="AA103" i="5"/>
  <c r="R103" i="5"/>
  <c r="Q103" i="5"/>
  <c r="P103" i="5"/>
  <c r="O103" i="5"/>
  <c r="N103" i="5"/>
  <c r="J103" i="5"/>
  <c r="I103" i="5"/>
  <c r="H103" i="5"/>
  <c r="G103" i="5"/>
  <c r="F103" i="5"/>
  <c r="E103" i="5"/>
  <c r="D103" i="5"/>
  <c r="B103" i="5"/>
  <c r="A103" i="5"/>
  <c r="AJ102" i="5"/>
  <c r="AI102" i="5"/>
  <c r="AH102" i="5"/>
  <c r="AG102" i="5"/>
  <c r="AE102" i="5"/>
  <c r="AC102" i="5"/>
  <c r="AB102" i="5"/>
  <c r="AA102" i="5"/>
  <c r="R102" i="5"/>
  <c r="Q102" i="5"/>
  <c r="P102" i="5"/>
  <c r="O102" i="5"/>
  <c r="N102" i="5"/>
  <c r="J102" i="5"/>
  <c r="I102" i="5"/>
  <c r="H102" i="5"/>
  <c r="G102" i="5"/>
  <c r="F102" i="5"/>
  <c r="E102" i="5"/>
  <c r="D102" i="5"/>
  <c r="B102" i="5"/>
  <c r="A102" i="5"/>
  <c r="AJ101" i="5"/>
  <c r="AI101" i="5"/>
  <c r="AH101" i="5"/>
  <c r="AG101" i="5"/>
  <c r="AE101" i="5"/>
  <c r="AC101" i="5"/>
  <c r="AB101" i="5"/>
  <c r="AA101" i="5"/>
  <c r="R101" i="5"/>
  <c r="Q101" i="5"/>
  <c r="P101" i="5"/>
  <c r="O101" i="5"/>
  <c r="N101" i="5"/>
  <c r="J101" i="5"/>
  <c r="I101" i="5"/>
  <c r="H101" i="5"/>
  <c r="G101" i="5"/>
  <c r="F101" i="5"/>
  <c r="E101" i="5"/>
  <c r="D101" i="5"/>
  <c r="B101" i="5"/>
  <c r="A101" i="5"/>
  <c r="AJ100" i="5"/>
  <c r="AI100" i="5"/>
  <c r="AH100" i="5"/>
  <c r="AG100" i="5"/>
  <c r="AE100" i="5"/>
  <c r="AC100" i="5"/>
  <c r="AB100" i="5"/>
  <c r="AA100" i="5"/>
  <c r="R100" i="5"/>
  <c r="Q100" i="5"/>
  <c r="P100" i="5"/>
  <c r="O100" i="5"/>
  <c r="N100" i="5"/>
  <c r="J100" i="5"/>
  <c r="I100" i="5"/>
  <c r="H100" i="5"/>
  <c r="G100" i="5"/>
  <c r="F100" i="5"/>
  <c r="E100" i="5"/>
  <c r="D100" i="5"/>
  <c r="B100" i="5"/>
  <c r="A100" i="5"/>
  <c r="AJ99" i="5"/>
  <c r="AI99" i="5"/>
  <c r="AH99" i="5"/>
  <c r="AG99" i="5"/>
  <c r="AE99" i="5"/>
  <c r="AC99" i="5"/>
  <c r="AB99" i="5"/>
  <c r="AA99" i="5"/>
  <c r="R99" i="5"/>
  <c r="Q99" i="5"/>
  <c r="P99" i="5"/>
  <c r="O99" i="5"/>
  <c r="N99" i="5"/>
  <c r="J99" i="5"/>
  <c r="I99" i="5"/>
  <c r="H99" i="5"/>
  <c r="G99" i="5"/>
  <c r="F99" i="5"/>
  <c r="E99" i="5"/>
  <c r="D99" i="5"/>
  <c r="B99" i="5"/>
  <c r="A99" i="5"/>
  <c r="AJ98" i="5"/>
  <c r="AI98" i="5"/>
  <c r="AH98" i="5"/>
  <c r="AG98" i="5"/>
  <c r="AE98" i="5"/>
  <c r="AC98" i="5"/>
  <c r="AB98" i="5"/>
  <c r="AA98" i="5"/>
  <c r="R98" i="5"/>
  <c r="Q98" i="5"/>
  <c r="P98" i="5"/>
  <c r="O98" i="5"/>
  <c r="N98" i="5"/>
  <c r="J98" i="5"/>
  <c r="I98" i="5"/>
  <c r="H98" i="5"/>
  <c r="G98" i="5"/>
  <c r="F98" i="5"/>
  <c r="E98" i="5"/>
  <c r="D98" i="5"/>
  <c r="B98" i="5"/>
  <c r="A98" i="5"/>
  <c r="AJ97" i="5"/>
  <c r="AI97" i="5"/>
  <c r="AH97" i="5"/>
  <c r="AG97" i="5"/>
  <c r="AE97" i="5"/>
  <c r="AC97" i="5"/>
  <c r="AB97" i="5"/>
  <c r="AA97" i="5"/>
  <c r="R97" i="5"/>
  <c r="Q97" i="5"/>
  <c r="P97" i="5"/>
  <c r="O97" i="5"/>
  <c r="N97" i="5"/>
  <c r="J97" i="5"/>
  <c r="I97" i="5"/>
  <c r="H97" i="5"/>
  <c r="G97" i="5"/>
  <c r="F97" i="5"/>
  <c r="E97" i="5"/>
  <c r="D97" i="5"/>
  <c r="B97" i="5"/>
  <c r="A97" i="5"/>
  <c r="AJ96" i="5"/>
  <c r="AI96" i="5"/>
  <c r="AH96" i="5"/>
  <c r="AG96" i="5"/>
  <c r="AE96" i="5"/>
  <c r="AC96" i="5"/>
  <c r="AB96" i="5"/>
  <c r="AA96" i="5"/>
  <c r="R96" i="5"/>
  <c r="Q96" i="5"/>
  <c r="P96" i="5"/>
  <c r="O96" i="5"/>
  <c r="N96" i="5"/>
  <c r="J96" i="5"/>
  <c r="I96" i="5"/>
  <c r="H96" i="5"/>
  <c r="G96" i="5"/>
  <c r="F96" i="5"/>
  <c r="E96" i="5"/>
  <c r="D96" i="5"/>
  <c r="B96" i="5"/>
  <c r="A96" i="5"/>
  <c r="AJ95" i="5"/>
  <c r="AI95" i="5"/>
  <c r="AH95" i="5"/>
  <c r="AG95" i="5"/>
  <c r="AE95" i="5"/>
  <c r="AC95" i="5"/>
  <c r="AB95" i="5"/>
  <c r="AA95" i="5"/>
  <c r="R95" i="5"/>
  <c r="Q95" i="5"/>
  <c r="P95" i="5"/>
  <c r="O95" i="5"/>
  <c r="N95" i="5"/>
  <c r="J95" i="5"/>
  <c r="I95" i="5"/>
  <c r="H95" i="5"/>
  <c r="G95" i="5"/>
  <c r="F95" i="5"/>
  <c r="E95" i="5"/>
  <c r="D95" i="5"/>
  <c r="B95" i="5"/>
  <c r="A95" i="5"/>
  <c r="AJ94" i="5"/>
  <c r="AI94" i="5"/>
  <c r="AH94" i="5"/>
  <c r="AG94" i="5"/>
  <c r="AE94" i="5"/>
  <c r="AC94" i="5"/>
  <c r="AB94" i="5"/>
  <c r="AA94" i="5"/>
  <c r="R94" i="5"/>
  <c r="Q94" i="5"/>
  <c r="P94" i="5"/>
  <c r="O94" i="5"/>
  <c r="N94" i="5"/>
  <c r="J94" i="5"/>
  <c r="I94" i="5"/>
  <c r="H94" i="5"/>
  <c r="G94" i="5"/>
  <c r="F94" i="5"/>
  <c r="E94" i="5"/>
  <c r="D94" i="5"/>
  <c r="B94" i="5"/>
  <c r="A94" i="5"/>
  <c r="AJ93" i="5"/>
  <c r="AI93" i="5"/>
  <c r="AH93" i="5"/>
  <c r="AG93" i="5"/>
  <c r="AE93" i="5"/>
  <c r="AC93" i="5"/>
  <c r="AB93" i="5"/>
  <c r="AA93" i="5"/>
  <c r="R93" i="5"/>
  <c r="Q93" i="5"/>
  <c r="P93" i="5"/>
  <c r="O93" i="5"/>
  <c r="N93" i="5"/>
  <c r="J93" i="5"/>
  <c r="I93" i="5"/>
  <c r="H93" i="5"/>
  <c r="G93" i="5"/>
  <c r="F93" i="5"/>
  <c r="E93" i="5"/>
  <c r="D93" i="5"/>
  <c r="B93" i="5"/>
  <c r="A93" i="5"/>
  <c r="AJ92" i="5"/>
  <c r="AI92" i="5"/>
  <c r="AH92" i="5"/>
  <c r="AG92" i="5"/>
  <c r="AE92" i="5"/>
  <c r="AC92" i="5"/>
  <c r="AB92" i="5"/>
  <c r="AA92" i="5"/>
  <c r="R92" i="5"/>
  <c r="Q92" i="5"/>
  <c r="P92" i="5"/>
  <c r="O92" i="5"/>
  <c r="N92" i="5"/>
  <c r="J92" i="5"/>
  <c r="I92" i="5"/>
  <c r="H92" i="5"/>
  <c r="G92" i="5"/>
  <c r="F92" i="5"/>
  <c r="E92" i="5"/>
  <c r="D92" i="5"/>
  <c r="B92" i="5"/>
  <c r="A92" i="5"/>
  <c r="AJ91" i="5"/>
  <c r="AI91" i="5"/>
  <c r="AH91" i="5"/>
  <c r="AG91" i="5"/>
  <c r="AE91" i="5"/>
  <c r="AC91" i="5"/>
  <c r="AB91" i="5"/>
  <c r="AA91" i="5"/>
  <c r="R91" i="5"/>
  <c r="Q91" i="5"/>
  <c r="P91" i="5"/>
  <c r="O91" i="5"/>
  <c r="N91" i="5"/>
  <c r="J91" i="5"/>
  <c r="I91" i="5"/>
  <c r="H91" i="5"/>
  <c r="G91" i="5"/>
  <c r="F91" i="5"/>
  <c r="E91" i="5"/>
  <c r="D91" i="5"/>
  <c r="B91" i="5"/>
  <c r="A91" i="5"/>
  <c r="AJ90" i="5"/>
  <c r="AI90" i="5"/>
  <c r="AH90" i="5"/>
  <c r="AG90" i="5"/>
  <c r="AE90" i="5"/>
  <c r="AC90" i="5"/>
  <c r="AB90" i="5"/>
  <c r="AA90" i="5"/>
  <c r="R90" i="5"/>
  <c r="Q90" i="5"/>
  <c r="P90" i="5"/>
  <c r="O90" i="5"/>
  <c r="N90" i="5"/>
  <c r="J90" i="5"/>
  <c r="I90" i="5"/>
  <c r="H90" i="5"/>
  <c r="G90" i="5"/>
  <c r="F90" i="5"/>
  <c r="E90" i="5"/>
  <c r="D90" i="5"/>
  <c r="B90" i="5"/>
  <c r="A90" i="5"/>
  <c r="AJ89" i="5"/>
  <c r="AI89" i="5"/>
  <c r="AH89" i="5"/>
  <c r="AG89" i="5"/>
  <c r="AE89" i="5"/>
  <c r="AC89" i="5"/>
  <c r="AB89" i="5"/>
  <c r="AA89" i="5"/>
  <c r="R89" i="5"/>
  <c r="Q89" i="5"/>
  <c r="P89" i="5"/>
  <c r="O89" i="5"/>
  <c r="N89" i="5"/>
  <c r="J89" i="5"/>
  <c r="I89" i="5"/>
  <c r="H89" i="5"/>
  <c r="G89" i="5"/>
  <c r="F89" i="5"/>
  <c r="E89" i="5"/>
  <c r="D89" i="5"/>
  <c r="B89" i="5"/>
  <c r="A89" i="5"/>
  <c r="AJ88" i="5"/>
  <c r="AI88" i="5"/>
  <c r="AH88" i="5"/>
  <c r="AG88" i="5"/>
  <c r="AE88" i="5"/>
  <c r="AC88" i="5"/>
  <c r="AB88" i="5"/>
  <c r="AA88" i="5"/>
  <c r="R88" i="5"/>
  <c r="Q88" i="5"/>
  <c r="P88" i="5"/>
  <c r="O88" i="5"/>
  <c r="N88" i="5"/>
  <c r="J88" i="5"/>
  <c r="I88" i="5"/>
  <c r="H88" i="5"/>
  <c r="G88" i="5"/>
  <c r="F88" i="5"/>
  <c r="E88" i="5"/>
  <c r="D88" i="5"/>
  <c r="B88" i="5"/>
  <c r="A88" i="5"/>
  <c r="AJ87" i="5"/>
  <c r="AI87" i="5"/>
  <c r="AH87" i="5"/>
  <c r="AG87" i="5"/>
  <c r="AE87" i="5"/>
  <c r="AC87" i="5"/>
  <c r="AB87" i="5"/>
  <c r="AA87" i="5"/>
  <c r="R87" i="5"/>
  <c r="Q87" i="5"/>
  <c r="P87" i="5"/>
  <c r="O87" i="5"/>
  <c r="N87" i="5"/>
  <c r="J87" i="5"/>
  <c r="I87" i="5"/>
  <c r="H87" i="5"/>
  <c r="G87" i="5"/>
  <c r="F87" i="5"/>
  <c r="E87" i="5"/>
  <c r="D87" i="5"/>
  <c r="B87" i="5"/>
  <c r="A87" i="5"/>
  <c r="AJ86" i="5"/>
  <c r="AI86" i="5"/>
  <c r="AH86" i="5"/>
  <c r="AG86" i="5"/>
  <c r="AE86" i="5"/>
  <c r="AC86" i="5"/>
  <c r="AB86" i="5"/>
  <c r="AA86" i="5"/>
  <c r="R86" i="5"/>
  <c r="Q86" i="5"/>
  <c r="P86" i="5"/>
  <c r="O86" i="5"/>
  <c r="N86" i="5"/>
  <c r="J86" i="5"/>
  <c r="I86" i="5"/>
  <c r="H86" i="5"/>
  <c r="G86" i="5"/>
  <c r="F86" i="5"/>
  <c r="E86" i="5"/>
  <c r="D86" i="5"/>
  <c r="B86" i="5"/>
  <c r="A86" i="5"/>
  <c r="AJ85" i="5"/>
  <c r="AI85" i="5"/>
  <c r="AH85" i="5"/>
  <c r="AG85" i="5"/>
  <c r="AE85" i="5"/>
  <c r="AC85" i="5"/>
  <c r="AB85" i="5"/>
  <c r="AA85" i="5"/>
  <c r="R85" i="5"/>
  <c r="Q85" i="5"/>
  <c r="P85" i="5"/>
  <c r="O85" i="5"/>
  <c r="N85" i="5"/>
  <c r="J85" i="5"/>
  <c r="I85" i="5"/>
  <c r="H85" i="5"/>
  <c r="G85" i="5"/>
  <c r="F85" i="5"/>
  <c r="E85" i="5"/>
  <c r="D85" i="5"/>
  <c r="B85" i="5"/>
  <c r="A85" i="5"/>
  <c r="AJ84" i="5"/>
  <c r="AI84" i="5"/>
  <c r="AH84" i="5"/>
  <c r="AG84" i="5"/>
  <c r="AE84" i="5"/>
  <c r="AC84" i="5"/>
  <c r="AB84" i="5"/>
  <c r="AA84" i="5"/>
  <c r="R84" i="5"/>
  <c r="Q84" i="5"/>
  <c r="P84" i="5"/>
  <c r="O84" i="5"/>
  <c r="N84" i="5"/>
  <c r="J84" i="5"/>
  <c r="I84" i="5"/>
  <c r="H84" i="5"/>
  <c r="G84" i="5"/>
  <c r="F84" i="5"/>
  <c r="E84" i="5"/>
  <c r="D84" i="5"/>
  <c r="B84" i="5"/>
  <c r="A84" i="5"/>
  <c r="AJ83" i="5"/>
  <c r="AI83" i="5"/>
  <c r="AH83" i="5"/>
  <c r="AG83" i="5"/>
  <c r="AE83" i="5"/>
  <c r="AC83" i="5"/>
  <c r="AB83" i="5"/>
  <c r="AA83" i="5"/>
  <c r="R83" i="5"/>
  <c r="Q83" i="5"/>
  <c r="P83" i="5"/>
  <c r="O83" i="5"/>
  <c r="N83" i="5"/>
  <c r="J83" i="5"/>
  <c r="I83" i="5"/>
  <c r="H83" i="5"/>
  <c r="G83" i="5"/>
  <c r="F83" i="5"/>
  <c r="E83" i="5"/>
  <c r="D83" i="5"/>
  <c r="B83" i="5"/>
  <c r="A83" i="5"/>
  <c r="AJ82" i="5"/>
  <c r="AI82" i="5"/>
  <c r="AH82" i="5"/>
  <c r="AG82" i="5"/>
  <c r="AE82" i="5"/>
  <c r="AC82" i="5"/>
  <c r="AB82" i="5"/>
  <c r="AA82" i="5"/>
  <c r="R82" i="5"/>
  <c r="Q82" i="5"/>
  <c r="P82" i="5"/>
  <c r="O82" i="5"/>
  <c r="N82" i="5"/>
  <c r="J82" i="5"/>
  <c r="I82" i="5"/>
  <c r="H82" i="5"/>
  <c r="G82" i="5"/>
  <c r="F82" i="5"/>
  <c r="E82" i="5"/>
  <c r="D82" i="5"/>
  <c r="B82" i="5"/>
  <c r="A82" i="5"/>
  <c r="AJ81" i="5"/>
  <c r="AI81" i="5"/>
  <c r="AH81" i="5"/>
  <c r="AG81" i="5"/>
  <c r="AE81" i="5"/>
  <c r="AC81" i="5"/>
  <c r="AB81" i="5"/>
  <c r="AA81" i="5"/>
  <c r="R81" i="5"/>
  <c r="Q81" i="5"/>
  <c r="P81" i="5"/>
  <c r="O81" i="5"/>
  <c r="N81" i="5"/>
  <c r="J81" i="5"/>
  <c r="I81" i="5"/>
  <c r="H81" i="5"/>
  <c r="G81" i="5"/>
  <c r="F81" i="5"/>
  <c r="E81" i="5"/>
  <c r="D81" i="5"/>
  <c r="B81" i="5"/>
  <c r="A81" i="5"/>
  <c r="AJ80" i="5"/>
  <c r="AI80" i="5"/>
  <c r="AH80" i="5"/>
  <c r="AG80" i="5"/>
  <c r="AE80" i="5"/>
  <c r="AC80" i="5"/>
  <c r="AB80" i="5"/>
  <c r="AA80" i="5"/>
  <c r="R80" i="5"/>
  <c r="Q80" i="5"/>
  <c r="P80" i="5"/>
  <c r="O80" i="5"/>
  <c r="N80" i="5"/>
  <c r="J80" i="5"/>
  <c r="I80" i="5"/>
  <c r="H80" i="5"/>
  <c r="G80" i="5"/>
  <c r="F80" i="5"/>
  <c r="E80" i="5"/>
  <c r="D80" i="5"/>
  <c r="B80" i="5"/>
  <c r="A80" i="5"/>
  <c r="AJ79" i="5"/>
  <c r="AI79" i="5"/>
  <c r="AH79" i="5"/>
  <c r="AG79" i="5"/>
  <c r="AE79" i="5"/>
  <c r="AC79" i="5"/>
  <c r="AB79" i="5"/>
  <c r="AA79" i="5"/>
  <c r="R79" i="5"/>
  <c r="Q79" i="5"/>
  <c r="P79" i="5"/>
  <c r="O79" i="5"/>
  <c r="N79" i="5"/>
  <c r="J79" i="5"/>
  <c r="I79" i="5"/>
  <c r="H79" i="5"/>
  <c r="G79" i="5"/>
  <c r="F79" i="5"/>
  <c r="E79" i="5"/>
  <c r="D79" i="5"/>
  <c r="B79" i="5"/>
  <c r="A79" i="5"/>
  <c r="AJ78" i="5"/>
  <c r="AI78" i="5"/>
  <c r="AH78" i="5"/>
  <c r="AG78" i="5"/>
  <c r="AE78" i="5"/>
  <c r="AC78" i="5"/>
  <c r="AB78" i="5"/>
  <c r="AA78" i="5"/>
  <c r="R78" i="5"/>
  <c r="Q78" i="5"/>
  <c r="P78" i="5"/>
  <c r="O78" i="5"/>
  <c r="N78" i="5"/>
  <c r="J78" i="5"/>
  <c r="I78" i="5"/>
  <c r="H78" i="5"/>
  <c r="G78" i="5"/>
  <c r="F78" i="5"/>
  <c r="E78" i="5"/>
  <c r="D78" i="5"/>
  <c r="B78" i="5"/>
  <c r="A78" i="5"/>
  <c r="AJ77" i="5"/>
  <c r="AI77" i="5"/>
  <c r="AH77" i="5"/>
  <c r="AG77" i="5"/>
  <c r="AE77" i="5"/>
  <c r="AC77" i="5"/>
  <c r="AB77" i="5"/>
  <c r="AA77" i="5"/>
  <c r="R77" i="5"/>
  <c r="Q77" i="5"/>
  <c r="P77" i="5"/>
  <c r="O77" i="5"/>
  <c r="N77" i="5"/>
  <c r="J77" i="5"/>
  <c r="I77" i="5"/>
  <c r="H77" i="5"/>
  <c r="G77" i="5"/>
  <c r="F77" i="5"/>
  <c r="E77" i="5"/>
  <c r="D77" i="5"/>
  <c r="B77" i="5"/>
  <c r="A77" i="5"/>
  <c r="AJ76" i="5"/>
  <c r="AI76" i="5"/>
  <c r="AH76" i="5"/>
  <c r="AG76" i="5"/>
  <c r="AE76" i="5"/>
  <c r="AC76" i="5"/>
  <c r="AB76" i="5"/>
  <c r="AA76" i="5"/>
  <c r="R76" i="5"/>
  <c r="Q76" i="5"/>
  <c r="P76" i="5"/>
  <c r="O76" i="5"/>
  <c r="N76" i="5"/>
  <c r="J76" i="5"/>
  <c r="I76" i="5"/>
  <c r="H76" i="5"/>
  <c r="G76" i="5"/>
  <c r="F76" i="5"/>
  <c r="E76" i="5"/>
  <c r="D76" i="5"/>
  <c r="B76" i="5"/>
  <c r="A76" i="5"/>
  <c r="AJ75" i="5"/>
  <c r="AI75" i="5"/>
  <c r="AH75" i="5"/>
  <c r="AG75" i="5"/>
  <c r="AE75" i="5"/>
  <c r="AC75" i="5"/>
  <c r="AB75" i="5"/>
  <c r="AA75" i="5"/>
  <c r="R75" i="5"/>
  <c r="Q75" i="5"/>
  <c r="P75" i="5"/>
  <c r="O75" i="5"/>
  <c r="N75" i="5"/>
  <c r="J75" i="5"/>
  <c r="I75" i="5"/>
  <c r="H75" i="5"/>
  <c r="G75" i="5"/>
  <c r="F75" i="5"/>
  <c r="E75" i="5"/>
  <c r="D75" i="5"/>
  <c r="B75" i="5"/>
  <c r="A75" i="5"/>
  <c r="AJ74" i="5"/>
  <c r="AI74" i="5"/>
  <c r="AH74" i="5"/>
  <c r="AG74" i="5"/>
  <c r="AE74" i="5"/>
  <c r="AC74" i="5"/>
  <c r="AB74" i="5"/>
  <c r="AA74" i="5"/>
  <c r="R74" i="5"/>
  <c r="Q74" i="5"/>
  <c r="P74" i="5"/>
  <c r="O74" i="5"/>
  <c r="N74" i="5"/>
  <c r="J74" i="5"/>
  <c r="I74" i="5"/>
  <c r="H74" i="5"/>
  <c r="G74" i="5"/>
  <c r="F74" i="5"/>
  <c r="E74" i="5"/>
  <c r="D74" i="5"/>
  <c r="B74" i="5"/>
  <c r="A74" i="5"/>
  <c r="AJ73" i="5"/>
  <c r="AI73" i="5"/>
  <c r="AH73" i="5"/>
  <c r="AG73" i="5"/>
  <c r="AE73" i="5"/>
  <c r="AC73" i="5"/>
  <c r="AB73" i="5"/>
  <c r="AA73" i="5"/>
  <c r="R73" i="5"/>
  <c r="Q73" i="5"/>
  <c r="P73" i="5"/>
  <c r="O73" i="5"/>
  <c r="N73" i="5"/>
  <c r="J73" i="5"/>
  <c r="I73" i="5"/>
  <c r="H73" i="5"/>
  <c r="G73" i="5"/>
  <c r="F73" i="5"/>
  <c r="E73" i="5"/>
  <c r="D73" i="5"/>
  <c r="B73" i="5"/>
  <c r="A73" i="5"/>
  <c r="AJ72" i="5"/>
  <c r="AI72" i="5"/>
  <c r="AH72" i="5"/>
  <c r="AG72" i="5"/>
  <c r="AE72" i="5"/>
  <c r="AC72" i="5"/>
  <c r="AB72" i="5"/>
  <c r="AA72" i="5"/>
  <c r="R72" i="5"/>
  <c r="Q72" i="5"/>
  <c r="P72" i="5"/>
  <c r="O72" i="5"/>
  <c r="N72" i="5"/>
  <c r="J72" i="5"/>
  <c r="I72" i="5"/>
  <c r="H72" i="5"/>
  <c r="G72" i="5"/>
  <c r="F72" i="5"/>
  <c r="E72" i="5"/>
  <c r="D72" i="5"/>
  <c r="B72" i="5"/>
  <c r="A72" i="5"/>
  <c r="AJ71" i="5"/>
  <c r="AI71" i="5"/>
  <c r="AH71" i="5"/>
  <c r="AG71" i="5"/>
  <c r="AE71" i="5"/>
  <c r="AC71" i="5"/>
  <c r="AB71" i="5"/>
  <c r="AA71" i="5"/>
  <c r="R71" i="5"/>
  <c r="Q71" i="5"/>
  <c r="P71" i="5"/>
  <c r="O71" i="5"/>
  <c r="N71" i="5"/>
  <c r="J71" i="5"/>
  <c r="I71" i="5"/>
  <c r="H71" i="5"/>
  <c r="G71" i="5"/>
  <c r="F71" i="5"/>
  <c r="E71" i="5"/>
  <c r="D71" i="5"/>
  <c r="B71" i="5"/>
  <c r="A71" i="5"/>
  <c r="AJ70" i="5"/>
  <c r="AI70" i="5"/>
  <c r="AH70" i="5"/>
  <c r="AG70" i="5"/>
  <c r="AE70" i="5"/>
  <c r="AC70" i="5"/>
  <c r="AB70" i="5"/>
  <c r="AA70" i="5"/>
  <c r="R70" i="5"/>
  <c r="Q70" i="5"/>
  <c r="P70" i="5"/>
  <c r="O70" i="5"/>
  <c r="N70" i="5"/>
  <c r="J70" i="5"/>
  <c r="I70" i="5"/>
  <c r="H70" i="5"/>
  <c r="G70" i="5"/>
  <c r="F70" i="5"/>
  <c r="E70" i="5"/>
  <c r="D70" i="5"/>
  <c r="B70" i="5"/>
  <c r="A70" i="5"/>
  <c r="AJ69" i="5"/>
  <c r="AI69" i="5"/>
  <c r="AH69" i="5"/>
  <c r="AG69" i="5"/>
  <c r="AE69" i="5"/>
  <c r="AC69" i="5"/>
  <c r="AB69" i="5"/>
  <c r="AA69" i="5"/>
  <c r="R69" i="5"/>
  <c r="Q69" i="5"/>
  <c r="P69" i="5"/>
  <c r="O69" i="5"/>
  <c r="N69" i="5"/>
  <c r="M69" i="5"/>
  <c r="J69" i="5"/>
  <c r="I69" i="5"/>
  <c r="H69" i="5"/>
  <c r="G69" i="5"/>
  <c r="F69" i="5"/>
  <c r="E69" i="5"/>
  <c r="D69" i="5"/>
  <c r="B69" i="5"/>
  <c r="A69" i="5"/>
  <c r="AJ68" i="5"/>
  <c r="AI68" i="5"/>
  <c r="AH68" i="5"/>
  <c r="AG68" i="5"/>
  <c r="AE68" i="5"/>
  <c r="AC68" i="5"/>
  <c r="AB68" i="5"/>
  <c r="AA68" i="5"/>
  <c r="R68" i="5"/>
  <c r="Q68" i="5"/>
  <c r="P68" i="5"/>
  <c r="O68" i="5"/>
  <c r="N68" i="5"/>
  <c r="M68" i="5"/>
  <c r="J68" i="5"/>
  <c r="I68" i="5"/>
  <c r="H68" i="5"/>
  <c r="G68" i="5"/>
  <c r="F68" i="5"/>
  <c r="E68" i="5"/>
  <c r="D68" i="5"/>
  <c r="B68" i="5"/>
  <c r="A68" i="5"/>
  <c r="AJ67" i="5"/>
  <c r="AI67" i="5"/>
  <c r="AH67" i="5"/>
  <c r="AG67" i="5"/>
  <c r="AE67" i="5"/>
  <c r="AC67" i="5"/>
  <c r="AB67" i="5"/>
  <c r="AA67" i="5"/>
  <c r="R67" i="5"/>
  <c r="Q67" i="5"/>
  <c r="P67" i="5"/>
  <c r="O67" i="5"/>
  <c r="N67" i="5"/>
  <c r="M67" i="5"/>
  <c r="J67" i="5"/>
  <c r="I67" i="5"/>
  <c r="H67" i="5"/>
  <c r="G67" i="5"/>
  <c r="F67" i="5"/>
  <c r="E67" i="5"/>
  <c r="D67" i="5"/>
  <c r="B67" i="5"/>
  <c r="A67" i="5"/>
  <c r="AJ66" i="5"/>
  <c r="AI66" i="5"/>
  <c r="AH66" i="5"/>
  <c r="AG66" i="5"/>
  <c r="AE66" i="5"/>
  <c r="AC66" i="5"/>
  <c r="AB66" i="5"/>
  <c r="AA66" i="5"/>
  <c r="R66" i="5"/>
  <c r="Q66" i="5"/>
  <c r="P66" i="5"/>
  <c r="O66" i="5"/>
  <c r="N66" i="5"/>
  <c r="M66" i="5"/>
  <c r="J66" i="5"/>
  <c r="I66" i="5"/>
  <c r="H66" i="5"/>
  <c r="G66" i="5"/>
  <c r="F66" i="5"/>
  <c r="E66" i="5"/>
  <c r="D66" i="5"/>
  <c r="B66" i="5"/>
  <c r="A66" i="5"/>
  <c r="AJ65" i="5"/>
  <c r="AI65" i="5"/>
  <c r="AH65" i="5"/>
  <c r="AG65" i="5"/>
  <c r="AE65" i="5"/>
  <c r="AC65" i="5"/>
  <c r="AB65" i="5"/>
  <c r="AA65" i="5"/>
  <c r="R65" i="5"/>
  <c r="Q65" i="5"/>
  <c r="P65" i="5"/>
  <c r="O65" i="5"/>
  <c r="N65" i="5"/>
  <c r="M65" i="5"/>
  <c r="J65" i="5"/>
  <c r="I65" i="5"/>
  <c r="H65" i="5"/>
  <c r="G65" i="5"/>
  <c r="F65" i="5"/>
  <c r="E65" i="5"/>
  <c r="D65" i="5"/>
  <c r="B65" i="5"/>
  <c r="A65" i="5"/>
  <c r="AJ64" i="5"/>
  <c r="AI64" i="5"/>
  <c r="AH64" i="5"/>
  <c r="AG64" i="5"/>
  <c r="AE64" i="5"/>
  <c r="AC64" i="5"/>
  <c r="AB64" i="5"/>
  <c r="AA64" i="5"/>
  <c r="R64" i="5"/>
  <c r="Q64" i="5"/>
  <c r="P64" i="5"/>
  <c r="O64" i="5"/>
  <c r="N64" i="5"/>
  <c r="M64" i="5"/>
  <c r="J64" i="5"/>
  <c r="I64" i="5"/>
  <c r="H64" i="5"/>
  <c r="G64" i="5"/>
  <c r="F64" i="5"/>
  <c r="E64" i="5"/>
  <c r="D64" i="5"/>
  <c r="B64" i="5"/>
  <c r="A64" i="5"/>
  <c r="AJ63" i="5"/>
  <c r="AI63" i="5"/>
  <c r="AH63" i="5"/>
  <c r="AG63" i="5"/>
  <c r="AE63" i="5"/>
  <c r="AC63" i="5"/>
  <c r="AB63" i="5"/>
  <c r="AA63" i="5"/>
  <c r="R63" i="5"/>
  <c r="Q63" i="5"/>
  <c r="P63" i="5"/>
  <c r="O63" i="5"/>
  <c r="N63" i="5"/>
  <c r="M63" i="5"/>
  <c r="J63" i="5"/>
  <c r="I63" i="5"/>
  <c r="H63" i="5"/>
  <c r="G63" i="5"/>
  <c r="F63" i="5"/>
  <c r="E63" i="5"/>
  <c r="D63" i="5"/>
  <c r="B63" i="5"/>
  <c r="A63" i="5"/>
  <c r="AJ62" i="5"/>
  <c r="AI62" i="5"/>
  <c r="AH62" i="5"/>
  <c r="AG62" i="5"/>
  <c r="AE62" i="5"/>
  <c r="AC62" i="5"/>
  <c r="AB62" i="5"/>
  <c r="AA62" i="5"/>
  <c r="R62" i="5"/>
  <c r="Q62" i="5"/>
  <c r="P62" i="5"/>
  <c r="O62" i="5"/>
  <c r="N62" i="5"/>
  <c r="M62" i="5"/>
  <c r="J62" i="5"/>
  <c r="I62" i="5"/>
  <c r="H62" i="5"/>
  <c r="G62" i="5"/>
  <c r="F62" i="5"/>
  <c r="E62" i="5"/>
  <c r="D62" i="5"/>
  <c r="B62" i="5"/>
  <c r="A62" i="5"/>
  <c r="AJ61" i="5"/>
  <c r="AI61" i="5"/>
  <c r="AH61" i="5"/>
  <c r="AG61" i="5"/>
  <c r="AE61" i="5"/>
  <c r="AC61" i="5"/>
  <c r="AB61" i="5"/>
  <c r="AA61" i="5"/>
  <c r="R61" i="5"/>
  <c r="Q61" i="5"/>
  <c r="P61" i="5"/>
  <c r="O61" i="5"/>
  <c r="N61" i="5"/>
  <c r="M61" i="5"/>
  <c r="J61" i="5"/>
  <c r="I61" i="5"/>
  <c r="H61" i="5"/>
  <c r="G61" i="5"/>
  <c r="F61" i="5"/>
  <c r="E61" i="5"/>
  <c r="D61" i="5"/>
  <c r="B61" i="5"/>
  <c r="A61" i="5"/>
  <c r="AJ60" i="5"/>
  <c r="AI60" i="5"/>
  <c r="AH60" i="5"/>
  <c r="AG60" i="5"/>
  <c r="AE60" i="5"/>
  <c r="AC60" i="5"/>
  <c r="AB60" i="5"/>
  <c r="AA60" i="5"/>
  <c r="R60" i="5"/>
  <c r="Q60" i="5"/>
  <c r="P60" i="5"/>
  <c r="O60" i="5"/>
  <c r="N60" i="5"/>
  <c r="M60" i="5"/>
  <c r="J60" i="5"/>
  <c r="I60" i="5"/>
  <c r="H60" i="5"/>
  <c r="G60" i="5"/>
  <c r="F60" i="5"/>
  <c r="E60" i="5"/>
  <c r="D60" i="5"/>
  <c r="B60" i="5"/>
  <c r="A60" i="5"/>
  <c r="AJ59" i="5"/>
  <c r="AI59" i="5"/>
  <c r="AH59" i="5"/>
  <c r="AG59" i="5"/>
  <c r="AE59" i="5"/>
  <c r="AC59" i="5"/>
  <c r="AB59" i="5"/>
  <c r="AA59" i="5"/>
  <c r="R59" i="5"/>
  <c r="Q59" i="5"/>
  <c r="P59" i="5"/>
  <c r="O59" i="5"/>
  <c r="N59" i="5"/>
  <c r="M59" i="5"/>
  <c r="J59" i="5"/>
  <c r="I59" i="5"/>
  <c r="H59" i="5"/>
  <c r="G59" i="5"/>
  <c r="F59" i="5"/>
  <c r="E59" i="5"/>
  <c r="D59" i="5"/>
  <c r="B59" i="5"/>
  <c r="A59" i="5"/>
  <c r="AJ58" i="5"/>
  <c r="AI58" i="5"/>
  <c r="AH58" i="5"/>
  <c r="AG58" i="5"/>
  <c r="AE58" i="5"/>
  <c r="AC58" i="5"/>
  <c r="AB58" i="5"/>
  <c r="AA58" i="5"/>
  <c r="R58" i="5"/>
  <c r="Q58" i="5"/>
  <c r="P58" i="5"/>
  <c r="O58" i="5"/>
  <c r="N58" i="5"/>
  <c r="M58" i="5"/>
  <c r="J58" i="5"/>
  <c r="I58" i="5"/>
  <c r="H58" i="5"/>
  <c r="G58" i="5"/>
  <c r="F58" i="5"/>
  <c r="E58" i="5"/>
  <c r="D58" i="5"/>
  <c r="B58" i="5"/>
  <c r="A58" i="5"/>
  <c r="AJ57" i="5"/>
  <c r="AI57" i="5"/>
  <c r="AH57" i="5"/>
  <c r="AG57" i="5"/>
  <c r="AE57" i="5"/>
  <c r="AC57" i="5"/>
  <c r="AB57" i="5"/>
  <c r="AA57" i="5"/>
  <c r="R57" i="5"/>
  <c r="Q57" i="5"/>
  <c r="P57" i="5"/>
  <c r="O57" i="5"/>
  <c r="N57" i="5"/>
  <c r="M57" i="5"/>
  <c r="J57" i="5"/>
  <c r="I57" i="5"/>
  <c r="H57" i="5"/>
  <c r="G57" i="5"/>
  <c r="F57" i="5"/>
  <c r="E57" i="5"/>
  <c r="D57" i="5"/>
  <c r="B57" i="5"/>
  <c r="A57" i="5"/>
  <c r="AJ56" i="5"/>
  <c r="AI56" i="5"/>
  <c r="AH56" i="5"/>
  <c r="AG56" i="5"/>
  <c r="AE56" i="5"/>
  <c r="AC56" i="5"/>
  <c r="AB56" i="5"/>
  <c r="AA56" i="5"/>
  <c r="R56" i="5"/>
  <c r="Q56" i="5"/>
  <c r="P56" i="5"/>
  <c r="O56" i="5"/>
  <c r="N56" i="5"/>
  <c r="M56" i="5"/>
  <c r="J56" i="5"/>
  <c r="I56" i="5"/>
  <c r="H56" i="5"/>
  <c r="G56" i="5"/>
  <c r="F56" i="5"/>
  <c r="E56" i="5"/>
  <c r="D56" i="5"/>
  <c r="B56" i="5"/>
  <c r="A56" i="5"/>
  <c r="AJ55" i="5"/>
  <c r="AI55" i="5"/>
  <c r="AH55" i="5"/>
  <c r="AG55" i="5"/>
  <c r="AE55" i="5"/>
  <c r="AC55" i="5"/>
  <c r="AB55" i="5"/>
  <c r="AA55" i="5"/>
  <c r="R55" i="5"/>
  <c r="Q55" i="5"/>
  <c r="P55" i="5"/>
  <c r="O55" i="5"/>
  <c r="N55" i="5"/>
  <c r="J55" i="5"/>
  <c r="I55" i="5"/>
  <c r="H55" i="5"/>
  <c r="G55" i="5"/>
  <c r="F55" i="5"/>
  <c r="E55" i="5"/>
  <c r="D55" i="5"/>
  <c r="B55" i="5"/>
  <c r="A55" i="5"/>
  <c r="AJ54" i="5"/>
  <c r="AI54" i="5"/>
  <c r="AH54" i="5"/>
  <c r="AG54" i="5"/>
  <c r="AE54" i="5"/>
  <c r="AC54" i="5"/>
  <c r="AB54" i="5"/>
  <c r="AA54" i="5"/>
  <c r="R54" i="5"/>
  <c r="Q54" i="5"/>
  <c r="P54" i="5"/>
  <c r="O54" i="5"/>
  <c r="N54" i="5"/>
  <c r="J54" i="5"/>
  <c r="I54" i="5"/>
  <c r="H54" i="5"/>
  <c r="G54" i="5"/>
  <c r="F54" i="5"/>
  <c r="E54" i="5"/>
  <c r="D54" i="5"/>
  <c r="B54" i="5"/>
  <c r="A54" i="5"/>
  <c r="AJ53" i="5"/>
  <c r="AI53" i="5"/>
  <c r="AH53" i="5"/>
  <c r="AG53" i="5"/>
  <c r="AE53" i="5"/>
  <c r="AC53" i="5"/>
  <c r="AB53" i="5"/>
  <c r="AA53" i="5"/>
  <c r="R53" i="5"/>
  <c r="Q53" i="5"/>
  <c r="P53" i="5"/>
  <c r="O53" i="5"/>
  <c r="N53" i="5"/>
  <c r="J53" i="5"/>
  <c r="I53" i="5"/>
  <c r="H53" i="5"/>
  <c r="G53" i="5"/>
  <c r="F53" i="5"/>
  <c r="E53" i="5"/>
  <c r="D53" i="5"/>
  <c r="B53" i="5"/>
  <c r="A53" i="5"/>
  <c r="AJ52" i="5"/>
  <c r="AI52" i="5"/>
  <c r="AH52" i="5"/>
  <c r="AG52" i="5"/>
  <c r="AE52" i="5"/>
  <c r="AC52" i="5"/>
  <c r="AB52" i="5"/>
  <c r="AA52" i="5"/>
  <c r="R52" i="5"/>
  <c r="Q52" i="5"/>
  <c r="P52" i="5"/>
  <c r="O52" i="5"/>
  <c r="N52" i="5"/>
  <c r="J52" i="5"/>
  <c r="I52" i="5"/>
  <c r="H52" i="5"/>
  <c r="G52" i="5"/>
  <c r="F52" i="5"/>
  <c r="E52" i="5"/>
  <c r="D52" i="5"/>
  <c r="B52" i="5"/>
  <c r="A52" i="5"/>
  <c r="AJ51" i="5"/>
  <c r="AI51" i="5"/>
  <c r="AH51" i="5"/>
  <c r="AG51" i="5"/>
  <c r="AE51" i="5"/>
  <c r="AC51" i="5"/>
  <c r="AB51" i="5"/>
  <c r="AA51" i="5"/>
  <c r="R51" i="5"/>
  <c r="Q51" i="5"/>
  <c r="P51" i="5"/>
  <c r="O51" i="5"/>
  <c r="N51" i="5"/>
  <c r="J51" i="5"/>
  <c r="I51" i="5"/>
  <c r="H51" i="5"/>
  <c r="G51" i="5"/>
  <c r="F51" i="5"/>
  <c r="E51" i="5"/>
  <c r="D51" i="5"/>
  <c r="B51" i="5"/>
  <c r="A51" i="5"/>
  <c r="AJ50" i="5"/>
  <c r="AI50" i="5"/>
  <c r="AH50" i="5"/>
  <c r="AG50" i="5"/>
  <c r="AE50" i="5"/>
  <c r="AC50" i="5"/>
  <c r="AB50" i="5"/>
  <c r="AA50" i="5"/>
  <c r="R50" i="5"/>
  <c r="Q50" i="5"/>
  <c r="P50" i="5"/>
  <c r="O50" i="5"/>
  <c r="N50" i="5"/>
  <c r="J50" i="5"/>
  <c r="I50" i="5"/>
  <c r="H50" i="5"/>
  <c r="G50" i="5"/>
  <c r="F50" i="5"/>
  <c r="E50" i="5"/>
  <c r="D50" i="5"/>
  <c r="B50" i="5"/>
  <c r="A50" i="5"/>
  <c r="AJ49" i="5"/>
  <c r="AI49" i="5"/>
  <c r="AH49" i="5"/>
  <c r="AG49" i="5"/>
  <c r="AE49" i="5"/>
  <c r="AC49" i="5"/>
  <c r="AB49" i="5"/>
  <c r="AA49" i="5"/>
  <c r="R49" i="5"/>
  <c r="Q49" i="5"/>
  <c r="P49" i="5"/>
  <c r="O49" i="5"/>
  <c r="N49" i="5"/>
  <c r="J49" i="5"/>
  <c r="I49" i="5"/>
  <c r="H49" i="5"/>
  <c r="G49" i="5"/>
  <c r="F49" i="5"/>
  <c r="E49" i="5"/>
  <c r="D49" i="5"/>
  <c r="B49" i="5"/>
  <c r="A49" i="5"/>
  <c r="AJ48" i="5"/>
  <c r="AI48" i="5"/>
  <c r="AH48" i="5"/>
  <c r="AG48" i="5"/>
  <c r="AE48" i="5"/>
  <c r="AC48" i="5"/>
  <c r="AB48" i="5"/>
  <c r="AA48" i="5"/>
  <c r="R48" i="5"/>
  <c r="Q48" i="5"/>
  <c r="P48" i="5"/>
  <c r="O48" i="5"/>
  <c r="N48" i="5"/>
  <c r="J48" i="5"/>
  <c r="I48" i="5"/>
  <c r="H48" i="5"/>
  <c r="G48" i="5"/>
  <c r="F48" i="5"/>
  <c r="E48" i="5"/>
  <c r="D48" i="5"/>
  <c r="B48" i="5"/>
  <c r="A48" i="5"/>
  <c r="AJ47" i="5"/>
  <c r="AI47" i="5"/>
  <c r="AH47" i="5"/>
  <c r="AG47" i="5"/>
  <c r="AE47" i="5"/>
  <c r="AC47" i="5"/>
  <c r="AB47" i="5"/>
  <c r="AA47" i="5"/>
  <c r="R47" i="5"/>
  <c r="Q47" i="5"/>
  <c r="P47" i="5"/>
  <c r="O47" i="5"/>
  <c r="N47" i="5"/>
  <c r="J47" i="5"/>
  <c r="I47" i="5"/>
  <c r="H47" i="5"/>
  <c r="G47" i="5"/>
  <c r="F47" i="5"/>
  <c r="E47" i="5"/>
  <c r="D47" i="5"/>
  <c r="B47" i="5"/>
  <c r="A47" i="5"/>
  <c r="AJ46" i="5"/>
  <c r="AI46" i="5"/>
  <c r="AH46" i="5"/>
  <c r="AG46" i="5"/>
  <c r="AE46" i="5"/>
  <c r="AC46" i="5"/>
  <c r="AB46" i="5"/>
  <c r="AA46" i="5"/>
  <c r="R46" i="5"/>
  <c r="Q46" i="5"/>
  <c r="P46" i="5"/>
  <c r="O46" i="5"/>
  <c r="N46" i="5"/>
  <c r="J46" i="5"/>
  <c r="I46" i="5"/>
  <c r="H46" i="5"/>
  <c r="G46" i="5"/>
  <c r="F46" i="5"/>
  <c r="E46" i="5"/>
  <c r="D46" i="5"/>
  <c r="B46" i="5"/>
  <c r="A46" i="5"/>
  <c r="AJ45" i="5"/>
  <c r="AI45" i="5"/>
  <c r="AH45" i="5"/>
  <c r="AG45" i="5"/>
  <c r="AE45" i="5"/>
  <c r="AC45" i="5"/>
  <c r="AB45" i="5"/>
  <c r="AA45" i="5"/>
  <c r="R45" i="5"/>
  <c r="Q45" i="5"/>
  <c r="P45" i="5"/>
  <c r="O45" i="5"/>
  <c r="N45" i="5"/>
  <c r="J45" i="5"/>
  <c r="I45" i="5"/>
  <c r="H45" i="5"/>
  <c r="G45" i="5"/>
  <c r="F45" i="5"/>
  <c r="E45" i="5"/>
  <c r="D45" i="5"/>
  <c r="B45" i="5"/>
  <c r="A45" i="5"/>
  <c r="AJ44" i="5"/>
  <c r="AI44" i="5"/>
  <c r="AH44" i="5"/>
  <c r="AG44" i="5"/>
  <c r="AE44" i="5"/>
  <c r="AC44" i="5"/>
  <c r="AB44" i="5"/>
  <c r="AA44" i="5"/>
  <c r="R44" i="5"/>
  <c r="Q44" i="5"/>
  <c r="P44" i="5"/>
  <c r="O44" i="5"/>
  <c r="N44" i="5"/>
  <c r="J44" i="5"/>
  <c r="I44" i="5"/>
  <c r="H44" i="5"/>
  <c r="G44" i="5"/>
  <c r="F44" i="5"/>
  <c r="E44" i="5"/>
  <c r="D44" i="5"/>
  <c r="B44" i="5"/>
  <c r="A44" i="5"/>
  <c r="AJ43" i="5"/>
  <c r="AI43" i="5"/>
  <c r="AH43" i="5"/>
  <c r="AG43" i="5"/>
  <c r="AE43" i="5"/>
  <c r="AC43" i="5"/>
  <c r="AB43" i="5"/>
  <c r="AA43" i="5"/>
  <c r="R43" i="5"/>
  <c r="Q43" i="5"/>
  <c r="P43" i="5"/>
  <c r="O43" i="5"/>
  <c r="N43" i="5"/>
  <c r="J43" i="5"/>
  <c r="I43" i="5"/>
  <c r="H43" i="5"/>
  <c r="G43" i="5"/>
  <c r="F43" i="5"/>
  <c r="E43" i="5"/>
  <c r="D43" i="5"/>
  <c r="B43" i="5"/>
  <c r="A43" i="5"/>
  <c r="AJ42" i="5"/>
  <c r="AI42" i="5"/>
  <c r="AH42" i="5"/>
  <c r="AG42" i="5"/>
  <c r="AE42" i="5"/>
  <c r="AC42" i="5"/>
  <c r="AB42" i="5"/>
  <c r="AA42" i="5"/>
  <c r="R42" i="5"/>
  <c r="Q42" i="5"/>
  <c r="P42" i="5"/>
  <c r="O42" i="5"/>
  <c r="N42" i="5"/>
  <c r="J42" i="5"/>
  <c r="I42" i="5"/>
  <c r="H42" i="5"/>
  <c r="G42" i="5"/>
  <c r="F42" i="5"/>
  <c r="E42" i="5"/>
  <c r="D42" i="5"/>
  <c r="B42" i="5"/>
  <c r="A42" i="5"/>
  <c r="AJ41" i="5"/>
  <c r="AI41" i="5"/>
  <c r="AH41" i="5"/>
  <c r="AG41" i="5"/>
  <c r="AE41" i="5"/>
  <c r="AC41" i="5"/>
  <c r="AB41" i="5"/>
  <c r="AA41" i="5"/>
  <c r="R41" i="5"/>
  <c r="Q41" i="5"/>
  <c r="P41" i="5"/>
  <c r="O41" i="5"/>
  <c r="N41" i="5"/>
  <c r="J41" i="5"/>
  <c r="I41" i="5"/>
  <c r="H41" i="5"/>
  <c r="G41" i="5"/>
  <c r="F41" i="5"/>
  <c r="E41" i="5"/>
  <c r="D41" i="5"/>
  <c r="B41" i="5"/>
  <c r="A41" i="5"/>
  <c r="AJ40" i="5"/>
  <c r="AI40" i="5"/>
  <c r="AH40" i="5"/>
  <c r="AG40" i="5"/>
  <c r="AE40" i="5"/>
  <c r="AC40" i="5"/>
  <c r="AB40" i="5"/>
  <c r="AA40" i="5"/>
  <c r="R40" i="5"/>
  <c r="Q40" i="5"/>
  <c r="P40" i="5"/>
  <c r="O40" i="5"/>
  <c r="N40" i="5"/>
  <c r="J40" i="5"/>
  <c r="I40" i="5"/>
  <c r="H40" i="5"/>
  <c r="G40" i="5"/>
  <c r="F40" i="5"/>
  <c r="E40" i="5"/>
  <c r="D40" i="5"/>
  <c r="B40" i="5"/>
  <c r="A40" i="5"/>
  <c r="AJ39" i="5"/>
  <c r="AI39" i="5"/>
  <c r="AH39" i="5"/>
  <c r="AG39" i="5"/>
  <c r="AE39" i="5"/>
  <c r="AC39" i="5"/>
  <c r="AB39" i="5"/>
  <c r="AA39" i="5"/>
  <c r="R39" i="5"/>
  <c r="Q39" i="5"/>
  <c r="P39" i="5"/>
  <c r="O39" i="5"/>
  <c r="N39" i="5"/>
  <c r="J39" i="5"/>
  <c r="I39" i="5"/>
  <c r="H39" i="5"/>
  <c r="G39" i="5"/>
  <c r="F39" i="5"/>
  <c r="E39" i="5"/>
  <c r="D39" i="5"/>
  <c r="B39" i="5"/>
  <c r="A39" i="5"/>
  <c r="AJ38" i="5"/>
  <c r="AI38" i="5"/>
  <c r="AH38" i="5"/>
  <c r="AG38" i="5"/>
  <c r="AE38" i="5"/>
  <c r="AC38" i="5"/>
  <c r="AB38" i="5"/>
  <c r="AA38" i="5"/>
  <c r="R38" i="5"/>
  <c r="Q38" i="5"/>
  <c r="P38" i="5"/>
  <c r="O38" i="5"/>
  <c r="N38" i="5"/>
  <c r="J38" i="5"/>
  <c r="I38" i="5"/>
  <c r="H38" i="5"/>
  <c r="G38" i="5"/>
  <c r="F38" i="5"/>
  <c r="E38" i="5"/>
  <c r="D38" i="5"/>
  <c r="B38" i="5"/>
  <c r="A38" i="5"/>
  <c r="AJ37" i="5"/>
  <c r="AI37" i="5"/>
  <c r="AH37" i="5"/>
  <c r="AG37" i="5"/>
  <c r="AE37" i="5"/>
  <c r="AC37" i="5"/>
  <c r="AB37" i="5"/>
  <c r="AA37" i="5"/>
  <c r="R37" i="5"/>
  <c r="Q37" i="5"/>
  <c r="P37" i="5"/>
  <c r="O37" i="5"/>
  <c r="N37" i="5"/>
  <c r="J37" i="5"/>
  <c r="I37" i="5"/>
  <c r="H37" i="5"/>
  <c r="G37" i="5"/>
  <c r="F37" i="5"/>
  <c r="E37" i="5"/>
  <c r="D37" i="5"/>
  <c r="B37" i="5"/>
  <c r="A37" i="5"/>
  <c r="AJ36" i="5"/>
  <c r="AI36" i="5"/>
  <c r="AH36" i="5"/>
  <c r="AG36" i="5"/>
  <c r="AE36" i="5"/>
  <c r="AC36" i="5"/>
  <c r="AB36" i="5"/>
  <c r="AA36" i="5"/>
  <c r="R36" i="5"/>
  <c r="Q36" i="5"/>
  <c r="P36" i="5"/>
  <c r="O36" i="5"/>
  <c r="N36" i="5"/>
  <c r="J36" i="5"/>
  <c r="I36" i="5"/>
  <c r="H36" i="5"/>
  <c r="G36" i="5"/>
  <c r="F36" i="5"/>
  <c r="E36" i="5"/>
  <c r="D36" i="5"/>
  <c r="B36" i="5"/>
  <c r="A36" i="5"/>
  <c r="AJ35" i="5"/>
  <c r="AI35" i="5"/>
  <c r="AH35" i="5"/>
  <c r="AG35" i="5"/>
  <c r="AE35" i="5"/>
  <c r="AC35" i="5"/>
  <c r="AB35" i="5"/>
  <c r="AA35" i="5"/>
  <c r="R35" i="5"/>
  <c r="Q35" i="5"/>
  <c r="P35" i="5"/>
  <c r="O35" i="5"/>
  <c r="N35" i="5"/>
  <c r="J35" i="5"/>
  <c r="I35" i="5"/>
  <c r="H35" i="5"/>
  <c r="G35" i="5"/>
  <c r="F35" i="5"/>
  <c r="E35" i="5"/>
  <c r="D35" i="5"/>
  <c r="B35" i="5"/>
  <c r="A35" i="5"/>
  <c r="AJ34" i="5"/>
  <c r="AI34" i="5"/>
  <c r="AH34" i="5"/>
  <c r="AG34" i="5"/>
  <c r="AE34" i="5"/>
  <c r="AC34" i="5"/>
  <c r="AB34" i="5"/>
  <c r="AA34" i="5"/>
  <c r="R34" i="5"/>
  <c r="Q34" i="5"/>
  <c r="P34" i="5"/>
  <c r="O34" i="5"/>
  <c r="N34" i="5"/>
  <c r="J34" i="5"/>
  <c r="I34" i="5"/>
  <c r="H34" i="5"/>
  <c r="G34" i="5"/>
  <c r="F34" i="5"/>
  <c r="E34" i="5"/>
  <c r="D34" i="5"/>
  <c r="B34" i="5"/>
  <c r="A34" i="5"/>
  <c r="AJ33" i="5"/>
  <c r="AI33" i="5"/>
  <c r="AH33" i="5"/>
  <c r="AG33" i="5"/>
  <c r="AE33" i="5"/>
  <c r="AC33" i="5"/>
  <c r="AB33" i="5"/>
  <c r="AA33" i="5"/>
  <c r="R33" i="5"/>
  <c r="Q33" i="5"/>
  <c r="P33" i="5"/>
  <c r="O33" i="5"/>
  <c r="N33" i="5"/>
  <c r="J33" i="5"/>
  <c r="I33" i="5"/>
  <c r="H33" i="5"/>
  <c r="G33" i="5"/>
  <c r="F33" i="5"/>
  <c r="E33" i="5"/>
  <c r="D33" i="5"/>
  <c r="B33" i="5"/>
  <c r="A33" i="5"/>
  <c r="AJ32" i="5"/>
  <c r="AI32" i="5"/>
  <c r="AH32" i="5"/>
  <c r="AG32" i="5"/>
  <c r="AE32" i="5"/>
  <c r="AC32" i="5"/>
  <c r="AB32" i="5"/>
  <c r="AA32" i="5"/>
  <c r="R32" i="5"/>
  <c r="Q32" i="5"/>
  <c r="P32" i="5"/>
  <c r="O32" i="5"/>
  <c r="N32" i="5"/>
  <c r="J32" i="5"/>
  <c r="I32" i="5"/>
  <c r="H32" i="5"/>
  <c r="G32" i="5"/>
  <c r="F32" i="5"/>
  <c r="E32" i="5"/>
  <c r="D32" i="5"/>
  <c r="B32" i="5"/>
  <c r="A32" i="5"/>
  <c r="AJ31" i="5"/>
  <c r="AI31" i="5"/>
  <c r="AH31" i="5"/>
  <c r="AG31" i="5"/>
  <c r="AE31" i="5"/>
  <c r="AC31" i="5"/>
  <c r="AB31" i="5"/>
  <c r="AA31" i="5"/>
  <c r="R31" i="5"/>
  <c r="Q31" i="5"/>
  <c r="P31" i="5"/>
  <c r="O31" i="5"/>
  <c r="N31" i="5"/>
  <c r="J31" i="5"/>
  <c r="I31" i="5"/>
  <c r="H31" i="5"/>
  <c r="G31" i="5"/>
  <c r="F31" i="5"/>
  <c r="E31" i="5"/>
  <c r="D31" i="5"/>
  <c r="B31" i="5"/>
  <c r="A31" i="5"/>
  <c r="AJ30" i="5"/>
  <c r="AI30" i="5"/>
  <c r="AH30" i="5"/>
  <c r="AG30" i="5"/>
  <c r="AE30" i="5"/>
  <c r="AC30" i="5"/>
  <c r="AB30" i="5"/>
  <c r="AA30" i="5"/>
  <c r="R30" i="5"/>
  <c r="Q30" i="5"/>
  <c r="P30" i="5"/>
  <c r="O30" i="5"/>
  <c r="N30" i="5"/>
  <c r="J30" i="5"/>
  <c r="I30" i="5"/>
  <c r="H30" i="5"/>
  <c r="G30" i="5"/>
  <c r="F30" i="5"/>
  <c r="E30" i="5"/>
  <c r="D30" i="5"/>
  <c r="B30" i="5"/>
  <c r="A30" i="5"/>
  <c r="AJ29" i="5"/>
  <c r="AI29" i="5"/>
  <c r="AH29" i="5"/>
  <c r="AG29" i="5"/>
  <c r="AE29" i="5"/>
  <c r="AC29" i="5"/>
  <c r="AB29" i="5"/>
  <c r="AA29" i="5"/>
  <c r="R29" i="5"/>
  <c r="Q29" i="5"/>
  <c r="P29" i="5"/>
  <c r="O29" i="5"/>
  <c r="N29" i="5"/>
  <c r="M29" i="5"/>
  <c r="J29" i="5"/>
  <c r="I29" i="5"/>
  <c r="H29" i="5"/>
  <c r="G29" i="5"/>
  <c r="F29" i="5"/>
  <c r="E29" i="5"/>
  <c r="D29" i="5"/>
  <c r="B29" i="5"/>
  <c r="A29" i="5"/>
  <c r="AJ28" i="5"/>
  <c r="AI28" i="5"/>
  <c r="AH28" i="5"/>
  <c r="AG28" i="5"/>
  <c r="AE28" i="5"/>
  <c r="AC28" i="5"/>
  <c r="AB28" i="5"/>
  <c r="AA28" i="5"/>
  <c r="R28" i="5"/>
  <c r="Q28" i="5"/>
  <c r="P28" i="5"/>
  <c r="O28" i="5"/>
  <c r="N28" i="5"/>
  <c r="M28" i="5"/>
  <c r="J28" i="5"/>
  <c r="I28" i="5"/>
  <c r="H28" i="5"/>
  <c r="G28" i="5"/>
  <c r="F28" i="5"/>
  <c r="E28" i="5"/>
  <c r="D28" i="5"/>
  <c r="B28" i="5"/>
  <c r="A28" i="5"/>
  <c r="AJ27" i="5"/>
  <c r="AI27" i="5"/>
  <c r="AH27" i="5"/>
  <c r="AG27" i="5"/>
  <c r="AE27" i="5"/>
  <c r="AC27" i="5"/>
  <c r="AB27" i="5"/>
  <c r="AA27" i="5"/>
  <c r="R27" i="5"/>
  <c r="Q27" i="5"/>
  <c r="P27" i="5"/>
  <c r="O27" i="5"/>
  <c r="N27" i="5"/>
  <c r="J27" i="5"/>
  <c r="I27" i="5"/>
  <c r="H27" i="5"/>
  <c r="G27" i="5"/>
  <c r="F27" i="5"/>
  <c r="E27" i="5"/>
  <c r="D27" i="5"/>
  <c r="B27" i="5"/>
  <c r="A27" i="5"/>
  <c r="AJ26" i="5"/>
  <c r="AI26" i="5"/>
  <c r="AH26" i="5"/>
  <c r="AG26" i="5"/>
  <c r="AE26" i="5"/>
  <c r="AC26" i="5"/>
  <c r="AB26" i="5"/>
  <c r="AA26" i="5"/>
  <c r="R26" i="5"/>
  <c r="Q26" i="5"/>
  <c r="P26" i="5"/>
  <c r="O26" i="5"/>
  <c r="N26" i="5"/>
  <c r="M26" i="5"/>
  <c r="J26" i="5"/>
  <c r="I26" i="5"/>
  <c r="H26" i="5"/>
  <c r="G26" i="5"/>
  <c r="F26" i="5"/>
  <c r="E26" i="5"/>
  <c r="D26" i="5"/>
  <c r="B26" i="5"/>
  <c r="A26" i="5"/>
  <c r="AJ25" i="5"/>
  <c r="AI25" i="5"/>
  <c r="AH25" i="5"/>
  <c r="AG25" i="5"/>
  <c r="AE25" i="5"/>
  <c r="AC25" i="5"/>
  <c r="AB25" i="5"/>
  <c r="AA25" i="5"/>
  <c r="R25" i="5"/>
  <c r="Q25" i="5"/>
  <c r="P25" i="5"/>
  <c r="O25" i="5"/>
  <c r="N25" i="5"/>
  <c r="J25" i="5"/>
  <c r="I25" i="5"/>
  <c r="H25" i="5"/>
  <c r="G25" i="5"/>
  <c r="F25" i="5"/>
  <c r="E25" i="5"/>
  <c r="D25" i="5"/>
  <c r="B25" i="5"/>
  <c r="A25" i="5"/>
  <c r="AJ24" i="5"/>
  <c r="AI24" i="5"/>
  <c r="AH24" i="5"/>
  <c r="AG24" i="5"/>
  <c r="AE24" i="5"/>
  <c r="AC24" i="5"/>
  <c r="AB24" i="5"/>
  <c r="AA24" i="5"/>
  <c r="R24" i="5"/>
  <c r="Q24" i="5"/>
  <c r="P24" i="5"/>
  <c r="O24" i="5"/>
  <c r="N24" i="5"/>
  <c r="J24" i="5"/>
  <c r="I24" i="5"/>
  <c r="H24" i="5"/>
  <c r="G24" i="5"/>
  <c r="F24" i="5"/>
  <c r="E24" i="5"/>
  <c r="D24" i="5"/>
  <c r="B24" i="5"/>
  <c r="A24" i="5"/>
  <c r="AJ23" i="5"/>
  <c r="AI23" i="5"/>
  <c r="AH23" i="5"/>
  <c r="AG23" i="5"/>
  <c r="AE23" i="5"/>
  <c r="AC23" i="5"/>
  <c r="AB23" i="5"/>
  <c r="AA23" i="5"/>
  <c r="R23" i="5"/>
  <c r="Q23" i="5"/>
  <c r="P23" i="5"/>
  <c r="O23" i="5"/>
  <c r="N23" i="5"/>
  <c r="J23" i="5"/>
  <c r="I23" i="5"/>
  <c r="H23" i="5"/>
  <c r="G23" i="5"/>
  <c r="F23" i="5"/>
  <c r="E23" i="5"/>
  <c r="D23" i="5"/>
  <c r="B23" i="5"/>
  <c r="A23" i="5"/>
  <c r="AJ22" i="5"/>
  <c r="AI22" i="5"/>
  <c r="AH22" i="5"/>
  <c r="AG22" i="5"/>
  <c r="AE22" i="5"/>
  <c r="AC22" i="5"/>
  <c r="AB22" i="5"/>
  <c r="AA22" i="5"/>
  <c r="R22" i="5"/>
  <c r="Q22" i="5"/>
  <c r="P22" i="5"/>
  <c r="O22" i="5"/>
  <c r="N22" i="5"/>
  <c r="J22" i="5"/>
  <c r="I22" i="5"/>
  <c r="H22" i="5"/>
  <c r="G22" i="5"/>
  <c r="F22" i="5"/>
  <c r="E22" i="5"/>
  <c r="D22" i="5"/>
  <c r="B22" i="5"/>
  <c r="A22" i="5"/>
  <c r="AJ21" i="5"/>
  <c r="AI21" i="5"/>
  <c r="AH21" i="5"/>
  <c r="AG21" i="5"/>
  <c r="AE21" i="5"/>
  <c r="AC21" i="5"/>
  <c r="AB21" i="5"/>
  <c r="AA21" i="5"/>
  <c r="R21" i="5"/>
  <c r="Q21" i="5"/>
  <c r="P21" i="5"/>
  <c r="O21" i="5"/>
  <c r="N21" i="5"/>
  <c r="J21" i="5"/>
  <c r="I21" i="5"/>
  <c r="H21" i="5"/>
  <c r="G21" i="5"/>
  <c r="F21" i="5"/>
  <c r="E21" i="5"/>
  <c r="D21" i="5"/>
  <c r="B21" i="5"/>
  <c r="A21" i="5"/>
  <c r="AJ20" i="5"/>
  <c r="AI20" i="5"/>
  <c r="AH20" i="5"/>
  <c r="AG20" i="5"/>
  <c r="AE20" i="5"/>
  <c r="AC20" i="5"/>
  <c r="AB20" i="5"/>
  <c r="AA20" i="5"/>
  <c r="R20" i="5"/>
  <c r="Q20" i="5"/>
  <c r="P20" i="5"/>
  <c r="O20" i="5"/>
  <c r="N20" i="5"/>
  <c r="J20" i="5"/>
  <c r="I20" i="5"/>
  <c r="H20" i="5"/>
  <c r="G20" i="5"/>
  <c r="F20" i="5"/>
  <c r="E20" i="5"/>
  <c r="D20" i="5"/>
  <c r="B20" i="5"/>
  <c r="A20" i="5"/>
  <c r="AJ19" i="5"/>
  <c r="AI19" i="5"/>
  <c r="AH19" i="5"/>
  <c r="AG19" i="5"/>
  <c r="AE19" i="5"/>
  <c r="AC19" i="5"/>
  <c r="AB19" i="5"/>
  <c r="AA19" i="5"/>
  <c r="R19" i="5"/>
  <c r="Q19" i="5"/>
  <c r="P19" i="5"/>
  <c r="O19" i="5"/>
  <c r="N19" i="5"/>
  <c r="J19" i="5"/>
  <c r="I19" i="5"/>
  <c r="H19" i="5"/>
  <c r="G19" i="5"/>
  <c r="F19" i="5"/>
  <c r="E19" i="5"/>
  <c r="D19" i="5"/>
  <c r="B19" i="5"/>
  <c r="A19" i="5"/>
  <c r="AJ18" i="5"/>
  <c r="AI18" i="5"/>
  <c r="AH18" i="5"/>
  <c r="AG18" i="5"/>
  <c r="AE18" i="5"/>
  <c r="AC18" i="5"/>
  <c r="AB18" i="5"/>
  <c r="AA18" i="5"/>
  <c r="R18" i="5"/>
  <c r="Q18" i="5"/>
  <c r="P18" i="5"/>
  <c r="O18" i="5"/>
  <c r="N18" i="5"/>
  <c r="J18" i="5"/>
  <c r="I18" i="5"/>
  <c r="H18" i="5"/>
  <c r="G18" i="5"/>
  <c r="F18" i="5"/>
  <c r="E18" i="5"/>
  <c r="D18" i="5"/>
  <c r="B18" i="5"/>
  <c r="A18" i="5"/>
  <c r="AJ17" i="5"/>
  <c r="AI17" i="5"/>
  <c r="AH17" i="5"/>
  <c r="AG17" i="5"/>
  <c r="AE17" i="5"/>
  <c r="AC17" i="5"/>
  <c r="AB17" i="5"/>
  <c r="AA17" i="5"/>
  <c r="R17" i="5"/>
  <c r="Q17" i="5"/>
  <c r="P17" i="5"/>
  <c r="O17" i="5"/>
  <c r="N17" i="5"/>
  <c r="J17" i="5"/>
  <c r="I17" i="5"/>
  <c r="H17" i="5"/>
  <c r="G17" i="5"/>
  <c r="F17" i="5"/>
  <c r="E17" i="5"/>
  <c r="D17" i="5"/>
  <c r="B17" i="5"/>
  <c r="A17" i="5"/>
  <c r="AJ16" i="5"/>
  <c r="AI16" i="5"/>
  <c r="AH16" i="5"/>
  <c r="AG16" i="5"/>
  <c r="AE16" i="5"/>
  <c r="AC16" i="5"/>
  <c r="AB16" i="5"/>
  <c r="AA16" i="5"/>
  <c r="R16" i="5"/>
  <c r="Q16" i="5"/>
  <c r="P16" i="5"/>
  <c r="O16" i="5"/>
  <c r="N16" i="5"/>
  <c r="J16" i="5"/>
  <c r="I16" i="5"/>
  <c r="H16" i="5"/>
  <c r="G16" i="5"/>
  <c r="F16" i="5"/>
  <c r="E16" i="5"/>
  <c r="D16" i="5"/>
  <c r="B16" i="5"/>
  <c r="A16" i="5"/>
  <c r="AJ15" i="5"/>
  <c r="AI15" i="5"/>
  <c r="AH15" i="5"/>
  <c r="AG15" i="5"/>
  <c r="AE15" i="5"/>
  <c r="AC15" i="5"/>
  <c r="AB15" i="5"/>
  <c r="AA15" i="5"/>
  <c r="R15" i="5"/>
  <c r="Q15" i="5"/>
  <c r="P15" i="5"/>
  <c r="O15" i="5"/>
  <c r="N15" i="5"/>
  <c r="J15" i="5"/>
  <c r="I15" i="5"/>
  <c r="H15" i="5"/>
  <c r="G15" i="5"/>
  <c r="F15" i="5"/>
  <c r="E15" i="5"/>
  <c r="D15" i="5"/>
  <c r="B15" i="5"/>
  <c r="A15" i="5"/>
  <c r="AJ14" i="5"/>
  <c r="AI14" i="5"/>
  <c r="AH14" i="5"/>
  <c r="AG14" i="5"/>
  <c r="AE14" i="5"/>
  <c r="AC14" i="5"/>
  <c r="AB14" i="5"/>
  <c r="AA14" i="5"/>
  <c r="R14" i="5"/>
  <c r="Q14" i="5"/>
  <c r="P14" i="5"/>
  <c r="O14" i="5"/>
  <c r="N14" i="5"/>
  <c r="J14" i="5"/>
  <c r="I14" i="5"/>
  <c r="H14" i="5"/>
  <c r="G14" i="5"/>
  <c r="F14" i="5"/>
  <c r="E14" i="5"/>
  <c r="D14" i="5"/>
  <c r="B14" i="5"/>
  <c r="A14" i="5"/>
  <c r="AJ13" i="5"/>
  <c r="AI13" i="5"/>
  <c r="AH13" i="5"/>
  <c r="AG13" i="5"/>
  <c r="AE13" i="5"/>
  <c r="AC13" i="5"/>
  <c r="AB13" i="5"/>
  <c r="AA13" i="5"/>
  <c r="R13" i="5"/>
  <c r="Q13" i="5"/>
  <c r="P13" i="5"/>
  <c r="O13" i="5"/>
  <c r="N13" i="5"/>
  <c r="J13" i="5"/>
  <c r="I13" i="5"/>
  <c r="H13" i="5"/>
  <c r="G13" i="5"/>
  <c r="F13" i="5"/>
  <c r="E13" i="5"/>
  <c r="D13" i="5"/>
  <c r="B13" i="5"/>
  <c r="A13" i="5"/>
  <c r="AJ12" i="5"/>
  <c r="AI12" i="5"/>
  <c r="AH12" i="5"/>
  <c r="AG12" i="5"/>
  <c r="AE12" i="5"/>
  <c r="AC12" i="5"/>
  <c r="AB12" i="5"/>
  <c r="AA12" i="5"/>
  <c r="R12" i="5"/>
  <c r="Q12" i="5"/>
  <c r="P12" i="5"/>
  <c r="O12" i="5"/>
  <c r="N12" i="5"/>
  <c r="J12" i="5"/>
  <c r="I12" i="5"/>
  <c r="H12" i="5"/>
  <c r="G12" i="5"/>
  <c r="F12" i="5"/>
  <c r="E12" i="5"/>
  <c r="D12" i="5"/>
  <c r="B12" i="5"/>
  <c r="A12" i="5"/>
  <c r="AJ11" i="5"/>
  <c r="AI11" i="5"/>
  <c r="AH11" i="5"/>
  <c r="AG11" i="5"/>
  <c r="AE11" i="5"/>
  <c r="AC11" i="5"/>
  <c r="AB11" i="5"/>
  <c r="AA11" i="5"/>
  <c r="R11" i="5"/>
  <c r="Q11" i="5"/>
  <c r="P11" i="5"/>
  <c r="O11" i="5"/>
  <c r="N11" i="5"/>
  <c r="J11" i="5"/>
  <c r="I11" i="5"/>
  <c r="H11" i="5"/>
  <c r="G11" i="5"/>
  <c r="F11" i="5"/>
  <c r="E11" i="5"/>
  <c r="D11" i="5"/>
  <c r="B11" i="5"/>
  <c r="A11" i="5"/>
  <c r="AJ10" i="5"/>
  <c r="AI10" i="5"/>
  <c r="AH10" i="5"/>
  <c r="AG10" i="5"/>
  <c r="AE10" i="5"/>
  <c r="AC10" i="5"/>
  <c r="AB10" i="5"/>
  <c r="AA10" i="5"/>
  <c r="R10" i="5"/>
  <c r="Q10" i="5"/>
  <c r="P10" i="5"/>
  <c r="O10" i="5"/>
  <c r="N10" i="5"/>
  <c r="J10" i="5"/>
  <c r="I10" i="5"/>
  <c r="H10" i="5"/>
  <c r="G10" i="5"/>
  <c r="F10" i="5"/>
  <c r="E10" i="5"/>
  <c r="D10" i="5"/>
  <c r="B10" i="5"/>
  <c r="A10" i="5"/>
  <c r="AJ9" i="5"/>
  <c r="AI9" i="5"/>
  <c r="AH9" i="5"/>
  <c r="AG9" i="5"/>
  <c r="AE9" i="5"/>
  <c r="AC9" i="5"/>
  <c r="AB9" i="5"/>
  <c r="AA9" i="5"/>
  <c r="R9" i="5"/>
  <c r="Q9" i="5"/>
  <c r="P9" i="5"/>
  <c r="O9" i="5"/>
  <c r="N9" i="5"/>
  <c r="J9" i="5"/>
  <c r="I9" i="5"/>
  <c r="H9" i="5"/>
  <c r="G9" i="5"/>
  <c r="F9" i="5"/>
  <c r="E9" i="5"/>
  <c r="D9" i="5"/>
  <c r="B9" i="5"/>
  <c r="A9" i="5"/>
  <c r="AJ8" i="5"/>
  <c r="AI8" i="5"/>
  <c r="AH8" i="5"/>
  <c r="AG8" i="5"/>
  <c r="AE8" i="5"/>
  <c r="AC8" i="5"/>
  <c r="AB8" i="5"/>
  <c r="AA8" i="5"/>
  <c r="R8" i="5"/>
  <c r="Q8" i="5"/>
  <c r="P8" i="5"/>
  <c r="O8" i="5"/>
  <c r="N8" i="5"/>
  <c r="J8" i="5"/>
  <c r="I8" i="5"/>
  <c r="H8" i="5"/>
  <c r="G8" i="5"/>
  <c r="F8" i="5"/>
  <c r="E8" i="5"/>
  <c r="D8" i="5"/>
  <c r="B8" i="5"/>
  <c r="A8" i="5"/>
  <c r="AJ7" i="5"/>
  <c r="AI7" i="5"/>
  <c r="AH7" i="5"/>
  <c r="AG7" i="5"/>
  <c r="AE7" i="5"/>
  <c r="AC7" i="5"/>
  <c r="AB7" i="5"/>
  <c r="AA7" i="5"/>
  <c r="R7" i="5"/>
  <c r="Q7" i="5"/>
  <c r="P7" i="5"/>
  <c r="O7" i="5"/>
  <c r="N7" i="5"/>
  <c r="J7" i="5"/>
  <c r="I7" i="5"/>
  <c r="H7" i="5"/>
  <c r="G7" i="5"/>
  <c r="F7" i="5"/>
  <c r="E7" i="5"/>
  <c r="D7" i="5"/>
  <c r="B7" i="5"/>
  <c r="A7" i="5"/>
  <c r="AJ6" i="5"/>
  <c r="AI6" i="5"/>
  <c r="AH6" i="5"/>
  <c r="AG6" i="5"/>
  <c r="AE6" i="5"/>
  <c r="AC6" i="5"/>
  <c r="AB6" i="5"/>
  <c r="AA6" i="5"/>
  <c r="R6" i="5"/>
  <c r="Q6" i="5"/>
  <c r="P6" i="5"/>
  <c r="O6" i="5"/>
  <c r="N6" i="5"/>
  <c r="J6" i="5"/>
  <c r="I6" i="5"/>
  <c r="H6" i="5"/>
  <c r="G6" i="5"/>
  <c r="F6" i="5"/>
  <c r="E6" i="5"/>
  <c r="D6" i="5"/>
  <c r="B6" i="5"/>
  <c r="A6" i="5"/>
  <c r="AJ5" i="5"/>
  <c r="AI5" i="5"/>
  <c r="AH5" i="5"/>
  <c r="AG5" i="5"/>
  <c r="AE5" i="5"/>
  <c r="AC5" i="5"/>
  <c r="AB5" i="5"/>
  <c r="AA5" i="5"/>
  <c r="R5" i="5"/>
  <c r="Q5" i="5"/>
  <c r="P5" i="5"/>
  <c r="O5" i="5"/>
  <c r="N5" i="5"/>
  <c r="J5" i="5"/>
  <c r="I5" i="5"/>
  <c r="H5" i="5"/>
  <c r="G5" i="5"/>
  <c r="F5" i="5"/>
  <c r="E5" i="5"/>
  <c r="D5" i="5"/>
  <c r="B5" i="5"/>
  <c r="A5" i="5"/>
  <c r="AJ4" i="5"/>
  <c r="AI4" i="5"/>
  <c r="AH4" i="5"/>
  <c r="AG4" i="5"/>
  <c r="AE4" i="5"/>
  <c r="AC4" i="5"/>
  <c r="AB4" i="5"/>
  <c r="AA4" i="5"/>
  <c r="R4" i="5"/>
  <c r="Q4" i="5"/>
  <c r="P4" i="5"/>
  <c r="O4" i="5"/>
  <c r="N4" i="5"/>
  <c r="J4" i="5"/>
  <c r="I4" i="5"/>
  <c r="H4" i="5"/>
  <c r="G4" i="5"/>
  <c r="F4" i="5"/>
  <c r="E4" i="5"/>
  <c r="D4" i="5"/>
  <c r="B4" i="5"/>
  <c r="A4" i="5"/>
  <c r="DF136" i="4"/>
  <c r="DE136" i="4"/>
  <c r="CZ136" i="4"/>
  <c r="CX136" i="4"/>
  <c r="BU136" i="4"/>
  <c r="BT136" i="4"/>
  <c r="BQ136" i="4" a="1"/>
  <c r="BQ136" i="4"/>
  <c r="BP136" i="4" a="1"/>
  <c r="BP136" i="4" s="1"/>
  <c r="BO136" i="4" a="1"/>
  <c r="BO136" i="4" s="1"/>
  <c r="BN136" i="4" a="1"/>
  <c r="BN136" i="4" s="1"/>
  <c r="BM136" i="4" a="1"/>
  <c r="BM136" i="4" s="1"/>
  <c r="BL136" i="4" a="1"/>
  <c r="BL136" i="4"/>
  <c r="BK136" i="4" a="1"/>
  <c r="BK136" i="4"/>
  <c r="BJ136" i="4" a="1"/>
  <c r="BJ136" i="4"/>
  <c r="BI136" i="4" a="1"/>
  <c r="BI136" i="4" s="1"/>
  <c r="BH136" i="4" a="1"/>
  <c r="BH136" i="4"/>
  <c r="DC136" i="4" s="1"/>
  <c r="BG136" i="4" a="1"/>
  <c r="BG136" i="4" s="1"/>
  <c r="BF136" i="4" a="1"/>
  <c r="BF136" i="4" s="1"/>
  <c r="BE136" i="4" a="1"/>
  <c r="BE136" i="4"/>
  <c r="BD136" i="4" a="1"/>
  <c r="BD136" i="4"/>
  <c r="BC136" i="4" a="1"/>
  <c r="BC136" i="4" s="1"/>
  <c r="BB136" i="4" a="1"/>
  <c r="BB136" i="4" s="1"/>
  <c r="BA136" i="4" a="1"/>
  <c r="BA136" i="4" s="1"/>
  <c r="AZ136" i="4" a="1"/>
  <c r="AZ136" i="4"/>
  <c r="AY136" i="4" a="1"/>
  <c r="AY136" i="4"/>
  <c r="DH136" i="4" s="1"/>
  <c r="AW136" i="4"/>
  <c r="AV136" i="4"/>
  <c r="AT136" i="4"/>
  <c r="AS136" i="4"/>
  <c r="AR136" i="4"/>
  <c r="AQ136" i="4"/>
  <c r="AP136" i="4"/>
  <c r="AN136" i="4"/>
  <c r="AL136" i="4"/>
  <c r="AK136" i="4"/>
  <c r="AJ136" i="4"/>
  <c r="AI136" i="4"/>
  <c r="AH136" i="4"/>
  <c r="N136" i="4"/>
  <c r="M136" i="4"/>
  <c r="L136" i="4"/>
  <c r="K136" i="4"/>
  <c r="J136" i="4"/>
  <c r="I136" i="4"/>
  <c r="H136" i="4"/>
  <c r="G136" i="4"/>
  <c r="F136" i="4"/>
  <c r="D136" i="4"/>
  <c r="C136" i="4"/>
  <c r="B136" i="4"/>
  <c r="A136" i="4"/>
  <c r="DA135" i="4"/>
  <c r="CZ135" i="4"/>
  <c r="CX135" i="4"/>
  <c r="BU135" i="4"/>
  <c r="BT135" i="4"/>
  <c r="BQ135" i="4" a="1"/>
  <c r="BQ135" i="4" s="1"/>
  <c r="DJ135" i="4" s="1"/>
  <c r="BP135" i="4" a="1"/>
  <c r="BP135" i="4" s="1"/>
  <c r="BO135" i="4" a="1"/>
  <c r="BO135" i="4" s="1"/>
  <c r="BN135" i="4" a="1"/>
  <c r="BN135" i="4"/>
  <c r="BM135" i="4" a="1"/>
  <c r="BM135" i="4"/>
  <c r="BL135" i="4" a="1"/>
  <c r="BL135" i="4"/>
  <c r="DD135" i="4" s="1"/>
  <c r="BK135" i="4" a="1"/>
  <c r="BK135" i="4"/>
  <c r="BJ135" i="4" a="1"/>
  <c r="BJ135" i="4"/>
  <c r="BI135" i="4" a="1"/>
  <c r="BI135" i="4" s="1"/>
  <c r="BH135" i="4" a="1"/>
  <c r="BH135" i="4" s="1"/>
  <c r="BG135" i="4" a="1"/>
  <c r="BG135" i="4"/>
  <c r="BF135" i="4" a="1"/>
  <c r="BF135" i="4" s="1"/>
  <c r="BE135" i="4" a="1"/>
  <c r="BE135" i="4" s="1"/>
  <c r="BD135" i="4" a="1"/>
  <c r="BD135" i="4" s="1"/>
  <c r="BC135" i="4" a="1"/>
  <c r="BC135" i="4" s="1"/>
  <c r="BB135" i="4" a="1"/>
  <c r="BB135" i="4" s="1"/>
  <c r="BA135" i="4" a="1"/>
  <c r="BA135" i="4"/>
  <c r="DI135" i="4" s="1"/>
  <c r="AZ135" i="4" a="1"/>
  <c r="AZ135" i="4" s="1"/>
  <c r="AY135" i="4" a="1"/>
  <c r="AY135" i="4"/>
  <c r="DH135" i="4" s="1"/>
  <c r="AW135" i="4"/>
  <c r="AV135" i="4"/>
  <c r="AT135" i="4"/>
  <c r="AS135" i="4"/>
  <c r="AR135" i="4"/>
  <c r="AQ135" i="4"/>
  <c r="AP135" i="4"/>
  <c r="AN135" i="4"/>
  <c r="AL135" i="4"/>
  <c r="AK135" i="4"/>
  <c r="AJ135" i="4"/>
  <c r="AI135" i="4"/>
  <c r="AH135" i="4"/>
  <c r="N135" i="4"/>
  <c r="M135" i="4"/>
  <c r="DF135" i="4" s="1"/>
  <c r="L135" i="4"/>
  <c r="DE135" i="4" s="1"/>
  <c r="K135" i="4"/>
  <c r="J135" i="4"/>
  <c r="I135" i="4"/>
  <c r="DB135" i="4" s="1"/>
  <c r="H135" i="4"/>
  <c r="G135" i="4"/>
  <c r="F135" i="4"/>
  <c r="D135" i="4"/>
  <c r="C135" i="4"/>
  <c r="B135" i="4"/>
  <c r="A135" i="4"/>
  <c r="DJ134" i="4"/>
  <c r="CX134" i="4"/>
  <c r="BU134" i="4"/>
  <c r="BT134" i="4"/>
  <c r="BQ134" i="4" a="1"/>
  <c r="BQ134" i="4" s="1"/>
  <c r="DF134" i="4" s="1"/>
  <c r="BP134" i="4" a="1"/>
  <c r="BP134" i="4"/>
  <c r="BO134" i="4" a="1"/>
  <c r="BO134" i="4"/>
  <c r="DE134" i="4" s="1"/>
  <c r="BN134" i="4" a="1"/>
  <c r="BN134" i="4" s="1"/>
  <c r="BM134" i="4" a="1"/>
  <c r="BM134" i="4"/>
  <c r="BL134" i="4" a="1"/>
  <c r="BL134" i="4" s="1"/>
  <c r="BK134" i="4" a="1"/>
  <c r="BK134" i="4" s="1"/>
  <c r="BJ134" i="4" a="1"/>
  <c r="BJ134" i="4" s="1"/>
  <c r="BI134" i="4" a="1"/>
  <c r="BI134" i="4"/>
  <c r="BH134" i="4" a="1"/>
  <c r="BH134" i="4"/>
  <c r="DC134" i="4" s="1"/>
  <c r="BG134" i="4" a="1"/>
  <c r="BG134" i="4" s="1"/>
  <c r="BF134" i="4" a="1"/>
  <c r="BF134" i="4" s="1"/>
  <c r="BE134" i="4" a="1"/>
  <c r="BE134" i="4" s="1"/>
  <c r="BD134" i="4" a="1"/>
  <c r="BD134" i="4"/>
  <c r="BC134" i="4" a="1"/>
  <c r="BC134" i="4"/>
  <c r="BB134" i="4" a="1"/>
  <c r="BB134" i="4"/>
  <c r="BA134" i="4" a="1"/>
  <c r="BA134" i="4"/>
  <c r="DI134" i="4" s="1"/>
  <c r="AZ134" i="4" a="1"/>
  <c r="AZ134" i="4"/>
  <c r="AY134" i="4" a="1"/>
  <c r="AY134" i="4" s="1"/>
  <c r="DH134" i="4" s="1"/>
  <c r="AW134" i="4"/>
  <c r="AV134" i="4"/>
  <c r="AT134" i="4"/>
  <c r="AS134" i="4"/>
  <c r="AR134" i="4"/>
  <c r="AQ134" i="4"/>
  <c r="AP134" i="4"/>
  <c r="AN134" i="4"/>
  <c r="AL134" i="4"/>
  <c r="AK134" i="4"/>
  <c r="AJ134" i="4"/>
  <c r="AI134" i="4"/>
  <c r="AH134" i="4"/>
  <c r="N134" i="4"/>
  <c r="M134" i="4"/>
  <c r="L134" i="4"/>
  <c r="K134" i="4"/>
  <c r="J134" i="4"/>
  <c r="I134" i="4"/>
  <c r="H134" i="4"/>
  <c r="DA134" i="4" s="1"/>
  <c r="G134" i="4"/>
  <c r="CZ134" i="4" s="1"/>
  <c r="F134" i="4"/>
  <c r="D134" i="4"/>
  <c r="C134" i="4"/>
  <c r="B134" i="4"/>
  <c r="A134" i="4"/>
  <c r="DH133" i="4"/>
  <c r="DF133" i="4"/>
  <c r="DE133" i="4"/>
  <c r="DC133" i="4"/>
  <c r="CX133" i="4"/>
  <c r="BU133" i="4"/>
  <c r="BT133" i="4"/>
  <c r="BQ133" i="4" a="1"/>
  <c r="BQ133" i="4"/>
  <c r="BP133" i="4" a="1"/>
  <c r="BP133" i="4"/>
  <c r="BO133" i="4" a="1"/>
  <c r="BO133" i="4"/>
  <c r="BN133" i="4" a="1"/>
  <c r="BN133" i="4"/>
  <c r="BM133" i="4" a="1"/>
  <c r="BM133" i="4" s="1"/>
  <c r="BL133" i="4" a="1"/>
  <c r="BL133" i="4" s="1"/>
  <c r="BK133" i="4" a="1"/>
  <c r="BK133" i="4"/>
  <c r="BJ133" i="4" a="1"/>
  <c r="BJ133" i="4" s="1"/>
  <c r="BI133" i="4" a="1"/>
  <c r="BI133" i="4" s="1"/>
  <c r="BH133" i="4" a="1"/>
  <c r="BH133" i="4" s="1"/>
  <c r="BG133" i="4" a="1"/>
  <c r="BG133" i="4" s="1"/>
  <c r="BF133" i="4" a="1"/>
  <c r="BF133" i="4" s="1"/>
  <c r="DB133" i="4" s="1"/>
  <c r="BE133" i="4" a="1"/>
  <c r="BE133" i="4"/>
  <c r="BD133" i="4" a="1"/>
  <c r="BD133" i="4" s="1"/>
  <c r="BC133" i="4" a="1"/>
  <c r="BC133" i="4"/>
  <c r="BB133" i="4" a="1"/>
  <c r="BB133" i="4"/>
  <c r="BA133" i="4" a="1"/>
  <c r="BA133" i="4" s="1"/>
  <c r="DI133" i="4" s="1"/>
  <c r="AZ133" i="4" a="1"/>
  <c r="AZ133" i="4"/>
  <c r="CZ133" i="4" s="1"/>
  <c r="AY133" i="4" a="1"/>
  <c r="AY133" i="4"/>
  <c r="AW133" i="4"/>
  <c r="AV133" i="4"/>
  <c r="AT133" i="4"/>
  <c r="AS133" i="4"/>
  <c r="AR133" i="4"/>
  <c r="AQ133" i="4"/>
  <c r="AP133" i="4"/>
  <c r="AN133" i="4"/>
  <c r="AL133" i="4"/>
  <c r="AK133" i="4"/>
  <c r="AJ133" i="4"/>
  <c r="AI133" i="4"/>
  <c r="AH133" i="4"/>
  <c r="N133" i="4"/>
  <c r="M133" i="4"/>
  <c r="L133" i="4"/>
  <c r="K133" i="4"/>
  <c r="J133" i="4"/>
  <c r="I133" i="4"/>
  <c r="H133" i="4"/>
  <c r="G133" i="4"/>
  <c r="F133" i="4"/>
  <c r="D133" i="4"/>
  <c r="C133" i="4"/>
  <c r="B133" i="4"/>
  <c r="A133" i="4"/>
  <c r="DC132" i="4"/>
  <c r="CX132" i="4"/>
  <c r="BU132" i="4"/>
  <c r="BT132" i="4"/>
  <c r="BQ132" i="4" a="1"/>
  <c r="BQ132" i="4"/>
  <c r="DJ132" i="4" s="1"/>
  <c r="BP132" i="4" a="1"/>
  <c r="BP132" i="4"/>
  <c r="BO132" i="4" a="1"/>
  <c r="BO132" i="4" s="1"/>
  <c r="BN132" i="4" a="1"/>
  <c r="BN132" i="4" s="1"/>
  <c r="BM132" i="4" a="1"/>
  <c r="BM132" i="4"/>
  <c r="BL132" i="4" a="1"/>
  <c r="BL132" i="4" s="1"/>
  <c r="DD132" i="4" s="1"/>
  <c r="BK132" i="4" a="1"/>
  <c r="BK132" i="4" s="1"/>
  <c r="BJ132" i="4" a="1"/>
  <c r="BJ132" i="4" s="1"/>
  <c r="BI132" i="4" a="1"/>
  <c r="BI132" i="4" s="1"/>
  <c r="BH132" i="4" a="1"/>
  <c r="BH132" i="4" s="1"/>
  <c r="BG132" i="4" a="1"/>
  <c r="BG132" i="4"/>
  <c r="BF132" i="4" a="1"/>
  <c r="BF132" i="4"/>
  <c r="BE132" i="4" a="1"/>
  <c r="BE132" i="4"/>
  <c r="BD132" i="4" a="1"/>
  <c r="BD132" i="4" s="1"/>
  <c r="DA132" i="4" s="1"/>
  <c r="BC132" i="4" a="1"/>
  <c r="BC132" i="4" s="1"/>
  <c r="BB132" i="4" a="1"/>
  <c r="BB132" i="4"/>
  <c r="BA132" i="4" a="1"/>
  <c r="BA132" i="4"/>
  <c r="AZ132" i="4" a="1"/>
  <c r="AZ132" i="4" s="1"/>
  <c r="CZ132" i="4" s="1"/>
  <c r="AY132" i="4" a="1"/>
  <c r="AY132" i="4" s="1"/>
  <c r="DH132" i="4" s="1"/>
  <c r="AW132" i="4"/>
  <c r="AV132" i="4"/>
  <c r="AT132" i="4"/>
  <c r="AS132" i="4"/>
  <c r="AR132" i="4"/>
  <c r="AQ132" i="4"/>
  <c r="AP132" i="4"/>
  <c r="AN132" i="4"/>
  <c r="AL132" i="4"/>
  <c r="AK132" i="4"/>
  <c r="AJ132" i="4"/>
  <c r="AI132" i="4"/>
  <c r="AH132" i="4"/>
  <c r="N132" i="4"/>
  <c r="M132" i="4"/>
  <c r="DF132" i="4" s="1"/>
  <c r="L132" i="4"/>
  <c r="DE132" i="4" s="1"/>
  <c r="K132" i="4"/>
  <c r="J132" i="4"/>
  <c r="I132" i="4"/>
  <c r="DB132" i="4" s="1"/>
  <c r="H132" i="4"/>
  <c r="G132" i="4"/>
  <c r="F132" i="4"/>
  <c r="D132" i="4"/>
  <c r="C132" i="4"/>
  <c r="B132" i="4"/>
  <c r="A132" i="4"/>
  <c r="DJ131" i="4"/>
  <c r="CX131" i="4"/>
  <c r="BU131" i="4"/>
  <c r="BT131" i="4"/>
  <c r="BQ131" i="4" a="1"/>
  <c r="BQ131" i="4" s="1"/>
  <c r="BP131" i="4" a="1"/>
  <c r="BP131" i="4" s="1"/>
  <c r="BO131" i="4" a="1"/>
  <c r="BO131" i="4"/>
  <c r="BN131" i="4" a="1"/>
  <c r="BN131" i="4" s="1"/>
  <c r="BM131" i="4" a="1"/>
  <c r="BM131" i="4" s="1"/>
  <c r="BL131" i="4" a="1"/>
  <c r="BL131" i="4" s="1"/>
  <c r="BK131" i="4" a="1"/>
  <c r="BK131" i="4" s="1"/>
  <c r="BJ131" i="4" a="1"/>
  <c r="BJ131" i="4"/>
  <c r="BI131" i="4" a="1"/>
  <c r="BI131" i="4"/>
  <c r="BH131" i="4" a="1"/>
  <c r="BH131" i="4" s="1"/>
  <c r="BG131" i="4" a="1"/>
  <c r="BG131" i="4" s="1"/>
  <c r="BF131" i="4" a="1"/>
  <c r="BF131" i="4"/>
  <c r="BE131" i="4" a="1"/>
  <c r="BE131" i="4" s="1"/>
  <c r="BD131" i="4" a="1"/>
  <c r="BD131" i="4" s="1"/>
  <c r="DA131" i="4" s="1"/>
  <c r="BC131" i="4" a="1"/>
  <c r="BC131" i="4"/>
  <c r="BB131" i="4" a="1"/>
  <c r="BB131" i="4"/>
  <c r="BA131" i="4" a="1"/>
  <c r="BA131" i="4" s="1"/>
  <c r="DI132" i="4" s="1"/>
  <c r="AZ131" i="4" a="1"/>
  <c r="AZ131" i="4" s="1"/>
  <c r="AY131" i="4" a="1"/>
  <c r="AY131" i="4" s="1"/>
  <c r="DH131" i="4" s="1"/>
  <c r="AW131" i="4"/>
  <c r="AV131" i="4"/>
  <c r="AT131" i="4"/>
  <c r="AS131" i="4"/>
  <c r="AR131" i="4"/>
  <c r="AQ131" i="4"/>
  <c r="AP131" i="4"/>
  <c r="AN131" i="4"/>
  <c r="AL131" i="4"/>
  <c r="AK131" i="4"/>
  <c r="AJ131" i="4"/>
  <c r="AI131" i="4"/>
  <c r="AH131" i="4"/>
  <c r="N131" i="4"/>
  <c r="M131" i="4"/>
  <c r="DF131" i="4" s="1"/>
  <c r="L131" i="4"/>
  <c r="K131" i="4"/>
  <c r="J131" i="4"/>
  <c r="I131" i="4"/>
  <c r="DB131" i="4" s="1"/>
  <c r="H131" i="4"/>
  <c r="G131" i="4"/>
  <c r="F131" i="4"/>
  <c r="D131" i="4"/>
  <c r="C131" i="4"/>
  <c r="B131" i="4"/>
  <c r="A131" i="4"/>
  <c r="DH130" i="4"/>
  <c r="DC130" i="4"/>
  <c r="CX130" i="4"/>
  <c r="BU130" i="4"/>
  <c r="BT130" i="4"/>
  <c r="BQ130" i="4" a="1"/>
  <c r="BQ130" i="4"/>
  <c r="BP130" i="4" a="1"/>
  <c r="BP130" i="4" s="1"/>
  <c r="BO130" i="4" a="1"/>
  <c r="BO130" i="4" s="1"/>
  <c r="DE130" i="4" s="1"/>
  <c r="BN130" i="4" a="1"/>
  <c r="BN130" i="4"/>
  <c r="BM130" i="4" a="1"/>
  <c r="BM130" i="4" s="1"/>
  <c r="BL130" i="4" a="1"/>
  <c r="BL130" i="4" s="1"/>
  <c r="BK130" i="4" a="1"/>
  <c r="BK130" i="4"/>
  <c r="BJ130" i="4" a="1"/>
  <c r="BJ130" i="4"/>
  <c r="BI130" i="4" a="1"/>
  <c r="BI130" i="4"/>
  <c r="BH130" i="4" a="1"/>
  <c r="BH130" i="4" s="1"/>
  <c r="BG130" i="4" a="1"/>
  <c r="BG130" i="4" s="1"/>
  <c r="BF130" i="4" a="1"/>
  <c r="BF130" i="4" s="1"/>
  <c r="BE130" i="4" a="1"/>
  <c r="BE130" i="4"/>
  <c r="BD130" i="4" a="1"/>
  <c r="BD130" i="4" s="1"/>
  <c r="BC130" i="4" a="1"/>
  <c r="BC130" i="4" s="1"/>
  <c r="BB130" i="4" a="1"/>
  <c r="BB130" i="4"/>
  <c r="BA130" i="4" a="1"/>
  <c r="BA130" i="4" s="1"/>
  <c r="DI130" i="4" s="1"/>
  <c r="AZ130" i="4" a="1"/>
  <c r="AZ130" i="4" s="1"/>
  <c r="CZ130" i="4" s="1"/>
  <c r="AY130" i="4" a="1"/>
  <c r="AY130" i="4"/>
  <c r="AW130" i="4"/>
  <c r="AV130" i="4"/>
  <c r="AT130" i="4"/>
  <c r="AS130" i="4"/>
  <c r="AR130" i="4"/>
  <c r="AQ130" i="4"/>
  <c r="AP130" i="4"/>
  <c r="AN130" i="4"/>
  <c r="AL130" i="4"/>
  <c r="AK130" i="4"/>
  <c r="AJ130" i="4"/>
  <c r="AI130" i="4"/>
  <c r="AH130" i="4"/>
  <c r="N130" i="4"/>
  <c r="M130" i="4"/>
  <c r="DF130" i="4" s="1"/>
  <c r="L130" i="4"/>
  <c r="K130" i="4"/>
  <c r="J130" i="4"/>
  <c r="I130" i="4"/>
  <c r="H130" i="4"/>
  <c r="DA130" i="4" s="1"/>
  <c r="G130" i="4"/>
  <c r="F130" i="4"/>
  <c r="D130" i="4"/>
  <c r="C130" i="4"/>
  <c r="B130" i="4"/>
  <c r="A130" i="4"/>
  <c r="DD129" i="4"/>
  <c r="DC129" i="4"/>
  <c r="CX129" i="4"/>
  <c r="BU129" i="4"/>
  <c r="BT129" i="4"/>
  <c r="BQ129" i="4" a="1"/>
  <c r="BQ129" i="4" s="1"/>
  <c r="BP129" i="4" a="1"/>
  <c r="BP129" i="4" s="1"/>
  <c r="BO129" i="4" a="1"/>
  <c r="BO129" i="4" s="1"/>
  <c r="BN129" i="4" a="1"/>
  <c r="BN129" i="4"/>
  <c r="BM129" i="4" a="1"/>
  <c r="BM129" i="4"/>
  <c r="BL129" i="4" a="1"/>
  <c r="BL129" i="4"/>
  <c r="BK129" i="4" a="1"/>
  <c r="BK129" i="4"/>
  <c r="BJ129" i="4" a="1"/>
  <c r="BJ129" i="4" s="1"/>
  <c r="BI129" i="4" a="1"/>
  <c r="BI129" i="4" s="1"/>
  <c r="BH129" i="4" a="1"/>
  <c r="BH129" i="4" s="1"/>
  <c r="BG129" i="4" a="1"/>
  <c r="BG129" i="4"/>
  <c r="BF129" i="4" a="1"/>
  <c r="BF129" i="4" s="1"/>
  <c r="DB129" i="4" s="1"/>
  <c r="BE129" i="4" a="1"/>
  <c r="BE129" i="4"/>
  <c r="BD129" i="4" a="1"/>
  <c r="BD129" i="4" s="1"/>
  <c r="BC129" i="4" a="1"/>
  <c r="BC129" i="4" s="1"/>
  <c r="BB129" i="4" a="1"/>
  <c r="BB129" i="4"/>
  <c r="BA129" i="4" a="1"/>
  <c r="BA129" i="4"/>
  <c r="AZ129" i="4" a="1"/>
  <c r="AZ129" i="4"/>
  <c r="AY129" i="4" a="1"/>
  <c r="AY129" i="4" s="1"/>
  <c r="DH129" i="4" s="1"/>
  <c r="AW129" i="4"/>
  <c r="AV129" i="4"/>
  <c r="AT129" i="4"/>
  <c r="AS129" i="4"/>
  <c r="AR129" i="4"/>
  <c r="AQ129" i="4"/>
  <c r="AP129" i="4"/>
  <c r="AN129" i="4"/>
  <c r="AL129" i="4"/>
  <c r="AK129" i="4"/>
  <c r="AJ129" i="4"/>
  <c r="AI129" i="4"/>
  <c r="AH129" i="4"/>
  <c r="N129" i="4"/>
  <c r="M129" i="4"/>
  <c r="L129" i="4"/>
  <c r="DE129" i="4" s="1"/>
  <c r="K129" i="4"/>
  <c r="J129" i="4"/>
  <c r="I129" i="4"/>
  <c r="H129" i="4"/>
  <c r="DA129" i="4" s="1"/>
  <c r="G129" i="4"/>
  <c r="CZ129" i="4" s="1"/>
  <c r="F129" i="4"/>
  <c r="D129" i="4"/>
  <c r="C129" i="4"/>
  <c r="B129" i="4"/>
  <c r="A129" i="4"/>
  <c r="DE128" i="4"/>
  <c r="DC128" i="4"/>
  <c r="DA128" i="4"/>
  <c r="CX128" i="4"/>
  <c r="BU128" i="4"/>
  <c r="BT128" i="4"/>
  <c r="BQ128" i="4" a="1"/>
  <c r="BQ128" i="4" s="1"/>
  <c r="DJ128" i="4" s="1"/>
  <c r="BP128" i="4" a="1"/>
  <c r="BP128" i="4"/>
  <c r="BO128" i="4" a="1"/>
  <c r="BO128" i="4"/>
  <c r="BN128" i="4" a="1"/>
  <c r="BN128" i="4"/>
  <c r="BM128" i="4" a="1"/>
  <c r="BM128" i="4"/>
  <c r="BL128" i="4" a="1"/>
  <c r="BL128" i="4"/>
  <c r="DD128" i="4" s="1"/>
  <c r="BK128" i="4" a="1"/>
  <c r="BK128" i="4" s="1"/>
  <c r="BJ128" i="4" a="1"/>
  <c r="BJ128" i="4" s="1"/>
  <c r="BI128" i="4" a="1"/>
  <c r="BI128" i="4"/>
  <c r="BH128" i="4" a="1"/>
  <c r="BH128" i="4" s="1"/>
  <c r="BG128" i="4" a="1"/>
  <c r="BG128" i="4" s="1"/>
  <c r="BF128" i="4" a="1"/>
  <c r="BF128" i="4" s="1"/>
  <c r="BE128" i="4" a="1"/>
  <c r="BE128" i="4" s="1"/>
  <c r="BD128" i="4" a="1"/>
  <c r="BD128" i="4" s="1"/>
  <c r="BC128" i="4" a="1"/>
  <c r="BC128" i="4"/>
  <c r="BB128" i="4" a="1"/>
  <c r="BB128" i="4" s="1"/>
  <c r="BA128" i="4" a="1"/>
  <c r="BA128" i="4"/>
  <c r="DI128" i="4" s="1"/>
  <c r="AZ128" i="4" a="1"/>
  <c r="AZ128" i="4"/>
  <c r="AY128" i="4" a="1"/>
  <c r="AY128" i="4" s="1"/>
  <c r="DH128" i="4" s="1"/>
  <c r="AW128" i="4"/>
  <c r="AV128" i="4"/>
  <c r="AT128" i="4"/>
  <c r="AS128" i="4"/>
  <c r="AR128" i="4"/>
  <c r="AQ128" i="4"/>
  <c r="AP128" i="4"/>
  <c r="AN128" i="4"/>
  <c r="AL128" i="4"/>
  <c r="AK128" i="4"/>
  <c r="AJ128" i="4"/>
  <c r="AI128" i="4"/>
  <c r="AH128" i="4"/>
  <c r="N128" i="4"/>
  <c r="M128" i="4"/>
  <c r="DF128" i="4" s="1"/>
  <c r="L128" i="4"/>
  <c r="K128" i="4"/>
  <c r="J128" i="4"/>
  <c r="I128" i="4"/>
  <c r="DB128" i="4" s="1"/>
  <c r="H128" i="4"/>
  <c r="G128" i="4"/>
  <c r="CZ128" i="4" s="1"/>
  <c r="F128" i="4"/>
  <c r="D128" i="4"/>
  <c r="C128" i="4"/>
  <c r="B128" i="4"/>
  <c r="A128" i="4"/>
  <c r="DJ127" i="4"/>
  <c r="DH127" i="4"/>
  <c r="DB127" i="4"/>
  <c r="CX127" i="4"/>
  <c r="BU127" i="4"/>
  <c r="BT127" i="4"/>
  <c r="BQ127" i="4" a="1"/>
  <c r="BQ127" i="4"/>
  <c r="BP127" i="4" a="1"/>
  <c r="BP127" i="4"/>
  <c r="BO127" i="4" a="1"/>
  <c r="BO127" i="4"/>
  <c r="BN127" i="4" a="1"/>
  <c r="BN127" i="4" s="1"/>
  <c r="BM127" i="4" a="1"/>
  <c r="BM127" i="4" s="1"/>
  <c r="BL127" i="4" a="1"/>
  <c r="BL127" i="4" s="1"/>
  <c r="BK127" i="4" a="1"/>
  <c r="BK127" i="4"/>
  <c r="BJ127" i="4" a="1"/>
  <c r="BJ127" i="4" s="1"/>
  <c r="BI127" i="4" a="1"/>
  <c r="BI127" i="4"/>
  <c r="BH127" i="4" a="1"/>
  <c r="BH127" i="4" s="1"/>
  <c r="DC127" i="4" s="1"/>
  <c r="BG127" i="4" a="1"/>
  <c r="BG127" i="4" s="1"/>
  <c r="BF127" i="4" a="1"/>
  <c r="BF127" i="4"/>
  <c r="BE127" i="4" a="1"/>
  <c r="BE127" i="4"/>
  <c r="BD127" i="4" a="1"/>
  <c r="BD127" i="4"/>
  <c r="BC127" i="4" a="1"/>
  <c r="BC127" i="4" s="1"/>
  <c r="BB127" i="4" a="1"/>
  <c r="BB127" i="4"/>
  <c r="BA127" i="4" a="1"/>
  <c r="BA127" i="4" s="1"/>
  <c r="AZ127" i="4" a="1"/>
  <c r="AZ127" i="4" s="1"/>
  <c r="CZ127" i="4" s="1"/>
  <c r="AY127" i="4" a="1"/>
  <c r="AY127" i="4"/>
  <c r="AW127" i="4"/>
  <c r="AV127" i="4"/>
  <c r="AT127" i="4"/>
  <c r="AS127" i="4"/>
  <c r="AR127" i="4"/>
  <c r="AQ127" i="4"/>
  <c r="AP127" i="4"/>
  <c r="AN127" i="4"/>
  <c r="AL127" i="4"/>
  <c r="AK127" i="4"/>
  <c r="AJ127" i="4"/>
  <c r="AI127" i="4"/>
  <c r="AH127" i="4"/>
  <c r="N127" i="4"/>
  <c r="M127" i="4"/>
  <c r="DF127" i="4" s="1"/>
  <c r="L127" i="4"/>
  <c r="DE127" i="4" s="1"/>
  <c r="K127" i="4"/>
  <c r="DD127" i="4" s="1"/>
  <c r="J127" i="4"/>
  <c r="I127" i="4"/>
  <c r="H127" i="4"/>
  <c r="G127" i="4"/>
  <c r="F127" i="4"/>
  <c r="D127" i="4"/>
  <c r="C127" i="4"/>
  <c r="B127" i="4"/>
  <c r="A127" i="4"/>
  <c r="DI126" i="4"/>
  <c r="DF126" i="4"/>
  <c r="CX126" i="4"/>
  <c r="BU126" i="4"/>
  <c r="BT126" i="4"/>
  <c r="BQ126" i="4" a="1"/>
  <c r="BQ126" i="4"/>
  <c r="BP126" i="4" a="1"/>
  <c r="BP126" i="4"/>
  <c r="BO126" i="4" a="1"/>
  <c r="BO126" i="4" s="1"/>
  <c r="BN126" i="4" a="1"/>
  <c r="BN126" i="4" s="1"/>
  <c r="BM126" i="4" a="1"/>
  <c r="BM126" i="4"/>
  <c r="BL126" i="4" a="1"/>
  <c r="BL126" i="4"/>
  <c r="DD126" i="4" s="1"/>
  <c r="BK126" i="4" a="1"/>
  <c r="BK126" i="4" s="1"/>
  <c r="BJ126" i="4" a="1"/>
  <c r="BJ126" i="4" s="1"/>
  <c r="BI126" i="4" a="1"/>
  <c r="BI126" i="4" s="1"/>
  <c r="BH126" i="4" a="1"/>
  <c r="BH126" i="4"/>
  <c r="BG126" i="4" a="1"/>
  <c r="BG126" i="4"/>
  <c r="BF126" i="4" a="1"/>
  <c r="BF126" i="4" s="1"/>
  <c r="BE126" i="4" a="1"/>
  <c r="BE126" i="4" s="1"/>
  <c r="BD126" i="4" a="1"/>
  <c r="BD126" i="4"/>
  <c r="BC126" i="4" a="1"/>
  <c r="BC126" i="4" s="1"/>
  <c r="BB126" i="4" a="1"/>
  <c r="BB126" i="4" s="1"/>
  <c r="BA126" i="4" a="1"/>
  <c r="BA126" i="4"/>
  <c r="DI127" i="4" s="1"/>
  <c r="AZ126" i="4" a="1"/>
  <c r="AZ126" i="4" s="1"/>
  <c r="AY126" i="4" a="1"/>
  <c r="AY126" i="4" s="1"/>
  <c r="DH126" i="4" s="1"/>
  <c r="AW126" i="4"/>
  <c r="AV126" i="4"/>
  <c r="AT126" i="4"/>
  <c r="AS126" i="4"/>
  <c r="AR126" i="4"/>
  <c r="AQ126" i="4"/>
  <c r="AP126" i="4"/>
  <c r="AN126" i="4"/>
  <c r="AL126" i="4"/>
  <c r="AK126" i="4"/>
  <c r="AJ126" i="4"/>
  <c r="AI126" i="4"/>
  <c r="AH126" i="4"/>
  <c r="N126" i="4"/>
  <c r="M126" i="4"/>
  <c r="L126" i="4"/>
  <c r="DE126" i="4" s="1"/>
  <c r="K126" i="4"/>
  <c r="J126" i="4"/>
  <c r="I126" i="4"/>
  <c r="DB126" i="4" s="1"/>
  <c r="H126" i="4"/>
  <c r="G126" i="4"/>
  <c r="F126" i="4"/>
  <c r="D126" i="4"/>
  <c r="C126" i="4"/>
  <c r="B126" i="4"/>
  <c r="A126" i="4"/>
  <c r="DE125" i="4"/>
  <c r="DC125" i="4"/>
  <c r="CX125" i="4"/>
  <c r="BU125" i="4"/>
  <c r="BT125" i="4"/>
  <c r="BQ125" i="4" a="1"/>
  <c r="BQ125" i="4" s="1"/>
  <c r="BP125" i="4" a="1"/>
  <c r="BP125" i="4" s="1"/>
  <c r="BO125" i="4" a="1"/>
  <c r="BO125" i="4"/>
  <c r="BN125" i="4" a="1"/>
  <c r="BN125" i="4" s="1"/>
  <c r="BM125" i="4" a="1"/>
  <c r="BM125" i="4"/>
  <c r="BL125" i="4" a="1"/>
  <c r="BL125" i="4" s="1"/>
  <c r="DD125" i="4" s="1"/>
  <c r="BK125" i="4" a="1"/>
  <c r="BK125" i="4" s="1"/>
  <c r="BJ125" i="4" a="1"/>
  <c r="BJ125" i="4" s="1"/>
  <c r="BI125" i="4" a="1"/>
  <c r="BI125" i="4"/>
  <c r="BH125" i="4" a="1"/>
  <c r="BH125" i="4"/>
  <c r="BG125" i="4" a="1"/>
  <c r="BG125" i="4"/>
  <c r="BF125" i="4" a="1"/>
  <c r="BF125" i="4"/>
  <c r="DB125" i="4" s="1"/>
  <c r="BE125" i="4" a="1"/>
  <c r="BE125" i="4" s="1"/>
  <c r="BD125" i="4" a="1"/>
  <c r="BD125" i="4"/>
  <c r="BC125" i="4" a="1"/>
  <c r="BC125" i="4"/>
  <c r="BB125" i="4" a="1"/>
  <c r="BB125" i="4" s="1"/>
  <c r="BA125" i="4" a="1"/>
  <c r="BA125" i="4" s="1"/>
  <c r="AZ125" i="4" a="1"/>
  <c r="AZ125" i="4"/>
  <c r="AY125" i="4" a="1"/>
  <c r="AY125" i="4" s="1"/>
  <c r="DH125" i="4" s="1"/>
  <c r="AW125" i="4"/>
  <c r="AV125" i="4"/>
  <c r="AT125" i="4"/>
  <c r="AS125" i="4"/>
  <c r="AR125" i="4"/>
  <c r="AQ125" i="4"/>
  <c r="AP125" i="4"/>
  <c r="AN125" i="4"/>
  <c r="AL125" i="4"/>
  <c r="AK125" i="4"/>
  <c r="AJ125" i="4"/>
  <c r="AI125" i="4"/>
  <c r="AH125" i="4"/>
  <c r="N125" i="4"/>
  <c r="M125" i="4"/>
  <c r="L125" i="4"/>
  <c r="K125" i="4"/>
  <c r="J125" i="4"/>
  <c r="I125" i="4"/>
  <c r="H125" i="4"/>
  <c r="DA125" i="4" s="1"/>
  <c r="G125" i="4"/>
  <c r="F125" i="4"/>
  <c r="D125" i="4"/>
  <c r="C125" i="4"/>
  <c r="B125" i="4"/>
  <c r="A125" i="4"/>
  <c r="DC124" i="4"/>
  <c r="CZ124" i="4"/>
  <c r="CX124" i="4"/>
  <c r="BU124" i="4"/>
  <c r="BT124" i="4"/>
  <c r="BQ124" i="4" a="1"/>
  <c r="BQ124" i="4"/>
  <c r="DJ124" i="4" s="1"/>
  <c r="BP124" i="4" a="1"/>
  <c r="BP124" i="4"/>
  <c r="BO124" i="4" a="1"/>
  <c r="BO124" i="4" s="1"/>
  <c r="BN124" i="4" a="1"/>
  <c r="BN124" i="4" s="1"/>
  <c r="BM124" i="4" a="1"/>
  <c r="BM124" i="4" s="1"/>
  <c r="BL124" i="4" a="1"/>
  <c r="BL124" i="4"/>
  <c r="BK124" i="4" a="1"/>
  <c r="BK124" i="4"/>
  <c r="BJ124" i="4" a="1"/>
  <c r="BJ124" i="4"/>
  <c r="BI124" i="4" a="1"/>
  <c r="BI124" i="4" s="1"/>
  <c r="BH124" i="4" a="1"/>
  <c r="BH124" i="4"/>
  <c r="BG124" i="4" a="1"/>
  <c r="BG124" i="4" s="1"/>
  <c r="BF124" i="4" a="1"/>
  <c r="BF124" i="4" s="1"/>
  <c r="DB124" i="4" s="1"/>
  <c r="BE124" i="4" a="1"/>
  <c r="BE124" i="4"/>
  <c r="BD124" i="4" a="1"/>
  <c r="BD124" i="4"/>
  <c r="BC124" i="4" a="1"/>
  <c r="BC124" i="4" s="1"/>
  <c r="BB124" i="4" a="1"/>
  <c r="BB124" i="4" s="1"/>
  <c r="BA124" i="4" a="1"/>
  <c r="BA124" i="4" s="1"/>
  <c r="DI124" i="4" s="1"/>
  <c r="AZ124" i="4" a="1"/>
  <c r="AZ124" i="4"/>
  <c r="AY124" i="4" a="1"/>
  <c r="AY124" i="4"/>
  <c r="DH124" i="4" s="1"/>
  <c r="AW124" i="4"/>
  <c r="AV124" i="4"/>
  <c r="AT124" i="4"/>
  <c r="AS124" i="4"/>
  <c r="AR124" i="4"/>
  <c r="AQ124" i="4"/>
  <c r="AP124" i="4"/>
  <c r="AN124" i="4"/>
  <c r="AL124" i="4"/>
  <c r="AK124" i="4"/>
  <c r="AJ124" i="4"/>
  <c r="AI124" i="4"/>
  <c r="AH124" i="4"/>
  <c r="N124" i="4"/>
  <c r="M124" i="4"/>
  <c r="DF124" i="4" s="1"/>
  <c r="L124" i="4"/>
  <c r="DE124" i="4" s="1"/>
  <c r="K124" i="4"/>
  <c r="J124" i="4"/>
  <c r="I124" i="4"/>
  <c r="H124" i="4"/>
  <c r="G124" i="4"/>
  <c r="F124" i="4"/>
  <c r="D124" i="4"/>
  <c r="C124" i="4"/>
  <c r="B124" i="4"/>
  <c r="A124" i="4"/>
  <c r="DF123" i="4"/>
  <c r="DA123" i="4"/>
  <c r="CZ123" i="4"/>
  <c r="CX123" i="4"/>
  <c r="BU123" i="4"/>
  <c r="BT123" i="4"/>
  <c r="BQ123" i="4" a="1"/>
  <c r="BQ123" i="4" s="1"/>
  <c r="DJ123" i="4" s="1"/>
  <c r="BP123" i="4" a="1"/>
  <c r="BP123" i="4"/>
  <c r="BO123" i="4" a="1"/>
  <c r="BO123" i="4" s="1"/>
  <c r="BN123" i="4" a="1"/>
  <c r="BN123" i="4"/>
  <c r="BM123" i="4" a="1"/>
  <c r="BM123" i="4"/>
  <c r="BL123" i="4" a="1"/>
  <c r="BL123" i="4"/>
  <c r="DD123" i="4" s="1"/>
  <c r="BK123" i="4" a="1"/>
  <c r="BK123" i="4"/>
  <c r="BJ123" i="4" a="1"/>
  <c r="BJ123" i="4"/>
  <c r="BI123" i="4" a="1"/>
  <c r="BI123" i="4" s="1"/>
  <c r="BH123" i="4" a="1"/>
  <c r="BH123" i="4" s="1"/>
  <c r="BG123" i="4" a="1"/>
  <c r="BG123" i="4"/>
  <c r="BF123" i="4" a="1"/>
  <c r="BF123" i="4" s="1"/>
  <c r="BE123" i="4" a="1"/>
  <c r="BE123" i="4" s="1"/>
  <c r="BD123" i="4" a="1"/>
  <c r="BD123" i="4" s="1"/>
  <c r="BC123" i="4" a="1"/>
  <c r="BC123" i="4" s="1"/>
  <c r="BB123" i="4" a="1"/>
  <c r="BB123" i="4" s="1"/>
  <c r="BA123" i="4" a="1"/>
  <c r="BA123" i="4"/>
  <c r="AZ123" i="4" a="1"/>
  <c r="AZ123" i="4" s="1"/>
  <c r="AY123" i="4" a="1"/>
  <c r="AY123" i="4"/>
  <c r="DH123" i="4" s="1"/>
  <c r="AW123" i="4"/>
  <c r="AV123" i="4"/>
  <c r="AT123" i="4"/>
  <c r="AS123" i="4"/>
  <c r="AR123" i="4"/>
  <c r="AQ123" i="4"/>
  <c r="AP123" i="4"/>
  <c r="AN123" i="4"/>
  <c r="AL123" i="4"/>
  <c r="AK123" i="4"/>
  <c r="AJ123" i="4"/>
  <c r="AI123" i="4"/>
  <c r="AH123" i="4"/>
  <c r="N123" i="4"/>
  <c r="M123" i="4"/>
  <c r="L123" i="4"/>
  <c r="DE123" i="4" s="1"/>
  <c r="K123" i="4"/>
  <c r="J123" i="4"/>
  <c r="I123" i="4"/>
  <c r="DB123" i="4" s="1"/>
  <c r="H123" i="4"/>
  <c r="G123" i="4"/>
  <c r="F123" i="4"/>
  <c r="D123" i="4"/>
  <c r="C123" i="4"/>
  <c r="B123" i="4"/>
  <c r="A123" i="4"/>
  <c r="CX122" i="4"/>
  <c r="BU122" i="4"/>
  <c r="BT122" i="4"/>
  <c r="BQ122" i="4" a="1"/>
  <c r="BQ122" i="4" s="1"/>
  <c r="DF122" i="4" s="1"/>
  <c r="BP122" i="4" a="1"/>
  <c r="BP122" i="4"/>
  <c r="BO122" i="4" a="1"/>
  <c r="BO122" i="4"/>
  <c r="DE122" i="4" s="1"/>
  <c r="BN122" i="4" a="1"/>
  <c r="BN122" i="4" s="1"/>
  <c r="BM122" i="4" a="1"/>
  <c r="BM122" i="4"/>
  <c r="BL122" i="4" a="1"/>
  <c r="BL122" i="4" s="1"/>
  <c r="BK122" i="4" a="1"/>
  <c r="BK122" i="4" s="1"/>
  <c r="BJ122" i="4" a="1"/>
  <c r="BJ122" i="4" s="1"/>
  <c r="BI122" i="4" a="1"/>
  <c r="BI122" i="4"/>
  <c r="BH122" i="4" a="1"/>
  <c r="BH122" i="4"/>
  <c r="BG122" i="4" a="1"/>
  <c r="BG122" i="4"/>
  <c r="BF122" i="4" a="1"/>
  <c r="BF122" i="4" s="1"/>
  <c r="BE122" i="4" a="1"/>
  <c r="BE122" i="4" s="1"/>
  <c r="BD122" i="4" a="1"/>
  <c r="BD122" i="4"/>
  <c r="BC122" i="4" a="1"/>
  <c r="BC122" i="4"/>
  <c r="BB122" i="4" a="1"/>
  <c r="BB122" i="4"/>
  <c r="BA122" i="4" a="1"/>
  <c r="BA122" i="4" s="1"/>
  <c r="DI122" i="4" s="1"/>
  <c r="AZ122" i="4" a="1"/>
  <c r="AZ122" i="4" s="1"/>
  <c r="AY122" i="4" a="1"/>
  <c r="AY122" i="4" s="1"/>
  <c r="DH122" i="4" s="1"/>
  <c r="AW122" i="4"/>
  <c r="AV122" i="4"/>
  <c r="AT122" i="4"/>
  <c r="AS122" i="4"/>
  <c r="AR122" i="4"/>
  <c r="AQ122" i="4"/>
  <c r="AP122" i="4"/>
  <c r="AN122" i="4"/>
  <c r="AL122" i="4"/>
  <c r="AK122" i="4"/>
  <c r="AJ122" i="4"/>
  <c r="AI122" i="4"/>
  <c r="AH122" i="4"/>
  <c r="N122" i="4"/>
  <c r="M122" i="4"/>
  <c r="L122" i="4"/>
  <c r="K122" i="4"/>
  <c r="DD122" i="4" s="1"/>
  <c r="J122" i="4"/>
  <c r="DC122" i="4" s="1"/>
  <c r="I122" i="4"/>
  <c r="H122" i="4"/>
  <c r="G122" i="4"/>
  <c r="F122" i="4"/>
  <c r="D122" i="4"/>
  <c r="C122" i="4"/>
  <c r="B122" i="4"/>
  <c r="A122" i="4"/>
  <c r="DF121" i="4"/>
  <c r="DC121" i="4"/>
  <c r="CX121" i="4"/>
  <c r="BU121" i="4"/>
  <c r="BT121" i="4"/>
  <c r="BQ121" i="4" a="1"/>
  <c r="BQ121" i="4"/>
  <c r="DJ121" i="4" s="1"/>
  <c r="BP121" i="4" a="1"/>
  <c r="BP121" i="4"/>
  <c r="BO121" i="4" a="1"/>
  <c r="BO121" i="4"/>
  <c r="BN121" i="4" a="1"/>
  <c r="BN121" i="4"/>
  <c r="BM121" i="4" a="1"/>
  <c r="BM121" i="4" s="1"/>
  <c r="BL121" i="4" a="1"/>
  <c r="BL121" i="4"/>
  <c r="BK121" i="4" a="1"/>
  <c r="BK121" i="4"/>
  <c r="BJ121" i="4" a="1"/>
  <c r="BJ121" i="4" s="1"/>
  <c r="BI121" i="4" a="1"/>
  <c r="BI121" i="4" s="1"/>
  <c r="BH121" i="4" a="1"/>
  <c r="BH121" i="4" s="1"/>
  <c r="BG121" i="4" a="1"/>
  <c r="BG121" i="4" s="1"/>
  <c r="BF121" i="4" a="1"/>
  <c r="BF121" i="4" s="1"/>
  <c r="DB121" i="4" s="1"/>
  <c r="BE121" i="4" a="1"/>
  <c r="BE121" i="4"/>
  <c r="BD121" i="4" a="1"/>
  <c r="BD121" i="4" s="1"/>
  <c r="BC121" i="4" a="1"/>
  <c r="BC121" i="4"/>
  <c r="BB121" i="4" a="1"/>
  <c r="BB121" i="4"/>
  <c r="BA121" i="4" a="1"/>
  <c r="BA121" i="4" s="1"/>
  <c r="DI121" i="4" s="1"/>
  <c r="AZ121" i="4" a="1"/>
  <c r="AZ121" i="4" s="1"/>
  <c r="CZ121" i="4" s="1"/>
  <c r="AY121" i="4" a="1"/>
  <c r="AY121" i="4"/>
  <c r="DH121" i="4" s="1"/>
  <c r="AW121" i="4"/>
  <c r="AV121" i="4"/>
  <c r="AT121" i="4"/>
  <c r="AS121" i="4"/>
  <c r="AR121" i="4"/>
  <c r="AQ121" i="4"/>
  <c r="AP121" i="4"/>
  <c r="AN121" i="4"/>
  <c r="AL121" i="4"/>
  <c r="AK121" i="4"/>
  <c r="AJ121" i="4"/>
  <c r="AI121" i="4"/>
  <c r="AH121" i="4"/>
  <c r="N121" i="4"/>
  <c r="M121" i="4"/>
  <c r="L121" i="4"/>
  <c r="DE121" i="4" s="1"/>
  <c r="K121" i="4"/>
  <c r="J121" i="4"/>
  <c r="I121" i="4"/>
  <c r="H121" i="4"/>
  <c r="DA121" i="4" s="1"/>
  <c r="G121" i="4"/>
  <c r="F121" i="4"/>
  <c r="D121" i="4"/>
  <c r="C121" i="4"/>
  <c r="B121" i="4"/>
  <c r="A121" i="4"/>
  <c r="DD120" i="4"/>
  <c r="DB120" i="4"/>
  <c r="CZ120" i="4"/>
  <c r="CX120" i="4"/>
  <c r="BU120" i="4"/>
  <c r="BT120" i="4"/>
  <c r="BQ120" i="4" a="1"/>
  <c r="BQ120" i="4"/>
  <c r="DJ120" i="4" s="1"/>
  <c r="BP120" i="4" a="1"/>
  <c r="BP120" i="4"/>
  <c r="BO120" i="4" a="1"/>
  <c r="BO120" i="4" s="1"/>
  <c r="BN120" i="4" a="1"/>
  <c r="BN120" i="4" s="1"/>
  <c r="BM120" i="4" a="1"/>
  <c r="BM120" i="4"/>
  <c r="BL120" i="4" a="1"/>
  <c r="BL120" i="4" s="1"/>
  <c r="BK120" i="4" a="1"/>
  <c r="BK120" i="4" s="1"/>
  <c r="BJ120" i="4" a="1"/>
  <c r="BJ120" i="4"/>
  <c r="BI120" i="4" a="1"/>
  <c r="BI120" i="4" s="1"/>
  <c r="BH120" i="4" a="1"/>
  <c r="BH120" i="4" s="1"/>
  <c r="DC120" i="4" s="1"/>
  <c r="BG120" i="4" a="1"/>
  <c r="BG120" i="4"/>
  <c r="BF120" i="4" a="1"/>
  <c r="BF120" i="4"/>
  <c r="BE120" i="4" a="1"/>
  <c r="BE120" i="4"/>
  <c r="BD120" i="4" a="1"/>
  <c r="BD120" i="4" s="1"/>
  <c r="DA120" i="4" s="1"/>
  <c r="BC120" i="4" a="1"/>
  <c r="BC120" i="4" s="1"/>
  <c r="BB120" i="4" a="1"/>
  <c r="BB120" i="4"/>
  <c r="BA120" i="4" a="1"/>
  <c r="BA120" i="4"/>
  <c r="AZ120" i="4" a="1"/>
  <c r="AZ120" i="4" s="1"/>
  <c r="AY120" i="4" a="1"/>
  <c r="AY120" i="4" s="1"/>
  <c r="DH120" i="4" s="1"/>
  <c r="AW120" i="4"/>
  <c r="AV120" i="4"/>
  <c r="AT120" i="4"/>
  <c r="AS120" i="4"/>
  <c r="AR120" i="4"/>
  <c r="AQ120" i="4"/>
  <c r="AP120" i="4"/>
  <c r="AN120" i="4"/>
  <c r="AL120" i="4"/>
  <c r="AK120" i="4"/>
  <c r="AJ120" i="4"/>
  <c r="AI120" i="4"/>
  <c r="AH120" i="4"/>
  <c r="N120" i="4"/>
  <c r="M120" i="4"/>
  <c r="DF120" i="4" s="1"/>
  <c r="L120" i="4"/>
  <c r="DE120" i="4" s="1"/>
  <c r="K120" i="4"/>
  <c r="J120" i="4"/>
  <c r="I120" i="4"/>
  <c r="H120" i="4"/>
  <c r="G120" i="4"/>
  <c r="F120" i="4"/>
  <c r="D120" i="4"/>
  <c r="C120" i="4"/>
  <c r="B120" i="4"/>
  <c r="A120" i="4"/>
  <c r="DJ119" i="4"/>
  <c r="DF119" i="4"/>
  <c r="CX119" i="4"/>
  <c r="BU119" i="4"/>
  <c r="BT119" i="4"/>
  <c r="BQ119" i="4" a="1"/>
  <c r="BQ119" i="4" s="1"/>
  <c r="BP119" i="4" a="1"/>
  <c r="BP119" i="4" s="1"/>
  <c r="BO119" i="4" a="1"/>
  <c r="BO119" i="4"/>
  <c r="BN119" i="4" a="1"/>
  <c r="BN119" i="4"/>
  <c r="BM119" i="4" a="1"/>
  <c r="BM119" i="4" s="1"/>
  <c r="BL119" i="4" a="1"/>
  <c r="BL119" i="4" s="1"/>
  <c r="BK119" i="4" a="1"/>
  <c r="BK119" i="4" s="1"/>
  <c r="BJ119" i="4" a="1"/>
  <c r="BJ119" i="4"/>
  <c r="BI119" i="4" a="1"/>
  <c r="BI119" i="4"/>
  <c r="BH119" i="4" a="1"/>
  <c r="BH119" i="4" s="1"/>
  <c r="BG119" i="4" a="1"/>
  <c r="BG119" i="4" s="1"/>
  <c r="BF119" i="4" a="1"/>
  <c r="BF119" i="4"/>
  <c r="BE119" i="4" a="1"/>
  <c r="BE119" i="4" s="1"/>
  <c r="BD119" i="4" a="1"/>
  <c r="BD119" i="4" s="1"/>
  <c r="DA119" i="4" s="1"/>
  <c r="BC119" i="4" a="1"/>
  <c r="BC119" i="4"/>
  <c r="BB119" i="4" a="1"/>
  <c r="BB119" i="4" s="1"/>
  <c r="BA119" i="4" a="1"/>
  <c r="BA119" i="4" s="1"/>
  <c r="DI119" i="4" s="1"/>
  <c r="AZ119" i="4" a="1"/>
  <c r="AZ119" i="4" s="1"/>
  <c r="AY119" i="4" a="1"/>
  <c r="AY119" i="4" s="1"/>
  <c r="DH119" i="4" s="1"/>
  <c r="AW119" i="4"/>
  <c r="AV119" i="4"/>
  <c r="AT119" i="4"/>
  <c r="AS119" i="4"/>
  <c r="AR119" i="4"/>
  <c r="AQ119" i="4"/>
  <c r="AP119" i="4"/>
  <c r="AN119" i="4"/>
  <c r="AL119" i="4"/>
  <c r="AK119" i="4"/>
  <c r="AJ119" i="4"/>
  <c r="AI119" i="4"/>
  <c r="AH119" i="4"/>
  <c r="N119" i="4"/>
  <c r="M119" i="4"/>
  <c r="L119" i="4"/>
  <c r="DE119" i="4" s="1"/>
  <c r="K119" i="4"/>
  <c r="DD119" i="4" s="1"/>
  <c r="J119" i="4"/>
  <c r="I119" i="4"/>
  <c r="DB119" i="4" s="1"/>
  <c r="H119" i="4"/>
  <c r="G119" i="4"/>
  <c r="F119" i="4"/>
  <c r="D119" i="4"/>
  <c r="C119" i="4"/>
  <c r="B119" i="4"/>
  <c r="A119" i="4"/>
  <c r="DH118" i="4"/>
  <c r="DF118" i="4"/>
  <c r="DC118" i="4"/>
  <c r="CX118" i="4"/>
  <c r="BU118" i="4"/>
  <c r="BT118" i="4"/>
  <c r="BQ118" i="4" a="1"/>
  <c r="BQ118" i="4"/>
  <c r="BP118" i="4" a="1"/>
  <c r="BP118" i="4" s="1"/>
  <c r="BO118" i="4" a="1"/>
  <c r="BO118" i="4"/>
  <c r="DE118" i="4" s="1"/>
  <c r="BN118" i="4" a="1"/>
  <c r="BN118" i="4"/>
  <c r="BM118" i="4" a="1"/>
  <c r="BM118" i="4" s="1"/>
  <c r="BL118" i="4" a="1"/>
  <c r="BL118" i="4" s="1"/>
  <c r="BK118" i="4" a="1"/>
  <c r="BK118" i="4"/>
  <c r="BJ118" i="4" a="1"/>
  <c r="BJ118" i="4"/>
  <c r="BI118" i="4" a="1"/>
  <c r="BI118" i="4"/>
  <c r="BH118" i="4" a="1"/>
  <c r="BH118" i="4"/>
  <c r="BG118" i="4" a="1"/>
  <c r="BG118" i="4" s="1"/>
  <c r="BF118" i="4" a="1"/>
  <c r="BF118" i="4"/>
  <c r="BE118" i="4" a="1"/>
  <c r="BE118" i="4"/>
  <c r="BD118" i="4" a="1"/>
  <c r="BD118" i="4" s="1"/>
  <c r="BC118" i="4" a="1"/>
  <c r="BC118" i="4" s="1"/>
  <c r="BB118" i="4" a="1"/>
  <c r="BB118" i="4"/>
  <c r="BA118" i="4" a="1"/>
  <c r="BA118" i="4" s="1"/>
  <c r="DI118" i="4" s="1"/>
  <c r="AZ118" i="4" a="1"/>
  <c r="AZ118" i="4"/>
  <c r="CZ118" i="4" s="1"/>
  <c r="AY118" i="4" a="1"/>
  <c r="AY118" i="4"/>
  <c r="AW118" i="4"/>
  <c r="AV118" i="4"/>
  <c r="AT118" i="4"/>
  <c r="AS118" i="4"/>
  <c r="AR118" i="4"/>
  <c r="AQ118" i="4"/>
  <c r="AP118" i="4"/>
  <c r="AN118" i="4"/>
  <c r="AL118" i="4"/>
  <c r="AK118" i="4"/>
  <c r="AJ118" i="4"/>
  <c r="AI118" i="4"/>
  <c r="AH118" i="4"/>
  <c r="N118" i="4"/>
  <c r="M118" i="4"/>
  <c r="L118" i="4"/>
  <c r="K118" i="4"/>
  <c r="DD118" i="4" s="1"/>
  <c r="J118" i="4"/>
  <c r="I118" i="4"/>
  <c r="H118" i="4"/>
  <c r="G118" i="4"/>
  <c r="F118" i="4"/>
  <c r="D118" i="4"/>
  <c r="C118" i="4"/>
  <c r="B118" i="4"/>
  <c r="A118" i="4"/>
  <c r="DH117" i="4"/>
  <c r="DC117" i="4"/>
  <c r="CX117" i="4"/>
  <c r="BU117" i="4"/>
  <c r="BT117" i="4"/>
  <c r="BQ117" i="4" a="1"/>
  <c r="BQ117" i="4"/>
  <c r="DF117" i="4" s="1"/>
  <c r="BP117" i="4" a="1"/>
  <c r="BP117" i="4" s="1"/>
  <c r="BO117" i="4" a="1"/>
  <c r="BO117" i="4" s="1"/>
  <c r="BN117" i="4" a="1"/>
  <c r="BN117" i="4"/>
  <c r="BM117" i="4" a="1"/>
  <c r="BM117" i="4"/>
  <c r="BL117" i="4" a="1"/>
  <c r="BL117" i="4"/>
  <c r="DD117" i="4" s="1"/>
  <c r="BK117" i="4" a="1"/>
  <c r="BK117" i="4" s="1"/>
  <c r="BJ117" i="4" a="1"/>
  <c r="BJ117" i="4" s="1"/>
  <c r="BI117" i="4" a="1"/>
  <c r="BI117" i="4" s="1"/>
  <c r="BH117" i="4" a="1"/>
  <c r="BH117" i="4" s="1"/>
  <c r="BG117" i="4" a="1"/>
  <c r="BG117" i="4"/>
  <c r="BF117" i="4" a="1"/>
  <c r="BF117" i="4" s="1"/>
  <c r="DB117" i="4" s="1"/>
  <c r="BE117" i="4" a="1"/>
  <c r="BE117" i="4"/>
  <c r="BD117" i="4" a="1"/>
  <c r="BD117" i="4" s="1"/>
  <c r="BC117" i="4" a="1"/>
  <c r="BC117" i="4" s="1"/>
  <c r="BB117" i="4" a="1"/>
  <c r="BB117" i="4"/>
  <c r="BA117" i="4" a="1"/>
  <c r="BA117" i="4"/>
  <c r="DI117" i="4" s="1"/>
  <c r="AZ117" i="4" a="1"/>
  <c r="AZ117" i="4"/>
  <c r="AY117" i="4" a="1"/>
  <c r="AY117" i="4"/>
  <c r="AW117" i="4"/>
  <c r="AV117" i="4"/>
  <c r="AT117" i="4"/>
  <c r="AS117" i="4"/>
  <c r="AR117" i="4"/>
  <c r="AQ117" i="4"/>
  <c r="AP117" i="4"/>
  <c r="AN117" i="4"/>
  <c r="AL117" i="4"/>
  <c r="AK117" i="4"/>
  <c r="AJ117" i="4"/>
  <c r="AI117" i="4"/>
  <c r="AH117" i="4"/>
  <c r="N117" i="4"/>
  <c r="M117" i="4"/>
  <c r="L117" i="4"/>
  <c r="K117" i="4"/>
  <c r="J117" i="4"/>
  <c r="I117" i="4"/>
  <c r="H117" i="4"/>
  <c r="G117" i="4"/>
  <c r="CZ117" i="4" s="1"/>
  <c r="F117" i="4"/>
  <c r="D117" i="4"/>
  <c r="C117" i="4"/>
  <c r="B117" i="4"/>
  <c r="A117" i="4"/>
  <c r="DE116" i="4"/>
  <c r="DD116" i="4"/>
  <c r="DC116" i="4"/>
  <c r="CX116" i="4"/>
  <c r="BU116" i="4"/>
  <c r="BT116" i="4"/>
  <c r="BQ116" i="4" a="1"/>
  <c r="BQ116" i="4" s="1"/>
  <c r="DJ116" i="4" s="1"/>
  <c r="BP116" i="4" a="1"/>
  <c r="BP116" i="4" s="1"/>
  <c r="BO116" i="4" a="1"/>
  <c r="BO116" i="4"/>
  <c r="BN116" i="4" a="1"/>
  <c r="BN116" i="4"/>
  <c r="BM116" i="4" a="1"/>
  <c r="BM116" i="4"/>
  <c r="BL116" i="4" a="1"/>
  <c r="BL116" i="4"/>
  <c r="BK116" i="4" a="1"/>
  <c r="BK116" i="4" s="1"/>
  <c r="BJ116" i="4" a="1"/>
  <c r="BJ116" i="4" s="1"/>
  <c r="BI116" i="4" a="1"/>
  <c r="BI116" i="4"/>
  <c r="BH116" i="4" a="1"/>
  <c r="BH116" i="4" s="1"/>
  <c r="BG116" i="4" a="1"/>
  <c r="BG116" i="4" s="1"/>
  <c r="BF116" i="4" a="1"/>
  <c r="BF116" i="4" s="1"/>
  <c r="BE116" i="4" a="1"/>
  <c r="BE116" i="4" s="1"/>
  <c r="BD116" i="4" a="1"/>
  <c r="BD116" i="4" s="1"/>
  <c r="DA116" i="4" s="1"/>
  <c r="BC116" i="4" a="1"/>
  <c r="BC116" i="4"/>
  <c r="BB116" i="4" a="1"/>
  <c r="BB116" i="4" s="1"/>
  <c r="BA116" i="4" a="1"/>
  <c r="BA116" i="4"/>
  <c r="AZ116" i="4" a="1"/>
  <c r="AZ116" i="4"/>
  <c r="AY116" i="4" a="1"/>
  <c r="AY116" i="4" s="1"/>
  <c r="DH116" i="4" s="1"/>
  <c r="AW116" i="4"/>
  <c r="AV116" i="4"/>
  <c r="AT116" i="4"/>
  <c r="AS116" i="4"/>
  <c r="AR116" i="4"/>
  <c r="AQ116" i="4"/>
  <c r="AP116" i="4"/>
  <c r="AN116" i="4"/>
  <c r="AL116" i="4"/>
  <c r="AK116" i="4"/>
  <c r="AJ116" i="4"/>
  <c r="AI116" i="4"/>
  <c r="AH116" i="4"/>
  <c r="N116" i="4"/>
  <c r="M116" i="4"/>
  <c r="L116" i="4"/>
  <c r="K116" i="4"/>
  <c r="J116" i="4"/>
  <c r="I116" i="4"/>
  <c r="DB116" i="4" s="1"/>
  <c r="H116" i="4"/>
  <c r="G116" i="4"/>
  <c r="CZ116" i="4" s="1"/>
  <c r="F116" i="4"/>
  <c r="D116" i="4"/>
  <c r="C116" i="4"/>
  <c r="B116" i="4"/>
  <c r="A116" i="4"/>
  <c r="DJ115" i="4"/>
  <c r="DH115" i="4"/>
  <c r="DB115" i="4"/>
  <c r="CZ115" i="4"/>
  <c r="CX115" i="4"/>
  <c r="BU115" i="4"/>
  <c r="BT115" i="4"/>
  <c r="BQ115" i="4" a="1"/>
  <c r="BQ115" i="4"/>
  <c r="BP115" i="4" a="1"/>
  <c r="BP115" i="4"/>
  <c r="BO115" i="4" a="1"/>
  <c r="BO115" i="4" s="1"/>
  <c r="BN115" i="4" a="1"/>
  <c r="BN115" i="4" s="1"/>
  <c r="BM115" i="4" a="1"/>
  <c r="BM115" i="4" s="1"/>
  <c r="BL115" i="4" a="1"/>
  <c r="BL115" i="4" s="1"/>
  <c r="BK115" i="4" a="1"/>
  <c r="BK115" i="4"/>
  <c r="BJ115" i="4" a="1"/>
  <c r="BJ115" i="4" s="1"/>
  <c r="BI115" i="4" a="1"/>
  <c r="BI115" i="4"/>
  <c r="BH115" i="4" a="1"/>
  <c r="BH115" i="4" s="1"/>
  <c r="DC115" i="4" s="1"/>
  <c r="BG115" i="4" a="1"/>
  <c r="BG115" i="4" s="1"/>
  <c r="BF115" i="4" a="1"/>
  <c r="BF115" i="4"/>
  <c r="BE115" i="4" a="1"/>
  <c r="BE115" i="4"/>
  <c r="BD115" i="4" a="1"/>
  <c r="BD115" i="4"/>
  <c r="BC115" i="4" a="1"/>
  <c r="BC115" i="4"/>
  <c r="BB115" i="4" a="1"/>
  <c r="BB115" i="4"/>
  <c r="BA115" i="4" a="1"/>
  <c r="BA115" i="4" s="1"/>
  <c r="DI115" i="4" s="1"/>
  <c r="AZ115" i="4" a="1"/>
  <c r="AZ115" i="4" s="1"/>
  <c r="AY115" i="4" a="1"/>
  <c r="AY115" i="4"/>
  <c r="AW115" i="4"/>
  <c r="AV115" i="4"/>
  <c r="AT115" i="4"/>
  <c r="AS115" i="4"/>
  <c r="AR115" i="4"/>
  <c r="AQ115" i="4"/>
  <c r="AP115" i="4"/>
  <c r="AN115" i="4"/>
  <c r="AL115" i="4"/>
  <c r="AK115" i="4"/>
  <c r="AJ115" i="4"/>
  <c r="AI115" i="4"/>
  <c r="AH115" i="4"/>
  <c r="N115" i="4"/>
  <c r="M115" i="4"/>
  <c r="DF115" i="4" s="1"/>
  <c r="L115" i="4"/>
  <c r="K115" i="4"/>
  <c r="J115" i="4"/>
  <c r="I115" i="4"/>
  <c r="H115" i="4"/>
  <c r="G115" i="4"/>
  <c r="F115" i="4"/>
  <c r="D115" i="4"/>
  <c r="C115" i="4"/>
  <c r="B115" i="4"/>
  <c r="A115" i="4"/>
  <c r="DB114" i="4"/>
  <c r="CX114" i="4"/>
  <c r="BU114" i="4"/>
  <c r="BT114" i="4"/>
  <c r="BQ114" i="4" a="1"/>
  <c r="BQ114" i="4"/>
  <c r="DF114" i="4" s="1"/>
  <c r="BP114" i="4" a="1"/>
  <c r="BP114" i="4"/>
  <c r="BO114" i="4" a="1"/>
  <c r="BO114" i="4" s="1"/>
  <c r="BN114" i="4" a="1"/>
  <c r="BN114" i="4"/>
  <c r="BM114" i="4" a="1"/>
  <c r="BM114" i="4"/>
  <c r="BL114" i="4" a="1"/>
  <c r="BL114" i="4" s="1"/>
  <c r="DD114" i="4" s="1"/>
  <c r="BK114" i="4" a="1"/>
  <c r="BK114" i="4" s="1"/>
  <c r="BJ114" i="4" a="1"/>
  <c r="BJ114" i="4" s="1"/>
  <c r="BI114" i="4" a="1"/>
  <c r="BI114" i="4" s="1"/>
  <c r="BH114" i="4" a="1"/>
  <c r="BH114" i="4"/>
  <c r="BG114" i="4" a="1"/>
  <c r="BG114" i="4"/>
  <c r="BF114" i="4" a="1"/>
  <c r="BF114" i="4"/>
  <c r="BE114" i="4" a="1"/>
  <c r="BE114" i="4"/>
  <c r="BD114" i="4" a="1"/>
  <c r="BD114" i="4"/>
  <c r="BC114" i="4" a="1"/>
  <c r="BC114" i="4" s="1"/>
  <c r="BB114" i="4" a="1"/>
  <c r="BB114" i="4" s="1"/>
  <c r="BA114" i="4" a="1"/>
  <c r="BA114" i="4"/>
  <c r="DI114" i="4" s="1"/>
  <c r="AZ114" i="4" a="1"/>
  <c r="AZ114" i="4" s="1"/>
  <c r="AY114" i="4" a="1"/>
  <c r="AY114" i="4"/>
  <c r="DH114" i="4" s="1"/>
  <c r="AW114" i="4"/>
  <c r="AV114" i="4"/>
  <c r="AT114" i="4"/>
  <c r="AS114" i="4"/>
  <c r="AR114" i="4"/>
  <c r="AQ114" i="4"/>
  <c r="AP114" i="4"/>
  <c r="AN114" i="4"/>
  <c r="AL114" i="4"/>
  <c r="AK114" i="4"/>
  <c r="AJ114" i="4"/>
  <c r="AI114" i="4"/>
  <c r="AH114" i="4"/>
  <c r="N114" i="4"/>
  <c r="M114" i="4"/>
  <c r="L114" i="4"/>
  <c r="DE114" i="4" s="1"/>
  <c r="K114" i="4"/>
  <c r="J114" i="4"/>
  <c r="DC114" i="4" s="1"/>
  <c r="I114" i="4"/>
  <c r="H114" i="4"/>
  <c r="DA114" i="4" s="1"/>
  <c r="G114" i="4"/>
  <c r="F114" i="4"/>
  <c r="D114" i="4"/>
  <c r="C114" i="4"/>
  <c r="B114" i="4"/>
  <c r="A114" i="4"/>
  <c r="DF113" i="4"/>
  <c r="DE113" i="4"/>
  <c r="DD113" i="4"/>
  <c r="CX113" i="4"/>
  <c r="BU113" i="4"/>
  <c r="BT113" i="4"/>
  <c r="BQ113" i="4" a="1"/>
  <c r="BQ113" i="4" s="1"/>
  <c r="BP113" i="4" a="1"/>
  <c r="BP113" i="4"/>
  <c r="BO113" i="4" a="1"/>
  <c r="BO113" i="4"/>
  <c r="BN113" i="4" a="1"/>
  <c r="BN113" i="4"/>
  <c r="BM113" i="4" a="1"/>
  <c r="BM113" i="4" s="1"/>
  <c r="BL113" i="4" a="1"/>
  <c r="BL113" i="4"/>
  <c r="BK113" i="4" a="1"/>
  <c r="BK113" i="4" s="1"/>
  <c r="BJ113" i="4" a="1"/>
  <c r="BJ113" i="4" s="1"/>
  <c r="BI113" i="4" a="1"/>
  <c r="BI113" i="4" s="1"/>
  <c r="BH113" i="4" a="1"/>
  <c r="BH113" i="4" s="1"/>
  <c r="DC113" i="4" s="1"/>
  <c r="BG113" i="4" a="1"/>
  <c r="BG113" i="4"/>
  <c r="BF113" i="4" a="1"/>
  <c r="BF113" i="4" s="1"/>
  <c r="DB113" i="4" s="1"/>
  <c r="BE113" i="4" a="1"/>
  <c r="BE113" i="4" s="1"/>
  <c r="BD113" i="4" a="1"/>
  <c r="BD113" i="4" s="1"/>
  <c r="BC113" i="4" a="1"/>
  <c r="BC113" i="4"/>
  <c r="BB113" i="4" a="1"/>
  <c r="BB113" i="4"/>
  <c r="BA113" i="4" a="1"/>
  <c r="BA113" i="4"/>
  <c r="DI113" i="4" s="1"/>
  <c r="AZ113" i="4" a="1"/>
  <c r="AZ113" i="4"/>
  <c r="AY113" i="4" a="1"/>
  <c r="AY113" i="4" s="1"/>
  <c r="DH113" i="4" s="1"/>
  <c r="AW113" i="4"/>
  <c r="AV113" i="4"/>
  <c r="AT113" i="4"/>
  <c r="AS113" i="4"/>
  <c r="AR113" i="4"/>
  <c r="AQ113" i="4"/>
  <c r="AP113" i="4"/>
  <c r="AN113" i="4"/>
  <c r="AL113" i="4"/>
  <c r="AK113" i="4"/>
  <c r="AJ113" i="4"/>
  <c r="AI113" i="4"/>
  <c r="AH113" i="4"/>
  <c r="N113" i="4"/>
  <c r="M113" i="4"/>
  <c r="L113" i="4"/>
  <c r="K113" i="4"/>
  <c r="J113" i="4"/>
  <c r="I113" i="4"/>
  <c r="H113" i="4"/>
  <c r="G113" i="4"/>
  <c r="F113" i="4"/>
  <c r="D113" i="4"/>
  <c r="C113" i="4"/>
  <c r="B113" i="4"/>
  <c r="A113" i="4"/>
  <c r="DF112" i="4"/>
  <c r="DE112" i="4"/>
  <c r="DC112" i="4"/>
  <c r="DA112" i="4"/>
  <c r="CZ112" i="4"/>
  <c r="CX112" i="4"/>
  <c r="BU112" i="4"/>
  <c r="BT112" i="4"/>
  <c r="BQ112" i="4" a="1"/>
  <c r="BQ112" i="4"/>
  <c r="DJ112" i="4" s="1"/>
  <c r="BP112" i="4" a="1"/>
  <c r="BP112" i="4" s="1"/>
  <c r="BO112" i="4" a="1"/>
  <c r="BO112" i="4" s="1"/>
  <c r="BN112" i="4" a="1"/>
  <c r="BN112" i="4" s="1"/>
  <c r="BM112" i="4" a="1"/>
  <c r="BM112" i="4" s="1"/>
  <c r="BL112" i="4" a="1"/>
  <c r="BL112" i="4"/>
  <c r="BK112" i="4" a="1"/>
  <c r="BK112" i="4" s="1"/>
  <c r="BJ112" i="4" a="1"/>
  <c r="BJ112" i="4"/>
  <c r="BI112" i="4" a="1"/>
  <c r="BI112" i="4"/>
  <c r="BH112" i="4" a="1"/>
  <c r="BH112" i="4"/>
  <c r="BG112" i="4" a="1"/>
  <c r="BG112" i="4" s="1"/>
  <c r="BF112" i="4" a="1"/>
  <c r="BF112" i="4" s="1"/>
  <c r="BE112" i="4" a="1"/>
  <c r="BE112" i="4" s="1"/>
  <c r="BD112" i="4" a="1"/>
  <c r="BD112" i="4"/>
  <c r="BC112" i="4" a="1"/>
  <c r="BC112" i="4" s="1"/>
  <c r="BB112" i="4" a="1"/>
  <c r="BB112" i="4" s="1"/>
  <c r="BA112" i="4" a="1"/>
  <c r="BA112" i="4" s="1"/>
  <c r="DI112" i="4" s="1"/>
  <c r="AZ112" i="4" a="1"/>
  <c r="AZ112" i="4"/>
  <c r="AY112" i="4" a="1"/>
  <c r="AY112" i="4"/>
  <c r="DH112" i="4" s="1"/>
  <c r="AW112" i="4"/>
  <c r="AV112" i="4"/>
  <c r="AT112" i="4"/>
  <c r="AS112" i="4"/>
  <c r="AR112" i="4"/>
  <c r="AQ112" i="4"/>
  <c r="AP112" i="4"/>
  <c r="AN112" i="4"/>
  <c r="AL112" i="4"/>
  <c r="AK112" i="4"/>
  <c r="AJ112" i="4"/>
  <c r="AI112" i="4"/>
  <c r="AH112" i="4"/>
  <c r="N112" i="4"/>
  <c r="M112" i="4"/>
  <c r="L112" i="4"/>
  <c r="K112" i="4"/>
  <c r="J112" i="4"/>
  <c r="I112" i="4"/>
  <c r="H112" i="4"/>
  <c r="G112" i="4"/>
  <c r="F112" i="4"/>
  <c r="D112" i="4"/>
  <c r="C112" i="4"/>
  <c r="B112" i="4"/>
  <c r="A112" i="4"/>
  <c r="DJ111" i="4"/>
  <c r="DB111" i="4"/>
  <c r="CX111" i="4"/>
  <c r="BU111" i="4"/>
  <c r="BT111" i="4"/>
  <c r="BQ111" i="4" a="1"/>
  <c r="BQ111" i="4"/>
  <c r="BP111" i="4" a="1"/>
  <c r="BP111" i="4" s="1"/>
  <c r="BO111" i="4" a="1"/>
  <c r="BO111" i="4" s="1"/>
  <c r="BN111" i="4" a="1"/>
  <c r="BN111" i="4"/>
  <c r="BM111" i="4" a="1"/>
  <c r="BM111" i="4"/>
  <c r="BL111" i="4" a="1"/>
  <c r="BL111" i="4"/>
  <c r="BK111" i="4" a="1"/>
  <c r="BK111" i="4"/>
  <c r="BJ111" i="4" a="1"/>
  <c r="BJ111" i="4"/>
  <c r="BI111" i="4" a="1"/>
  <c r="BI111" i="4" s="1"/>
  <c r="BH111" i="4" a="1"/>
  <c r="BH111" i="4" s="1"/>
  <c r="DC111" i="4" s="1"/>
  <c r="BG111" i="4" a="1"/>
  <c r="BG111" i="4" s="1"/>
  <c r="BF111" i="4" a="1"/>
  <c r="BF111" i="4" s="1"/>
  <c r="BE111" i="4" a="1"/>
  <c r="BE111" i="4"/>
  <c r="BD111" i="4" a="1"/>
  <c r="BD111" i="4" s="1"/>
  <c r="BC111" i="4" a="1"/>
  <c r="BC111" i="4" s="1"/>
  <c r="BB111" i="4" a="1"/>
  <c r="BB111" i="4"/>
  <c r="BA111" i="4" a="1"/>
  <c r="BA111" i="4" s="1"/>
  <c r="AZ111" i="4" a="1"/>
  <c r="AZ111" i="4"/>
  <c r="CZ111" i="4" s="1"/>
  <c r="AY111" i="4" a="1"/>
  <c r="AY111" i="4"/>
  <c r="DH111" i="4" s="1"/>
  <c r="AW111" i="4"/>
  <c r="AV111" i="4"/>
  <c r="AT111" i="4"/>
  <c r="AS111" i="4"/>
  <c r="AR111" i="4"/>
  <c r="AQ111" i="4"/>
  <c r="AP111" i="4"/>
  <c r="AN111" i="4"/>
  <c r="AL111" i="4"/>
  <c r="AK111" i="4"/>
  <c r="AJ111" i="4"/>
  <c r="AI111" i="4"/>
  <c r="AH111" i="4"/>
  <c r="N111" i="4"/>
  <c r="M111" i="4"/>
  <c r="DF111" i="4" s="1"/>
  <c r="L111" i="4"/>
  <c r="DE111" i="4" s="1"/>
  <c r="K111" i="4"/>
  <c r="DD111" i="4" s="1"/>
  <c r="J111" i="4"/>
  <c r="I111" i="4"/>
  <c r="H111" i="4"/>
  <c r="G111" i="4"/>
  <c r="F111" i="4"/>
  <c r="D111" i="4"/>
  <c r="C111" i="4"/>
  <c r="B111" i="4"/>
  <c r="A111" i="4"/>
  <c r="DI110" i="4"/>
  <c r="DH110" i="4"/>
  <c r="CX110" i="4"/>
  <c r="BU110" i="4"/>
  <c r="BT110" i="4"/>
  <c r="BQ110" i="4" a="1"/>
  <c r="BQ110" i="4" s="1"/>
  <c r="BP110" i="4" a="1"/>
  <c r="BP110" i="4" s="1"/>
  <c r="BO110" i="4" a="1"/>
  <c r="BO110" i="4" s="1"/>
  <c r="BN110" i="4" a="1"/>
  <c r="BN110" i="4"/>
  <c r="BM110" i="4" a="1"/>
  <c r="BM110" i="4"/>
  <c r="BL110" i="4" a="1"/>
  <c r="BL110" i="4"/>
  <c r="BK110" i="4" a="1"/>
  <c r="BK110" i="4" s="1"/>
  <c r="BJ110" i="4" a="1"/>
  <c r="BJ110" i="4"/>
  <c r="BI110" i="4" a="1"/>
  <c r="BI110" i="4"/>
  <c r="BH110" i="4" a="1"/>
  <c r="BH110" i="4" s="1"/>
  <c r="DC110" i="4" s="1"/>
  <c r="BG110" i="4" a="1"/>
  <c r="BG110" i="4" s="1"/>
  <c r="BF110" i="4" a="1"/>
  <c r="BF110" i="4" s="1"/>
  <c r="BE110" i="4" a="1"/>
  <c r="BE110" i="4" s="1"/>
  <c r="BD110" i="4" a="1"/>
  <c r="BD110" i="4" s="1"/>
  <c r="DA110" i="4" s="1"/>
  <c r="BC110" i="4" a="1"/>
  <c r="BC110" i="4"/>
  <c r="BB110" i="4" a="1"/>
  <c r="BB110" i="4" s="1"/>
  <c r="BA110" i="4" a="1"/>
  <c r="BA110" i="4" s="1"/>
  <c r="AZ110" i="4" a="1"/>
  <c r="AZ110" i="4"/>
  <c r="AY110" i="4" a="1"/>
  <c r="AY110" i="4" s="1"/>
  <c r="AW110" i="4"/>
  <c r="AV110" i="4"/>
  <c r="AT110" i="4"/>
  <c r="AS110" i="4"/>
  <c r="AR110" i="4"/>
  <c r="AQ110" i="4"/>
  <c r="AP110" i="4"/>
  <c r="AN110" i="4"/>
  <c r="AL110" i="4"/>
  <c r="AK110" i="4"/>
  <c r="AJ110" i="4"/>
  <c r="AI110" i="4"/>
  <c r="AH110" i="4"/>
  <c r="N110" i="4"/>
  <c r="M110" i="4"/>
  <c r="DF110" i="4" s="1"/>
  <c r="L110" i="4"/>
  <c r="K110" i="4"/>
  <c r="DD110" i="4" s="1"/>
  <c r="J110" i="4"/>
  <c r="I110" i="4"/>
  <c r="DB110" i="4" s="1"/>
  <c r="H110" i="4"/>
  <c r="G110" i="4"/>
  <c r="F110" i="4"/>
  <c r="D110" i="4"/>
  <c r="C110" i="4"/>
  <c r="B110" i="4"/>
  <c r="A110" i="4"/>
  <c r="DH109" i="4"/>
  <c r="CX109" i="4"/>
  <c r="BU109" i="4"/>
  <c r="BT109" i="4"/>
  <c r="BQ109" i="4" a="1"/>
  <c r="BQ109" i="4" s="1"/>
  <c r="DJ109" i="4" s="1"/>
  <c r="BP109" i="4" a="1"/>
  <c r="BP109" i="4"/>
  <c r="BO109" i="4" a="1"/>
  <c r="BO109" i="4"/>
  <c r="DE109" i="4" s="1"/>
  <c r="BN109" i="4" a="1"/>
  <c r="BN109" i="4" s="1"/>
  <c r="BM109" i="4" a="1"/>
  <c r="BM109" i="4" s="1"/>
  <c r="BL109" i="4" a="1"/>
  <c r="BL109" i="4"/>
  <c r="BK109" i="4" a="1"/>
  <c r="BK109" i="4"/>
  <c r="BJ109" i="4" a="1"/>
  <c r="BJ109" i="4"/>
  <c r="BI109" i="4" a="1"/>
  <c r="BI109" i="4"/>
  <c r="BH109" i="4" a="1"/>
  <c r="BH109" i="4" s="1"/>
  <c r="DC109" i="4" s="1"/>
  <c r="BG109" i="4" a="1"/>
  <c r="BG109" i="4" s="1"/>
  <c r="BF109" i="4" a="1"/>
  <c r="BF109" i="4" s="1"/>
  <c r="BE109" i="4" a="1"/>
  <c r="BE109" i="4" s="1"/>
  <c r="BD109" i="4" a="1"/>
  <c r="BD109" i="4"/>
  <c r="BC109" i="4" a="1"/>
  <c r="BC109" i="4" s="1"/>
  <c r="BB109" i="4" a="1"/>
  <c r="BB109" i="4"/>
  <c r="BA109" i="4" a="1"/>
  <c r="BA109" i="4" s="1"/>
  <c r="DI109" i="4" s="1"/>
  <c r="AZ109" i="4" a="1"/>
  <c r="AZ109" i="4" s="1"/>
  <c r="AY109" i="4" a="1"/>
  <c r="AY109" i="4"/>
  <c r="AW109" i="4"/>
  <c r="AV109" i="4"/>
  <c r="AT109" i="4"/>
  <c r="AS109" i="4"/>
  <c r="AR109" i="4"/>
  <c r="AQ109" i="4"/>
  <c r="AP109" i="4"/>
  <c r="AN109" i="4"/>
  <c r="AL109" i="4"/>
  <c r="AK109" i="4"/>
  <c r="AJ109" i="4"/>
  <c r="AI109" i="4"/>
  <c r="AH109" i="4"/>
  <c r="N109" i="4"/>
  <c r="M109" i="4"/>
  <c r="L109" i="4"/>
  <c r="K109" i="4"/>
  <c r="J109" i="4"/>
  <c r="I109" i="4"/>
  <c r="DB109" i="4" s="1"/>
  <c r="H109" i="4"/>
  <c r="DA109" i="4" s="1"/>
  <c r="G109" i="4"/>
  <c r="CZ109" i="4" s="1"/>
  <c r="F109" i="4"/>
  <c r="D109" i="4"/>
  <c r="C109" i="4"/>
  <c r="B109" i="4"/>
  <c r="A109" i="4"/>
  <c r="DJ108" i="4"/>
  <c r="DF108" i="4"/>
  <c r="DE108" i="4"/>
  <c r="CX108" i="4"/>
  <c r="BU108" i="4"/>
  <c r="BT108" i="4"/>
  <c r="BQ108" i="4" a="1"/>
  <c r="BQ108" i="4" s="1"/>
  <c r="BP108" i="4" a="1"/>
  <c r="BP108" i="4"/>
  <c r="BO108" i="4" a="1"/>
  <c r="BO108" i="4" s="1"/>
  <c r="BN108" i="4" a="1"/>
  <c r="BN108" i="4"/>
  <c r="BM108" i="4" a="1"/>
  <c r="BM108" i="4" s="1"/>
  <c r="BL108" i="4" a="1"/>
  <c r="BL108" i="4"/>
  <c r="BK108" i="4" a="1"/>
  <c r="BK108" i="4"/>
  <c r="BJ108" i="4" a="1"/>
  <c r="BJ108" i="4"/>
  <c r="BI108" i="4" a="1"/>
  <c r="BI108" i="4" s="1"/>
  <c r="BH108" i="4" a="1"/>
  <c r="BH108" i="4" s="1"/>
  <c r="BG108" i="4" a="1"/>
  <c r="BG108" i="4" s="1"/>
  <c r="BF108" i="4" a="1"/>
  <c r="BF108" i="4"/>
  <c r="BE108" i="4" a="1"/>
  <c r="BE108" i="4" s="1"/>
  <c r="BD108" i="4" a="1"/>
  <c r="BD108" i="4" s="1"/>
  <c r="BC108" i="4" a="1"/>
  <c r="BC108" i="4" s="1"/>
  <c r="BB108" i="4" a="1"/>
  <c r="BB108" i="4" s="1"/>
  <c r="BA108" i="4" a="1"/>
  <c r="BA108" i="4"/>
  <c r="DI108" i="4" s="1"/>
  <c r="AZ108" i="4" a="1"/>
  <c r="AZ108" i="4"/>
  <c r="AY108" i="4" a="1"/>
  <c r="AY108" i="4" s="1"/>
  <c r="DH108" i="4" s="1"/>
  <c r="AW108" i="4"/>
  <c r="AV108" i="4"/>
  <c r="AT108" i="4"/>
  <c r="AS108" i="4"/>
  <c r="AR108" i="4"/>
  <c r="AQ108" i="4"/>
  <c r="AP108" i="4"/>
  <c r="AN108" i="4"/>
  <c r="AL108" i="4"/>
  <c r="AK108" i="4"/>
  <c r="AJ108" i="4"/>
  <c r="AI108" i="4"/>
  <c r="AH108" i="4"/>
  <c r="N108" i="4"/>
  <c r="M108" i="4"/>
  <c r="L108" i="4"/>
  <c r="K108" i="4"/>
  <c r="DD108" i="4" s="1"/>
  <c r="J108" i="4"/>
  <c r="I108" i="4"/>
  <c r="DB108" i="4" s="1"/>
  <c r="H108" i="4"/>
  <c r="G108" i="4"/>
  <c r="CZ108" i="4" s="1"/>
  <c r="F108" i="4"/>
  <c r="D108" i="4"/>
  <c r="C108" i="4"/>
  <c r="B108" i="4"/>
  <c r="A108" i="4"/>
  <c r="DF107" i="4"/>
  <c r="CX107" i="4"/>
  <c r="BU107" i="4"/>
  <c r="BT107" i="4"/>
  <c r="BQ107" i="4" a="1"/>
  <c r="BQ107" i="4" s="1"/>
  <c r="BP107" i="4" a="1"/>
  <c r="BP107" i="4"/>
  <c r="BO107" i="4" a="1"/>
  <c r="BO107" i="4"/>
  <c r="DE107" i="4" s="1"/>
  <c r="BN107" i="4" a="1"/>
  <c r="BN107" i="4" s="1"/>
  <c r="BM107" i="4" a="1"/>
  <c r="BM107" i="4"/>
  <c r="BL107" i="4" a="1"/>
  <c r="BL107" i="4"/>
  <c r="BK107" i="4" a="1"/>
  <c r="BK107" i="4" s="1"/>
  <c r="BJ107" i="4" a="1"/>
  <c r="BJ107" i="4" s="1"/>
  <c r="BI107" i="4" a="1"/>
  <c r="BI107" i="4"/>
  <c r="BH107" i="4" a="1"/>
  <c r="BH107" i="4" s="1"/>
  <c r="BG107" i="4" a="1"/>
  <c r="BG107" i="4" s="1"/>
  <c r="BF107" i="4" a="1"/>
  <c r="BF107" i="4"/>
  <c r="BE107" i="4" a="1"/>
  <c r="BE107" i="4" s="1"/>
  <c r="BD107" i="4" a="1"/>
  <c r="BD107" i="4"/>
  <c r="BC107" i="4" a="1"/>
  <c r="BC107" i="4"/>
  <c r="BB107" i="4" a="1"/>
  <c r="BB107" i="4"/>
  <c r="BA107" i="4" a="1"/>
  <c r="BA107" i="4" s="1"/>
  <c r="DI107" i="4" s="1"/>
  <c r="AZ107" i="4" a="1"/>
  <c r="AZ107" i="4"/>
  <c r="AY107" i="4" a="1"/>
  <c r="AY107" i="4" s="1"/>
  <c r="DH107" i="4" s="1"/>
  <c r="AW107" i="4"/>
  <c r="AV107" i="4"/>
  <c r="AT107" i="4"/>
  <c r="AS107" i="4"/>
  <c r="AR107" i="4"/>
  <c r="AQ107" i="4"/>
  <c r="AP107" i="4"/>
  <c r="AN107" i="4"/>
  <c r="AL107" i="4"/>
  <c r="AK107" i="4"/>
  <c r="AJ107" i="4"/>
  <c r="AI107" i="4"/>
  <c r="AH107" i="4"/>
  <c r="N107" i="4"/>
  <c r="M107" i="4"/>
  <c r="L107" i="4"/>
  <c r="K107" i="4"/>
  <c r="DD107" i="4" s="1"/>
  <c r="J107" i="4"/>
  <c r="I107" i="4"/>
  <c r="DB107" i="4" s="1"/>
  <c r="H107" i="4"/>
  <c r="G107" i="4"/>
  <c r="CZ107" i="4" s="1"/>
  <c r="F107" i="4"/>
  <c r="D107" i="4"/>
  <c r="C107" i="4"/>
  <c r="B107" i="4"/>
  <c r="A107" i="4"/>
  <c r="DH106" i="4"/>
  <c r="CX106" i="4"/>
  <c r="BU106" i="4"/>
  <c r="BT106" i="4"/>
  <c r="BQ106" i="4" a="1"/>
  <c r="BQ106" i="4" s="1"/>
  <c r="DJ107" i="4" s="1"/>
  <c r="BP106" i="4" a="1"/>
  <c r="BP106" i="4" s="1"/>
  <c r="BO106" i="4" a="1"/>
  <c r="BO106" i="4" s="1"/>
  <c r="DE106" i="4" s="1"/>
  <c r="BN106" i="4" a="1"/>
  <c r="BN106" i="4"/>
  <c r="BM106" i="4" a="1"/>
  <c r="BM106" i="4" s="1"/>
  <c r="BL106" i="4" a="1"/>
  <c r="BL106" i="4"/>
  <c r="BK106" i="4" a="1"/>
  <c r="BK106" i="4" s="1"/>
  <c r="BJ106" i="4" a="1"/>
  <c r="BJ106" i="4"/>
  <c r="BI106" i="4" a="1"/>
  <c r="BI106" i="4"/>
  <c r="BH106" i="4" a="1"/>
  <c r="BH106" i="4" s="1"/>
  <c r="DC106" i="4" s="1"/>
  <c r="BG106" i="4" a="1"/>
  <c r="BG106" i="4" s="1"/>
  <c r="BF106" i="4" a="1"/>
  <c r="BF106" i="4"/>
  <c r="BE106" i="4" a="1"/>
  <c r="BE106" i="4" s="1"/>
  <c r="BD106" i="4" a="1"/>
  <c r="BD106" i="4" s="1"/>
  <c r="BC106" i="4" a="1"/>
  <c r="BC106" i="4" s="1"/>
  <c r="BB106" i="4" a="1"/>
  <c r="BB106" i="4" s="1"/>
  <c r="BA106" i="4" a="1"/>
  <c r="BA106" i="4" s="1"/>
  <c r="AZ106" i="4" a="1"/>
  <c r="AZ106" i="4" s="1"/>
  <c r="CZ106" i="4" s="1"/>
  <c r="AY106" i="4" a="1"/>
  <c r="AY106" i="4"/>
  <c r="AW106" i="4"/>
  <c r="AV106" i="4"/>
  <c r="AT106" i="4"/>
  <c r="AS106" i="4"/>
  <c r="AR106" i="4"/>
  <c r="AQ106" i="4"/>
  <c r="AP106" i="4"/>
  <c r="AN106" i="4"/>
  <c r="AL106" i="4"/>
  <c r="AK106" i="4"/>
  <c r="AJ106" i="4"/>
  <c r="AI106" i="4"/>
  <c r="AH106" i="4"/>
  <c r="N106" i="4"/>
  <c r="M106" i="4"/>
  <c r="DF106" i="4" s="1"/>
  <c r="L106" i="4"/>
  <c r="K106" i="4"/>
  <c r="J106" i="4"/>
  <c r="I106" i="4"/>
  <c r="H106" i="4"/>
  <c r="DA106" i="4" s="1"/>
  <c r="G106" i="4"/>
  <c r="F106" i="4"/>
  <c r="D106" i="4"/>
  <c r="C106" i="4"/>
  <c r="B106" i="4"/>
  <c r="A106" i="4"/>
  <c r="DF105" i="4"/>
  <c r="CZ105" i="4"/>
  <c r="CX105" i="4"/>
  <c r="BU105" i="4"/>
  <c r="BT105" i="4"/>
  <c r="BQ105" i="4" a="1"/>
  <c r="BQ105" i="4"/>
  <c r="BP105" i="4" a="1"/>
  <c r="BP105" i="4" s="1"/>
  <c r="BO105" i="4" a="1"/>
  <c r="BO105" i="4" s="1"/>
  <c r="DE105" i="4" s="1"/>
  <c r="BN105" i="4" a="1"/>
  <c r="BN105" i="4"/>
  <c r="BM105" i="4" a="1"/>
  <c r="BM105" i="4"/>
  <c r="BL105" i="4" a="1"/>
  <c r="BL105" i="4" s="1"/>
  <c r="DD105" i="4" s="1"/>
  <c r="BK105" i="4" a="1"/>
  <c r="BK105" i="4" s="1"/>
  <c r="BJ105" i="4" a="1"/>
  <c r="BJ105" i="4"/>
  <c r="BI105" i="4" a="1"/>
  <c r="BI105" i="4" s="1"/>
  <c r="BH105" i="4" a="1"/>
  <c r="BH105" i="4" s="1"/>
  <c r="BG105" i="4" a="1"/>
  <c r="BG105" i="4" s="1"/>
  <c r="BF105" i="4" a="1"/>
  <c r="BF105" i="4"/>
  <c r="BE105" i="4" a="1"/>
  <c r="BE105" i="4" s="1"/>
  <c r="BD105" i="4" a="1"/>
  <c r="BD105" i="4" s="1"/>
  <c r="BC105" i="4" a="1"/>
  <c r="BC105" i="4" s="1"/>
  <c r="BB105" i="4" a="1"/>
  <c r="BB105" i="4"/>
  <c r="BA105" i="4" a="1"/>
  <c r="BA105" i="4"/>
  <c r="DI105" i="4" s="1"/>
  <c r="AZ105" i="4" a="1"/>
  <c r="AZ105" i="4" s="1"/>
  <c r="AY105" i="4" a="1"/>
  <c r="AY105" i="4"/>
  <c r="DH105" i="4" s="1"/>
  <c r="AW105" i="4"/>
  <c r="AV105" i="4"/>
  <c r="AT105" i="4"/>
  <c r="AS105" i="4"/>
  <c r="AR105" i="4"/>
  <c r="AQ105" i="4"/>
  <c r="AP105" i="4"/>
  <c r="AN105" i="4"/>
  <c r="AL105" i="4"/>
  <c r="AK105" i="4"/>
  <c r="AJ105" i="4"/>
  <c r="AI105" i="4"/>
  <c r="AH105" i="4"/>
  <c r="N105" i="4"/>
  <c r="M105" i="4"/>
  <c r="L105" i="4"/>
  <c r="K105" i="4"/>
  <c r="J105" i="4"/>
  <c r="DC105" i="4" s="1"/>
  <c r="I105" i="4"/>
  <c r="DB105" i="4" s="1"/>
  <c r="H105" i="4"/>
  <c r="DA105" i="4" s="1"/>
  <c r="G105" i="4"/>
  <c r="F105" i="4"/>
  <c r="D105" i="4"/>
  <c r="C105" i="4"/>
  <c r="B105" i="4"/>
  <c r="A105" i="4"/>
  <c r="DF104" i="4"/>
  <c r="DB104" i="4"/>
  <c r="CX104" i="4"/>
  <c r="BU104" i="4"/>
  <c r="BT104" i="4"/>
  <c r="BQ104" i="4" a="1"/>
  <c r="BQ104" i="4" s="1"/>
  <c r="BP104" i="4" a="1"/>
  <c r="BP104" i="4"/>
  <c r="BO104" i="4" a="1"/>
  <c r="BO104" i="4"/>
  <c r="DE104" i="4" s="1"/>
  <c r="BN104" i="4" a="1"/>
  <c r="BN104" i="4"/>
  <c r="BM104" i="4" a="1"/>
  <c r="BM104" i="4"/>
  <c r="BL104" i="4" a="1"/>
  <c r="BL104" i="4"/>
  <c r="BK104" i="4" a="1"/>
  <c r="BK104" i="4" s="1"/>
  <c r="BJ104" i="4" a="1"/>
  <c r="BJ104" i="4"/>
  <c r="BI104" i="4" a="1"/>
  <c r="BI104" i="4" s="1"/>
  <c r="BH104" i="4" a="1"/>
  <c r="BH104" i="4" s="1"/>
  <c r="DC104" i="4" s="1"/>
  <c r="BG104" i="4" a="1"/>
  <c r="BG104" i="4" s="1"/>
  <c r="BF104" i="4" a="1"/>
  <c r="BF104" i="4"/>
  <c r="BE104" i="4" a="1"/>
  <c r="BE104" i="4" s="1"/>
  <c r="BD104" i="4" a="1"/>
  <c r="BD104" i="4" s="1"/>
  <c r="BC104" i="4" a="1"/>
  <c r="BC104" i="4" s="1"/>
  <c r="BB104" i="4" a="1"/>
  <c r="BB104" i="4"/>
  <c r="BA104" i="4" a="1"/>
  <c r="BA104" i="4"/>
  <c r="DI104" i="4" s="1"/>
  <c r="AZ104" i="4" a="1"/>
  <c r="AZ104" i="4" s="1"/>
  <c r="AY104" i="4" a="1"/>
  <c r="AY104" i="4" s="1"/>
  <c r="DH104" i="4" s="1"/>
  <c r="AW104" i="4"/>
  <c r="AV104" i="4"/>
  <c r="AT104" i="4"/>
  <c r="AS104" i="4"/>
  <c r="AR104" i="4"/>
  <c r="AQ104" i="4"/>
  <c r="AP104" i="4"/>
  <c r="AN104" i="4"/>
  <c r="AL104" i="4"/>
  <c r="AK104" i="4"/>
  <c r="AJ104" i="4"/>
  <c r="AI104" i="4"/>
  <c r="AH104" i="4"/>
  <c r="N104" i="4"/>
  <c r="M104" i="4"/>
  <c r="L104" i="4"/>
  <c r="K104" i="4"/>
  <c r="J104" i="4"/>
  <c r="I104" i="4"/>
  <c r="H104" i="4"/>
  <c r="G104" i="4"/>
  <c r="F104" i="4"/>
  <c r="D104" i="4"/>
  <c r="C104" i="4"/>
  <c r="B104" i="4"/>
  <c r="A104" i="4"/>
  <c r="DC103" i="4"/>
  <c r="CX103" i="4"/>
  <c r="BU103" i="4"/>
  <c r="BT103" i="4"/>
  <c r="BQ103" i="4" a="1"/>
  <c r="BQ103" i="4"/>
  <c r="BP103" i="4" a="1"/>
  <c r="BP103" i="4" s="1"/>
  <c r="BO103" i="4" a="1"/>
  <c r="BO103" i="4" s="1"/>
  <c r="BN103" i="4" a="1"/>
  <c r="BN103" i="4" s="1"/>
  <c r="BM103" i="4" a="1"/>
  <c r="BM103" i="4" s="1"/>
  <c r="BL103" i="4" a="1"/>
  <c r="BL103" i="4" s="1"/>
  <c r="BK103" i="4" a="1"/>
  <c r="BK103" i="4"/>
  <c r="BJ103" i="4" a="1"/>
  <c r="BJ103" i="4" s="1"/>
  <c r="BI103" i="4" a="1"/>
  <c r="BI103" i="4" s="1"/>
  <c r="BH103" i="4" a="1"/>
  <c r="BH103" i="4"/>
  <c r="BG103" i="4" a="1"/>
  <c r="BG103" i="4" s="1"/>
  <c r="BF103" i="4" a="1"/>
  <c r="BF103" i="4" s="1"/>
  <c r="BE103" i="4" a="1"/>
  <c r="BE103" i="4" s="1"/>
  <c r="BD103" i="4" a="1"/>
  <c r="BD103" i="4"/>
  <c r="DA103" i="4" s="1"/>
  <c r="BC103" i="4" a="1"/>
  <c r="BC103" i="4"/>
  <c r="BB103" i="4" a="1"/>
  <c r="BB103" i="4" s="1"/>
  <c r="BA103" i="4" a="1"/>
  <c r="BA103" i="4" s="1"/>
  <c r="AZ103" i="4" a="1"/>
  <c r="AZ103" i="4"/>
  <c r="AY103" i="4" a="1"/>
  <c r="AY103" i="4"/>
  <c r="DH103" i="4" s="1"/>
  <c r="AW103" i="4"/>
  <c r="AV103" i="4"/>
  <c r="AT103" i="4"/>
  <c r="AS103" i="4"/>
  <c r="AR103" i="4"/>
  <c r="AQ103" i="4"/>
  <c r="AP103" i="4"/>
  <c r="AN103" i="4"/>
  <c r="AL103" i="4"/>
  <c r="AK103" i="4"/>
  <c r="AJ103" i="4"/>
  <c r="AI103" i="4"/>
  <c r="AH103" i="4"/>
  <c r="N103" i="4"/>
  <c r="M103" i="4"/>
  <c r="L103" i="4"/>
  <c r="DE103" i="4" s="1"/>
  <c r="K103" i="4"/>
  <c r="J103" i="4"/>
  <c r="I103" i="4"/>
  <c r="H103" i="4"/>
  <c r="G103" i="4"/>
  <c r="CZ103" i="4" s="1"/>
  <c r="F103" i="4"/>
  <c r="D103" i="4"/>
  <c r="C103" i="4"/>
  <c r="B103" i="4"/>
  <c r="A103" i="4"/>
  <c r="DH102" i="4"/>
  <c r="DD102" i="4"/>
  <c r="CZ102" i="4"/>
  <c r="CX102" i="4"/>
  <c r="BU102" i="4"/>
  <c r="BT102" i="4"/>
  <c r="BQ102" i="4" a="1"/>
  <c r="BQ102" i="4" s="1"/>
  <c r="BP102" i="4" a="1"/>
  <c r="BP102" i="4"/>
  <c r="BO102" i="4" a="1"/>
  <c r="BO102" i="4" s="1"/>
  <c r="BN102" i="4" a="1"/>
  <c r="BN102" i="4" s="1"/>
  <c r="BM102" i="4" a="1"/>
  <c r="BM102" i="4"/>
  <c r="BL102" i="4" a="1"/>
  <c r="BL102" i="4"/>
  <c r="BK102" i="4" a="1"/>
  <c r="BK102" i="4" s="1"/>
  <c r="BJ102" i="4" a="1"/>
  <c r="BJ102" i="4"/>
  <c r="BI102" i="4" a="1"/>
  <c r="BI102" i="4" s="1"/>
  <c r="BH102" i="4" a="1"/>
  <c r="BH102" i="4" s="1"/>
  <c r="BG102" i="4" a="1"/>
  <c r="BG102" i="4" s="1"/>
  <c r="BF102" i="4" a="1"/>
  <c r="BF102" i="4" s="1"/>
  <c r="DB102" i="4" s="1"/>
  <c r="BE102" i="4" a="1"/>
  <c r="BE102" i="4"/>
  <c r="BD102" i="4" a="1"/>
  <c r="BD102" i="4"/>
  <c r="BC102" i="4" a="1"/>
  <c r="BC102" i="4" s="1"/>
  <c r="BB102" i="4" a="1"/>
  <c r="BB102" i="4"/>
  <c r="BA102" i="4" a="1"/>
  <c r="BA102" i="4"/>
  <c r="DI102" i="4" s="1"/>
  <c r="AZ102" i="4" a="1"/>
  <c r="AZ102" i="4"/>
  <c r="AY102" i="4" a="1"/>
  <c r="AY102" i="4"/>
  <c r="AW102" i="4"/>
  <c r="AV102" i="4"/>
  <c r="AT102" i="4"/>
  <c r="AS102" i="4"/>
  <c r="AR102" i="4"/>
  <c r="AQ102" i="4"/>
  <c r="AP102" i="4"/>
  <c r="AN102" i="4"/>
  <c r="AL102" i="4"/>
  <c r="AK102" i="4"/>
  <c r="AJ102" i="4"/>
  <c r="AI102" i="4"/>
  <c r="AH102" i="4"/>
  <c r="N102" i="4"/>
  <c r="M102" i="4"/>
  <c r="L102" i="4"/>
  <c r="K102" i="4"/>
  <c r="J102" i="4"/>
  <c r="I102" i="4"/>
  <c r="H102" i="4"/>
  <c r="DA102" i="4" s="1"/>
  <c r="G102" i="4"/>
  <c r="F102" i="4"/>
  <c r="D102" i="4"/>
  <c r="C102" i="4"/>
  <c r="B102" i="4"/>
  <c r="A102" i="4"/>
  <c r="DH101" i="4"/>
  <c r="CX101" i="4"/>
  <c r="BU101" i="4"/>
  <c r="BT101" i="4"/>
  <c r="BQ101" i="4" a="1"/>
  <c r="BQ101" i="4" s="1"/>
  <c r="BP101" i="4" a="1"/>
  <c r="BP101" i="4"/>
  <c r="BO101" i="4" a="1"/>
  <c r="BO101" i="4" s="1"/>
  <c r="BN101" i="4" a="1"/>
  <c r="BN101" i="4" s="1"/>
  <c r="BM101" i="4" a="1"/>
  <c r="BM101" i="4"/>
  <c r="BL101" i="4" a="1"/>
  <c r="BL101" i="4"/>
  <c r="DD101" i="4" s="1"/>
  <c r="BK101" i="4" a="1"/>
  <c r="BK101" i="4" s="1"/>
  <c r="BJ101" i="4" a="1"/>
  <c r="BJ101" i="4" s="1"/>
  <c r="BI101" i="4" a="1"/>
  <c r="BI101" i="4"/>
  <c r="BH101" i="4" a="1"/>
  <c r="BH101" i="4"/>
  <c r="BG101" i="4" a="1"/>
  <c r="BG101" i="4" s="1"/>
  <c r="BF101" i="4" a="1"/>
  <c r="BF101" i="4" s="1"/>
  <c r="BE101" i="4" a="1"/>
  <c r="BE101" i="4" s="1"/>
  <c r="BD101" i="4" a="1"/>
  <c r="BD101" i="4"/>
  <c r="DA101" i="4" s="1"/>
  <c r="BC101" i="4" a="1"/>
  <c r="BC101" i="4" s="1"/>
  <c r="BB101" i="4" a="1"/>
  <c r="BB101" i="4"/>
  <c r="BA101" i="4" a="1"/>
  <c r="BA101" i="4" s="1"/>
  <c r="DI101" i="4" s="1"/>
  <c r="AZ101" i="4" a="1"/>
  <c r="AZ101" i="4"/>
  <c r="AY101" i="4" a="1"/>
  <c r="AY101" i="4" s="1"/>
  <c r="AW101" i="4"/>
  <c r="AV101" i="4"/>
  <c r="AT101" i="4"/>
  <c r="AS101" i="4"/>
  <c r="AR101" i="4"/>
  <c r="AQ101" i="4"/>
  <c r="AP101" i="4"/>
  <c r="AN101" i="4"/>
  <c r="AL101" i="4"/>
  <c r="AK101" i="4"/>
  <c r="AJ101" i="4"/>
  <c r="AI101" i="4"/>
  <c r="AH101" i="4"/>
  <c r="N101" i="4"/>
  <c r="M101" i="4"/>
  <c r="DF101" i="4" s="1"/>
  <c r="L101" i="4"/>
  <c r="K101" i="4"/>
  <c r="J101" i="4"/>
  <c r="DC101" i="4" s="1"/>
  <c r="I101" i="4"/>
  <c r="DB101" i="4" s="1"/>
  <c r="H101" i="4"/>
  <c r="G101" i="4"/>
  <c r="CZ101" i="4" s="1"/>
  <c r="F101" i="4"/>
  <c r="D101" i="4"/>
  <c r="C101" i="4"/>
  <c r="B101" i="4"/>
  <c r="A101" i="4"/>
  <c r="DC100" i="4"/>
  <c r="CX100" i="4"/>
  <c r="BU100" i="4"/>
  <c r="BT100" i="4"/>
  <c r="BQ100" i="4" a="1"/>
  <c r="BQ100" i="4" s="1"/>
  <c r="DJ100" i="4" s="1"/>
  <c r="BP100" i="4" a="1"/>
  <c r="BP100" i="4"/>
  <c r="BO100" i="4" a="1"/>
  <c r="BO100" i="4"/>
  <c r="DE100" i="4" s="1"/>
  <c r="BN100" i="4" a="1"/>
  <c r="BN100" i="4" s="1"/>
  <c r="BM100" i="4" a="1"/>
  <c r="BM100" i="4" s="1"/>
  <c r="BL100" i="4" a="1"/>
  <c r="BL100" i="4"/>
  <c r="BK100" i="4" a="1"/>
  <c r="BK100" i="4" s="1"/>
  <c r="BJ100" i="4" a="1"/>
  <c r="BJ100" i="4" s="1"/>
  <c r="BI100" i="4" a="1"/>
  <c r="BI100" i="4"/>
  <c r="BH100" i="4" a="1"/>
  <c r="BH100" i="4" s="1"/>
  <c r="BG100" i="4" a="1"/>
  <c r="BG100" i="4" s="1"/>
  <c r="BF100" i="4" a="1"/>
  <c r="BF100" i="4" s="1"/>
  <c r="DB100" i="4" s="1"/>
  <c r="BE100" i="4" a="1"/>
  <c r="BE100" i="4"/>
  <c r="BD100" i="4" a="1"/>
  <c r="BD100" i="4" s="1"/>
  <c r="BC100" i="4" a="1"/>
  <c r="BC100" i="4" s="1"/>
  <c r="BB100" i="4" a="1"/>
  <c r="BB100" i="4" s="1"/>
  <c r="BA100" i="4" a="1"/>
  <c r="BA100" i="4" s="1"/>
  <c r="AZ100" i="4" a="1"/>
  <c r="AZ100" i="4"/>
  <c r="AY100" i="4" a="1"/>
  <c r="AY100" i="4" s="1"/>
  <c r="DH100" i="4" s="1"/>
  <c r="AW100" i="4"/>
  <c r="AV100" i="4"/>
  <c r="AT100" i="4"/>
  <c r="AS100" i="4"/>
  <c r="AR100" i="4"/>
  <c r="AQ100" i="4"/>
  <c r="AP100" i="4"/>
  <c r="AN100" i="4"/>
  <c r="AL100" i="4"/>
  <c r="AK100" i="4"/>
  <c r="AJ100" i="4"/>
  <c r="AI100" i="4"/>
  <c r="AH100" i="4"/>
  <c r="N100" i="4"/>
  <c r="M100" i="4"/>
  <c r="L100" i="4"/>
  <c r="K100" i="4"/>
  <c r="DD100" i="4" s="1"/>
  <c r="J100" i="4"/>
  <c r="I100" i="4"/>
  <c r="H100" i="4"/>
  <c r="DA100" i="4" s="1"/>
  <c r="G100" i="4"/>
  <c r="CZ100" i="4" s="1"/>
  <c r="F100" i="4"/>
  <c r="D100" i="4"/>
  <c r="C100" i="4"/>
  <c r="B100" i="4"/>
  <c r="A100" i="4"/>
  <c r="DB99" i="4"/>
  <c r="CX99" i="4"/>
  <c r="BU99" i="4"/>
  <c r="BT99" i="4"/>
  <c r="BQ99" i="4" a="1"/>
  <c r="BQ99" i="4" s="1"/>
  <c r="DJ99" i="4" s="1"/>
  <c r="BP99" i="4" a="1"/>
  <c r="BP99" i="4" s="1"/>
  <c r="BO99" i="4" a="1"/>
  <c r="BO99" i="4" s="1"/>
  <c r="BN99" i="4" a="1"/>
  <c r="BN99" i="4"/>
  <c r="BM99" i="4" a="1"/>
  <c r="BM99" i="4"/>
  <c r="BL99" i="4" a="1"/>
  <c r="BL99" i="4" s="1"/>
  <c r="BK99" i="4" a="1"/>
  <c r="BK99" i="4"/>
  <c r="BJ99" i="4" a="1"/>
  <c r="BJ99" i="4" s="1"/>
  <c r="BI99" i="4" a="1"/>
  <c r="BI99" i="4" s="1"/>
  <c r="BH99" i="4" a="1"/>
  <c r="BH99" i="4" s="1"/>
  <c r="DC99" i="4" s="1"/>
  <c r="BG99" i="4" a="1"/>
  <c r="BG99" i="4"/>
  <c r="BF99" i="4" a="1"/>
  <c r="BF99" i="4"/>
  <c r="BE99" i="4" a="1"/>
  <c r="BE99" i="4" s="1"/>
  <c r="BD99" i="4" a="1"/>
  <c r="BD99" i="4" s="1"/>
  <c r="BC99" i="4" a="1"/>
  <c r="BC99" i="4" s="1"/>
  <c r="BB99" i="4" a="1"/>
  <c r="BB99" i="4" s="1"/>
  <c r="BA99" i="4" a="1"/>
  <c r="BA99" i="4" s="1"/>
  <c r="AZ99" i="4" a="1"/>
  <c r="AZ99" i="4"/>
  <c r="AY99" i="4" a="1"/>
  <c r="AY99" i="4"/>
  <c r="DH99" i="4" s="1"/>
  <c r="AW99" i="4"/>
  <c r="AV99" i="4"/>
  <c r="AT99" i="4"/>
  <c r="AS99" i="4"/>
  <c r="AR99" i="4"/>
  <c r="AQ99" i="4"/>
  <c r="AP99" i="4"/>
  <c r="AN99" i="4"/>
  <c r="AL99" i="4"/>
  <c r="AK99" i="4"/>
  <c r="AJ99" i="4"/>
  <c r="AI99" i="4"/>
  <c r="AH99" i="4"/>
  <c r="N99" i="4"/>
  <c r="M99" i="4"/>
  <c r="L99" i="4"/>
  <c r="DE99" i="4" s="1"/>
  <c r="K99" i="4"/>
  <c r="DD99" i="4" s="1"/>
  <c r="J99" i="4"/>
  <c r="I99" i="4"/>
  <c r="H99" i="4"/>
  <c r="DA99" i="4" s="1"/>
  <c r="G99" i="4"/>
  <c r="CZ99" i="4" s="1"/>
  <c r="F99" i="4"/>
  <c r="D99" i="4"/>
  <c r="C99" i="4"/>
  <c r="B99" i="4"/>
  <c r="A99" i="4"/>
  <c r="DD98" i="4"/>
  <c r="CX98" i="4"/>
  <c r="BU98" i="4"/>
  <c r="BT98" i="4"/>
  <c r="BQ98" i="4" a="1"/>
  <c r="BQ98" i="4" s="1"/>
  <c r="DF98" i="4" s="1"/>
  <c r="BP98" i="4" a="1"/>
  <c r="BP98" i="4"/>
  <c r="BO98" i="4" a="1"/>
  <c r="BO98" i="4"/>
  <c r="BN98" i="4" a="1"/>
  <c r="BN98" i="4" s="1"/>
  <c r="BM98" i="4" a="1"/>
  <c r="BM98" i="4"/>
  <c r="BL98" i="4" a="1"/>
  <c r="BL98" i="4" s="1"/>
  <c r="BK98" i="4" a="1"/>
  <c r="BK98" i="4" s="1"/>
  <c r="BJ98" i="4" a="1"/>
  <c r="BJ98" i="4" s="1"/>
  <c r="BI98" i="4" a="1"/>
  <c r="BI98" i="4"/>
  <c r="BH98" i="4" a="1"/>
  <c r="BH98" i="4"/>
  <c r="DC98" i="4" s="1"/>
  <c r="BG98" i="4" a="1"/>
  <c r="BG98" i="4" s="1"/>
  <c r="BF98" i="4" a="1"/>
  <c r="BF98" i="4" s="1"/>
  <c r="BE98" i="4" a="1"/>
  <c r="BE98" i="4" s="1"/>
  <c r="BD98" i="4" a="1"/>
  <c r="BD98" i="4" s="1"/>
  <c r="DA98" i="4" s="1"/>
  <c r="BC98" i="4" a="1"/>
  <c r="BC98" i="4" s="1"/>
  <c r="BB98" i="4" a="1"/>
  <c r="BB98" i="4"/>
  <c r="BA98" i="4" a="1"/>
  <c r="BA98" i="4"/>
  <c r="DI98" i="4" s="1"/>
  <c r="AZ98" i="4" a="1"/>
  <c r="AZ98" i="4" s="1"/>
  <c r="AY98" i="4" a="1"/>
  <c r="AY98" i="4" s="1"/>
  <c r="DH98" i="4" s="1"/>
  <c r="AW98" i="4"/>
  <c r="AV98" i="4"/>
  <c r="AT98" i="4"/>
  <c r="AS98" i="4"/>
  <c r="AR98" i="4"/>
  <c r="AQ98" i="4"/>
  <c r="AP98" i="4"/>
  <c r="AN98" i="4"/>
  <c r="AL98" i="4"/>
  <c r="AK98" i="4"/>
  <c r="AJ98" i="4"/>
  <c r="AI98" i="4"/>
  <c r="AH98" i="4"/>
  <c r="N98" i="4"/>
  <c r="M98" i="4"/>
  <c r="L98" i="4"/>
  <c r="K98" i="4"/>
  <c r="J98" i="4"/>
  <c r="I98" i="4"/>
  <c r="H98" i="4"/>
  <c r="G98" i="4"/>
  <c r="CZ98" i="4" s="1"/>
  <c r="F98" i="4"/>
  <c r="D98" i="4"/>
  <c r="C98" i="4"/>
  <c r="B98" i="4"/>
  <c r="A98" i="4"/>
  <c r="DC97" i="4"/>
  <c r="DB97" i="4"/>
  <c r="CX97" i="4"/>
  <c r="BU97" i="4"/>
  <c r="BT97" i="4"/>
  <c r="BQ97" i="4" a="1"/>
  <c r="BQ97" i="4" s="1"/>
  <c r="BP97" i="4" a="1"/>
  <c r="BP97" i="4" s="1"/>
  <c r="BO97" i="4" a="1"/>
  <c r="BO97" i="4"/>
  <c r="DE97" i="4" s="1"/>
  <c r="BN97" i="4" a="1"/>
  <c r="BN97" i="4" s="1"/>
  <c r="BM97" i="4" a="1"/>
  <c r="BM97" i="4" s="1"/>
  <c r="BL97" i="4" a="1"/>
  <c r="BL97" i="4" s="1"/>
  <c r="BK97" i="4" a="1"/>
  <c r="BK97" i="4"/>
  <c r="BJ97" i="4" a="1"/>
  <c r="BJ97" i="4" s="1"/>
  <c r="BI97" i="4" a="1"/>
  <c r="BI97" i="4" s="1"/>
  <c r="BH97" i="4" a="1"/>
  <c r="BH97" i="4" s="1"/>
  <c r="BG97" i="4" a="1"/>
  <c r="BG97" i="4" s="1"/>
  <c r="BF97" i="4" a="1"/>
  <c r="BF97" i="4"/>
  <c r="BE97" i="4" a="1"/>
  <c r="BE97" i="4" s="1"/>
  <c r="BD97" i="4" a="1"/>
  <c r="BD97" i="4"/>
  <c r="BC97" i="4" a="1"/>
  <c r="BC97" i="4"/>
  <c r="BB97" i="4" a="1"/>
  <c r="BB97" i="4" s="1"/>
  <c r="BA97" i="4" a="1"/>
  <c r="BA97" i="4" s="1"/>
  <c r="AZ97" i="4" a="1"/>
  <c r="AZ97" i="4"/>
  <c r="AY97" i="4" a="1"/>
  <c r="AY97" i="4"/>
  <c r="DH97" i="4" s="1"/>
  <c r="AW97" i="4"/>
  <c r="AV97" i="4"/>
  <c r="AT97" i="4"/>
  <c r="AS97" i="4"/>
  <c r="AR97" i="4"/>
  <c r="AQ97" i="4"/>
  <c r="AP97" i="4"/>
  <c r="AN97" i="4"/>
  <c r="AL97" i="4"/>
  <c r="AK97" i="4"/>
  <c r="AJ97" i="4"/>
  <c r="AI97" i="4"/>
  <c r="AH97" i="4"/>
  <c r="N97" i="4"/>
  <c r="M97" i="4"/>
  <c r="L97" i="4"/>
  <c r="K97" i="4"/>
  <c r="DD97" i="4" s="1"/>
  <c r="J97" i="4"/>
  <c r="I97" i="4"/>
  <c r="H97" i="4"/>
  <c r="DA97" i="4" s="1"/>
  <c r="G97" i="4"/>
  <c r="CZ97" i="4" s="1"/>
  <c r="F97" i="4"/>
  <c r="D97" i="4"/>
  <c r="C97" i="4"/>
  <c r="B97" i="4"/>
  <c r="A97" i="4"/>
  <c r="DH96" i="4"/>
  <c r="DE96" i="4"/>
  <c r="DB96" i="4"/>
  <c r="CX96" i="4"/>
  <c r="BU96" i="4"/>
  <c r="BT96" i="4"/>
  <c r="BQ96" i="4" a="1"/>
  <c r="BQ96" i="4" s="1"/>
  <c r="BP96" i="4" a="1"/>
  <c r="BP96" i="4" s="1"/>
  <c r="BO96" i="4" a="1"/>
  <c r="BO96" i="4" s="1"/>
  <c r="BN96" i="4" a="1"/>
  <c r="BN96" i="4" s="1"/>
  <c r="BM96" i="4" a="1"/>
  <c r="BM96" i="4" s="1"/>
  <c r="BL96" i="4" a="1"/>
  <c r="BL96" i="4"/>
  <c r="BK96" i="4" a="1"/>
  <c r="BK96" i="4"/>
  <c r="BJ96" i="4" a="1"/>
  <c r="BJ96" i="4" s="1"/>
  <c r="BI96" i="4" a="1"/>
  <c r="BI96" i="4" s="1"/>
  <c r="BH96" i="4" a="1"/>
  <c r="BH96" i="4"/>
  <c r="BG96" i="4" a="1"/>
  <c r="BG96" i="4" s="1"/>
  <c r="BF96" i="4" a="1"/>
  <c r="BF96" i="4"/>
  <c r="BE96" i="4" a="1"/>
  <c r="BE96" i="4" s="1"/>
  <c r="BD96" i="4" a="1"/>
  <c r="BD96" i="4" s="1"/>
  <c r="DA96" i="4" s="1"/>
  <c r="BC96" i="4" a="1"/>
  <c r="BC96" i="4" s="1"/>
  <c r="BB96" i="4" a="1"/>
  <c r="BB96" i="4"/>
  <c r="BA96" i="4" a="1"/>
  <c r="BA96" i="4" s="1"/>
  <c r="AZ96" i="4" a="1"/>
  <c r="AZ96" i="4" s="1"/>
  <c r="AY96" i="4" a="1"/>
  <c r="AY96" i="4"/>
  <c r="AW96" i="4"/>
  <c r="AV96" i="4"/>
  <c r="AT96" i="4"/>
  <c r="AS96" i="4"/>
  <c r="AR96" i="4"/>
  <c r="AQ96" i="4"/>
  <c r="AP96" i="4"/>
  <c r="AN96" i="4"/>
  <c r="AL96" i="4"/>
  <c r="AK96" i="4"/>
  <c r="AJ96" i="4"/>
  <c r="AI96" i="4"/>
  <c r="AH96" i="4"/>
  <c r="N96" i="4"/>
  <c r="M96" i="4"/>
  <c r="L96" i="4"/>
  <c r="K96" i="4"/>
  <c r="DD96" i="4" s="1"/>
  <c r="J96" i="4"/>
  <c r="DC96" i="4" s="1"/>
  <c r="I96" i="4"/>
  <c r="H96" i="4"/>
  <c r="G96" i="4"/>
  <c r="CZ96" i="4" s="1"/>
  <c r="F96" i="4"/>
  <c r="D96" i="4"/>
  <c r="C96" i="4"/>
  <c r="B96" i="4"/>
  <c r="A96" i="4"/>
  <c r="DH95" i="4"/>
  <c r="DE95" i="4"/>
  <c r="CX95" i="4"/>
  <c r="BU95" i="4"/>
  <c r="BT95" i="4"/>
  <c r="BQ95" i="4" a="1"/>
  <c r="BQ95" i="4" s="1"/>
  <c r="DF95" i="4" s="1"/>
  <c r="BP95" i="4" a="1"/>
  <c r="BP95" i="4" s="1"/>
  <c r="BO95" i="4" a="1"/>
  <c r="BO95" i="4"/>
  <c r="BN95" i="4" a="1"/>
  <c r="BN95" i="4" s="1"/>
  <c r="BM95" i="4" a="1"/>
  <c r="BM95" i="4" s="1"/>
  <c r="BL95" i="4" a="1"/>
  <c r="BL95" i="4"/>
  <c r="DD95" i="4" s="1"/>
  <c r="BK95" i="4" a="1"/>
  <c r="BK95" i="4" s="1"/>
  <c r="BJ95" i="4" a="1"/>
  <c r="BJ95" i="4" s="1"/>
  <c r="BI95" i="4" a="1"/>
  <c r="BI95" i="4"/>
  <c r="BH95" i="4" a="1"/>
  <c r="BH95" i="4"/>
  <c r="BG95" i="4" a="1"/>
  <c r="BG95" i="4" s="1"/>
  <c r="BF95" i="4" a="1"/>
  <c r="BF95" i="4"/>
  <c r="BE95" i="4" a="1"/>
  <c r="BE95" i="4" s="1"/>
  <c r="BD95" i="4" a="1"/>
  <c r="BD95" i="4"/>
  <c r="DA95" i="4" s="1"/>
  <c r="BC95" i="4" a="1"/>
  <c r="BC95" i="4" s="1"/>
  <c r="BB95" i="4" a="1"/>
  <c r="BB95" i="4"/>
  <c r="BA95" i="4" a="1"/>
  <c r="BA95" i="4" s="1"/>
  <c r="DI95" i="4" s="1"/>
  <c r="AZ95" i="4" a="1"/>
  <c r="AZ95" i="4" s="1"/>
  <c r="AY95" i="4" a="1"/>
  <c r="AY95" i="4" s="1"/>
  <c r="AW95" i="4"/>
  <c r="AV95" i="4"/>
  <c r="AT95" i="4"/>
  <c r="AS95" i="4"/>
  <c r="AR95" i="4"/>
  <c r="AQ95" i="4"/>
  <c r="AP95" i="4"/>
  <c r="AN95" i="4"/>
  <c r="AL95" i="4"/>
  <c r="AK95" i="4"/>
  <c r="AJ95" i="4"/>
  <c r="AI95" i="4"/>
  <c r="AH95" i="4"/>
  <c r="N95" i="4"/>
  <c r="M95" i="4"/>
  <c r="L95" i="4"/>
  <c r="K95" i="4"/>
  <c r="J95" i="4"/>
  <c r="DC95" i="4" s="1"/>
  <c r="I95" i="4"/>
  <c r="DB95" i="4" s="1"/>
  <c r="H95" i="4"/>
  <c r="G95" i="4"/>
  <c r="F95" i="4"/>
  <c r="D95" i="4"/>
  <c r="C95" i="4"/>
  <c r="B95" i="4"/>
  <c r="A95" i="4"/>
  <c r="DC94" i="4"/>
  <c r="CX94" i="4"/>
  <c r="CS94" i="4"/>
  <c r="BU94" i="4"/>
  <c r="BT94" i="4"/>
  <c r="BQ94" i="4" a="1"/>
  <c r="BQ94" i="4" s="1"/>
  <c r="DJ94" i="4" s="1"/>
  <c r="BP94" i="4" a="1"/>
  <c r="BP94" i="4" s="1"/>
  <c r="BO94" i="4" a="1"/>
  <c r="BO94" i="4" s="1"/>
  <c r="BN94" i="4" a="1"/>
  <c r="BN94" i="4"/>
  <c r="BM94" i="4" a="1"/>
  <c r="BM94" i="4" s="1"/>
  <c r="BL94" i="4" a="1"/>
  <c r="BL94" i="4" s="1"/>
  <c r="BK94" i="4" a="1"/>
  <c r="BK94" i="4"/>
  <c r="BJ94" i="4" a="1"/>
  <c r="BJ94" i="4"/>
  <c r="BI94" i="4" a="1"/>
  <c r="BI94" i="4" s="1"/>
  <c r="BH94" i="4" a="1"/>
  <c r="BH94" i="4"/>
  <c r="BG94" i="4" a="1"/>
  <c r="BG94" i="4" s="1"/>
  <c r="BF94" i="4" a="1"/>
  <c r="BF94" i="4" s="1"/>
  <c r="DB94" i="4" s="1"/>
  <c r="BE94" i="4" a="1"/>
  <c r="BE94" i="4"/>
  <c r="BD94" i="4" a="1"/>
  <c r="BD94" i="4" s="1"/>
  <c r="BC94" i="4" a="1"/>
  <c r="BC94" i="4" s="1"/>
  <c r="BB94" i="4" a="1"/>
  <c r="BB94" i="4" s="1"/>
  <c r="BA94" i="4" a="1"/>
  <c r="BA94" i="4" s="1"/>
  <c r="DI94" i="4" s="1"/>
  <c r="AZ94" i="4" a="1"/>
  <c r="AZ94" i="4" s="1"/>
  <c r="AA93" i="3" s="1"/>
  <c r="AY94" i="4" a="1"/>
  <c r="AY94" i="4" s="1"/>
  <c r="DH94" i="4" s="1"/>
  <c r="AW94" i="4"/>
  <c r="AV94" i="4"/>
  <c r="AT94" i="4"/>
  <c r="AS94" i="4"/>
  <c r="AR94" i="4"/>
  <c r="AQ94" i="4"/>
  <c r="AP94" i="4"/>
  <c r="AN94" i="4"/>
  <c r="AL94" i="4"/>
  <c r="AK94" i="4"/>
  <c r="AJ94" i="4"/>
  <c r="AI94" i="4"/>
  <c r="AH94" i="4"/>
  <c r="N94" i="4"/>
  <c r="M94" i="4"/>
  <c r="DF94" i="4" s="1"/>
  <c r="L94" i="4"/>
  <c r="DE94" i="4" s="1"/>
  <c r="K94" i="4"/>
  <c r="J94" i="4"/>
  <c r="I94" i="4"/>
  <c r="H94" i="4"/>
  <c r="DA94" i="4" s="1"/>
  <c r="G94" i="4"/>
  <c r="F94" i="4"/>
  <c r="D94" i="4"/>
  <c r="C94" i="4"/>
  <c r="B94" i="4"/>
  <c r="A94" i="4"/>
  <c r="DJ93" i="4"/>
  <c r="DE93" i="4"/>
  <c r="CX93" i="4"/>
  <c r="BU93" i="4"/>
  <c r="BT93" i="4"/>
  <c r="BQ93" i="4" a="1"/>
  <c r="BQ93" i="4"/>
  <c r="BP93" i="4" a="1"/>
  <c r="BP93" i="4" s="1"/>
  <c r="BO93" i="4" a="1"/>
  <c r="BO93" i="4" s="1"/>
  <c r="BN93" i="4" a="1"/>
  <c r="BN93" i="4" s="1"/>
  <c r="BM93" i="4" a="1"/>
  <c r="BM93" i="4"/>
  <c r="BL93" i="4" a="1"/>
  <c r="BL93" i="4"/>
  <c r="DD93" i="4" s="1"/>
  <c r="BK93" i="4" a="1"/>
  <c r="BK93" i="4" s="1"/>
  <c r="BJ93" i="4" a="1"/>
  <c r="BJ93" i="4"/>
  <c r="BI93" i="4" a="1"/>
  <c r="BI93" i="4" s="1"/>
  <c r="BH93" i="4" a="1"/>
  <c r="BH93" i="4" s="1"/>
  <c r="DC93" i="4" s="1"/>
  <c r="BG93" i="4" a="1"/>
  <c r="BG93" i="4" s="1"/>
  <c r="BF93" i="4" a="1"/>
  <c r="BF93" i="4"/>
  <c r="DB93" i="4" s="1"/>
  <c r="BE93" i="4" a="1"/>
  <c r="BE93" i="4" s="1"/>
  <c r="BD93" i="4" a="1"/>
  <c r="BD93" i="4"/>
  <c r="DA93" i="4" s="1"/>
  <c r="BC93" i="4" a="1"/>
  <c r="BC93" i="4" s="1"/>
  <c r="BB93" i="4" a="1"/>
  <c r="BB93" i="4"/>
  <c r="BA93" i="4" a="1"/>
  <c r="BA93" i="4" s="1"/>
  <c r="AZ93" i="4" a="1"/>
  <c r="AZ93" i="4"/>
  <c r="AY93" i="4" a="1"/>
  <c r="AY93" i="4" s="1"/>
  <c r="DH93" i="4" s="1"/>
  <c r="AW93" i="4"/>
  <c r="AV93" i="4"/>
  <c r="AT93" i="4"/>
  <c r="AS93" i="4"/>
  <c r="AR93" i="4"/>
  <c r="AQ93" i="4"/>
  <c r="AP93" i="4"/>
  <c r="AN93" i="4"/>
  <c r="AL93" i="4"/>
  <c r="AK93" i="4"/>
  <c r="AJ93" i="4"/>
  <c r="AI93" i="4"/>
  <c r="AH93" i="4"/>
  <c r="N93" i="4"/>
  <c r="M93" i="4"/>
  <c r="DF93" i="4" s="1"/>
  <c r="L93" i="4"/>
  <c r="K93" i="4"/>
  <c r="J93" i="4"/>
  <c r="I93" i="4"/>
  <c r="H93" i="4"/>
  <c r="G93" i="4"/>
  <c r="CZ93" i="4" s="1"/>
  <c r="F93" i="4"/>
  <c r="D93" i="4"/>
  <c r="C93" i="4"/>
  <c r="B93" i="4"/>
  <c r="A93" i="4"/>
  <c r="DE92" i="4"/>
  <c r="CX92" i="4"/>
  <c r="BU92" i="4"/>
  <c r="BT92" i="4"/>
  <c r="BQ92" i="4" a="1"/>
  <c r="BQ92" i="4" s="1"/>
  <c r="BP92" i="4" a="1"/>
  <c r="BP92" i="4"/>
  <c r="BO92" i="4" a="1"/>
  <c r="BO92" i="4"/>
  <c r="BN92" i="4" a="1"/>
  <c r="BN92" i="4" s="1"/>
  <c r="BM92" i="4" a="1"/>
  <c r="BM92" i="4"/>
  <c r="BL92" i="4" a="1"/>
  <c r="BL92" i="4" s="1"/>
  <c r="DD92" i="4" s="1"/>
  <c r="BK92" i="4" a="1"/>
  <c r="BK92" i="4" s="1"/>
  <c r="BJ92" i="4" a="1"/>
  <c r="BJ92" i="4"/>
  <c r="BI92" i="4" a="1"/>
  <c r="BI92" i="4" s="1"/>
  <c r="BH92" i="4" a="1"/>
  <c r="BH92" i="4" s="1"/>
  <c r="BG92" i="4" a="1"/>
  <c r="BG92" i="4"/>
  <c r="BF92" i="4" a="1"/>
  <c r="BF92" i="4"/>
  <c r="DB92" i="4" s="1"/>
  <c r="BE92" i="4" a="1"/>
  <c r="BE92" i="4" s="1"/>
  <c r="BD92" i="4" a="1"/>
  <c r="BD92" i="4" s="1"/>
  <c r="DA92" i="4" s="1"/>
  <c r="BC92" i="4" a="1"/>
  <c r="BC92" i="4"/>
  <c r="BB92" i="4" a="1"/>
  <c r="BB92" i="4"/>
  <c r="BA92" i="4" a="1"/>
  <c r="BA92" i="4" s="1"/>
  <c r="DI92" i="4" s="1"/>
  <c r="AZ92" i="4" a="1"/>
  <c r="AZ92" i="4"/>
  <c r="AY92" i="4" a="1"/>
  <c r="AY92" i="4" s="1"/>
  <c r="DH92" i="4" s="1"/>
  <c r="AW92" i="4"/>
  <c r="AV92" i="4"/>
  <c r="AT92" i="4"/>
  <c r="AS92" i="4"/>
  <c r="AR92" i="4"/>
  <c r="AQ92" i="4"/>
  <c r="AP92" i="4"/>
  <c r="AN92" i="4"/>
  <c r="AL92" i="4"/>
  <c r="AK92" i="4"/>
  <c r="AJ92" i="4"/>
  <c r="AI92" i="4"/>
  <c r="AH92" i="4"/>
  <c r="N92" i="4"/>
  <c r="M92" i="4"/>
  <c r="DF92" i="4" s="1"/>
  <c r="L92" i="4"/>
  <c r="K92" i="4"/>
  <c r="J92" i="4"/>
  <c r="DC92" i="4" s="1"/>
  <c r="I92" i="4"/>
  <c r="H92" i="4"/>
  <c r="G92" i="4"/>
  <c r="CZ92" i="4" s="1"/>
  <c r="F92" i="4"/>
  <c r="D92" i="4"/>
  <c r="C92" i="4"/>
  <c r="B92" i="4"/>
  <c r="A92" i="4"/>
  <c r="DH91" i="4"/>
  <c r="DC91" i="4"/>
  <c r="CX91" i="4"/>
  <c r="BU91" i="4"/>
  <c r="BT91" i="4"/>
  <c r="BQ91" i="4" a="1"/>
  <c r="BQ91" i="4" s="1"/>
  <c r="BP91" i="4" a="1"/>
  <c r="BP91" i="4"/>
  <c r="BO91" i="4" a="1"/>
  <c r="BO91" i="4" s="1"/>
  <c r="BN91" i="4" a="1"/>
  <c r="BN91" i="4" s="1"/>
  <c r="BM91" i="4" a="1"/>
  <c r="BM91" i="4" s="1"/>
  <c r="BL91" i="4" a="1"/>
  <c r="BL91" i="4"/>
  <c r="BK91" i="4" a="1"/>
  <c r="BK91" i="4"/>
  <c r="BJ91" i="4" a="1"/>
  <c r="BJ91" i="4" s="1"/>
  <c r="BI91" i="4" a="1"/>
  <c r="BI91" i="4"/>
  <c r="BH91" i="4" a="1"/>
  <c r="BH91" i="4"/>
  <c r="BG91" i="4" a="1"/>
  <c r="BG91" i="4" s="1"/>
  <c r="BF91" i="4" a="1"/>
  <c r="BF91" i="4" s="1"/>
  <c r="DB91" i="4" s="1"/>
  <c r="BE91" i="4" a="1"/>
  <c r="BE91" i="4"/>
  <c r="BD91" i="4" a="1"/>
  <c r="BD91" i="4" s="1"/>
  <c r="BC91" i="4" a="1"/>
  <c r="BC91" i="4"/>
  <c r="BB91" i="4" a="1"/>
  <c r="BB91" i="4" s="1"/>
  <c r="BA91" i="4" a="1"/>
  <c r="BA91" i="4" s="1"/>
  <c r="DI91" i="4" s="1"/>
  <c r="AZ91" i="4" a="1"/>
  <c r="AZ91" i="4" s="1"/>
  <c r="CZ91" i="4" s="1"/>
  <c r="AY91" i="4" a="1"/>
  <c r="AY91" i="4"/>
  <c r="AW91" i="4"/>
  <c r="AV91" i="4"/>
  <c r="AT91" i="4"/>
  <c r="AS91" i="4"/>
  <c r="AR91" i="4"/>
  <c r="AQ91" i="4"/>
  <c r="AP91" i="4"/>
  <c r="AN91" i="4"/>
  <c r="AL91" i="4"/>
  <c r="AK91" i="4"/>
  <c r="AJ91" i="4"/>
  <c r="AI91" i="4"/>
  <c r="AH91" i="4"/>
  <c r="N91" i="4"/>
  <c r="M91" i="4"/>
  <c r="L91" i="4"/>
  <c r="K91" i="4"/>
  <c r="DD91" i="4" s="1"/>
  <c r="J91" i="4"/>
  <c r="I91" i="4"/>
  <c r="H91" i="4"/>
  <c r="DA91" i="4" s="1"/>
  <c r="G91" i="4"/>
  <c r="F91" i="4"/>
  <c r="D91" i="4"/>
  <c r="C91" i="4"/>
  <c r="B91" i="4"/>
  <c r="A91" i="4"/>
  <c r="DE90" i="4"/>
  <c r="DA90" i="4"/>
  <c r="CZ90" i="4"/>
  <c r="CX90" i="4"/>
  <c r="BU90" i="4"/>
  <c r="BT90" i="4"/>
  <c r="BQ90" i="4" a="1"/>
  <c r="BQ90" i="4"/>
  <c r="BP90" i="4" a="1"/>
  <c r="BP90" i="4" s="1"/>
  <c r="BO90" i="4" a="1"/>
  <c r="BO90" i="4" s="1"/>
  <c r="BN90" i="4" a="1"/>
  <c r="BN90" i="4"/>
  <c r="BM90" i="4" a="1"/>
  <c r="BM90" i="4"/>
  <c r="BL90" i="4" a="1"/>
  <c r="BL90" i="4" s="1"/>
  <c r="BK90" i="4" a="1"/>
  <c r="BK90" i="4"/>
  <c r="BJ90" i="4" a="1"/>
  <c r="BJ90" i="4" s="1"/>
  <c r="BI90" i="4" a="1"/>
  <c r="BI90" i="4" s="1"/>
  <c r="BH90" i="4" a="1"/>
  <c r="BH90" i="4"/>
  <c r="BG90" i="4" a="1"/>
  <c r="BG90" i="4" s="1"/>
  <c r="BF90" i="4" a="1"/>
  <c r="BF90" i="4" s="1"/>
  <c r="BE90" i="4" a="1"/>
  <c r="BE90" i="4"/>
  <c r="BD90" i="4" a="1"/>
  <c r="BD90" i="4"/>
  <c r="BC90" i="4" a="1"/>
  <c r="BC90" i="4" s="1"/>
  <c r="BB90" i="4" a="1"/>
  <c r="BB90" i="4" s="1"/>
  <c r="BA90" i="4" a="1"/>
  <c r="BA90" i="4"/>
  <c r="DI90" i="4" s="1"/>
  <c r="AZ90" i="4" a="1"/>
  <c r="AZ90" i="4"/>
  <c r="AY90" i="4" a="1"/>
  <c r="AY90" i="4" s="1"/>
  <c r="DH90" i="4" s="1"/>
  <c r="AW90" i="4"/>
  <c r="AV90" i="4"/>
  <c r="AT90" i="4"/>
  <c r="AS90" i="4"/>
  <c r="AR90" i="4"/>
  <c r="AQ90" i="4"/>
  <c r="AP90" i="4"/>
  <c r="AN90" i="4"/>
  <c r="AL90" i="4"/>
  <c r="AK90" i="4"/>
  <c r="AJ90" i="4"/>
  <c r="AI90" i="4"/>
  <c r="AH90" i="4"/>
  <c r="N90" i="4"/>
  <c r="M90" i="4"/>
  <c r="L90" i="4"/>
  <c r="K90" i="4"/>
  <c r="J90" i="4"/>
  <c r="DC90" i="4" s="1"/>
  <c r="I90" i="4"/>
  <c r="H90" i="4"/>
  <c r="G90" i="4"/>
  <c r="F90" i="4"/>
  <c r="D90" i="4"/>
  <c r="C90" i="4"/>
  <c r="B90" i="4"/>
  <c r="A90" i="4"/>
  <c r="DJ89" i="4"/>
  <c r="DA89" i="4"/>
  <c r="CX89" i="4"/>
  <c r="BU89" i="4"/>
  <c r="BT89" i="4"/>
  <c r="BQ89" i="4" a="1"/>
  <c r="BQ89" i="4" s="1"/>
  <c r="BP89" i="4" a="1"/>
  <c r="BP89" i="4"/>
  <c r="BO89" i="4" a="1"/>
  <c r="BO89" i="4" s="1"/>
  <c r="DE89" i="4" s="1"/>
  <c r="BN89" i="4" a="1"/>
  <c r="BN89" i="4"/>
  <c r="BM89" i="4" a="1"/>
  <c r="BM89" i="4"/>
  <c r="BL89" i="4" a="1"/>
  <c r="BL89" i="4" s="1"/>
  <c r="BK89" i="4" a="1"/>
  <c r="BK89" i="4" s="1"/>
  <c r="BJ89" i="4" a="1"/>
  <c r="BJ89" i="4"/>
  <c r="BI89" i="4" a="1"/>
  <c r="BI89" i="4" s="1"/>
  <c r="BH89" i="4" a="1"/>
  <c r="BH89" i="4"/>
  <c r="BG89" i="4" a="1"/>
  <c r="BG89" i="4" s="1"/>
  <c r="BF89" i="4" a="1"/>
  <c r="BF89" i="4" s="1"/>
  <c r="BE89" i="4" a="1"/>
  <c r="BE89" i="4" s="1"/>
  <c r="BD89" i="4" a="1"/>
  <c r="BD89" i="4"/>
  <c r="BC89" i="4" a="1"/>
  <c r="BC89" i="4" s="1"/>
  <c r="BB89" i="4" a="1"/>
  <c r="BB89" i="4" s="1"/>
  <c r="BA89" i="4" a="1"/>
  <c r="BA89" i="4"/>
  <c r="DI89" i="4" s="1"/>
  <c r="AZ89" i="4" a="1"/>
  <c r="AZ89" i="4"/>
  <c r="AY89" i="4" a="1"/>
  <c r="AY89" i="4" s="1"/>
  <c r="DH89" i="4" s="1"/>
  <c r="AW89" i="4"/>
  <c r="AV89" i="4"/>
  <c r="AT89" i="4"/>
  <c r="AS89" i="4"/>
  <c r="AR89" i="4"/>
  <c r="AQ89" i="4"/>
  <c r="AP89" i="4"/>
  <c r="AN89" i="4"/>
  <c r="AL89" i="4"/>
  <c r="AK89" i="4"/>
  <c r="AJ89" i="4"/>
  <c r="AI89" i="4"/>
  <c r="AH89" i="4"/>
  <c r="N89" i="4"/>
  <c r="M89" i="4"/>
  <c r="DF89" i="4" s="1"/>
  <c r="L89" i="4"/>
  <c r="K89" i="4"/>
  <c r="DD89" i="4" s="1"/>
  <c r="J89" i="4"/>
  <c r="DC89" i="4" s="1"/>
  <c r="I89" i="4"/>
  <c r="DB89" i="4" s="1"/>
  <c r="H89" i="4"/>
  <c r="G89" i="4"/>
  <c r="CZ89" i="4" s="1"/>
  <c r="F89" i="4"/>
  <c r="D89" i="4"/>
  <c r="C89" i="4"/>
  <c r="B89" i="4"/>
  <c r="A89" i="4"/>
  <c r="DJ88" i="4"/>
  <c r="DF88" i="4"/>
  <c r="CX88" i="4"/>
  <c r="BU88" i="4"/>
  <c r="BT88" i="4"/>
  <c r="BQ88" i="4" a="1"/>
  <c r="BQ88" i="4"/>
  <c r="BP88" i="4" a="1"/>
  <c r="BP88" i="4"/>
  <c r="BO88" i="4" a="1"/>
  <c r="BO88" i="4" s="1"/>
  <c r="BN88" i="4" a="1"/>
  <c r="BN88" i="4"/>
  <c r="BM88" i="4" a="1"/>
  <c r="BM88" i="4" s="1"/>
  <c r="BL88" i="4" a="1"/>
  <c r="BL88" i="4"/>
  <c r="BK88" i="4" a="1"/>
  <c r="BK88" i="4" s="1"/>
  <c r="BJ88" i="4" a="1"/>
  <c r="BJ88" i="4"/>
  <c r="BI88" i="4" a="1"/>
  <c r="BI88" i="4"/>
  <c r="BH88" i="4" a="1"/>
  <c r="BH88" i="4" s="1"/>
  <c r="DC88" i="4" s="1"/>
  <c r="BG88" i="4" a="1"/>
  <c r="BG88" i="4" s="1"/>
  <c r="BF88" i="4" a="1"/>
  <c r="BF88" i="4" s="1"/>
  <c r="BE88" i="4" a="1"/>
  <c r="BE88" i="4" s="1"/>
  <c r="BD88" i="4" a="1"/>
  <c r="BD88" i="4"/>
  <c r="BC88" i="4" a="1"/>
  <c r="BC88" i="4"/>
  <c r="BB88" i="4" a="1"/>
  <c r="BB88" i="4" s="1"/>
  <c r="BA88" i="4" a="1"/>
  <c r="BA88" i="4" s="1"/>
  <c r="AZ88" i="4" a="1"/>
  <c r="AZ88" i="4"/>
  <c r="AY88" i="4" a="1"/>
  <c r="AY88" i="4"/>
  <c r="DH88" i="4" s="1"/>
  <c r="AW88" i="4"/>
  <c r="AV88" i="4"/>
  <c r="AT88" i="4"/>
  <c r="AS88" i="4"/>
  <c r="AR88" i="4"/>
  <c r="AQ88" i="4"/>
  <c r="AP88" i="4"/>
  <c r="AN88" i="4"/>
  <c r="AL88" i="4"/>
  <c r="AK88" i="4"/>
  <c r="AJ88" i="4"/>
  <c r="AI88" i="4"/>
  <c r="AH88" i="4"/>
  <c r="N88" i="4"/>
  <c r="M88" i="4"/>
  <c r="L88" i="4"/>
  <c r="DE88" i="4" s="1"/>
  <c r="K88" i="4"/>
  <c r="DD88" i="4" s="1"/>
  <c r="J88" i="4"/>
  <c r="I88" i="4"/>
  <c r="H88" i="4"/>
  <c r="DA88" i="4" s="1"/>
  <c r="G88" i="4"/>
  <c r="CZ88" i="4" s="1"/>
  <c r="F88" i="4"/>
  <c r="D88" i="4"/>
  <c r="C88" i="4"/>
  <c r="B88" i="4"/>
  <c r="A88" i="4"/>
  <c r="DH87" i="4"/>
  <c r="DE87" i="4"/>
  <c r="DB87" i="4"/>
  <c r="CX87" i="4"/>
  <c r="BU87" i="4"/>
  <c r="BT87" i="4"/>
  <c r="BQ87" i="4" a="1"/>
  <c r="BQ87" i="4" s="1"/>
  <c r="BP87" i="4" a="1"/>
  <c r="BP87" i="4"/>
  <c r="BO87" i="4" a="1"/>
  <c r="BO87" i="4" s="1"/>
  <c r="BN87" i="4" a="1"/>
  <c r="BN87" i="4" s="1"/>
  <c r="BM87" i="4" a="1"/>
  <c r="BM87" i="4" s="1"/>
  <c r="BL87" i="4" a="1"/>
  <c r="BL87" i="4"/>
  <c r="BK87" i="4" a="1"/>
  <c r="BK87" i="4"/>
  <c r="BJ87" i="4" a="1"/>
  <c r="BJ87" i="4" s="1"/>
  <c r="BI87" i="4" a="1"/>
  <c r="BI87" i="4" s="1"/>
  <c r="BH87" i="4" a="1"/>
  <c r="BH87" i="4"/>
  <c r="BG87" i="4" a="1"/>
  <c r="BG87" i="4" s="1"/>
  <c r="BF87" i="4" a="1"/>
  <c r="BF87" i="4"/>
  <c r="BE87" i="4" a="1"/>
  <c r="BE87" i="4" s="1"/>
  <c r="BD87" i="4" a="1"/>
  <c r="BD87" i="4" s="1"/>
  <c r="DA87" i="4" s="1"/>
  <c r="BC87" i="4" a="1"/>
  <c r="BC87" i="4" s="1"/>
  <c r="BB87" i="4" a="1"/>
  <c r="BB87" i="4"/>
  <c r="BA87" i="4" a="1"/>
  <c r="BA87" i="4" s="1"/>
  <c r="AZ87" i="4" a="1"/>
  <c r="AZ87" i="4" s="1"/>
  <c r="AY87" i="4" a="1"/>
  <c r="AY87" i="4"/>
  <c r="AW87" i="4"/>
  <c r="AV87" i="4"/>
  <c r="AT87" i="4"/>
  <c r="AS87" i="4"/>
  <c r="AR87" i="4"/>
  <c r="AQ87" i="4"/>
  <c r="AP87" i="4"/>
  <c r="AN87" i="4"/>
  <c r="AL87" i="4"/>
  <c r="AK87" i="4"/>
  <c r="AJ87" i="4"/>
  <c r="AI87" i="4"/>
  <c r="AH87" i="4"/>
  <c r="N87" i="4"/>
  <c r="M87" i="4"/>
  <c r="L87" i="4"/>
  <c r="K87" i="4"/>
  <c r="DD87" i="4" s="1"/>
  <c r="J87" i="4"/>
  <c r="DC87" i="4" s="1"/>
  <c r="I87" i="4"/>
  <c r="H87" i="4"/>
  <c r="G87" i="4"/>
  <c r="CZ87" i="4" s="1"/>
  <c r="F87" i="4"/>
  <c r="D87" i="4"/>
  <c r="C87" i="4"/>
  <c r="B87" i="4"/>
  <c r="A87" i="4"/>
  <c r="DH86" i="4"/>
  <c r="DE86" i="4"/>
  <c r="CX86" i="4"/>
  <c r="BU86" i="4"/>
  <c r="BT86" i="4"/>
  <c r="BQ86" i="4" a="1"/>
  <c r="BQ86" i="4" s="1"/>
  <c r="DF86" i="4" s="1"/>
  <c r="BP86" i="4" a="1"/>
  <c r="BP86" i="4" s="1"/>
  <c r="BO86" i="4" a="1"/>
  <c r="BO86" i="4"/>
  <c r="BN86" i="4" a="1"/>
  <c r="BN86" i="4" s="1"/>
  <c r="BM86" i="4" a="1"/>
  <c r="BM86" i="4" s="1"/>
  <c r="BL86" i="4" a="1"/>
  <c r="BL86" i="4"/>
  <c r="DD86" i="4" s="1"/>
  <c r="BK86" i="4" a="1"/>
  <c r="BK86" i="4" s="1"/>
  <c r="BJ86" i="4" a="1"/>
  <c r="BJ86" i="4" s="1"/>
  <c r="BI86" i="4" a="1"/>
  <c r="BI86" i="4"/>
  <c r="BH86" i="4" a="1"/>
  <c r="BH86" i="4"/>
  <c r="BG86" i="4" a="1"/>
  <c r="BG86" i="4" s="1"/>
  <c r="BF86" i="4" a="1"/>
  <c r="BF86" i="4"/>
  <c r="BE86" i="4" a="1"/>
  <c r="BE86" i="4" s="1"/>
  <c r="BD86" i="4" a="1"/>
  <c r="BD86" i="4"/>
  <c r="DA86" i="4" s="1"/>
  <c r="BC86" i="4" a="1"/>
  <c r="BC86" i="4" s="1"/>
  <c r="BB86" i="4" a="1"/>
  <c r="BB86" i="4"/>
  <c r="BA86" i="4" a="1"/>
  <c r="BA86" i="4"/>
  <c r="DI86" i="4" s="1"/>
  <c r="AZ86" i="4" a="1"/>
  <c r="AZ86" i="4" s="1"/>
  <c r="AY86" i="4" a="1"/>
  <c r="AY86" i="4" s="1"/>
  <c r="AW86" i="4"/>
  <c r="AV86" i="4"/>
  <c r="AT86" i="4"/>
  <c r="AS86" i="4"/>
  <c r="AR86" i="4"/>
  <c r="AQ86" i="4"/>
  <c r="AP86" i="4"/>
  <c r="AN86" i="4"/>
  <c r="AL86" i="4"/>
  <c r="AK86" i="4"/>
  <c r="AJ86" i="4"/>
  <c r="AI86" i="4"/>
  <c r="AH86" i="4"/>
  <c r="N86" i="4"/>
  <c r="M86" i="4"/>
  <c r="L86" i="4"/>
  <c r="K86" i="4"/>
  <c r="J86" i="4"/>
  <c r="DC86" i="4" s="1"/>
  <c r="I86" i="4"/>
  <c r="DB86" i="4" s="1"/>
  <c r="H86" i="4"/>
  <c r="G86" i="4"/>
  <c r="F86" i="4"/>
  <c r="D86" i="4"/>
  <c r="C86" i="4"/>
  <c r="B86" i="4"/>
  <c r="A86" i="4"/>
  <c r="DC85" i="4"/>
  <c r="CX85" i="4"/>
  <c r="BU85" i="4"/>
  <c r="BT85" i="4"/>
  <c r="BQ85" i="4" a="1"/>
  <c r="BQ85" i="4" s="1"/>
  <c r="DJ85" i="4" s="1"/>
  <c r="BP85" i="4" a="1"/>
  <c r="BP85" i="4" s="1"/>
  <c r="BO85" i="4" a="1"/>
  <c r="BO85" i="4"/>
  <c r="BN85" i="4" a="1"/>
  <c r="BN85" i="4"/>
  <c r="BM85" i="4" a="1"/>
  <c r="BM85" i="4" s="1"/>
  <c r="BL85" i="4" a="1"/>
  <c r="BL85" i="4" s="1"/>
  <c r="BK85" i="4" a="1"/>
  <c r="BK85" i="4"/>
  <c r="BJ85" i="4" a="1"/>
  <c r="BJ85" i="4"/>
  <c r="BI85" i="4" a="1"/>
  <c r="BI85" i="4" s="1"/>
  <c r="BH85" i="4" a="1"/>
  <c r="BH85" i="4"/>
  <c r="BG85" i="4" a="1"/>
  <c r="BG85" i="4" s="1"/>
  <c r="BF85" i="4" a="1"/>
  <c r="BF85" i="4" s="1"/>
  <c r="DB85" i="4" s="1"/>
  <c r="BE85" i="4" a="1"/>
  <c r="BE85" i="4"/>
  <c r="BD85" i="4" a="1"/>
  <c r="BD85" i="4" s="1"/>
  <c r="BC85" i="4" a="1"/>
  <c r="BC85" i="4" s="1"/>
  <c r="BB85" i="4" a="1"/>
  <c r="BB85" i="4"/>
  <c r="BA85" i="4" a="1"/>
  <c r="BA85" i="4" s="1"/>
  <c r="AZ85" i="4" a="1"/>
  <c r="AZ85" i="4" s="1"/>
  <c r="AY85" i="4" a="1"/>
  <c r="AY85" i="4" s="1"/>
  <c r="DH85" i="4" s="1"/>
  <c r="AW85" i="4"/>
  <c r="AV85" i="4"/>
  <c r="AT85" i="4"/>
  <c r="AS85" i="4"/>
  <c r="AR85" i="4"/>
  <c r="AQ85" i="4"/>
  <c r="AP85" i="4"/>
  <c r="AN85" i="4"/>
  <c r="AL85" i="4"/>
  <c r="AK85" i="4"/>
  <c r="AJ85" i="4"/>
  <c r="AI85" i="4"/>
  <c r="AH85" i="4"/>
  <c r="N85" i="4"/>
  <c r="M85" i="4"/>
  <c r="L85" i="4"/>
  <c r="DE85" i="4" s="1"/>
  <c r="K85" i="4"/>
  <c r="J85" i="4"/>
  <c r="I85" i="4"/>
  <c r="H85" i="4"/>
  <c r="G85" i="4"/>
  <c r="CZ85" i="4" s="1"/>
  <c r="F85" i="4"/>
  <c r="D85" i="4"/>
  <c r="C85" i="4"/>
  <c r="B85" i="4"/>
  <c r="A85" i="4"/>
  <c r="DJ84" i="4"/>
  <c r="DE84" i="4"/>
  <c r="CX84" i="4"/>
  <c r="BU84" i="4"/>
  <c r="BT84" i="4"/>
  <c r="BQ84" i="4" a="1"/>
  <c r="BQ84" i="4"/>
  <c r="BP84" i="4" a="1"/>
  <c r="BP84" i="4" s="1"/>
  <c r="BO84" i="4" a="1"/>
  <c r="BO84" i="4" s="1"/>
  <c r="BN84" i="4" a="1"/>
  <c r="BN84" i="4" s="1"/>
  <c r="BM84" i="4" a="1"/>
  <c r="BM84" i="4"/>
  <c r="BL84" i="4" a="1"/>
  <c r="BL84" i="4" s="1"/>
  <c r="DD84" i="4" s="1"/>
  <c r="BK84" i="4" a="1"/>
  <c r="BK84" i="4" s="1"/>
  <c r="BJ84" i="4" a="1"/>
  <c r="BJ84" i="4"/>
  <c r="BI84" i="4" a="1"/>
  <c r="BI84" i="4" s="1"/>
  <c r="BH84" i="4" a="1"/>
  <c r="BH84" i="4" s="1"/>
  <c r="DC84" i="4" s="1"/>
  <c r="BG84" i="4" a="1"/>
  <c r="BG84" i="4"/>
  <c r="BF84" i="4" a="1"/>
  <c r="BF84" i="4"/>
  <c r="DB84" i="4" s="1"/>
  <c r="BE84" i="4" a="1"/>
  <c r="BE84" i="4" s="1"/>
  <c r="BD84" i="4" a="1"/>
  <c r="BD84" i="4"/>
  <c r="DA84" i="4" s="1"/>
  <c r="BC84" i="4" a="1"/>
  <c r="BC84" i="4" s="1"/>
  <c r="BB84" i="4" a="1"/>
  <c r="BB84" i="4"/>
  <c r="BA84" i="4" a="1"/>
  <c r="BA84" i="4" s="1"/>
  <c r="AZ84" i="4" a="1"/>
  <c r="AZ84" i="4"/>
  <c r="AY84" i="4" a="1"/>
  <c r="AY84" i="4" s="1"/>
  <c r="DH84" i="4" s="1"/>
  <c r="AW84" i="4"/>
  <c r="AV84" i="4"/>
  <c r="AT84" i="4"/>
  <c r="AS84" i="4"/>
  <c r="AR84" i="4"/>
  <c r="AQ84" i="4"/>
  <c r="AP84" i="4"/>
  <c r="AN84" i="4"/>
  <c r="AL84" i="4"/>
  <c r="AK84" i="4"/>
  <c r="AJ84" i="4"/>
  <c r="AI84" i="4"/>
  <c r="AH84" i="4"/>
  <c r="N84" i="4"/>
  <c r="M84" i="4"/>
  <c r="DF84" i="4" s="1"/>
  <c r="L84" i="4"/>
  <c r="K84" i="4"/>
  <c r="J84" i="4"/>
  <c r="I84" i="4"/>
  <c r="H84" i="4"/>
  <c r="G84" i="4"/>
  <c r="CZ84" i="4" s="1"/>
  <c r="F84" i="4"/>
  <c r="D84" i="4"/>
  <c r="C84" i="4"/>
  <c r="B84" i="4"/>
  <c r="A84" i="4"/>
  <c r="DE83" i="4"/>
  <c r="CX83" i="4"/>
  <c r="BU83" i="4"/>
  <c r="BT83" i="4"/>
  <c r="BQ83" i="4" a="1"/>
  <c r="BQ83" i="4" s="1"/>
  <c r="BP83" i="4" a="1"/>
  <c r="BP83" i="4"/>
  <c r="BO83" i="4" a="1"/>
  <c r="BO83" i="4"/>
  <c r="BN83" i="4" a="1"/>
  <c r="BN83" i="4" s="1"/>
  <c r="BM83" i="4" a="1"/>
  <c r="BM83" i="4"/>
  <c r="BL83" i="4" a="1"/>
  <c r="BL83" i="4" s="1"/>
  <c r="DD83" i="4" s="1"/>
  <c r="BK83" i="4" a="1"/>
  <c r="BK83" i="4" s="1"/>
  <c r="BJ83" i="4" a="1"/>
  <c r="BJ83" i="4"/>
  <c r="BI83" i="4" a="1"/>
  <c r="BI83" i="4" s="1"/>
  <c r="BH83" i="4" a="1"/>
  <c r="BH83" i="4" s="1"/>
  <c r="BG83" i="4" a="1"/>
  <c r="BG83" i="4"/>
  <c r="BF83" i="4" a="1"/>
  <c r="BF83" i="4"/>
  <c r="DB83" i="4" s="1"/>
  <c r="BE83" i="4" a="1"/>
  <c r="BE83" i="4" s="1"/>
  <c r="BD83" i="4" a="1"/>
  <c r="BD83" i="4" s="1"/>
  <c r="DA83" i="4" s="1"/>
  <c r="BC83" i="4" a="1"/>
  <c r="BC83" i="4"/>
  <c r="BB83" i="4" a="1"/>
  <c r="BB83" i="4"/>
  <c r="BA83" i="4" a="1"/>
  <c r="BA83" i="4" s="1"/>
  <c r="DI83" i="4" s="1"/>
  <c r="AZ83" i="4" a="1"/>
  <c r="AZ83" i="4"/>
  <c r="AY83" i="4" a="1"/>
  <c r="AY83" i="4" s="1"/>
  <c r="DH83" i="4" s="1"/>
  <c r="AW83" i="4"/>
  <c r="AV83" i="4"/>
  <c r="AT83" i="4"/>
  <c r="AS83" i="4"/>
  <c r="AR83" i="4"/>
  <c r="AQ83" i="4"/>
  <c r="AP83" i="4"/>
  <c r="AN83" i="4"/>
  <c r="AL83" i="4"/>
  <c r="AK83" i="4"/>
  <c r="AJ83" i="4"/>
  <c r="AI83" i="4"/>
  <c r="AH83" i="4"/>
  <c r="N83" i="4"/>
  <c r="M83" i="4"/>
  <c r="DF83" i="4" s="1"/>
  <c r="L83" i="4"/>
  <c r="K83" i="4"/>
  <c r="J83" i="4"/>
  <c r="DC83" i="4" s="1"/>
  <c r="I83" i="4"/>
  <c r="H83" i="4"/>
  <c r="G83" i="4"/>
  <c r="CZ83" i="4" s="1"/>
  <c r="F83" i="4"/>
  <c r="D83" i="4"/>
  <c r="C83" i="4"/>
  <c r="B83" i="4"/>
  <c r="A83" i="4"/>
  <c r="DH82" i="4"/>
  <c r="DC82" i="4"/>
  <c r="DB82" i="4"/>
  <c r="CX82" i="4"/>
  <c r="BU82" i="4"/>
  <c r="BT82" i="4"/>
  <c r="BQ82" i="4" a="1"/>
  <c r="BQ82" i="4" s="1"/>
  <c r="BP82" i="4" a="1"/>
  <c r="BP82" i="4"/>
  <c r="BO82" i="4" a="1"/>
  <c r="BO82" i="4" s="1"/>
  <c r="BN82" i="4" a="1"/>
  <c r="BN82" i="4" s="1"/>
  <c r="BM82" i="4" a="1"/>
  <c r="BM82" i="4" s="1"/>
  <c r="BL82" i="4" a="1"/>
  <c r="BL82" i="4"/>
  <c r="BK82" i="4" a="1"/>
  <c r="BK82" i="4"/>
  <c r="BJ82" i="4" a="1"/>
  <c r="BJ82" i="4" s="1"/>
  <c r="BI82" i="4" a="1"/>
  <c r="BI82" i="4"/>
  <c r="BH82" i="4" a="1"/>
  <c r="BH82" i="4"/>
  <c r="BG82" i="4" a="1"/>
  <c r="BG82" i="4" s="1"/>
  <c r="BF82" i="4" a="1"/>
  <c r="BF82" i="4"/>
  <c r="BE82" i="4" a="1"/>
  <c r="BE82" i="4"/>
  <c r="BD82" i="4" a="1"/>
  <c r="BD82" i="4" s="1"/>
  <c r="BC82" i="4" a="1"/>
  <c r="BC82" i="4"/>
  <c r="BB82" i="4" a="1"/>
  <c r="BB82" i="4" s="1"/>
  <c r="BA82" i="4" a="1"/>
  <c r="BA82" i="4" s="1"/>
  <c r="DI82" i="4" s="1"/>
  <c r="AZ82" i="4" a="1"/>
  <c r="AZ82" i="4" s="1"/>
  <c r="CZ82" i="4" s="1"/>
  <c r="AY82" i="4" a="1"/>
  <c r="AY82" i="4"/>
  <c r="AW82" i="4"/>
  <c r="AV82" i="4"/>
  <c r="AT82" i="4"/>
  <c r="AS82" i="4"/>
  <c r="AR82" i="4"/>
  <c r="AQ82" i="4"/>
  <c r="AP82" i="4"/>
  <c r="AN82" i="4"/>
  <c r="AL82" i="4"/>
  <c r="AK82" i="4"/>
  <c r="AJ82" i="4"/>
  <c r="AI82" i="4"/>
  <c r="AH82" i="4"/>
  <c r="N82" i="4"/>
  <c r="M82" i="4"/>
  <c r="L82" i="4"/>
  <c r="DE82" i="4" s="1"/>
  <c r="K82" i="4"/>
  <c r="DD82" i="4" s="1"/>
  <c r="J82" i="4"/>
  <c r="I82" i="4"/>
  <c r="H82" i="4"/>
  <c r="DA82" i="4" s="1"/>
  <c r="G82" i="4"/>
  <c r="F82" i="4"/>
  <c r="D82" i="4"/>
  <c r="C82" i="4"/>
  <c r="B82" i="4"/>
  <c r="A82" i="4"/>
  <c r="DE81" i="4"/>
  <c r="CZ81" i="4"/>
  <c r="CX81" i="4"/>
  <c r="BU81" i="4"/>
  <c r="BT81" i="4"/>
  <c r="BQ81" i="4" a="1"/>
  <c r="BQ81" i="4"/>
  <c r="BP81" i="4" a="1"/>
  <c r="BP81" i="4" s="1"/>
  <c r="BO81" i="4" a="1"/>
  <c r="BO81" i="4" s="1"/>
  <c r="BN81" i="4" a="1"/>
  <c r="BN81" i="4"/>
  <c r="BM81" i="4" a="1"/>
  <c r="BM81" i="4"/>
  <c r="BL81" i="4" a="1"/>
  <c r="BL81" i="4" s="1"/>
  <c r="BK81" i="4" a="1"/>
  <c r="BK81" i="4"/>
  <c r="BJ81" i="4" a="1"/>
  <c r="BJ81" i="4"/>
  <c r="BI81" i="4" a="1"/>
  <c r="BI81" i="4" s="1"/>
  <c r="BH81" i="4" a="1"/>
  <c r="BH81" i="4"/>
  <c r="BG81" i="4" a="1"/>
  <c r="BG81" i="4" s="1"/>
  <c r="BF81" i="4" a="1"/>
  <c r="BF81" i="4" s="1"/>
  <c r="BE81" i="4" a="1"/>
  <c r="BE81" i="4"/>
  <c r="BD81" i="4" a="1"/>
  <c r="BD81" i="4"/>
  <c r="BC81" i="4" a="1"/>
  <c r="BC81" i="4" s="1"/>
  <c r="BB81" i="4" a="1"/>
  <c r="BB81" i="4" s="1"/>
  <c r="BA81" i="4" a="1"/>
  <c r="BA81" i="4"/>
  <c r="DI81" i="4" s="1"/>
  <c r="AZ81" i="4" a="1"/>
  <c r="AZ81" i="4"/>
  <c r="AY81" i="4" a="1"/>
  <c r="AY81" i="4" s="1"/>
  <c r="DH81" i="4" s="1"/>
  <c r="AW81" i="4"/>
  <c r="AV81" i="4"/>
  <c r="AT81" i="4"/>
  <c r="AS81" i="4"/>
  <c r="AR81" i="4"/>
  <c r="AQ81" i="4"/>
  <c r="AP81" i="4"/>
  <c r="AN81" i="4"/>
  <c r="AL81" i="4"/>
  <c r="AK81" i="4"/>
  <c r="AJ81" i="4"/>
  <c r="AI81" i="4"/>
  <c r="AH81" i="4"/>
  <c r="N81" i="4"/>
  <c r="M81" i="4"/>
  <c r="L81" i="4"/>
  <c r="K81" i="4"/>
  <c r="DD81" i="4" s="1"/>
  <c r="J81" i="4"/>
  <c r="DC81" i="4" s="1"/>
  <c r="I81" i="4"/>
  <c r="H81" i="4"/>
  <c r="G81" i="4"/>
  <c r="F81" i="4"/>
  <c r="D81" i="4"/>
  <c r="C81" i="4"/>
  <c r="B81" i="4"/>
  <c r="A81" i="4"/>
  <c r="DJ80" i="4"/>
  <c r="DA80" i="4"/>
  <c r="CX80" i="4"/>
  <c r="BU80" i="4"/>
  <c r="BT80" i="4"/>
  <c r="BQ80" i="4" a="1"/>
  <c r="BQ80" i="4" s="1"/>
  <c r="BP80" i="4" a="1"/>
  <c r="BP80" i="4"/>
  <c r="BO80" i="4" a="1"/>
  <c r="BO80" i="4" s="1"/>
  <c r="DE80" i="4" s="1"/>
  <c r="BN80" i="4" a="1"/>
  <c r="BN80" i="4"/>
  <c r="BM80" i="4" a="1"/>
  <c r="BM80" i="4"/>
  <c r="BL80" i="4" a="1"/>
  <c r="BL80" i="4" s="1"/>
  <c r="BK80" i="4" a="1"/>
  <c r="BK80" i="4" s="1"/>
  <c r="BJ80" i="4" a="1"/>
  <c r="BJ80" i="4"/>
  <c r="BI80" i="4" a="1"/>
  <c r="BI80" i="4" s="1"/>
  <c r="BH80" i="4" a="1"/>
  <c r="BH80" i="4"/>
  <c r="BG80" i="4" a="1"/>
  <c r="BG80" i="4" s="1"/>
  <c r="BF80" i="4" a="1"/>
  <c r="BF80" i="4" s="1"/>
  <c r="BE80" i="4" a="1"/>
  <c r="BE80" i="4" s="1"/>
  <c r="BD80" i="4" a="1"/>
  <c r="BD80" i="4"/>
  <c r="BC80" i="4" a="1"/>
  <c r="BC80" i="4" s="1"/>
  <c r="BB80" i="4" a="1"/>
  <c r="BB80" i="4" s="1"/>
  <c r="BA80" i="4" a="1"/>
  <c r="BA80" i="4"/>
  <c r="DI80" i="4" s="1"/>
  <c r="AZ80" i="4" a="1"/>
  <c r="AZ80" i="4"/>
  <c r="AY80" i="4" a="1"/>
  <c r="AY80" i="4" s="1"/>
  <c r="DH80" i="4" s="1"/>
  <c r="AW80" i="4"/>
  <c r="AV80" i="4"/>
  <c r="AT80" i="4"/>
  <c r="AS80" i="4"/>
  <c r="AR80" i="4"/>
  <c r="AQ80" i="4"/>
  <c r="AP80" i="4"/>
  <c r="AN80" i="4"/>
  <c r="AL80" i="4"/>
  <c r="AK80" i="4"/>
  <c r="AJ80" i="4"/>
  <c r="AI80" i="4"/>
  <c r="AH80" i="4"/>
  <c r="N80" i="4"/>
  <c r="M80" i="4"/>
  <c r="DF80" i="4" s="1"/>
  <c r="L80" i="4"/>
  <c r="K80" i="4"/>
  <c r="DD80" i="4" s="1"/>
  <c r="J80" i="4"/>
  <c r="DC80" i="4" s="1"/>
  <c r="I80" i="4"/>
  <c r="DB80" i="4" s="1"/>
  <c r="H80" i="4"/>
  <c r="G80" i="4"/>
  <c r="F80" i="4"/>
  <c r="D80" i="4"/>
  <c r="C80" i="4"/>
  <c r="B80" i="4"/>
  <c r="A80" i="4"/>
  <c r="DF79" i="4"/>
  <c r="CX79" i="4"/>
  <c r="BU79" i="4"/>
  <c r="BT79" i="4"/>
  <c r="BQ79" i="4" a="1"/>
  <c r="BQ79" i="4"/>
  <c r="BP79" i="4" a="1"/>
  <c r="BP79" i="4"/>
  <c r="BO79" i="4" a="1"/>
  <c r="BO79" i="4" s="1"/>
  <c r="DE79" i="4" s="1"/>
  <c r="BN79" i="4" a="1"/>
  <c r="BN79" i="4"/>
  <c r="BM79" i="4" a="1"/>
  <c r="BM79" i="4" s="1"/>
  <c r="BL79" i="4" a="1"/>
  <c r="BL79" i="4"/>
  <c r="BK79" i="4" a="1"/>
  <c r="BK79" i="4" s="1"/>
  <c r="BJ79" i="4" a="1"/>
  <c r="BJ79" i="4"/>
  <c r="BI79" i="4" a="1"/>
  <c r="BI79" i="4" s="1"/>
  <c r="BH79" i="4" a="1"/>
  <c r="BH79" i="4" s="1"/>
  <c r="DC79" i="4" s="1"/>
  <c r="BG79" i="4" a="1"/>
  <c r="BG79" i="4" s="1"/>
  <c r="BF79" i="4" a="1"/>
  <c r="BF79" i="4" s="1"/>
  <c r="BE79" i="4" a="1"/>
  <c r="BE79" i="4" s="1"/>
  <c r="BD79" i="4" a="1"/>
  <c r="BD79" i="4"/>
  <c r="BC79" i="4" a="1"/>
  <c r="BC79" i="4"/>
  <c r="BB79" i="4" a="1"/>
  <c r="BB79" i="4" s="1"/>
  <c r="BA79" i="4" a="1"/>
  <c r="BA79" i="4" s="1"/>
  <c r="AZ79" i="4" a="1"/>
  <c r="AZ79" i="4"/>
  <c r="AY79" i="4" a="1"/>
  <c r="AY79" i="4"/>
  <c r="DH79" i="4" s="1"/>
  <c r="AW79" i="4"/>
  <c r="AV79" i="4"/>
  <c r="AT79" i="4"/>
  <c r="AS79" i="4"/>
  <c r="AR79" i="4"/>
  <c r="AQ79" i="4"/>
  <c r="AP79" i="4"/>
  <c r="AN79" i="4"/>
  <c r="AL79" i="4"/>
  <c r="AK79" i="4"/>
  <c r="AJ79" i="4"/>
  <c r="AI79" i="4"/>
  <c r="AH79" i="4"/>
  <c r="N79" i="4"/>
  <c r="M79" i="4"/>
  <c r="L79" i="4"/>
  <c r="K79" i="4"/>
  <c r="DD79" i="4" s="1"/>
  <c r="J79" i="4"/>
  <c r="I79" i="4"/>
  <c r="DB79" i="4" s="1"/>
  <c r="H79" i="4"/>
  <c r="DA79" i="4" s="1"/>
  <c r="G79" i="4"/>
  <c r="CZ79" i="4" s="1"/>
  <c r="F79" i="4"/>
  <c r="D79" i="4"/>
  <c r="C79" i="4"/>
  <c r="B79" i="4"/>
  <c r="A79" i="4"/>
  <c r="DH78" i="4"/>
  <c r="DE78" i="4"/>
  <c r="DB78" i="4"/>
  <c r="CX78" i="4"/>
  <c r="BU78" i="4"/>
  <c r="BT78" i="4"/>
  <c r="BQ78" i="4" a="1"/>
  <c r="BQ78" i="4"/>
  <c r="BP78" i="4" a="1"/>
  <c r="BP78" i="4"/>
  <c r="BO78" i="4" a="1"/>
  <c r="BO78" i="4" s="1"/>
  <c r="BN78" i="4" a="1"/>
  <c r="BN78" i="4" s="1"/>
  <c r="BM78" i="4" a="1"/>
  <c r="BM78" i="4" s="1"/>
  <c r="BL78" i="4" a="1"/>
  <c r="BL78" i="4"/>
  <c r="BK78" i="4" a="1"/>
  <c r="BK78" i="4"/>
  <c r="BJ78" i="4" a="1"/>
  <c r="BJ78" i="4" s="1"/>
  <c r="BI78" i="4" a="1"/>
  <c r="BI78" i="4" s="1"/>
  <c r="BH78" i="4" a="1"/>
  <c r="BH78" i="4"/>
  <c r="BG78" i="4" a="1"/>
  <c r="BG78" i="4" s="1"/>
  <c r="BF78" i="4" a="1"/>
  <c r="BF78" i="4"/>
  <c r="BE78" i="4" a="1"/>
  <c r="BE78" i="4" s="1"/>
  <c r="BD78" i="4" a="1"/>
  <c r="BD78" i="4" s="1"/>
  <c r="DA78" i="4" s="1"/>
  <c r="BC78" i="4" a="1"/>
  <c r="BC78" i="4" s="1"/>
  <c r="BB78" i="4" a="1"/>
  <c r="BB78" i="4"/>
  <c r="BA78" i="4" a="1"/>
  <c r="BA78" i="4" s="1"/>
  <c r="AZ78" i="4" a="1"/>
  <c r="AZ78" i="4" s="1"/>
  <c r="AY78" i="4" a="1"/>
  <c r="AY78" i="4"/>
  <c r="AW78" i="4"/>
  <c r="AV78" i="4"/>
  <c r="AT78" i="4"/>
  <c r="AS78" i="4"/>
  <c r="AR78" i="4"/>
  <c r="AQ78" i="4"/>
  <c r="AP78" i="4"/>
  <c r="AN78" i="4"/>
  <c r="AL78" i="4"/>
  <c r="AK78" i="4"/>
  <c r="AJ78" i="4"/>
  <c r="AI78" i="4"/>
  <c r="AH78" i="4"/>
  <c r="N78" i="4"/>
  <c r="M78" i="4"/>
  <c r="L78" i="4"/>
  <c r="K78" i="4"/>
  <c r="DD78" i="4" s="1"/>
  <c r="J78" i="4"/>
  <c r="I78" i="4"/>
  <c r="H78" i="4"/>
  <c r="G78" i="4"/>
  <c r="CZ78" i="4" s="1"/>
  <c r="F78" i="4"/>
  <c r="D78" i="4"/>
  <c r="C78" i="4"/>
  <c r="B78" i="4"/>
  <c r="A78" i="4"/>
  <c r="DH77" i="4"/>
  <c r="DE77" i="4"/>
  <c r="DA77" i="4"/>
  <c r="CX77" i="4"/>
  <c r="BU77" i="4"/>
  <c r="BT77" i="4"/>
  <c r="BQ77" i="4" a="1"/>
  <c r="BQ77" i="4" s="1"/>
  <c r="BP77" i="4" a="1"/>
  <c r="BP77" i="4" s="1"/>
  <c r="BO77" i="4" a="1"/>
  <c r="BO77" i="4"/>
  <c r="BN77" i="4" a="1"/>
  <c r="BN77" i="4" s="1"/>
  <c r="BM77" i="4" a="1"/>
  <c r="BM77" i="4" s="1"/>
  <c r="BL77" i="4" a="1"/>
  <c r="BL77" i="4"/>
  <c r="DD77" i="4" s="1"/>
  <c r="BK77" i="4" a="1"/>
  <c r="BK77" i="4" s="1"/>
  <c r="BJ77" i="4" a="1"/>
  <c r="BJ77" i="4" s="1"/>
  <c r="BI77" i="4" a="1"/>
  <c r="BI77" i="4"/>
  <c r="BH77" i="4" a="1"/>
  <c r="BH77" i="4"/>
  <c r="BG77" i="4" a="1"/>
  <c r="BG77" i="4" s="1"/>
  <c r="BF77" i="4" a="1"/>
  <c r="BF77" i="4"/>
  <c r="BE77" i="4" a="1"/>
  <c r="BE77" i="4" s="1"/>
  <c r="BD77" i="4" a="1"/>
  <c r="BD77" i="4"/>
  <c r="BC77" i="4" a="1"/>
  <c r="BC77" i="4" s="1"/>
  <c r="BB77" i="4" a="1"/>
  <c r="BB77" i="4"/>
  <c r="BA77" i="4" a="1"/>
  <c r="BA77" i="4" s="1"/>
  <c r="DI77" i="4" s="1"/>
  <c r="AZ77" i="4" a="1"/>
  <c r="AZ77" i="4" s="1"/>
  <c r="AY77" i="4" a="1"/>
  <c r="AY77" i="4" s="1"/>
  <c r="AW77" i="4"/>
  <c r="AV77" i="4"/>
  <c r="AT77" i="4"/>
  <c r="AS77" i="4"/>
  <c r="AR77" i="4"/>
  <c r="AQ77" i="4"/>
  <c r="AP77" i="4"/>
  <c r="AN77" i="4"/>
  <c r="AL77" i="4"/>
  <c r="AK77" i="4"/>
  <c r="AJ77" i="4"/>
  <c r="AI77" i="4"/>
  <c r="AH77" i="4"/>
  <c r="N77" i="4"/>
  <c r="M77" i="4"/>
  <c r="L77" i="4"/>
  <c r="K77" i="4"/>
  <c r="J77" i="4"/>
  <c r="DC77" i="4" s="1"/>
  <c r="I77" i="4"/>
  <c r="DB77" i="4" s="1"/>
  <c r="H77" i="4"/>
  <c r="G77" i="4"/>
  <c r="F77" i="4"/>
  <c r="D77" i="4"/>
  <c r="C77" i="4"/>
  <c r="B77" i="4"/>
  <c r="A77" i="4"/>
  <c r="DC76" i="4"/>
  <c r="CX76" i="4"/>
  <c r="BU76" i="4"/>
  <c r="BT76" i="4"/>
  <c r="BQ76" i="4" a="1"/>
  <c r="BQ76" i="4" s="1"/>
  <c r="DJ76" i="4" s="1"/>
  <c r="BP76" i="4" a="1"/>
  <c r="BP76" i="4" s="1"/>
  <c r="BO76" i="4" a="1"/>
  <c r="BO76" i="4"/>
  <c r="BN76" i="4" a="1"/>
  <c r="BN76" i="4"/>
  <c r="BM76" i="4" a="1"/>
  <c r="BM76" i="4" s="1"/>
  <c r="BL76" i="4" a="1"/>
  <c r="BL76" i="4" s="1"/>
  <c r="BK76" i="4" a="1"/>
  <c r="BK76" i="4"/>
  <c r="BJ76" i="4" a="1"/>
  <c r="BJ76" i="4"/>
  <c r="BI76" i="4" a="1"/>
  <c r="BI76" i="4" s="1"/>
  <c r="BH76" i="4" a="1"/>
  <c r="BH76" i="4"/>
  <c r="BG76" i="4" a="1"/>
  <c r="BG76" i="4" s="1"/>
  <c r="BF76" i="4" a="1"/>
  <c r="BF76" i="4" s="1"/>
  <c r="DB76" i="4" s="1"/>
  <c r="BE76" i="4" a="1"/>
  <c r="BE76" i="4"/>
  <c r="BD76" i="4" a="1"/>
  <c r="BD76" i="4" s="1"/>
  <c r="BC76" i="4" a="1"/>
  <c r="BC76" i="4" s="1"/>
  <c r="BB76" i="4" a="1"/>
  <c r="BB76" i="4"/>
  <c r="BA76" i="4" a="1"/>
  <c r="BA76" i="4" s="1"/>
  <c r="DI76" i="4" s="1"/>
  <c r="AZ76" i="4" a="1"/>
  <c r="AZ76" i="4" s="1"/>
  <c r="CZ76" i="4" s="1"/>
  <c r="AY76" i="4" a="1"/>
  <c r="AY76" i="4" s="1"/>
  <c r="DH76" i="4" s="1"/>
  <c r="AW76" i="4"/>
  <c r="AV76" i="4"/>
  <c r="AT76" i="4"/>
  <c r="AS76" i="4"/>
  <c r="AR76" i="4"/>
  <c r="AQ76" i="4"/>
  <c r="AP76" i="4"/>
  <c r="AN76" i="4"/>
  <c r="AL76" i="4"/>
  <c r="AK76" i="4"/>
  <c r="AJ76" i="4"/>
  <c r="AI76" i="4"/>
  <c r="AH76" i="4"/>
  <c r="N76" i="4"/>
  <c r="M76" i="4"/>
  <c r="DF76" i="4" s="1"/>
  <c r="L76" i="4"/>
  <c r="DE76" i="4" s="1"/>
  <c r="K76" i="4"/>
  <c r="J76" i="4"/>
  <c r="I76" i="4"/>
  <c r="H76" i="4"/>
  <c r="DA76" i="4" s="1"/>
  <c r="G76" i="4"/>
  <c r="F76" i="4"/>
  <c r="D76" i="4"/>
  <c r="C76" i="4"/>
  <c r="B76" i="4"/>
  <c r="A76" i="4"/>
  <c r="DJ75" i="4"/>
  <c r="CX75" i="4"/>
  <c r="BU75" i="4"/>
  <c r="BT75" i="4"/>
  <c r="BQ75" i="4" a="1"/>
  <c r="BQ75" i="4"/>
  <c r="BP75" i="4" a="1"/>
  <c r="BP75" i="4" s="1"/>
  <c r="BO75" i="4" a="1"/>
  <c r="BO75" i="4" s="1"/>
  <c r="BN75" i="4" a="1"/>
  <c r="BN75" i="4" s="1"/>
  <c r="BM75" i="4" a="1"/>
  <c r="BM75" i="4"/>
  <c r="BL75" i="4" a="1"/>
  <c r="BL75" i="4" s="1"/>
  <c r="BK75" i="4" a="1"/>
  <c r="BK75" i="4" s="1"/>
  <c r="BJ75" i="4" a="1"/>
  <c r="BJ75" i="4"/>
  <c r="BI75" i="4" a="1"/>
  <c r="BI75" i="4" s="1"/>
  <c r="BH75" i="4" a="1"/>
  <c r="BH75" i="4"/>
  <c r="DC75" i="4" s="1"/>
  <c r="BG75" i="4" a="1"/>
  <c r="BG75" i="4"/>
  <c r="BF75" i="4" a="1"/>
  <c r="BF75" i="4"/>
  <c r="DB75" i="4" s="1"/>
  <c r="BE75" i="4" a="1"/>
  <c r="BE75" i="4" s="1"/>
  <c r="BD75" i="4" a="1"/>
  <c r="BD75" i="4"/>
  <c r="DA75" i="4" s="1"/>
  <c r="BC75" i="4" a="1"/>
  <c r="BC75" i="4" s="1"/>
  <c r="BB75" i="4" a="1"/>
  <c r="BB75" i="4"/>
  <c r="BA75" i="4" a="1"/>
  <c r="BA75" i="4" s="1"/>
  <c r="DI75" i="4" s="1"/>
  <c r="AZ75" i="4" a="1"/>
  <c r="AZ75" i="4"/>
  <c r="AY75" i="4" a="1"/>
  <c r="AY75" i="4"/>
  <c r="DH75" i="4" s="1"/>
  <c r="AW75" i="4"/>
  <c r="AV75" i="4"/>
  <c r="AT75" i="4"/>
  <c r="AS75" i="4"/>
  <c r="AR75" i="4"/>
  <c r="AQ75" i="4"/>
  <c r="AP75" i="4"/>
  <c r="AN75" i="4"/>
  <c r="AL75" i="4"/>
  <c r="AK75" i="4"/>
  <c r="AJ75" i="4"/>
  <c r="AI75" i="4"/>
  <c r="AH75" i="4"/>
  <c r="N75" i="4"/>
  <c r="M75" i="4"/>
  <c r="DF75" i="4" s="1"/>
  <c r="L75" i="4"/>
  <c r="DE75" i="4" s="1"/>
  <c r="K75" i="4"/>
  <c r="J75" i="4"/>
  <c r="I75" i="4"/>
  <c r="H75" i="4"/>
  <c r="G75" i="4"/>
  <c r="CZ75" i="4" s="1"/>
  <c r="F75" i="4"/>
  <c r="D75" i="4"/>
  <c r="C75" i="4"/>
  <c r="B75" i="4"/>
  <c r="A75" i="4"/>
  <c r="CX74" i="4"/>
  <c r="BU74" i="4"/>
  <c r="BT74" i="4"/>
  <c r="BQ74" i="4" a="1"/>
  <c r="BQ74" i="4" s="1"/>
  <c r="BP74" i="4" a="1"/>
  <c r="BP74" i="4"/>
  <c r="BO74" i="4" a="1"/>
  <c r="BO74" i="4"/>
  <c r="DE74" i="4" s="1"/>
  <c r="BN74" i="4" a="1"/>
  <c r="BN74" i="4" s="1"/>
  <c r="BM74" i="4" a="1"/>
  <c r="BM74" i="4"/>
  <c r="BL74" i="4" a="1"/>
  <c r="BL74" i="4" s="1"/>
  <c r="DD74" i="4" s="1"/>
  <c r="BK74" i="4" a="1"/>
  <c r="BK74" i="4" s="1"/>
  <c r="BJ74" i="4" a="1"/>
  <c r="BJ74" i="4"/>
  <c r="BI74" i="4" a="1"/>
  <c r="BI74" i="4" s="1"/>
  <c r="BH74" i="4" a="1"/>
  <c r="BH74" i="4" s="1"/>
  <c r="BG74" i="4" a="1"/>
  <c r="BG74" i="4"/>
  <c r="BF74" i="4" a="1"/>
  <c r="BF74" i="4"/>
  <c r="DB74" i="4" s="1"/>
  <c r="BE74" i="4" a="1"/>
  <c r="BE74" i="4" s="1"/>
  <c r="BD74" i="4" a="1"/>
  <c r="BD74" i="4" s="1"/>
  <c r="DA74" i="4" s="1"/>
  <c r="BC74" i="4" a="1"/>
  <c r="BC74" i="4"/>
  <c r="BB74" i="4" a="1"/>
  <c r="BB74" i="4"/>
  <c r="BA74" i="4" a="1"/>
  <c r="BA74" i="4" s="1"/>
  <c r="DI74" i="4" s="1"/>
  <c r="AZ74" i="4" a="1"/>
  <c r="AZ74" i="4"/>
  <c r="AY74" i="4" a="1"/>
  <c r="AY74" i="4" s="1"/>
  <c r="DH74" i="4" s="1"/>
  <c r="AW74" i="4"/>
  <c r="AV74" i="4"/>
  <c r="AT74" i="4"/>
  <c r="AS74" i="4"/>
  <c r="AR74" i="4"/>
  <c r="AQ74" i="4"/>
  <c r="AP74" i="4"/>
  <c r="AN74" i="4"/>
  <c r="AL74" i="4"/>
  <c r="AK74" i="4"/>
  <c r="AJ74" i="4"/>
  <c r="AI74" i="4"/>
  <c r="AH74" i="4"/>
  <c r="N74" i="4"/>
  <c r="M74" i="4"/>
  <c r="DF74" i="4" s="1"/>
  <c r="L74" i="4"/>
  <c r="K74" i="4"/>
  <c r="J74" i="4"/>
  <c r="I74" i="4"/>
  <c r="H74" i="4"/>
  <c r="G74" i="4"/>
  <c r="CZ74" i="4" s="1"/>
  <c r="F74" i="4"/>
  <c r="D74" i="4"/>
  <c r="C74" i="4"/>
  <c r="B74" i="4"/>
  <c r="A74" i="4"/>
  <c r="DH73" i="4"/>
  <c r="DC73" i="4"/>
  <c r="CX73" i="4"/>
  <c r="BU73" i="4"/>
  <c r="BT73" i="4"/>
  <c r="BQ73" i="4" a="1"/>
  <c r="BQ73" i="4" s="1"/>
  <c r="BP73" i="4" a="1"/>
  <c r="BP73" i="4"/>
  <c r="BO73" i="4" a="1"/>
  <c r="BO73" i="4" s="1"/>
  <c r="BN73" i="4" a="1"/>
  <c r="BN73" i="4"/>
  <c r="BM73" i="4" a="1"/>
  <c r="BM73" i="4" s="1"/>
  <c r="BL73" i="4" a="1"/>
  <c r="BL73" i="4"/>
  <c r="BK73" i="4" a="1"/>
  <c r="BK73" i="4"/>
  <c r="BJ73" i="4" a="1"/>
  <c r="BJ73" i="4" s="1"/>
  <c r="BI73" i="4" a="1"/>
  <c r="BI73" i="4"/>
  <c r="BH73" i="4" a="1"/>
  <c r="BH73" i="4"/>
  <c r="BG73" i="4" a="1"/>
  <c r="BG73" i="4" s="1"/>
  <c r="BF73" i="4" a="1"/>
  <c r="BF73" i="4"/>
  <c r="BE73" i="4" a="1"/>
  <c r="BE73" i="4"/>
  <c r="BD73" i="4" a="1"/>
  <c r="BD73" i="4" s="1"/>
  <c r="BC73" i="4" a="1"/>
  <c r="BC73" i="4"/>
  <c r="BB73" i="4" a="1"/>
  <c r="BB73" i="4" s="1"/>
  <c r="BA73" i="4" a="1"/>
  <c r="BA73" i="4" s="1"/>
  <c r="DI73" i="4" s="1"/>
  <c r="AZ73" i="4" a="1"/>
  <c r="AZ73" i="4" s="1"/>
  <c r="CZ73" i="4" s="1"/>
  <c r="AY73" i="4" a="1"/>
  <c r="AY73" i="4"/>
  <c r="AW73" i="4"/>
  <c r="AV73" i="4"/>
  <c r="AT73" i="4"/>
  <c r="AS73" i="4"/>
  <c r="AR73" i="4"/>
  <c r="AQ73" i="4"/>
  <c r="AP73" i="4"/>
  <c r="AN73" i="4"/>
  <c r="AL73" i="4"/>
  <c r="AK73" i="4"/>
  <c r="AJ73" i="4"/>
  <c r="AI73" i="4"/>
  <c r="AH73" i="4"/>
  <c r="N73" i="4"/>
  <c r="M73" i="4"/>
  <c r="L73" i="4"/>
  <c r="K73" i="4"/>
  <c r="DD73" i="4" s="1"/>
  <c r="J73" i="4"/>
  <c r="I73" i="4"/>
  <c r="DB73" i="4" s="1"/>
  <c r="H73" i="4"/>
  <c r="DA73" i="4" s="1"/>
  <c r="G73" i="4"/>
  <c r="F73" i="4"/>
  <c r="D73" i="4"/>
  <c r="C73" i="4"/>
  <c r="B73" i="4"/>
  <c r="A73" i="4"/>
  <c r="DF72" i="4"/>
  <c r="DE72" i="4"/>
  <c r="CZ72" i="4"/>
  <c r="CX72" i="4"/>
  <c r="BU72" i="4"/>
  <c r="BT72" i="4"/>
  <c r="BQ72" i="4" a="1"/>
  <c r="BQ72" i="4"/>
  <c r="DJ72" i="4" s="1"/>
  <c r="BP72" i="4" a="1"/>
  <c r="BP72" i="4" s="1"/>
  <c r="BO72" i="4" a="1"/>
  <c r="BO72" i="4" s="1"/>
  <c r="BN72" i="4" a="1"/>
  <c r="BN72" i="4"/>
  <c r="BM72" i="4" a="1"/>
  <c r="BM72" i="4"/>
  <c r="BL72" i="4" a="1"/>
  <c r="BL72" i="4" s="1"/>
  <c r="BK72" i="4" a="1"/>
  <c r="BK72" i="4"/>
  <c r="BJ72" i="4" a="1"/>
  <c r="BJ72" i="4"/>
  <c r="BI72" i="4" a="1"/>
  <c r="BI72" i="4" s="1"/>
  <c r="BH72" i="4" a="1"/>
  <c r="BH72" i="4"/>
  <c r="BG72" i="4" a="1"/>
  <c r="BG72" i="4" s="1"/>
  <c r="BF72" i="4" a="1"/>
  <c r="BF72" i="4"/>
  <c r="BE72" i="4" a="1"/>
  <c r="BE72" i="4"/>
  <c r="BD72" i="4" a="1"/>
  <c r="BD72" i="4"/>
  <c r="BC72" i="4" a="1"/>
  <c r="BC72" i="4" s="1"/>
  <c r="BB72" i="4" a="1"/>
  <c r="BB72" i="4" s="1"/>
  <c r="BA72" i="4" a="1"/>
  <c r="BA72" i="4"/>
  <c r="DI72" i="4" s="1"/>
  <c r="AZ72" i="4" a="1"/>
  <c r="AZ72" i="4"/>
  <c r="AY72" i="4" a="1"/>
  <c r="AY72" i="4" s="1"/>
  <c r="DH72" i="4" s="1"/>
  <c r="AW72" i="4"/>
  <c r="AV72" i="4"/>
  <c r="AT72" i="4"/>
  <c r="AS72" i="4"/>
  <c r="AR72" i="4"/>
  <c r="AQ72" i="4"/>
  <c r="AP72" i="4"/>
  <c r="AN72" i="4"/>
  <c r="AL72" i="4"/>
  <c r="AK72" i="4"/>
  <c r="AJ72" i="4"/>
  <c r="AI72" i="4"/>
  <c r="AH72" i="4"/>
  <c r="N72" i="4"/>
  <c r="M72" i="4"/>
  <c r="L72" i="4"/>
  <c r="K72" i="4"/>
  <c r="J72" i="4"/>
  <c r="DC72" i="4" s="1"/>
  <c r="I72" i="4"/>
  <c r="H72" i="4"/>
  <c r="DA72" i="4" s="1"/>
  <c r="G72" i="4"/>
  <c r="F72" i="4"/>
  <c r="D72" i="4"/>
  <c r="C72" i="4"/>
  <c r="B72" i="4"/>
  <c r="A72" i="4"/>
  <c r="DF71" i="4"/>
  <c r="DA71" i="4"/>
  <c r="CX71" i="4"/>
  <c r="BU71" i="4"/>
  <c r="BT71" i="4"/>
  <c r="BQ71" i="4" a="1"/>
  <c r="BQ71" i="4" s="1"/>
  <c r="BP71" i="4" a="1"/>
  <c r="BP71" i="4" s="1"/>
  <c r="BO71" i="4" a="1"/>
  <c r="BO71" i="4" s="1"/>
  <c r="DE71" i="4" s="1"/>
  <c r="BN71" i="4" a="1"/>
  <c r="BN71" i="4"/>
  <c r="BM71" i="4" a="1"/>
  <c r="BM71" i="4"/>
  <c r="BL71" i="4" a="1"/>
  <c r="BL71" i="4" s="1"/>
  <c r="BK71" i="4" a="1"/>
  <c r="BK71" i="4" s="1"/>
  <c r="BJ71" i="4" a="1"/>
  <c r="BJ71" i="4"/>
  <c r="BI71" i="4" a="1"/>
  <c r="BI71" i="4" s="1"/>
  <c r="BH71" i="4" a="1"/>
  <c r="BH71" i="4"/>
  <c r="BG71" i="4" a="1"/>
  <c r="BG71" i="4" s="1"/>
  <c r="BF71" i="4" a="1"/>
  <c r="BF71" i="4" s="1"/>
  <c r="BE71" i="4" a="1"/>
  <c r="BE71" i="4" s="1"/>
  <c r="BD71" i="4" a="1"/>
  <c r="BD71" i="4"/>
  <c r="BC71" i="4" a="1"/>
  <c r="BC71" i="4" s="1"/>
  <c r="BB71" i="4" a="1"/>
  <c r="BB71" i="4" s="1"/>
  <c r="BA71" i="4" a="1"/>
  <c r="BA71" i="4"/>
  <c r="DI71" i="4" s="1"/>
  <c r="AZ71" i="4" a="1"/>
  <c r="AZ71" i="4"/>
  <c r="AY71" i="4" a="1"/>
  <c r="AY71" i="4" s="1"/>
  <c r="DH71" i="4" s="1"/>
  <c r="AW71" i="4"/>
  <c r="AV71" i="4"/>
  <c r="AT71" i="4"/>
  <c r="AS71" i="4"/>
  <c r="AR71" i="4"/>
  <c r="AQ71" i="4"/>
  <c r="AP71" i="4"/>
  <c r="AN71" i="4"/>
  <c r="AL71" i="4"/>
  <c r="AK71" i="4"/>
  <c r="AJ71" i="4"/>
  <c r="AI71" i="4"/>
  <c r="AH71" i="4"/>
  <c r="N71" i="4"/>
  <c r="M71" i="4"/>
  <c r="L71" i="4"/>
  <c r="K71" i="4"/>
  <c r="DD71" i="4" s="1"/>
  <c r="J71" i="4"/>
  <c r="DC71" i="4" s="1"/>
  <c r="I71" i="4"/>
  <c r="H71" i="4"/>
  <c r="G71" i="4"/>
  <c r="CZ71" i="4" s="1"/>
  <c r="F71" i="4"/>
  <c r="D71" i="4"/>
  <c r="C71" i="4"/>
  <c r="B71" i="4"/>
  <c r="A71" i="4"/>
  <c r="DJ70" i="4"/>
  <c r="DE70" i="4"/>
  <c r="DD70" i="4"/>
  <c r="CZ70" i="4"/>
  <c r="CX70" i="4"/>
  <c r="BU70" i="4"/>
  <c r="BT70" i="4"/>
  <c r="BQ70" i="4" a="1"/>
  <c r="BQ70" i="4"/>
  <c r="DJ71" i="4" s="1"/>
  <c r="BP70" i="4" a="1"/>
  <c r="BP70" i="4" s="1"/>
  <c r="BO70" i="4" a="1"/>
  <c r="BO70" i="4"/>
  <c r="BN70" i="4" a="1"/>
  <c r="BN70" i="4" s="1"/>
  <c r="BM70" i="4" a="1"/>
  <c r="BM70" i="4" s="1"/>
  <c r="BL70" i="4" a="1"/>
  <c r="BL70" i="4"/>
  <c r="BK70" i="4" a="1"/>
  <c r="BK70" i="4"/>
  <c r="BJ70" i="4" a="1"/>
  <c r="BJ70" i="4" s="1"/>
  <c r="BI70" i="4" a="1"/>
  <c r="BI70" i="4"/>
  <c r="BH70" i="4" a="1"/>
  <c r="BH70" i="4" s="1"/>
  <c r="BG70" i="4" a="1"/>
  <c r="BG70" i="4"/>
  <c r="BF70" i="4" a="1"/>
  <c r="BF70" i="4"/>
  <c r="DB70" i="4" s="1"/>
  <c r="BE70" i="4" a="1"/>
  <c r="BE70" i="4"/>
  <c r="BD70" i="4" a="1"/>
  <c r="BD70" i="4" s="1"/>
  <c r="DA70" i="4" s="1"/>
  <c r="BC70" i="4" a="1"/>
  <c r="BC70" i="4"/>
  <c r="BB70" i="4" a="1"/>
  <c r="BB70" i="4" s="1"/>
  <c r="BA70" i="4" a="1"/>
  <c r="BA70" i="4"/>
  <c r="DI70" i="4" s="1"/>
  <c r="AZ70" i="4" a="1"/>
  <c r="AZ70" i="4"/>
  <c r="AY70" i="4" a="1"/>
  <c r="AY70" i="4"/>
  <c r="DH70" i="4" s="1"/>
  <c r="AW70" i="4"/>
  <c r="AV70" i="4"/>
  <c r="AT70" i="4"/>
  <c r="AS70" i="4"/>
  <c r="AR70" i="4"/>
  <c r="AQ70" i="4"/>
  <c r="AP70" i="4"/>
  <c r="AN70" i="4"/>
  <c r="AL70" i="4"/>
  <c r="AK70" i="4"/>
  <c r="AJ70" i="4"/>
  <c r="AI70" i="4"/>
  <c r="AH70" i="4"/>
  <c r="N70" i="4"/>
  <c r="M70" i="4"/>
  <c r="DF70" i="4" s="1"/>
  <c r="L70" i="4"/>
  <c r="K70" i="4"/>
  <c r="J70" i="4"/>
  <c r="I70" i="4"/>
  <c r="H70" i="4"/>
  <c r="G70" i="4"/>
  <c r="F70" i="4"/>
  <c r="D70" i="4"/>
  <c r="C70" i="4"/>
  <c r="B70" i="4"/>
  <c r="A70" i="4"/>
  <c r="DH69" i="4"/>
  <c r="CX69" i="4"/>
  <c r="BU69" i="4"/>
  <c r="BT69" i="4"/>
  <c r="BQ69" i="4" a="1"/>
  <c r="BQ69" i="4"/>
  <c r="DF69" i="4" s="1"/>
  <c r="BP69" i="4" a="1"/>
  <c r="BP69" i="4" s="1"/>
  <c r="BO69" i="4" a="1"/>
  <c r="BO69" i="4" s="1"/>
  <c r="DE69" i="4" s="1"/>
  <c r="BN69" i="4" a="1"/>
  <c r="BN69" i="4"/>
  <c r="BM69" i="4" a="1"/>
  <c r="BM69" i="4"/>
  <c r="BL69" i="4" a="1"/>
  <c r="BL69" i="4" s="1"/>
  <c r="DD69" i="4" s="1"/>
  <c r="BK69" i="4" a="1"/>
  <c r="BK69" i="4"/>
  <c r="BJ69" i="4" a="1"/>
  <c r="BJ69" i="4" s="1"/>
  <c r="BI69" i="4" a="1"/>
  <c r="BI69" i="4" s="1"/>
  <c r="BH69" i="4" a="1"/>
  <c r="BH69" i="4"/>
  <c r="BG69" i="4" a="1"/>
  <c r="BG69" i="4"/>
  <c r="BF69" i="4" a="1"/>
  <c r="BF69" i="4" s="1"/>
  <c r="BE69" i="4" a="1"/>
  <c r="BE69" i="4"/>
  <c r="BD69" i="4" a="1"/>
  <c r="BD69" i="4" s="1"/>
  <c r="BC69" i="4" a="1"/>
  <c r="BC69" i="4"/>
  <c r="BB69" i="4" a="1"/>
  <c r="BB69" i="4"/>
  <c r="BA69" i="4" a="1"/>
  <c r="BA69" i="4"/>
  <c r="DI69" i="4" s="1"/>
  <c r="AZ69" i="4" a="1"/>
  <c r="AZ69" i="4" s="1"/>
  <c r="CZ69" i="4" s="1"/>
  <c r="AY69" i="4" a="1"/>
  <c r="AY69" i="4"/>
  <c r="AW69" i="4"/>
  <c r="AV69" i="4"/>
  <c r="AT69" i="4"/>
  <c r="AS69" i="4"/>
  <c r="AR69" i="4"/>
  <c r="AQ69" i="4"/>
  <c r="AP69" i="4"/>
  <c r="AN69" i="4"/>
  <c r="AL69" i="4"/>
  <c r="AK69" i="4"/>
  <c r="AJ69" i="4"/>
  <c r="AI69" i="4"/>
  <c r="AH69" i="4"/>
  <c r="N69" i="4"/>
  <c r="M69" i="4"/>
  <c r="L69" i="4"/>
  <c r="K69" i="4"/>
  <c r="J69" i="4"/>
  <c r="DC69" i="4" s="1"/>
  <c r="I69" i="4"/>
  <c r="DB69" i="4" s="1"/>
  <c r="H69" i="4"/>
  <c r="DA69" i="4" s="1"/>
  <c r="G69" i="4"/>
  <c r="F69" i="4"/>
  <c r="D69" i="4"/>
  <c r="C69" i="4"/>
  <c r="B69" i="4"/>
  <c r="A69" i="4"/>
  <c r="DA68" i="4"/>
  <c r="CX68" i="4"/>
  <c r="BU68" i="4"/>
  <c r="BT68" i="4"/>
  <c r="BQ68" i="4" a="1"/>
  <c r="BQ68" i="4" s="1"/>
  <c r="BP68" i="4" a="1"/>
  <c r="BP68" i="4"/>
  <c r="BO68" i="4" a="1"/>
  <c r="BO68" i="4"/>
  <c r="BN68" i="4" a="1"/>
  <c r="BN68" i="4" s="1"/>
  <c r="BM68" i="4" a="1"/>
  <c r="BM68" i="4"/>
  <c r="BL68" i="4" a="1"/>
  <c r="BL68" i="4" s="1"/>
  <c r="DD68" i="4" s="1"/>
  <c r="BK68" i="4" a="1"/>
  <c r="BK68" i="4" s="1"/>
  <c r="BJ68" i="4" a="1"/>
  <c r="BJ68" i="4"/>
  <c r="BI68" i="4" a="1"/>
  <c r="BI68" i="4"/>
  <c r="BH68" i="4" a="1"/>
  <c r="BH68" i="4" s="1"/>
  <c r="DC68" i="4" s="1"/>
  <c r="BG68" i="4" a="1"/>
  <c r="BG68" i="4"/>
  <c r="BF68" i="4" a="1"/>
  <c r="BF68" i="4" s="1"/>
  <c r="BE68" i="4" a="1"/>
  <c r="BE68" i="4" s="1"/>
  <c r="BD68" i="4" a="1"/>
  <c r="BD68" i="4" s="1"/>
  <c r="BC68" i="4" a="1"/>
  <c r="BC68" i="4"/>
  <c r="BB68" i="4" a="1"/>
  <c r="BB68" i="4" s="1"/>
  <c r="BA68" i="4" a="1"/>
  <c r="BA68" i="4"/>
  <c r="AZ68" i="4" a="1"/>
  <c r="AZ68" i="4" s="1"/>
  <c r="AY68" i="4" a="1"/>
  <c r="AY68" i="4" s="1"/>
  <c r="DH68" i="4" s="1"/>
  <c r="AW68" i="4"/>
  <c r="AV68" i="4"/>
  <c r="AT68" i="4"/>
  <c r="AS68" i="4"/>
  <c r="AR68" i="4"/>
  <c r="AQ68" i="4"/>
  <c r="AP68" i="4"/>
  <c r="AN68" i="4"/>
  <c r="AL68" i="4"/>
  <c r="AK68" i="4"/>
  <c r="AJ68" i="4"/>
  <c r="AI68" i="4"/>
  <c r="AH68" i="4"/>
  <c r="N68" i="4"/>
  <c r="M68" i="4"/>
  <c r="L68" i="4"/>
  <c r="DE68" i="4" s="1"/>
  <c r="K68" i="4"/>
  <c r="J68" i="4"/>
  <c r="I68" i="4"/>
  <c r="H68" i="4"/>
  <c r="G68" i="4"/>
  <c r="CZ68" i="4" s="1"/>
  <c r="F68" i="4"/>
  <c r="D68" i="4"/>
  <c r="C68" i="4"/>
  <c r="B68" i="4"/>
  <c r="A68" i="4"/>
  <c r="DE67" i="4"/>
  <c r="CZ67" i="4"/>
  <c r="CX67" i="4"/>
  <c r="BU67" i="4"/>
  <c r="BT67" i="4"/>
  <c r="BQ67" i="4" a="1"/>
  <c r="BQ67" i="4"/>
  <c r="DJ67" i="4" s="1"/>
  <c r="BP67" i="4" a="1"/>
  <c r="BP67" i="4" s="1"/>
  <c r="BO67" i="4" a="1"/>
  <c r="BO67" i="4"/>
  <c r="BN67" i="4" a="1"/>
  <c r="BN67" i="4" s="1"/>
  <c r="BM67" i="4" a="1"/>
  <c r="BM67" i="4" s="1"/>
  <c r="BL67" i="4" a="1"/>
  <c r="BL67" i="4" s="1"/>
  <c r="BK67" i="4" a="1"/>
  <c r="BK67" i="4"/>
  <c r="BJ67" i="4" a="1"/>
  <c r="BJ67" i="4" s="1"/>
  <c r="BI67" i="4" a="1"/>
  <c r="BI67" i="4"/>
  <c r="BH67" i="4" a="1"/>
  <c r="BH67" i="4" s="1"/>
  <c r="BG67" i="4" a="1"/>
  <c r="BG67" i="4"/>
  <c r="BF67" i="4" a="1"/>
  <c r="BF67" i="4" s="1"/>
  <c r="BE67" i="4" a="1"/>
  <c r="BE67" i="4"/>
  <c r="BD67" i="4" a="1"/>
  <c r="BD67" i="4" s="1"/>
  <c r="DA67" i="4" s="1"/>
  <c r="BC67" i="4" a="1"/>
  <c r="BC67" i="4"/>
  <c r="BB67" i="4" a="1"/>
  <c r="BB67" i="4" s="1"/>
  <c r="BA67" i="4" a="1"/>
  <c r="BA67" i="4"/>
  <c r="DI67" i="4" s="1"/>
  <c r="AZ67" i="4" a="1"/>
  <c r="AZ67" i="4" s="1"/>
  <c r="AY67" i="4" a="1"/>
  <c r="AY67" i="4"/>
  <c r="DH67" i="4" s="1"/>
  <c r="AW67" i="4"/>
  <c r="AV67" i="4"/>
  <c r="AT67" i="4"/>
  <c r="AS67" i="4"/>
  <c r="AR67" i="4"/>
  <c r="AQ67" i="4"/>
  <c r="AP67" i="4"/>
  <c r="AN67" i="4"/>
  <c r="AL67" i="4"/>
  <c r="AK67" i="4"/>
  <c r="AJ67" i="4"/>
  <c r="AI67" i="4"/>
  <c r="AH67" i="4"/>
  <c r="N67" i="4"/>
  <c r="M67" i="4"/>
  <c r="L67" i="4"/>
  <c r="K67" i="4"/>
  <c r="DD67" i="4" s="1"/>
  <c r="J67" i="4"/>
  <c r="DC67" i="4" s="1"/>
  <c r="I67" i="4"/>
  <c r="DB67" i="4" s="1"/>
  <c r="H67" i="4"/>
  <c r="G67" i="4"/>
  <c r="F67" i="4"/>
  <c r="D67" i="4"/>
  <c r="C67" i="4"/>
  <c r="B67" i="4"/>
  <c r="A67" i="4"/>
  <c r="DH66" i="4"/>
  <c r="DD66" i="4"/>
  <c r="DC66" i="4"/>
  <c r="CX66" i="4"/>
  <c r="BU66" i="4"/>
  <c r="BT66" i="4"/>
  <c r="BQ66" i="4" a="1"/>
  <c r="BQ66" i="4"/>
  <c r="BP66" i="4" a="1"/>
  <c r="BP66" i="4" s="1"/>
  <c r="BO66" i="4" a="1"/>
  <c r="BO66" i="4"/>
  <c r="DE66" i="4" s="1"/>
  <c r="BN66" i="4" a="1"/>
  <c r="BN66" i="4" s="1"/>
  <c r="BM66" i="4" a="1"/>
  <c r="BM66" i="4"/>
  <c r="BL66" i="4" a="1"/>
  <c r="BL66" i="4" s="1"/>
  <c r="BK66" i="4" a="1"/>
  <c r="BK66" i="4"/>
  <c r="BJ66" i="4" a="1"/>
  <c r="BJ66" i="4" s="1"/>
  <c r="BI66" i="4" a="1"/>
  <c r="BI66" i="4" s="1"/>
  <c r="BH66" i="4" a="1"/>
  <c r="BH66" i="4" s="1"/>
  <c r="BG66" i="4" a="1"/>
  <c r="BG66" i="4"/>
  <c r="BF66" i="4" a="1"/>
  <c r="BF66" i="4" s="1"/>
  <c r="BE66" i="4" a="1"/>
  <c r="BE66" i="4"/>
  <c r="BD66" i="4" a="1"/>
  <c r="BD66" i="4" s="1"/>
  <c r="DA66" i="4" s="1"/>
  <c r="BC66" i="4" a="1"/>
  <c r="BC66" i="4"/>
  <c r="BB66" i="4" a="1"/>
  <c r="BB66" i="4" s="1"/>
  <c r="BA66" i="4" a="1"/>
  <c r="BA66" i="4"/>
  <c r="DI66" i="4" s="1"/>
  <c r="AZ66" i="4" a="1"/>
  <c r="AZ66" i="4" s="1"/>
  <c r="CZ66" i="4" s="1"/>
  <c r="AY66" i="4" a="1"/>
  <c r="AY66" i="4"/>
  <c r="AW66" i="4"/>
  <c r="AV66" i="4"/>
  <c r="AT66" i="4"/>
  <c r="AS66" i="4"/>
  <c r="AR66" i="4"/>
  <c r="AQ66" i="4"/>
  <c r="AP66" i="4"/>
  <c r="AN66" i="4"/>
  <c r="AL66" i="4"/>
  <c r="AK66" i="4"/>
  <c r="AJ66" i="4"/>
  <c r="AI66" i="4"/>
  <c r="AH66" i="4"/>
  <c r="N66" i="4"/>
  <c r="M66" i="4"/>
  <c r="DF66" i="4" s="1"/>
  <c r="L66" i="4"/>
  <c r="K66" i="4"/>
  <c r="J66" i="4"/>
  <c r="I66" i="4"/>
  <c r="DB66" i="4" s="1"/>
  <c r="H66" i="4"/>
  <c r="G66" i="4"/>
  <c r="F66" i="4"/>
  <c r="D66" i="4"/>
  <c r="C66" i="4"/>
  <c r="B66" i="4"/>
  <c r="A66" i="4"/>
  <c r="DA65" i="4"/>
  <c r="CX65" i="4"/>
  <c r="BU65" i="4"/>
  <c r="BT65" i="4"/>
  <c r="BQ65" i="4" a="1"/>
  <c r="BQ65" i="4" s="1"/>
  <c r="BP65" i="4" a="1"/>
  <c r="BP65" i="4" s="1"/>
  <c r="BO65" i="4" a="1"/>
  <c r="BO65" i="4"/>
  <c r="DE65" i="4" s="1"/>
  <c r="BN65" i="4" a="1"/>
  <c r="BN65" i="4" s="1"/>
  <c r="BM65" i="4" a="1"/>
  <c r="BM65" i="4"/>
  <c r="BL65" i="4" a="1"/>
  <c r="BL65" i="4" s="1"/>
  <c r="BK65" i="4" a="1"/>
  <c r="BK65" i="4"/>
  <c r="BJ65" i="4" a="1"/>
  <c r="BJ65" i="4" s="1"/>
  <c r="BI65" i="4" a="1"/>
  <c r="BI65" i="4"/>
  <c r="BH65" i="4" a="1"/>
  <c r="BH65" i="4" s="1"/>
  <c r="DC65" i="4" s="1"/>
  <c r="BG65" i="4" a="1"/>
  <c r="BG65" i="4"/>
  <c r="BF65" i="4" a="1"/>
  <c r="BF65" i="4" s="1"/>
  <c r="BE65" i="4" a="1"/>
  <c r="BE65" i="4"/>
  <c r="BD65" i="4" a="1"/>
  <c r="BD65" i="4" s="1"/>
  <c r="BC65" i="4" a="1"/>
  <c r="BC65" i="4"/>
  <c r="BB65" i="4" a="1"/>
  <c r="BB65" i="4" s="1"/>
  <c r="BA65" i="4" a="1"/>
  <c r="BA65" i="4"/>
  <c r="AZ65" i="4" a="1"/>
  <c r="AZ65" i="4" s="1"/>
  <c r="AY65" i="4" a="1"/>
  <c r="AY65" i="4" s="1"/>
  <c r="DH65" i="4" s="1"/>
  <c r="AW65" i="4"/>
  <c r="AV65" i="4"/>
  <c r="AT65" i="4"/>
  <c r="AS65" i="4"/>
  <c r="AR65" i="4"/>
  <c r="AQ65" i="4"/>
  <c r="AP65" i="4"/>
  <c r="AN65" i="4"/>
  <c r="AL65" i="4"/>
  <c r="AK65" i="4"/>
  <c r="AJ65" i="4"/>
  <c r="AI65" i="4"/>
  <c r="AH65" i="4"/>
  <c r="N65" i="4"/>
  <c r="M65" i="4"/>
  <c r="L65" i="4"/>
  <c r="K65" i="4"/>
  <c r="J65" i="4"/>
  <c r="I65" i="4"/>
  <c r="DB65" i="4" s="1"/>
  <c r="H65" i="4"/>
  <c r="G65" i="4"/>
  <c r="CZ65" i="4" s="1"/>
  <c r="F65" i="4"/>
  <c r="D65" i="4"/>
  <c r="C65" i="4"/>
  <c r="B65" i="4"/>
  <c r="A65" i="4"/>
  <c r="DJ64" i="4"/>
  <c r="DE64" i="4"/>
  <c r="CZ64" i="4"/>
  <c r="CX64" i="4"/>
  <c r="BU64" i="4"/>
  <c r="BT64" i="4"/>
  <c r="BQ64" i="4" a="1"/>
  <c r="BQ64" i="4"/>
  <c r="BP64" i="4" a="1"/>
  <c r="BP64" i="4" s="1"/>
  <c r="BO64" i="4" a="1"/>
  <c r="BO64" i="4"/>
  <c r="BN64" i="4" a="1"/>
  <c r="BN64" i="4" s="1"/>
  <c r="BM64" i="4" a="1"/>
  <c r="BM64" i="4"/>
  <c r="BL64" i="4" a="1"/>
  <c r="BL64" i="4" s="1"/>
  <c r="BK64" i="4" a="1"/>
  <c r="BK64" i="4"/>
  <c r="BJ64" i="4" a="1"/>
  <c r="BJ64" i="4" s="1"/>
  <c r="BI64" i="4" a="1"/>
  <c r="BI64" i="4" s="1"/>
  <c r="BH64" i="4" a="1"/>
  <c r="BH64" i="4" s="1"/>
  <c r="BG64" i="4" a="1"/>
  <c r="BG64" i="4"/>
  <c r="BF64" i="4" a="1"/>
  <c r="BF64" i="4" s="1"/>
  <c r="BE64" i="4" a="1"/>
  <c r="BE64" i="4"/>
  <c r="BD64" i="4" a="1"/>
  <c r="BD64" i="4" s="1"/>
  <c r="DA64" i="4" s="1"/>
  <c r="BC64" i="4" a="1"/>
  <c r="BC64" i="4" s="1"/>
  <c r="BB64" i="4" a="1"/>
  <c r="BB64" i="4" s="1"/>
  <c r="BA64" i="4" a="1"/>
  <c r="BA64" i="4" s="1"/>
  <c r="DI64" i="4" s="1"/>
  <c r="AZ64" i="4" a="1"/>
  <c r="AZ64" i="4" s="1"/>
  <c r="AY64" i="4" a="1"/>
  <c r="AY64" i="4"/>
  <c r="DH64" i="4" s="1"/>
  <c r="AW64" i="4"/>
  <c r="AV64" i="4"/>
  <c r="AT64" i="4"/>
  <c r="AS64" i="4"/>
  <c r="AR64" i="4"/>
  <c r="AQ64" i="4"/>
  <c r="AP64" i="4"/>
  <c r="AN64" i="4"/>
  <c r="AL64" i="4"/>
  <c r="AK64" i="4"/>
  <c r="AJ64" i="4"/>
  <c r="AI64" i="4"/>
  <c r="AH64" i="4"/>
  <c r="N64" i="4"/>
  <c r="M64" i="4"/>
  <c r="L64" i="4"/>
  <c r="K64" i="4"/>
  <c r="DD64" i="4" s="1"/>
  <c r="J64" i="4"/>
  <c r="I64" i="4"/>
  <c r="DB64" i="4" s="1"/>
  <c r="H64" i="4"/>
  <c r="G64" i="4"/>
  <c r="F64" i="4"/>
  <c r="D64" i="4"/>
  <c r="C64" i="4"/>
  <c r="B64" i="4"/>
  <c r="A64" i="4"/>
  <c r="DD63" i="4"/>
  <c r="CX63" i="4"/>
  <c r="BU63" i="4"/>
  <c r="BT63" i="4"/>
  <c r="BQ63" i="4" a="1"/>
  <c r="BQ63" i="4" s="1"/>
  <c r="BP63" i="4" a="1"/>
  <c r="BP63" i="4" s="1"/>
  <c r="BO63" i="4" a="1"/>
  <c r="BO63" i="4"/>
  <c r="DE63" i="4" s="1"/>
  <c r="BN63" i="4" a="1"/>
  <c r="BN63" i="4" s="1"/>
  <c r="BM63" i="4" a="1"/>
  <c r="BM63" i="4"/>
  <c r="BL63" i="4" a="1"/>
  <c r="BL63" i="4" s="1"/>
  <c r="BK63" i="4" a="1"/>
  <c r="BK63" i="4" s="1"/>
  <c r="BJ63" i="4" a="1"/>
  <c r="BJ63" i="4" s="1"/>
  <c r="BI63" i="4" a="1"/>
  <c r="BI63" i="4"/>
  <c r="BH63" i="4" a="1"/>
  <c r="BH63" i="4" s="1"/>
  <c r="BG63" i="4" a="1"/>
  <c r="BG63" i="4"/>
  <c r="BF63" i="4" a="1"/>
  <c r="BF63" i="4" s="1"/>
  <c r="BE63" i="4" a="1"/>
  <c r="BE63" i="4" s="1"/>
  <c r="BD63" i="4" a="1"/>
  <c r="BD63" i="4" s="1"/>
  <c r="DA63" i="4" s="1"/>
  <c r="BC63" i="4" a="1"/>
  <c r="BC63" i="4" s="1"/>
  <c r="BB63" i="4" a="1"/>
  <c r="BB63" i="4" s="1"/>
  <c r="BA63" i="4" a="1"/>
  <c r="BA63" i="4"/>
  <c r="AZ63" i="4" a="1"/>
  <c r="AZ63" i="4" s="1"/>
  <c r="AY63" i="4" a="1"/>
  <c r="AY63" i="4" s="1"/>
  <c r="DH63" i="4" s="1"/>
  <c r="AW63" i="4"/>
  <c r="AV63" i="4"/>
  <c r="AT63" i="4"/>
  <c r="AS63" i="4"/>
  <c r="AR63" i="4"/>
  <c r="AQ63" i="4"/>
  <c r="AP63" i="4"/>
  <c r="AN63" i="4"/>
  <c r="AL63" i="4"/>
  <c r="AK63" i="4"/>
  <c r="AJ63" i="4"/>
  <c r="AI63" i="4"/>
  <c r="AH63" i="4"/>
  <c r="N63" i="4"/>
  <c r="M63" i="4"/>
  <c r="DF63" i="4" s="1"/>
  <c r="L63" i="4"/>
  <c r="K63" i="4"/>
  <c r="J63" i="4"/>
  <c r="DC63" i="4" s="1"/>
  <c r="I63" i="4"/>
  <c r="H63" i="4"/>
  <c r="G63" i="4"/>
  <c r="F63" i="4"/>
  <c r="D63" i="4"/>
  <c r="C63" i="4"/>
  <c r="B63" i="4"/>
  <c r="A63" i="4"/>
  <c r="DA62" i="4"/>
  <c r="CX62" i="4"/>
  <c r="BU62" i="4"/>
  <c r="BT62" i="4"/>
  <c r="BQ62" i="4" a="1"/>
  <c r="BQ62" i="4"/>
  <c r="BP62" i="4" a="1"/>
  <c r="BP62" i="4" s="1"/>
  <c r="BO62" i="4" a="1"/>
  <c r="BO62" i="4"/>
  <c r="DE62" i="4" s="1"/>
  <c r="BN62" i="4" a="1"/>
  <c r="BN62" i="4" s="1"/>
  <c r="BM62" i="4" a="1"/>
  <c r="BM62" i="4" s="1"/>
  <c r="BL62" i="4" a="1"/>
  <c r="BL62" i="4" s="1"/>
  <c r="BK62" i="4" a="1"/>
  <c r="BK62" i="4" s="1"/>
  <c r="BJ62" i="4" a="1"/>
  <c r="BJ62" i="4" s="1"/>
  <c r="BI62" i="4" a="1"/>
  <c r="BI62" i="4"/>
  <c r="BH62" i="4" a="1"/>
  <c r="BH62" i="4" s="1"/>
  <c r="DC62" i="4" s="1"/>
  <c r="BG62" i="4" a="1"/>
  <c r="BG62" i="4" s="1"/>
  <c r="BF62" i="4" a="1"/>
  <c r="BF62" i="4" s="1"/>
  <c r="BE62" i="4" a="1"/>
  <c r="BE62" i="4"/>
  <c r="BD62" i="4" a="1"/>
  <c r="BD62" i="4" s="1"/>
  <c r="BC62" i="4" a="1"/>
  <c r="BC62" i="4"/>
  <c r="BB62" i="4" a="1"/>
  <c r="BB62" i="4" s="1"/>
  <c r="BA62" i="4" a="1"/>
  <c r="BA62" i="4" s="1"/>
  <c r="DI62" i="4" s="1"/>
  <c r="AZ62" i="4" a="1"/>
  <c r="AZ62" i="4" s="1"/>
  <c r="AY62" i="4" a="1"/>
  <c r="AY62" i="4"/>
  <c r="DH62" i="4" s="1"/>
  <c r="AW62" i="4"/>
  <c r="AV62" i="4"/>
  <c r="AT62" i="4"/>
  <c r="AS62" i="4"/>
  <c r="AR62" i="4"/>
  <c r="AQ62" i="4"/>
  <c r="AP62" i="4"/>
  <c r="AN62" i="4"/>
  <c r="AL62" i="4"/>
  <c r="AK62" i="4"/>
  <c r="AJ62" i="4"/>
  <c r="AI62" i="4"/>
  <c r="AH62" i="4"/>
  <c r="N62" i="4"/>
  <c r="M62" i="4"/>
  <c r="DF62" i="4" s="1"/>
  <c r="L62" i="4"/>
  <c r="K62" i="4"/>
  <c r="DD62" i="4" s="1"/>
  <c r="J62" i="4"/>
  <c r="I62" i="4"/>
  <c r="DB62" i="4" s="1"/>
  <c r="H62" i="4"/>
  <c r="G62" i="4"/>
  <c r="CZ62" i="4" s="1"/>
  <c r="F62" i="4"/>
  <c r="D62" i="4"/>
  <c r="C62" i="4"/>
  <c r="B62" i="4"/>
  <c r="A62" i="4"/>
  <c r="DE61" i="4"/>
  <c r="CX61" i="4"/>
  <c r="CQ61" i="4"/>
  <c r="BU61" i="4"/>
  <c r="BT61" i="4"/>
  <c r="BQ61" i="4" a="1"/>
  <c r="BQ61" i="4"/>
  <c r="DJ61" i="4" s="1"/>
  <c r="BP61" i="4" a="1"/>
  <c r="BP61" i="4" s="1"/>
  <c r="BO61" i="4" a="1"/>
  <c r="BO61" i="4" s="1"/>
  <c r="BN61" i="4" a="1"/>
  <c r="BN61" i="4" s="1"/>
  <c r="BM61" i="4" a="1"/>
  <c r="BM61" i="4" s="1"/>
  <c r="BL61" i="4" a="1"/>
  <c r="BL61" i="4" s="1"/>
  <c r="BK61" i="4" a="1"/>
  <c r="BK61" i="4"/>
  <c r="BJ61" i="4" a="1"/>
  <c r="BJ61" i="4" s="1"/>
  <c r="BI61" i="4" a="1"/>
  <c r="BI61" i="4" s="1"/>
  <c r="BH61" i="4" a="1"/>
  <c r="BH61" i="4" s="1"/>
  <c r="BG61" i="4" a="1"/>
  <c r="BG61" i="4" s="1"/>
  <c r="BF61" i="4" a="1"/>
  <c r="BF61" i="4" s="1"/>
  <c r="BE61" i="4" a="1"/>
  <c r="BE61" i="4"/>
  <c r="BD61" i="4" a="1"/>
  <c r="BD61" i="4" s="1"/>
  <c r="DA61" i="4" s="1"/>
  <c r="BC61" i="4" a="1"/>
  <c r="BC61" i="4" s="1"/>
  <c r="BB61" i="4" a="1"/>
  <c r="BB61" i="4" s="1"/>
  <c r="BA61" i="4" a="1"/>
  <c r="BA61" i="4" s="1"/>
  <c r="DI61" i="4" s="1"/>
  <c r="AZ61" i="4" a="1"/>
  <c r="AZ61" i="4" s="1"/>
  <c r="CZ61" i="4" s="1"/>
  <c r="AY61" i="4" a="1"/>
  <c r="AY61" i="4"/>
  <c r="DH61" i="4" s="1"/>
  <c r="AW61" i="4"/>
  <c r="AV61" i="4"/>
  <c r="AT61" i="4"/>
  <c r="AS61" i="4"/>
  <c r="AR61" i="4"/>
  <c r="AQ61" i="4"/>
  <c r="AP61" i="4"/>
  <c r="AN61" i="4"/>
  <c r="AL61" i="4"/>
  <c r="AK61" i="4"/>
  <c r="AJ61" i="4"/>
  <c r="AI61" i="4"/>
  <c r="AH61" i="4"/>
  <c r="N61" i="4"/>
  <c r="M61" i="4"/>
  <c r="L61" i="4"/>
  <c r="K61" i="4"/>
  <c r="DD61" i="4" s="1"/>
  <c r="J61" i="4"/>
  <c r="I61" i="4"/>
  <c r="DB61" i="4" s="1"/>
  <c r="H61" i="4"/>
  <c r="G61" i="4"/>
  <c r="F61" i="4"/>
  <c r="D61" i="4"/>
  <c r="C61" i="4"/>
  <c r="B61" i="4"/>
  <c r="A61" i="4"/>
  <c r="DD60" i="4"/>
  <c r="DC60" i="4"/>
  <c r="CX60" i="4"/>
  <c r="BU60" i="4"/>
  <c r="BT60" i="4"/>
  <c r="BQ60" i="4" a="1"/>
  <c r="BQ60" i="4" s="1"/>
  <c r="DJ60" i="4" s="1"/>
  <c r="BP60" i="4" a="1"/>
  <c r="BP60" i="4" s="1"/>
  <c r="BO60" i="4" a="1"/>
  <c r="BO60" i="4"/>
  <c r="DE60" i="4" s="1"/>
  <c r="BN60" i="4" a="1"/>
  <c r="BN60" i="4" s="1"/>
  <c r="BM60" i="4" a="1"/>
  <c r="BM60" i="4"/>
  <c r="BL60" i="4" a="1"/>
  <c r="BL60" i="4" s="1"/>
  <c r="BK60" i="4" a="1"/>
  <c r="BK60" i="4" s="1"/>
  <c r="BJ60" i="4" a="1"/>
  <c r="BJ60" i="4" s="1"/>
  <c r="BI60" i="4" a="1"/>
  <c r="BI60" i="4" s="1"/>
  <c r="BH60" i="4" a="1"/>
  <c r="BH60" i="4" s="1"/>
  <c r="BG60" i="4" a="1"/>
  <c r="BG60" i="4"/>
  <c r="BF60" i="4" a="1"/>
  <c r="BF60" i="4" s="1"/>
  <c r="BE60" i="4" a="1"/>
  <c r="BE60" i="4" s="1"/>
  <c r="BD60" i="4" a="1"/>
  <c r="BD60" i="4" s="1"/>
  <c r="DA60" i="4" s="1"/>
  <c r="BC60" i="4" a="1"/>
  <c r="BC60" i="4" s="1"/>
  <c r="BB60" i="4" a="1"/>
  <c r="BB60" i="4" s="1"/>
  <c r="BA60" i="4" a="1"/>
  <c r="BA60" i="4"/>
  <c r="AZ60" i="4" a="1"/>
  <c r="AZ60" i="4" s="1"/>
  <c r="AY60" i="4" a="1"/>
  <c r="AY60" i="4" s="1"/>
  <c r="DH60" i="4" s="1"/>
  <c r="AW60" i="4"/>
  <c r="AV60" i="4"/>
  <c r="AT60" i="4"/>
  <c r="AS60" i="4"/>
  <c r="AR60" i="4"/>
  <c r="AQ60" i="4"/>
  <c r="AP60" i="4"/>
  <c r="AN60" i="4"/>
  <c r="AL60" i="4"/>
  <c r="AK60" i="4"/>
  <c r="AJ60" i="4"/>
  <c r="AI60" i="4"/>
  <c r="AH60" i="4"/>
  <c r="N60" i="4"/>
  <c r="M60" i="4"/>
  <c r="L60" i="4"/>
  <c r="K60" i="4"/>
  <c r="J60" i="4"/>
  <c r="I60" i="4"/>
  <c r="H60" i="4"/>
  <c r="G60" i="4"/>
  <c r="CZ60" i="4" s="1"/>
  <c r="F60" i="4"/>
  <c r="D60" i="4"/>
  <c r="C60" i="4"/>
  <c r="B60" i="4"/>
  <c r="A60" i="4"/>
  <c r="CX59" i="4"/>
  <c r="BU59" i="4"/>
  <c r="BT59" i="4"/>
  <c r="BQ59" i="4" a="1"/>
  <c r="BQ59" i="4"/>
  <c r="DJ59" i="4" s="1"/>
  <c r="BP59" i="4" a="1"/>
  <c r="BP59" i="4" s="1"/>
  <c r="BO59" i="4" a="1"/>
  <c r="BO59" i="4"/>
  <c r="DE59" i="4" s="1"/>
  <c r="BN59" i="4" a="1"/>
  <c r="BN59" i="4" s="1"/>
  <c r="BM59" i="4" a="1"/>
  <c r="BM59" i="4" s="1"/>
  <c r="BL59" i="4" a="1"/>
  <c r="BL59" i="4" s="1"/>
  <c r="BK59" i="4" a="1"/>
  <c r="BK59" i="4" s="1"/>
  <c r="BJ59" i="4" a="1"/>
  <c r="BJ59" i="4" s="1"/>
  <c r="BI59" i="4" a="1"/>
  <c r="BI59" i="4"/>
  <c r="BH59" i="4" a="1"/>
  <c r="BH59" i="4" s="1"/>
  <c r="DC59" i="4" s="1"/>
  <c r="BG59" i="4" a="1"/>
  <c r="BG59" i="4" s="1"/>
  <c r="BF59" i="4" a="1"/>
  <c r="BF59" i="4" s="1"/>
  <c r="BE59" i="4" a="1"/>
  <c r="BE59" i="4" s="1"/>
  <c r="BD59" i="4" a="1"/>
  <c r="BD59" i="4" s="1"/>
  <c r="DA59" i="4" s="1"/>
  <c r="BC59" i="4" a="1"/>
  <c r="BC59" i="4"/>
  <c r="BB59" i="4" a="1"/>
  <c r="BB59" i="4" s="1"/>
  <c r="BA59" i="4" a="1"/>
  <c r="BA59" i="4" s="1"/>
  <c r="DI59" i="4" s="1"/>
  <c r="AZ59" i="4" a="1"/>
  <c r="AZ59" i="4" s="1"/>
  <c r="AY59" i="4" a="1"/>
  <c r="AY59" i="4"/>
  <c r="DH59" i="4" s="1"/>
  <c r="AW59" i="4"/>
  <c r="AV59" i="4"/>
  <c r="AT59" i="4"/>
  <c r="AS59" i="4"/>
  <c r="AR59" i="4"/>
  <c r="AQ59" i="4"/>
  <c r="AP59" i="4"/>
  <c r="AN59" i="4"/>
  <c r="AL59" i="4"/>
  <c r="AK59" i="4"/>
  <c r="AJ59" i="4"/>
  <c r="AI59" i="4"/>
  <c r="AH59" i="4"/>
  <c r="N59" i="4"/>
  <c r="M59" i="4"/>
  <c r="L59" i="4"/>
  <c r="K59" i="4"/>
  <c r="J59" i="4"/>
  <c r="I59" i="4"/>
  <c r="H59" i="4"/>
  <c r="G59" i="4"/>
  <c r="CZ59" i="4" s="1"/>
  <c r="F59" i="4"/>
  <c r="D59" i="4"/>
  <c r="C59" i="4"/>
  <c r="B59" i="4"/>
  <c r="A59" i="4"/>
  <c r="CZ58" i="4"/>
  <c r="CX58" i="4"/>
  <c r="BU58" i="4"/>
  <c r="BT58" i="4"/>
  <c r="BQ58" i="4" a="1"/>
  <c r="BQ58" i="4"/>
  <c r="DJ58" i="4" s="1"/>
  <c r="BP58" i="4" a="1"/>
  <c r="BP58" i="4" s="1"/>
  <c r="BO58" i="4" a="1"/>
  <c r="BO58" i="4" s="1"/>
  <c r="DE58" i="4" s="1"/>
  <c r="BN58" i="4" a="1"/>
  <c r="BN58" i="4" s="1"/>
  <c r="BM58" i="4" a="1"/>
  <c r="BM58" i="4" s="1"/>
  <c r="BL58" i="4" a="1"/>
  <c r="BL58" i="4" s="1"/>
  <c r="BK58" i="4" a="1"/>
  <c r="BK58" i="4"/>
  <c r="BJ58" i="4" a="1"/>
  <c r="BJ58" i="4" s="1"/>
  <c r="BI58" i="4" a="1"/>
  <c r="BI58" i="4" s="1"/>
  <c r="BH58" i="4" a="1"/>
  <c r="BH58" i="4" s="1"/>
  <c r="BG58" i="4" a="1"/>
  <c r="BG58" i="4" s="1"/>
  <c r="BF58" i="4" a="1"/>
  <c r="BF58" i="4" s="1"/>
  <c r="BE58" i="4" a="1"/>
  <c r="BE58" i="4"/>
  <c r="BD58" i="4" a="1"/>
  <c r="BD58" i="4" s="1"/>
  <c r="DA58" i="4" s="1"/>
  <c r="BC58" i="4" a="1"/>
  <c r="BC58" i="4" s="1"/>
  <c r="BB58" i="4" a="1"/>
  <c r="BB58" i="4" s="1"/>
  <c r="BA58" i="4" a="1"/>
  <c r="BA58" i="4"/>
  <c r="DI58" i="4" s="1"/>
  <c r="AZ58" i="4" a="1"/>
  <c r="AZ58" i="4" s="1"/>
  <c r="AY58" i="4" a="1"/>
  <c r="AY58" i="4"/>
  <c r="DH58" i="4" s="1"/>
  <c r="AW58" i="4"/>
  <c r="AV58" i="4"/>
  <c r="AT58" i="4"/>
  <c r="AS58" i="4"/>
  <c r="AR58" i="4"/>
  <c r="AQ58" i="4"/>
  <c r="AP58" i="4"/>
  <c r="AN58" i="4"/>
  <c r="AL58" i="4"/>
  <c r="AK58" i="4"/>
  <c r="AJ58" i="4"/>
  <c r="AI58" i="4"/>
  <c r="AH58" i="4"/>
  <c r="N58" i="4"/>
  <c r="M58" i="4"/>
  <c r="DF58" i="4" s="1"/>
  <c r="L58" i="4"/>
  <c r="K58" i="4"/>
  <c r="DD58" i="4" s="1"/>
  <c r="J58" i="4"/>
  <c r="I58" i="4"/>
  <c r="H58" i="4"/>
  <c r="G58" i="4"/>
  <c r="F58" i="4"/>
  <c r="D58" i="4"/>
  <c r="C58" i="4"/>
  <c r="B58" i="4"/>
  <c r="A58" i="4"/>
  <c r="DD57" i="4"/>
  <c r="CX57" i="4"/>
  <c r="CU57" i="4"/>
  <c r="BU57" i="4"/>
  <c r="BT57" i="4"/>
  <c r="BQ57" i="4" a="1"/>
  <c r="BQ57" i="4" s="1"/>
  <c r="DJ57" i="4" s="1"/>
  <c r="BP57" i="4" a="1"/>
  <c r="BP57" i="4" s="1"/>
  <c r="BO57" i="4" a="1"/>
  <c r="BO57" i="4"/>
  <c r="DE57" i="4" s="1"/>
  <c r="BN57" i="4" a="1"/>
  <c r="BN57" i="4" s="1"/>
  <c r="BM57" i="4" a="1"/>
  <c r="BM57" i="4"/>
  <c r="BL57" i="4" a="1"/>
  <c r="BL57" i="4" s="1"/>
  <c r="BK57" i="4" a="1"/>
  <c r="BK57" i="4" s="1"/>
  <c r="BJ57" i="4" a="1"/>
  <c r="BJ57" i="4" s="1"/>
  <c r="BI57" i="4" a="1"/>
  <c r="BI57" i="4"/>
  <c r="BH57" i="4" a="1"/>
  <c r="BH57" i="4" s="1"/>
  <c r="DC57" i="4" s="1"/>
  <c r="BG57" i="4" a="1"/>
  <c r="BG57" i="4"/>
  <c r="BF57" i="4" a="1"/>
  <c r="BF57" i="4" s="1"/>
  <c r="BE57" i="4" a="1"/>
  <c r="BE57" i="4" s="1"/>
  <c r="BD57" i="4" a="1"/>
  <c r="BD57" i="4" s="1"/>
  <c r="DA57" i="4" s="1"/>
  <c r="BC57" i="4" a="1"/>
  <c r="BC57" i="4" s="1"/>
  <c r="BB57" i="4" a="1"/>
  <c r="BB57" i="4" s="1"/>
  <c r="BA57" i="4" a="1"/>
  <c r="BA57" i="4"/>
  <c r="AZ57" i="4" a="1"/>
  <c r="AZ57" i="4" s="1"/>
  <c r="AY57" i="4" a="1"/>
  <c r="AY57" i="4" s="1"/>
  <c r="DH57" i="4" s="1"/>
  <c r="AW57" i="4"/>
  <c r="AV57" i="4"/>
  <c r="AT57" i="4"/>
  <c r="AS57" i="4"/>
  <c r="AR57" i="4"/>
  <c r="AQ57" i="4"/>
  <c r="AP57" i="4"/>
  <c r="AN57" i="4"/>
  <c r="AL57" i="4"/>
  <c r="AK57" i="4"/>
  <c r="AJ57" i="4"/>
  <c r="AI57" i="4"/>
  <c r="AH57" i="4"/>
  <c r="N57" i="4"/>
  <c r="M57" i="4"/>
  <c r="L57" i="4"/>
  <c r="K57" i="4"/>
  <c r="J57" i="4"/>
  <c r="I57" i="4"/>
  <c r="DB57" i="4" s="1"/>
  <c r="H57" i="4"/>
  <c r="G57" i="4"/>
  <c r="F57" i="4"/>
  <c r="D57" i="4"/>
  <c r="C57" i="4"/>
  <c r="B57" i="4"/>
  <c r="A57" i="4"/>
  <c r="CZ56" i="4"/>
  <c r="CX56" i="4"/>
  <c r="BU56" i="4"/>
  <c r="BT56" i="4"/>
  <c r="BQ56" i="4" a="1"/>
  <c r="BQ56" i="4"/>
  <c r="DJ56" i="4" s="1"/>
  <c r="BP56" i="4" a="1"/>
  <c r="BP56" i="4" s="1"/>
  <c r="BO56" i="4" a="1"/>
  <c r="BO56" i="4"/>
  <c r="DE56" i="4" s="1"/>
  <c r="BN56" i="4" a="1"/>
  <c r="BN56" i="4" s="1"/>
  <c r="BM56" i="4" a="1"/>
  <c r="BM56" i="4" s="1"/>
  <c r="BL56" i="4" a="1"/>
  <c r="BL56" i="4" s="1"/>
  <c r="BK56" i="4" a="1"/>
  <c r="BK56" i="4"/>
  <c r="BJ56" i="4" a="1"/>
  <c r="BJ56" i="4" s="1"/>
  <c r="BI56" i="4" a="1"/>
  <c r="BI56" i="4"/>
  <c r="BH56" i="4" a="1"/>
  <c r="BH56" i="4" s="1"/>
  <c r="DC56" i="4" s="1"/>
  <c r="BG56" i="4" a="1"/>
  <c r="BG56" i="4" s="1"/>
  <c r="BF56" i="4" a="1"/>
  <c r="BF56" i="4" s="1"/>
  <c r="BE56" i="4" a="1"/>
  <c r="BE56" i="4" s="1"/>
  <c r="BD56" i="4" a="1"/>
  <c r="BD56" i="4" s="1"/>
  <c r="DA56" i="4" s="1"/>
  <c r="BC56" i="4" a="1"/>
  <c r="BC56" i="4"/>
  <c r="BB56" i="4" a="1"/>
  <c r="BB56" i="4" s="1"/>
  <c r="BA56" i="4" a="1"/>
  <c r="BA56" i="4" s="1"/>
  <c r="AZ56" i="4" a="1"/>
  <c r="AZ56" i="4" s="1"/>
  <c r="AY56" i="4" a="1"/>
  <c r="AY56" i="4"/>
  <c r="DH56" i="4" s="1"/>
  <c r="AW56" i="4"/>
  <c r="AV56" i="4"/>
  <c r="AT56" i="4"/>
  <c r="AS56" i="4"/>
  <c r="AR56" i="4"/>
  <c r="AQ56" i="4"/>
  <c r="AP56" i="4"/>
  <c r="AN56" i="4"/>
  <c r="AL56" i="4"/>
  <c r="AK56" i="4"/>
  <c r="AJ56" i="4"/>
  <c r="AI56" i="4"/>
  <c r="AH56" i="4"/>
  <c r="N56" i="4"/>
  <c r="M56" i="4"/>
  <c r="L56" i="4"/>
  <c r="K56" i="4"/>
  <c r="DD56" i="4" s="1"/>
  <c r="J56" i="4"/>
  <c r="I56" i="4"/>
  <c r="DB56" i="4" s="1"/>
  <c r="H56" i="4"/>
  <c r="G56" i="4"/>
  <c r="F56" i="4"/>
  <c r="D56" i="4"/>
  <c r="C56" i="4"/>
  <c r="B56" i="4"/>
  <c r="A56" i="4"/>
  <c r="DE55" i="4"/>
  <c r="CX55" i="4"/>
  <c r="BU55" i="4"/>
  <c r="BT55" i="4"/>
  <c r="BQ55" i="4" a="1"/>
  <c r="BQ55" i="4"/>
  <c r="DJ55" i="4" s="1"/>
  <c r="BP55" i="4" a="1"/>
  <c r="BP55" i="4" s="1"/>
  <c r="BO55" i="4" a="1"/>
  <c r="BO55" i="4" s="1"/>
  <c r="BN55" i="4" a="1"/>
  <c r="BN55" i="4" s="1"/>
  <c r="BM55" i="4" a="1"/>
  <c r="BM55" i="4"/>
  <c r="BL55" i="4" a="1"/>
  <c r="BL55" i="4" s="1"/>
  <c r="BK55" i="4" a="1"/>
  <c r="BK55" i="4"/>
  <c r="BJ55" i="4" a="1"/>
  <c r="BJ55" i="4" s="1"/>
  <c r="BI55" i="4" a="1"/>
  <c r="BI55" i="4" s="1"/>
  <c r="BH55" i="4" a="1"/>
  <c r="BH55" i="4" s="1"/>
  <c r="BG55" i="4" a="1"/>
  <c r="BG55" i="4" s="1"/>
  <c r="BF55" i="4" a="1"/>
  <c r="BF55" i="4" s="1"/>
  <c r="BE55" i="4" a="1"/>
  <c r="BE55" i="4"/>
  <c r="BD55" i="4" a="1"/>
  <c r="BD55" i="4" s="1"/>
  <c r="DA55" i="4" s="1"/>
  <c r="BC55" i="4" a="1"/>
  <c r="BC55" i="4" s="1"/>
  <c r="BB55" i="4" a="1"/>
  <c r="BB55" i="4" s="1"/>
  <c r="BA55" i="4" a="1"/>
  <c r="BA55" i="4"/>
  <c r="DI55" i="4" s="1"/>
  <c r="AZ55" i="4" a="1"/>
  <c r="AZ55" i="4" s="1"/>
  <c r="CZ55" i="4" s="1"/>
  <c r="AY55" i="4" a="1"/>
  <c r="AY55" i="4"/>
  <c r="DH55" i="4" s="1"/>
  <c r="AW55" i="4"/>
  <c r="AV55" i="4"/>
  <c r="AT55" i="4"/>
  <c r="AS55" i="4"/>
  <c r="AR55" i="4"/>
  <c r="AQ55" i="4"/>
  <c r="AP55" i="4"/>
  <c r="AN55" i="4"/>
  <c r="AL55" i="4"/>
  <c r="AK55" i="4"/>
  <c r="AJ55" i="4"/>
  <c r="AI55" i="4"/>
  <c r="AH55" i="4"/>
  <c r="N55" i="4"/>
  <c r="M55" i="4"/>
  <c r="L55" i="4"/>
  <c r="K55" i="4"/>
  <c r="DD55" i="4" s="1"/>
  <c r="J55" i="4"/>
  <c r="DC55" i="4" s="1"/>
  <c r="I55" i="4"/>
  <c r="H55" i="4"/>
  <c r="G55" i="4"/>
  <c r="F55" i="4"/>
  <c r="D55" i="4"/>
  <c r="C55" i="4"/>
  <c r="B55" i="4"/>
  <c r="A55" i="4"/>
  <c r="DD54" i="4"/>
  <c r="CX54" i="4"/>
  <c r="BU54" i="4"/>
  <c r="BT54" i="4"/>
  <c r="BQ54" i="4" a="1"/>
  <c r="BQ54" i="4" s="1"/>
  <c r="DJ54" i="4" s="1"/>
  <c r="BP54" i="4" a="1"/>
  <c r="BP54" i="4" s="1"/>
  <c r="BO54" i="4" a="1"/>
  <c r="BO54" i="4"/>
  <c r="DE54" i="4" s="1"/>
  <c r="BN54" i="4" a="1"/>
  <c r="BN54" i="4" s="1"/>
  <c r="BM54" i="4" a="1"/>
  <c r="BM54" i="4"/>
  <c r="BL54" i="4" a="1"/>
  <c r="BL54" i="4" s="1"/>
  <c r="BK54" i="4" a="1"/>
  <c r="BK54" i="4" s="1"/>
  <c r="BJ54" i="4" a="1"/>
  <c r="BJ54" i="4" s="1"/>
  <c r="BI54" i="4" a="1"/>
  <c r="BI54" i="4"/>
  <c r="BH54" i="4" a="1"/>
  <c r="BH54" i="4" s="1"/>
  <c r="BG54" i="4" a="1"/>
  <c r="BG54" i="4"/>
  <c r="BF54" i="4" a="1"/>
  <c r="BF54" i="4" s="1"/>
  <c r="BE54" i="4" a="1"/>
  <c r="BE54" i="4" s="1"/>
  <c r="BD54" i="4" a="1"/>
  <c r="BD54" i="4" s="1"/>
  <c r="DA54" i="4" s="1"/>
  <c r="BC54" i="4" a="1"/>
  <c r="BC54" i="4" s="1"/>
  <c r="BB54" i="4" a="1"/>
  <c r="BB54" i="4" s="1"/>
  <c r="BA54" i="4" a="1"/>
  <c r="BA54" i="4"/>
  <c r="AZ54" i="4" a="1"/>
  <c r="AZ54" i="4" s="1"/>
  <c r="AY54" i="4" a="1"/>
  <c r="AY54" i="4" s="1"/>
  <c r="DH54" i="4" s="1"/>
  <c r="AW54" i="4"/>
  <c r="AV54" i="4"/>
  <c r="AT54" i="4"/>
  <c r="AS54" i="4"/>
  <c r="AR54" i="4"/>
  <c r="AQ54" i="4"/>
  <c r="AP54" i="4"/>
  <c r="AN54" i="4"/>
  <c r="AL54" i="4"/>
  <c r="AK54" i="4"/>
  <c r="AJ54" i="4"/>
  <c r="AI54" i="4"/>
  <c r="AH54" i="4"/>
  <c r="N54" i="4"/>
  <c r="M54" i="4"/>
  <c r="DF54" i="4" s="1"/>
  <c r="L54" i="4"/>
  <c r="K54" i="4"/>
  <c r="J54" i="4"/>
  <c r="DC54" i="4" s="1"/>
  <c r="I54" i="4"/>
  <c r="H54" i="4"/>
  <c r="G54" i="4"/>
  <c r="F54" i="4"/>
  <c r="D54" i="4"/>
  <c r="C54" i="4"/>
  <c r="B54" i="4"/>
  <c r="A54" i="4"/>
  <c r="DC53" i="4"/>
  <c r="DA53" i="4"/>
  <c r="CX53" i="4"/>
  <c r="BU53" i="4"/>
  <c r="BT53" i="4"/>
  <c r="BQ53" i="4" a="1"/>
  <c r="BQ53" i="4"/>
  <c r="BP53" i="4" a="1"/>
  <c r="BP53" i="4" s="1"/>
  <c r="BO53" i="4" a="1"/>
  <c r="BO53" i="4"/>
  <c r="DE53" i="4" s="1"/>
  <c r="BN53" i="4" a="1"/>
  <c r="BN53" i="4" s="1"/>
  <c r="BM53" i="4" a="1"/>
  <c r="BM53" i="4" s="1"/>
  <c r="BL53" i="4" a="1"/>
  <c r="BL53" i="4" s="1"/>
  <c r="BK53" i="4" a="1"/>
  <c r="BK53" i="4"/>
  <c r="BJ53" i="4" a="1"/>
  <c r="BJ53" i="4" s="1"/>
  <c r="BI53" i="4" a="1"/>
  <c r="BI53" i="4"/>
  <c r="BH53" i="4" a="1"/>
  <c r="BH53" i="4" s="1"/>
  <c r="BG53" i="4" a="1"/>
  <c r="BG53" i="4" s="1"/>
  <c r="BF53" i="4" a="1"/>
  <c r="BF53" i="4" s="1"/>
  <c r="BE53" i="4" a="1"/>
  <c r="BE53" i="4" s="1"/>
  <c r="BD53" i="4" a="1"/>
  <c r="BD53" i="4" s="1"/>
  <c r="BC53" i="4" a="1"/>
  <c r="BC53" i="4"/>
  <c r="BB53" i="4" a="1"/>
  <c r="BB53" i="4" s="1"/>
  <c r="BA53" i="4" a="1"/>
  <c r="BA53" i="4" s="1"/>
  <c r="AZ53" i="4" a="1"/>
  <c r="AZ53" i="4" s="1"/>
  <c r="AY53" i="4" a="1"/>
  <c r="AY53" i="4"/>
  <c r="DH53" i="4" s="1"/>
  <c r="AW53" i="4"/>
  <c r="AV53" i="4"/>
  <c r="AT53" i="4"/>
  <c r="AS53" i="4"/>
  <c r="AR53" i="4"/>
  <c r="AQ53" i="4"/>
  <c r="AP53" i="4"/>
  <c r="AN53" i="4"/>
  <c r="AL53" i="4"/>
  <c r="AK53" i="4"/>
  <c r="AJ53" i="4"/>
  <c r="AI53" i="4"/>
  <c r="AH53" i="4"/>
  <c r="N53" i="4"/>
  <c r="M53" i="4"/>
  <c r="DF53" i="4" s="1"/>
  <c r="L53" i="4"/>
  <c r="K53" i="4"/>
  <c r="J53" i="4"/>
  <c r="I53" i="4"/>
  <c r="H53" i="4"/>
  <c r="G53" i="4"/>
  <c r="CZ53" i="4" s="1"/>
  <c r="F53" i="4"/>
  <c r="D53" i="4"/>
  <c r="C53" i="4"/>
  <c r="B53" i="4"/>
  <c r="A53" i="4"/>
  <c r="DD52" i="4"/>
  <c r="CX52" i="4"/>
  <c r="BU52" i="4"/>
  <c r="BT52" i="4"/>
  <c r="BQ52" i="4" a="1"/>
  <c r="BQ52" i="4"/>
  <c r="DJ52" i="4" s="1"/>
  <c r="BP52" i="4" a="1"/>
  <c r="BP52" i="4" s="1"/>
  <c r="BO52" i="4" a="1"/>
  <c r="BO52" i="4" s="1"/>
  <c r="DE52" i="4" s="1"/>
  <c r="BN52" i="4" a="1"/>
  <c r="BN52" i="4" s="1"/>
  <c r="BM52" i="4" a="1"/>
  <c r="BM52" i="4"/>
  <c r="BL52" i="4" a="1"/>
  <c r="BL52" i="4" s="1"/>
  <c r="BK52" i="4" a="1"/>
  <c r="BK52" i="4"/>
  <c r="BJ52" i="4" a="1"/>
  <c r="BJ52" i="4" s="1"/>
  <c r="BI52" i="4" a="1"/>
  <c r="BI52" i="4" s="1"/>
  <c r="BH52" i="4" a="1"/>
  <c r="BH52" i="4" s="1"/>
  <c r="BG52" i="4" a="1"/>
  <c r="BG52" i="4" s="1"/>
  <c r="BF52" i="4" a="1"/>
  <c r="BF52" i="4" s="1"/>
  <c r="BE52" i="4" a="1"/>
  <c r="BE52" i="4"/>
  <c r="BD52" i="4" a="1"/>
  <c r="BD52" i="4" s="1"/>
  <c r="DA52" i="4" s="1"/>
  <c r="BC52" i="4" a="1"/>
  <c r="BC52" i="4" s="1"/>
  <c r="BB52" i="4" a="1"/>
  <c r="BB52" i="4" s="1"/>
  <c r="BA52" i="4" a="1"/>
  <c r="BA52" i="4"/>
  <c r="DI52" i="4" s="1"/>
  <c r="AZ52" i="4" a="1"/>
  <c r="AZ52" i="4" s="1"/>
  <c r="CZ52" i="4" s="1"/>
  <c r="AY52" i="4" a="1"/>
  <c r="AY52" i="4"/>
  <c r="DH52" i="4" s="1"/>
  <c r="AW52" i="4"/>
  <c r="AV52" i="4"/>
  <c r="AT52" i="4"/>
  <c r="AS52" i="4"/>
  <c r="AR52" i="4"/>
  <c r="AQ52" i="4"/>
  <c r="AP52" i="4"/>
  <c r="AN52" i="4"/>
  <c r="AL52" i="4"/>
  <c r="AK52" i="4"/>
  <c r="AJ52" i="4"/>
  <c r="AI52" i="4"/>
  <c r="AH52" i="4"/>
  <c r="N52" i="4"/>
  <c r="M52" i="4"/>
  <c r="L52" i="4"/>
  <c r="K52" i="4"/>
  <c r="J52" i="4"/>
  <c r="I52" i="4"/>
  <c r="DB52" i="4" s="1"/>
  <c r="H52" i="4"/>
  <c r="G52" i="4"/>
  <c r="F52" i="4"/>
  <c r="D52" i="4"/>
  <c r="C52" i="4"/>
  <c r="B52" i="4"/>
  <c r="A52" i="4"/>
  <c r="DH51" i="4"/>
  <c r="CX51" i="4"/>
  <c r="BU51" i="4"/>
  <c r="BT51" i="4"/>
  <c r="BQ51" i="4" a="1"/>
  <c r="BQ51" i="4" s="1"/>
  <c r="DJ51" i="4" s="1"/>
  <c r="BP51" i="4" a="1"/>
  <c r="BP51" i="4" s="1"/>
  <c r="BO51" i="4" a="1"/>
  <c r="BO51" i="4" s="1"/>
  <c r="DE51" i="4" s="1"/>
  <c r="BN51" i="4" a="1"/>
  <c r="BN51" i="4" s="1"/>
  <c r="BM51" i="4" a="1"/>
  <c r="BM51" i="4"/>
  <c r="BL51" i="4" a="1"/>
  <c r="BL51" i="4" s="1"/>
  <c r="DD51" i="4" s="1"/>
  <c r="BK51" i="4" a="1"/>
  <c r="BK51" i="4" s="1"/>
  <c r="BJ51" i="4" a="1"/>
  <c r="BJ51" i="4" s="1"/>
  <c r="BI51" i="4" a="1"/>
  <c r="BI51" i="4" s="1"/>
  <c r="BH51" i="4" a="1"/>
  <c r="BH51" i="4" s="1"/>
  <c r="BG51" i="4" a="1"/>
  <c r="BG51" i="4"/>
  <c r="BF51" i="4" a="1"/>
  <c r="BF51" i="4" s="1"/>
  <c r="BE51" i="4" a="1"/>
  <c r="BE51" i="4" s="1"/>
  <c r="BD51" i="4" a="1"/>
  <c r="BD51" i="4" s="1"/>
  <c r="DA51" i="4" s="1"/>
  <c r="BC51" i="4" a="1"/>
  <c r="BC51" i="4" s="1"/>
  <c r="BB51" i="4" a="1"/>
  <c r="BB51" i="4" s="1"/>
  <c r="BA51" i="4" a="1"/>
  <c r="BA51" i="4"/>
  <c r="AZ51" i="4" a="1"/>
  <c r="AZ51" i="4" s="1"/>
  <c r="AY51" i="4" a="1"/>
  <c r="AY51" i="4" s="1"/>
  <c r="AW51" i="4"/>
  <c r="AV51" i="4"/>
  <c r="AT51" i="4"/>
  <c r="AS51" i="4"/>
  <c r="AR51" i="4"/>
  <c r="AQ51" i="4"/>
  <c r="AP51" i="4"/>
  <c r="AN51" i="4"/>
  <c r="AL51" i="4"/>
  <c r="AK51" i="4"/>
  <c r="AJ51" i="4"/>
  <c r="AI51" i="4"/>
  <c r="AH51" i="4"/>
  <c r="N51" i="4"/>
  <c r="M51" i="4"/>
  <c r="L51" i="4"/>
  <c r="K51" i="4"/>
  <c r="J51" i="4"/>
  <c r="DC51" i="4" s="1"/>
  <c r="I51" i="4"/>
  <c r="DB51" i="4" s="1"/>
  <c r="H51" i="4"/>
  <c r="G51" i="4"/>
  <c r="CZ51" i="4" s="1"/>
  <c r="F51" i="4"/>
  <c r="D51" i="4"/>
  <c r="C51" i="4"/>
  <c r="B51" i="4"/>
  <c r="A51" i="4"/>
  <c r="DE50" i="4"/>
  <c r="DC50" i="4"/>
  <c r="CX50" i="4"/>
  <c r="BU50" i="4"/>
  <c r="BT50" i="4"/>
  <c r="BQ50" i="4" a="1"/>
  <c r="BQ50" i="4"/>
  <c r="BP50" i="4" a="1"/>
  <c r="BP50" i="4" s="1"/>
  <c r="BO50" i="4" a="1"/>
  <c r="BO50" i="4"/>
  <c r="BN50" i="4" a="1"/>
  <c r="BN50" i="4" s="1"/>
  <c r="BM50" i="4" a="1"/>
  <c r="BM50" i="4" s="1"/>
  <c r="BL50" i="4" a="1"/>
  <c r="BL50" i="4" s="1"/>
  <c r="BK50" i="4" a="1"/>
  <c r="BK50" i="4" s="1"/>
  <c r="BJ50" i="4" a="1"/>
  <c r="BJ50" i="4" s="1"/>
  <c r="BI50" i="4" a="1"/>
  <c r="BI50" i="4"/>
  <c r="BH50" i="4" a="1"/>
  <c r="BH50" i="4" s="1"/>
  <c r="BG50" i="4" a="1"/>
  <c r="BG50" i="4" s="1"/>
  <c r="BF50" i="4" a="1"/>
  <c r="BF50" i="4" s="1"/>
  <c r="BE50" i="4" a="1"/>
  <c r="BE50" i="4"/>
  <c r="BD50" i="4" a="1"/>
  <c r="BD50" i="4" s="1"/>
  <c r="DA50" i="4" s="1"/>
  <c r="BC50" i="4" a="1"/>
  <c r="BC50" i="4"/>
  <c r="BB50" i="4" a="1"/>
  <c r="BB50" i="4" s="1"/>
  <c r="BA50" i="4" a="1"/>
  <c r="BA50" i="4" s="1"/>
  <c r="DI50" i="4" s="1"/>
  <c r="AZ50" i="4" a="1"/>
  <c r="AZ50" i="4" s="1"/>
  <c r="AY50" i="4" a="1"/>
  <c r="AY50" i="4"/>
  <c r="DH50" i="4" s="1"/>
  <c r="AW50" i="4"/>
  <c r="AV50" i="4"/>
  <c r="AT50" i="4"/>
  <c r="AS50" i="4"/>
  <c r="AR50" i="4"/>
  <c r="AQ50" i="4"/>
  <c r="AP50" i="4"/>
  <c r="AN50" i="4"/>
  <c r="AL50" i="4"/>
  <c r="AK50" i="4"/>
  <c r="AJ50" i="4"/>
  <c r="AI50" i="4"/>
  <c r="AH50" i="4"/>
  <c r="N50" i="4"/>
  <c r="M50" i="4"/>
  <c r="DF50" i="4" s="1"/>
  <c r="L50" i="4"/>
  <c r="K50" i="4"/>
  <c r="DD50" i="4" s="1"/>
  <c r="J50" i="4"/>
  <c r="I50" i="4"/>
  <c r="DB50" i="4" s="1"/>
  <c r="H50" i="4"/>
  <c r="G50" i="4"/>
  <c r="CZ50" i="4" s="1"/>
  <c r="F50" i="4"/>
  <c r="D50" i="4"/>
  <c r="C50" i="4"/>
  <c r="B50" i="4"/>
  <c r="A50" i="4"/>
  <c r="DH49" i="4"/>
  <c r="DD49" i="4"/>
  <c r="CX49" i="4"/>
  <c r="BU49" i="4"/>
  <c r="BT49" i="4"/>
  <c r="BQ49" i="4" a="1"/>
  <c r="BQ49" i="4"/>
  <c r="DJ49" i="4" s="1"/>
  <c r="BP49" i="4" a="1"/>
  <c r="BP49" i="4" s="1"/>
  <c r="BO49" i="4" a="1"/>
  <c r="BO49" i="4" s="1"/>
  <c r="DE49" i="4" s="1"/>
  <c r="BN49" i="4" a="1"/>
  <c r="BN49" i="4" s="1"/>
  <c r="BM49" i="4" a="1"/>
  <c r="BM49" i="4" s="1"/>
  <c r="BL49" i="4" a="1"/>
  <c r="BL49" i="4" s="1"/>
  <c r="BK49" i="4" a="1"/>
  <c r="BK49" i="4"/>
  <c r="BJ49" i="4" a="1"/>
  <c r="BJ49" i="4" s="1"/>
  <c r="BI49" i="4" a="1"/>
  <c r="BI49" i="4" s="1"/>
  <c r="BH49" i="4" a="1"/>
  <c r="BH49" i="4" s="1"/>
  <c r="BG49" i="4" a="1"/>
  <c r="BG49" i="4" s="1"/>
  <c r="BF49" i="4" a="1"/>
  <c r="BF49" i="4" s="1"/>
  <c r="BE49" i="4" a="1"/>
  <c r="BE49" i="4"/>
  <c r="BD49" i="4" a="1"/>
  <c r="BD49" i="4" s="1"/>
  <c r="DA49" i="4" s="1"/>
  <c r="BC49" i="4" a="1"/>
  <c r="BC49" i="4" s="1"/>
  <c r="BB49" i="4" a="1"/>
  <c r="BB49" i="4" s="1"/>
  <c r="BA49" i="4" a="1"/>
  <c r="BA49" i="4" s="1"/>
  <c r="DI49" i="4" s="1"/>
  <c r="AZ49" i="4" a="1"/>
  <c r="AZ49" i="4" s="1"/>
  <c r="CZ49" i="4" s="1"/>
  <c r="AY49" i="4" a="1"/>
  <c r="AY49" i="4"/>
  <c r="AW49" i="4"/>
  <c r="AV49" i="4"/>
  <c r="AT49" i="4"/>
  <c r="AS49" i="4"/>
  <c r="AR49" i="4"/>
  <c r="AQ49" i="4"/>
  <c r="AP49" i="4"/>
  <c r="AN49" i="4"/>
  <c r="AL49" i="4"/>
  <c r="AK49" i="4"/>
  <c r="AJ49" i="4"/>
  <c r="AI49" i="4"/>
  <c r="AH49" i="4"/>
  <c r="N49" i="4"/>
  <c r="M49" i="4"/>
  <c r="DF49" i="4" s="1"/>
  <c r="L49" i="4"/>
  <c r="K49" i="4"/>
  <c r="J49" i="4"/>
  <c r="I49" i="4"/>
  <c r="H49" i="4"/>
  <c r="G49" i="4"/>
  <c r="F49" i="4"/>
  <c r="D49" i="4"/>
  <c r="C49" i="4"/>
  <c r="B49" i="4"/>
  <c r="A49" i="4"/>
  <c r="DJ48" i="4"/>
  <c r="CX48" i="4"/>
  <c r="BU48" i="4"/>
  <c r="BT48" i="4"/>
  <c r="BQ48" i="4" a="1"/>
  <c r="BQ48" i="4" s="1"/>
  <c r="BP48" i="4" a="1"/>
  <c r="BP48" i="4" s="1"/>
  <c r="BO48" i="4" a="1"/>
  <c r="BO48" i="4"/>
  <c r="DE48" i="4" s="1"/>
  <c r="BN48" i="4" a="1"/>
  <c r="BN48" i="4" s="1"/>
  <c r="BM48" i="4" a="1"/>
  <c r="BM48" i="4"/>
  <c r="BL48" i="4" a="1"/>
  <c r="BL48" i="4" s="1"/>
  <c r="DD48" i="4" s="1"/>
  <c r="BK48" i="4" a="1"/>
  <c r="BK48" i="4" s="1"/>
  <c r="BJ48" i="4" a="1"/>
  <c r="BJ48" i="4" s="1"/>
  <c r="BI48" i="4" a="1"/>
  <c r="BI48" i="4" s="1"/>
  <c r="BH48" i="4" a="1"/>
  <c r="BH48" i="4" s="1"/>
  <c r="BG48" i="4" a="1"/>
  <c r="BG48" i="4"/>
  <c r="BF48" i="4" a="1"/>
  <c r="BF48" i="4" s="1"/>
  <c r="BE48" i="4" a="1"/>
  <c r="BE48" i="4" s="1"/>
  <c r="BD48" i="4" a="1"/>
  <c r="BD48" i="4" s="1"/>
  <c r="DA48" i="4" s="1"/>
  <c r="BC48" i="4" a="1"/>
  <c r="BC48" i="4"/>
  <c r="BB48" i="4" a="1"/>
  <c r="BB48" i="4" s="1"/>
  <c r="BA48" i="4" a="1"/>
  <c r="BA48" i="4"/>
  <c r="DI48" i="4" s="1"/>
  <c r="AZ48" i="4" a="1"/>
  <c r="AZ48" i="4" s="1"/>
  <c r="AY48" i="4" a="1"/>
  <c r="AY48" i="4" s="1"/>
  <c r="DH48" i="4" s="1"/>
  <c r="AW48" i="4"/>
  <c r="AV48" i="4"/>
  <c r="AT48" i="4"/>
  <c r="AS48" i="4"/>
  <c r="AR48" i="4"/>
  <c r="AQ48" i="4"/>
  <c r="AP48" i="4"/>
  <c r="AN48" i="4"/>
  <c r="AL48" i="4"/>
  <c r="AK48" i="4"/>
  <c r="AJ48" i="4"/>
  <c r="AI48" i="4"/>
  <c r="AH48" i="4"/>
  <c r="N48" i="4"/>
  <c r="M48" i="4"/>
  <c r="L48" i="4"/>
  <c r="K48" i="4"/>
  <c r="J48" i="4"/>
  <c r="I48" i="4"/>
  <c r="DB48" i="4" s="1"/>
  <c r="H48" i="4"/>
  <c r="G48" i="4"/>
  <c r="CZ48" i="4" s="1"/>
  <c r="F48" i="4"/>
  <c r="D48" i="4"/>
  <c r="C48" i="4"/>
  <c r="B48" i="4"/>
  <c r="A48" i="4"/>
  <c r="DC47" i="4"/>
  <c r="CX47" i="4"/>
  <c r="BU47" i="4"/>
  <c r="BT47" i="4"/>
  <c r="BQ47" i="4" a="1"/>
  <c r="BQ47" i="4" s="1"/>
  <c r="DJ47" i="4" s="1"/>
  <c r="BP47" i="4" a="1"/>
  <c r="BP47" i="4" s="1"/>
  <c r="BO47" i="4" a="1"/>
  <c r="BO47" i="4"/>
  <c r="DE47" i="4" s="1"/>
  <c r="BN47" i="4" a="1"/>
  <c r="BN47" i="4" s="1"/>
  <c r="BM47" i="4" a="1"/>
  <c r="BM47" i="4" s="1"/>
  <c r="BL47" i="4" a="1"/>
  <c r="BL47" i="4" s="1"/>
  <c r="BK47" i="4" a="1"/>
  <c r="BK47" i="4" s="1"/>
  <c r="BJ47" i="4" a="1"/>
  <c r="BJ47" i="4" s="1"/>
  <c r="BI47" i="4" a="1"/>
  <c r="BI47" i="4"/>
  <c r="BH47" i="4" a="1"/>
  <c r="BH47" i="4" s="1"/>
  <c r="BG47" i="4" a="1"/>
  <c r="BG47" i="4" s="1"/>
  <c r="BF47" i="4" a="1"/>
  <c r="BF47" i="4" s="1"/>
  <c r="BE47" i="4" a="1"/>
  <c r="BE47" i="4" s="1"/>
  <c r="BD47" i="4" a="1"/>
  <c r="BD47" i="4" s="1"/>
  <c r="DA47" i="4" s="1"/>
  <c r="BC47" i="4" a="1"/>
  <c r="BC47" i="4"/>
  <c r="BB47" i="4" a="1"/>
  <c r="BB47" i="4" s="1"/>
  <c r="BA47" i="4" a="1"/>
  <c r="BA47" i="4" s="1"/>
  <c r="AZ47" i="4" a="1"/>
  <c r="AZ47" i="4" s="1"/>
  <c r="AY47" i="4" a="1"/>
  <c r="AY47" i="4" s="1"/>
  <c r="DH47" i="4" s="1"/>
  <c r="AW47" i="4"/>
  <c r="AV47" i="4"/>
  <c r="AT47" i="4"/>
  <c r="AS47" i="4"/>
  <c r="AR47" i="4"/>
  <c r="AQ47" i="4"/>
  <c r="AP47" i="4"/>
  <c r="AN47" i="4"/>
  <c r="AL47" i="4"/>
  <c r="AK47" i="4"/>
  <c r="AJ47" i="4"/>
  <c r="AI47" i="4"/>
  <c r="AH47" i="4"/>
  <c r="N47" i="4"/>
  <c r="M47" i="4"/>
  <c r="L47" i="4"/>
  <c r="K47" i="4"/>
  <c r="DD47" i="4" s="1"/>
  <c r="J47" i="4"/>
  <c r="I47" i="4"/>
  <c r="DB47" i="4" s="1"/>
  <c r="H47" i="4"/>
  <c r="G47" i="4"/>
  <c r="CZ47" i="4" s="1"/>
  <c r="F47" i="4"/>
  <c r="D47" i="4"/>
  <c r="C47" i="4"/>
  <c r="B47" i="4"/>
  <c r="A47" i="4"/>
  <c r="DD46" i="4"/>
  <c r="CX46" i="4"/>
  <c r="BU46" i="4"/>
  <c r="BT46" i="4"/>
  <c r="BQ46" i="4" a="1"/>
  <c r="BQ46" i="4"/>
  <c r="DJ46" i="4" s="1"/>
  <c r="BP46" i="4" a="1"/>
  <c r="BP46" i="4" s="1"/>
  <c r="BO46" i="4" a="1"/>
  <c r="BO46" i="4" s="1"/>
  <c r="DE46" i="4" s="1"/>
  <c r="BN46" i="4" a="1"/>
  <c r="BN46" i="4" s="1"/>
  <c r="BM46" i="4" a="1"/>
  <c r="BM46" i="4"/>
  <c r="BL46" i="4" a="1"/>
  <c r="BL46" i="4" s="1"/>
  <c r="BK46" i="4" a="1"/>
  <c r="BK46" i="4"/>
  <c r="BJ46" i="4" a="1"/>
  <c r="BJ46" i="4" s="1"/>
  <c r="BI46" i="4" a="1"/>
  <c r="BI46" i="4" s="1"/>
  <c r="BH46" i="4" a="1"/>
  <c r="BH46" i="4" s="1"/>
  <c r="BG46" i="4" a="1"/>
  <c r="BG46" i="4" s="1"/>
  <c r="BF46" i="4" a="1"/>
  <c r="BF46" i="4" s="1"/>
  <c r="BE46" i="4" a="1"/>
  <c r="BE46" i="4"/>
  <c r="BD46" i="4" a="1"/>
  <c r="BD46" i="4" s="1"/>
  <c r="DA46" i="4" s="1"/>
  <c r="BC46" i="4" a="1"/>
  <c r="BC46" i="4" s="1"/>
  <c r="BB46" i="4" a="1"/>
  <c r="BB46" i="4" s="1"/>
  <c r="BA46" i="4" a="1"/>
  <c r="BA46" i="4"/>
  <c r="AZ46" i="4" a="1"/>
  <c r="AZ46" i="4" s="1"/>
  <c r="CZ46" i="4" s="1"/>
  <c r="AY46" i="4" a="1"/>
  <c r="AY46" i="4"/>
  <c r="DH46" i="4" s="1"/>
  <c r="AW46" i="4"/>
  <c r="AV46" i="4"/>
  <c r="AT46" i="4"/>
  <c r="AS46" i="4"/>
  <c r="AR46" i="4"/>
  <c r="AQ46" i="4"/>
  <c r="AP46" i="4"/>
  <c r="AN46" i="4"/>
  <c r="AL46" i="4"/>
  <c r="AK46" i="4"/>
  <c r="AJ46" i="4"/>
  <c r="AI46" i="4"/>
  <c r="AH46" i="4"/>
  <c r="N46" i="4"/>
  <c r="M46" i="4"/>
  <c r="L46" i="4"/>
  <c r="K46" i="4"/>
  <c r="J46" i="4"/>
  <c r="DC46" i="4" s="1"/>
  <c r="I46" i="4"/>
  <c r="H46" i="4"/>
  <c r="G46" i="4"/>
  <c r="F46" i="4"/>
  <c r="D46" i="4"/>
  <c r="C46" i="4"/>
  <c r="B46" i="4"/>
  <c r="A46" i="4"/>
  <c r="DH45" i="4"/>
  <c r="DD45" i="4"/>
  <c r="DC45" i="4"/>
  <c r="CX45" i="4"/>
  <c r="BU45" i="4"/>
  <c r="BT45" i="4"/>
  <c r="BQ45" i="4" a="1"/>
  <c r="BQ45" i="4" s="1"/>
  <c r="DJ45" i="4" s="1"/>
  <c r="BP45" i="4" a="1"/>
  <c r="BP45" i="4" s="1"/>
  <c r="BO45" i="4" a="1"/>
  <c r="BO45" i="4" s="1"/>
  <c r="DE45" i="4" s="1"/>
  <c r="BN45" i="4" a="1"/>
  <c r="BN45" i="4" s="1"/>
  <c r="BM45" i="4" a="1"/>
  <c r="BM45" i="4"/>
  <c r="BL45" i="4" a="1"/>
  <c r="BL45" i="4" s="1"/>
  <c r="BK45" i="4" a="1"/>
  <c r="BK45" i="4" s="1"/>
  <c r="BJ45" i="4" a="1"/>
  <c r="BJ45" i="4" s="1"/>
  <c r="BI45" i="4" a="1"/>
  <c r="BI45" i="4" s="1"/>
  <c r="BH45" i="4" a="1"/>
  <c r="BH45" i="4" s="1"/>
  <c r="BG45" i="4" a="1"/>
  <c r="BG45" i="4"/>
  <c r="BF45" i="4" a="1"/>
  <c r="BF45" i="4" s="1"/>
  <c r="BE45" i="4" a="1"/>
  <c r="BE45" i="4" s="1"/>
  <c r="BD45" i="4" a="1"/>
  <c r="BD45" i="4" s="1"/>
  <c r="DA45" i="4" s="1"/>
  <c r="BC45" i="4" a="1"/>
  <c r="BC45" i="4" s="1"/>
  <c r="BB45" i="4" a="1"/>
  <c r="BB45" i="4" s="1"/>
  <c r="BA45" i="4" a="1"/>
  <c r="BA45" i="4"/>
  <c r="DI45" i="4" s="1"/>
  <c r="AZ45" i="4" a="1"/>
  <c r="AZ45" i="4" s="1"/>
  <c r="AY45" i="4" a="1"/>
  <c r="AY45" i="4" s="1"/>
  <c r="AW45" i="4"/>
  <c r="AV45" i="4"/>
  <c r="AT45" i="4"/>
  <c r="AS45" i="4"/>
  <c r="AR45" i="4"/>
  <c r="AQ45" i="4"/>
  <c r="AP45" i="4"/>
  <c r="AN45" i="4"/>
  <c r="AL45" i="4"/>
  <c r="AK45" i="4"/>
  <c r="AJ45" i="4"/>
  <c r="AI45" i="4"/>
  <c r="AH45" i="4"/>
  <c r="N45" i="4"/>
  <c r="M45" i="4"/>
  <c r="DF45" i="4" s="1"/>
  <c r="L45" i="4"/>
  <c r="K45" i="4"/>
  <c r="J45" i="4"/>
  <c r="I45" i="4"/>
  <c r="DB45" i="4" s="1"/>
  <c r="H45" i="4"/>
  <c r="G45" i="4"/>
  <c r="CZ45" i="4" s="1"/>
  <c r="F45" i="4"/>
  <c r="D45" i="4"/>
  <c r="C45" i="4"/>
  <c r="B45" i="4"/>
  <c r="A45" i="4"/>
  <c r="CX44" i="4"/>
  <c r="BU44" i="4"/>
  <c r="BT44" i="4"/>
  <c r="BQ44" i="4" a="1"/>
  <c r="BQ44" i="4"/>
  <c r="BP44" i="4" a="1"/>
  <c r="BP44" i="4" s="1"/>
  <c r="BO44" i="4" a="1"/>
  <c r="BO44" i="4"/>
  <c r="DE44" i="4" s="1"/>
  <c r="BN44" i="4" a="1"/>
  <c r="BN44" i="4" s="1"/>
  <c r="BM44" i="4" a="1"/>
  <c r="BM44" i="4" s="1"/>
  <c r="BL44" i="4" a="1"/>
  <c r="BL44" i="4" s="1"/>
  <c r="BK44" i="4" a="1"/>
  <c r="BK44" i="4"/>
  <c r="BJ44" i="4" a="1"/>
  <c r="BJ44" i="4" s="1"/>
  <c r="BI44" i="4" a="1"/>
  <c r="BI44" i="4"/>
  <c r="BH44" i="4" a="1"/>
  <c r="BH44" i="4" s="1"/>
  <c r="DC44" i="4" s="1"/>
  <c r="BG44" i="4" a="1"/>
  <c r="BG44" i="4" s="1"/>
  <c r="BF44" i="4" a="1"/>
  <c r="BF44" i="4" s="1"/>
  <c r="BE44" i="4" a="1"/>
  <c r="BE44" i="4" s="1"/>
  <c r="BD44" i="4" a="1"/>
  <c r="BD44" i="4" s="1"/>
  <c r="DA44" i="4" s="1"/>
  <c r="BC44" i="4" a="1"/>
  <c r="BC44" i="4"/>
  <c r="BB44" i="4" a="1"/>
  <c r="BB44" i="4" s="1"/>
  <c r="BA44" i="4" a="1"/>
  <c r="BA44" i="4" s="1"/>
  <c r="AZ44" i="4" a="1"/>
  <c r="AZ44" i="4" s="1"/>
  <c r="AY44" i="4" a="1"/>
  <c r="AY44" i="4"/>
  <c r="DH44" i="4" s="1"/>
  <c r="AW44" i="4"/>
  <c r="AV44" i="4"/>
  <c r="AT44" i="4"/>
  <c r="AS44" i="4"/>
  <c r="AR44" i="4"/>
  <c r="AQ44" i="4"/>
  <c r="AP44" i="4"/>
  <c r="AN44" i="4"/>
  <c r="AL44" i="4"/>
  <c r="AK44" i="4"/>
  <c r="AJ44" i="4"/>
  <c r="AI44" i="4"/>
  <c r="AH44" i="4"/>
  <c r="N44" i="4"/>
  <c r="M44" i="4"/>
  <c r="DF44" i="4" s="1"/>
  <c r="L44" i="4"/>
  <c r="K44" i="4"/>
  <c r="DD44" i="4" s="1"/>
  <c r="J44" i="4"/>
  <c r="I44" i="4"/>
  <c r="DB44" i="4" s="1"/>
  <c r="H44" i="4"/>
  <c r="G44" i="4"/>
  <c r="CZ44" i="4" s="1"/>
  <c r="F44" i="4"/>
  <c r="D44" i="4"/>
  <c r="C44" i="4"/>
  <c r="B44" i="4"/>
  <c r="A44" i="4"/>
  <c r="DE43" i="4"/>
  <c r="CX43" i="4"/>
  <c r="BU43" i="4"/>
  <c r="BT43" i="4"/>
  <c r="BQ43" i="4" a="1"/>
  <c r="BQ43" i="4"/>
  <c r="DJ43" i="4" s="1"/>
  <c r="BP43" i="4" a="1"/>
  <c r="BP43" i="4" s="1"/>
  <c r="BO43" i="4" a="1"/>
  <c r="BO43" i="4" s="1"/>
  <c r="BN43" i="4" a="1"/>
  <c r="BN43" i="4" s="1"/>
  <c r="BM43" i="4" a="1"/>
  <c r="BM43" i="4" s="1"/>
  <c r="BL43" i="4" a="1"/>
  <c r="BL43" i="4" s="1"/>
  <c r="BK43" i="4" a="1"/>
  <c r="BK43" i="4"/>
  <c r="BJ43" i="4" a="1"/>
  <c r="BJ43" i="4" s="1"/>
  <c r="BI43" i="4" a="1"/>
  <c r="BI43" i="4" s="1"/>
  <c r="BH43" i="4" a="1"/>
  <c r="BH43" i="4" s="1"/>
  <c r="BG43" i="4" a="1"/>
  <c r="BG43" i="4" s="1"/>
  <c r="BF43" i="4" a="1"/>
  <c r="BF43" i="4" s="1"/>
  <c r="BE43" i="4" a="1"/>
  <c r="BE43" i="4"/>
  <c r="BD43" i="4" a="1"/>
  <c r="BD43" i="4" s="1"/>
  <c r="DA43" i="4" s="1"/>
  <c r="BC43" i="4" a="1"/>
  <c r="BC43" i="4" s="1"/>
  <c r="BB43" i="4" a="1"/>
  <c r="BB43" i="4" s="1"/>
  <c r="BA43" i="4" a="1"/>
  <c r="BA43" i="4" s="1"/>
  <c r="DI43" i="4" s="1"/>
  <c r="AZ43" i="4" a="1"/>
  <c r="AZ43" i="4" s="1"/>
  <c r="AY43" i="4" a="1"/>
  <c r="AY43" i="4"/>
  <c r="DH43" i="4" s="1"/>
  <c r="AW43" i="4"/>
  <c r="AV43" i="4"/>
  <c r="AT43" i="4"/>
  <c r="AS43" i="4"/>
  <c r="AR43" i="4"/>
  <c r="AQ43" i="4"/>
  <c r="AP43" i="4"/>
  <c r="AN43" i="4"/>
  <c r="AL43" i="4"/>
  <c r="AK43" i="4"/>
  <c r="AJ43" i="4"/>
  <c r="AI43" i="4"/>
  <c r="AH43" i="4"/>
  <c r="N43" i="4"/>
  <c r="M43" i="4"/>
  <c r="L43" i="4"/>
  <c r="K43" i="4"/>
  <c r="DD43" i="4" s="1"/>
  <c r="J43" i="4"/>
  <c r="DC43" i="4" s="1"/>
  <c r="I43" i="4"/>
  <c r="DB43" i="4" s="1"/>
  <c r="H43" i="4"/>
  <c r="G43" i="4"/>
  <c r="CZ43" i="4" s="1"/>
  <c r="F43" i="4"/>
  <c r="D43" i="4"/>
  <c r="C43" i="4"/>
  <c r="B43" i="4"/>
  <c r="A43" i="4"/>
  <c r="DH42" i="4"/>
  <c r="DA42" i="4"/>
  <c r="CX42" i="4"/>
  <c r="BU42" i="4"/>
  <c r="BT42" i="4"/>
  <c r="BQ42" i="4" a="1"/>
  <c r="BQ42" i="4" s="1"/>
  <c r="BP42" i="4" a="1"/>
  <c r="BP42" i="4" s="1"/>
  <c r="BO42" i="4" a="1"/>
  <c r="BO42" i="4" s="1"/>
  <c r="DE42" i="4" s="1"/>
  <c r="BN42" i="4" a="1"/>
  <c r="BN42" i="4" s="1"/>
  <c r="BM42" i="4" a="1"/>
  <c r="BM42" i="4"/>
  <c r="BL42" i="4" a="1"/>
  <c r="BL42" i="4" s="1"/>
  <c r="BK42" i="4" a="1"/>
  <c r="BK42" i="4" s="1"/>
  <c r="BJ42" i="4" a="1"/>
  <c r="BJ42" i="4" s="1"/>
  <c r="BI42" i="4" a="1"/>
  <c r="BI42" i="4" s="1"/>
  <c r="BH42" i="4" a="1"/>
  <c r="BH42" i="4" s="1"/>
  <c r="BG42" i="4" a="1"/>
  <c r="BG42" i="4" s="1"/>
  <c r="BF42" i="4" a="1"/>
  <c r="BF42" i="4" s="1"/>
  <c r="BE42" i="4" a="1"/>
  <c r="BE42" i="4" s="1"/>
  <c r="BD42" i="4" a="1"/>
  <c r="BD42" i="4" s="1"/>
  <c r="BC42" i="4" a="1"/>
  <c r="BC42" i="4" s="1"/>
  <c r="BB42" i="4" a="1"/>
  <c r="BB42" i="4" s="1"/>
  <c r="BA42" i="4" a="1"/>
  <c r="BA42" i="4"/>
  <c r="AZ42" i="4" a="1"/>
  <c r="AZ42" i="4" s="1"/>
  <c r="AY42" i="4" a="1"/>
  <c r="AY42" i="4" s="1"/>
  <c r="AW42" i="4"/>
  <c r="AV42" i="4"/>
  <c r="AT42" i="4"/>
  <c r="AS42" i="4"/>
  <c r="AR42" i="4"/>
  <c r="AQ42" i="4"/>
  <c r="AP42" i="4"/>
  <c r="AN42" i="4"/>
  <c r="AL42" i="4"/>
  <c r="AK42" i="4"/>
  <c r="AJ42" i="4"/>
  <c r="AI42" i="4"/>
  <c r="AH42" i="4"/>
  <c r="N42" i="4"/>
  <c r="M42" i="4"/>
  <c r="DF42" i="4" s="1"/>
  <c r="L42" i="4"/>
  <c r="K42" i="4"/>
  <c r="DD42" i="4" s="1"/>
  <c r="J42" i="4"/>
  <c r="DC42" i="4" s="1"/>
  <c r="I42" i="4"/>
  <c r="DB42" i="4" s="1"/>
  <c r="H42" i="4"/>
  <c r="G42" i="4"/>
  <c r="CZ42" i="4" s="1"/>
  <c r="F42" i="4"/>
  <c r="D42" i="4"/>
  <c r="C42" i="4"/>
  <c r="B42" i="4"/>
  <c r="A42" i="4"/>
  <c r="DA41" i="4"/>
  <c r="CX41" i="4"/>
  <c r="BU41" i="4"/>
  <c r="BT41" i="4"/>
  <c r="BQ41" i="4" a="1"/>
  <c r="BQ41" i="4" s="1"/>
  <c r="BP41" i="4" a="1"/>
  <c r="BP41" i="4" s="1"/>
  <c r="BO41" i="4" a="1"/>
  <c r="BO41" i="4"/>
  <c r="DE41" i="4" s="1"/>
  <c r="BN41" i="4" a="1"/>
  <c r="BN41" i="4" s="1"/>
  <c r="BM41" i="4" a="1"/>
  <c r="BM41" i="4" s="1"/>
  <c r="BL41" i="4" a="1"/>
  <c r="BL41" i="4" s="1"/>
  <c r="BK41" i="4" a="1"/>
  <c r="BK41" i="4" s="1"/>
  <c r="BJ41" i="4" a="1"/>
  <c r="BJ41" i="4" s="1"/>
  <c r="BI41" i="4" a="1"/>
  <c r="BI41" i="4"/>
  <c r="BH41" i="4" a="1"/>
  <c r="BH41" i="4" s="1"/>
  <c r="DC41" i="4" s="1"/>
  <c r="BG41" i="4" a="1"/>
  <c r="BG41" i="4" s="1"/>
  <c r="BF41" i="4" a="1"/>
  <c r="BF41" i="4" s="1"/>
  <c r="BE41" i="4" a="1"/>
  <c r="BE41" i="4" s="1"/>
  <c r="BD41" i="4" a="1"/>
  <c r="BD41" i="4" s="1"/>
  <c r="BC41" i="4" a="1"/>
  <c r="BC41" i="4" s="1"/>
  <c r="BB41" i="4" a="1"/>
  <c r="BB41" i="4" s="1"/>
  <c r="BA41" i="4" a="1"/>
  <c r="BA41" i="4" s="1"/>
  <c r="DI41" i="4" s="1"/>
  <c r="AZ41" i="4" a="1"/>
  <c r="AZ41" i="4" s="1"/>
  <c r="AY41" i="4" a="1"/>
  <c r="AY41" i="4" s="1"/>
  <c r="DH41" i="4" s="1"/>
  <c r="AW41" i="4"/>
  <c r="AV41" i="4"/>
  <c r="AT41" i="4"/>
  <c r="AS41" i="4"/>
  <c r="AR41" i="4"/>
  <c r="AQ41" i="4"/>
  <c r="AP41" i="4"/>
  <c r="AN41" i="4"/>
  <c r="AL41" i="4"/>
  <c r="AK41" i="4"/>
  <c r="AJ41" i="4"/>
  <c r="AI41" i="4"/>
  <c r="AH41" i="4"/>
  <c r="N41" i="4"/>
  <c r="M41" i="4"/>
  <c r="L41" i="4"/>
  <c r="K41" i="4"/>
  <c r="J41" i="4"/>
  <c r="I41" i="4"/>
  <c r="H41" i="4"/>
  <c r="G41" i="4"/>
  <c r="CZ41" i="4" s="1"/>
  <c r="F41" i="4"/>
  <c r="D41" i="4"/>
  <c r="C41" i="4"/>
  <c r="B41" i="4"/>
  <c r="A41" i="4"/>
  <c r="DE40" i="4"/>
  <c r="CZ40" i="4"/>
  <c r="CX40" i="4"/>
  <c r="CV40" i="4"/>
  <c r="BU40" i="4"/>
  <c r="BT40" i="4"/>
  <c r="BQ40" i="4" a="1"/>
  <c r="BQ40" i="4"/>
  <c r="DJ40" i="4" s="1"/>
  <c r="BP40" i="4" a="1"/>
  <c r="BP40" i="4" s="1"/>
  <c r="BO40" i="4" a="1"/>
  <c r="BO40" i="4" s="1"/>
  <c r="BN40" i="4" a="1"/>
  <c r="BN40" i="4" s="1"/>
  <c r="BM40" i="4" a="1"/>
  <c r="BM40" i="4"/>
  <c r="BL40" i="4" a="1"/>
  <c r="BL40" i="4" s="1"/>
  <c r="BK40" i="4" a="1"/>
  <c r="BK40" i="4"/>
  <c r="BJ40" i="4" a="1"/>
  <c r="BJ40" i="4" s="1"/>
  <c r="BI40" i="4" a="1"/>
  <c r="BI40" i="4" s="1"/>
  <c r="BH40" i="4" a="1"/>
  <c r="BH40" i="4" s="1"/>
  <c r="BG40" i="4" a="1"/>
  <c r="BG40" i="4" s="1"/>
  <c r="BF40" i="4" a="1"/>
  <c r="BF40" i="4" s="1"/>
  <c r="BE40" i="4" a="1"/>
  <c r="BE40" i="4" s="1"/>
  <c r="BD40" i="4" a="1"/>
  <c r="BD40" i="4" s="1"/>
  <c r="DA40" i="4" s="1"/>
  <c r="BC40" i="4" a="1"/>
  <c r="BC40" i="4" s="1"/>
  <c r="BB40" i="4" a="1"/>
  <c r="BB40" i="4" s="1"/>
  <c r="BA40" i="4" a="1"/>
  <c r="BA40" i="4"/>
  <c r="AZ40" i="4" a="1"/>
  <c r="AZ40" i="4" s="1"/>
  <c r="AY40" i="4" a="1"/>
  <c r="AY40" i="4"/>
  <c r="DH40" i="4" s="1"/>
  <c r="AW40" i="4"/>
  <c r="AV40" i="4"/>
  <c r="AT40" i="4"/>
  <c r="AS40" i="4"/>
  <c r="AR40" i="4"/>
  <c r="AQ40" i="4"/>
  <c r="AP40" i="4"/>
  <c r="AN40" i="4"/>
  <c r="AL40" i="4"/>
  <c r="AK40" i="4"/>
  <c r="AJ40" i="4"/>
  <c r="AI40" i="4"/>
  <c r="AH40" i="4"/>
  <c r="N40" i="4"/>
  <c r="M40" i="4"/>
  <c r="L40" i="4"/>
  <c r="K40" i="4"/>
  <c r="DD40" i="4" s="1"/>
  <c r="J40" i="4"/>
  <c r="I40" i="4"/>
  <c r="DB40" i="4" s="1"/>
  <c r="H40" i="4"/>
  <c r="G40" i="4"/>
  <c r="F40" i="4"/>
  <c r="D40" i="4"/>
  <c r="C40" i="4"/>
  <c r="B40" i="4"/>
  <c r="A40" i="4"/>
  <c r="DH39" i="4"/>
  <c r="DC39" i="4"/>
  <c r="CX39" i="4"/>
  <c r="BU39" i="4"/>
  <c r="BT39" i="4"/>
  <c r="BQ39" i="4" a="1"/>
  <c r="BQ39" i="4" s="1"/>
  <c r="BP39" i="4" a="1"/>
  <c r="BP39" i="4" s="1"/>
  <c r="BO39" i="4" a="1"/>
  <c r="BO39" i="4"/>
  <c r="DE39" i="4" s="1"/>
  <c r="BN39" i="4" a="1"/>
  <c r="BN39" i="4" s="1"/>
  <c r="BM39" i="4" a="1"/>
  <c r="BM39" i="4"/>
  <c r="BL39" i="4" a="1"/>
  <c r="BL39" i="4" s="1"/>
  <c r="BK39" i="4" a="1"/>
  <c r="BK39" i="4" s="1"/>
  <c r="BJ39" i="4" a="1"/>
  <c r="BJ39" i="4" s="1"/>
  <c r="BI39" i="4" a="1"/>
  <c r="BI39" i="4"/>
  <c r="BH39" i="4" a="1"/>
  <c r="BH39" i="4" s="1"/>
  <c r="BG39" i="4" a="1"/>
  <c r="BG39" i="4"/>
  <c r="BF39" i="4" a="1"/>
  <c r="BF39" i="4" s="1"/>
  <c r="BE39" i="4" a="1"/>
  <c r="BE39" i="4" s="1"/>
  <c r="BD39" i="4" a="1"/>
  <c r="BD39" i="4" s="1"/>
  <c r="DA39" i="4" s="1"/>
  <c r="BC39" i="4" a="1"/>
  <c r="BC39" i="4" s="1"/>
  <c r="BB39" i="4" a="1"/>
  <c r="BB39" i="4" s="1"/>
  <c r="BA39" i="4" a="1"/>
  <c r="BA39" i="4" s="1"/>
  <c r="DI39" i="4" s="1"/>
  <c r="AZ39" i="4" a="1"/>
  <c r="AZ39" i="4" s="1"/>
  <c r="AY39" i="4" a="1"/>
  <c r="AY39" i="4" s="1"/>
  <c r="AW39" i="4"/>
  <c r="AV39" i="4"/>
  <c r="AT39" i="4"/>
  <c r="AS39" i="4"/>
  <c r="AR39" i="4"/>
  <c r="AQ39" i="4"/>
  <c r="AP39" i="4"/>
  <c r="AN39" i="4"/>
  <c r="AL39" i="4"/>
  <c r="AK39" i="4"/>
  <c r="AJ39" i="4"/>
  <c r="AI39" i="4"/>
  <c r="AH39" i="4"/>
  <c r="N39" i="4"/>
  <c r="M39" i="4"/>
  <c r="DF39" i="4" s="1"/>
  <c r="L39" i="4"/>
  <c r="K39" i="4"/>
  <c r="DD39" i="4" s="1"/>
  <c r="J39" i="4"/>
  <c r="I39" i="4"/>
  <c r="H39" i="4"/>
  <c r="G39" i="4"/>
  <c r="F39" i="4"/>
  <c r="D39" i="4"/>
  <c r="C39" i="4"/>
  <c r="B39" i="4"/>
  <c r="A39" i="4"/>
  <c r="DA38" i="4"/>
  <c r="CX38" i="4"/>
  <c r="BU38" i="4"/>
  <c r="BT38" i="4"/>
  <c r="BQ38" i="4" a="1"/>
  <c r="BQ38" i="4" s="1"/>
  <c r="DJ38" i="4" s="1"/>
  <c r="BP38" i="4" a="1"/>
  <c r="BP38" i="4" s="1"/>
  <c r="BO38" i="4" a="1"/>
  <c r="BO38" i="4" s="1"/>
  <c r="DE38" i="4" s="1"/>
  <c r="BN38" i="4" a="1"/>
  <c r="BN38" i="4" s="1"/>
  <c r="BM38" i="4" a="1"/>
  <c r="BM38" i="4" s="1"/>
  <c r="BL38" i="4" a="1"/>
  <c r="BL38" i="4" s="1"/>
  <c r="BK38" i="4" a="1"/>
  <c r="BK38" i="4"/>
  <c r="BJ38" i="4" a="1"/>
  <c r="BJ38" i="4" s="1"/>
  <c r="BI38" i="4" a="1"/>
  <c r="BI38" i="4"/>
  <c r="BH38" i="4" a="1"/>
  <c r="BH38" i="4" s="1"/>
  <c r="DC38" i="4" s="1"/>
  <c r="BG38" i="4" a="1"/>
  <c r="BG38" i="4" s="1"/>
  <c r="BF38" i="4" a="1"/>
  <c r="BF38" i="4" s="1"/>
  <c r="BE38" i="4" a="1"/>
  <c r="BE38" i="4"/>
  <c r="BD38" i="4" a="1"/>
  <c r="BD38" i="4" s="1"/>
  <c r="BC38" i="4" a="1"/>
  <c r="BC38" i="4"/>
  <c r="BB38" i="4" a="1"/>
  <c r="BB38" i="4" s="1"/>
  <c r="BA38" i="4" a="1"/>
  <c r="BA38" i="4" s="1"/>
  <c r="AZ38" i="4" a="1"/>
  <c r="AZ38" i="4" s="1"/>
  <c r="AY38" i="4" a="1"/>
  <c r="AY38" i="4" s="1"/>
  <c r="DH38" i="4" s="1"/>
  <c r="AW38" i="4"/>
  <c r="AV38" i="4"/>
  <c r="AT38" i="4"/>
  <c r="AS38" i="4"/>
  <c r="AR38" i="4"/>
  <c r="AQ38" i="4"/>
  <c r="AP38" i="4"/>
  <c r="AN38" i="4"/>
  <c r="AL38" i="4"/>
  <c r="AK38" i="4"/>
  <c r="AJ38" i="4"/>
  <c r="AI38" i="4"/>
  <c r="AH38" i="4"/>
  <c r="N38" i="4"/>
  <c r="M38" i="4"/>
  <c r="L38" i="4"/>
  <c r="K38" i="4"/>
  <c r="DD38" i="4" s="1"/>
  <c r="J38" i="4"/>
  <c r="I38" i="4"/>
  <c r="H38" i="4"/>
  <c r="G38" i="4"/>
  <c r="CZ38" i="4" s="1"/>
  <c r="F38" i="4"/>
  <c r="D38" i="4"/>
  <c r="C38" i="4"/>
  <c r="B38" i="4"/>
  <c r="A38" i="4"/>
  <c r="DH37" i="4"/>
  <c r="CZ37" i="4"/>
  <c r="CX37" i="4"/>
  <c r="BU37" i="4"/>
  <c r="BT37" i="4"/>
  <c r="BQ37" i="4" a="1"/>
  <c r="BQ37" i="4" s="1"/>
  <c r="DJ37" i="4" s="1"/>
  <c r="BP37" i="4" a="1"/>
  <c r="BP37" i="4" s="1"/>
  <c r="BO37" i="4" a="1"/>
  <c r="BO37" i="4" s="1"/>
  <c r="BN37" i="4" a="1"/>
  <c r="BN37" i="4" s="1"/>
  <c r="BM37" i="4" a="1"/>
  <c r="BM37" i="4" s="1"/>
  <c r="BL37" i="4" a="1"/>
  <c r="BL37" i="4" s="1"/>
  <c r="DD37" i="4" s="1"/>
  <c r="BK37" i="4" a="1"/>
  <c r="BK37" i="4" s="1"/>
  <c r="BJ37" i="4" a="1"/>
  <c r="BJ37" i="4" s="1"/>
  <c r="BI37" i="4" a="1"/>
  <c r="BI37" i="4" s="1"/>
  <c r="BH37" i="4" a="1"/>
  <c r="BH37" i="4" s="1"/>
  <c r="BG37" i="4" a="1"/>
  <c r="BG37" i="4" s="1"/>
  <c r="BF37" i="4" a="1"/>
  <c r="BF37" i="4" s="1"/>
  <c r="BE37" i="4" a="1"/>
  <c r="BE37" i="4" s="1"/>
  <c r="BD37" i="4" a="1"/>
  <c r="BD37" i="4" s="1"/>
  <c r="DA37" i="4" s="1"/>
  <c r="BC37" i="4" a="1"/>
  <c r="BC37" i="4" s="1"/>
  <c r="BB37" i="4" a="1"/>
  <c r="BB37" i="4"/>
  <c r="BA37" i="4" a="1"/>
  <c r="BA37" i="4" s="1"/>
  <c r="DI37" i="4" s="1"/>
  <c r="AZ37" i="4" a="1"/>
  <c r="AZ37" i="4" s="1"/>
  <c r="AY37" i="4" a="1"/>
  <c r="AY37" i="4" s="1"/>
  <c r="AW37" i="4"/>
  <c r="AV37" i="4"/>
  <c r="AT37" i="4"/>
  <c r="AS37" i="4"/>
  <c r="AR37" i="4"/>
  <c r="AQ37" i="4"/>
  <c r="AP37" i="4"/>
  <c r="AN37" i="4"/>
  <c r="AL37" i="4"/>
  <c r="AK37" i="4"/>
  <c r="AJ37" i="4"/>
  <c r="AI37" i="4"/>
  <c r="AH37" i="4"/>
  <c r="N37" i="4"/>
  <c r="M37" i="4"/>
  <c r="DF37" i="4" s="1"/>
  <c r="L37" i="4"/>
  <c r="DE37" i="4" s="1"/>
  <c r="K37" i="4"/>
  <c r="J37" i="4"/>
  <c r="DC37" i="4" s="1"/>
  <c r="I37" i="4"/>
  <c r="DB37" i="4" s="1"/>
  <c r="H37" i="4"/>
  <c r="G37" i="4"/>
  <c r="F37" i="4"/>
  <c r="D37" i="4"/>
  <c r="C37" i="4"/>
  <c r="B37" i="4"/>
  <c r="A37" i="4"/>
  <c r="DJ36" i="4"/>
  <c r="DH36" i="4"/>
  <c r="DC36" i="4"/>
  <c r="CX36" i="4"/>
  <c r="CU36" i="4"/>
  <c r="BU36" i="4"/>
  <c r="BT36" i="4"/>
  <c r="BQ36" i="4" a="1"/>
  <c r="BQ36" i="4" s="1"/>
  <c r="BP36" i="4" a="1"/>
  <c r="BP36" i="4" s="1"/>
  <c r="BO36" i="4" a="1"/>
  <c r="BO36" i="4"/>
  <c r="DE36" i="4" s="1"/>
  <c r="BN36" i="4" a="1"/>
  <c r="BN36" i="4" s="1"/>
  <c r="BM36" i="4" a="1"/>
  <c r="BM36" i="4" s="1"/>
  <c r="BL36" i="4" a="1"/>
  <c r="BL36" i="4" s="1"/>
  <c r="BK36" i="4" a="1"/>
  <c r="BK36" i="4" s="1"/>
  <c r="BJ36" i="4" a="1"/>
  <c r="BJ36" i="4" s="1"/>
  <c r="BI36" i="4" a="1"/>
  <c r="BI36" i="4"/>
  <c r="BH36" i="4" a="1"/>
  <c r="BH36" i="4" s="1"/>
  <c r="BG36" i="4" a="1"/>
  <c r="BG36" i="4"/>
  <c r="BF36" i="4" a="1"/>
  <c r="BF36" i="4" s="1"/>
  <c r="BE36" i="4" a="1"/>
  <c r="BE36" i="4" s="1"/>
  <c r="BD36" i="4" a="1"/>
  <c r="BD36" i="4" s="1"/>
  <c r="DA36" i="4" s="1"/>
  <c r="BC36" i="4" a="1"/>
  <c r="BC36" i="4"/>
  <c r="BB36" i="4" a="1"/>
  <c r="BB36" i="4" s="1"/>
  <c r="BA36" i="4" a="1"/>
  <c r="BA36" i="4"/>
  <c r="DI36" i="4" s="1"/>
  <c r="AZ36" i="4" a="1"/>
  <c r="AZ36" i="4" s="1"/>
  <c r="AY36" i="4" a="1"/>
  <c r="AY36" i="4" s="1"/>
  <c r="AW36" i="4"/>
  <c r="AV36" i="4"/>
  <c r="AT36" i="4"/>
  <c r="AS36" i="4"/>
  <c r="AR36" i="4"/>
  <c r="AQ36" i="4"/>
  <c r="AP36" i="4"/>
  <c r="AN36" i="4"/>
  <c r="AL36" i="4"/>
  <c r="AK36" i="4"/>
  <c r="AJ36" i="4"/>
  <c r="AI36" i="4"/>
  <c r="AH36" i="4"/>
  <c r="N36" i="4"/>
  <c r="M36" i="4"/>
  <c r="DF36" i="4" s="1"/>
  <c r="L36" i="4"/>
  <c r="K36" i="4"/>
  <c r="DD36" i="4" s="1"/>
  <c r="J36" i="4"/>
  <c r="I36" i="4"/>
  <c r="DB36" i="4" s="1"/>
  <c r="H36" i="4"/>
  <c r="G36" i="4"/>
  <c r="CZ36" i="4" s="1"/>
  <c r="F36" i="4"/>
  <c r="D36" i="4"/>
  <c r="C36" i="4"/>
  <c r="B36" i="4"/>
  <c r="A36" i="4"/>
  <c r="CX35" i="4"/>
  <c r="BU35" i="4"/>
  <c r="BT35" i="4"/>
  <c r="BQ35" i="4" a="1"/>
  <c r="BQ35" i="4" s="1"/>
  <c r="BP35" i="4" a="1"/>
  <c r="BP35" i="4" s="1"/>
  <c r="BO35" i="4" a="1"/>
  <c r="BO35" i="4" s="1"/>
  <c r="DE35" i="4" s="1"/>
  <c r="BN35" i="4" a="1"/>
  <c r="BN35" i="4" s="1"/>
  <c r="BM35" i="4" a="1"/>
  <c r="BM35" i="4" s="1"/>
  <c r="BL35" i="4" a="1"/>
  <c r="BL35" i="4" s="1"/>
  <c r="BK35" i="4" a="1"/>
  <c r="BK35" i="4"/>
  <c r="BJ35" i="4" a="1"/>
  <c r="BJ35" i="4" s="1"/>
  <c r="BI35" i="4" a="1"/>
  <c r="BI35" i="4" s="1"/>
  <c r="BH35" i="4" a="1"/>
  <c r="BH35" i="4" s="1"/>
  <c r="BG35" i="4" a="1"/>
  <c r="BG35" i="4" s="1"/>
  <c r="BF35" i="4" a="1"/>
  <c r="BF35" i="4"/>
  <c r="DB35" i="4" s="1"/>
  <c r="BE35" i="4" a="1"/>
  <c r="BE35" i="4"/>
  <c r="BD35" i="4" a="1"/>
  <c r="BD35" i="4" s="1"/>
  <c r="BC35" i="4" a="1"/>
  <c r="BC35" i="4"/>
  <c r="BB35" i="4" a="1"/>
  <c r="BB35" i="4" s="1"/>
  <c r="BA35" i="4" a="1"/>
  <c r="BA35" i="4" s="1"/>
  <c r="AZ35" i="4" a="1"/>
  <c r="AZ35" i="4"/>
  <c r="AY35" i="4" a="1"/>
  <c r="AY35" i="4" s="1"/>
  <c r="DH35" i="4" s="1"/>
  <c r="AW35" i="4"/>
  <c r="AV35" i="4"/>
  <c r="AT35" i="4"/>
  <c r="AS35" i="4"/>
  <c r="AR35" i="4"/>
  <c r="AQ35" i="4"/>
  <c r="AP35" i="4"/>
  <c r="AN35" i="4"/>
  <c r="AL35" i="4"/>
  <c r="AK35" i="4"/>
  <c r="AJ35" i="4"/>
  <c r="AI35" i="4"/>
  <c r="AH35" i="4"/>
  <c r="N35" i="4"/>
  <c r="M35" i="4"/>
  <c r="L35" i="4"/>
  <c r="K35" i="4"/>
  <c r="J35" i="4"/>
  <c r="DC35" i="4" s="1"/>
  <c r="I35" i="4"/>
  <c r="H35" i="4"/>
  <c r="DA35" i="4" s="1"/>
  <c r="G35" i="4"/>
  <c r="CZ35" i="4" s="1"/>
  <c r="F35" i="4"/>
  <c r="D35" i="4"/>
  <c r="C35" i="4"/>
  <c r="B35" i="4"/>
  <c r="A35" i="4"/>
  <c r="DD34" i="4"/>
  <c r="CZ34" i="4"/>
  <c r="CX34" i="4"/>
  <c r="BU34" i="4"/>
  <c r="BT34" i="4"/>
  <c r="BQ34" i="4" a="1"/>
  <c r="BQ34" i="4" s="1"/>
  <c r="DJ34" i="4" s="1"/>
  <c r="BP34" i="4" a="1"/>
  <c r="BP34" i="4" s="1"/>
  <c r="BO34" i="4" a="1"/>
  <c r="BO34" i="4"/>
  <c r="DE34" i="4" s="1"/>
  <c r="BN34" i="4" a="1"/>
  <c r="BN34" i="4" s="1"/>
  <c r="BM34" i="4" a="1"/>
  <c r="BM34" i="4"/>
  <c r="BL34" i="4" a="1"/>
  <c r="BL34" i="4" s="1"/>
  <c r="BK34" i="4" a="1"/>
  <c r="BK34" i="4"/>
  <c r="BJ34" i="4" a="1"/>
  <c r="BJ34" i="4" s="1"/>
  <c r="BI34" i="4" a="1"/>
  <c r="BI34" i="4"/>
  <c r="BH34" i="4" a="1"/>
  <c r="BH34" i="4"/>
  <c r="BG34" i="4" a="1"/>
  <c r="BG34" i="4" s="1"/>
  <c r="BF34" i="4" a="1"/>
  <c r="BF34" i="4" s="1"/>
  <c r="BE34" i="4" a="1"/>
  <c r="BE34" i="4" s="1"/>
  <c r="BD34" i="4" a="1"/>
  <c r="BD34" i="4" s="1"/>
  <c r="DA34" i="4" s="1"/>
  <c r="BC34" i="4" a="1"/>
  <c r="BC34" i="4" s="1"/>
  <c r="BB34" i="4" a="1"/>
  <c r="BB34" i="4"/>
  <c r="BA34" i="4" a="1"/>
  <c r="BA34" i="4"/>
  <c r="DI34" i="4" s="1"/>
  <c r="AZ34" i="4" a="1"/>
  <c r="AZ34" i="4" s="1"/>
  <c r="AY34" i="4" a="1"/>
  <c r="AY34" i="4"/>
  <c r="DH34" i="4" s="1"/>
  <c r="AW34" i="4"/>
  <c r="AV34" i="4"/>
  <c r="AT34" i="4"/>
  <c r="AS34" i="4"/>
  <c r="AR34" i="4"/>
  <c r="AQ34" i="4"/>
  <c r="AP34" i="4"/>
  <c r="AN34" i="4"/>
  <c r="AL34" i="4"/>
  <c r="AK34" i="4"/>
  <c r="AJ34" i="4"/>
  <c r="AI34" i="4"/>
  <c r="AH34" i="4"/>
  <c r="N34" i="4"/>
  <c r="M34" i="4"/>
  <c r="L34" i="4"/>
  <c r="K34" i="4"/>
  <c r="J34" i="4"/>
  <c r="I34" i="4"/>
  <c r="H34" i="4"/>
  <c r="G34" i="4"/>
  <c r="F34" i="4"/>
  <c r="D34" i="4"/>
  <c r="C34" i="4"/>
  <c r="B34" i="4"/>
  <c r="A34" i="4"/>
  <c r="DE33" i="4"/>
  <c r="CX33" i="4"/>
  <c r="BU33" i="4"/>
  <c r="BT33" i="4"/>
  <c r="BQ33" i="4" a="1"/>
  <c r="BQ33" i="4"/>
  <c r="BP33" i="4" a="1"/>
  <c r="BP33" i="4" s="1"/>
  <c r="BO33" i="4" a="1"/>
  <c r="BO33" i="4"/>
  <c r="BN33" i="4" a="1"/>
  <c r="BN33" i="4" s="1"/>
  <c r="BM33" i="4" a="1"/>
  <c r="BM33" i="4"/>
  <c r="BL33" i="4" a="1"/>
  <c r="BL33" i="4" s="1"/>
  <c r="BK33" i="4" a="1"/>
  <c r="BK33" i="4" s="1"/>
  <c r="BJ33" i="4" a="1"/>
  <c r="BJ33" i="4"/>
  <c r="BI33" i="4" a="1"/>
  <c r="BI33" i="4" s="1"/>
  <c r="BH33" i="4" a="1"/>
  <c r="BH33" i="4" s="1"/>
  <c r="BG33" i="4" a="1"/>
  <c r="BG33" i="4" s="1"/>
  <c r="BF33" i="4" a="1"/>
  <c r="BF33" i="4"/>
  <c r="BE33" i="4" a="1"/>
  <c r="BE33" i="4"/>
  <c r="BD33" i="4" a="1"/>
  <c r="BD33" i="4" s="1"/>
  <c r="DA33" i="4" s="1"/>
  <c r="BC33" i="4" a="1"/>
  <c r="BC33" i="4"/>
  <c r="BB33" i="4" a="1"/>
  <c r="BB33" i="4" s="1"/>
  <c r="BA33" i="4" a="1"/>
  <c r="BA33" i="4"/>
  <c r="DI33" i="4" s="1"/>
  <c r="AZ33" i="4" a="1"/>
  <c r="AZ33" i="4" s="1"/>
  <c r="AY33" i="4" a="1"/>
  <c r="AY33" i="4" s="1"/>
  <c r="DH33" i="4" s="1"/>
  <c r="AW33" i="4"/>
  <c r="AV33" i="4"/>
  <c r="AT33" i="4"/>
  <c r="AS33" i="4"/>
  <c r="AR33" i="4"/>
  <c r="AQ33" i="4"/>
  <c r="AP33" i="4"/>
  <c r="AN33" i="4"/>
  <c r="AL33" i="4"/>
  <c r="AK33" i="4"/>
  <c r="AJ33" i="4"/>
  <c r="AI33" i="4"/>
  <c r="AH33" i="4"/>
  <c r="N33" i="4"/>
  <c r="M33" i="4"/>
  <c r="DF33" i="4" s="1"/>
  <c r="L33" i="4"/>
  <c r="K33" i="4"/>
  <c r="DD33" i="4" s="1"/>
  <c r="J33" i="4"/>
  <c r="DC33" i="4" s="1"/>
  <c r="I33" i="4"/>
  <c r="H33" i="4"/>
  <c r="G33" i="4"/>
  <c r="F33" i="4"/>
  <c r="D33" i="4"/>
  <c r="C33" i="4"/>
  <c r="B33" i="4"/>
  <c r="A33" i="4"/>
  <c r="CX32" i="4"/>
  <c r="BU32" i="4"/>
  <c r="BT32" i="4"/>
  <c r="BQ32" i="4" a="1"/>
  <c r="BQ32" i="4" s="1"/>
  <c r="BP32" i="4" a="1"/>
  <c r="BP32" i="4" s="1"/>
  <c r="BO32" i="4" a="1"/>
  <c r="BO32" i="4"/>
  <c r="BN32" i="4" a="1"/>
  <c r="BN32" i="4"/>
  <c r="BM32" i="4" a="1"/>
  <c r="BM32" i="4" s="1"/>
  <c r="BL32" i="4" a="1"/>
  <c r="BL32" i="4"/>
  <c r="DD32" i="4" s="1"/>
  <c r="BK32" i="4" a="1"/>
  <c r="BK32" i="4"/>
  <c r="BJ32" i="4" a="1"/>
  <c r="BJ32" i="4" s="1"/>
  <c r="BI32" i="4" a="1"/>
  <c r="BI32" i="4"/>
  <c r="BH32" i="4" a="1"/>
  <c r="BH32" i="4" s="1"/>
  <c r="BG32" i="4" a="1"/>
  <c r="BG32" i="4"/>
  <c r="BF32" i="4" a="1"/>
  <c r="BF32" i="4" s="1"/>
  <c r="DB32" i="4" s="1"/>
  <c r="BE32" i="4" a="1"/>
  <c r="BE32" i="4" s="1"/>
  <c r="BD32" i="4" a="1"/>
  <c r="BD32" i="4" s="1"/>
  <c r="BC32" i="4" a="1"/>
  <c r="BC32" i="4" s="1"/>
  <c r="BB32" i="4" a="1"/>
  <c r="BB32" i="4"/>
  <c r="BA32" i="4" a="1"/>
  <c r="BA32" i="4"/>
  <c r="AZ32" i="4" a="1"/>
  <c r="AZ32" i="4" s="1"/>
  <c r="CZ32" i="4" s="1"/>
  <c r="AY32" i="4" a="1"/>
  <c r="AY32" i="4"/>
  <c r="DH32" i="4" s="1"/>
  <c r="AW32" i="4"/>
  <c r="AV32" i="4"/>
  <c r="AT32" i="4"/>
  <c r="AS32" i="4"/>
  <c r="AR32" i="4"/>
  <c r="AQ32" i="4"/>
  <c r="AP32" i="4"/>
  <c r="AN32" i="4"/>
  <c r="AL32" i="4"/>
  <c r="AK32" i="4"/>
  <c r="AJ32" i="4"/>
  <c r="AI32" i="4"/>
  <c r="AH32" i="4"/>
  <c r="N32" i="4"/>
  <c r="M32" i="4"/>
  <c r="L32" i="4"/>
  <c r="DE32" i="4" s="1"/>
  <c r="K32" i="4"/>
  <c r="J32" i="4"/>
  <c r="DC32" i="4" s="1"/>
  <c r="I32" i="4"/>
  <c r="H32" i="4"/>
  <c r="G32" i="4"/>
  <c r="F32" i="4"/>
  <c r="D32" i="4"/>
  <c r="C32" i="4"/>
  <c r="B32" i="4"/>
  <c r="A32" i="4"/>
  <c r="CX31" i="4"/>
  <c r="BU31" i="4"/>
  <c r="BT31" i="4"/>
  <c r="BQ31" i="4" a="1"/>
  <c r="BQ31" i="4" s="1"/>
  <c r="BP31" i="4" a="1"/>
  <c r="BP31" i="4"/>
  <c r="BO31" i="4" a="1"/>
  <c r="BO31" i="4" s="1"/>
  <c r="BN31" i="4" a="1"/>
  <c r="BN31" i="4"/>
  <c r="BM31" i="4" a="1"/>
  <c r="BM31" i="4" s="1"/>
  <c r="BL31" i="4" a="1"/>
  <c r="BL31" i="4" s="1"/>
  <c r="DD31" i="4" s="1"/>
  <c r="BK31" i="4" a="1"/>
  <c r="BK31" i="4"/>
  <c r="BJ31" i="4" a="1"/>
  <c r="BJ31" i="4" s="1"/>
  <c r="BI31" i="4" a="1"/>
  <c r="BI31" i="4"/>
  <c r="BH31" i="4" a="1"/>
  <c r="BH31" i="4"/>
  <c r="BG31" i="4" a="1"/>
  <c r="BG31" i="4" s="1"/>
  <c r="BF31" i="4" a="1"/>
  <c r="BF31" i="4" s="1"/>
  <c r="BE31" i="4" a="1"/>
  <c r="BE31" i="4" s="1"/>
  <c r="BD31" i="4" a="1"/>
  <c r="BD31" i="4" s="1"/>
  <c r="DA31" i="4" s="1"/>
  <c r="BC31" i="4" a="1"/>
  <c r="BC31" i="4"/>
  <c r="BB31" i="4" a="1"/>
  <c r="BB31" i="4" s="1"/>
  <c r="BA31" i="4" a="1"/>
  <c r="BA31" i="4"/>
  <c r="DI31" i="4" s="1"/>
  <c r="AZ31" i="4" a="1"/>
  <c r="AZ31" i="4" s="1"/>
  <c r="AY31" i="4" a="1"/>
  <c r="AY31" i="4"/>
  <c r="DH31" i="4" s="1"/>
  <c r="AW31" i="4"/>
  <c r="AV31" i="4"/>
  <c r="AT31" i="4"/>
  <c r="AS31" i="4"/>
  <c r="AR31" i="4"/>
  <c r="AQ31" i="4"/>
  <c r="AP31" i="4"/>
  <c r="AN31" i="4"/>
  <c r="AL31" i="4"/>
  <c r="AK31" i="4"/>
  <c r="AJ31" i="4"/>
  <c r="AI31" i="4"/>
  <c r="AH31" i="4"/>
  <c r="N31" i="4"/>
  <c r="M31" i="4"/>
  <c r="DF31" i="4" s="1"/>
  <c r="L31" i="4"/>
  <c r="K31" i="4"/>
  <c r="J31" i="4"/>
  <c r="DC31" i="4" s="1"/>
  <c r="I31" i="4"/>
  <c r="DB31" i="4" s="1"/>
  <c r="H31" i="4"/>
  <c r="G31" i="4"/>
  <c r="CZ31" i="4" s="1"/>
  <c r="F31" i="4"/>
  <c r="D31" i="4"/>
  <c r="C31" i="4"/>
  <c r="B31" i="4"/>
  <c r="A31" i="4"/>
  <c r="DE30" i="4"/>
  <c r="DB30" i="4"/>
  <c r="CZ30" i="4"/>
  <c r="CX30" i="4"/>
  <c r="BU30" i="4"/>
  <c r="BT30" i="4"/>
  <c r="BQ30" i="4" a="1"/>
  <c r="BQ30" i="4" s="1"/>
  <c r="DJ30" i="4" s="1"/>
  <c r="BP30" i="4" a="1"/>
  <c r="BP30" i="4" s="1"/>
  <c r="BO30" i="4" a="1"/>
  <c r="BO30" i="4"/>
  <c r="BN30" i="4" a="1"/>
  <c r="BN30" i="4" s="1"/>
  <c r="BM30" i="4" a="1"/>
  <c r="BM30" i="4" s="1"/>
  <c r="BL30" i="4" a="1"/>
  <c r="BL30" i="4" s="1"/>
  <c r="BK30" i="4" a="1"/>
  <c r="BK30" i="4"/>
  <c r="BJ30" i="4" a="1"/>
  <c r="BJ30" i="4"/>
  <c r="BI30" i="4" a="1"/>
  <c r="BI30" i="4" s="1"/>
  <c r="BH30" i="4" a="1"/>
  <c r="BH30" i="4" s="1"/>
  <c r="BG30" i="4" a="1"/>
  <c r="BG30" i="4" s="1"/>
  <c r="BF30" i="4" a="1"/>
  <c r="BF30" i="4"/>
  <c r="BE30" i="4" a="1"/>
  <c r="BE30" i="4" s="1"/>
  <c r="BD30" i="4" a="1"/>
  <c r="BD30" i="4" s="1"/>
  <c r="BC30" i="4" a="1"/>
  <c r="BC30" i="4" s="1"/>
  <c r="BB30" i="4" a="1"/>
  <c r="BB30" i="4" s="1"/>
  <c r="BA30" i="4" a="1"/>
  <c r="BA30" i="4"/>
  <c r="DI30" i="4" s="1"/>
  <c r="AZ30" i="4" a="1"/>
  <c r="AZ30" i="4" s="1"/>
  <c r="AY30" i="4" a="1"/>
  <c r="AY30" i="4" s="1"/>
  <c r="DH30" i="4" s="1"/>
  <c r="AW30" i="4"/>
  <c r="AV30" i="4"/>
  <c r="AT30" i="4"/>
  <c r="AS30" i="4"/>
  <c r="AR30" i="4"/>
  <c r="AQ30" i="4"/>
  <c r="AP30" i="4"/>
  <c r="AN30" i="4"/>
  <c r="AL30" i="4"/>
  <c r="AK30" i="4"/>
  <c r="AJ30" i="4"/>
  <c r="AI30" i="4"/>
  <c r="AH30" i="4"/>
  <c r="N30" i="4"/>
  <c r="M30" i="4"/>
  <c r="L30" i="4"/>
  <c r="K30" i="4"/>
  <c r="DD30" i="4" s="1"/>
  <c r="J30" i="4"/>
  <c r="DC30" i="4" s="1"/>
  <c r="I30" i="4"/>
  <c r="H30" i="4"/>
  <c r="DA30" i="4" s="1"/>
  <c r="G30" i="4"/>
  <c r="F30" i="4"/>
  <c r="D30" i="4"/>
  <c r="C30" i="4"/>
  <c r="B30" i="4"/>
  <c r="A30" i="4"/>
  <c r="DA29" i="4"/>
  <c r="CX29" i="4"/>
  <c r="BU29" i="4"/>
  <c r="BT29" i="4"/>
  <c r="BQ29" i="4" a="1"/>
  <c r="BQ29" i="4"/>
  <c r="DJ29" i="4" s="1"/>
  <c r="BP29" i="4" a="1"/>
  <c r="BP29" i="4" s="1"/>
  <c r="BO29" i="4" a="1"/>
  <c r="BO29" i="4" s="1"/>
  <c r="DE29" i="4" s="1"/>
  <c r="BN29" i="4" a="1"/>
  <c r="BN29" i="4"/>
  <c r="BM29" i="4" a="1"/>
  <c r="BM29" i="4" s="1"/>
  <c r="BL29" i="4" a="1"/>
  <c r="BL29" i="4"/>
  <c r="DD29" i="4" s="1"/>
  <c r="BK29" i="4" a="1"/>
  <c r="BK29" i="4" s="1"/>
  <c r="BJ29" i="4" a="1"/>
  <c r="BJ29" i="4" s="1"/>
  <c r="BI29" i="4" a="1"/>
  <c r="BI29" i="4"/>
  <c r="BH29" i="4" a="1"/>
  <c r="BH29" i="4" s="1"/>
  <c r="BG29" i="4" a="1"/>
  <c r="BG29" i="4"/>
  <c r="BF29" i="4" a="1"/>
  <c r="BF29" i="4" s="1"/>
  <c r="BE29" i="4" a="1"/>
  <c r="BE29" i="4" s="1"/>
  <c r="BD29" i="4" a="1"/>
  <c r="BD29" i="4" s="1"/>
  <c r="BC29" i="4" a="1"/>
  <c r="BC29" i="4" s="1"/>
  <c r="BB29" i="4" a="1"/>
  <c r="BB29" i="4" s="1"/>
  <c r="BA29" i="4" a="1"/>
  <c r="BA29" i="4"/>
  <c r="AZ29" i="4" a="1"/>
  <c r="AZ29" i="4" s="1"/>
  <c r="AY29" i="4" a="1"/>
  <c r="AY29" i="4"/>
  <c r="DH29" i="4" s="1"/>
  <c r="AW29" i="4"/>
  <c r="AV29" i="4"/>
  <c r="AT29" i="4"/>
  <c r="AS29" i="4"/>
  <c r="AR29" i="4"/>
  <c r="AQ29" i="4"/>
  <c r="AP29" i="4"/>
  <c r="AN29" i="4"/>
  <c r="AL29" i="4"/>
  <c r="AK29" i="4"/>
  <c r="AJ29" i="4"/>
  <c r="AI29" i="4"/>
  <c r="AH29" i="4"/>
  <c r="N29" i="4"/>
  <c r="M29" i="4"/>
  <c r="DF29" i="4" s="1"/>
  <c r="L29" i="4"/>
  <c r="K29" i="4"/>
  <c r="J29" i="4"/>
  <c r="I29" i="4"/>
  <c r="H29" i="4"/>
  <c r="G29" i="4"/>
  <c r="CZ29" i="4" s="1"/>
  <c r="F29" i="4"/>
  <c r="D29" i="4"/>
  <c r="C29" i="4"/>
  <c r="B29" i="4"/>
  <c r="A29" i="4"/>
  <c r="DJ28" i="4"/>
  <c r="CZ28" i="4"/>
  <c r="CX28" i="4"/>
  <c r="BU28" i="4"/>
  <c r="BT28" i="4"/>
  <c r="BQ28" i="4" a="1"/>
  <c r="BQ28" i="4"/>
  <c r="DF28" i="4" s="1"/>
  <c r="BP28" i="4" a="1"/>
  <c r="BP28" i="4"/>
  <c r="BO28" i="4" a="1"/>
  <c r="BO28" i="4" s="1"/>
  <c r="BN28" i="4" a="1"/>
  <c r="BN28" i="4"/>
  <c r="BM28" i="4" a="1"/>
  <c r="BM28" i="4" s="1"/>
  <c r="BL28" i="4" a="1"/>
  <c r="BL28" i="4" s="1"/>
  <c r="DD28" i="4" s="1"/>
  <c r="BK28" i="4" a="1"/>
  <c r="BK28" i="4" s="1"/>
  <c r="BJ28" i="4" a="1"/>
  <c r="BJ28" i="4" s="1"/>
  <c r="BI28" i="4" a="1"/>
  <c r="BI28" i="4" s="1"/>
  <c r="BH28" i="4" a="1"/>
  <c r="BH28" i="4"/>
  <c r="BG28" i="4" a="1"/>
  <c r="BG28" i="4" s="1"/>
  <c r="BF28" i="4" a="1"/>
  <c r="BF28" i="4" s="1"/>
  <c r="BE28" i="4" a="1"/>
  <c r="BE28" i="4" s="1"/>
  <c r="BD28" i="4" a="1"/>
  <c r="BD28" i="4"/>
  <c r="DA28" i="4" s="1"/>
  <c r="BC28" i="4" a="1"/>
  <c r="BC28" i="4"/>
  <c r="BB28" i="4" a="1"/>
  <c r="BB28" i="4" s="1"/>
  <c r="BA28" i="4" a="1"/>
  <c r="BA28" i="4"/>
  <c r="DI28" i="4" s="1"/>
  <c r="AZ28" i="4" a="1"/>
  <c r="AZ28" i="4" s="1"/>
  <c r="AY28" i="4" a="1"/>
  <c r="AY28" i="4"/>
  <c r="DH28" i="4" s="1"/>
  <c r="AW28" i="4"/>
  <c r="AV28" i="4"/>
  <c r="AT28" i="4"/>
  <c r="AS28" i="4"/>
  <c r="AR28" i="4"/>
  <c r="AQ28" i="4"/>
  <c r="AP28" i="4"/>
  <c r="AN28" i="4"/>
  <c r="AL28" i="4"/>
  <c r="AK28" i="4"/>
  <c r="AJ28" i="4"/>
  <c r="AI28" i="4"/>
  <c r="AH28" i="4"/>
  <c r="N28" i="4"/>
  <c r="M28" i="4"/>
  <c r="L28" i="4"/>
  <c r="K28" i="4"/>
  <c r="J28" i="4"/>
  <c r="DC28" i="4" s="1"/>
  <c r="I28" i="4"/>
  <c r="H28" i="4"/>
  <c r="G28" i="4"/>
  <c r="F28" i="4"/>
  <c r="D28" i="4"/>
  <c r="C28" i="4"/>
  <c r="B28" i="4"/>
  <c r="A28" i="4"/>
  <c r="CX27" i="4"/>
  <c r="BU27" i="4"/>
  <c r="BT27" i="4"/>
  <c r="BQ27" i="4" a="1"/>
  <c r="BQ27" i="4" s="1"/>
  <c r="DJ27" i="4" s="1"/>
  <c r="BP27" i="4" a="1"/>
  <c r="BP27" i="4"/>
  <c r="BO27" i="4" a="1"/>
  <c r="BO27" i="4"/>
  <c r="DE27" i="4" s="1"/>
  <c r="BN27" i="4" a="1"/>
  <c r="BN27" i="4" s="1"/>
  <c r="BM27" i="4" a="1"/>
  <c r="BM27" i="4"/>
  <c r="BL27" i="4" a="1"/>
  <c r="BL27" i="4" s="1"/>
  <c r="BK27" i="4" a="1"/>
  <c r="BK27" i="4"/>
  <c r="BJ27" i="4" a="1"/>
  <c r="BJ27" i="4" s="1"/>
  <c r="BI27" i="4" a="1"/>
  <c r="BI27" i="4" s="1"/>
  <c r="BH27" i="4" a="1"/>
  <c r="BH27" i="4" s="1"/>
  <c r="DC27" i="4" s="1"/>
  <c r="BG27" i="4" a="1"/>
  <c r="BG27" i="4"/>
  <c r="BF27" i="4" a="1"/>
  <c r="BF27" i="4"/>
  <c r="DB27" i="4" s="1"/>
  <c r="BE27" i="4" a="1"/>
  <c r="BE27" i="4" s="1"/>
  <c r="BD27" i="4" a="1"/>
  <c r="BD27" i="4" s="1"/>
  <c r="BC27" i="4" a="1"/>
  <c r="BC27" i="4"/>
  <c r="BB27" i="4" a="1"/>
  <c r="BB27" i="4" s="1"/>
  <c r="BA27" i="4" a="1"/>
  <c r="BA27" i="4" s="1"/>
  <c r="AZ27" i="4" a="1"/>
  <c r="AZ27" i="4"/>
  <c r="AY27" i="4" a="1"/>
  <c r="AY27" i="4" s="1"/>
  <c r="DH27" i="4" s="1"/>
  <c r="AW27" i="4"/>
  <c r="AV27" i="4"/>
  <c r="AT27" i="4"/>
  <c r="AS27" i="4"/>
  <c r="AR27" i="4"/>
  <c r="AQ27" i="4"/>
  <c r="AP27" i="4"/>
  <c r="AN27" i="4"/>
  <c r="AL27" i="4"/>
  <c r="AK27" i="4"/>
  <c r="AJ27" i="4"/>
  <c r="AI27" i="4"/>
  <c r="AH27" i="4"/>
  <c r="N27" i="4"/>
  <c r="M27" i="4"/>
  <c r="L27" i="4"/>
  <c r="K27" i="4"/>
  <c r="J27" i="4"/>
  <c r="I27" i="4"/>
  <c r="H27" i="4"/>
  <c r="G27" i="4"/>
  <c r="CZ27" i="4" s="1"/>
  <c r="F27" i="4"/>
  <c r="D27" i="4"/>
  <c r="C27" i="4"/>
  <c r="B27" i="4"/>
  <c r="A27" i="4"/>
  <c r="DJ26" i="4"/>
  <c r="DB26" i="4"/>
  <c r="DA26" i="4"/>
  <c r="CX26" i="4"/>
  <c r="BU26" i="4"/>
  <c r="BT26" i="4"/>
  <c r="BQ26" i="4" a="1"/>
  <c r="BQ26" i="4"/>
  <c r="DF26" i="4" s="1"/>
  <c r="BP26" i="4" a="1"/>
  <c r="BP26" i="4" s="1"/>
  <c r="BO26" i="4" a="1"/>
  <c r="BO26" i="4"/>
  <c r="BN26" i="4" a="1"/>
  <c r="BN26" i="4"/>
  <c r="BM26" i="4" a="1"/>
  <c r="BM26" i="4"/>
  <c r="BL26" i="4" a="1"/>
  <c r="BL26" i="4"/>
  <c r="DD26" i="4" s="1"/>
  <c r="BK26" i="4" a="1"/>
  <c r="BK26" i="4" s="1"/>
  <c r="BJ26" i="4" a="1"/>
  <c r="BJ26" i="4" s="1"/>
  <c r="BI26" i="4" a="1"/>
  <c r="BI26" i="4" s="1"/>
  <c r="BH26" i="4" a="1"/>
  <c r="BH26" i="4" s="1"/>
  <c r="BG26" i="4" a="1"/>
  <c r="BG26" i="4" s="1"/>
  <c r="BF26" i="4" a="1"/>
  <c r="BF26" i="4"/>
  <c r="BE26" i="4" a="1"/>
  <c r="BE26" i="4" s="1"/>
  <c r="BD26" i="4" a="1"/>
  <c r="BD26" i="4" s="1"/>
  <c r="BC26" i="4" a="1"/>
  <c r="BC26" i="4" s="1"/>
  <c r="BB26" i="4" a="1"/>
  <c r="BB26" i="4"/>
  <c r="BA26" i="4" a="1"/>
  <c r="BA26" i="4"/>
  <c r="DI26" i="4" s="1"/>
  <c r="AZ26" i="4" a="1"/>
  <c r="AZ26" i="4"/>
  <c r="AY26" i="4" a="1"/>
  <c r="AY26" i="4"/>
  <c r="DH26" i="4" s="1"/>
  <c r="AW26" i="4"/>
  <c r="AV26" i="4"/>
  <c r="AT26" i="4"/>
  <c r="AS26" i="4"/>
  <c r="AR26" i="4"/>
  <c r="AQ26" i="4"/>
  <c r="AP26" i="4"/>
  <c r="AN26" i="4"/>
  <c r="AL26" i="4"/>
  <c r="AK26" i="4"/>
  <c r="AJ26" i="4"/>
  <c r="AI26" i="4"/>
  <c r="AH26" i="4"/>
  <c r="N26" i="4"/>
  <c r="M26" i="4"/>
  <c r="L26" i="4"/>
  <c r="DE26" i="4" s="1"/>
  <c r="K26" i="4"/>
  <c r="J26" i="4"/>
  <c r="I26" i="4"/>
  <c r="H26" i="4"/>
  <c r="G26" i="4"/>
  <c r="CZ26" i="4" s="1"/>
  <c r="F26" i="4"/>
  <c r="D26" i="4"/>
  <c r="C26" i="4"/>
  <c r="B26" i="4"/>
  <c r="A26" i="4"/>
  <c r="CZ25" i="4"/>
  <c r="CX25" i="4"/>
  <c r="BU25" i="4"/>
  <c r="BT25" i="4"/>
  <c r="BQ25" i="4" a="1"/>
  <c r="BQ25" i="4"/>
  <c r="DF25" i="4" s="1"/>
  <c r="BP25" i="4" a="1"/>
  <c r="BP25" i="4" s="1"/>
  <c r="BO25" i="4" a="1"/>
  <c r="BO25" i="4" s="1"/>
  <c r="DE25" i="4" s="1"/>
  <c r="BN25" i="4" a="1"/>
  <c r="BN25" i="4" s="1"/>
  <c r="BM25" i="4" a="1"/>
  <c r="BM25" i="4"/>
  <c r="BL25" i="4" a="1"/>
  <c r="BL25" i="4" s="1"/>
  <c r="BK25" i="4" a="1"/>
  <c r="BK25" i="4" s="1"/>
  <c r="BJ25" i="4" a="1"/>
  <c r="BJ25" i="4" s="1"/>
  <c r="BI25" i="4" a="1"/>
  <c r="BI25" i="4"/>
  <c r="BH25" i="4" a="1"/>
  <c r="BH25" i="4"/>
  <c r="DC25" i="4" s="1"/>
  <c r="BG25" i="4" a="1"/>
  <c r="BG25" i="4" s="1"/>
  <c r="BF25" i="4" a="1"/>
  <c r="BF25" i="4" s="1"/>
  <c r="BE25" i="4" a="1"/>
  <c r="BE25" i="4" s="1"/>
  <c r="BD25" i="4" a="1"/>
  <c r="BD25" i="4"/>
  <c r="DA25" i="4" s="1"/>
  <c r="BC25" i="4" a="1"/>
  <c r="BC25" i="4" s="1"/>
  <c r="BB25" i="4" a="1"/>
  <c r="BB25" i="4" s="1"/>
  <c r="BA25" i="4" a="1"/>
  <c r="BA25" i="4" s="1"/>
  <c r="DI25" i="4" s="1"/>
  <c r="AZ25" i="4" a="1"/>
  <c r="AZ25" i="4" s="1"/>
  <c r="AY25" i="4" a="1"/>
  <c r="AY25" i="4"/>
  <c r="DH25" i="4" s="1"/>
  <c r="AW25" i="4"/>
  <c r="AV25" i="4"/>
  <c r="AT25" i="4"/>
  <c r="AS25" i="4"/>
  <c r="AR25" i="4"/>
  <c r="AQ25" i="4"/>
  <c r="AP25" i="4"/>
  <c r="AN25" i="4"/>
  <c r="AL25" i="4"/>
  <c r="AK25" i="4"/>
  <c r="AJ25" i="4"/>
  <c r="AI25" i="4"/>
  <c r="AH25" i="4"/>
  <c r="N25" i="4"/>
  <c r="M25" i="4"/>
  <c r="L25" i="4"/>
  <c r="K25" i="4"/>
  <c r="DD25" i="4" s="1"/>
  <c r="J25" i="4"/>
  <c r="I25" i="4"/>
  <c r="DB25" i="4" s="1"/>
  <c r="H25" i="4"/>
  <c r="G25" i="4"/>
  <c r="F25" i="4"/>
  <c r="D25" i="4"/>
  <c r="C25" i="4"/>
  <c r="B25" i="4"/>
  <c r="A25" i="4"/>
  <c r="CX24" i="4"/>
  <c r="BU24" i="4"/>
  <c r="BT24" i="4"/>
  <c r="BQ24" i="4" a="1"/>
  <c r="BQ24" i="4" s="1"/>
  <c r="DJ24" i="4" s="1"/>
  <c r="BP24" i="4" a="1"/>
  <c r="BP24" i="4"/>
  <c r="BO24" i="4" a="1"/>
  <c r="BO24" i="4" s="1"/>
  <c r="DE24" i="4" s="1"/>
  <c r="BN24" i="4" a="1"/>
  <c r="BN24" i="4" s="1"/>
  <c r="BM24" i="4" a="1"/>
  <c r="BM24" i="4"/>
  <c r="BL24" i="4" a="1"/>
  <c r="BL24" i="4" s="1"/>
  <c r="DD24" i="4" s="1"/>
  <c r="BK24" i="4" a="1"/>
  <c r="BK24" i="4"/>
  <c r="BJ24" i="4" a="1"/>
  <c r="BJ24" i="4" s="1"/>
  <c r="BI24" i="4" a="1"/>
  <c r="BI24" i="4" s="1"/>
  <c r="BH24" i="4" a="1"/>
  <c r="BH24" i="4" s="1"/>
  <c r="BG24" i="4" a="1"/>
  <c r="BG24" i="4" s="1"/>
  <c r="BF24" i="4" a="1"/>
  <c r="BF24" i="4" s="1"/>
  <c r="DB24" i="4" s="1"/>
  <c r="BE24" i="4" a="1"/>
  <c r="BE24" i="4"/>
  <c r="BD24" i="4" a="1"/>
  <c r="BD24" i="4" s="1"/>
  <c r="BC24" i="4" a="1"/>
  <c r="BC24" i="4"/>
  <c r="BB24" i="4" a="1"/>
  <c r="BB24" i="4" s="1"/>
  <c r="BA24" i="4" a="1"/>
  <c r="BA24" i="4"/>
  <c r="AZ24" i="4" a="1"/>
  <c r="AZ24" i="4"/>
  <c r="CZ24" i="4" s="1"/>
  <c r="AY24" i="4" a="1"/>
  <c r="AY24" i="4" s="1"/>
  <c r="DH24" i="4" s="1"/>
  <c r="AW24" i="4"/>
  <c r="AV24" i="4"/>
  <c r="AT24" i="4"/>
  <c r="AS24" i="4"/>
  <c r="AR24" i="4"/>
  <c r="AQ24" i="4"/>
  <c r="AP24" i="4"/>
  <c r="AN24" i="4"/>
  <c r="AL24" i="4"/>
  <c r="AK24" i="4"/>
  <c r="AJ24" i="4"/>
  <c r="AI24" i="4"/>
  <c r="AH24" i="4"/>
  <c r="N24" i="4"/>
  <c r="M24" i="4"/>
  <c r="L24" i="4"/>
  <c r="K24" i="4"/>
  <c r="J24" i="4"/>
  <c r="DC24" i="4" s="1"/>
  <c r="I24" i="4"/>
  <c r="H24" i="4"/>
  <c r="G24" i="4"/>
  <c r="F24" i="4"/>
  <c r="D24" i="4"/>
  <c r="C24" i="4"/>
  <c r="B24" i="4"/>
  <c r="A24" i="4"/>
  <c r="DE23" i="4"/>
  <c r="DA23" i="4"/>
  <c r="CX23" i="4"/>
  <c r="BU23" i="4"/>
  <c r="BT23" i="4"/>
  <c r="BQ23" i="4" a="1"/>
  <c r="BQ23" i="4"/>
  <c r="DJ23" i="4" s="1"/>
  <c r="BP23" i="4" a="1"/>
  <c r="BP23" i="4" s="1"/>
  <c r="BO23" i="4" a="1"/>
  <c r="BO23" i="4"/>
  <c r="BN23" i="4" a="1"/>
  <c r="BN23" i="4" s="1"/>
  <c r="BM23" i="4" a="1"/>
  <c r="BM23" i="4" s="1"/>
  <c r="BL23" i="4" a="1"/>
  <c r="BL23" i="4" s="1"/>
  <c r="DD23" i="4" s="1"/>
  <c r="BK23" i="4" a="1"/>
  <c r="BK23" i="4"/>
  <c r="BJ23" i="4" a="1"/>
  <c r="BJ23" i="4" s="1"/>
  <c r="BI23" i="4" a="1"/>
  <c r="BI23" i="4"/>
  <c r="BH23" i="4" a="1"/>
  <c r="BH23" i="4" s="1"/>
  <c r="DC23" i="4" s="1"/>
  <c r="BG23" i="4" a="1"/>
  <c r="BG23" i="4"/>
  <c r="BF23" i="4" a="1"/>
  <c r="BF23" i="4"/>
  <c r="BE23" i="4" a="1"/>
  <c r="BE23" i="4" s="1"/>
  <c r="BD23" i="4" a="1"/>
  <c r="BD23" i="4" s="1"/>
  <c r="BC23" i="4" a="1"/>
  <c r="BC23" i="4" s="1"/>
  <c r="BB23" i="4" a="1"/>
  <c r="BB23" i="4"/>
  <c r="BA23" i="4" a="1"/>
  <c r="BA23" i="4" s="1"/>
  <c r="DI23" i="4" s="1"/>
  <c r="AZ23" i="4" a="1"/>
  <c r="AZ23" i="4" s="1"/>
  <c r="AY23" i="4" a="1"/>
  <c r="AY23" i="4" s="1"/>
  <c r="DH23" i="4" s="1"/>
  <c r="AW23" i="4"/>
  <c r="AV23" i="4"/>
  <c r="AT23" i="4"/>
  <c r="AS23" i="4"/>
  <c r="AR23" i="4"/>
  <c r="AQ23" i="4"/>
  <c r="AP23" i="4"/>
  <c r="AN23" i="4"/>
  <c r="AL23" i="4"/>
  <c r="AK23" i="4"/>
  <c r="AJ23" i="4"/>
  <c r="AI23" i="4"/>
  <c r="AH23" i="4"/>
  <c r="N23" i="4"/>
  <c r="M23" i="4"/>
  <c r="DF23" i="4" s="1"/>
  <c r="L23" i="4"/>
  <c r="K23" i="4"/>
  <c r="J23" i="4"/>
  <c r="I23" i="4"/>
  <c r="DB23" i="4" s="1"/>
  <c r="H23" i="4"/>
  <c r="G23" i="4"/>
  <c r="CZ23" i="4" s="1"/>
  <c r="F23" i="4"/>
  <c r="D23" i="4"/>
  <c r="C23" i="4"/>
  <c r="B23" i="4"/>
  <c r="A23" i="4"/>
  <c r="DE22" i="4"/>
  <c r="CZ22" i="4"/>
  <c r="CX22" i="4"/>
  <c r="BU22" i="4"/>
  <c r="BT22" i="4"/>
  <c r="BQ22" i="4" a="1"/>
  <c r="BQ22" i="4"/>
  <c r="DJ22" i="4" s="1"/>
  <c r="BP22" i="4" a="1"/>
  <c r="BP22" i="4" s="1"/>
  <c r="BO22" i="4" a="1"/>
  <c r="BO22" i="4" s="1"/>
  <c r="BN22" i="4" a="1"/>
  <c r="BN22" i="4"/>
  <c r="BM22" i="4" a="1"/>
  <c r="BM22" i="4"/>
  <c r="BL22" i="4" a="1"/>
  <c r="BL22" i="4" s="1"/>
  <c r="BK22" i="4" a="1"/>
  <c r="BK22" i="4"/>
  <c r="BJ22" i="4" a="1"/>
  <c r="BJ22" i="4" s="1"/>
  <c r="BI22" i="4" a="1"/>
  <c r="BI22" i="4"/>
  <c r="BH22" i="4" a="1"/>
  <c r="BH22" i="4" s="1"/>
  <c r="DC22" i="4" s="1"/>
  <c r="BG22" i="4" a="1"/>
  <c r="BG22" i="4" s="1"/>
  <c r="BF22" i="4" a="1"/>
  <c r="BF22" i="4" s="1"/>
  <c r="BE22" i="4" a="1"/>
  <c r="BE22" i="4"/>
  <c r="BD22" i="4" a="1"/>
  <c r="BD22" i="4"/>
  <c r="DA22" i="4" s="1"/>
  <c r="BC22" i="4" a="1"/>
  <c r="BC22" i="4"/>
  <c r="BB22" i="4" a="1"/>
  <c r="BB22" i="4" s="1"/>
  <c r="BA22" i="4" a="1"/>
  <c r="BA22" i="4"/>
  <c r="DI22" i="4" s="1"/>
  <c r="AZ22" i="4" a="1"/>
  <c r="AZ22" i="4" s="1"/>
  <c r="AY22" i="4" a="1"/>
  <c r="AY22" i="4" s="1"/>
  <c r="DH22" i="4" s="1"/>
  <c r="AW22" i="4"/>
  <c r="AV22" i="4"/>
  <c r="AT22" i="4"/>
  <c r="AS22" i="4"/>
  <c r="AR22" i="4"/>
  <c r="AQ22" i="4"/>
  <c r="AP22" i="4"/>
  <c r="AN22" i="4"/>
  <c r="AL22" i="4"/>
  <c r="AK22" i="4"/>
  <c r="AJ22" i="4"/>
  <c r="AI22" i="4"/>
  <c r="AH22" i="4"/>
  <c r="N22" i="4"/>
  <c r="M22" i="4"/>
  <c r="DF22" i="4" s="1"/>
  <c r="L22" i="4"/>
  <c r="K22" i="4"/>
  <c r="DD22" i="4" s="1"/>
  <c r="J22" i="4"/>
  <c r="I22" i="4"/>
  <c r="H22" i="4"/>
  <c r="G22" i="4"/>
  <c r="F22" i="4"/>
  <c r="D22" i="4"/>
  <c r="C22" i="4"/>
  <c r="B22" i="4"/>
  <c r="A22" i="4"/>
  <c r="DC21" i="4"/>
  <c r="CX21" i="4"/>
  <c r="BU21" i="4"/>
  <c r="BT21" i="4"/>
  <c r="BQ21" i="4" a="1"/>
  <c r="BQ21" i="4"/>
  <c r="BP21" i="4" a="1"/>
  <c r="BP21" i="4"/>
  <c r="BO21" i="4" a="1"/>
  <c r="BO21" i="4" s="1"/>
  <c r="DE21" i="4" s="1"/>
  <c r="BN21" i="4" a="1"/>
  <c r="BN21" i="4" s="1"/>
  <c r="BM21" i="4" a="1"/>
  <c r="BM21" i="4" s="1"/>
  <c r="BL21" i="4" a="1"/>
  <c r="BL21" i="4" s="1"/>
  <c r="BK21" i="4" a="1"/>
  <c r="BK21" i="4" s="1"/>
  <c r="BJ21" i="4" a="1"/>
  <c r="BJ21" i="4"/>
  <c r="BI21" i="4" a="1"/>
  <c r="BI21" i="4" s="1"/>
  <c r="BH21" i="4" a="1"/>
  <c r="BH21" i="4" s="1"/>
  <c r="BG21" i="4" a="1"/>
  <c r="BG21" i="4" s="1"/>
  <c r="BF21" i="4" a="1"/>
  <c r="BF21" i="4"/>
  <c r="BE21" i="4" a="1"/>
  <c r="BE21" i="4"/>
  <c r="BD21" i="4" a="1"/>
  <c r="BD21" i="4"/>
  <c r="DA21" i="4" s="1"/>
  <c r="BC21" i="4" a="1"/>
  <c r="BC21" i="4"/>
  <c r="BB21" i="4" a="1"/>
  <c r="BB21" i="4" s="1"/>
  <c r="BA21" i="4" a="1"/>
  <c r="BA21" i="4"/>
  <c r="DI21" i="4" s="1"/>
  <c r="AZ21" i="4" a="1"/>
  <c r="AZ21" i="4" s="1"/>
  <c r="AY21" i="4" a="1"/>
  <c r="AY21" i="4" s="1"/>
  <c r="DH21" i="4" s="1"/>
  <c r="AW21" i="4"/>
  <c r="AV21" i="4"/>
  <c r="AT21" i="4"/>
  <c r="AS21" i="4"/>
  <c r="AR21" i="4"/>
  <c r="AQ21" i="4"/>
  <c r="AP21" i="4"/>
  <c r="AN21" i="4"/>
  <c r="AL21" i="4"/>
  <c r="AK21" i="4"/>
  <c r="AJ21" i="4"/>
  <c r="AI21" i="4"/>
  <c r="AH21" i="4"/>
  <c r="N21" i="4"/>
  <c r="M21" i="4"/>
  <c r="DF21" i="4" s="1"/>
  <c r="L21" i="4"/>
  <c r="K21" i="4"/>
  <c r="DD21" i="4" s="1"/>
  <c r="J21" i="4"/>
  <c r="I21" i="4"/>
  <c r="DB21" i="4" s="1"/>
  <c r="H21" i="4"/>
  <c r="G21" i="4"/>
  <c r="CZ21" i="4" s="1"/>
  <c r="F21" i="4"/>
  <c r="D21" i="4"/>
  <c r="C21" i="4"/>
  <c r="B21" i="4"/>
  <c r="A21" i="4"/>
  <c r="CX20" i="4"/>
  <c r="BU20" i="4"/>
  <c r="BT20" i="4"/>
  <c r="BQ20" i="4" a="1"/>
  <c r="BQ20" i="4" s="1"/>
  <c r="BP20" i="4" a="1"/>
  <c r="BP20" i="4" s="1"/>
  <c r="BO20" i="4" a="1"/>
  <c r="BO20" i="4"/>
  <c r="BN20" i="4" a="1"/>
  <c r="BN20" i="4"/>
  <c r="BM20" i="4" a="1"/>
  <c r="BM20" i="4" s="1"/>
  <c r="BL20" i="4" a="1"/>
  <c r="BL20" i="4"/>
  <c r="DD20" i="4" s="1"/>
  <c r="BK20" i="4" a="1"/>
  <c r="BK20" i="4"/>
  <c r="BJ20" i="4" a="1"/>
  <c r="BJ20" i="4" s="1"/>
  <c r="BI20" i="4" a="1"/>
  <c r="BI20" i="4"/>
  <c r="BH20" i="4" a="1"/>
  <c r="BH20" i="4" s="1"/>
  <c r="BG20" i="4" a="1"/>
  <c r="BG20" i="4"/>
  <c r="BF20" i="4" a="1"/>
  <c r="BF20" i="4" s="1"/>
  <c r="DB20" i="4" s="1"/>
  <c r="BE20" i="4" a="1"/>
  <c r="BE20" i="4" s="1"/>
  <c r="BD20" i="4" a="1"/>
  <c r="BD20" i="4" s="1"/>
  <c r="DA20" i="4" s="1"/>
  <c r="BC20" i="4" a="1"/>
  <c r="BC20" i="4" s="1"/>
  <c r="BB20" i="4" a="1"/>
  <c r="BB20" i="4"/>
  <c r="BA20" i="4" a="1"/>
  <c r="BA20" i="4"/>
  <c r="AZ20" i="4" a="1"/>
  <c r="AZ20" i="4" s="1"/>
  <c r="CZ20" i="4" s="1"/>
  <c r="AY20" i="4" a="1"/>
  <c r="AY20" i="4"/>
  <c r="DH20" i="4" s="1"/>
  <c r="AW20" i="4"/>
  <c r="AV20" i="4"/>
  <c r="AT20" i="4"/>
  <c r="AS20" i="4"/>
  <c r="AR20" i="4"/>
  <c r="AQ20" i="4"/>
  <c r="AP20" i="4"/>
  <c r="AN20" i="4"/>
  <c r="AL20" i="4"/>
  <c r="AK20" i="4"/>
  <c r="AJ20" i="4"/>
  <c r="AI20" i="4"/>
  <c r="AH20" i="4"/>
  <c r="N20" i="4"/>
  <c r="M20" i="4"/>
  <c r="L20" i="4"/>
  <c r="DE20" i="4" s="1"/>
  <c r="K20" i="4"/>
  <c r="J20" i="4"/>
  <c r="DC20" i="4" s="1"/>
  <c r="I20" i="4"/>
  <c r="H20" i="4"/>
  <c r="G20" i="4"/>
  <c r="F20" i="4"/>
  <c r="D20" i="4"/>
  <c r="C20" i="4"/>
  <c r="B20" i="4"/>
  <c r="A20" i="4"/>
  <c r="CZ19" i="4"/>
  <c r="CX19" i="4"/>
  <c r="BU19" i="4"/>
  <c r="BT19" i="4"/>
  <c r="BQ19" i="4" a="1"/>
  <c r="BQ19" i="4" s="1"/>
  <c r="DJ19" i="4" s="1"/>
  <c r="BP19" i="4" a="1"/>
  <c r="BP19" i="4" s="1"/>
  <c r="BO19" i="4" a="1"/>
  <c r="BO19" i="4" s="1"/>
  <c r="BN19" i="4" a="1"/>
  <c r="BN19" i="4"/>
  <c r="BM19" i="4" a="1"/>
  <c r="BM19" i="4" s="1"/>
  <c r="BL19" i="4" a="1"/>
  <c r="BL19" i="4" s="1"/>
  <c r="DD19" i="4" s="1"/>
  <c r="BK19" i="4" a="1"/>
  <c r="BK19" i="4"/>
  <c r="BJ19" i="4" a="1"/>
  <c r="BJ19" i="4" s="1"/>
  <c r="BI19" i="4" a="1"/>
  <c r="BI19" i="4"/>
  <c r="BH19" i="4" a="1"/>
  <c r="BH19" i="4"/>
  <c r="BG19" i="4" a="1"/>
  <c r="BG19" i="4" s="1"/>
  <c r="BF19" i="4" a="1"/>
  <c r="BF19" i="4" s="1"/>
  <c r="BE19" i="4" a="1"/>
  <c r="BE19" i="4" s="1"/>
  <c r="BD19" i="4" a="1"/>
  <c r="BD19" i="4" s="1"/>
  <c r="DA19" i="4" s="1"/>
  <c r="BC19" i="4" a="1"/>
  <c r="BC19" i="4" s="1"/>
  <c r="BB19" i="4" a="1"/>
  <c r="BB19" i="4" s="1"/>
  <c r="BA19" i="4" a="1"/>
  <c r="BA19" i="4"/>
  <c r="DI19" i="4" s="1"/>
  <c r="AZ19" i="4" a="1"/>
  <c r="AZ19" i="4" s="1"/>
  <c r="AY19" i="4" a="1"/>
  <c r="AY19" i="4"/>
  <c r="DH19" i="4" s="1"/>
  <c r="AW19" i="4"/>
  <c r="AV19" i="4"/>
  <c r="AT19" i="4"/>
  <c r="AS19" i="4"/>
  <c r="AR19" i="4"/>
  <c r="AQ19" i="4"/>
  <c r="AP19" i="4"/>
  <c r="AN19" i="4"/>
  <c r="AL19" i="4"/>
  <c r="AK19" i="4"/>
  <c r="AJ19" i="4"/>
  <c r="AI19" i="4"/>
  <c r="AH19" i="4"/>
  <c r="N19" i="4"/>
  <c r="M19" i="4"/>
  <c r="DF19" i="4" s="1"/>
  <c r="L19" i="4"/>
  <c r="K19" i="4"/>
  <c r="J19" i="4"/>
  <c r="DC19" i="4" s="1"/>
  <c r="I19" i="4"/>
  <c r="DB19" i="4" s="1"/>
  <c r="H19" i="4"/>
  <c r="G19" i="4"/>
  <c r="F19" i="4"/>
  <c r="D19" i="4"/>
  <c r="C19" i="4"/>
  <c r="B19" i="4"/>
  <c r="A19" i="4"/>
  <c r="DB18" i="4"/>
  <c r="CX18" i="4"/>
  <c r="BU18" i="4"/>
  <c r="BT18" i="4"/>
  <c r="BQ18" i="4" a="1"/>
  <c r="BQ18" i="4" s="1"/>
  <c r="BP18" i="4" a="1"/>
  <c r="BP18" i="4" s="1"/>
  <c r="BO18" i="4" a="1"/>
  <c r="BO18" i="4" s="1"/>
  <c r="DE18" i="4" s="1"/>
  <c r="BN18" i="4" a="1"/>
  <c r="BN18" i="4" s="1"/>
  <c r="BM18" i="4" a="1"/>
  <c r="BM18" i="4" s="1"/>
  <c r="BL18" i="4" a="1"/>
  <c r="BL18" i="4" s="1"/>
  <c r="BK18" i="4" a="1"/>
  <c r="BK18" i="4"/>
  <c r="BJ18" i="4" a="1"/>
  <c r="BJ18" i="4"/>
  <c r="BI18" i="4" a="1"/>
  <c r="BI18" i="4"/>
  <c r="BH18" i="4" a="1"/>
  <c r="BH18" i="4" s="1"/>
  <c r="BG18" i="4" a="1"/>
  <c r="BG18" i="4" s="1"/>
  <c r="BF18" i="4" a="1"/>
  <c r="BF18" i="4"/>
  <c r="BE18" i="4" a="1"/>
  <c r="BE18" i="4" s="1"/>
  <c r="BD18" i="4" a="1"/>
  <c r="BD18" i="4" s="1"/>
  <c r="BC18" i="4" a="1"/>
  <c r="BC18" i="4" s="1"/>
  <c r="BB18" i="4" a="1"/>
  <c r="BB18" i="4" s="1"/>
  <c r="BA18" i="4" a="1"/>
  <c r="BA18" i="4"/>
  <c r="DI18" i="4" s="1"/>
  <c r="AZ18" i="4" a="1"/>
  <c r="AZ18" i="4" s="1"/>
  <c r="AY18" i="4" a="1"/>
  <c r="AY18" i="4" s="1"/>
  <c r="DH18" i="4" s="1"/>
  <c r="AW18" i="4"/>
  <c r="AV18" i="4"/>
  <c r="AT18" i="4"/>
  <c r="AS18" i="4"/>
  <c r="AR18" i="4"/>
  <c r="AQ18" i="4"/>
  <c r="AP18" i="4"/>
  <c r="AN18" i="4"/>
  <c r="AL18" i="4"/>
  <c r="AK18" i="4"/>
  <c r="AJ18" i="4"/>
  <c r="AI18" i="4"/>
  <c r="AH18" i="4"/>
  <c r="N18" i="4"/>
  <c r="M18" i="4"/>
  <c r="L18" i="4"/>
  <c r="K18" i="4"/>
  <c r="J18" i="4"/>
  <c r="DC18" i="4" s="1"/>
  <c r="I18" i="4"/>
  <c r="H18" i="4"/>
  <c r="G18" i="4"/>
  <c r="CZ18" i="4" s="1"/>
  <c r="F18" i="4"/>
  <c r="D18" i="4"/>
  <c r="C18" i="4"/>
  <c r="B18" i="4"/>
  <c r="A18" i="4"/>
  <c r="DF17" i="4"/>
  <c r="DA17" i="4"/>
  <c r="CX17" i="4"/>
  <c r="BU17" i="4"/>
  <c r="BT17" i="4"/>
  <c r="BQ17" i="4" a="1"/>
  <c r="BQ17" i="4"/>
  <c r="BP17" i="4" a="1"/>
  <c r="BP17" i="4" s="1"/>
  <c r="BO17" i="4" a="1"/>
  <c r="BO17" i="4" s="1"/>
  <c r="DE17" i="4" s="1"/>
  <c r="BN17" i="4" a="1"/>
  <c r="BN17" i="4"/>
  <c r="BM17" i="4" a="1"/>
  <c r="BM17" i="4"/>
  <c r="BL17" i="4" a="1"/>
  <c r="BL17" i="4"/>
  <c r="DD17" i="4" s="1"/>
  <c r="BK17" i="4" a="1"/>
  <c r="BK17" i="4" s="1"/>
  <c r="BJ17" i="4" a="1"/>
  <c r="BJ17" i="4" s="1"/>
  <c r="BI17" i="4" a="1"/>
  <c r="BI17" i="4"/>
  <c r="BH17" i="4" a="1"/>
  <c r="BH17" i="4"/>
  <c r="BG17" i="4" a="1"/>
  <c r="BG17" i="4"/>
  <c r="BF17" i="4" a="1"/>
  <c r="BF17" i="4" s="1"/>
  <c r="BE17" i="4" a="1"/>
  <c r="BE17" i="4" s="1"/>
  <c r="BD17" i="4" a="1"/>
  <c r="BD17" i="4" s="1"/>
  <c r="BC17" i="4" a="1"/>
  <c r="BC17" i="4" s="1"/>
  <c r="BB17" i="4" a="1"/>
  <c r="BB17" i="4" s="1"/>
  <c r="BA17" i="4" a="1"/>
  <c r="BA17" i="4"/>
  <c r="AZ17" i="4" a="1"/>
  <c r="AZ17" i="4" s="1"/>
  <c r="AA16" i="3" s="1"/>
  <c r="AY17" i="4" a="1"/>
  <c r="AY17" i="4"/>
  <c r="DH17" i="4" s="1"/>
  <c r="AW17" i="4"/>
  <c r="AV17" i="4"/>
  <c r="AT17" i="4"/>
  <c r="AS17" i="4"/>
  <c r="AR17" i="4"/>
  <c r="AQ17" i="4"/>
  <c r="AP17" i="4"/>
  <c r="AN17" i="4"/>
  <c r="AL17" i="4"/>
  <c r="AK17" i="4"/>
  <c r="AJ17" i="4"/>
  <c r="AI17" i="4"/>
  <c r="AH17" i="4"/>
  <c r="N17" i="4"/>
  <c r="M17" i="4"/>
  <c r="L17" i="4"/>
  <c r="K17" i="4"/>
  <c r="J17" i="4"/>
  <c r="DC17" i="4" s="1"/>
  <c r="I17" i="4"/>
  <c r="DB17" i="4" s="1"/>
  <c r="H17" i="4"/>
  <c r="G17" i="4"/>
  <c r="F17" i="4"/>
  <c r="D17" i="4"/>
  <c r="C17" i="4"/>
  <c r="B17" i="4"/>
  <c r="A17" i="4"/>
  <c r="DJ16" i="4"/>
  <c r="DE16" i="4"/>
  <c r="DD16" i="4"/>
  <c r="CX16" i="4"/>
  <c r="CS16" i="4"/>
  <c r="CR16" i="4"/>
  <c r="BU16" i="4"/>
  <c r="BT16" i="4"/>
  <c r="BQ16" i="4" a="1"/>
  <c r="BQ16" i="4"/>
  <c r="DF16" i="4" s="1"/>
  <c r="BP16" i="4" a="1"/>
  <c r="BP16" i="4"/>
  <c r="BO16" i="4" a="1"/>
  <c r="BO16" i="4"/>
  <c r="BN16" i="4" a="1"/>
  <c r="BN16" i="4"/>
  <c r="BM16" i="4" a="1"/>
  <c r="BM16" i="4" s="1"/>
  <c r="BL16" i="4" a="1"/>
  <c r="BL16" i="4" s="1"/>
  <c r="BK16" i="4" a="1"/>
  <c r="BK16" i="4" s="1"/>
  <c r="BJ16" i="4" a="1"/>
  <c r="BJ16" i="4" s="1"/>
  <c r="BI16" i="4" a="1"/>
  <c r="BI16" i="4" s="1"/>
  <c r="BH16" i="4" a="1"/>
  <c r="BH16" i="4" s="1"/>
  <c r="BG16" i="4" a="1"/>
  <c r="BG16" i="4" s="1"/>
  <c r="BF16" i="4" a="1"/>
  <c r="BF16" i="4" s="1"/>
  <c r="BE16" i="4" a="1"/>
  <c r="BE16" i="4" s="1"/>
  <c r="BD16" i="4" a="1"/>
  <c r="BD16" i="4"/>
  <c r="BC16" i="4" a="1"/>
  <c r="BC16" i="4"/>
  <c r="BB16" i="4" a="1"/>
  <c r="BB16" i="4"/>
  <c r="BA16" i="4" a="1"/>
  <c r="BA16" i="4"/>
  <c r="DI16" i="4" s="1"/>
  <c r="AZ16" i="4"/>
  <c r="CZ16" i="4" s="1"/>
  <c r="AY16" i="4" a="1"/>
  <c r="AY16" i="4"/>
  <c r="DH16" i="4" s="1"/>
  <c r="AW16" i="4"/>
  <c r="AV16" i="4"/>
  <c r="AT16" i="4"/>
  <c r="AS16" i="4"/>
  <c r="AR16" i="4"/>
  <c r="AQ16" i="4"/>
  <c r="AP16" i="4"/>
  <c r="AN16" i="4"/>
  <c r="AL16" i="4"/>
  <c r="AK16" i="4"/>
  <c r="AJ16" i="4"/>
  <c r="AI16" i="4"/>
  <c r="AH16" i="4"/>
  <c r="N16" i="4"/>
  <c r="M16" i="4"/>
  <c r="L16" i="4"/>
  <c r="K16" i="4"/>
  <c r="J16" i="4"/>
  <c r="DC16" i="4" s="1"/>
  <c r="I16" i="4"/>
  <c r="DB16" i="4" s="1"/>
  <c r="H16" i="4"/>
  <c r="G16" i="4"/>
  <c r="F16" i="4"/>
  <c r="D16" i="4"/>
  <c r="C16" i="4"/>
  <c r="B16" i="4"/>
  <c r="A16" i="4"/>
  <c r="CX15" i="4"/>
  <c r="BU15" i="4"/>
  <c r="BT15" i="4"/>
  <c r="BQ15" i="4" a="1"/>
  <c r="BQ15" i="4" s="1"/>
  <c r="DJ15" i="4" s="1"/>
  <c r="BP15" i="4" a="1"/>
  <c r="BP15" i="4" s="1"/>
  <c r="BO15" i="4" a="1"/>
  <c r="BO15" i="4" s="1"/>
  <c r="BN15" i="4" a="1"/>
  <c r="BN15" i="4" s="1"/>
  <c r="BM15" i="4" a="1"/>
  <c r="BM15" i="4"/>
  <c r="BL15" i="4" a="1"/>
  <c r="BL15" i="4" s="1"/>
  <c r="DD15" i="4" s="1"/>
  <c r="BK15" i="4" a="1"/>
  <c r="BK15" i="4" s="1"/>
  <c r="BJ15" i="4" a="1"/>
  <c r="BJ15" i="4" s="1"/>
  <c r="BI15" i="4" a="1"/>
  <c r="BI15" i="4" s="1"/>
  <c r="BH15" i="4" a="1"/>
  <c r="BH15" i="4" s="1"/>
  <c r="DC15" i="4" s="1"/>
  <c r="BG15" i="4" a="1"/>
  <c r="BG15" i="4"/>
  <c r="BF15" i="4" a="1"/>
  <c r="BF15" i="4"/>
  <c r="BE15" i="4" a="1"/>
  <c r="BE15" i="4" s="1"/>
  <c r="BD15" i="4" a="1"/>
  <c r="BD15" i="4" s="1"/>
  <c r="BC15" i="4" a="1"/>
  <c r="BC15" i="4" s="1"/>
  <c r="BB15" i="4" a="1"/>
  <c r="BB15" i="4" s="1"/>
  <c r="BA15" i="4" a="1"/>
  <c r="BA15" i="4"/>
  <c r="AZ15" i="4" a="1"/>
  <c r="AZ15" i="4"/>
  <c r="CZ15" i="4" s="1"/>
  <c r="AY15" i="4" a="1"/>
  <c r="AY15" i="4" s="1"/>
  <c r="DH15" i="4" s="1"/>
  <c r="AW15" i="4"/>
  <c r="AV15" i="4"/>
  <c r="AT15" i="4"/>
  <c r="AS15" i="4"/>
  <c r="AR15" i="4"/>
  <c r="AQ15" i="4"/>
  <c r="AP15" i="4"/>
  <c r="AN15" i="4"/>
  <c r="AL15" i="4"/>
  <c r="AK15" i="4"/>
  <c r="AJ15" i="4"/>
  <c r="AI15" i="4"/>
  <c r="AH15" i="4"/>
  <c r="N15" i="4"/>
  <c r="M15" i="4"/>
  <c r="DF15" i="4" s="1"/>
  <c r="L15" i="4"/>
  <c r="K15" i="4"/>
  <c r="J15" i="4"/>
  <c r="I15" i="4"/>
  <c r="H15" i="4"/>
  <c r="DA15" i="4" s="1"/>
  <c r="G15" i="4"/>
  <c r="F15" i="4"/>
  <c r="D15" i="4"/>
  <c r="C15" i="4"/>
  <c r="B15" i="4"/>
  <c r="A15" i="4"/>
  <c r="DF14" i="4"/>
  <c r="CX14" i="4"/>
  <c r="BU14" i="4"/>
  <c r="BT14" i="4"/>
  <c r="BQ14" i="4" a="1"/>
  <c r="BQ14" i="4" s="1"/>
  <c r="BP14" i="4" a="1"/>
  <c r="BP14" i="4"/>
  <c r="BO14" i="4" a="1"/>
  <c r="BO14" i="4"/>
  <c r="BN14" i="4" a="1"/>
  <c r="BN14" i="4"/>
  <c r="BM14" i="4" a="1"/>
  <c r="BM14" i="4" s="1"/>
  <c r="BL14" i="4" a="1"/>
  <c r="BL14" i="4" s="1"/>
  <c r="BK14" i="4" a="1"/>
  <c r="BK14" i="4" s="1"/>
  <c r="BJ14" i="4" a="1"/>
  <c r="BJ14" i="4" s="1"/>
  <c r="BI14" i="4" a="1"/>
  <c r="BI14" i="4"/>
  <c r="BH14" i="4" a="1"/>
  <c r="BH14" i="4" s="1"/>
  <c r="DC14" i="4" s="1"/>
  <c r="BG14" i="4" a="1"/>
  <c r="BG14" i="4" s="1"/>
  <c r="BF14" i="4" a="1"/>
  <c r="BF14" i="4" s="1"/>
  <c r="BE14" i="4" a="1"/>
  <c r="BE14" i="4" s="1"/>
  <c r="BD14" i="4" a="1"/>
  <c r="BD14" i="4"/>
  <c r="DA14" i="4" s="1"/>
  <c r="BC14" i="4" a="1"/>
  <c r="BC14" i="4" s="1"/>
  <c r="BB14" i="4" a="1"/>
  <c r="BB14" i="4"/>
  <c r="BA14" i="4" a="1"/>
  <c r="BA14" i="4" s="1"/>
  <c r="AZ14" i="4" a="1"/>
  <c r="AZ14" i="4" s="1"/>
  <c r="AY14" i="4" a="1"/>
  <c r="AY14" i="4" s="1"/>
  <c r="DH14" i="4" s="1"/>
  <c r="AW14" i="4"/>
  <c r="AV14" i="4"/>
  <c r="AT14" i="4"/>
  <c r="AS14" i="4"/>
  <c r="AR14" i="4"/>
  <c r="AQ14" i="4"/>
  <c r="AP14" i="4"/>
  <c r="AN14" i="4"/>
  <c r="AL14" i="4"/>
  <c r="AK14" i="4"/>
  <c r="AJ14" i="4"/>
  <c r="AI14" i="4"/>
  <c r="AH14" i="4"/>
  <c r="N14" i="4"/>
  <c r="M14" i="4"/>
  <c r="L14" i="4"/>
  <c r="DE14" i="4" s="1"/>
  <c r="K14" i="4"/>
  <c r="DD14" i="4" s="1"/>
  <c r="J14" i="4"/>
  <c r="I14" i="4"/>
  <c r="H14" i="4"/>
  <c r="G14" i="4"/>
  <c r="F14" i="4"/>
  <c r="D14" i="4"/>
  <c r="C14" i="4"/>
  <c r="B14" i="4"/>
  <c r="A14" i="4"/>
  <c r="DE13" i="4"/>
  <c r="CX13" i="4"/>
  <c r="BU13" i="4"/>
  <c r="BT13" i="4"/>
  <c r="BQ13" i="4" a="1"/>
  <c r="BQ13" i="4"/>
  <c r="DJ14" i="4" s="1"/>
  <c r="BP13" i="4" a="1"/>
  <c r="BP13" i="4" s="1"/>
  <c r="BO13" i="4" a="1"/>
  <c r="BO13" i="4" s="1"/>
  <c r="BN13" i="4" a="1"/>
  <c r="BN13" i="4" s="1"/>
  <c r="BM13" i="4" a="1"/>
  <c r="BM13" i="4" s="1"/>
  <c r="BL13" i="4" a="1"/>
  <c r="BL13" i="4"/>
  <c r="BK13" i="4" a="1"/>
  <c r="BK13" i="4"/>
  <c r="BJ13" i="4" a="1"/>
  <c r="BJ13" i="4" s="1"/>
  <c r="BI13" i="4" a="1"/>
  <c r="BI13" i="4" s="1"/>
  <c r="BH13" i="4" a="1"/>
  <c r="BH13" i="4" s="1"/>
  <c r="BG13" i="4" a="1"/>
  <c r="BG13" i="4"/>
  <c r="BF13" i="4" a="1"/>
  <c r="BF13" i="4"/>
  <c r="BE13" i="4" a="1"/>
  <c r="BE13" i="4"/>
  <c r="BD13" i="4" a="1"/>
  <c r="BD13" i="4" s="1"/>
  <c r="BC13" i="4" a="1"/>
  <c r="BC13" i="4" s="1"/>
  <c r="BB13" i="4" a="1"/>
  <c r="BB13" i="4" s="1"/>
  <c r="BA13" i="4" a="1"/>
  <c r="BA13" i="4" s="1"/>
  <c r="DI13" i="4" s="1"/>
  <c r="AZ13" i="4" a="1"/>
  <c r="AZ13" i="4"/>
  <c r="AY13" i="4" a="1"/>
  <c r="AY13" i="4"/>
  <c r="DH13" i="4" s="1"/>
  <c r="AW13" i="4"/>
  <c r="AV13" i="4"/>
  <c r="AT13" i="4"/>
  <c r="AS13" i="4"/>
  <c r="AR13" i="4"/>
  <c r="AQ13" i="4"/>
  <c r="AP13" i="4"/>
  <c r="AN13" i="4"/>
  <c r="AL13" i="4"/>
  <c r="AK13" i="4"/>
  <c r="AJ13" i="4"/>
  <c r="AI13" i="4"/>
  <c r="AH13" i="4"/>
  <c r="N13" i="4"/>
  <c r="M13" i="4"/>
  <c r="DF13" i="4" s="1"/>
  <c r="L13" i="4"/>
  <c r="K13" i="4"/>
  <c r="DD13" i="4" s="1"/>
  <c r="J13" i="4"/>
  <c r="DC13" i="4" s="1"/>
  <c r="I13" i="4"/>
  <c r="DB13" i="4" s="1"/>
  <c r="H13" i="4"/>
  <c r="DA13" i="4" s="1"/>
  <c r="G13" i="4"/>
  <c r="CZ13" i="4" s="1"/>
  <c r="F13" i="4"/>
  <c r="D13" i="4"/>
  <c r="C13" i="4"/>
  <c r="B13" i="4"/>
  <c r="A13" i="4"/>
  <c r="DC12" i="4"/>
  <c r="CX12" i="4"/>
  <c r="BU12" i="4"/>
  <c r="BT12" i="4"/>
  <c r="BQ12" i="4" a="1"/>
  <c r="BQ12" i="4" s="1"/>
  <c r="DJ13" i="4" s="1"/>
  <c r="BP12" i="4" a="1"/>
  <c r="BP12" i="4" s="1"/>
  <c r="BO12" i="4" a="1"/>
  <c r="BO12" i="4"/>
  <c r="BN12" i="4" a="1"/>
  <c r="BN12" i="4"/>
  <c r="BM12" i="4" a="1"/>
  <c r="BM12" i="4"/>
  <c r="BL12" i="4" a="1"/>
  <c r="BL12" i="4" s="1"/>
  <c r="DD12" i="4" s="1"/>
  <c r="BK12" i="4" a="1"/>
  <c r="BK12" i="4" s="1"/>
  <c r="BJ12" i="4" a="1"/>
  <c r="BJ12" i="4" s="1"/>
  <c r="BI12" i="4" a="1"/>
  <c r="BI12" i="4" s="1"/>
  <c r="BH12" i="4" a="1"/>
  <c r="BH12" i="4"/>
  <c r="BG12" i="4" a="1"/>
  <c r="BG12" i="4" s="1"/>
  <c r="BF12" i="4" a="1"/>
  <c r="BF12" i="4"/>
  <c r="BE12" i="4" a="1"/>
  <c r="BE12" i="4" s="1"/>
  <c r="BD12" i="4" a="1"/>
  <c r="BD12" i="4" s="1"/>
  <c r="BC12" i="4" a="1"/>
  <c r="BC12" i="4"/>
  <c r="BB12" i="4" a="1"/>
  <c r="BB12" i="4" s="1"/>
  <c r="BA12" i="4" a="1"/>
  <c r="BA12" i="4"/>
  <c r="DI12" i="4" s="1"/>
  <c r="AZ12" i="4" a="1"/>
  <c r="AZ12" i="4" s="1"/>
  <c r="AA11" i="3" s="1"/>
  <c r="AY12" i="4" a="1"/>
  <c r="AY12" i="4" s="1"/>
  <c r="DH12" i="4" s="1"/>
  <c r="AW12" i="4"/>
  <c r="AV12" i="4"/>
  <c r="AT12" i="4"/>
  <c r="AS12" i="4"/>
  <c r="AR12" i="4"/>
  <c r="AQ12" i="4"/>
  <c r="AP12" i="4"/>
  <c r="AN12" i="4"/>
  <c r="AL12" i="4"/>
  <c r="AK12" i="4"/>
  <c r="AJ12" i="4"/>
  <c r="AI12" i="4"/>
  <c r="AH12" i="4"/>
  <c r="N12" i="4"/>
  <c r="M12" i="4"/>
  <c r="DF12" i="4" s="1"/>
  <c r="L12" i="4"/>
  <c r="DE12" i="4" s="1"/>
  <c r="K12" i="4"/>
  <c r="J12" i="4"/>
  <c r="I12" i="4"/>
  <c r="DB12" i="4" s="1"/>
  <c r="H12" i="4"/>
  <c r="DA12" i="4" s="1"/>
  <c r="G12" i="4"/>
  <c r="F12" i="4"/>
  <c r="D12" i="4"/>
  <c r="C12" i="4"/>
  <c r="B12" i="4"/>
  <c r="A12" i="4"/>
  <c r="CX11" i="4"/>
  <c r="CV11" i="4"/>
  <c r="CU11" i="4"/>
  <c r="BU11" i="4"/>
  <c r="BT11" i="4"/>
  <c r="BQ11" i="4" a="1"/>
  <c r="BQ11" i="4"/>
  <c r="BP11" i="4" a="1"/>
  <c r="BP11" i="4" s="1"/>
  <c r="BO11" i="4" a="1"/>
  <c r="BO11" i="4"/>
  <c r="BN11" i="4" a="1"/>
  <c r="BN11" i="4" s="1"/>
  <c r="BM11" i="4" a="1"/>
  <c r="BM11" i="4" s="1"/>
  <c r="BL11" i="4" a="1"/>
  <c r="BL11" i="4" s="1"/>
  <c r="BK11" i="4" a="1"/>
  <c r="BK11" i="4" s="1"/>
  <c r="BJ11" i="4" a="1"/>
  <c r="BJ11" i="4"/>
  <c r="BI11" i="4" a="1"/>
  <c r="BI11" i="4" s="1"/>
  <c r="BH11" i="4" a="1"/>
  <c r="BH11" i="4"/>
  <c r="DC11" i="4" s="1"/>
  <c r="BG11" i="4" a="1"/>
  <c r="BG11" i="4" s="1"/>
  <c r="BF11" i="4" a="1"/>
  <c r="BF11" i="4" s="1"/>
  <c r="BE11" i="4" a="1"/>
  <c r="BE11" i="4"/>
  <c r="BD11" i="4" a="1"/>
  <c r="BD11" i="4" s="1"/>
  <c r="DA11" i="4" s="1"/>
  <c r="BC11" i="4" a="1"/>
  <c r="BC11" i="4"/>
  <c r="BB11" i="4" a="1"/>
  <c r="BB11" i="4" s="1"/>
  <c r="BA11" i="4" a="1"/>
  <c r="BA11" i="4" s="1"/>
  <c r="AZ11" i="4" a="1"/>
  <c r="AZ11" i="4" s="1"/>
  <c r="AY11" i="4" a="1"/>
  <c r="AY11" i="4" s="1"/>
  <c r="DH11" i="4" s="1"/>
  <c r="AW11" i="4"/>
  <c r="AV11" i="4"/>
  <c r="AT11" i="4"/>
  <c r="AS11" i="4"/>
  <c r="AR11" i="4"/>
  <c r="AQ11" i="4"/>
  <c r="AP11" i="4"/>
  <c r="AN11" i="4"/>
  <c r="AL11" i="4"/>
  <c r="AK11" i="4"/>
  <c r="AJ11" i="4"/>
  <c r="AI11" i="4"/>
  <c r="AH11" i="4"/>
  <c r="N11" i="4"/>
  <c r="M11" i="4"/>
  <c r="DF11" i="4" s="1"/>
  <c r="L11" i="4"/>
  <c r="DE11" i="4" s="1"/>
  <c r="K11" i="4"/>
  <c r="J11" i="4"/>
  <c r="I11" i="4"/>
  <c r="H11" i="4"/>
  <c r="G11" i="4"/>
  <c r="CZ11" i="4" s="1"/>
  <c r="F11" i="4"/>
  <c r="D11" i="4"/>
  <c r="C11" i="4"/>
  <c r="B11" i="4"/>
  <c r="A11" i="4"/>
  <c r="CX10" i="4"/>
  <c r="BU10" i="4"/>
  <c r="BT10" i="4"/>
  <c r="BQ10" i="4" a="1"/>
  <c r="BQ10" i="4"/>
  <c r="DJ10" i="4" s="1"/>
  <c r="BP10" i="4" a="1"/>
  <c r="BP10" i="4" s="1"/>
  <c r="BO10" i="4" a="1"/>
  <c r="BO10" i="4" s="1"/>
  <c r="DE10" i="4" s="1"/>
  <c r="BN10" i="4" a="1"/>
  <c r="BN10" i="4" s="1"/>
  <c r="BM10" i="4" a="1"/>
  <c r="BM10" i="4" s="1"/>
  <c r="BL10" i="4" a="1"/>
  <c r="BL10" i="4"/>
  <c r="BK10" i="4" a="1"/>
  <c r="BK10" i="4" s="1"/>
  <c r="BJ10" i="4" a="1"/>
  <c r="BJ10" i="4"/>
  <c r="BI10" i="4" a="1"/>
  <c r="BI10" i="4" s="1"/>
  <c r="BH10" i="4" a="1"/>
  <c r="BH10" i="4" s="1"/>
  <c r="BG10" i="4" a="1"/>
  <c r="BG10" i="4"/>
  <c r="BF10" i="4" a="1"/>
  <c r="BF10" i="4" s="1"/>
  <c r="DB10" i="4" s="1"/>
  <c r="BE10" i="4" a="1"/>
  <c r="BE10" i="4"/>
  <c r="BD10" i="4" a="1"/>
  <c r="BD10" i="4" s="1"/>
  <c r="DA10" i="4" s="1"/>
  <c r="BC10" i="4" a="1"/>
  <c r="BC10" i="4" s="1"/>
  <c r="BB10" i="4" a="1"/>
  <c r="BB10" i="4" s="1"/>
  <c r="BA10" i="4" a="1"/>
  <c r="BA10" i="4" s="1"/>
  <c r="AZ10" i="4" a="1"/>
  <c r="AZ10" i="4"/>
  <c r="AY10" i="4" a="1"/>
  <c r="AY10" i="4" s="1"/>
  <c r="DH10" i="4" s="1"/>
  <c r="AW10" i="4"/>
  <c r="AV10" i="4"/>
  <c r="AT10" i="4"/>
  <c r="AS10" i="4"/>
  <c r="AR10" i="4"/>
  <c r="AQ10" i="4"/>
  <c r="AP10" i="4"/>
  <c r="AN10" i="4"/>
  <c r="AL10" i="4"/>
  <c r="AK10" i="4"/>
  <c r="AJ10" i="4"/>
  <c r="AI10" i="4"/>
  <c r="AH10" i="4"/>
  <c r="N10" i="4"/>
  <c r="M10" i="4"/>
  <c r="L10" i="4"/>
  <c r="K10" i="4"/>
  <c r="DD10" i="4" s="1"/>
  <c r="J10" i="4"/>
  <c r="DC10" i="4" s="1"/>
  <c r="I10" i="4"/>
  <c r="H10" i="4"/>
  <c r="G10" i="4"/>
  <c r="CZ10" i="4" s="1"/>
  <c r="F10" i="4"/>
  <c r="D10" i="4"/>
  <c r="C10" i="4"/>
  <c r="B10" i="4"/>
  <c r="A10" i="4"/>
  <c r="DG9" i="4" a="1"/>
  <c r="DG9" i="4" s="1"/>
  <c r="CX9" i="4"/>
  <c r="CT9" i="4"/>
  <c r="CS9" i="4"/>
  <c r="BU9" i="4"/>
  <c r="BT9" i="4"/>
  <c r="BQ9" i="4" a="1"/>
  <c r="BQ9" i="4" s="1"/>
  <c r="DJ9" i="4" s="1"/>
  <c r="BP9" i="4" a="1"/>
  <c r="BP9" i="4" s="1"/>
  <c r="BO9" i="4" a="1"/>
  <c r="BO9" i="4" s="1"/>
  <c r="DE9" i="4" s="1"/>
  <c r="BN9" i="4" a="1"/>
  <c r="BN9" i="4"/>
  <c r="BM9" i="4" a="1"/>
  <c r="BM9" i="4"/>
  <c r="BL9" i="4" a="1"/>
  <c r="BL9" i="4"/>
  <c r="BK9" i="4" a="1"/>
  <c r="BK9" i="4" s="1"/>
  <c r="BJ9" i="4" a="1"/>
  <c r="BJ9" i="4" s="1"/>
  <c r="BI9" i="4" a="1"/>
  <c r="BI9" i="4"/>
  <c r="BH9" i="4" a="1"/>
  <c r="BH9" i="4" s="1"/>
  <c r="BG9" i="4" a="1"/>
  <c r="BG9" i="4"/>
  <c r="BF9" i="4" a="1"/>
  <c r="BF9" i="4"/>
  <c r="DB9" i="4" s="1"/>
  <c r="BE9" i="4" a="1"/>
  <c r="BE9" i="4" s="1"/>
  <c r="BD9" i="4" a="1"/>
  <c r="BD9" i="4" s="1"/>
  <c r="DA9" i="4" s="1"/>
  <c r="BC9" i="4" a="1"/>
  <c r="BC9" i="4" s="1"/>
  <c r="BB9" i="4" a="1"/>
  <c r="BB9" i="4"/>
  <c r="BA9" i="4" a="1"/>
  <c r="BA9" i="4" s="1"/>
  <c r="DI9" i="4" s="1"/>
  <c r="AZ9" i="4" a="1"/>
  <c r="AZ9" i="4"/>
  <c r="AY9" i="4" a="1"/>
  <c r="AY9" i="4" s="1"/>
  <c r="DH9" i="4" s="1"/>
  <c r="AW9" i="4"/>
  <c r="AV9" i="4"/>
  <c r="AT9" i="4"/>
  <c r="AS9" i="4"/>
  <c r="AR9" i="4"/>
  <c r="AQ9" i="4"/>
  <c r="AP9" i="4"/>
  <c r="AN9" i="4"/>
  <c r="AL9" i="4"/>
  <c r="AK9" i="4"/>
  <c r="AJ9" i="4"/>
  <c r="AI9" i="4"/>
  <c r="AH9" i="4"/>
  <c r="N9" i="4"/>
  <c r="M9" i="4"/>
  <c r="DF9" i="4" s="1"/>
  <c r="L9" i="4"/>
  <c r="K9" i="4"/>
  <c r="DD9" i="4" s="1"/>
  <c r="J9" i="4"/>
  <c r="DC9" i="4" s="1"/>
  <c r="I9" i="4"/>
  <c r="H9" i="4"/>
  <c r="G9" i="4"/>
  <c r="CZ9" i="4" s="1"/>
  <c r="F9" i="4"/>
  <c r="D9" i="4"/>
  <c r="C9" i="4"/>
  <c r="B9" i="4"/>
  <c r="A9" i="4"/>
  <c r="DA8" i="4"/>
  <c r="CX8" i="4"/>
  <c r="BU8" i="4"/>
  <c r="BT8" i="4"/>
  <c r="BQ8" i="4" a="1"/>
  <c r="BQ8" i="4"/>
  <c r="DJ8" i="4" s="1"/>
  <c r="BP8" i="4" a="1"/>
  <c r="BP8" i="4"/>
  <c r="BO8" i="4" a="1"/>
  <c r="BO8" i="4" s="1"/>
  <c r="BN8" i="4" a="1"/>
  <c r="BN8" i="4"/>
  <c r="BM8" i="4" a="1"/>
  <c r="BM8" i="4" s="1"/>
  <c r="BL8" i="4" a="1"/>
  <c r="BL8" i="4" s="1"/>
  <c r="BK8" i="4" a="1"/>
  <c r="BK8" i="4"/>
  <c r="BJ8" i="4" a="1"/>
  <c r="BJ8" i="4"/>
  <c r="BI8" i="4" a="1"/>
  <c r="BI8" i="4"/>
  <c r="BH8" i="4" a="1"/>
  <c r="BH8" i="4" s="1"/>
  <c r="DC8" i="4" s="1"/>
  <c r="BG8" i="4" a="1"/>
  <c r="BG8" i="4" s="1"/>
  <c r="BF8" i="4" a="1"/>
  <c r="BF8" i="4" s="1"/>
  <c r="BE8" i="4" a="1"/>
  <c r="BE8" i="4" s="1"/>
  <c r="BD8" i="4" a="1"/>
  <c r="BD8" i="4"/>
  <c r="BC8" i="4" a="1"/>
  <c r="BC8" i="4"/>
  <c r="BB8" i="4" a="1"/>
  <c r="BB8" i="4"/>
  <c r="BA8" i="4" a="1"/>
  <c r="BA8" i="4" s="1"/>
  <c r="DI8" i="4" s="1"/>
  <c r="AZ8" i="4" a="1"/>
  <c r="AZ8" i="4" s="1"/>
  <c r="AY8" i="4" a="1"/>
  <c r="AY8" i="4"/>
  <c r="DH8" i="4" s="1"/>
  <c r="AW8" i="4"/>
  <c r="AV8" i="4"/>
  <c r="AT8" i="4"/>
  <c r="AS8" i="4"/>
  <c r="AR8" i="4"/>
  <c r="AQ8" i="4"/>
  <c r="AP8" i="4"/>
  <c r="AN8" i="4"/>
  <c r="AL8" i="4"/>
  <c r="AK8" i="4"/>
  <c r="AJ8" i="4"/>
  <c r="AI8" i="4"/>
  <c r="AH8" i="4"/>
  <c r="N8" i="4"/>
  <c r="M8" i="4"/>
  <c r="DF8" i="4" s="1"/>
  <c r="L8" i="4"/>
  <c r="DE8" i="4" s="1"/>
  <c r="K8" i="4"/>
  <c r="DD8" i="4" s="1"/>
  <c r="J8" i="4"/>
  <c r="I8" i="4"/>
  <c r="DB8" i="4" s="1"/>
  <c r="H8" i="4"/>
  <c r="G8" i="4"/>
  <c r="CZ8" i="4" s="1"/>
  <c r="F8" i="4"/>
  <c r="D8" i="4"/>
  <c r="C8" i="4"/>
  <c r="B8" i="4"/>
  <c r="A8" i="4"/>
  <c r="CX7" i="4"/>
  <c r="CW7" i="4"/>
  <c r="CV7" i="4"/>
  <c r="BU7" i="4"/>
  <c r="BT7" i="4"/>
  <c r="BQ7" i="4" a="1"/>
  <c r="BQ7" i="4" s="1"/>
  <c r="DJ7" i="4" s="1"/>
  <c r="BP7" i="4" a="1"/>
  <c r="BP7" i="4"/>
  <c r="BO7" i="4" a="1"/>
  <c r="BO7" i="4" s="1"/>
  <c r="BN7" i="4" a="1"/>
  <c r="BN7" i="4" s="1"/>
  <c r="BM7" i="4" a="1"/>
  <c r="BM7" i="4" s="1"/>
  <c r="BL7" i="4" a="1"/>
  <c r="BL7" i="4"/>
  <c r="BK7" i="4" a="1"/>
  <c r="BK7" i="4" s="1"/>
  <c r="BJ7" i="4" a="1"/>
  <c r="BJ7" i="4"/>
  <c r="BI7" i="4" a="1"/>
  <c r="BI7" i="4" s="1"/>
  <c r="BH7" i="4" a="1"/>
  <c r="BH7" i="4" s="1"/>
  <c r="DC7" i="4" s="1"/>
  <c r="BG7" i="4" a="1"/>
  <c r="BG7" i="4" s="1"/>
  <c r="BF7" i="4" a="1"/>
  <c r="BF7" i="4"/>
  <c r="BE7" i="4" a="1"/>
  <c r="BE7" i="4" s="1"/>
  <c r="BD7" i="4" a="1"/>
  <c r="BD7" i="4"/>
  <c r="BC7" i="4" a="1"/>
  <c r="BC7" i="4" s="1"/>
  <c r="BB7" i="4" a="1"/>
  <c r="BB7" i="4" s="1"/>
  <c r="BA7" i="4" a="1"/>
  <c r="BA7" i="4" s="1"/>
  <c r="AZ7" i="4" a="1"/>
  <c r="AZ7" i="4"/>
  <c r="AY7" i="4" a="1"/>
  <c r="AY7" i="4" s="1"/>
  <c r="DH7" i="4" s="1"/>
  <c r="AW7" i="4"/>
  <c r="AV7" i="4"/>
  <c r="AT7" i="4"/>
  <c r="AS7" i="4"/>
  <c r="AR7" i="4"/>
  <c r="AQ7" i="4"/>
  <c r="AP7" i="4"/>
  <c r="AN7" i="4"/>
  <c r="AL7" i="4"/>
  <c r="AK7" i="4"/>
  <c r="AJ7" i="4"/>
  <c r="AI7" i="4"/>
  <c r="AH7" i="4"/>
  <c r="N7" i="4"/>
  <c r="M7" i="4"/>
  <c r="DF7" i="4" s="1"/>
  <c r="L7" i="4"/>
  <c r="DE7" i="4" s="1"/>
  <c r="K7" i="4"/>
  <c r="DD7" i="4" s="1"/>
  <c r="J7" i="4"/>
  <c r="I7" i="4"/>
  <c r="DB7" i="4" s="1"/>
  <c r="H7" i="4"/>
  <c r="DA7" i="4" s="1"/>
  <c r="G7" i="4"/>
  <c r="CZ7" i="4" s="1"/>
  <c r="F7" i="4"/>
  <c r="D7" i="4"/>
  <c r="C7" i="4"/>
  <c r="B7" i="4"/>
  <c r="A7" i="4"/>
  <c r="CX6" i="4"/>
  <c r="BU6" i="4"/>
  <c r="BT6" i="4"/>
  <c r="BQ6" i="4" a="1"/>
  <c r="BQ6" i="4" s="1"/>
  <c r="BP6" i="4" a="1"/>
  <c r="BP6" i="4" s="1"/>
  <c r="BO6" i="4" a="1"/>
  <c r="BO6" i="4" s="1"/>
  <c r="BN6" i="4" a="1"/>
  <c r="BN6" i="4" s="1"/>
  <c r="BM6" i="4" a="1"/>
  <c r="BM6" i="4" s="1"/>
  <c r="BL6" i="4" a="1"/>
  <c r="BL6" i="4"/>
  <c r="BK6" i="4" a="1"/>
  <c r="BK6" i="4" s="1"/>
  <c r="BJ6" i="4" a="1"/>
  <c r="BJ6" i="4" s="1"/>
  <c r="BI6" i="4" a="1"/>
  <c r="BI6" i="4" s="1"/>
  <c r="BH6" i="4" a="1"/>
  <c r="BH6" i="4" s="1"/>
  <c r="DC6" i="4" s="1"/>
  <c r="BG6" i="4" a="1"/>
  <c r="BG6" i="4" s="1"/>
  <c r="BF6" i="4" a="1"/>
  <c r="BF6" i="4"/>
  <c r="DB6" i="4" s="1"/>
  <c r="BE6" i="4" a="1"/>
  <c r="BE6" i="4" s="1"/>
  <c r="BD6" i="4" a="1"/>
  <c r="BD6" i="4" s="1"/>
  <c r="DA6" i="4" s="1"/>
  <c r="BC6" i="4" a="1"/>
  <c r="BC6" i="4" s="1"/>
  <c r="BB6" i="4" a="1"/>
  <c r="BB6" i="4" s="1"/>
  <c r="BA6" i="4" a="1"/>
  <c r="BA6" i="4" s="1"/>
  <c r="DI6" i="4" s="1"/>
  <c r="AZ6" i="4" a="1"/>
  <c r="AZ6" i="4"/>
  <c r="AA5" i="3" s="1"/>
  <c r="AY6" i="4" a="1"/>
  <c r="AY6" i="4" s="1"/>
  <c r="DH6" i="4" s="1"/>
  <c r="AW6" i="4"/>
  <c r="AV6" i="4"/>
  <c r="AT6" i="4"/>
  <c r="AS6" i="4"/>
  <c r="AR6" i="4"/>
  <c r="AQ6" i="4"/>
  <c r="AP6" i="4"/>
  <c r="AN6" i="4"/>
  <c r="AL6" i="4"/>
  <c r="AK6" i="4"/>
  <c r="AJ6" i="4"/>
  <c r="AI6" i="4"/>
  <c r="AH6" i="4"/>
  <c r="N6" i="4"/>
  <c r="M6" i="4"/>
  <c r="DF6" i="4" s="1"/>
  <c r="L6" i="4"/>
  <c r="K6" i="4"/>
  <c r="DD6" i="4" s="1"/>
  <c r="J6" i="4"/>
  <c r="I6" i="4"/>
  <c r="H6" i="4"/>
  <c r="G6" i="4"/>
  <c r="CZ6" i="4" s="1"/>
  <c r="F6" i="4"/>
  <c r="D6" i="4"/>
  <c r="C6" i="4"/>
  <c r="B6" i="4"/>
  <c r="A6" i="4"/>
  <c r="CX5" i="4"/>
  <c r="CS5" i="4"/>
  <c r="CR5" i="4"/>
  <c r="BU5" i="4"/>
  <c r="BT5" i="4"/>
  <c r="BQ5" i="4" a="1"/>
  <c r="BQ5" i="4" s="1"/>
  <c r="BP5" i="4" a="1"/>
  <c r="BP5" i="4" s="1"/>
  <c r="BO5" i="4" a="1"/>
  <c r="BO5" i="4" s="1"/>
  <c r="DE5" i="4" s="1"/>
  <c r="BN5" i="4" a="1"/>
  <c r="BN5" i="4"/>
  <c r="BM5" i="4" a="1"/>
  <c r="BM5" i="4" s="1"/>
  <c r="BL5" i="4" a="1"/>
  <c r="BL5" i="4" s="1"/>
  <c r="BK5" i="4" a="1"/>
  <c r="BK5" i="4" s="1"/>
  <c r="BJ5" i="4" a="1"/>
  <c r="BJ5" i="4" s="1"/>
  <c r="BI5" i="4" a="1"/>
  <c r="BI5" i="4" s="1"/>
  <c r="BH5" i="4" a="1"/>
  <c r="BH5" i="4"/>
  <c r="DC5" i="4" s="1"/>
  <c r="BG5" i="4" a="1"/>
  <c r="BG5" i="4" s="1"/>
  <c r="BF5" i="4" a="1"/>
  <c r="BF5" i="4" s="1"/>
  <c r="BE5" i="4" a="1"/>
  <c r="BE5" i="4" s="1"/>
  <c r="BD5" i="4" a="1"/>
  <c r="BD5" i="4" s="1"/>
  <c r="DA5" i="4" s="1"/>
  <c r="BC5" i="4" a="1"/>
  <c r="BC5" i="4" s="1"/>
  <c r="BB5" i="4" a="1"/>
  <c r="BB5" i="4"/>
  <c r="BA5" i="4" a="1"/>
  <c r="BA5" i="4" s="1"/>
  <c r="DI5" i="4" s="1"/>
  <c r="AZ5" i="4" a="1"/>
  <c r="AZ5" i="4" s="1"/>
  <c r="AA4" i="3" s="1"/>
  <c r="AY5" i="4" a="1"/>
  <c r="AY5" i="4" s="1"/>
  <c r="DH5" i="4" s="1"/>
  <c r="AW5" i="4"/>
  <c r="AV5" i="4"/>
  <c r="AT5" i="4"/>
  <c r="AS5" i="4"/>
  <c r="AR5" i="4"/>
  <c r="AQ5" i="4"/>
  <c r="AP5" i="4"/>
  <c r="AN5" i="4"/>
  <c r="AL5" i="4"/>
  <c r="AK5" i="4"/>
  <c r="AJ5" i="4"/>
  <c r="AI5" i="4"/>
  <c r="AH5" i="4"/>
  <c r="N5" i="4"/>
  <c r="M5" i="4"/>
  <c r="L5" i="4"/>
  <c r="K5" i="4"/>
  <c r="DD5" i="4" s="1"/>
  <c r="J5" i="4"/>
  <c r="I5" i="4"/>
  <c r="DB5" i="4" s="1"/>
  <c r="H5" i="4"/>
  <c r="G5" i="4"/>
  <c r="F5" i="4"/>
  <c r="D5" i="4"/>
  <c r="C5" i="4"/>
  <c r="B5" i="4"/>
  <c r="A5" i="4"/>
  <c r="DG4" i="4" a="1"/>
  <c r="DG4" i="4"/>
  <c r="DC4" i="4"/>
  <c r="DA4" i="4"/>
  <c r="CX4" i="4"/>
  <c r="CU4" i="4"/>
  <c r="CT4" i="4"/>
  <c r="BU4" i="4"/>
  <c r="BT4" i="4"/>
  <c r="BQ4" i="4"/>
  <c r="BP4" i="4"/>
  <c r="BO4" i="4"/>
  <c r="BN4" i="4"/>
  <c r="BM4" i="4"/>
  <c r="BL4" i="4"/>
  <c r="BK4" i="4"/>
  <c r="BJ4" i="4"/>
  <c r="BI4" i="4"/>
  <c r="BH4" i="4"/>
  <c r="BG4" i="4"/>
  <c r="BF4" i="4"/>
  <c r="DB4" i="4" s="1"/>
  <c r="BE4" i="4"/>
  <c r="BD4" i="4"/>
  <c r="BC4" i="4"/>
  <c r="BB4" i="4"/>
  <c r="BA4" i="4"/>
  <c r="AZ4" i="4"/>
  <c r="AY4" i="4"/>
  <c r="DH4" i="4" s="1"/>
  <c r="AW4" i="4"/>
  <c r="AV4" i="4"/>
  <c r="AT4" i="4"/>
  <c r="AS4" i="4"/>
  <c r="AR4" i="4"/>
  <c r="AQ4" i="4"/>
  <c r="AP4" i="4"/>
  <c r="AN4" i="4"/>
  <c r="AL4" i="4"/>
  <c r="AK4" i="4"/>
  <c r="AJ4" i="4"/>
  <c r="AI4" i="4"/>
  <c r="AH4" i="4"/>
  <c r="N4" i="4"/>
  <c r="M4" i="4"/>
  <c r="DF4" i="4" s="1"/>
  <c r="L4" i="4"/>
  <c r="DE4" i="4" s="1"/>
  <c r="K4" i="4"/>
  <c r="DD4" i="4" s="1"/>
  <c r="J4" i="4"/>
  <c r="I4" i="4"/>
  <c r="H4" i="4"/>
  <c r="G4" i="4"/>
  <c r="CZ4" i="4" s="1"/>
  <c r="F4" i="4"/>
  <c r="D4" i="4"/>
  <c r="C4" i="4"/>
  <c r="B4" i="4"/>
  <c r="A4" i="4"/>
  <c r="BM136" i="3"/>
  <c r="BL136" i="3"/>
  <c r="BK136" i="3"/>
  <c r="BJ136" i="3"/>
  <c r="BI136" i="3"/>
  <c r="BH136" i="3"/>
  <c r="BG136" i="3"/>
  <c r="BC136" i="3"/>
  <c r="BB136" i="3"/>
  <c r="AZ136" i="3"/>
  <c r="AX136" i="3"/>
  <c r="AU136" i="3"/>
  <c r="AT136" i="3"/>
  <c r="AR136" i="3"/>
  <c r="AQ136" i="3"/>
  <c r="AO136" i="3"/>
  <c r="AF136" i="3"/>
  <c r="AE136" i="3"/>
  <c r="AD136" i="3"/>
  <c r="AC136" i="3"/>
  <c r="AB136" i="3"/>
  <c r="AA136" i="3"/>
  <c r="Y136" i="3"/>
  <c r="X136" i="3"/>
  <c r="W136" i="3"/>
  <c r="V136" i="3"/>
  <c r="U136" i="3"/>
  <c r="T136" i="3"/>
  <c r="S136" i="3"/>
  <c r="Q136" i="3"/>
  <c r="O136" i="3"/>
  <c r="N136" i="3"/>
  <c r="M136" i="3"/>
  <c r="L136" i="3"/>
  <c r="K136" i="3"/>
  <c r="J136" i="3"/>
  <c r="I136" i="3"/>
  <c r="H136" i="3"/>
  <c r="G136" i="3"/>
  <c r="F136" i="3"/>
  <c r="E136" i="3"/>
  <c r="B136" i="3"/>
  <c r="BM135" i="3"/>
  <c r="BL135" i="3"/>
  <c r="BK135" i="3"/>
  <c r="BJ135" i="3"/>
  <c r="BI135" i="3"/>
  <c r="BH135" i="3"/>
  <c r="BG135" i="3"/>
  <c r="BC135" i="3"/>
  <c r="BB135" i="3"/>
  <c r="AZ135" i="3"/>
  <c r="AX135" i="3"/>
  <c r="AU135" i="3"/>
  <c r="AT135" i="3"/>
  <c r="AR135" i="3"/>
  <c r="AQ135" i="3"/>
  <c r="AO135" i="3"/>
  <c r="AF135" i="3"/>
  <c r="AE135" i="3"/>
  <c r="AD135" i="3"/>
  <c r="AC135" i="3"/>
  <c r="AB135" i="3"/>
  <c r="AA135" i="3"/>
  <c r="Y135" i="3"/>
  <c r="X135" i="3"/>
  <c r="W135" i="3"/>
  <c r="V135" i="3"/>
  <c r="U135" i="3"/>
  <c r="T135" i="3"/>
  <c r="S135" i="3"/>
  <c r="Q135" i="3"/>
  <c r="O135" i="3"/>
  <c r="N135" i="3"/>
  <c r="M135" i="3"/>
  <c r="L135" i="3"/>
  <c r="K135" i="3"/>
  <c r="J135" i="3"/>
  <c r="I135" i="3"/>
  <c r="H135" i="3"/>
  <c r="G135" i="3"/>
  <c r="F135" i="3"/>
  <c r="E135" i="3"/>
  <c r="B135" i="3"/>
  <c r="BM134" i="3"/>
  <c r="BL134" i="3"/>
  <c r="BK134" i="3"/>
  <c r="BJ134" i="3"/>
  <c r="BI134" i="3"/>
  <c r="BH134" i="3"/>
  <c r="BG134" i="3"/>
  <c r="BC134" i="3"/>
  <c r="BB134" i="3"/>
  <c r="AZ134" i="3"/>
  <c r="AX134" i="3"/>
  <c r="AU134" i="3"/>
  <c r="AT134" i="3"/>
  <c r="AR134" i="3"/>
  <c r="AQ134" i="3"/>
  <c r="AO134" i="3"/>
  <c r="AK134" i="3"/>
  <c r="AJ134" i="3"/>
  <c r="AF134" i="3"/>
  <c r="AE134" i="3"/>
  <c r="AD134" i="3"/>
  <c r="AC134" i="3"/>
  <c r="AB134" i="3"/>
  <c r="AA134" i="3"/>
  <c r="Y134" i="3"/>
  <c r="X134" i="3"/>
  <c r="W134" i="3"/>
  <c r="V134" i="3"/>
  <c r="U134" i="3"/>
  <c r="T134" i="3"/>
  <c r="S134" i="3"/>
  <c r="Q134" i="3"/>
  <c r="O134" i="3"/>
  <c r="N134" i="3"/>
  <c r="M134" i="3"/>
  <c r="L134" i="3"/>
  <c r="K134" i="3"/>
  <c r="J134" i="3"/>
  <c r="I134" i="3"/>
  <c r="H134" i="3"/>
  <c r="G134" i="3"/>
  <c r="F134" i="3"/>
  <c r="E134" i="3"/>
  <c r="B134" i="3"/>
  <c r="BM133" i="3"/>
  <c r="BL133" i="3"/>
  <c r="BK133" i="3"/>
  <c r="BJ133" i="3"/>
  <c r="BI133" i="3"/>
  <c r="BH133" i="3"/>
  <c r="BG133" i="3"/>
  <c r="BC133" i="3"/>
  <c r="BB133" i="3"/>
  <c r="AZ133" i="3"/>
  <c r="AX133" i="3"/>
  <c r="AU133" i="3"/>
  <c r="AT133" i="3"/>
  <c r="AR133" i="3"/>
  <c r="AQ133" i="3"/>
  <c r="AO133" i="3"/>
  <c r="AF133" i="3"/>
  <c r="AE133" i="3"/>
  <c r="AD133" i="3"/>
  <c r="AC133" i="3"/>
  <c r="AB133" i="3"/>
  <c r="AA133" i="3"/>
  <c r="Y133" i="3"/>
  <c r="X133" i="3"/>
  <c r="W133" i="3"/>
  <c r="V133" i="3"/>
  <c r="U133" i="3"/>
  <c r="T133" i="3"/>
  <c r="S133" i="3"/>
  <c r="Q133" i="3"/>
  <c r="O133" i="3"/>
  <c r="N133" i="3"/>
  <c r="M133" i="3"/>
  <c r="L133" i="3"/>
  <c r="K133" i="3"/>
  <c r="J133" i="3"/>
  <c r="I133" i="3"/>
  <c r="H133" i="3"/>
  <c r="G133" i="3"/>
  <c r="F133" i="3"/>
  <c r="E133" i="3"/>
  <c r="B133" i="3"/>
  <c r="BM132" i="3"/>
  <c r="BL132" i="3"/>
  <c r="BK132" i="3"/>
  <c r="BJ132" i="3"/>
  <c r="BI132" i="3"/>
  <c r="BH132" i="3"/>
  <c r="BG132" i="3"/>
  <c r="BC132" i="3"/>
  <c r="BB132" i="3"/>
  <c r="AZ132" i="3"/>
  <c r="AX132" i="3"/>
  <c r="AU132" i="3"/>
  <c r="AT132" i="3"/>
  <c r="AR132" i="3"/>
  <c r="AQ132" i="3"/>
  <c r="AO132" i="3"/>
  <c r="AF132" i="3"/>
  <c r="AE132" i="3"/>
  <c r="AD132" i="3"/>
  <c r="AC132" i="3"/>
  <c r="AB132" i="3"/>
  <c r="AA132" i="3"/>
  <c r="Y132" i="3"/>
  <c r="X132" i="3"/>
  <c r="W132" i="3"/>
  <c r="V132" i="3"/>
  <c r="U132" i="3"/>
  <c r="T132" i="3"/>
  <c r="S132" i="3"/>
  <c r="Q132" i="3"/>
  <c r="O132" i="3"/>
  <c r="N132" i="3"/>
  <c r="M132" i="3"/>
  <c r="L132" i="3"/>
  <c r="K132" i="3"/>
  <c r="J132" i="3"/>
  <c r="I132" i="3"/>
  <c r="H132" i="3"/>
  <c r="G132" i="3"/>
  <c r="F132" i="3"/>
  <c r="E132" i="3"/>
  <c r="B132" i="3"/>
  <c r="BM131" i="3"/>
  <c r="BL131" i="3"/>
  <c r="BK131" i="3"/>
  <c r="BJ131" i="3"/>
  <c r="BI131" i="3"/>
  <c r="BH131" i="3"/>
  <c r="BG131" i="3"/>
  <c r="BC131" i="3"/>
  <c r="BB131" i="3"/>
  <c r="AZ131" i="3"/>
  <c r="AX131" i="3"/>
  <c r="AU131" i="3"/>
  <c r="AT131" i="3"/>
  <c r="AR131" i="3"/>
  <c r="AQ131" i="3"/>
  <c r="AO131" i="3"/>
  <c r="AK131" i="3"/>
  <c r="AJ131" i="3"/>
  <c r="AF131" i="3"/>
  <c r="AE131" i="3"/>
  <c r="AD131" i="3"/>
  <c r="AC131" i="3"/>
  <c r="AB131" i="3"/>
  <c r="AA131" i="3"/>
  <c r="Y131" i="3"/>
  <c r="X131" i="3"/>
  <c r="W131" i="3"/>
  <c r="V131" i="3"/>
  <c r="U131" i="3"/>
  <c r="T131" i="3"/>
  <c r="S131" i="3"/>
  <c r="Q131" i="3"/>
  <c r="O131" i="3"/>
  <c r="N131" i="3"/>
  <c r="M131" i="3"/>
  <c r="L131" i="3"/>
  <c r="K131" i="3"/>
  <c r="J131" i="3"/>
  <c r="I131" i="3"/>
  <c r="H131" i="3"/>
  <c r="G131" i="3"/>
  <c r="F131" i="3"/>
  <c r="E131" i="3"/>
  <c r="B131" i="3"/>
  <c r="BM130" i="3"/>
  <c r="BL130" i="3"/>
  <c r="BK130" i="3"/>
  <c r="BJ130" i="3"/>
  <c r="BI130" i="3"/>
  <c r="BH130" i="3"/>
  <c r="BG130" i="3"/>
  <c r="BC130" i="3"/>
  <c r="BB130" i="3"/>
  <c r="AZ130" i="3"/>
  <c r="AX130" i="3"/>
  <c r="AU130" i="3"/>
  <c r="AT130" i="3"/>
  <c r="AR130" i="3"/>
  <c r="AQ130" i="3"/>
  <c r="AO130" i="3"/>
  <c r="AF130" i="3"/>
  <c r="AE130" i="3"/>
  <c r="AD130" i="3"/>
  <c r="AC130" i="3"/>
  <c r="AB130" i="3"/>
  <c r="AA130" i="3"/>
  <c r="Y130" i="3"/>
  <c r="X130" i="3"/>
  <c r="W130" i="3"/>
  <c r="V130" i="3"/>
  <c r="U130" i="3"/>
  <c r="T130" i="3"/>
  <c r="S130" i="3"/>
  <c r="Q130" i="3"/>
  <c r="O130" i="3"/>
  <c r="N130" i="3"/>
  <c r="M130" i="3"/>
  <c r="L130" i="3"/>
  <c r="K130" i="3"/>
  <c r="J130" i="3"/>
  <c r="I130" i="3"/>
  <c r="H130" i="3"/>
  <c r="G130" i="3"/>
  <c r="F130" i="3"/>
  <c r="E130" i="3"/>
  <c r="B130" i="3"/>
  <c r="BM129" i="3"/>
  <c r="BL129" i="3"/>
  <c r="BK129" i="3"/>
  <c r="BJ129" i="3"/>
  <c r="BI129" i="3"/>
  <c r="BH129" i="3"/>
  <c r="BG129" i="3"/>
  <c r="BC129" i="3"/>
  <c r="BB129" i="3"/>
  <c r="AZ129" i="3"/>
  <c r="AX129" i="3"/>
  <c r="AU129" i="3"/>
  <c r="AT129" i="3"/>
  <c r="AR129" i="3"/>
  <c r="AQ129" i="3"/>
  <c r="AO129" i="3"/>
  <c r="AF129" i="3"/>
  <c r="AE129" i="3"/>
  <c r="AD129" i="3"/>
  <c r="AC129" i="3"/>
  <c r="AB129" i="3"/>
  <c r="AA129" i="3"/>
  <c r="Y129" i="3"/>
  <c r="X129" i="3"/>
  <c r="W129" i="3"/>
  <c r="V129" i="3"/>
  <c r="U129" i="3"/>
  <c r="T129" i="3"/>
  <c r="S129" i="3"/>
  <c r="Q129" i="3"/>
  <c r="O129" i="3"/>
  <c r="N129" i="3"/>
  <c r="M129" i="3"/>
  <c r="L129" i="3"/>
  <c r="K129" i="3"/>
  <c r="J129" i="3"/>
  <c r="I129" i="3"/>
  <c r="H129" i="3"/>
  <c r="G129" i="3"/>
  <c r="F129" i="3"/>
  <c r="E129" i="3"/>
  <c r="B129" i="3"/>
  <c r="BM128" i="3"/>
  <c r="BL128" i="3"/>
  <c r="BK128" i="3"/>
  <c r="BJ128" i="3"/>
  <c r="BI128" i="3"/>
  <c r="BH128" i="3"/>
  <c r="BG128" i="3"/>
  <c r="BC128" i="3"/>
  <c r="BB128" i="3"/>
  <c r="AZ128" i="3"/>
  <c r="AX128" i="3"/>
  <c r="AU128" i="3"/>
  <c r="AT128" i="3"/>
  <c r="AR128" i="3"/>
  <c r="AQ128" i="3"/>
  <c r="AO128" i="3"/>
  <c r="AK128" i="3"/>
  <c r="AJ128" i="3"/>
  <c r="AF128" i="3"/>
  <c r="AE128" i="3"/>
  <c r="AD128" i="3"/>
  <c r="AC128" i="3"/>
  <c r="AB128" i="3"/>
  <c r="AA128" i="3"/>
  <c r="Y128" i="3"/>
  <c r="X128" i="3"/>
  <c r="W128" i="3"/>
  <c r="V128" i="3"/>
  <c r="U128" i="3"/>
  <c r="T128" i="3"/>
  <c r="S128" i="3"/>
  <c r="Q128" i="3"/>
  <c r="O128" i="3"/>
  <c r="N128" i="3"/>
  <c r="M128" i="3"/>
  <c r="L128" i="3"/>
  <c r="K128" i="3"/>
  <c r="J128" i="3"/>
  <c r="I128" i="3"/>
  <c r="H128" i="3"/>
  <c r="G128" i="3"/>
  <c r="F128" i="3"/>
  <c r="E128" i="3"/>
  <c r="B128" i="3"/>
  <c r="BM127" i="3"/>
  <c r="BL127" i="3"/>
  <c r="BK127" i="3"/>
  <c r="BJ127" i="3"/>
  <c r="BI127" i="3"/>
  <c r="BH127" i="3"/>
  <c r="BG127" i="3"/>
  <c r="BC127" i="3"/>
  <c r="BB127" i="3"/>
  <c r="AZ127" i="3"/>
  <c r="AX127" i="3"/>
  <c r="AU127" i="3"/>
  <c r="AT127" i="3"/>
  <c r="AR127" i="3"/>
  <c r="AQ127" i="3"/>
  <c r="AO127" i="3"/>
  <c r="AF127" i="3"/>
  <c r="AE127" i="3"/>
  <c r="AD127" i="3"/>
  <c r="AC127" i="3"/>
  <c r="AB127" i="3"/>
  <c r="AA127" i="3"/>
  <c r="Y127" i="3"/>
  <c r="X127" i="3"/>
  <c r="W127" i="3"/>
  <c r="V127" i="3"/>
  <c r="U127" i="3"/>
  <c r="T127" i="3"/>
  <c r="S127" i="3"/>
  <c r="Q127" i="3"/>
  <c r="O127" i="3"/>
  <c r="N127" i="3"/>
  <c r="M127" i="3"/>
  <c r="L127" i="3"/>
  <c r="K127" i="3"/>
  <c r="J127" i="3"/>
  <c r="I127" i="3"/>
  <c r="H127" i="3"/>
  <c r="G127" i="3"/>
  <c r="F127" i="3"/>
  <c r="E127" i="3"/>
  <c r="B127" i="3"/>
  <c r="BM126" i="3"/>
  <c r="BL126" i="3"/>
  <c r="BK126" i="3"/>
  <c r="BJ126" i="3"/>
  <c r="BI126" i="3"/>
  <c r="BH126" i="3"/>
  <c r="BG126" i="3"/>
  <c r="BC126" i="3"/>
  <c r="BB126" i="3"/>
  <c r="AZ126" i="3"/>
  <c r="AX126" i="3"/>
  <c r="AU126" i="3"/>
  <c r="AT126" i="3"/>
  <c r="AR126" i="3"/>
  <c r="AQ126" i="3"/>
  <c r="AO126" i="3"/>
  <c r="AF126" i="3"/>
  <c r="AE126" i="3"/>
  <c r="AD126" i="3"/>
  <c r="AC126" i="3"/>
  <c r="AB126" i="3"/>
  <c r="AA126" i="3"/>
  <c r="Y126" i="3"/>
  <c r="X126" i="3"/>
  <c r="W126" i="3"/>
  <c r="V126" i="3"/>
  <c r="U126" i="3"/>
  <c r="T126" i="3"/>
  <c r="S126" i="3"/>
  <c r="Q126" i="3"/>
  <c r="O126" i="3"/>
  <c r="N126" i="3"/>
  <c r="M126" i="3"/>
  <c r="L126" i="3"/>
  <c r="K126" i="3"/>
  <c r="J126" i="3"/>
  <c r="I126" i="3"/>
  <c r="H126" i="3"/>
  <c r="G126" i="3"/>
  <c r="F126" i="3"/>
  <c r="E126" i="3"/>
  <c r="B126" i="3"/>
  <c r="BM125" i="3"/>
  <c r="BL125" i="3"/>
  <c r="BK125" i="3"/>
  <c r="BJ125" i="3"/>
  <c r="BI125" i="3"/>
  <c r="BH125" i="3"/>
  <c r="BG125" i="3"/>
  <c r="BC125" i="3"/>
  <c r="BB125" i="3"/>
  <c r="AZ125" i="3"/>
  <c r="AX125" i="3"/>
  <c r="AU125" i="3"/>
  <c r="AT125" i="3"/>
  <c r="AR125" i="3"/>
  <c r="AQ125" i="3"/>
  <c r="AO125" i="3"/>
  <c r="AK125" i="3"/>
  <c r="AJ125" i="3"/>
  <c r="AF125" i="3"/>
  <c r="AE125" i="3"/>
  <c r="AD125" i="3"/>
  <c r="AC125" i="3"/>
  <c r="AB125" i="3"/>
  <c r="AA125" i="3"/>
  <c r="Y125" i="3"/>
  <c r="X125" i="3"/>
  <c r="W125" i="3"/>
  <c r="V125" i="3"/>
  <c r="U125" i="3"/>
  <c r="T125" i="3"/>
  <c r="S125" i="3"/>
  <c r="Q125" i="3"/>
  <c r="O125" i="3"/>
  <c r="N125" i="3"/>
  <c r="M125" i="3"/>
  <c r="L125" i="3"/>
  <c r="K125" i="3"/>
  <c r="J125" i="3"/>
  <c r="I125" i="3"/>
  <c r="H125" i="3"/>
  <c r="G125" i="3"/>
  <c r="F125" i="3"/>
  <c r="E125" i="3"/>
  <c r="B125" i="3"/>
  <c r="BM124" i="3"/>
  <c r="BL124" i="3"/>
  <c r="BK124" i="3"/>
  <c r="BJ124" i="3"/>
  <c r="BI124" i="3"/>
  <c r="BH124" i="3"/>
  <c r="BG124" i="3"/>
  <c r="BC124" i="3"/>
  <c r="BB124" i="3"/>
  <c r="AZ124" i="3"/>
  <c r="AX124" i="3"/>
  <c r="AU124" i="3"/>
  <c r="AT124" i="3"/>
  <c r="AR124" i="3"/>
  <c r="AQ124" i="3"/>
  <c r="AO124" i="3"/>
  <c r="AF124" i="3"/>
  <c r="AE124" i="3"/>
  <c r="AD124" i="3"/>
  <c r="AC124" i="3"/>
  <c r="AB124" i="3"/>
  <c r="AA124" i="3"/>
  <c r="Y124" i="3"/>
  <c r="X124" i="3"/>
  <c r="W124" i="3"/>
  <c r="V124" i="3"/>
  <c r="U124" i="3"/>
  <c r="T124" i="3"/>
  <c r="S124" i="3"/>
  <c r="Q124" i="3"/>
  <c r="O124" i="3"/>
  <c r="N124" i="3"/>
  <c r="M124" i="3"/>
  <c r="L124" i="3"/>
  <c r="K124" i="3"/>
  <c r="J124" i="3"/>
  <c r="I124" i="3"/>
  <c r="H124" i="3"/>
  <c r="G124" i="3"/>
  <c r="F124" i="3"/>
  <c r="E124" i="3"/>
  <c r="B124" i="3"/>
  <c r="BM123" i="3"/>
  <c r="BL123" i="3"/>
  <c r="BK123" i="3"/>
  <c r="BJ123" i="3"/>
  <c r="BI123" i="3"/>
  <c r="BH123" i="3"/>
  <c r="BG123" i="3"/>
  <c r="BC123" i="3"/>
  <c r="BB123" i="3"/>
  <c r="AZ123" i="3"/>
  <c r="AX123" i="3"/>
  <c r="AU123" i="3"/>
  <c r="AT123" i="3"/>
  <c r="AR123" i="3"/>
  <c r="AQ123" i="3"/>
  <c r="AO123" i="3"/>
  <c r="AF123" i="3"/>
  <c r="AE123" i="3"/>
  <c r="AD123" i="3"/>
  <c r="AC123" i="3"/>
  <c r="AB123" i="3"/>
  <c r="AA123" i="3"/>
  <c r="Y123" i="3"/>
  <c r="X123" i="3"/>
  <c r="W123" i="3"/>
  <c r="V123" i="3"/>
  <c r="U123" i="3"/>
  <c r="T123" i="3"/>
  <c r="S123" i="3"/>
  <c r="Q123" i="3"/>
  <c r="O123" i="3"/>
  <c r="N123" i="3"/>
  <c r="M123" i="3"/>
  <c r="L123" i="3"/>
  <c r="K123" i="3"/>
  <c r="J123" i="3"/>
  <c r="I123" i="3"/>
  <c r="H123" i="3"/>
  <c r="G123" i="3"/>
  <c r="F123" i="3"/>
  <c r="E123" i="3"/>
  <c r="B123" i="3"/>
  <c r="BM122" i="3"/>
  <c r="BL122" i="3"/>
  <c r="BK122" i="3"/>
  <c r="BJ122" i="3"/>
  <c r="BI122" i="3"/>
  <c r="BH122" i="3"/>
  <c r="BG122" i="3"/>
  <c r="BC122" i="3"/>
  <c r="BB122" i="3"/>
  <c r="AZ122" i="3"/>
  <c r="AX122" i="3"/>
  <c r="AU122" i="3"/>
  <c r="AT122" i="3"/>
  <c r="AR122" i="3"/>
  <c r="AQ122" i="3"/>
  <c r="AO122" i="3"/>
  <c r="AK122" i="3"/>
  <c r="AJ122" i="3"/>
  <c r="AF122" i="3"/>
  <c r="AE122" i="3"/>
  <c r="AD122" i="3"/>
  <c r="AC122" i="3"/>
  <c r="AB122" i="3"/>
  <c r="AA122" i="3"/>
  <c r="Y122" i="3"/>
  <c r="X122" i="3"/>
  <c r="W122" i="3"/>
  <c r="V122" i="3"/>
  <c r="U122" i="3"/>
  <c r="T122" i="3"/>
  <c r="S122" i="3"/>
  <c r="Q122" i="3"/>
  <c r="O122" i="3"/>
  <c r="N122" i="3"/>
  <c r="M122" i="3"/>
  <c r="L122" i="3"/>
  <c r="K122" i="3"/>
  <c r="J122" i="3"/>
  <c r="I122" i="3"/>
  <c r="H122" i="3"/>
  <c r="G122" i="3"/>
  <c r="F122" i="3"/>
  <c r="E122" i="3"/>
  <c r="B122" i="3"/>
  <c r="BM121" i="3"/>
  <c r="BL121" i="3"/>
  <c r="BK121" i="3"/>
  <c r="BJ121" i="3"/>
  <c r="BI121" i="3"/>
  <c r="BH121" i="3"/>
  <c r="BG121" i="3"/>
  <c r="BC121" i="3"/>
  <c r="BB121" i="3"/>
  <c r="AZ121" i="3"/>
  <c r="AX121" i="3"/>
  <c r="AU121" i="3"/>
  <c r="AT121" i="3"/>
  <c r="AR121" i="3"/>
  <c r="AQ121" i="3"/>
  <c r="AO121" i="3"/>
  <c r="AF121" i="3"/>
  <c r="AE121" i="3"/>
  <c r="AD121" i="3"/>
  <c r="AC121" i="3"/>
  <c r="AB121" i="3"/>
  <c r="AA121" i="3"/>
  <c r="Y121" i="3"/>
  <c r="X121" i="3"/>
  <c r="W121" i="3"/>
  <c r="V121" i="3"/>
  <c r="U121" i="3"/>
  <c r="T121" i="3"/>
  <c r="S121" i="3"/>
  <c r="Q121" i="3"/>
  <c r="O121" i="3"/>
  <c r="N121" i="3"/>
  <c r="M121" i="3"/>
  <c r="L121" i="3"/>
  <c r="K121" i="3"/>
  <c r="J121" i="3"/>
  <c r="I121" i="3"/>
  <c r="H121" i="3"/>
  <c r="G121" i="3"/>
  <c r="F121" i="3"/>
  <c r="E121" i="3"/>
  <c r="B121" i="3"/>
  <c r="BM120" i="3"/>
  <c r="BL120" i="3"/>
  <c r="BK120" i="3"/>
  <c r="BJ120" i="3"/>
  <c r="BI120" i="3"/>
  <c r="BH120" i="3"/>
  <c r="BG120" i="3"/>
  <c r="BC120" i="3"/>
  <c r="BB120" i="3"/>
  <c r="AZ120" i="3"/>
  <c r="AX120" i="3"/>
  <c r="AU120" i="3"/>
  <c r="AT120" i="3"/>
  <c r="AR120" i="3"/>
  <c r="AQ120" i="3"/>
  <c r="AO120" i="3"/>
  <c r="AF120" i="3"/>
  <c r="AE120" i="3"/>
  <c r="AD120" i="3"/>
  <c r="AC120" i="3"/>
  <c r="AB120" i="3"/>
  <c r="AA120" i="3"/>
  <c r="Y120" i="3"/>
  <c r="X120" i="3"/>
  <c r="W120" i="3"/>
  <c r="V120" i="3"/>
  <c r="U120" i="3"/>
  <c r="T120" i="3"/>
  <c r="S120" i="3"/>
  <c r="Q120" i="3"/>
  <c r="O120" i="3"/>
  <c r="N120" i="3"/>
  <c r="M120" i="3"/>
  <c r="L120" i="3"/>
  <c r="K120" i="3"/>
  <c r="J120" i="3"/>
  <c r="I120" i="3"/>
  <c r="H120" i="3"/>
  <c r="G120" i="3"/>
  <c r="F120" i="3"/>
  <c r="E120" i="3"/>
  <c r="B120" i="3"/>
  <c r="BM119" i="3"/>
  <c r="BL119" i="3"/>
  <c r="BK119" i="3"/>
  <c r="BJ119" i="3"/>
  <c r="BI119" i="3"/>
  <c r="BH119" i="3"/>
  <c r="BG119" i="3"/>
  <c r="BC119" i="3"/>
  <c r="BB119" i="3"/>
  <c r="AZ119" i="3"/>
  <c r="AX119" i="3"/>
  <c r="AU119" i="3"/>
  <c r="AT119" i="3"/>
  <c r="AR119" i="3"/>
  <c r="AQ119" i="3"/>
  <c r="AO119" i="3"/>
  <c r="AK119" i="3"/>
  <c r="AJ119" i="3"/>
  <c r="AF119" i="3"/>
  <c r="AE119" i="3"/>
  <c r="AD119" i="3"/>
  <c r="AC119" i="3"/>
  <c r="AB119" i="3"/>
  <c r="AA119" i="3"/>
  <c r="Y119" i="3"/>
  <c r="X119" i="3"/>
  <c r="W119" i="3"/>
  <c r="V119" i="3"/>
  <c r="U119" i="3"/>
  <c r="T119" i="3"/>
  <c r="S119" i="3"/>
  <c r="Q119" i="3"/>
  <c r="O119" i="3"/>
  <c r="N119" i="3"/>
  <c r="M119" i="3"/>
  <c r="L119" i="3"/>
  <c r="K119" i="3"/>
  <c r="J119" i="3"/>
  <c r="I119" i="3"/>
  <c r="H119" i="3"/>
  <c r="G119" i="3"/>
  <c r="F119" i="3"/>
  <c r="E119" i="3"/>
  <c r="B119" i="3"/>
  <c r="BM118" i="3"/>
  <c r="BL118" i="3"/>
  <c r="BK118" i="3"/>
  <c r="BJ118" i="3"/>
  <c r="BI118" i="3"/>
  <c r="BH118" i="3"/>
  <c r="BG118" i="3"/>
  <c r="BC118" i="3"/>
  <c r="BB118" i="3"/>
  <c r="AZ118" i="3"/>
  <c r="AX118" i="3"/>
  <c r="AU118" i="3"/>
  <c r="AT118" i="3"/>
  <c r="AR118" i="3"/>
  <c r="AQ118" i="3"/>
  <c r="AO118" i="3"/>
  <c r="AF118" i="3"/>
  <c r="AE118" i="3"/>
  <c r="AD118" i="3"/>
  <c r="AC118" i="3"/>
  <c r="AB118" i="3"/>
  <c r="AA118" i="3"/>
  <c r="Y118" i="3"/>
  <c r="X118" i="3"/>
  <c r="W118" i="3"/>
  <c r="V118" i="3"/>
  <c r="U118" i="3"/>
  <c r="T118" i="3"/>
  <c r="S118" i="3"/>
  <c r="Q118" i="3"/>
  <c r="O118" i="3"/>
  <c r="N118" i="3"/>
  <c r="M118" i="3"/>
  <c r="L118" i="3"/>
  <c r="K118" i="3"/>
  <c r="J118" i="3"/>
  <c r="I118" i="3"/>
  <c r="H118" i="3"/>
  <c r="G118" i="3"/>
  <c r="F118" i="3"/>
  <c r="E118" i="3"/>
  <c r="B118" i="3"/>
  <c r="BM117" i="3"/>
  <c r="BL117" i="3"/>
  <c r="BK117" i="3"/>
  <c r="BJ117" i="3"/>
  <c r="BI117" i="3"/>
  <c r="BH117" i="3"/>
  <c r="BG117" i="3"/>
  <c r="BC117" i="3"/>
  <c r="BB117" i="3"/>
  <c r="AZ117" i="3"/>
  <c r="AX117" i="3"/>
  <c r="AU117" i="3"/>
  <c r="AT117" i="3"/>
  <c r="AR117" i="3"/>
  <c r="AQ117" i="3"/>
  <c r="AO117" i="3"/>
  <c r="AF117" i="3"/>
  <c r="AE117" i="3"/>
  <c r="AD117" i="3"/>
  <c r="AC117" i="3"/>
  <c r="AB117" i="3"/>
  <c r="AA117" i="3"/>
  <c r="Y117" i="3"/>
  <c r="X117" i="3"/>
  <c r="W117" i="3"/>
  <c r="V117" i="3"/>
  <c r="U117" i="3"/>
  <c r="T117" i="3"/>
  <c r="S117" i="3"/>
  <c r="Q117" i="3"/>
  <c r="O117" i="3"/>
  <c r="N117" i="3"/>
  <c r="M117" i="3"/>
  <c r="L117" i="3"/>
  <c r="K117" i="3"/>
  <c r="J117" i="3"/>
  <c r="I117" i="3"/>
  <c r="H117" i="3"/>
  <c r="G117" i="3"/>
  <c r="F117" i="3"/>
  <c r="E117" i="3"/>
  <c r="B117" i="3"/>
  <c r="BM116" i="3"/>
  <c r="BL116" i="3"/>
  <c r="BK116" i="3"/>
  <c r="BJ116" i="3"/>
  <c r="BI116" i="3"/>
  <c r="BH116" i="3"/>
  <c r="BG116" i="3"/>
  <c r="BC116" i="3"/>
  <c r="BB116" i="3"/>
  <c r="AZ116" i="3"/>
  <c r="AX116" i="3"/>
  <c r="AU116" i="3"/>
  <c r="AT116" i="3"/>
  <c r="AR116" i="3"/>
  <c r="AQ116" i="3"/>
  <c r="AO116" i="3"/>
  <c r="AK116" i="3"/>
  <c r="AJ116" i="3"/>
  <c r="AF116" i="3"/>
  <c r="AE116" i="3"/>
  <c r="AD116" i="3"/>
  <c r="AC116" i="3"/>
  <c r="AB116" i="3"/>
  <c r="AA116" i="3"/>
  <c r="Y116" i="3"/>
  <c r="X116" i="3"/>
  <c r="W116" i="3"/>
  <c r="V116" i="3"/>
  <c r="U116" i="3"/>
  <c r="T116" i="3"/>
  <c r="S116" i="3"/>
  <c r="Q116" i="3"/>
  <c r="O116" i="3"/>
  <c r="N116" i="3"/>
  <c r="M116" i="3"/>
  <c r="L116" i="3"/>
  <c r="K116" i="3"/>
  <c r="J116" i="3"/>
  <c r="I116" i="3"/>
  <c r="H116" i="3"/>
  <c r="G116" i="3"/>
  <c r="F116" i="3"/>
  <c r="E116" i="3"/>
  <c r="B116" i="3"/>
  <c r="BM115" i="3"/>
  <c r="BL115" i="3"/>
  <c r="BK115" i="3"/>
  <c r="BJ115" i="3"/>
  <c r="BI115" i="3"/>
  <c r="BH115" i="3"/>
  <c r="BG115" i="3"/>
  <c r="BC115" i="3"/>
  <c r="BB115" i="3"/>
  <c r="AZ115" i="3"/>
  <c r="AX115" i="3"/>
  <c r="AU115" i="3"/>
  <c r="AT115" i="3"/>
  <c r="AR115" i="3"/>
  <c r="AQ115" i="3"/>
  <c r="AO115" i="3"/>
  <c r="AF115" i="3"/>
  <c r="AE115" i="3"/>
  <c r="AD115" i="3"/>
  <c r="AC115" i="3"/>
  <c r="AB115" i="3"/>
  <c r="AA115" i="3"/>
  <c r="Y115" i="3"/>
  <c r="X115" i="3"/>
  <c r="W115" i="3"/>
  <c r="V115" i="3"/>
  <c r="U115" i="3"/>
  <c r="T115" i="3"/>
  <c r="S115" i="3"/>
  <c r="Q115" i="3"/>
  <c r="O115" i="3"/>
  <c r="N115" i="3"/>
  <c r="M115" i="3"/>
  <c r="L115" i="3"/>
  <c r="K115" i="3"/>
  <c r="J115" i="3"/>
  <c r="I115" i="3"/>
  <c r="H115" i="3"/>
  <c r="G115" i="3"/>
  <c r="F115" i="3"/>
  <c r="E115" i="3"/>
  <c r="B115" i="3"/>
  <c r="BM114" i="3"/>
  <c r="BL114" i="3"/>
  <c r="BK114" i="3"/>
  <c r="BJ114" i="3"/>
  <c r="BI114" i="3"/>
  <c r="BH114" i="3"/>
  <c r="BG114" i="3"/>
  <c r="BC114" i="3"/>
  <c r="BB114" i="3"/>
  <c r="AZ114" i="3"/>
  <c r="AX114" i="3"/>
  <c r="AU114" i="3"/>
  <c r="AT114" i="3"/>
  <c r="AR114" i="3"/>
  <c r="AQ114" i="3"/>
  <c r="AO114" i="3"/>
  <c r="AF114" i="3"/>
  <c r="AE114" i="3"/>
  <c r="AD114" i="3"/>
  <c r="AC114" i="3"/>
  <c r="AB114" i="3"/>
  <c r="AA114" i="3"/>
  <c r="Y114" i="3"/>
  <c r="X114" i="3"/>
  <c r="W114" i="3"/>
  <c r="V114" i="3"/>
  <c r="U114" i="3"/>
  <c r="T114" i="3"/>
  <c r="S114" i="3"/>
  <c r="Q114" i="3"/>
  <c r="O114" i="3"/>
  <c r="N114" i="3"/>
  <c r="M114" i="3"/>
  <c r="L114" i="3"/>
  <c r="K114" i="3"/>
  <c r="J114" i="3"/>
  <c r="I114" i="3"/>
  <c r="H114" i="3"/>
  <c r="G114" i="3"/>
  <c r="F114" i="3"/>
  <c r="E114" i="3"/>
  <c r="B114" i="3"/>
  <c r="BM113" i="3"/>
  <c r="BL113" i="3"/>
  <c r="BK113" i="3"/>
  <c r="BJ113" i="3"/>
  <c r="BI113" i="3"/>
  <c r="BH113" i="3"/>
  <c r="BG113" i="3"/>
  <c r="BC113" i="3"/>
  <c r="BB113" i="3"/>
  <c r="AZ113" i="3"/>
  <c r="AX113" i="3"/>
  <c r="AU113" i="3"/>
  <c r="AT113" i="3"/>
  <c r="AR113" i="3"/>
  <c r="AQ113" i="3"/>
  <c r="AO113" i="3"/>
  <c r="AK113" i="3"/>
  <c r="AJ113" i="3"/>
  <c r="AF113" i="3"/>
  <c r="AE113" i="3"/>
  <c r="AD113" i="3"/>
  <c r="AC113" i="3"/>
  <c r="AB113" i="3"/>
  <c r="AA113" i="3"/>
  <c r="Y113" i="3"/>
  <c r="X113" i="3"/>
  <c r="W113" i="3"/>
  <c r="V113" i="3"/>
  <c r="U113" i="3"/>
  <c r="T113" i="3"/>
  <c r="S113" i="3"/>
  <c r="Q113" i="3"/>
  <c r="O113" i="3"/>
  <c r="N113" i="3"/>
  <c r="M113" i="3"/>
  <c r="L113" i="3"/>
  <c r="K113" i="3"/>
  <c r="J113" i="3"/>
  <c r="I113" i="3"/>
  <c r="H113" i="3"/>
  <c r="G113" i="3"/>
  <c r="F113" i="3"/>
  <c r="E113" i="3"/>
  <c r="B113" i="3"/>
  <c r="BM112" i="3"/>
  <c r="BL112" i="3"/>
  <c r="BK112" i="3"/>
  <c r="BJ112" i="3"/>
  <c r="BI112" i="3"/>
  <c r="BH112" i="3"/>
  <c r="BG112" i="3"/>
  <c r="BC112" i="3"/>
  <c r="BB112" i="3"/>
  <c r="AZ112" i="3"/>
  <c r="AX112" i="3"/>
  <c r="AU112" i="3"/>
  <c r="AT112" i="3"/>
  <c r="AR112" i="3"/>
  <c r="AQ112" i="3"/>
  <c r="AO112" i="3"/>
  <c r="AF112" i="3"/>
  <c r="AE112" i="3"/>
  <c r="AD112" i="3"/>
  <c r="AC112" i="3"/>
  <c r="AB112" i="3"/>
  <c r="AA112" i="3"/>
  <c r="Y112" i="3"/>
  <c r="X112" i="3"/>
  <c r="W112" i="3"/>
  <c r="V112" i="3"/>
  <c r="U112" i="3"/>
  <c r="T112" i="3"/>
  <c r="S112" i="3"/>
  <c r="Q112" i="3"/>
  <c r="O112" i="3"/>
  <c r="N112" i="3"/>
  <c r="M112" i="3"/>
  <c r="L112" i="3"/>
  <c r="K112" i="3"/>
  <c r="J112" i="3"/>
  <c r="I112" i="3"/>
  <c r="H112" i="3"/>
  <c r="G112" i="3"/>
  <c r="F112" i="3"/>
  <c r="E112" i="3"/>
  <c r="B112" i="3"/>
  <c r="BM111" i="3"/>
  <c r="BL111" i="3"/>
  <c r="BK111" i="3"/>
  <c r="BJ111" i="3"/>
  <c r="BI111" i="3"/>
  <c r="BH111" i="3"/>
  <c r="BG111" i="3"/>
  <c r="BC111" i="3"/>
  <c r="BB111" i="3"/>
  <c r="AZ111" i="3"/>
  <c r="AX111" i="3"/>
  <c r="AU111" i="3"/>
  <c r="AT111" i="3"/>
  <c r="AR111" i="3"/>
  <c r="AQ111" i="3"/>
  <c r="AO111" i="3"/>
  <c r="AF111" i="3"/>
  <c r="AE111" i="3"/>
  <c r="AD111" i="3"/>
  <c r="AC111" i="3"/>
  <c r="AB111" i="3"/>
  <c r="AA111" i="3"/>
  <c r="Y111" i="3"/>
  <c r="X111" i="3"/>
  <c r="W111" i="3"/>
  <c r="V111" i="3"/>
  <c r="U111" i="3"/>
  <c r="T111" i="3"/>
  <c r="S111" i="3"/>
  <c r="Q111" i="3"/>
  <c r="O111" i="3"/>
  <c r="N111" i="3"/>
  <c r="M111" i="3"/>
  <c r="L111" i="3"/>
  <c r="K111" i="3"/>
  <c r="J111" i="3"/>
  <c r="I111" i="3"/>
  <c r="H111" i="3"/>
  <c r="G111" i="3"/>
  <c r="F111" i="3"/>
  <c r="E111" i="3"/>
  <c r="B111" i="3"/>
  <c r="BM110" i="3"/>
  <c r="BL110" i="3"/>
  <c r="BK110" i="3"/>
  <c r="BJ110" i="3"/>
  <c r="BI110" i="3"/>
  <c r="BH110" i="3"/>
  <c r="BG110" i="3"/>
  <c r="BC110" i="3"/>
  <c r="BB110" i="3"/>
  <c r="AZ110" i="3"/>
  <c r="AX110" i="3"/>
  <c r="AU110" i="3"/>
  <c r="AT110" i="3"/>
  <c r="AR110" i="3"/>
  <c r="AQ110" i="3"/>
  <c r="AO110" i="3"/>
  <c r="AK110" i="3"/>
  <c r="AJ110" i="3"/>
  <c r="AF110" i="3"/>
  <c r="AE110" i="3"/>
  <c r="AD110" i="3"/>
  <c r="AC110" i="3"/>
  <c r="AB110" i="3"/>
  <c r="AA110" i="3"/>
  <c r="Y110" i="3"/>
  <c r="X110" i="3"/>
  <c r="W110" i="3"/>
  <c r="V110" i="3"/>
  <c r="U110" i="3"/>
  <c r="T110" i="3"/>
  <c r="S110" i="3"/>
  <c r="Q110" i="3"/>
  <c r="O110" i="3"/>
  <c r="N110" i="3"/>
  <c r="M110" i="3"/>
  <c r="L110" i="3"/>
  <c r="K110" i="3"/>
  <c r="J110" i="3"/>
  <c r="I110" i="3"/>
  <c r="H110" i="3"/>
  <c r="G110" i="3"/>
  <c r="F110" i="3"/>
  <c r="E110" i="3"/>
  <c r="B110" i="3"/>
  <c r="BM109" i="3"/>
  <c r="BL109" i="3"/>
  <c r="BK109" i="3"/>
  <c r="BJ109" i="3"/>
  <c r="BI109" i="3"/>
  <c r="BH109" i="3"/>
  <c r="BG109" i="3"/>
  <c r="BC109" i="3"/>
  <c r="BB109" i="3"/>
  <c r="AZ109" i="3"/>
  <c r="AX109" i="3"/>
  <c r="AU109" i="3"/>
  <c r="AT109" i="3"/>
  <c r="AR109" i="3"/>
  <c r="AQ109" i="3"/>
  <c r="AO109" i="3"/>
  <c r="AF109" i="3"/>
  <c r="AE109" i="3"/>
  <c r="AD109" i="3"/>
  <c r="AC109" i="3"/>
  <c r="AB109" i="3"/>
  <c r="AA109" i="3"/>
  <c r="Y109" i="3"/>
  <c r="X109" i="3"/>
  <c r="W109" i="3"/>
  <c r="V109" i="3"/>
  <c r="U109" i="3"/>
  <c r="T109" i="3"/>
  <c r="S109" i="3"/>
  <c r="Q109" i="3"/>
  <c r="O109" i="3"/>
  <c r="N109" i="3"/>
  <c r="M109" i="3"/>
  <c r="L109" i="3"/>
  <c r="K109" i="3"/>
  <c r="J109" i="3"/>
  <c r="I109" i="3"/>
  <c r="H109" i="3"/>
  <c r="G109" i="3"/>
  <c r="F109" i="3"/>
  <c r="E109" i="3"/>
  <c r="B109" i="3"/>
  <c r="BM108" i="3"/>
  <c r="BL108" i="3"/>
  <c r="BK108" i="3"/>
  <c r="BJ108" i="3"/>
  <c r="BI108" i="3"/>
  <c r="BH108" i="3"/>
  <c r="BG108" i="3"/>
  <c r="BC108" i="3"/>
  <c r="BB108" i="3"/>
  <c r="AZ108" i="3"/>
  <c r="AX108" i="3"/>
  <c r="AU108" i="3"/>
  <c r="AT108" i="3"/>
  <c r="AR108" i="3"/>
  <c r="AQ108" i="3"/>
  <c r="AO108" i="3"/>
  <c r="AF108" i="3"/>
  <c r="AE108" i="3"/>
  <c r="AD108" i="3"/>
  <c r="AC108" i="3"/>
  <c r="AB108" i="3"/>
  <c r="AA108" i="3"/>
  <c r="Y108" i="3"/>
  <c r="X108" i="3"/>
  <c r="W108" i="3"/>
  <c r="V108" i="3"/>
  <c r="U108" i="3"/>
  <c r="T108" i="3"/>
  <c r="S108" i="3"/>
  <c r="Q108" i="3"/>
  <c r="O108" i="3"/>
  <c r="N108" i="3"/>
  <c r="M108" i="3"/>
  <c r="L108" i="3"/>
  <c r="K108" i="3"/>
  <c r="J108" i="3"/>
  <c r="I108" i="3"/>
  <c r="H108" i="3"/>
  <c r="G108" i="3"/>
  <c r="F108" i="3"/>
  <c r="E108" i="3"/>
  <c r="B108" i="3"/>
  <c r="BM107" i="3"/>
  <c r="BL107" i="3"/>
  <c r="BK107" i="3"/>
  <c r="BJ107" i="3"/>
  <c r="BI107" i="3"/>
  <c r="BH107" i="3"/>
  <c r="BG107" i="3"/>
  <c r="BC107" i="3"/>
  <c r="BB107" i="3"/>
  <c r="AZ107" i="3"/>
  <c r="AX107" i="3"/>
  <c r="AU107" i="3"/>
  <c r="AT107" i="3"/>
  <c r="AR107" i="3"/>
  <c r="AQ107" i="3"/>
  <c r="AO107" i="3"/>
  <c r="AK107" i="3"/>
  <c r="AJ107" i="3"/>
  <c r="AF107" i="3"/>
  <c r="AE107" i="3"/>
  <c r="AD107" i="3"/>
  <c r="AC107" i="3"/>
  <c r="AB107" i="3"/>
  <c r="AA107" i="3"/>
  <c r="Y107" i="3"/>
  <c r="X107" i="3"/>
  <c r="W107" i="3"/>
  <c r="V107" i="3"/>
  <c r="U107" i="3"/>
  <c r="T107" i="3"/>
  <c r="S107" i="3"/>
  <c r="Q107" i="3"/>
  <c r="O107" i="3"/>
  <c r="N107" i="3"/>
  <c r="M107" i="3"/>
  <c r="L107" i="3"/>
  <c r="K107" i="3"/>
  <c r="J107" i="3"/>
  <c r="I107" i="3"/>
  <c r="H107" i="3"/>
  <c r="G107" i="3"/>
  <c r="F107" i="3"/>
  <c r="E107" i="3"/>
  <c r="B107" i="3"/>
  <c r="BM106" i="3"/>
  <c r="BL106" i="3"/>
  <c r="BK106" i="3"/>
  <c r="BJ106" i="3"/>
  <c r="BI106" i="3"/>
  <c r="BH106" i="3"/>
  <c r="BG106" i="3"/>
  <c r="BC106" i="3"/>
  <c r="BB106" i="3"/>
  <c r="AZ106" i="3"/>
  <c r="AX106" i="3"/>
  <c r="AU106" i="3"/>
  <c r="AT106" i="3"/>
  <c r="AR106" i="3"/>
  <c r="AQ106" i="3"/>
  <c r="AO106" i="3"/>
  <c r="AF106" i="3"/>
  <c r="AE106" i="3"/>
  <c r="AD106" i="3"/>
  <c r="AC106" i="3"/>
  <c r="AB106" i="3"/>
  <c r="AA106" i="3"/>
  <c r="Y106" i="3"/>
  <c r="X106" i="3"/>
  <c r="W106" i="3"/>
  <c r="V106" i="3"/>
  <c r="U106" i="3"/>
  <c r="T106" i="3"/>
  <c r="S106" i="3"/>
  <c r="Q106" i="3"/>
  <c r="O106" i="3"/>
  <c r="N106" i="3"/>
  <c r="M106" i="3"/>
  <c r="L106" i="3"/>
  <c r="K106" i="3"/>
  <c r="J106" i="3"/>
  <c r="I106" i="3"/>
  <c r="H106" i="3"/>
  <c r="G106" i="3"/>
  <c r="F106" i="3"/>
  <c r="E106" i="3"/>
  <c r="B106" i="3"/>
  <c r="BM105" i="3"/>
  <c r="BL105" i="3"/>
  <c r="BK105" i="3"/>
  <c r="BJ105" i="3"/>
  <c r="BI105" i="3"/>
  <c r="BH105" i="3"/>
  <c r="BG105" i="3"/>
  <c r="BC105" i="3"/>
  <c r="BB105" i="3"/>
  <c r="AZ105" i="3"/>
  <c r="AX105" i="3"/>
  <c r="AU105" i="3"/>
  <c r="AT105" i="3"/>
  <c r="AR105" i="3"/>
  <c r="AQ105" i="3"/>
  <c r="AO105" i="3"/>
  <c r="AF105" i="3"/>
  <c r="AE105" i="3"/>
  <c r="AD105" i="3"/>
  <c r="AC105" i="3"/>
  <c r="AB105" i="3"/>
  <c r="AA105" i="3"/>
  <c r="Y105" i="3"/>
  <c r="X105" i="3"/>
  <c r="W105" i="3"/>
  <c r="V105" i="3"/>
  <c r="U105" i="3"/>
  <c r="T105" i="3"/>
  <c r="S105" i="3"/>
  <c r="Q105" i="3"/>
  <c r="O105" i="3"/>
  <c r="N105" i="3"/>
  <c r="M105" i="3"/>
  <c r="L105" i="3"/>
  <c r="K105" i="3"/>
  <c r="J105" i="3"/>
  <c r="I105" i="3"/>
  <c r="H105" i="3"/>
  <c r="G105" i="3"/>
  <c r="F105" i="3"/>
  <c r="E105" i="3"/>
  <c r="B105" i="3"/>
  <c r="BM104" i="3"/>
  <c r="BL104" i="3"/>
  <c r="BK104" i="3"/>
  <c r="BJ104" i="3"/>
  <c r="BI104" i="3"/>
  <c r="BH104" i="3"/>
  <c r="BG104" i="3"/>
  <c r="BC104" i="3"/>
  <c r="BB104" i="3"/>
  <c r="AZ104" i="3"/>
  <c r="AX104" i="3"/>
  <c r="AU104" i="3"/>
  <c r="AT104" i="3"/>
  <c r="AR104" i="3"/>
  <c r="AQ104" i="3"/>
  <c r="AO104" i="3"/>
  <c r="AK104" i="3"/>
  <c r="AJ104" i="3"/>
  <c r="AF104" i="3"/>
  <c r="AE104" i="3"/>
  <c r="AD104" i="3"/>
  <c r="AC104" i="3"/>
  <c r="AB104" i="3"/>
  <c r="AA104" i="3"/>
  <c r="Y104" i="3"/>
  <c r="X104" i="3"/>
  <c r="W104" i="3"/>
  <c r="V104" i="3"/>
  <c r="U104" i="3"/>
  <c r="T104" i="3"/>
  <c r="S104" i="3"/>
  <c r="Q104" i="3"/>
  <c r="O104" i="3"/>
  <c r="N104" i="3"/>
  <c r="M104" i="3"/>
  <c r="L104" i="3"/>
  <c r="K104" i="3"/>
  <c r="J104" i="3"/>
  <c r="I104" i="3"/>
  <c r="H104" i="3"/>
  <c r="G104" i="3"/>
  <c r="F104" i="3"/>
  <c r="E104" i="3"/>
  <c r="B104" i="3"/>
  <c r="BM103" i="3"/>
  <c r="BL103" i="3"/>
  <c r="BK103" i="3"/>
  <c r="BJ103" i="3"/>
  <c r="BI103" i="3"/>
  <c r="BH103" i="3"/>
  <c r="BG103" i="3"/>
  <c r="BC103" i="3"/>
  <c r="BB103" i="3"/>
  <c r="AZ103" i="3"/>
  <c r="AX103" i="3"/>
  <c r="AU103" i="3"/>
  <c r="AT103" i="3"/>
  <c r="AR103" i="3"/>
  <c r="AQ103" i="3"/>
  <c r="AO103" i="3"/>
  <c r="AF103" i="3"/>
  <c r="AE103" i="3"/>
  <c r="AD103" i="3"/>
  <c r="AC103" i="3"/>
  <c r="AB103" i="3"/>
  <c r="AA103" i="3"/>
  <c r="Y103" i="3"/>
  <c r="X103" i="3"/>
  <c r="W103" i="3"/>
  <c r="V103" i="3"/>
  <c r="U103" i="3"/>
  <c r="T103" i="3"/>
  <c r="S103" i="3"/>
  <c r="Q103" i="3"/>
  <c r="O103" i="3"/>
  <c r="N103" i="3"/>
  <c r="M103" i="3"/>
  <c r="L103" i="3"/>
  <c r="K103" i="3"/>
  <c r="J103" i="3"/>
  <c r="I103" i="3"/>
  <c r="H103" i="3"/>
  <c r="G103" i="3"/>
  <c r="F103" i="3"/>
  <c r="E103" i="3"/>
  <c r="B103" i="3"/>
  <c r="BM102" i="3"/>
  <c r="BL102" i="3"/>
  <c r="BK102" i="3"/>
  <c r="BJ102" i="3"/>
  <c r="BI102" i="3"/>
  <c r="BH102" i="3"/>
  <c r="BG102" i="3"/>
  <c r="BC102" i="3"/>
  <c r="BB102" i="3"/>
  <c r="AZ102" i="3"/>
  <c r="AX102" i="3"/>
  <c r="AU102" i="3"/>
  <c r="AT102" i="3"/>
  <c r="AR102" i="3"/>
  <c r="AQ102" i="3"/>
  <c r="AO102" i="3"/>
  <c r="AF102" i="3"/>
  <c r="AE102" i="3"/>
  <c r="AD102" i="3"/>
  <c r="AC102" i="3"/>
  <c r="AB102" i="3"/>
  <c r="AA102" i="3"/>
  <c r="Y102" i="3"/>
  <c r="X102" i="3"/>
  <c r="W102" i="3"/>
  <c r="V102" i="3"/>
  <c r="U102" i="3"/>
  <c r="T102" i="3"/>
  <c r="S102" i="3"/>
  <c r="Q102" i="3"/>
  <c r="O102" i="3"/>
  <c r="N102" i="3"/>
  <c r="M102" i="3"/>
  <c r="L102" i="3"/>
  <c r="K102" i="3"/>
  <c r="J102" i="3"/>
  <c r="I102" i="3"/>
  <c r="H102" i="3"/>
  <c r="G102" i="3"/>
  <c r="F102" i="3"/>
  <c r="E102" i="3"/>
  <c r="B102" i="3"/>
  <c r="BM101" i="3"/>
  <c r="BL101" i="3"/>
  <c r="BK101" i="3"/>
  <c r="BJ101" i="3"/>
  <c r="BI101" i="3"/>
  <c r="BH101" i="3"/>
  <c r="BG101" i="3"/>
  <c r="BC101" i="3"/>
  <c r="BB101" i="3"/>
  <c r="AZ101" i="3"/>
  <c r="AX101" i="3"/>
  <c r="AU101" i="3"/>
  <c r="AT101" i="3"/>
  <c r="AR101" i="3"/>
  <c r="AQ101" i="3"/>
  <c r="AO101" i="3"/>
  <c r="AK101" i="3"/>
  <c r="AJ101" i="3"/>
  <c r="AF101" i="3"/>
  <c r="AE101" i="3"/>
  <c r="AD101" i="3"/>
  <c r="AC101" i="3"/>
  <c r="AB101" i="3"/>
  <c r="AA101" i="3"/>
  <c r="Y101" i="3"/>
  <c r="X101" i="3"/>
  <c r="W101" i="3"/>
  <c r="V101" i="3"/>
  <c r="U101" i="3"/>
  <c r="T101" i="3"/>
  <c r="S101" i="3"/>
  <c r="Q101" i="3"/>
  <c r="O101" i="3"/>
  <c r="N101" i="3"/>
  <c r="M101" i="3"/>
  <c r="L101" i="3"/>
  <c r="K101" i="3"/>
  <c r="J101" i="3"/>
  <c r="I101" i="3"/>
  <c r="H101" i="3"/>
  <c r="G101" i="3"/>
  <c r="F101" i="3"/>
  <c r="E101" i="3"/>
  <c r="B101" i="3"/>
  <c r="BM100" i="3"/>
  <c r="BL100" i="3"/>
  <c r="BK100" i="3"/>
  <c r="BJ100" i="3"/>
  <c r="BI100" i="3"/>
  <c r="BH100" i="3"/>
  <c r="BG100" i="3"/>
  <c r="BC100" i="3"/>
  <c r="BB100" i="3"/>
  <c r="AZ100" i="3"/>
  <c r="AX100" i="3"/>
  <c r="AU100" i="3"/>
  <c r="AT100" i="3"/>
  <c r="AR100" i="3"/>
  <c r="AQ100" i="3"/>
  <c r="AO100" i="3"/>
  <c r="AF100" i="3"/>
  <c r="AE100" i="3"/>
  <c r="AD100" i="3"/>
  <c r="AC100" i="3"/>
  <c r="AB100" i="3"/>
  <c r="AA100" i="3"/>
  <c r="Y100" i="3"/>
  <c r="X100" i="3"/>
  <c r="W100" i="3"/>
  <c r="V100" i="3"/>
  <c r="U100" i="3"/>
  <c r="T100" i="3"/>
  <c r="S100" i="3"/>
  <c r="Q100" i="3"/>
  <c r="O100" i="3"/>
  <c r="N100" i="3"/>
  <c r="M100" i="3"/>
  <c r="L100" i="3"/>
  <c r="K100" i="3"/>
  <c r="J100" i="3"/>
  <c r="I100" i="3"/>
  <c r="H100" i="3"/>
  <c r="G100" i="3"/>
  <c r="F100" i="3"/>
  <c r="E100" i="3"/>
  <c r="B100" i="3"/>
  <c r="BM99" i="3"/>
  <c r="BL99" i="3"/>
  <c r="BK99" i="3"/>
  <c r="BJ99" i="3"/>
  <c r="BI99" i="3"/>
  <c r="BH99" i="3"/>
  <c r="BG99" i="3"/>
  <c r="BC99" i="3"/>
  <c r="BB99" i="3"/>
  <c r="AZ99" i="3"/>
  <c r="AX99" i="3"/>
  <c r="AU99" i="3"/>
  <c r="AT99" i="3"/>
  <c r="AR99" i="3"/>
  <c r="AQ99" i="3"/>
  <c r="AO99" i="3"/>
  <c r="AF99" i="3"/>
  <c r="AE99" i="3"/>
  <c r="AD99" i="3"/>
  <c r="AC99" i="3"/>
  <c r="AB99" i="3"/>
  <c r="AA99" i="3"/>
  <c r="Y99" i="3"/>
  <c r="X99" i="3"/>
  <c r="W99" i="3"/>
  <c r="V99" i="3"/>
  <c r="U99" i="3"/>
  <c r="T99" i="3"/>
  <c r="S99" i="3"/>
  <c r="Q99" i="3"/>
  <c r="O99" i="3"/>
  <c r="N99" i="3"/>
  <c r="M99" i="3"/>
  <c r="L99" i="3"/>
  <c r="K99" i="3"/>
  <c r="J99" i="3"/>
  <c r="I99" i="3"/>
  <c r="H99" i="3"/>
  <c r="G99" i="3"/>
  <c r="F99" i="3"/>
  <c r="E99" i="3"/>
  <c r="B99" i="3"/>
  <c r="BM98" i="3"/>
  <c r="BL98" i="3"/>
  <c r="BK98" i="3"/>
  <c r="BJ98" i="3"/>
  <c r="BI98" i="3"/>
  <c r="BH98" i="3"/>
  <c r="BG98" i="3"/>
  <c r="BC98" i="3"/>
  <c r="BB98" i="3"/>
  <c r="AZ98" i="3"/>
  <c r="AX98" i="3"/>
  <c r="AU98" i="3"/>
  <c r="AT98" i="3"/>
  <c r="AR98" i="3"/>
  <c r="AQ98" i="3"/>
  <c r="AO98" i="3"/>
  <c r="AK98" i="3"/>
  <c r="AJ98" i="3"/>
  <c r="AF98" i="3"/>
  <c r="AE98" i="3"/>
  <c r="AD98" i="3"/>
  <c r="AC98" i="3"/>
  <c r="AB98" i="3"/>
  <c r="AA98" i="3"/>
  <c r="Y98" i="3"/>
  <c r="X98" i="3"/>
  <c r="W98" i="3"/>
  <c r="V98" i="3"/>
  <c r="U98" i="3"/>
  <c r="T98" i="3"/>
  <c r="S98" i="3"/>
  <c r="Q98" i="3"/>
  <c r="O98" i="3"/>
  <c r="N98" i="3"/>
  <c r="M98" i="3"/>
  <c r="L98" i="3"/>
  <c r="K98" i="3"/>
  <c r="J98" i="3"/>
  <c r="I98" i="3"/>
  <c r="H98" i="3"/>
  <c r="G98" i="3"/>
  <c r="F98" i="3"/>
  <c r="E98" i="3"/>
  <c r="B98" i="3"/>
  <c r="BM97" i="3"/>
  <c r="BL97" i="3"/>
  <c r="BK97" i="3"/>
  <c r="BJ97" i="3"/>
  <c r="BI97" i="3"/>
  <c r="BH97" i="3"/>
  <c r="BG97" i="3"/>
  <c r="BC97" i="3"/>
  <c r="BB97" i="3"/>
  <c r="AZ97" i="3"/>
  <c r="AX97" i="3"/>
  <c r="AU97" i="3"/>
  <c r="AT97" i="3"/>
  <c r="AR97" i="3"/>
  <c r="AQ97" i="3"/>
  <c r="AO97" i="3"/>
  <c r="AF97" i="3"/>
  <c r="AE97" i="3"/>
  <c r="AD97" i="3"/>
  <c r="AC97" i="3"/>
  <c r="AB97" i="3"/>
  <c r="AA97" i="3"/>
  <c r="Y97" i="3"/>
  <c r="X97" i="3"/>
  <c r="W97" i="3"/>
  <c r="V97" i="3"/>
  <c r="U97" i="3"/>
  <c r="T97" i="3"/>
  <c r="S97" i="3"/>
  <c r="Q97" i="3"/>
  <c r="O97" i="3"/>
  <c r="N97" i="3"/>
  <c r="M97" i="3"/>
  <c r="L97" i="3"/>
  <c r="K97" i="3"/>
  <c r="J97" i="3"/>
  <c r="I97" i="3"/>
  <c r="H97" i="3"/>
  <c r="G97" i="3"/>
  <c r="F97" i="3"/>
  <c r="E97" i="3"/>
  <c r="B97" i="3"/>
  <c r="BM96" i="3"/>
  <c r="BL96" i="3"/>
  <c r="BK96" i="3"/>
  <c r="BJ96" i="3"/>
  <c r="BI96" i="3"/>
  <c r="BH96" i="3"/>
  <c r="BG96" i="3"/>
  <c r="BC96" i="3"/>
  <c r="BB96" i="3"/>
  <c r="AZ96" i="3"/>
  <c r="AX96" i="3"/>
  <c r="AU96" i="3"/>
  <c r="AT96" i="3"/>
  <c r="AR96" i="3"/>
  <c r="AQ96" i="3"/>
  <c r="AO96" i="3"/>
  <c r="AF96" i="3"/>
  <c r="AE96" i="3"/>
  <c r="AD96" i="3"/>
  <c r="AC96" i="3"/>
  <c r="AB96" i="3"/>
  <c r="AA96" i="3"/>
  <c r="Y96" i="3"/>
  <c r="X96" i="3"/>
  <c r="W96" i="3"/>
  <c r="V96" i="3"/>
  <c r="U96" i="3"/>
  <c r="T96" i="3"/>
  <c r="S96" i="3"/>
  <c r="Q96" i="3"/>
  <c r="O96" i="3"/>
  <c r="N96" i="3"/>
  <c r="M96" i="3"/>
  <c r="L96" i="3"/>
  <c r="K96" i="3"/>
  <c r="J96" i="3"/>
  <c r="I96" i="3"/>
  <c r="H96" i="3"/>
  <c r="G96" i="3"/>
  <c r="F96" i="3"/>
  <c r="E96" i="3"/>
  <c r="B96" i="3"/>
  <c r="BM95" i="3"/>
  <c r="BL95" i="3"/>
  <c r="BK95" i="3"/>
  <c r="BJ95" i="3"/>
  <c r="BI95" i="3"/>
  <c r="BH95" i="3"/>
  <c r="BG95" i="3"/>
  <c r="BC95" i="3"/>
  <c r="BB95" i="3"/>
  <c r="AZ95" i="3"/>
  <c r="AX95" i="3"/>
  <c r="AU95" i="3"/>
  <c r="AT95" i="3"/>
  <c r="AR95" i="3"/>
  <c r="AQ95" i="3"/>
  <c r="AO95" i="3"/>
  <c r="AK95" i="3"/>
  <c r="AJ95" i="3"/>
  <c r="AF95" i="3"/>
  <c r="AE95" i="3"/>
  <c r="AD95" i="3"/>
  <c r="AC95" i="3"/>
  <c r="AB95" i="3"/>
  <c r="AA95" i="3"/>
  <c r="Y95" i="3"/>
  <c r="X95" i="3"/>
  <c r="W95" i="3"/>
  <c r="V95" i="3"/>
  <c r="U95" i="3"/>
  <c r="T95" i="3"/>
  <c r="S95" i="3"/>
  <c r="Q95" i="3"/>
  <c r="O95" i="3"/>
  <c r="N95" i="3"/>
  <c r="M95" i="3"/>
  <c r="L95" i="3"/>
  <c r="K95" i="3"/>
  <c r="J95" i="3"/>
  <c r="I95" i="3"/>
  <c r="H95" i="3"/>
  <c r="G95" i="3"/>
  <c r="F95" i="3"/>
  <c r="E95" i="3"/>
  <c r="B95" i="3"/>
  <c r="BM94" i="3"/>
  <c r="BL94" i="3"/>
  <c r="BK94" i="3"/>
  <c r="BJ94" i="3"/>
  <c r="BI94" i="3"/>
  <c r="BH94" i="3"/>
  <c r="BG94" i="3"/>
  <c r="BC94" i="3"/>
  <c r="BB94" i="3"/>
  <c r="AZ94" i="3"/>
  <c r="AX94" i="3"/>
  <c r="AU94" i="3"/>
  <c r="AT94" i="3"/>
  <c r="AR94" i="3"/>
  <c r="AQ94" i="3"/>
  <c r="AO94" i="3"/>
  <c r="AF94" i="3"/>
  <c r="AE94" i="3"/>
  <c r="AD94" i="3"/>
  <c r="AC94" i="3"/>
  <c r="AB94" i="3"/>
  <c r="AA94" i="3"/>
  <c r="Y94" i="3"/>
  <c r="X94" i="3"/>
  <c r="W94" i="3"/>
  <c r="V94" i="3"/>
  <c r="U94" i="3"/>
  <c r="T94" i="3"/>
  <c r="S94" i="3"/>
  <c r="Q94" i="3"/>
  <c r="O94" i="3"/>
  <c r="N94" i="3"/>
  <c r="M94" i="3"/>
  <c r="L94" i="3"/>
  <c r="K94" i="3"/>
  <c r="J94" i="3"/>
  <c r="I94" i="3"/>
  <c r="H94" i="3"/>
  <c r="G94" i="3"/>
  <c r="F94" i="3"/>
  <c r="E94" i="3"/>
  <c r="B94" i="3"/>
  <c r="BM93" i="3"/>
  <c r="BL93" i="3"/>
  <c r="BK93" i="3"/>
  <c r="BJ93" i="3"/>
  <c r="BI93" i="3"/>
  <c r="BH93" i="3"/>
  <c r="BG93" i="3"/>
  <c r="BC93" i="3"/>
  <c r="BB93" i="3"/>
  <c r="AZ93" i="3"/>
  <c r="AX93" i="3"/>
  <c r="AU93" i="3"/>
  <c r="AT93" i="3"/>
  <c r="AR93" i="3"/>
  <c r="AQ93" i="3"/>
  <c r="AO93" i="3"/>
  <c r="AF93" i="3"/>
  <c r="AE93" i="3"/>
  <c r="AD93" i="3"/>
  <c r="AC93" i="3"/>
  <c r="AB93" i="3"/>
  <c r="Y93" i="3"/>
  <c r="X93" i="3"/>
  <c r="W93" i="3"/>
  <c r="V93" i="3"/>
  <c r="U93" i="3"/>
  <c r="T93" i="3"/>
  <c r="S93" i="3"/>
  <c r="Q93" i="3"/>
  <c r="O93" i="3"/>
  <c r="N93" i="3"/>
  <c r="M93" i="3"/>
  <c r="L93" i="3"/>
  <c r="K93" i="3"/>
  <c r="J93" i="3"/>
  <c r="I93" i="3"/>
  <c r="H93" i="3"/>
  <c r="G93" i="3"/>
  <c r="F93" i="3"/>
  <c r="E93" i="3"/>
  <c r="B93" i="3"/>
  <c r="BM92" i="3"/>
  <c r="BL92" i="3"/>
  <c r="BK92" i="3"/>
  <c r="BJ92" i="3"/>
  <c r="BI92" i="3"/>
  <c r="BH92" i="3"/>
  <c r="BG92" i="3"/>
  <c r="BC92" i="3"/>
  <c r="BB92" i="3"/>
  <c r="AZ92" i="3"/>
  <c r="AX92" i="3"/>
  <c r="AU92" i="3"/>
  <c r="AT92" i="3"/>
  <c r="AR92" i="3"/>
  <c r="AQ92" i="3"/>
  <c r="AO92" i="3"/>
  <c r="AK92" i="3"/>
  <c r="AJ92" i="3"/>
  <c r="AF92" i="3"/>
  <c r="AE92" i="3"/>
  <c r="AD92" i="3"/>
  <c r="AC92" i="3"/>
  <c r="AB92" i="3"/>
  <c r="AA92" i="3"/>
  <c r="Y92" i="3"/>
  <c r="X92" i="3"/>
  <c r="W92" i="3"/>
  <c r="V92" i="3"/>
  <c r="U92" i="3"/>
  <c r="T92" i="3"/>
  <c r="S92" i="3"/>
  <c r="Q92" i="3"/>
  <c r="O92" i="3"/>
  <c r="N92" i="3"/>
  <c r="M92" i="3"/>
  <c r="L92" i="3"/>
  <c r="K92" i="3"/>
  <c r="J92" i="3"/>
  <c r="I92" i="3"/>
  <c r="H92" i="3"/>
  <c r="G92" i="3"/>
  <c r="F92" i="3"/>
  <c r="E92" i="3"/>
  <c r="B92" i="3"/>
  <c r="BM91" i="3"/>
  <c r="BL91" i="3"/>
  <c r="BK91" i="3"/>
  <c r="BJ91" i="3"/>
  <c r="BI91" i="3"/>
  <c r="BH91" i="3"/>
  <c r="BG91" i="3"/>
  <c r="BC91" i="3"/>
  <c r="BB91" i="3"/>
  <c r="AZ91" i="3"/>
  <c r="AX91" i="3"/>
  <c r="AU91" i="3"/>
  <c r="AT91" i="3"/>
  <c r="AR91" i="3"/>
  <c r="AQ91" i="3"/>
  <c r="AO91" i="3"/>
  <c r="AF91" i="3"/>
  <c r="AE91" i="3"/>
  <c r="AD91" i="3"/>
  <c r="AC91" i="3"/>
  <c r="AB91" i="3"/>
  <c r="AA91" i="3"/>
  <c r="Y91" i="3"/>
  <c r="X91" i="3"/>
  <c r="W91" i="3"/>
  <c r="V91" i="3"/>
  <c r="U91" i="3"/>
  <c r="T91" i="3"/>
  <c r="S91" i="3"/>
  <c r="Q91" i="3"/>
  <c r="O91" i="3"/>
  <c r="N91" i="3"/>
  <c r="M91" i="3"/>
  <c r="L91" i="3"/>
  <c r="K91" i="3"/>
  <c r="J91" i="3"/>
  <c r="I91" i="3"/>
  <c r="H91" i="3"/>
  <c r="G91" i="3"/>
  <c r="F91" i="3"/>
  <c r="E91" i="3"/>
  <c r="B91" i="3"/>
  <c r="BM90" i="3"/>
  <c r="BL90" i="3"/>
  <c r="BK90" i="3"/>
  <c r="BJ90" i="3"/>
  <c r="BI90" i="3"/>
  <c r="BH90" i="3"/>
  <c r="BG90" i="3"/>
  <c r="BC90" i="3"/>
  <c r="BB90" i="3"/>
  <c r="AZ90" i="3"/>
  <c r="AX90" i="3"/>
  <c r="AU90" i="3"/>
  <c r="AT90" i="3"/>
  <c r="AR90" i="3"/>
  <c r="AQ90" i="3"/>
  <c r="AO90" i="3"/>
  <c r="AF90" i="3"/>
  <c r="AE90" i="3"/>
  <c r="AD90" i="3"/>
  <c r="AC90" i="3"/>
  <c r="AB90" i="3"/>
  <c r="AA90" i="3"/>
  <c r="Y90" i="3"/>
  <c r="X90" i="3"/>
  <c r="W90" i="3"/>
  <c r="V90" i="3"/>
  <c r="U90" i="3"/>
  <c r="T90" i="3"/>
  <c r="S90" i="3"/>
  <c r="Q90" i="3"/>
  <c r="O90" i="3"/>
  <c r="N90" i="3"/>
  <c r="M90" i="3"/>
  <c r="L90" i="3"/>
  <c r="K90" i="3"/>
  <c r="J90" i="3"/>
  <c r="I90" i="3"/>
  <c r="H90" i="3"/>
  <c r="G90" i="3"/>
  <c r="F90" i="3"/>
  <c r="E90" i="3"/>
  <c r="B90" i="3"/>
  <c r="BM89" i="3"/>
  <c r="BL89" i="3"/>
  <c r="BK89" i="3"/>
  <c r="BJ89" i="3"/>
  <c r="BI89" i="3"/>
  <c r="BH89" i="3"/>
  <c r="BG89" i="3"/>
  <c r="BC89" i="3"/>
  <c r="BB89" i="3"/>
  <c r="AZ89" i="3"/>
  <c r="AX89" i="3"/>
  <c r="AU89" i="3"/>
  <c r="AT89" i="3"/>
  <c r="AR89" i="3"/>
  <c r="AQ89" i="3"/>
  <c r="AO89" i="3"/>
  <c r="AK89" i="3"/>
  <c r="AJ89" i="3"/>
  <c r="AF89" i="3"/>
  <c r="AE89" i="3"/>
  <c r="AD89" i="3"/>
  <c r="AC89" i="3"/>
  <c r="AB89" i="3"/>
  <c r="AA89" i="3"/>
  <c r="Y89" i="3"/>
  <c r="X89" i="3"/>
  <c r="W89" i="3"/>
  <c r="V89" i="3"/>
  <c r="U89" i="3"/>
  <c r="T89" i="3"/>
  <c r="S89" i="3"/>
  <c r="Q89" i="3"/>
  <c r="O89" i="3"/>
  <c r="N89" i="3"/>
  <c r="M89" i="3"/>
  <c r="L89" i="3"/>
  <c r="K89" i="3"/>
  <c r="J89" i="3"/>
  <c r="I89" i="3"/>
  <c r="H89" i="3"/>
  <c r="G89" i="3"/>
  <c r="F89" i="3"/>
  <c r="E89" i="3"/>
  <c r="B89" i="3"/>
  <c r="BM88" i="3"/>
  <c r="BL88" i="3"/>
  <c r="BK88" i="3"/>
  <c r="BJ88" i="3"/>
  <c r="BI88" i="3"/>
  <c r="BH88" i="3"/>
  <c r="BG88" i="3"/>
  <c r="BC88" i="3"/>
  <c r="BB88" i="3"/>
  <c r="AZ88" i="3"/>
  <c r="AX88" i="3"/>
  <c r="AU88" i="3"/>
  <c r="AT88" i="3"/>
  <c r="AR88" i="3"/>
  <c r="AQ88" i="3"/>
  <c r="AO88" i="3"/>
  <c r="AF88" i="3"/>
  <c r="AE88" i="3"/>
  <c r="AD88" i="3"/>
  <c r="AC88" i="3"/>
  <c r="AB88" i="3"/>
  <c r="AA88" i="3"/>
  <c r="Y88" i="3"/>
  <c r="X88" i="3"/>
  <c r="W88" i="3"/>
  <c r="V88" i="3"/>
  <c r="U88" i="3"/>
  <c r="T88" i="3"/>
  <c r="S88" i="3"/>
  <c r="Q88" i="3"/>
  <c r="O88" i="3"/>
  <c r="N88" i="3"/>
  <c r="M88" i="3"/>
  <c r="L88" i="3"/>
  <c r="K88" i="3"/>
  <c r="J88" i="3"/>
  <c r="I88" i="3"/>
  <c r="H88" i="3"/>
  <c r="G88" i="3"/>
  <c r="F88" i="3"/>
  <c r="E88" i="3"/>
  <c r="B88" i="3"/>
  <c r="BM87" i="3"/>
  <c r="BL87" i="3"/>
  <c r="BK87" i="3"/>
  <c r="BJ87" i="3"/>
  <c r="BI87" i="3"/>
  <c r="BH87" i="3"/>
  <c r="BG87" i="3"/>
  <c r="BC87" i="3"/>
  <c r="BB87" i="3"/>
  <c r="AZ87" i="3"/>
  <c r="AX87" i="3"/>
  <c r="AU87" i="3"/>
  <c r="AT87" i="3"/>
  <c r="AR87" i="3"/>
  <c r="AQ87" i="3"/>
  <c r="AO87" i="3"/>
  <c r="AF87" i="3"/>
  <c r="AE87" i="3"/>
  <c r="AD87" i="3"/>
  <c r="AC87" i="3"/>
  <c r="AB87" i="3"/>
  <c r="AA87" i="3"/>
  <c r="Y87" i="3"/>
  <c r="X87" i="3"/>
  <c r="W87" i="3"/>
  <c r="V87" i="3"/>
  <c r="U87" i="3"/>
  <c r="T87" i="3"/>
  <c r="S87" i="3"/>
  <c r="Q87" i="3"/>
  <c r="O87" i="3"/>
  <c r="N87" i="3"/>
  <c r="M87" i="3"/>
  <c r="L87" i="3"/>
  <c r="K87" i="3"/>
  <c r="J87" i="3"/>
  <c r="I87" i="3"/>
  <c r="H87" i="3"/>
  <c r="G87" i="3"/>
  <c r="F87" i="3"/>
  <c r="E87" i="3"/>
  <c r="B87" i="3"/>
  <c r="BM86" i="3"/>
  <c r="BL86" i="3"/>
  <c r="BK86" i="3"/>
  <c r="BJ86" i="3"/>
  <c r="BI86" i="3"/>
  <c r="BH86" i="3"/>
  <c r="BG86" i="3"/>
  <c r="BC86" i="3"/>
  <c r="BB86" i="3"/>
  <c r="AZ86" i="3"/>
  <c r="AX86" i="3"/>
  <c r="AU86" i="3"/>
  <c r="AT86" i="3"/>
  <c r="AR86" i="3"/>
  <c r="AQ86" i="3"/>
  <c r="AO86" i="3"/>
  <c r="AK86" i="3"/>
  <c r="AJ86" i="3"/>
  <c r="AF86" i="3"/>
  <c r="AE86" i="3"/>
  <c r="AD86" i="3"/>
  <c r="AC86" i="3"/>
  <c r="AB86" i="3"/>
  <c r="AA86" i="3"/>
  <c r="Y86" i="3"/>
  <c r="X86" i="3"/>
  <c r="W86" i="3"/>
  <c r="V86" i="3"/>
  <c r="U86" i="3"/>
  <c r="T86" i="3"/>
  <c r="S86" i="3"/>
  <c r="Q86" i="3"/>
  <c r="O86" i="3"/>
  <c r="N86" i="3"/>
  <c r="M86" i="3"/>
  <c r="L86" i="3"/>
  <c r="K86" i="3"/>
  <c r="J86" i="3"/>
  <c r="I86" i="3"/>
  <c r="H86" i="3"/>
  <c r="G86" i="3"/>
  <c r="F86" i="3"/>
  <c r="E86" i="3"/>
  <c r="B86" i="3"/>
  <c r="BM85" i="3"/>
  <c r="BL85" i="3"/>
  <c r="BK85" i="3"/>
  <c r="BJ85" i="3"/>
  <c r="BI85" i="3"/>
  <c r="BH85" i="3"/>
  <c r="BG85" i="3"/>
  <c r="BC85" i="3"/>
  <c r="BB85" i="3"/>
  <c r="AZ85" i="3"/>
  <c r="AX85" i="3"/>
  <c r="AU85" i="3"/>
  <c r="AT85" i="3"/>
  <c r="AR85" i="3"/>
  <c r="AQ85" i="3"/>
  <c r="AO85" i="3"/>
  <c r="AF85" i="3"/>
  <c r="AE85" i="3"/>
  <c r="AD85" i="3"/>
  <c r="AC85" i="3"/>
  <c r="AB85" i="3"/>
  <c r="AA85" i="3"/>
  <c r="Y85" i="3"/>
  <c r="X85" i="3"/>
  <c r="W85" i="3"/>
  <c r="V85" i="3"/>
  <c r="U85" i="3"/>
  <c r="T85" i="3"/>
  <c r="S85" i="3"/>
  <c r="Q85" i="3"/>
  <c r="O85" i="3"/>
  <c r="N85" i="3"/>
  <c r="M85" i="3"/>
  <c r="L85" i="3"/>
  <c r="K85" i="3"/>
  <c r="J85" i="3"/>
  <c r="I85" i="3"/>
  <c r="H85" i="3"/>
  <c r="G85" i="3"/>
  <c r="F85" i="3"/>
  <c r="E85" i="3"/>
  <c r="B85" i="3"/>
  <c r="BM84" i="3"/>
  <c r="BL84" i="3"/>
  <c r="BK84" i="3"/>
  <c r="BJ84" i="3"/>
  <c r="BI84" i="3"/>
  <c r="BH84" i="3"/>
  <c r="BG84" i="3"/>
  <c r="BC84" i="3"/>
  <c r="BB84" i="3"/>
  <c r="AZ84" i="3"/>
  <c r="AX84" i="3"/>
  <c r="AU84" i="3"/>
  <c r="AT84" i="3"/>
  <c r="AR84" i="3"/>
  <c r="AQ84" i="3"/>
  <c r="AO84" i="3"/>
  <c r="AF84" i="3"/>
  <c r="AE84" i="3"/>
  <c r="AD84" i="3"/>
  <c r="AC84" i="3"/>
  <c r="AB84" i="3"/>
  <c r="AA84" i="3"/>
  <c r="Y84" i="3"/>
  <c r="X84" i="3"/>
  <c r="W84" i="3"/>
  <c r="V84" i="3"/>
  <c r="U84" i="3"/>
  <c r="T84" i="3"/>
  <c r="S84" i="3"/>
  <c r="Q84" i="3"/>
  <c r="O84" i="3"/>
  <c r="N84" i="3"/>
  <c r="M84" i="3"/>
  <c r="L84" i="3"/>
  <c r="K84" i="3"/>
  <c r="J84" i="3"/>
  <c r="I84" i="3"/>
  <c r="H84" i="3"/>
  <c r="G84" i="3"/>
  <c r="F84" i="3"/>
  <c r="E84" i="3"/>
  <c r="B84" i="3"/>
  <c r="BM83" i="3"/>
  <c r="BL83" i="3"/>
  <c r="BK83" i="3"/>
  <c r="BJ83" i="3"/>
  <c r="BI83" i="3"/>
  <c r="BH83" i="3"/>
  <c r="BG83" i="3"/>
  <c r="BC83" i="3"/>
  <c r="BB83" i="3"/>
  <c r="AZ83" i="3"/>
  <c r="AX83" i="3"/>
  <c r="AU83" i="3"/>
  <c r="AT83" i="3"/>
  <c r="AR83" i="3"/>
  <c r="AQ83" i="3"/>
  <c r="AO83" i="3"/>
  <c r="AK83" i="3"/>
  <c r="AJ83" i="3"/>
  <c r="AF83" i="3"/>
  <c r="AE83" i="3"/>
  <c r="AD83" i="3"/>
  <c r="AC83" i="3"/>
  <c r="AB83" i="3"/>
  <c r="AA83" i="3"/>
  <c r="Y83" i="3"/>
  <c r="X83" i="3"/>
  <c r="W83" i="3"/>
  <c r="V83" i="3"/>
  <c r="U83" i="3"/>
  <c r="T83" i="3"/>
  <c r="S83" i="3"/>
  <c r="Q83" i="3"/>
  <c r="O83" i="3"/>
  <c r="N83" i="3"/>
  <c r="M83" i="3"/>
  <c r="L83" i="3"/>
  <c r="K83" i="3"/>
  <c r="J83" i="3"/>
  <c r="I83" i="3"/>
  <c r="H83" i="3"/>
  <c r="G83" i="3"/>
  <c r="F83" i="3"/>
  <c r="E83" i="3"/>
  <c r="B83" i="3"/>
  <c r="BM82" i="3"/>
  <c r="BL82" i="3"/>
  <c r="BK82" i="3"/>
  <c r="BJ82" i="3"/>
  <c r="BI82" i="3"/>
  <c r="BH82" i="3"/>
  <c r="BG82" i="3"/>
  <c r="BC82" i="3"/>
  <c r="BB82" i="3"/>
  <c r="AZ82" i="3"/>
  <c r="AX82" i="3"/>
  <c r="AU82" i="3"/>
  <c r="AT82" i="3"/>
  <c r="AR82" i="3"/>
  <c r="AQ82" i="3"/>
  <c r="AO82" i="3"/>
  <c r="AF82" i="3"/>
  <c r="AE82" i="3"/>
  <c r="AD82" i="3"/>
  <c r="AC82" i="3"/>
  <c r="AB82" i="3"/>
  <c r="AA82" i="3"/>
  <c r="Y82" i="3"/>
  <c r="X82" i="3"/>
  <c r="W82" i="3"/>
  <c r="V82" i="3"/>
  <c r="U82" i="3"/>
  <c r="T82" i="3"/>
  <c r="S82" i="3"/>
  <c r="Q82" i="3"/>
  <c r="O82" i="3"/>
  <c r="N82" i="3"/>
  <c r="M82" i="3"/>
  <c r="L82" i="3"/>
  <c r="K82" i="3"/>
  <c r="J82" i="3"/>
  <c r="I82" i="3"/>
  <c r="H82" i="3"/>
  <c r="G82" i="3"/>
  <c r="F82" i="3"/>
  <c r="E82" i="3"/>
  <c r="B82" i="3"/>
  <c r="BM81" i="3"/>
  <c r="BL81" i="3"/>
  <c r="BK81" i="3"/>
  <c r="BJ81" i="3"/>
  <c r="BI81" i="3"/>
  <c r="BH81" i="3"/>
  <c r="BG81" i="3"/>
  <c r="BC81" i="3"/>
  <c r="BB81" i="3"/>
  <c r="AZ81" i="3"/>
  <c r="AX81" i="3"/>
  <c r="AU81" i="3"/>
  <c r="AT81" i="3"/>
  <c r="AR81" i="3"/>
  <c r="AQ81" i="3"/>
  <c r="AO81" i="3"/>
  <c r="AF81" i="3"/>
  <c r="AE81" i="3"/>
  <c r="AD81" i="3"/>
  <c r="AC81" i="3"/>
  <c r="AB81" i="3"/>
  <c r="AA81" i="3"/>
  <c r="Y81" i="3"/>
  <c r="X81" i="3"/>
  <c r="W81" i="3"/>
  <c r="V81" i="3"/>
  <c r="U81" i="3"/>
  <c r="T81" i="3"/>
  <c r="S81" i="3"/>
  <c r="Q81" i="3"/>
  <c r="O81" i="3"/>
  <c r="N81" i="3"/>
  <c r="M81" i="3"/>
  <c r="L81" i="3"/>
  <c r="K81" i="3"/>
  <c r="J81" i="3"/>
  <c r="I81" i="3"/>
  <c r="H81" i="3"/>
  <c r="G81" i="3"/>
  <c r="F81" i="3"/>
  <c r="E81" i="3"/>
  <c r="B81" i="3"/>
  <c r="BM80" i="3"/>
  <c r="BL80" i="3"/>
  <c r="BK80" i="3"/>
  <c r="BJ80" i="3"/>
  <c r="BI80" i="3"/>
  <c r="BH80" i="3"/>
  <c r="BG80" i="3"/>
  <c r="BC80" i="3"/>
  <c r="BB80" i="3"/>
  <c r="AZ80" i="3"/>
  <c r="AX80" i="3"/>
  <c r="AU80" i="3"/>
  <c r="AT80" i="3"/>
  <c r="AR80" i="3"/>
  <c r="AQ80" i="3"/>
  <c r="AO80" i="3"/>
  <c r="AK80" i="3"/>
  <c r="AJ80" i="3"/>
  <c r="AF80" i="3"/>
  <c r="AE80" i="3"/>
  <c r="AD80" i="3"/>
  <c r="AC80" i="3"/>
  <c r="AB80" i="3"/>
  <c r="AA80" i="3"/>
  <c r="Y80" i="3"/>
  <c r="X80" i="3"/>
  <c r="W80" i="3"/>
  <c r="V80" i="3"/>
  <c r="U80" i="3"/>
  <c r="T80" i="3"/>
  <c r="S80" i="3"/>
  <c r="Q80" i="3"/>
  <c r="O80" i="3"/>
  <c r="N80" i="3"/>
  <c r="M80" i="3"/>
  <c r="L80" i="3"/>
  <c r="K80" i="3"/>
  <c r="J80" i="3"/>
  <c r="I80" i="3"/>
  <c r="H80" i="3"/>
  <c r="G80" i="3"/>
  <c r="F80" i="3"/>
  <c r="E80" i="3"/>
  <c r="B80" i="3"/>
  <c r="BM79" i="3"/>
  <c r="BL79" i="3"/>
  <c r="BK79" i="3"/>
  <c r="BJ79" i="3"/>
  <c r="BI79" i="3"/>
  <c r="BH79" i="3"/>
  <c r="BG79" i="3"/>
  <c r="BC79" i="3"/>
  <c r="BB79" i="3"/>
  <c r="AZ79" i="3"/>
  <c r="AX79" i="3"/>
  <c r="AU79" i="3"/>
  <c r="AT79" i="3"/>
  <c r="AR79" i="3"/>
  <c r="AQ79" i="3"/>
  <c r="AO79" i="3"/>
  <c r="AF79" i="3"/>
  <c r="AE79" i="3"/>
  <c r="AD79" i="3"/>
  <c r="AC79" i="3"/>
  <c r="AB79" i="3"/>
  <c r="AA79" i="3"/>
  <c r="Y79" i="3"/>
  <c r="X79" i="3"/>
  <c r="W79" i="3"/>
  <c r="V79" i="3"/>
  <c r="U79" i="3"/>
  <c r="T79" i="3"/>
  <c r="S79" i="3"/>
  <c r="Q79" i="3"/>
  <c r="O79" i="3"/>
  <c r="N79" i="3"/>
  <c r="M79" i="3"/>
  <c r="L79" i="3"/>
  <c r="K79" i="3"/>
  <c r="J79" i="3"/>
  <c r="I79" i="3"/>
  <c r="H79" i="3"/>
  <c r="G79" i="3"/>
  <c r="F79" i="3"/>
  <c r="E79" i="3"/>
  <c r="B79" i="3"/>
  <c r="BM78" i="3"/>
  <c r="BL78" i="3"/>
  <c r="BK78" i="3"/>
  <c r="BJ78" i="3"/>
  <c r="BI78" i="3"/>
  <c r="BH78" i="3"/>
  <c r="BG78" i="3"/>
  <c r="BC78" i="3"/>
  <c r="BB78" i="3"/>
  <c r="AZ78" i="3"/>
  <c r="AX78" i="3"/>
  <c r="AU78" i="3"/>
  <c r="AT78" i="3"/>
  <c r="AR78" i="3"/>
  <c r="AQ78" i="3"/>
  <c r="AO78" i="3"/>
  <c r="AF78" i="3"/>
  <c r="AE78" i="3"/>
  <c r="AD78" i="3"/>
  <c r="AC78" i="3"/>
  <c r="AB78" i="3"/>
  <c r="AA78" i="3"/>
  <c r="Y78" i="3"/>
  <c r="X78" i="3"/>
  <c r="W78" i="3"/>
  <c r="V78" i="3"/>
  <c r="U78" i="3"/>
  <c r="T78" i="3"/>
  <c r="S78" i="3"/>
  <c r="Q78" i="3"/>
  <c r="O78" i="3"/>
  <c r="N78" i="3"/>
  <c r="M78" i="3"/>
  <c r="L78" i="3"/>
  <c r="K78" i="3"/>
  <c r="J78" i="3"/>
  <c r="I78" i="3"/>
  <c r="H78" i="3"/>
  <c r="G78" i="3"/>
  <c r="F78" i="3"/>
  <c r="E78" i="3"/>
  <c r="B78" i="3"/>
  <c r="BM77" i="3"/>
  <c r="BL77" i="3"/>
  <c r="BK77" i="3"/>
  <c r="BJ77" i="3"/>
  <c r="BI77" i="3"/>
  <c r="BH77" i="3"/>
  <c r="BG77" i="3"/>
  <c r="BC77" i="3"/>
  <c r="BB77" i="3"/>
  <c r="AZ77" i="3"/>
  <c r="AX77" i="3"/>
  <c r="AU77" i="3"/>
  <c r="AT77" i="3"/>
  <c r="AR77" i="3"/>
  <c r="AQ77" i="3"/>
  <c r="AO77" i="3"/>
  <c r="AK77" i="3"/>
  <c r="AJ77" i="3"/>
  <c r="AF77" i="3"/>
  <c r="AE77" i="3"/>
  <c r="AD77" i="3"/>
  <c r="AC77" i="3"/>
  <c r="AB77" i="3"/>
  <c r="AA77" i="3"/>
  <c r="Y77" i="3"/>
  <c r="X77" i="3"/>
  <c r="W77" i="3"/>
  <c r="V77" i="3"/>
  <c r="U77" i="3"/>
  <c r="T77" i="3"/>
  <c r="S77" i="3"/>
  <c r="Q77" i="3"/>
  <c r="O77" i="3"/>
  <c r="N77" i="3"/>
  <c r="M77" i="3"/>
  <c r="L77" i="3"/>
  <c r="K77" i="3"/>
  <c r="J77" i="3"/>
  <c r="I77" i="3"/>
  <c r="H77" i="3"/>
  <c r="G77" i="3"/>
  <c r="F77" i="3"/>
  <c r="E77" i="3"/>
  <c r="B77" i="3"/>
  <c r="BM76" i="3"/>
  <c r="BL76" i="3"/>
  <c r="BK76" i="3"/>
  <c r="BJ76" i="3"/>
  <c r="BI76" i="3"/>
  <c r="BH76" i="3"/>
  <c r="BG76" i="3"/>
  <c r="BC76" i="3"/>
  <c r="BB76" i="3"/>
  <c r="AZ76" i="3"/>
  <c r="AX76" i="3"/>
  <c r="AU76" i="3"/>
  <c r="AT76" i="3"/>
  <c r="AR76" i="3"/>
  <c r="AQ76" i="3"/>
  <c r="AO76" i="3"/>
  <c r="AF76" i="3"/>
  <c r="AE76" i="3"/>
  <c r="AD76" i="3"/>
  <c r="AC76" i="3"/>
  <c r="AB76" i="3"/>
  <c r="AA76" i="3"/>
  <c r="Y76" i="3"/>
  <c r="X76" i="3"/>
  <c r="W76" i="3"/>
  <c r="V76" i="3"/>
  <c r="U76" i="3"/>
  <c r="T76" i="3"/>
  <c r="S76" i="3"/>
  <c r="M27" i="5" s="1"/>
  <c r="Q76" i="3"/>
  <c r="O76" i="3"/>
  <c r="N76" i="3"/>
  <c r="M76" i="3"/>
  <c r="B65" i="1" s="1"/>
  <c r="L76" i="3"/>
  <c r="K76" i="3"/>
  <c r="J76" i="3"/>
  <c r="I76" i="3"/>
  <c r="H76" i="3"/>
  <c r="G76" i="3"/>
  <c r="F76" i="3"/>
  <c r="E76" i="3"/>
  <c r="B76" i="3"/>
  <c r="BM75" i="3"/>
  <c r="BL75" i="3"/>
  <c r="BK75" i="3"/>
  <c r="BJ75" i="3"/>
  <c r="BI75" i="3"/>
  <c r="BH75" i="3"/>
  <c r="BG75" i="3"/>
  <c r="BC75" i="3"/>
  <c r="BB75" i="3"/>
  <c r="AZ75" i="3"/>
  <c r="AX75" i="3"/>
  <c r="AU75" i="3"/>
  <c r="AT75" i="3"/>
  <c r="AR75" i="3"/>
  <c r="AQ75" i="3"/>
  <c r="AO75" i="3"/>
  <c r="AF75" i="3"/>
  <c r="AE75" i="3"/>
  <c r="AD75" i="3"/>
  <c r="AC75" i="3"/>
  <c r="AB75" i="3"/>
  <c r="AA75" i="3"/>
  <c r="Y75" i="3"/>
  <c r="X75" i="3"/>
  <c r="W75" i="3"/>
  <c r="V75" i="3"/>
  <c r="U75" i="3"/>
  <c r="T75" i="3"/>
  <c r="S75" i="3"/>
  <c r="Q75" i="3"/>
  <c r="O75" i="3"/>
  <c r="N75" i="3"/>
  <c r="M75" i="3"/>
  <c r="L75" i="3"/>
  <c r="K75" i="3"/>
  <c r="J75" i="3"/>
  <c r="I75" i="3"/>
  <c r="H75" i="3"/>
  <c r="G75" i="3"/>
  <c r="F75" i="3"/>
  <c r="E75" i="3"/>
  <c r="B75" i="3"/>
  <c r="BM74" i="3"/>
  <c r="BL74" i="3"/>
  <c r="BK74" i="3"/>
  <c r="BJ74" i="3"/>
  <c r="BI74" i="3"/>
  <c r="BH74" i="3"/>
  <c r="BG74" i="3"/>
  <c r="BC74" i="3"/>
  <c r="BB74" i="3"/>
  <c r="AZ74" i="3"/>
  <c r="AX74" i="3"/>
  <c r="AU74" i="3"/>
  <c r="AT74" i="3"/>
  <c r="AR74" i="3"/>
  <c r="AQ74" i="3"/>
  <c r="AO74" i="3"/>
  <c r="AK74" i="3"/>
  <c r="AJ74" i="3"/>
  <c r="AF74" i="3"/>
  <c r="AE74" i="3"/>
  <c r="AD74" i="3"/>
  <c r="AC74" i="3"/>
  <c r="AB74" i="3"/>
  <c r="AA74" i="3"/>
  <c r="Y74" i="3"/>
  <c r="X74" i="3"/>
  <c r="W74" i="3"/>
  <c r="V74" i="3"/>
  <c r="U74" i="3"/>
  <c r="T74" i="3"/>
  <c r="S74" i="3"/>
  <c r="Q74" i="3"/>
  <c r="O74" i="3"/>
  <c r="N74" i="3"/>
  <c r="M74" i="3"/>
  <c r="L74" i="3"/>
  <c r="K74" i="3"/>
  <c r="J74" i="3"/>
  <c r="I74" i="3"/>
  <c r="H74" i="3"/>
  <c r="G74" i="3"/>
  <c r="F74" i="3"/>
  <c r="E74" i="3"/>
  <c r="B74" i="3"/>
  <c r="BM73" i="3"/>
  <c r="BL73" i="3"/>
  <c r="BK73" i="3"/>
  <c r="BJ73" i="3"/>
  <c r="BI73" i="3"/>
  <c r="BH73" i="3"/>
  <c r="BG73" i="3"/>
  <c r="BC73" i="3"/>
  <c r="BB73" i="3"/>
  <c r="AZ73" i="3"/>
  <c r="AX73" i="3"/>
  <c r="AU73" i="3"/>
  <c r="AT73" i="3"/>
  <c r="AR73" i="3"/>
  <c r="AQ73" i="3"/>
  <c r="AO73" i="3"/>
  <c r="AF73" i="3"/>
  <c r="AE73" i="3"/>
  <c r="AD73" i="3"/>
  <c r="AC73" i="3"/>
  <c r="AB73" i="3"/>
  <c r="AA73" i="3"/>
  <c r="Y73" i="3"/>
  <c r="X73" i="3"/>
  <c r="W73" i="3"/>
  <c r="V73" i="3"/>
  <c r="U73" i="3"/>
  <c r="T73" i="3"/>
  <c r="S73" i="3"/>
  <c r="Q73" i="3"/>
  <c r="O73" i="3"/>
  <c r="N73" i="3"/>
  <c r="M73" i="3"/>
  <c r="L73" i="3"/>
  <c r="K73" i="3"/>
  <c r="J73" i="3"/>
  <c r="I73" i="3"/>
  <c r="H73" i="3"/>
  <c r="G73" i="3"/>
  <c r="F73" i="3"/>
  <c r="E73" i="3"/>
  <c r="B73" i="3"/>
  <c r="BM72" i="3"/>
  <c r="BL72" i="3"/>
  <c r="BK72" i="3"/>
  <c r="BJ72" i="3"/>
  <c r="BI72" i="3"/>
  <c r="BH72" i="3"/>
  <c r="BG72" i="3"/>
  <c r="BC72" i="3"/>
  <c r="BB72" i="3"/>
  <c r="AZ72" i="3"/>
  <c r="AX72" i="3"/>
  <c r="AU72" i="3"/>
  <c r="AT72" i="3"/>
  <c r="AR72" i="3"/>
  <c r="AQ72" i="3"/>
  <c r="AO72" i="3"/>
  <c r="AF72" i="3"/>
  <c r="AE72" i="3"/>
  <c r="AD72" i="3"/>
  <c r="AC72" i="3"/>
  <c r="AB72" i="3"/>
  <c r="AA72" i="3"/>
  <c r="Y72" i="3"/>
  <c r="X72" i="3"/>
  <c r="W72" i="3"/>
  <c r="V72" i="3"/>
  <c r="U72" i="3"/>
  <c r="T72" i="3"/>
  <c r="S72" i="3"/>
  <c r="Q72" i="3"/>
  <c r="O72" i="3"/>
  <c r="N72" i="3"/>
  <c r="M72" i="3"/>
  <c r="L72" i="3"/>
  <c r="K72" i="3"/>
  <c r="J72" i="3"/>
  <c r="I72" i="3"/>
  <c r="H72" i="3"/>
  <c r="G72" i="3"/>
  <c r="F72" i="3"/>
  <c r="E72" i="3"/>
  <c r="B72" i="3"/>
  <c r="BM71" i="3"/>
  <c r="BL71" i="3"/>
  <c r="BK71" i="3"/>
  <c r="BJ71" i="3"/>
  <c r="BI71" i="3"/>
  <c r="BH71" i="3"/>
  <c r="BG71" i="3"/>
  <c r="BC71" i="3"/>
  <c r="BB71" i="3"/>
  <c r="AZ71" i="3"/>
  <c r="AX71" i="3"/>
  <c r="AU71" i="3"/>
  <c r="AT71" i="3"/>
  <c r="AR71" i="3"/>
  <c r="AQ71" i="3"/>
  <c r="AO71" i="3"/>
  <c r="AK71" i="3"/>
  <c r="AJ71" i="3"/>
  <c r="AF71" i="3"/>
  <c r="AE71" i="3"/>
  <c r="AD71" i="3"/>
  <c r="AC71" i="3"/>
  <c r="AB71" i="3"/>
  <c r="AA71" i="3"/>
  <c r="Y71" i="3"/>
  <c r="X71" i="3"/>
  <c r="W71" i="3"/>
  <c r="V71" i="3"/>
  <c r="U71" i="3"/>
  <c r="T71" i="3"/>
  <c r="S71" i="3"/>
  <c r="Q71" i="3"/>
  <c r="O71" i="3"/>
  <c r="N71" i="3"/>
  <c r="M71" i="3"/>
  <c r="L71" i="3"/>
  <c r="K71" i="3"/>
  <c r="J71" i="3"/>
  <c r="I71" i="3"/>
  <c r="H71" i="3"/>
  <c r="G71" i="3"/>
  <c r="F71" i="3"/>
  <c r="E71" i="3"/>
  <c r="B71" i="3"/>
  <c r="BM70" i="3"/>
  <c r="BL70" i="3"/>
  <c r="BK70" i="3"/>
  <c r="BJ70" i="3"/>
  <c r="BI70" i="3"/>
  <c r="BH70" i="3"/>
  <c r="BG70" i="3"/>
  <c r="BC70" i="3"/>
  <c r="BB70" i="3"/>
  <c r="AZ70" i="3"/>
  <c r="AX70" i="3"/>
  <c r="AU70" i="3"/>
  <c r="AT70" i="3"/>
  <c r="AR70" i="3"/>
  <c r="AQ70" i="3"/>
  <c r="AO70" i="3"/>
  <c r="AF70" i="3"/>
  <c r="AE70" i="3"/>
  <c r="AD70" i="3"/>
  <c r="AC70" i="3"/>
  <c r="AB70" i="3"/>
  <c r="AA70" i="3"/>
  <c r="Y70" i="3"/>
  <c r="X70" i="3"/>
  <c r="W70" i="3"/>
  <c r="V70" i="3"/>
  <c r="U70" i="3"/>
  <c r="T70" i="3"/>
  <c r="S70" i="3"/>
  <c r="Q70" i="3"/>
  <c r="O70" i="3"/>
  <c r="N70" i="3"/>
  <c r="M70" i="3"/>
  <c r="L70" i="3"/>
  <c r="K70" i="3"/>
  <c r="J70" i="3"/>
  <c r="I70" i="3"/>
  <c r="H70" i="3"/>
  <c r="G70" i="3"/>
  <c r="F70" i="3"/>
  <c r="E70" i="3"/>
  <c r="B70" i="3"/>
  <c r="BM69" i="3"/>
  <c r="BL69" i="3"/>
  <c r="BK69" i="3"/>
  <c r="BJ69" i="3"/>
  <c r="BI69" i="3"/>
  <c r="BH69" i="3"/>
  <c r="BG69" i="3"/>
  <c r="BC69" i="3"/>
  <c r="BB69" i="3"/>
  <c r="AZ69" i="3"/>
  <c r="AX69" i="3"/>
  <c r="AU69" i="3"/>
  <c r="AT69" i="3"/>
  <c r="AR69" i="3"/>
  <c r="AQ69" i="3"/>
  <c r="AO69" i="3"/>
  <c r="AF69" i="3"/>
  <c r="AE69" i="3"/>
  <c r="AD69" i="3"/>
  <c r="AC69" i="3"/>
  <c r="AB69" i="3"/>
  <c r="AA69" i="3"/>
  <c r="Y69" i="3"/>
  <c r="X69" i="3"/>
  <c r="W69" i="3"/>
  <c r="V69" i="3"/>
  <c r="U69" i="3"/>
  <c r="T69" i="3"/>
  <c r="S69" i="3"/>
  <c r="Q69" i="3"/>
  <c r="O69" i="3"/>
  <c r="N69" i="3"/>
  <c r="M69" i="3"/>
  <c r="L69" i="3"/>
  <c r="K69" i="3"/>
  <c r="J69" i="3"/>
  <c r="I69" i="3"/>
  <c r="H69" i="3"/>
  <c r="G69" i="3"/>
  <c r="F69" i="3"/>
  <c r="E69" i="3"/>
  <c r="B69" i="3"/>
  <c r="BM68" i="3"/>
  <c r="BL68" i="3"/>
  <c r="BK68" i="3"/>
  <c r="BJ68" i="3"/>
  <c r="BI68" i="3"/>
  <c r="BH68" i="3"/>
  <c r="BG68" i="3"/>
  <c r="BC68" i="3"/>
  <c r="BB68" i="3"/>
  <c r="AZ68" i="3"/>
  <c r="AX68" i="3"/>
  <c r="AU68" i="3"/>
  <c r="AT68" i="3"/>
  <c r="AR68" i="3"/>
  <c r="AQ68" i="3"/>
  <c r="AO68" i="3"/>
  <c r="AK68" i="3"/>
  <c r="AJ68" i="3"/>
  <c r="AF68" i="3"/>
  <c r="AE68" i="3"/>
  <c r="AD68" i="3"/>
  <c r="AC68" i="3"/>
  <c r="AB68" i="3"/>
  <c r="AA68" i="3"/>
  <c r="Y68" i="3"/>
  <c r="X68" i="3"/>
  <c r="W68" i="3"/>
  <c r="V68" i="3"/>
  <c r="U68" i="3"/>
  <c r="T68" i="3"/>
  <c r="S68" i="3"/>
  <c r="Q68" i="3"/>
  <c r="O68" i="3"/>
  <c r="N68" i="3"/>
  <c r="M68" i="3"/>
  <c r="L68" i="3"/>
  <c r="K68" i="3"/>
  <c r="J68" i="3"/>
  <c r="I68" i="3"/>
  <c r="H68" i="3"/>
  <c r="G68" i="3"/>
  <c r="F68" i="3"/>
  <c r="E68" i="3"/>
  <c r="B68" i="3"/>
  <c r="BM67" i="3"/>
  <c r="BL67" i="3"/>
  <c r="BK67" i="3"/>
  <c r="BJ67" i="3"/>
  <c r="BI67" i="3"/>
  <c r="BH67" i="3"/>
  <c r="BG67" i="3"/>
  <c r="BC67" i="3"/>
  <c r="BB67" i="3"/>
  <c r="AZ67" i="3"/>
  <c r="AX67" i="3"/>
  <c r="AU67" i="3"/>
  <c r="AT67" i="3"/>
  <c r="AR67" i="3"/>
  <c r="AQ67" i="3"/>
  <c r="AO67" i="3"/>
  <c r="AF67" i="3"/>
  <c r="AE67" i="3"/>
  <c r="AD67" i="3"/>
  <c r="AC67" i="3"/>
  <c r="AB67" i="3"/>
  <c r="AA67" i="3"/>
  <c r="Y67" i="3"/>
  <c r="X67" i="3"/>
  <c r="W67" i="3"/>
  <c r="V67" i="3"/>
  <c r="U67" i="3"/>
  <c r="T67" i="3"/>
  <c r="S67" i="3"/>
  <c r="Q67" i="3"/>
  <c r="O67" i="3"/>
  <c r="N67" i="3"/>
  <c r="M67" i="3"/>
  <c r="L67" i="3"/>
  <c r="K67" i="3"/>
  <c r="J67" i="3"/>
  <c r="I67" i="3"/>
  <c r="H67" i="3"/>
  <c r="G67" i="3"/>
  <c r="F67" i="3"/>
  <c r="E67" i="3"/>
  <c r="B67" i="3"/>
  <c r="BM66" i="3"/>
  <c r="BL66" i="3"/>
  <c r="BK66" i="3"/>
  <c r="BJ66" i="3"/>
  <c r="BI66" i="3"/>
  <c r="BH66" i="3"/>
  <c r="BG66" i="3"/>
  <c r="BC66" i="3"/>
  <c r="BB66" i="3"/>
  <c r="AZ66" i="3"/>
  <c r="AX66" i="3"/>
  <c r="AU66" i="3"/>
  <c r="AT66" i="3"/>
  <c r="AR66" i="3"/>
  <c r="AQ66" i="3"/>
  <c r="AO66" i="3"/>
  <c r="AF66" i="3"/>
  <c r="AE66" i="3"/>
  <c r="AD66" i="3"/>
  <c r="AC66" i="3"/>
  <c r="AB66" i="3"/>
  <c r="AA66" i="3"/>
  <c r="Y66" i="3"/>
  <c r="X66" i="3"/>
  <c r="W66" i="3"/>
  <c r="V66" i="3"/>
  <c r="U66" i="3"/>
  <c r="T66" i="3"/>
  <c r="S66" i="3"/>
  <c r="Q66" i="3"/>
  <c r="O66" i="3"/>
  <c r="N66" i="3"/>
  <c r="M66" i="3"/>
  <c r="L66" i="3"/>
  <c r="K66" i="3"/>
  <c r="J66" i="3"/>
  <c r="I66" i="3"/>
  <c r="H66" i="3"/>
  <c r="G66" i="3"/>
  <c r="F66" i="3"/>
  <c r="E66" i="3"/>
  <c r="B66" i="3"/>
  <c r="BM65" i="3"/>
  <c r="BL65" i="3"/>
  <c r="BK65" i="3"/>
  <c r="BJ65" i="3"/>
  <c r="BI65" i="3"/>
  <c r="BH65" i="3"/>
  <c r="BG65" i="3"/>
  <c r="BC65" i="3"/>
  <c r="BB65" i="3"/>
  <c r="AZ65" i="3"/>
  <c r="AX65" i="3"/>
  <c r="AU65" i="3"/>
  <c r="AT65" i="3"/>
  <c r="AR65" i="3"/>
  <c r="AQ65" i="3"/>
  <c r="AO65" i="3"/>
  <c r="AK65" i="3"/>
  <c r="AJ65" i="3"/>
  <c r="AF65" i="3"/>
  <c r="AE65" i="3"/>
  <c r="AD65" i="3"/>
  <c r="AC65" i="3"/>
  <c r="AB65" i="3"/>
  <c r="AA65" i="3"/>
  <c r="Y65" i="3"/>
  <c r="X65" i="3"/>
  <c r="W65" i="3"/>
  <c r="V65" i="3"/>
  <c r="U65" i="3"/>
  <c r="T65" i="3"/>
  <c r="S65" i="3"/>
  <c r="Q65" i="3"/>
  <c r="O65" i="3"/>
  <c r="N65" i="3"/>
  <c r="M65" i="3"/>
  <c r="L65" i="3"/>
  <c r="K65" i="3"/>
  <c r="J65" i="3"/>
  <c r="I65" i="3"/>
  <c r="H65" i="3"/>
  <c r="G65" i="3"/>
  <c r="F65" i="3"/>
  <c r="E65" i="3"/>
  <c r="B65" i="3"/>
  <c r="BM64" i="3"/>
  <c r="BL64" i="3"/>
  <c r="BK64" i="3"/>
  <c r="BJ64" i="3"/>
  <c r="BI64" i="3"/>
  <c r="BH64" i="3"/>
  <c r="BG64" i="3"/>
  <c r="BC64" i="3"/>
  <c r="BB64" i="3"/>
  <c r="AZ64" i="3"/>
  <c r="AX64" i="3"/>
  <c r="AU64" i="3"/>
  <c r="AT64" i="3"/>
  <c r="AR64" i="3"/>
  <c r="AQ64" i="3"/>
  <c r="AO64" i="3"/>
  <c r="AM64" i="3"/>
  <c r="AF64" i="3"/>
  <c r="AE64" i="3"/>
  <c r="AD64" i="3"/>
  <c r="AC64" i="3"/>
  <c r="AB64" i="3"/>
  <c r="AA64" i="3"/>
  <c r="Y64" i="3"/>
  <c r="X64" i="3"/>
  <c r="W64" i="3"/>
  <c r="V64" i="3"/>
  <c r="U64" i="3"/>
  <c r="T64" i="3"/>
  <c r="S64" i="3"/>
  <c r="Q64" i="3"/>
  <c r="O64" i="3"/>
  <c r="N64" i="3"/>
  <c r="M64" i="3"/>
  <c r="L64" i="3"/>
  <c r="K64" i="3"/>
  <c r="J64" i="3"/>
  <c r="I64" i="3"/>
  <c r="H64" i="3"/>
  <c r="G64" i="3"/>
  <c r="F64" i="3"/>
  <c r="E64" i="3"/>
  <c r="B64" i="3"/>
  <c r="BM63" i="3"/>
  <c r="BL63" i="3"/>
  <c r="BK63" i="3"/>
  <c r="BJ63" i="3"/>
  <c r="BI63" i="3"/>
  <c r="BH63" i="3"/>
  <c r="BG63" i="3"/>
  <c r="BC63" i="3"/>
  <c r="BB63" i="3"/>
  <c r="AZ63" i="3"/>
  <c r="AX63" i="3"/>
  <c r="AU63" i="3"/>
  <c r="AT63" i="3"/>
  <c r="AR63" i="3"/>
  <c r="AQ63" i="3"/>
  <c r="AO63" i="3"/>
  <c r="AF63" i="3"/>
  <c r="AE63" i="3"/>
  <c r="AD63" i="3"/>
  <c r="AC63" i="3"/>
  <c r="AB63" i="3"/>
  <c r="AA63" i="3"/>
  <c r="Y63" i="3"/>
  <c r="X63" i="3"/>
  <c r="W63" i="3"/>
  <c r="V63" i="3"/>
  <c r="U63" i="3"/>
  <c r="T63" i="3"/>
  <c r="S63" i="3"/>
  <c r="Q63" i="3"/>
  <c r="O63" i="3"/>
  <c r="N63" i="3"/>
  <c r="M63" i="3"/>
  <c r="L63" i="3"/>
  <c r="K63" i="3"/>
  <c r="J63" i="3"/>
  <c r="I63" i="3"/>
  <c r="H63" i="3"/>
  <c r="G63" i="3"/>
  <c r="F63" i="3"/>
  <c r="E63" i="3"/>
  <c r="B63" i="3"/>
  <c r="BM62" i="3"/>
  <c r="BL62" i="3"/>
  <c r="BK62" i="3"/>
  <c r="BJ62" i="3"/>
  <c r="BI62" i="3"/>
  <c r="BH62" i="3"/>
  <c r="BG62" i="3"/>
  <c r="BC62" i="3"/>
  <c r="BB62" i="3"/>
  <c r="AZ62" i="3"/>
  <c r="AX62" i="3"/>
  <c r="AU62" i="3"/>
  <c r="AT62" i="3"/>
  <c r="AR62" i="3"/>
  <c r="AQ62" i="3"/>
  <c r="AO62" i="3"/>
  <c r="AK62" i="3"/>
  <c r="AJ62" i="3"/>
  <c r="AF62" i="3"/>
  <c r="AE62" i="3"/>
  <c r="AD62" i="3"/>
  <c r="AC62" i="3"/>
  <c r="AB62" i="3"/>
  <c r="AA62" i="3"/>
  <c r="Y62" i="3"/>
  <c r="X62" i="3"/>
  <c r="W62" i="3"/>
  <c r="V62" i="3"/>
  <c r="U62" i="3"/>
  <c r="T62" i="3"/>
  <c r="S62" i="3"/>
  <c r="Q62" i="3"/>
  <c r="O62" i="3"/>
  <c r="N62" i="3"/>
  <c r="M62" i="3"/>
  <c r="L62" i="3"/>
  <c r="K62" i="3"/>
  <c r="J62" i="3"/>
  <c r="I62" i="3"/>
  <c r="H62" i="3"/>
  <c r="G62" i="3"/>
  <c r="F62" i="3"/>
  <c r="E62" i="3"/>
  <c r="B62" i="3"/>
  <c r="BM61" i="3"/>
  <c r="BL61" i="3"/>
  <c r="BK61" i="3"/>
  <c r="BJ61" i="3"/>
  <c r="BI61" i="3"/>
  <c r="BH61" i="3"/>
  <c r="BG61" i="3"/>
  <c r="BC61" i="3"/>
  <c r="BB61" i="3"/>
  <c r="AZ61" i="3"/>
  <c r="AX61" i="3"/>
  <c r="AU61" i="3"/>
  <c r="AT61" i="3"/>
  <c r="AR61" i="3"/>
  <c r="AQ61" i="3"/>
  <c r="AO61" i="3"/>
  <c r="AM61" i="3"/>
  <c r="AF61" i="3"/>
  <c r="AE61" i="3"/>
  <c r="AD61" i="3"/>
  <c r="AC61" i="3"/>
  <c r="AB61" i="3"/>
  <c r="AA61" i="3"/>
  <c r="Y61" i="3"/>
  <c r="X61" i="3"/>
  <c r="W61" i="3"/>
  <c r="V61" i="3"/>
  <c r="U61" i="3"/>
  <c r="T61" i="3"/>
  <c r="S61" i="3"/>
  <c r="Q61" i="3"/>
  <c r="O61" i="3"/>
  <c r="N61" i="3"/>
  <c r="M61" i="3"/>
  <c r="L61" i="3"/>
  <c r="K61" i="3"/>
  <c r="J61" i="3"/>
  <c r="I61" i="3"/>
  <c r="H61" i="3"/>
  <c r="G61" i="3"/>
  <c r="F61" i="3"/>
  <c r="E61" i="3"/>
  <c r="B61" i="3"/>
  <c r="BM60" i="3"/>
  <c r="BL60" i="3"/>
  <c r="BK60" i="3"/>
  <c r="BJ60" i="3"/>
  <c r="BI60" i="3"/>
  <c r="BH60" i="3"/>
  <c r="BG60" i="3"/>
  <c r="BC60" i="3"/>
  <c r="BB60" i="3"/>
  <c r="AZ60" i="3"/>
  <c r="AX60" i="3"/>
  <c r="AU60" i="3"/>
  <c r="AT60" i="3"/>
  <c r="AR60" i="3"/>
  <c r="AQ60" i="3"/>
  <c r="AO60" i="3"/>
  <c r="AF60" i="3"/>
  <c r="AE60" i="3"/>
  <c r="AD60" i="3"/>
  <c r="AC60" i="3"/>
  <c r="AB60" i="3"/>
  <c r="AA60" i="3"/>
  <c r="Y60" i="3"/>
  <c r="X60" i="3"/>
  <c r="W60" i="3"/>
  <c r="V60" i="3"/>
  <c r="U60" i="3"/>
  <c r="T60" i="3"/>
  <c r="S60" i="3"/>
  <c r="Q60" i="3"/>
  <c r="O60" i="3"/>
  <c r="N60" i="3"/>
  <c r="M60" i="3"/>
  <c r="L60" i="3"/>
  <c r="K60" i="3"/>
  <c r="J60" i="3"/>
  <c r="I60" i="3"/>
  <c r="H60" i="3"/>
  <c r="G60" i="3"/>
  <c r="F60" i="3"/>
  <c r="E60" i="3"/>
  <c r="B60" i="3"/>
  <c r="BM59" i="3"/>
  <c r="BL59" i="3"/>
  <c r="BK59" i="3"/>
  <c r="BJ59" i="3"/>
  <c r="BI59" i="3"/>
  <c r="BH59" i="3"/>
  <c r="BG59" i="3"/>
  <c r="BC59" i="3"/>
  <c r="BB59" i="3"/>
  <c r="AZ59" i="3"/>
  <c r="AX59" i="3"/>
  <c r="AU59" i="3"/>
  <c r="AT59" i="3"/>
  <c r="AR59" i="3"/>
  <c r="AQ59" i="3"/>
  <c r="AO59" i="3"/>
  <c r="AK59" i="3"/>
  <c r="AJ59" i="3"/>
  <c r="AF59" i="3"/>
  <c r="AE59" i="3"/>
  <c r="AD59" i="3"/>
  <c r="AC59" i="3"/>
  <c r="AB59" i="3"/>
  <c r="AA59" i="3"/>
  <c r="Y59" i="3"/>
  <c r="X59" i="3"/>
  <c r="W59" i="3"/>
  <c r="V59" i="3"/>
  <c r="U59" i="3"/>
  <c r="T59" i="3"/>
  <c r="S59" i="3"/>
  <c r="Q59" i="3"/>
  <c r="O59" i="3"/>
  <c r="N59" i="3"/>
  <c r="M59" i="3"/>
  <c r="L59" i="3"/>
  <c r="K59" i="3"/>
  <c r="J59" i="3"/>
  <c r="I59" i="3"/>
  <c r="H59" i="3"/>
  <c r="G59" i="3"/>
  <c r="F59" i="3"/>
  <c r="E59" i="3"/>
  <c r="B59" i="3"/>
  <c r="BM58" i="3"/>
  <c r="BL58" i="3"/>
  <c r="BK58" i="3"/>
  <c r="BJ58" i="3"/>
  <c r="BI58" i="3"/>
  <c r="BH58" i="3"/>
  <c r="BG58" i="3"/>
  <c r="BC58" i="3"/>
  <c r="BB58" i="3"/>
  <c r="AZ58" i="3"/>
  <c r="AX58" i="3"/>
  <c r="AU58" i="3"/>
  <c r="AT58" i="3"/>
  <c r="AR58" i="3"/>
  <c r="AQ58" i="3"/>
  <c r="AO58" i="3"/>
  <c r="AM58" i="3"/>
  <c r="AF58" i="3"/>
  <c r="AE58" i="3"/>
  <c r="AD58" i="3"/>
  <c r="AC58" i="3"/>
  <c r="AB58" i="3"/>
  <c r="AA58" i="3"/>
  <c r="Y58" i="3"/>
  <c r="X58" i="3"/>
  <c r="W58" i="3"/>
  <c r="V58" i="3"/>
  <c r="U58" i="3"/>
  <c r="T58" i="3"/>
  <c r="S58" i="3"/>
  <c r="Q58" i="3"/>
  <c r="O58" i="3"/>
  <c r="N58" i="3"/>
  <c r="M58" i="3"/>
  <c r="L58" i="3"/>
  <c r="K58" i="3"/>
  <c r="J58" i="3"/>
  <c r="I58" i="3"/>
  <c r="H58" i="3"/>
  <c r="G58" i="3"/>
  <c r="F58" i="3"/>
  <c r="E58" i="3"/>
  <c r="B58" i="3"/>
  <c r="BM57" i="3"/>
  <c r="BL57" i="3"/>
  <c r="BK57" i="3"/>
  <c r="BJ57" i="3"/>
  <c r="BI57" i="3"/>
  <c r="BH57" i="3"/>
  <c r="BG57" i="3"/>
  <c r="BC57" i="3"/>
  <c r="BB57" i="3"/>
  <c r="AZ57" i="3"/>
  <c r="AX57" i="3"/>
  <c r="AU57" i="3"/>
  <c r="AT57" i="3"/>
  <c r="AR57" i="3"/>
  <c r="AQ57" i="3"/>
  <c r="AO57" i="3"/>
  <c r="AF57" i="3"/>
  <c r="AE57" i="3"/>
  <c r="AD57" i="3"/>
  <c r="AC57" i="3"/>
  <c r="AB57" i="3"/>
  <c r="AA57" i="3"/>
  <c r="Y57" i="3"/>
  <c r="X57" i="3"/>
  <c r="W57" i="3"/>
  <c r="V57" i="3"/>
  <c r="U57" i="3"/>
  <c r="T57" i="3"/>
  <c r="S57" i="3"/>
  <c r="Q57" i="3"/>
  <c r="O57" i="3"/>
  <c r="N57" i="3"/>
  <c r="M57" i="3"/>
  <c r="L57" i="3"/>
  <c r="K57" i="3"/>
  <c r="J57" i="3"/>
  <c r="I57" i="3"/>
  <c r="H57" i="3"/>
  <c r="G57" i="3"/>
  <c r="F57" i="3"/>
  <c r="E57" i="3"/>
  <c r="B57" i="3"/>
  <c r="BM56" i="3"/>
  <c r="BL56" i="3"/>
  <c r="BK56" i="3"/>
  <c r="BJ56" i="3"/>
  <c r="BI56" i="3"/>
  <c r="BH56" i="3"/>
  <c r="BG56" i="3"/>
  <c r="BC56" i="3"/>
  <c r="BB56" i="3"/>
  <c r="AZ56" i="3"/>
  <c r="AX56" i="3"/>
  <c r="AU56" i="3"/>
  <c r="AT56" i="3"/>
  <c r="AR56" i="3"/>
  <c r="AQ56" i="3"/>
  <c r="AO56" i="3"/>
  <c r="AK56" i="3"/>
  <c r="AJ56" i="3"/>
  <c r="AF56" i="3"/>
  <c r="AE56" i="3"/>
  <c r="AD56" i="3"/>
  <c r="AC56" i="3"/>
  <c r="AB56" i="3"/>
  <c r="AA56" i="3"/>
  <c r="Y56" i="3"/>
  <c r="X56" i="3"/>
  <c r="W56" i="3"/>
  <c r="V56" i="3"/>
  <c r="U56" i="3"/>
  <c r="T56" i="3"/>
  <c r="S56" i="3"/>
  <c r="Q56" i="3"/>
  <c r="O56" i="3"/>
  <c r="N56" i="3"/>
  <c r="M56" i="3"/>
  <c r="L56" i="3"/>
  <c r="K56" i="3"/>
  <c r="J56" i="3"/>
  <c r="I56" i="3"/>
  <c r="H56" i="3"/>
  <c r="G56" i="3"/>
  <c r="F56" i="3"/>
  <c r="E56" i="3"/>
  <c r="B56" i="3"/>
  <c r="BM55" i="3"/>
  <c r="BL55" i="3"/>
  <c r="BK55" i="3"/>
  <c r="BJ55" i="3"/>
  <c r="BI55" i="3"/>
  <c r="BH55" i="3"/>
  <c r="BG55" i="3"/>
  <c r="BC55" i="3"/>
  <c r="BB55" i="3"/>
  <c r="AZ55" i="3"/>
  <c r="AX55" i="3"/>
  <c r="AU55" i="3"/>
  <c r="AT55" i="3"/>
  <c r="AR55" i="3"/>
  <c r="AQ55" i="3"/>
  <c r="AO55" i="3"/>
  <c r="AM55" i="3"/>
  <c r="AF55" i="3"/>
  <c r="AE55" i="3"/>
  <c r="AD55" i="3"/>
  <c r="AC55" i="3"/>
  <c r="AB55" i="3"/>
  <c r="AA55" i="3"/>
  <c r="Y55" i="3"/>
  <c r="X55" i="3"/>
  <c r="W55" i="3"/>
  <c r="V55" i="3"/>
  <c r="U55" i="3"/>
  <c r="T55" i="3"/>
  <c r="S55" i="3"/>
  <c r="Q55" i="3"/>
  <c r="O55" i="3"/>
  <c r="N55" i="3"/>
  <c r="M55" i="3"/>
  <c r="L55" i="3"/>
  <c r="K55" i="3"/>
  <c r="J55" i="3"/>
  <c r="I55" i="3"/>
  <c r="H55" i="3"/>
  <c r="G55" i="3"/>
  <c r="F55" i="3"/>
  <c r="E55" i="3"/>
  <c r="B55" i="3"/>
  <c r="BM54" i="3"/>
  <c r="BL54" i="3"/>
  <c r="BK54" i="3"/>
  <c r="BJ54" i="3"/>
  <c r="BI54" i="3"/>
  <c r="BH54" i="3"/>
  <c r="BG54" i="3"/>
  <c r="BC54" i="3"/>
  <c r="BB54" i="3"/>
  <c r="AZ54" i="3"/>
  <c r="AX54" i="3"/>
  <c r="AU54" i="3"/>
  <c r="AT54" i="3"/>
  <c r="AR54" i="3"/>
  <c r="AQ54" i="3"/>
  <c r="AO54" i="3"/>
  <c r="AF54" i="3"/>
  <c r="AE54" i="3"/>
  <c r="AD54" i="3"/>
  <c r="AC54" i="3"/>
  <c r="AB54" i="3"/>
  <c r="AA54" i="3"/>
  <c r="Y54" i="3"/>
  <c r="X54" i="3"/>
  <c r="W54" i="3"/>
  <c r="V54" i="3"/>
  <c r="U54" i="3"/>
  <c r="T54" i="3"/>
  <c r="S54" i="3"/>
  <c r="Q54" i="3"/>
  <c r="O54" i="3"/>
  <c r="N54" i="3"/>
  <c r="M54" i="3"/>
  <c r="L54" i="3"/>
  <c r="K54" i="3"/>
  <c r="J54" i="3"/>
  <c r="I54" i="3"/>
  <c r="H54" i="3"/>
  <c r="G54" i="3"/>
  <c r="F54" i="3"/>
  <c r="E54" i="3"/>
  <c r="B54" i="3"/>
  <c r="BM53" i="3"/>
  <c r="BL53" i="3"/>
  <c r="BK53" i="3"/>
  <c r="BJ53" i="3"/>
  <c r="BI53" i="3"/>
  <c r="BH53" i="3"/>
  <c r="BG53" i="3"/>
  <c r="BC53" i="3"/>
  <c r="BB53" i="3"/>
  <c r="AZ53" i="3"/>
  <c r="AX53" i="3"/>
  <c r="AU53" i="3"/>
  <c r="AT53" i="3"/>
  <c r="AR53" i="3"/>
  <c r="AQ53" i="3"/>
  <c r="AO53" i="3"/>
  <c r="AK53" i="3"/>
  <c r="AJ53" i="3"/>
  <c r="AF53" i="3"/>
  <c r="AE53" i="3"/>
  <c r="AD53" i="3"/>
  <c r="AC53" i="3"/>
  <c r="AB53" i="3"/>
  <c r="AA53" i="3"/>
  <c r="Y53" i="3"/>
  <c r="X53" i="3"/>
  <c r="W53" i="3"/>
  <c r="V53" i="3"/>
  <c r="U53" i="3"/>
  <c r="T53" i="3"/>
  <c r="S53" i="3"/>
  <c r="Q53" i="3"/>
  <c r="O53" i="3"/>
  <c r="N53" i="3"/>
  <c r="M53" i="3"/>
  <c r="L53" i="3"/>
  <c r="K53" i="3"/>
  <c r="J53" i="3"/>
  <c r="I53" i="3"/>
  <c r="H53" i="3"/>
  <c r="G53" i="3"/>
  <c r="F53" i="3"/>
  <c r="E53" i="3"/>
  <c r="B53" i="3"/>
  <c r="BM52" i="3"/>
  <c r="BL52" i="3"/>
  <c r="BK52" i="3"/>
  <c r="BJ52" i="3"/>
  <c r="BI52" i="3"/>
  <c r="BH52" i="3"/>
  <c r="BG52" i="3"/>
  <c r="BC52" i="3"/>
  <c r="BB52" i="3"/>
  <c r="AZ52" i="3"/>
  <c r="AX52" i="3"/>
  <c r="AU52" i="3"/>
  <c r="AT52" i="3"/>
  <c r="AR52" i="3"/>
  <c r="AQ52" i="3"/>
  <c r="AO52" i="3"/>
  <c r="AM52" i="3"/>
  <c r="AF52" i="3"/>
  <c r="AE52" i="3"/>
  <c r="AD52" i="3"/>
  <c r="AC52" i="3"/>
  <c r="AB52" i="3"/>
  <c r="AA52" i="3"/>
  <c r="Y52" i="3"/>
  <c r="X52" i="3"/>
  <c r="W52" i="3"/>
  <c r="V52" i="3"/>
  <c r="U52" i="3"/>
  <c r="T52" i="3"/>
  <c r="S52" i="3"/>
  <c r="Q52" i="3"/>
  <c r="O52" i="3"/>
  <c r="N52" i="3"/>
  <c r="M52" i="3"/>
  <c r="L52" i="3"/>
  <c r="K52" i="3"/>
  <c r="J52" i="3"/>
  <c r="I52" i="3"/>
  <c r="H52" i="3"/>
  <c r="G52" i="3"/>
  <c r="F52" i="3"/>
  <c r="E52" i="3"/>
  <c r="B52" i="3"/>
  <c r="BM51" i="3"/>
  <c r="BL51" i="3"/>
  <c r="BK51" i="3"/>
  <c r="BJ51" i="3"/>
  <c r="BI51" i="3"/>
  <c r="BH51" i="3"/>
  <c r="BG51" i="3"/>
  <c r="BC51" i="3"/>
  <c r="BB51" i="3"/>
  <c r="AZ51" i="3"/>
  <c r="AX51" i="3"/>
  <c r="AU51" i="3"/>
  <c r="AT51" i="3"/>
  <c r="AR51" i="3"/>
  <c r="AQ51" i="3"/>
  <c r="AO51" i="3"/>
  <c r="AF51" i="3"/>
  <c r="AE51" i="3"/>
  <c r="AD51" i="3"/>
  <c r="AC51" i="3"/>
  <c r="AB51" i="3"/>
  <c r="AA51" i="3"/>
  <c r="Y51" i="3"/>
  <c r="X51" i="3"/>
  <c r="W51" i="3"/>
  <c r="V51" i="3"/>
  <c r="U51" i="3"/>
  <c r="T51" i="3"/>
  <c r="S51" i="3"/>
  <c r="Q51" i="3"/>
  <c r="O51" i="3"/>
  <c r="N51" i="3"/>
  <c r="M51" i="3"/>
  <c r="L51" i="3"/>
  <c r="K51" i="3"/>
  <c r="J51" i="3"/>
  <c r="I51" i="3"/>
  <c r="H51" i="3"/>
  <c r="G51" i="3"/>
  <c r="F51" i="3"/>
  <c r="E51" i="3"/>
  <c r="B51" i="3"/>
  <c r="BM50" i="3"/>
  <c r="BL50" i="3"/>
  <c r="BK50" i="3"/>
  <c r="BJ50" i="3"/>
  <c r="BI50" i="3"/>
  <c r="BH50" i="3"/>
  <c r="BG50" i="3"/>
  <c r="BC50" i="3"/>
  <c r="BB50" i="3"/>
  <c r="AZ50" i="3"/>
  <c r="AX50" i="3"/>
  <c r="AU50" i="3"/>
  <c r="AT50" i="3"/>
  <c r="AR50" i="3"/>
  <c r="AQ50" i="3"/>
  <c r="AO50" i="3"/>
  <c r="AK50" i="3"/>
  <c r="AJ50" i="3"/>
  <c r="AF50" i="3"/>
  <c r="AE50" i="3"/>
  <c r="AD50" i="3"/>
  <c r="AC50" i="3"/>
  <c r="AB50" i="3"/>
  <c r="AA50" i="3"/>
  <c r="Y50" i="3"/>
  <c r="X50" i="3"/>
  <c r="W50" i="3"/>
  <c r="V50" i="3"/>
  <c r="U50" i="3"/>
  <c r="T50" i="3"/>
  <c r="S50" i="3"/>
  <c r="Q50" i="3"/>
  <c r="O50" i="3"/>
  <c r="N50" i="3"/>
  <c r="M50" i="3"/>
  <c r="L50" i="3"/>
  <c r="K50" i="3"/>
  <c r="J50" i="3"/>
  <c r="I50" i="3"/>
  <c r="H50" i="3"/>
  <c r="G50" i="3"/>
  <c r="F50" i="3"/>
  <c r="E50" i="3"/>
  <c r="B50" i="3"/>
  <c r="BM49" i="3"/>
  <c r="BL49" i="3"/>
  <c r="BK49" i="3"/>
  <c r="BJ49" i="3"/>
  <c r="BI49" i="3"/>
  <c r="BH49" i="3"/>
  <c r="BG49" i="3"/>
  <c r="BC49" i="3"/>
  <c r="BB49" i="3"/>
  <c r="AZ49" i="3"/>
  <c r="AX49" i="3"/>
  <c r="AU49" i="3"/>
  <c r="AT49" i="3"/>
  <c r="AR49" i="3"/>
  <c r="AQ49" i="3"/>
  <c r="AO49" i="3"/>
  <c r="AM49" i="3"/>
  <c r="AF49" i="3"/>
  <c r="AE49" i="3"/>
  <c r="AD49" i="3"/>
  <c r="AC49" i="3"/>
  <c r="AB49" i="3"/>
  <c r="AA49" i="3"/>
  <c r="Y49" i="3"/>
  <c r="X49" i="3"/>
  <c r="W49" i="3"/>
  <c r="V49" i="3"/>
  <c r="U49" i="3"/>
  <c r="T49" i="3"/>
  <c r="S49" i="3"/>
  <c r="Q49" i="3"/>
  <c r="O49" i="3"/>
  <c r="N49" i="3"/>
  <c r="M49" i="3"/>
  <c r="L49" i="3"/>
  <c r="K49" i="3"/>
  <c r="J49" i="3"/>
  <c r="I49" i="3"/>
  <c r="H49" i="3"/>
  <c r="G49" i="3"/>
  <c r="F49" i="3"/>
  <c r="E49" i="3"/>
  <c r="B49" i="3"/>
  <c r="BM48" i="3"/>
  <c r="BL48" i="3"/>
  <c r="BK48" i="3"/>
  <c r="BJ48" i="3"/>
  <c r="BI48" i="3"/>
  <c r="BH48" i="3"/>
  <c r="BG48" i="3"/>
  <c r="BC48" i="3"/>
  <c r="BB48" i="3"/>
  <c r="AZ48" i="3"/>
  <c r="AX48" i="3"/>
  <c r="AU48" i="3"/>
  <c r="AT48" i="3"/>
  <c r="AR48" i="3"/>
  <c r="AQ48" i="3"/>
  <c r="AO48" i="3"/>
  <c r="AF48" i="3"/>
  <c r="AE48" i="3"/>
  <c r="AD48" i="3"/>
  <c r="AC48" i="3"/>
  <c r="AB48" i="3"/>
  <c r="AA48" i="3"/>
  <c r="Y48" i="3"/>
  <c r="X48" i="3"/>
  <c r="W48" i="3"/>
  <c r="V48" i="3"/>
  <c r="U48" i="3"/>
  <c r="T48" i="3"/>
  <c r="S48" i="3"/>
  <c r="Q48" i="3"/>
  <c r="O48" i="3"/>
  <c r="N48" i="3"/>
  <c r="M48" i="3"/>
  <c r="L48" i="3"/>
  <c r="K48" i="3"/>
  <c r="J48" i="3"/>
  <c r="I48" i="3"/>
  <c r="H48" i="3"/>
  <c r="G48" i="3"/>
  <c r="F48" i="3"/>
  <c r="E48" i="3"/>
  <c r="B48" i="3"/>
  <c r="BM47" i="3"/>
  <c r="BL47" i="3"/>
  <c r="BK47" i="3"/>
  <c r="BJ47" i="3"/>
  <c r="BI47" i="3"/>
  <c r="BH47" i="3"/>
  <c r="BG47" i="3"/>
  <c r="BC47" i="3"/>
  <c r="BB47" i="3"/>
  <c r="AZ47" i="3"/>
  <c r="AX47" i="3"/>
  <c r="AU47" i="3"/>
  <c r="AT47" i="3"/>
  <c r="AR47" i="3"/>
  <c r="AQ47" i="3"/>
  <c r="AO47" i="3"/>
  <c r="AK47" i="3"/>
  <c r="AJ47" i="3"/>
  <c r="AF47" i="3"/>
  <c r="AE47" i="3"/>
  <c r="AD47" i="3"/>
  <c r="AC47" i="3"/>
  <c r="AB47" i="3"/>
  <c r="AA47" i="3"/>
  <c r="Y47" i="3"/>
  <c r="X47" i="3"/>
  <c r="W47" i="3"/>
  <c r="V47" i="3"/>
  <c r="U47" i="3"/>
  <c r="T47" i="3"/>
  <c r="S47" i="3"/>
  <c r="Q47" i="3"/>
  <c r="O47" i="3"/>
  <c r="N47" i="3"/>
  <c r="M47" i="3"/>
  <c r="L47" i="3"/>
  <c r="K47" i="3"/>
  <c r="J47" i="3"/>
  <c r="I47" i="3"/>
  <c r="H47" i="3"/>
  <c r="G47" i="3"/>
  <c r="F47" i="3"/>
  <c r="E47" i="3"/>
  <c r="B47" i="3"/>
  <c r="BM46" i="3"/>
  <c r="BL46" i="3"/>
  <c r="BK46" i="3"/>
  <c r="BJ46" i="3"/>
  <c r="BI46" i="3"/>
  <c r="BH46" i="3"/>
  <c r="BG46" i="3"/>
  <c r="BC46" i="3"/>
  <c r="BB46" i="3"/>
  <c r="AZ46" i="3"/>
  <c r="AX46" i="3"/>
  <c r="AU46" i="3"/>
  <c r="AT46" i="3"/>
  <c r="AR46" i="3"/>
  <c r="AQ46" i="3"/>
  <c r="AO46" i="3"/>
  <c r="AM46" i="3"/>
  <c r="AF46" i="3"/>
  <c r="AE46" i="3"/>
  <c r="AD46" i="3"/>
  <c r="AC46" i="3"/>
  <c r="AB46" i="3"/>
  <c r="AA46" i="3"/>
  <c r="Y46" i="3"/>
  <c r="X46" i="3"/>
  <c r="W46" i="3"/>
  <c r="V46" i="3"/>
  <c r="U46" i="3"/>
  <c r="T46" i="3"/>
  <c r="S46" i="3"/>
  <c r="Q46" i="3"/>
  <c r="O46" i="3"/>
  <c r="N46" i="3"/>
  <c r="M46" i="3"/>
  <c r="L46" i="3"/>
  <c r="K46" i="3"/>
  <c r="J46" i="3"/>
  <c r="I46" i="3"/>
  <c r="H46" i="3"/>
  <c r="G46" i="3"/>
  <c r="F46" i="3"/>
  <c r="E46" i="3"/>
  <c r="B46" i="3"/>
  <c r="BM45" i="3"/>
  <c r="BL45" i="3"/>
  <c r="BK45" i="3"/>
  <c r="BJ45" i="3"/>
  <c r="BI45" i="3"/>
  <c r="BH45" i="3"/>
  <c r="BG45" i="3"/>
  <c r="BC45" i="3"/>
  <c r="BB45" i="3"/>
  <c r="AZ45" i="3"/>
  <c r="AX45" i="3"/>
  <c r="AU45" i="3"/>
  <c r="AT45" i="3"/>
  <c r="AR45" i="3"/>
  <c r="AQ45" i="3"/>
  <c r="AO45" i="3"/>
  <c r="AM45" i="3"/>
  <c r="AF45" i="3"/>
  <c r="AE45" i="3"/>
  <c r="AD45" i="3"/>
  <c r="AC45" i="3"/>
  <c r="AB45" i="3"/>
  <c r="AA45" i="3"/>
  <c r="Y45" i="3"/>
  <c r="X45" i="3"/>
  <c r="W45" i="3"/>
  <c r="V45" i="3"/>
  <c r="U45" i="3"/>
  <c r="T45" i="3"/>
  <c r="S45" i="3"/>
  <c r="Q45" i="3"/>
  <c r="O45" i="3"/>
  <c r="N45" i="3"/>
  <c r="M45" i="3"/>
  <c r="L45" i="3"/>
  <c r="K45" i="3"/>
  <c r="J45" i="3"/>
  <c r="I45" i="3"/>
  <c r="H45" i="3"/>
  <c r="G45" i="3"/>
  <c r="F45" i="3"/>
  <c r="E45" i="3"/>
  <c r="B45" i="3"/>
  <c r="BM44" i="3"/>
  <c r="BL44" i="3"/>
  <c r="BK44" i="3"/>
  <c r="BJ44" i="3"/>
  <c r="BI44" i="3"/>
  <c r="BH44" i="3"/>
  <c r="BG44" i="3"/>
  <c r="BC44" i="3"/>
  <c r="BB44" i="3"/>
  <c r="AZ44" i="3"/>
  <c r="AX44" i="3"/>
  <c r="AU44" i="3"/>
  <c r="AT44" i="3"/>
  <c r="AR44" i="3"/>
  <c r="AQ44" i="3"/>
  <c r="AO44" i="3"/>
  <c r="AK44" i="3"/>
  <c r="AJ44" i="3"/>
  <c r="AI44" i="3"/>
  <c r="AH44" i="3"/>
  <c r="AF44" i="3"/>
  <c r="AE44" i="3"/>
  <c r="AD44" i="3"/>
  <c r="AC44" i="3"/>
  <c r="AB44" i="3"/>
  <c r="AA44" i="3"/>
  <c r="Y44" i="3"/>
  <c r="X44" i="3"/>
  <c r="W44" i="3"/>
  <c r="V44" i="3"/>
  <c r="U44" i="3"/>
  <c r="T44" i="3"/>
  <c r="S44" i="3"/>
  <c r="Q44" i="3"/>
  <c r="O44" i="3"/>
  <c r="N44" i="3"/>
  <c r="M44" i="3"/>
  <c r="L44" i="3"/>
  <c r="K44" i="3"/>
  <c r="J44" i="3"/>
  <c r="I44" i="3"/>
  <c r="H44" i="3"/>
  <c r="G44" i="3"/>
  <c r="F44" i="3"/>
  <c r="E44" i="3"/>
  <c r="B44" i="3"/>
  <c r="BM43" i="3"/>
  <c r="BL43" i="3"/>
  <c r="BK43" i="3"/>
  <c r="BJ43" i="3"/>
  <c r="BI43" i="3"/>
  <c r="BH43" i="3"/>
  <c r="BG43" i="3"/>
  <c r="BC43" i="3"/>
  <c r="BB43" i="3"/>
  <c r="AZ43" i="3"/>
  <c r="AX43" i="3"/>
  <c r="AU43" i="3"/>
  <c r="AT43" i="3"/>
  <c r="AR43" i="3"/>
  <c r="AQ43" i="3"/>
  <c r="AO43" i="3"/>
  <c r="AM43" i="3"/>
  <c r="AF43" i="3"/>
  <c r="AE43" i="3"/>
  <c r="AD43" i="3"/>
  <c r="AC43" i="3"/>
  <c r="AB43" i="3"/>
  <c r="AA43" i="3"/>
  <c r="Y43" i="3"/>
  <c r="X43" i="3"/>
  <c r="W43" i="3"/>
  <c r="V43" i="3"/>
  <c r="U43" i="3"/>
  <c r="T43" i="3"/>
  <c r="S43" i="3"/>
  <c r="Q43" i="3"/>
  <c r="O43" i="3"/>
  <c r="N43" i="3"/>
  <c r="M43" i="3"/>
  <c r="L43" i="3"/>
  <c r="K43" i="3"/>
  <c r="J43" i="3"/>
  <c r="I43" i="3"/>
  <c r="H43" i="3"/>
  <c r="G43" i="3"/>
  <c r="F43" i="3"/>
  <c r="E43" i="3"/>
  <c r="B43" i="3"/>
  <c r="BM42" i="3"/>
  <c r="BL42" i="3"/>
  <c r="BK42" i="3"/>
  <c r="BJ42" i="3"/>
  <c r="BI42" i="3"/>
  <c r="BH42" i="3"/>
  <c r="BG42" i="3"/>
  <c r="BC42" i="3"/>
  <c r="BB42" i="3"/>
  <c r="AZ42" i="3"/>
  <c r="AX42" i="3"/>
  <c r="AU42" i="3"/>
  <c r="AT42" i="3"/>
  <c r="AR42" i="3"/>
  <c r="AQ42" i="3"/>
  <c r="AO42" i="3"/>
  <c r="AM42" i="3"/>
  <c r="AF42" i="3"/>
  <c r="AE42" i="3"/>
  <c r="AD42" i="3"/>
  <c r="AC42" i="3"/>
  <c r="AB42" i="3"/>
  <c r="AA42" i="3"/>
  <c r="Y42" i="3"/>
  <c r="X42" i="3"/>
  <c r="W42" i="3"/>
  <c r="V42" i="3"/>
  <c r="U42" i="3"/>
  <c r="T42" i="3"/>
  <c r="S42" i="3"/>
  <c r="Q42" i="3"/>
  <c r="O42" i="3"/>
  <c r="N42" i="3"/>
  <c r="M42" i="3"/>
  <c r="L42" i="3"/>
  <c r="K42" i="3"/>
  <c r="J42" i="3"/>
  <c r="I42" i="3"/>
  <c r="H42" i="3"/>
  <c r="G42" i="3"/>
  <c r="F42" i="3"/>
  <c r="E42" i="3"/>
  <c r="B42" i="3"/>
  <c r="BM41" i="3"/>
  <c r="BL41" i="3"/>
  <c r="BK41" i="3"/>
  <c r="BJ41" i="3"/>
  <c r="BI41" i="3"/>
  <c r="BH41" i="3"/>
  <c r="BG41" i="3"/>
  <c r="BC41" i="3"/>
  <c r="BB41" i="3"/>
  <c r="AZ41" i="3"/>
  <c r="AX41" i="3"/>
  <c r="AU41" i="3"/>
  <c r="AT41" i="3"/>
  <c r="AR41" i="3"/>
  <c r="AQ41" i="3"/>
  <c r="AO41" i="3"/>
  <c r="AK41" i="3"/>
  <c r="AJ41" i="3"/>
  <c r="AI41" i="3"/>
  <c r="AH41" i="3"/>
  <c r="AF41" i="3"/>
  <c r="AE41" i="3"/>
  <c r="AD41" i="3"/>
  <c r="AC41" i="3"/>
  <c r="AB41" i="3"/>
  <c r="AA41" i="3"/>
  <c r="Y41" i="3"/>
  <c r="X41" i="3"/>
  <c r="W41" i="3"/>
  <c r="V41" i="3"/>
  <c r="U41" i="3"/>
  <c r="T41" i="3"/>
  <c r="S41" i="3"/>
  <c r="Q41" i="3"/>
  <c r="O41" i="3"/>
  <c r="N41" i="3"/>
  <c r="M41" i="3"/>
  <c r="L41" i="3"/>
  <c r="K41" i="3"/>
  <c r="J41" i="3"/>
  <c r="I41" i="3"/>
  <c r="H41" i="3"/>
  <c r="G41" i="3"/>
  <c r="F41" i="3"/>
  <c r="E41" i="3"/>
  <c r="B41" i="3"/>
  <c r="BM40" i="3"/>
  <c r="BL40" i="3"/>
  <c r="BK40" i="3"/>
  <c r="BJ40" i="3"/>
  <c r="BI40" i="3"/>
  <c r="BH40" i="3"/>
  <c r="BG40" i="3"/>
  <c r="BC40" i="3"/>
  <c r="BB40" i="3"/>
  <c r="AZ40" i="3"/>
  <c r="AX40" i="3"/>
  <c r="AU40" i="3"/>
  <c r="AT40" i="3"/>
  <c r="AR40" i="3"/>
  <c r="AQ40" i="3"/>
  <c r="AO40" i="3"/>
  <c r="AM40" i="3"/>
  <c r="AF40" i="3"/>
  <c r="AE40" i="3"/>
  <c r="AD40" i="3"/>
  <c r="AC40" i="3"/>
  <c r="AB40" i="3"/>
  <c r="AA40" i="3"/>
  <c r="Y40" i="3"/>
  <c r="X40" i="3"/>
  <c r="W40" i="3"/>
  <c r="V40" i="3"/>
  <c r="U40" i="3"/>
  <c r="T40" i="3"/>
  <c r="S40" i="3"/>
  <c r="Q40" i="3"/>
  <c r="O40" i="3"/>
  <c r="N40" i="3"/>
  <c r="M40" i="3"/>
  <c r="L40" i="3"/>
  <c r="K40" i="3"/>
  <c r="J40" i="3"/>
  <c r="I40" i="3"/>
  <c r="H40" i="3"/>
  <c r="G40" i="3"/>
  <c r="F40" i="3"/>
  <c r="E40" i="3"/>
  <c r="B40" i="3"/>
  <c r="BM39" i="3"/>
  <c r="BL39" i="3"/>
  <c r="BK39" i="3"/>
  <c r="BJ39" i="3"/>
  <c r="BI39" i="3"/>
  <c r="BH39" i="3"/>
  <c r="BG39" i="3"/>
  <c r="BC39" i="3"/>
  <c r="BB39" i="3"/>
  <c r="AZ39" i="3"/>
  <c r="AX39" i="3"/>
  <c r="AU39" i="3"/>
  <c r="AT39" i="3"/>
  <c r="AR39" i="3"/>
  <c r="AQ39" i="3"/>
  <c r="AO39" i="3"/>
  <c r="AM39" i="3"/>
  <c r="AF39" i="3"/>
  <c r="AE39" i="3"/>
  <c r="AD39" i="3"/>
  <c r="AC39" i="3"/>
  <c r="AB39" i="3"/>
  <c r="AA39" i="3"/>
  <c r="Y39" i="3"/>
  <c r="X39" i="3"/>
  <c r="W39" i="3"/>
  <c r="V39" i="3"/>
  <c r="U39" i="3"/>
  <c r="T39" i="3"/>
  <c r="S39" i="3"/>
  <c r="Q39" i="3"/>
  <c r="O39" i="3"/>
  <c r="N39" i="3"/>
  <c r="M39" i="3"/>
  <c r="L39" i="3"/>
  <c r="K39" i="3"/>
  <c r="J39" i="3"/>
  <c r="I39" i="3"/>
  <c r="H39" i="3"/>
  <c r="G39" i="3"/>
  <c r="F39" i="3"/>
  <c r="E39" i="3"/>
  <c r="B39" i="3"/>
  <c r="BM38" i="3"/>
  <c r="BL38" i="3"/>
  <c r="BK38" i="3"/>
  <c r="BJ38" i="3"/>
  <c r="BI38" i="3"/>
  <c r="BH38" i="3"/>
  <c r="BG38" i="3"/>
  <c r="BC38" i="3"/>
  <c r="BB38" i="3"/>
  <c r="AZ38" i="3"/>
  <c r="AX38" i="3"/>
  <c r="AU38" i="3"/>
  <c r="AT38" i="3"/>
  <c r="AR38" i="3"/>
  <c r="AQ38" i="3"/>
  <c r="AO38" i="3"/>
  <c r="AK38" i="3"/>
  <c r="AJ38" i="3"/>
  <c r="AI38" i="3"/>
  <c r="AH38" i="3"/>
  <c r="AF38" i="3"/>
  <c r="AE38" i="3"/>
  <c r="AD38" i="3"/>
  <c r="AC38" i="3"/>
  <c r="AB38" i="3"/>
  <c r="AA38" i="3"/>
  <c r="Y38" i="3"/>
  <c r="X38" i="3"/>
  <c r="W38" i="3"/>
  <c r="V38" i="3"/>
  <c r="U38" i="3"/>
  <c r="T38" i="3"/>
  <c r="S38" i="3"/>
  <c r="Q38" i="3"/>
  <c r="O38" i="3"/>
  <c r="N38" i="3"/>
  <c r="M38" i="3"/>
  <c r="L38" i="3"/>
  <c r="K38" i="3"/>
  <c r="J38" i="3"/>
  <c r="I38" i="3"/>
  <c r="H38" i="3"/>
  <c r="G38" i="3"/>
  <c r="F38" i="3"/>
  <c r="E38" i="3"/>
  <c r="B38" i="3"/>
  <c r="BM37" i="3"/>
  <c r="BL37" i="3"/>
  <c r="BK37" i="3"/>
  <c r="BJ37" i="3"/>
  <c r="BI37" i="3"/>
  <c r="BH37" i="3"/>
  <c r="BG37" i="3"/>
  <c r="BC37" i="3"/>
  <c r="BB37" i="3"/>
  <c r="AZ37" i="3"/>
  <c r="AX37" i="3"/>
  <c r="AU37" i="3"/>
  <c r="AT37" i="3"/>
  <c r="AR37" i="3"/>
  <c r="AQ37" i="3"/>
  <c r="AO37" i="3"/>
  <c r="AM37" i="3"/>
  <c r="AF37" i="3"/>
  <c r="AE37" i="3"/>
  <c r="AD37" i="3"/>
  <c r="AC37" i="3"/>
  <c r="AB37" i="3"/>
  <c r="AA37" i="3"/>
  <c r="Y37" i="3"/>
  <c r="X37" i="3"/>
  <c r="W37" i="3"/>
  <c r="V37" i="3"/>
  <c r="U37" i="3"/>
  <c r="T37" i="3"/>
  <c r="S37" i="3"/>
  <c r="Q37" i="3"/>
  <c r="O37" i="3"/>
  <c r="N37" i="3"/>
  <c r="M37" i="3"/>
  <c r="L37" i="3"/>
  <c r="K37" i="3"/>
  <c r="J37" i="3"/>
  <c r="I37" i="3"/>
  <c r="H37" i="3"/>
  <c r="G37" i="3"/>
  <c r="F37" i="3"/>
  <c r="E37" i="3"/>
  <c r="B37" i="3"/>
  <c r="BM36" i="3"/>
  <c r="BL36" i="3"/>
  <c r="BK36" i="3"/>
  <c r="BJ36" i="3"/>
  <c r="BI36" i="3"/>
  <c r="BH36" i="3"/>
  <c r="BG36" i="3"/>
  <c r="BC36" i="3"/>
  <c r="BB36" i="3"/>
  <c r="AZ36" i="3"/>
  <c r="AX36" i="3"/>
  <c r="AU36" i="3"/>
  <c r="AT36" i="3"/>
  <c r="AR36" i="3"/>
  <c r="AQ36" i="3"/>
  <c r="AO36" i="3"/>
  <c r="AM36" i="3"/>
  <c r="AF36" i="3"/>
  <c r="AE36" i="3"/>
  <c r="AD36" i="3"/>
  <c r="AC36" i="3"/>
  <c r="AB36" i="3"/>
  <c r="AA36" i="3"/>
  <c r="Y36" i="3"/>
  <c r="X36" i="3"/>
  <c r="W36" i="3"/>
  <c r="V36" i="3"/>
  <c r="U36" i="3"/>
  <c r="T36" i="3"/>
  <c r="S36" i="3"/>
  <c r="Q36" i="3"/>
  <c r="O36" i="3"/>
  <c r="N36" i="3"/>
  <c r="M36" i="3"/>
  <c r="L36" i="3"/>
  <c r="K36" i="3"/>
  <c r="J36" i="3"/>
  <c r="I36" i="3"/>
  <c r="H36" i="3"/>
  <c r="G36" i="3"/>
  <c r="F36" i="3"/>
  <c r="E36" i="3"/>
  <c r="B36" i="3"/>
  <c r="BM35" i="3"/>
  <c r="BL35" i="3"/>
  <c r="BK35" i="3"/>
  <c r="BJ35" i="3"/>
  <c r="BI35" i="3"/>
  <c r="BH35" i="3"/>
  <c r="BG35" i="3"/>
  <c r="BC35" i="3"/>
  <c r="BB35" i="3"/>
  <c r="AZ35" i="3"/>
  <c r="AX35" i="3"/>
  <c r="AU35" i="3"/>
  <c r="AT35" i="3"/>
  <c r="AR35" i="3"/>
  <c r="AQ35" i="3"/>
  <c r="AO35" i="3"/>
  <c r="AK35" i="3"/>
  <c r="AJ35" i="3"/>
  <c r="AI35" i="3"/>
  <c r="AH35" i="3"/>
  <c r="AF35" i="3"/>
  <c r="AE35" i="3"/>
  <c r="AD35" i="3"/>
  <c r="AC35" i="3"/>
  <c r="AB35" i="3"/>
  <c r="AA35" i="3"/>
  <c r="Y35" i="3"/>
  <c r="X35" i="3"/>
  <c r="W35" i="3"/>
  <c r="V35" i="3"/>
  <c r="U35" i="3"/>
  <c r="T35" i="3"/>
  <c r="S35" i="3"/>
  <c r="Q35" i="3"/>
  <c r="O35" i="3"/>
  <c r="N35" i="3"/>
  <c r="M35" i="3"/>
  <c r="L35" i="3"/>
  <c r="K35" i="3"/>
  <c r="J35" i="3"/>
  <c r="I35" i="3"/>
  <c r="H35" i="3"/>
  <c r="G35" i="3"/>
  <c r="F35" i="3"/>
  <c r="E35" i="3"/>
  <c r="B35" i="3"/>
  <c r="BM34" i="3"/>
  <c r="BL34" i="3"/>
  <c r="BK34" i="3"/>
  <c r="BJ34" i="3"/>
  <c r="BI34" i="3"/>
  <c r="BH34" i="3"/>
  <c r="BG34" i="3"/>
  <c r="BC34" i="3"/>
  <c r="BB34" i="3"/>
  <c r="AZ34" i="3"/>
  <c r="AX34" i="3"/>
  <c r="AU34" i="3"/>
  <c r="AT34" i="3"/>
  <c r="AR34" i="3"/>
  <c r="AQ34" i="3"/>
  <c r="AO34" i="3"/>
  <c r="AM34" i="3"/>
  <c r="AH34" i="3"/>
  <c r="AF34" i="3"/>
  <c r="AE34" i="3"/>
  <c r="AD34" i="3"/>
  <c r="AC34" i="3"/>
  <c r="AB34" i="3"/>
  <c r="AA34" i="3"/>
  <c r="Y34" i="3"/>
  <c r="X34" i="3"/>
  <c r="W34" i="3"/>
  <c r="V34" i="3"/>
  <c r="U34" i="3"/>
  <c r="T34" i="3"/>
  <c r="S34" i="3"/>
  <c r="Q34" i="3"/>
  <c r="O34" i="3"/>
  <c r="N34" i="3"/>
  <c r="M34" i="3"/>
  <c r="L34" i="3"/>
  <c r="K34" i="3"/>
  <c r="J34" i="3"/>
  <c r="I34" i="3"/>
  <c r="H34" i="3"/>
  <c r="G34" i="3"/>
  <c r="F34" i="3"/>
  <c r="E34" i="3"/>
  <c r="B34" i="3"/>
  <c r="BM33" i="3"/>
  <c r="BL33" i="3"/>
  <c r="BK33" i="3"/>
  <c r="BJ33" i="3"/>
  <c r="BI33" i="3"/>
  <c r="BH33" i="3"/>
  <c r="BG33" i="3"/>
  <c r="BC33" i="3"/>
  <c r="BB33" i="3"/>
  <c r="AZ33" i="3"/>
  <c r="AX33" i="3"/>
  <c r="AU33" i="3"/>
  <c r="AT33" i="3"/>
  <c r="AR33" i="3"/>
  <c r="AQ33" i="3"/>
  <c r="AO33" i="3"/>
  <c r="AM33" i="3"/>
  <c r="AF33" i="3"/>
  <c r="AE33" i="3"/>
  <c r="AD33" i="3"/>
  <c r="AC33" i="3"/>
  <c r="AB33" i="3"/>
  <c r="AA33" i="3"/>
  <c r="Y33" i="3"/>
  <c r="X33" i="3"/>
  <c r="W33" i="3"/>
  <c r="V33" i="3"/>
  <c r="U33" i="3"/>
  <c r="T33" i="3"/>
  <c r="S33" i="3"/>
  <c r="Q33" i="3"/>
  <c r="O33" i="3"/>
  <c r="N33" i="3"/>
  <c r="M33" i="3"/>
  <c r="L33" i="3"/>
  <c r="K33" i="3"/>
  <c r="J33" i="3"/>
  <c r="I33" i="3"/>
  <c r="H33" i="3"/>
  <c r="G33" i="3"/>
  <c r="F33" i="3"/>
  <c r="E33" i="3"/>
  <c r="B33" i="3"/>
  <c r="BM32" i="3"/>
  <c r="BL32" i="3"/>
  <c r="BK32" i="3"/>
  <c r="BJ32" i="3"/>
  <c r="BI32" i="3"/>
  <c r="BH32" i="3"/>
  <c r="BG32" i="3"/>
  <c r="BC32" i="3"/>
  <c r="BB32" i="3"/>
  <c r="AZ32" i="3"/>
  <c r="AX32" i="3"/>
  <c r="AU32" i="3"/>
  <c r="AT32" i="3"/>
  <c r="AR32" i="3"/>
  <c r="AQ32" i="3"/>
  <c r="AO32" i="3"/>
  <c r="AK32" i="3"/>
  <c r="AJ32" i="3"/>
  <c r="AI32" i="3"/>
  <c r="AH32" i="3"/>
  <c r="AF32" i="3"/>
  <c r="AE32" i="3"/>
  <c r="AD32" i="3"/>
  <c r="AC32" i="3"/>
  <c r="AB32" i="3"/>
  <c r="AA32" i="3"/>
  <c r="Y32" i="3"/>
  <c r="X32" i="3"/>
  <c r="W32" i="3"/>
  <c r="V32" i="3"/>
  <c r="U32" i="3"/>
  <c r="T32" i="3"/>
  <c r="S32" i="3"/>
  <c r="Q32" i="3"/>
  <c r="O32" i="3"/>
  <c r="N32" i="3"/>
  <c r="M32" i="3"/>
  <c r="L32" i="3"/>
  <c r="K32" i="3"/>
  <c r="J32" i="3"/>
  <c r="I32" i="3"/>
  <c r="H32" i="3"/>
  <c r="G32" i="3"/>
  <c r="F32" i="3"/>
  <c r="E32" i="3"/>
  <c r="B32" i="3"/>
  <c r="BM31" i="3"/>
  <c r="BL31" i="3"/>
  <c r="BK31" i="3"/>
  <c r="BJ31" i="3"/>
  <c r="BI31" i="3"/>
  <c r="BH31" i="3"/>
  <c r="BG31" i="3"/>
  <c r="BC31" i="3"/>
  <c r="BB31" i="3"/>
  <c r="AZ31" i="3"/>
  <c r="AX31" i="3"/>
  <c r="AU31" i="3"/>
  <c r="AT31" i="3"/>
  <c r="AR31" i="3"/>
  <c r="AQ31" i="3"/>
  <c r="AO31" i="3"/>
  <c r="AM31" i="3"/>
  <c r="AH31" i="3"/>
  <c r="AF31" i="3"/>
  <c r="AE31" i="3"/>
  <c r="AD31" i="3"/>
  <c r="AC31" i="3"/>
  <c r="AB31" i="3"/>
  <c r="AA31" i="3"/>
  <c r="Y31" i="3"/>
  <c r="X31" i="3"/>
  <c r="W31" i="3"/>
  <c r="V31" i="3"/>
  <c r="U31" i="3"/>
  <c r="T31" i="3"/>
  <c r="S31" i="3"/>
  <c r="Q31" i="3"/>
  <c r="O31" i="3"/>
  <c r="N31" i="3"/>
  <c r="M31" i="3"/>
  <c r="L31" i="3"/>
  <c r="K31" i="3"/>
  <c r="J31" i="3"/>
  <c r="I31" i="3"/>
  <c r="H31" i="3"/>
  <c r="G31" i="3"/>
  <c r="F31" i="3"/>
  <c r="E31" i="3"/>
  <c r="B31" i="3"/>
  <c r="BM30" i="3"/>
  <c r="BL30" i="3"/>
  <c r="BK30" i="3"/>
  <c r="BJ30" i="3"/>
  <c r="BI30" i="3"/>
  <c r="BH30" i="3"/>
  <c r="BG30" i="3"/>
  <c r="BC30" i="3"/>
  <c r="BB30" i="3"/>
  <c r="AZ30" i="3"/>
  <c r="AX30" i="3"/>
  <c r="AU30" i="3"/>
  <c r="AT30" i="3"/>
  <c r="AR30" i="3"/>
  <c r="AQ30" i="3"/>
  <c r="AO30" i="3"/>
  <c r="AM30" i="3"/>
  <c r="AF30" i="3"/>
  <c r="AE30" i="3"/>
  <c r="AD30" i="3"/>
  <c r="AC30" i="3"/>
  <c r="AB30" i="3"/>
  <c r="AA30" i="3"/>
  <c r="Y30" i="3"/>
  <c r="X30" i="3"/>
  <c r="W30" i="3"/>
  <c r="V30" i="3"/>
  <c r="U30" i="3"/>
  <c r="T30" i="3"/>
  <c r="S30" i="3"/>
  <c r="Q30" i="3"/>
  <c r="O30" i="3"/>
  <c r="N30" i="3"/>
  <c r="M30" i="3"/>
  <c r="L30" i="3"/>
  <c r="K30" i="3"/>
  <c r="J30" i="3"/>
  <c r="I30" i="3"/>
  <c r="H30" i="3"/>
  <c r="G30" i="3"/>
  <c r="F30" i="3"/>
  <c r="E30" i="3"/>
  <c r="B30" i="3"/>
  <c r="BM29" i="3"/>
  <c r="BL29" i="3"/>
  <c r="BK29" i="3"/>
  <c r="BJ29" i="3"/>
  <c r="BI29" i="3"/>
  <c r="BH29" i="3"/>
  <c r="BG29" i="3"/>
  <c r="BC29" i="3"/>
  <c r="BB29" i="3"/>
  <c r="AZ29" i="3"/>
  <c r="AX29" i="3"/>
  <c r="AU29" i="3"/>
  <c r="AT29" i="3"/>
  <c r="AR29" i="3"/>
  <c r="AQ29" i="3"/>
  <c r="AO29" i="3"/>
  <c r="AK29" i="3"/>
  <c r="AJ29" i="3"/>
  <c r="AI29" i="3"/>
  <c r="AH29" i="3"/>
  <c r="AF29" i="3"/>
  <c r="AE29" i="3"/>
  <c r="AD29" i="3"/>
  <c r="AC29" i="3"/>
  <c r="AB29" i="3"/>
  <c r="AA29" i="3"/>
  <c r="Y29" i="3"/>
  <c r="X29" i="3"/>
  <c r="W29" i="3"/>
  <c r="V29" i="3"/>
  <c r="U29" i="3"/>
  <c r="T29" i="3"/>
  <c r="S29" i="3"/>
  <c r="Q29" i="3"/>
  <c r="O29" i="3"/>
  <c r="N29" i="3"/>
  <c r="M29" i="3"/>
  <c r="L29" i="3"/>
  <c r="K29" i="3"/>
  <c r="J29" i="3"/>
  <c r="I29" i="3"/>
  <c r="H29" i="3"/>
  <c r="G29" i="3"/>
  <c r="F29" i="3"/>
  <c r="E29" i="3"/>
  <c r="B29" i="3"/>
  <c r="BM28" i="3"/>
  <c r="BL28" i="3"/>
  <c r="BK28" i="3"/>
  <c r="BJ28" i="3"/>
  <c r="BI28" i="3"/>
  <c r="BH28" i="3"/>
  <c r="BG28" i="3"/>
  <c r="BC28" i="3"/>
  <c r="BB28" i="3"/>
  <c r="AZ28" i="3"/>
  <c r="AX28" i="3"/>
  <c r="AU28" i="3"/>
  <c r="AT28" i="3"/>
  <c r="AR28" i="3"/>
  <c r="AQ28" i="3"/>
  <c r="AO28" i="3"/>
  <c r="AM28" i="3"/>
  <c r="AH28" i="3"/>
  <c r="AF28" i="3"/>
  <c r="AE28" i="3"/>
  <c r="AD28" i="3"/>
  <c r="AC28" i="3"/>
  <c r="AB28" i="3"/>
  <c r="AA28" i="3"/>
  <c r="Y28" i="3"/>
  <c r="X28" i="3"/>
  <c r="W28" i="3"/>
  <c r="V28" i="3"/>
  <c r="U28" i="3"/>
  <c r="T28" i="3"/>
  <c r="S28" i="3"/>
  <c r="Q28" i="3"/>
  <c r="O28" i="3"/>
  <c r="N28" i="3"/>
  <c r="M28" i="3"/>
  <c r="L28" i="3"/>
  <c r="K28" i="3"/>
  <c r="J28" i="3"/>
  <c r="I28" i="3"/>
  <c r="H28" i="3"/>
  <c r="G28" i="3"/>
  <c r="F28" i="3"/>
  <c r="E28" i="3"/>
  <c r="B28" i="3"/>
  <c r="BM27" i="3"/>
  <c r="BL27" i="3"/>
  <c r="BK27" i="3"/>
  <c r="BJ27" i="3"/>
  <c r="BI27" i="3"/>
  <c r="BH27" i="3"/>
  <c r="BG27" i="3"/>
  <c r="BC27" i="3"/>
  <c r="BB27" i="3"/>
  <c r="AZ27" i="3"/>
  <c r="AX27" i="3"/>
  <c r="AU27" i="3"/>
  <c r="AT27" i="3"/>
  <c r="AR27" i="3"/>
  <c r="AQ27" i="3"/>
  <c r="AO27" i="3"/>
  <c r="AM27" i="3"/>
  <c r="AF27" i="3"/>
  <c r="AE27" i="3"/>
  <c r="AD27" i="3"/>
  <c r="AC27" i="3"/>
  <c r="AB27" i="3"/>
  <c r="AA27" i="3"/>
  <c r="Y27" i="3"/>
  <c r="X27" i="3"/>
  <c r="W27" i="3"/>
  <c r="V27" i="3"/>
  <c r="U27" i="3"/>
  <c r="T27" i="3"/>
  <c r="S27" i="3"/>
  <c r="Q27" i="3"/>
  <c r="O27" i="3"/>
  <c r="N27" i="3"/>
  <c r="M27" i="3"/>
  <c r="L27" i="3"/>
  <c r="K27" i="3"/>
  <c r="J27" i="3"/>
  <c r="I27" i="3"/>
  <c r="H27" i="3"/>
  <c r="G27" i="3"/>
  <c r="F27" i="3"/>
  <c r="E27" i="3"/>
  <c r="B27" i="3"/>
  <c r="BM26" i="3"/>
  <c r="BL26" i="3"/>
  <c r="BK26" i="3"/>
  <c r="BJ26" i="3"/>
  <c r="BI26" i="3"/>
  <c r="BH26" i="3"/>
  <c r="BG26" i="3"/>
  <c r="BC26" i="3"/>
  <c r="BB26" i="3"/>
  <c r="AZ26" i="3"/>
  <c r="AX26" i="3"/>
  <c r="AU26" i="3"/>
  <c r="AT26" i="3"/>
  <c r="AR26" i="3"/>
  <c r="AQ26" i="3"/>
  <c r="AO26" i="3"/>
  <c r="AK26" i="3"/>
  <c r="AJ26" i="3"/>
  <c r="AI26" i="3"/>
  <c r="AH26" i="3"/>
  <c r="AF26" i="3"/>
  <c r="AE26" i="3"/>
  <c r="AD26" i="3"/>
  <c r="AC26" i="3"/>
  <c r="AB26" i="3"/>
  <c r="AA26" i="3"/>
  <c r="Y26" i="3"/>
  <c r="X26" i="3"/>
  <c r="W26" i="3"/>
  <c r="V26" i="3"/>
  <c r="U26" i="3"/>
  <c r="T26" i="3"/>
  <c r="S26" i="3"/>
  <c r="Q26" i="3"/>
  <c r="O26" i="3"/>
  <c r="N26" i="3"/>
  <c r="M26" i="3"/>
  <c r="L26" i="3"/>
  <c r="K26" i="3"/>
  <c r="J26" i="3"/>
  <c r="I26" i="3"/>
  <c r="H26" i="3"/>
  <c r="G26" i="3"/>
  <c r="F26" i="3"/>
  <c r="E26" i="3"/>
  <c r="B26" i="3"/>
  <c r="BM25" i="3"/>
  <c r="BL25" i="3"/>
  <c r="BK25" i="3"/>
  <c r="BJ25" i="3"/>
  <c r="BI25" i="3"/>
  <c r="BH25" i="3"/>
  <c r="BG25" i="3"/>
  <c r="BC25" i="3"/>
  <c r="BB25" i="3"/>
  <c r="AZ25" i="3"/>
  <c r="AX25" i="3"/>
  <c r="AU25" i="3"/>
  <c r="AT25" i="3"/>
  <c r="AR25" i="3"/>
  <c r="AQ25" i="3"/>
  <c r="AO25" i="3"/>
  <c r="AM25" i="3"/>
  <c r="AI25" i="3"/>
  <c r="AH25" i="3"/>
  <c r="AF25" i="3"/>
  <c r="AE25" i="3"/>
  <c r="AD25" i="3"/>
  <c r="AC25" i="3"/>
  <c r="AB25" i="3"/>
  <c r="AA25" i="3"/>
  <c r="Y25" i="3"/>
  <c r="X25" i="3"/>
  <c r="W25" i="3"/>
  <c r="V25" i="3"/>
  <c r="U25" i="3"/>
  <c r="T25" i="3"/>
  <c r="S25" i="3"/>
  <c r="Q25" i="3"/>
  <c r="O25" i="3"/>
  <c r="N25" i="3"/>
  <c r="M25" i="3"/>
  <c r="L25" i="3"/>
  <c r="K25" i="3"/>
  <c r="J25" i="3"/>
  <c r="I25" i="3"/>
  <c r="H25" i="3"/>
  <c r="G25" i="3"/>
  <c r="F25" i="3"/>
  <c r="E25" i="3"/>
  <c r="B25" i="3"/>
  <c r="BM24" i="3"/>
  <c r="BL24" i="3"/>
  <c r="BK24" i="3"/>
  <c r="BJ24" i="3"/>
  <c r="BI24" i="3"/>
  <c r="BH24" i="3"/>
  <c r="BG24" i="3"/>
  <c r="BC24" i="3"/>
  <c r="BB24" i="3"/>
  <c r="AZ24" i="3"/>
  <c r="AX24" i="3"/>
  <c r="AU24" i="3"/>
  <c r="AT24" i="3"/>
  <c r="AR24" i="3"/>
  <c r="AQ24" i="3"/>
  <c r="AO24" i="3"/>
  <c r="AM24" i="3"/>
  <c r="AF24" i="3"/>
  <c r="AE24" i="3"/>
  <c r="AD24" i="3"/>
  <c r="AC24" i="3"/>
  <c r="AB24" i="3"/>
  <c r="AA24" i="3"/>
  <c r="Y24" i="3"/>
  <c r="X24" i="3"/>
  <c r="W24" i="3"/>
  <c r="V24" i="3"/>
  <c r="U24" i="3"/>
  <c r="T24" i="3"/>
  <c r="S24" i="3"/>
  <c r="Q24" i="3"/>
  <c r="O24" i="3"/>
  <c r="N24" i="3"/>
  <c r="M24" i="3"/>
  <c r="L24" i="3"/>
  <c r="K24" i="3"/>
  <c r="J24" i="3"/>
  <c r="I24" i="3"/>
  <c r="H24" i="3"/>
  <c r="G24" i="3"/>
  <c r="F24" i="3"/>
  <c r="E24" i="3"/>
  <c r="B24" i="3"/>
  <c r="BM23" i="3"/>
  <c r="BL23" i="3"/>
  <c r="BK23" i="3"/>
  <c r="BJ23" i="3"/>
  <c r="BI23" i="3"/>
  <c r="BH23" i="3"/>
  <c r="BG23" i="3"/>
  <c r="BC23" i="3"/>
  <c r="BB23" i="3"/>
  <c r="AZ23" i="3"/>
  <c r="AX23" i="3"/>
  <c r="AU23" i="3"/>
  <c r="AT23" i="3"/>
  <c r="AR23" i="3"/>
  <c r="AQ23" i="3"/>
  <c r="AO23" i="3"/>
  <c r="AK23" i="3"/>
  <c r="AJ23" i="3"/>
  <c r="AI23" i="3"/>
  <c r="AH23" i="3"/>
  <c r="AF23" i="3"/>
  <c r="AE23" i="3"/>
  <c r="AD23" i="3"/>
  <c r="AC23" i="3"/>
  <c r="AB23" i="3"/>
  <c r="AA23" i="3"/>
  <c r="Y23" i="3"/>
  <c r="X23" i="3"/>
  <c r="W23" i="3"/>
  <c r="V23" i="3"/>
  <c r="U23" i="3"/>
  <c r="T23" i="3"/>
  <c r="S23" i="3"/>
  <c r="Q23" i="3"/>
  <c r="O23" i="3"/>
  <c r="N23" i="3"/>
  <c r="M23" i="3"/>
  <c r="L23" i="3"/>
  <c r="K23" i="3"/>
  <c r="J23" i="3"/>
  <c r="I23" i="3"/>
  <c r="H23" i="3"/>
  <c r="G23" i="3"/>
  <c r="F23" i="3"/>
  <c r="E23" i="3"/>
  <c r="B23" i="3"/>
  <c r="BM22" i="3"/>
  <c r="BL22" i="3"/>
  <c r="BK22" i="3"/>
  <c r="BJ22" i="3"/>
  <c r="BI22" i="3"/>
  <c r="BH22" i="3"/>
  <c r="BG22" i="3"/>
  <c r="BC22" i="3"/>
  <c r="BB22" i="3"/>
  <c r="AZ22" i="3"/>
  <c r="AX22" i="3"/>
  <c r="AU22" i="3"/>
  <c r="AT22" i="3"/>
  <c r="AR22" i="3"/>
  <c r="AQ22" i="3"/>
  <c r="AO22" i="3"/>
  <c r="AM22" i="3"/>
  <c r="AI22" i="3"/>
  <c r="AH22" i="3"/>
  <c r="AF22" i="3"/>
  <c r="AE22" i="3"/>
  <c r="AD22" i="3"/>
  <c r="AC22" i="3"/>
  <c r="AB22" i="3"/>
  <c r="AA22" i="3"/>
  <c r="Y22" i="3"/>
  <c r="X22" i="3"/>
  <c r="W22" i="3"/>
  <c r="V22" i="3"/>
  <c r="U22" i="3"/>
  <c r="T22" i="3"/>
  <c r="S22" i="3"/>
  <c r="Q22" i="3"/>
  <c r="O22" i="3"/>
  <c r="N22" i="3"/>
  <c r="M22" i="3"/>
  <c r="L22" i="3"/>
  <c r="K22" i="3"/>
  <c r="J22" i="3"/>
  <c r="I22" i="3"/>
  <c r="H22" i="3"/>
  <c r="G22" i="3"/>
  <c r="F22" i="3"/>
  <c r="E22" i="3"/>
  <c r="B22" i="3"/>
  <c r="BM21" i="3"/>
  <c r="BL21" i="3"/>
  <c r="BK21" i="3"/>
  <c r="BJ21" i="3"/>
  <c r="BI21" i="3"/>
  <c r="BH21" i="3"/>
  <c r="BG21" i="3"/>
  <c r="BC21" i="3"/>
  <c r="BB21" i="3"/>
  <c r="AZ21" i="3"/>
  <c r="AX21" i="3"/>
  <c r="AU21" i="3"/>
  <c r="AT21" i="3"/>
  <c r="AR21" i="3"/>
  <c r="AQ21" i="3"/>
  <c r="AO21" i="3"/>
  <c r="AM21" i="3"/>
  <c r="AF21" i="3"/>
  <c r="AE21" i="3"/>
  <c r="AD21" i="3"/>
  <c r="AC21" i="3"/>
  <c r="AB21" i="3"/>
  <c r="AA21" i="3"/>
  <c r="Y21" i="3"/>
  <c r="X21" i="3"/>
  <c r="W21" i="3"/>
  <c r="V21" i="3"/>
  <c r="U21" i="3"/>
  <c r="T21" i="3"/>
  <c r="S21" i="3"/>
  <c r="Q21" i="3"/>
  <c r="O21" i="3"/>
  <c r="N21" i="3"/>
  <c r="M21" i="3"/>
  <c r="L21" i="3"/>
  <c r="K21" i="3"/>
  <c r="J21" i="3"/>
  <c r="I21" i="3"/>
  <c r="H21" i="3"/>
  <c r="G21" i="3"/>
  <c r="F21" i="3"/>
  <c r="E21" i="3"/>
  <c r="B21" i="3"/>
  <c r="BM20" i="3"/>
  <c r="BL20" i="3"/>
  <c r="BK20" i="3"/>
  <c r="BJ20" i="3"/>
  <c r="BI20" i="3"/>
  <c r="BH20" i="3"/>
  <c r="BG20" i="3"/>
  <c r="BC20" i="3"/>
  <c r="BB20" i="3"/>
  <c r="AZ20" i="3"/>
  <c r="AX20" i="3"/>
  <c r="AU20" i="3"/>
  <c r="AT20" i="3"/>
  <c r="AR20" i="3"/>
  <c r="AQ20" i="3"/>
  <c r="AO20" i="3"/>
  <c r="AK20" i="3"/>
  <c r="AJ20" i="3"/>
  <c r="AI20" i="3"/>
  <c r="AH20" i="3"/>
  <c r="AF20" i="3"/>
  <c r="AE20" i="3"/>
  <c r="AD20" i="3"/>
  <c r="AC20" i="3"/>
  <c r="AB20" i="3"/>
  <c r="AA20" i="3"/>
  <c r="Y20" i="3"/>
  <c r="X20" i="3"/>
  <c r="W20" i="3"/>
  <c r="V20" i="3"/>
  <c r="U20" i="3"/>
  <c r="T20" i="3"/>
  <c r="S20" i="3"/>
  <c r="Q20" i="3"/>
  <c r="O20" i="3"/>
  <c r="N20" i="3"/>
  <c r="M20" i="3"/>
  <c r="L20" i="3"/>
  <c r="K20" i="3"/>
  <c r="J20" i="3"/>
  <c r="I20" i="3"/>
  <c r="H20" i="3"/>
  <c r="G20" i="3"/>
  <c r="F20" i="3"/>
  <c r="E20" i="3"/>
  <c r="B20" i="3"/>
  <c r="BM19" i="3"/>
  <c r="BL19" i="3"/>
  <c r="BK19" i="3"/>
  <c r="BJ19" i="3"/>
  <c r="BI19" i="3"/>
  <c r="BH19" i="3"/>
  <c r="BG19" i="3"/>
  <c r="BC19" i="3"/>
  <c r="BB19" i="3"/>
  <c r="AZ19" i="3"/>
  <c r="AX19" i="3"/>
  <c r="AU19" i="3"/>
  <c r="AT19" i="3"/>
  <c r="AR19" i="3"/>
  <c r="AQ19" i="3"/>
  <c r="AO19" i="3"/>
  <c r="AM19" i="3"/>
  <c r="AI19" i="3"/>
  <c r="AH19" i="3"/>
  <c r="AF19" i="3"/>
  <c r="AE19" i="3"/>
  <c r="AD19" i="3"/>
  <c r="AC19" i="3"/>
  <c r="AB19" i="3"/>
  <c r="AA19" i="3"/>
  <c r="Y19" i="3"/>
  <c r="X19" i="3"/>
  <c r="W19" i="3"/>
  <c r="V19" i="3"/>
  <c r="U19" i="3"/>
  <c r="T19" i="3"/>
  <c r="S19" i="3"/>
  <c r="Q19" i="3"/>
  <c r="O19" i="3"/>
  <c r="N19" i="3"/>
  <c r="M19" i="3"/>
  <c r="L19" i="3"/>
  <c r="K19" i="3"/>
  <c r="J19" i="3"/>
  <c r="I19" i="3"/>
  <c r="H19" i="3"/>
  <c r="G19" i="3"/>
  <c r="F19" i="3"/>
  <c r="E19" i="3"/>
  <c r="B19" i="3"/>
  <c r="BM18" i="3"/>
  <c r="BL18" i="3"/>
  <c r="BK18" i="3"/>
  <c r="BJ18" i="3"/>
  <c r="BI18" i="3"/>
  <c r="BH18" i="3"/>
  <c r="BG18" i="3"/>
  <c r="BC18" i="3"/>
  <c r="BB18" i="3"/>
  <c r="AZ18" i="3"/>
  <c r="AX18" i="3"/>
  <c r="AU18" i="3"/>
  <c r="AT18" i="3"/>
  <c r="AR18" i="3"/>
  <c r="AQ18" i="3"/>
  <c r="AO18" i="3"/>
  <c r="AM18" i="3"/>
  <c r="AF18" i="3"/>
  <c r="AE18" i="3"/>
  <c r="AD18" i="3"/>
  <c r="AC18" i="3"/>
  <c r="AB18" i="3"/>
  <c r="AA18" i="3"/>
  <c r="Y18" i="3"/>
  <c r="X18" i="3"/>
  <c r="W18" i="3"/>
  <c r="V18" i="3"/>
  <c r="U18" i="3"/>
  <c r="T18" i="3"/>
  <c r="S18" i="3"/>
  <c r="Q18" i="3"/>
  <c r="O18" i="3"/>
  <c r="N18" i="3"/>
  <c r="M18" i="3"/>
  <c r="L18" i="3"/>
  <c r="K18" i="3"/>
  <c r="J18" i="3"/>
  <c r="I18" i="3"/>
  <c r="H18" i="3"/>
  <c r="G18" i="3"/>
  <c r="F18" i="3"/>
  <c r="E18" i="3"/>
  <c r="B18" i="3"/>
  <c r="BM17" i="3"/>
  <c r="BL17" i="3"/>
  <c r="BK17" i="3"/>
  <c r="BJ17" i="3"/>
  <c r="BI17" i="3"/>
  <c r="BH17" i="3"/>
  <c r="BG17" i="3"/>
  <c r="BC17" i="3"/>
  <c r="BB17" i="3"/>
  <c r="AZ17" i="3"/>
  <c r="AX17" i="3"/>
  <c r="AU17" i="3"/>
  <c r="AT17" i="3"/>
  <c r="AR17" i="3"/>
  <c r="AQ17" i="3"/>
  <c r="AO17" i="3"/>
  <c r="AK17" i="3"/>
  <c r="AJ17" i="3"/>
  <c r="AI17" i="3"/>
  <c r="AH17" i="3"/>
  <c r="AF17" i="3"/>
  <c r="AE17" i="3"/>
  <c r="AD17" i="3"/>
  <c r="AC17" i="3"/>
  <c r="AB17" i="3"/>
  <c r="AA17" i="3"/>
  <c r="Y17" i="3"/>
  <c r="X17" i="3"/>
  <c r="W17" i="3"/>
  <c r="V17" i="3"/>
  <c r="U17" i="3"/>
  <c r="T17" i="3"/>
  <c r="S17" i="3"/>
  <c r="Q17" i="3"/>
  <c r="O17" i="3"/>
  <c r="N17" i="3"/>
  <c r="M17" i="3"/>
  <c r="L17" i="3"/>
  <c r="K17" i="3"/>
  <c r="J17" i="3"/>
  <c r="I17" i="3"/>
  <c r="H17" i="3"/>
  <c r="G17" i="3"/>
  <c r="F17" i="3"/>
  <c r="E17" i="3"/>
  <c r="B17" i="3"/>
  <c r="BM16" i="3"/>
  <c r="BL16" i="3"/>
  <c r="BK16" i="3"/>
  <c r="BJ16" i="3"/>
  <c r="BI16" i="3"/>
  <c r="BH16" i="3"/>
  <c r="BG16" i="3"/>
  <c r="BC16" i="3"/>
  <c r="BB16" i="3"/>
  <c r="AZ16" i="3"/>
  <c r="AX16" i="3"/>
  <c r="AU16" i="3"/>
  <c r="AT16" i="3"/>
  <c r="AR16" i="3"/>
  <c r="AQ16" i="3"/>
  <c r="AO16" i="3"/>
  <c r="AM16" i="3"/>
  <c r="AI16" i="3"/>
  <c r="AH16" i="3"/>
  <c r="AF16" i="3"/>
  <c r="AE16" i="3"/>
  <c r="AD16" i="3"/>
  <c r="AC16" i="3"/>
  <c r="AB16" i="3"/>
  <c r="Y16" i="3"/>
  <c r="X16" i="3"/>
  <c r="W16" i="3"/>
  <c r="V16" i="3"/>
  <c r="U16" i="3"/>
  <c r="T16" i="3"/>
  <c r="S16" i="3"/>
  <c r="Q16" i="3"/>
  <c r="O16" i="3"/>
  <c r="N16" i="3"/>
  <c r="M16" i="3"/>
  <c r="L16" i="3"/>
  <c r="K16" i="3"/>
  <c r="J16" i="3"/>
  <c r="I16" i="3"/>
  <c r="H16" i="3"/>
  <c r="G16" i="3"/>
  <c r="F16" i="3"/>
  <c r="E16" i="3"/>
  <c r="B16" i="3"/>
  <c r="BM15" i="3"/>
  <c r="BL15" i="3"/>
  <c r="BK15" i="3"/>
  <c r="BJ15" i="3"/>
  <c r="BI15" i="3"/>
  <c r="BH15" i="3"/>
  <c r="BG15" i="3"/>
  <c r="BC15" i="3"/>
  <c r="BB15" i="3"/>
  <c r="AZ15" i="3"/>
  <c r="AX15" i="3"/>
  <c r="AU15" i="3"/>
  <c r="AT15" i="3"/>
  <c r="AR15" i="3"/>
  <c r="AQ15" i="3"/>
  <c r="AO15" i="3"/>
  <c r="AM15" i="3"/>
  <c r="AF15" i="3"/>
  <c r="AE15" i="3"/>
  <c r="AD15" i="3"/>
  <c r="AC15" i="3"/>
  <c r="AB15" i="3"/>
  <c r="AA15" i="3"/>
  <c r="Y15" i="3"/>
  <c r="X15" i="3"/>
  <c r="W15" i="3"/>
  <c r="V15" i="3"/>
  <c r="U15" i="3"/>
  <c r="T15" i="3"/>
  <c r="S15" i="3"/>
  <c r="Q15" i="3"/>
  <c r="O15" i="3"/>
  <c r="N15" i="3"/>
  <c r="M15" i="3"/>
  <c r="L15" i="3"/>
  <c r="K15" i="3"/>
  <c r="J15" i="3"/>
  <c r="I15" i="3"/>
  <c r="H15" i="3"/>
  <c r="G15" i="3"/>
  <c r="F15" i="3"/>
  <c r="E15" i="3"/>
  <c r="B15" i="3"/>
  <c r="BM14" i="3"/>
  <c r="BL14" i="3"/>
  <c r="BK14" i="3"/>
  <c r="BJ14" i="3"/>
  <c r="BI14" i="3"/>
  <c r="BH14" i="3"/>
  <c r="BG14" i="3"/>
  <c r="BC14" i="3"/>
  <c r="BB14" i="3"/>
  <c r="AZ14" i="3"/>
  <c r="AX14" i="3"/>
  <c r="AU14" i="3"/>
  <c r="AT14" i="3"/>
  <c r="AR14" i="3"/>
  <c r="AQ14" i="3"/>
  <c r="AO14" i="3"/>
  <c r="AK14" i="3"/>
  <c r="AJ14" i="3"/>
  <c r="AI14" i="3"/>
  <c r="AH14" i="3"/>
  <c r="AF14" i="3"/>
  <c r="AE14" i="3"/>
  <c r="AD14" i="3"/>
  <c r="AC14" i="3"/>
  <c r="AB14" i="3"/>
  <c r="Y14" i="3"/>
  <c r="X14" i="3"/>
  <c r="W14" i="3"/>
  <c r="V14" i="3"/>
  <c r="U14" i="3"/>
  <c r="T14" i="3"/>
  <c r="S14" i="3"/>
  <c r="Q14" i="3"/>
  <c r="O14" i="3"/>
  <c r="N14" i="3"/>
  <c r="M14" i="3"/>
  <c r="L14" i="3"/>
  <c r="K14" i="3"/>
  <c r="J14" i="3"/>
  <c r="I14" i="3"/>
  <c r="H14" i="3"/>
  <c r="G14" i="3"/>
  <c r="F14" i="3"/>
  <c r="E14" i="3"/>
  <c r="B14" i="3"/>
  <c r="BM13" i="3"/>
  <c r="BL13" i="3"/>
  <c r="BK13" i="3"/>
  <c r="BJ13" i="3"/>
  <c r="BI13" i="3"/>
  <c r="BH13" i="3"/>
  <c r="BG13" i="3"/>
  <c r="BC13" i="3"/>
  <c r="BB13" i="3"/>
  <c r="AZ13" i="3"/>
  <c r="AX13" i="3"/>
  <c r="AU13" i="3"/>
  <c r="AT13" i="3"/>
  <c r="AR13" i="3"/>
  <c r="AQ13" i="3"/>
  <c r="AO13" i="3"/>
  <c r="AM13" i="3"/>
  <c r="AI13" i="3"/>
  <c r="AH13" i="3"/>
  <c r="AF13" i="3"/>
  <c r="AE13" i="3"/>
  <c r="AD13" i="3"/>
  <c r="AC13" i="3"/>
  <c r="AB13" i="3"/>
  <c r="AA13" i="3"/>
  <c r="Y13" i="3"/>
  <c r="X13" i="3"/>
  <c r="W13" i="3"/>
  <c r="V13" i="3"/>
  <c r="U13" i="3"/>
  <c r="T13" i="3"/>
  <c r="S13" i="3"/>
  <c r="Q13" i="3"/>
  <c r="O13" i="3"/>
  <c r="N13" i="3"/>
  <c r="M13" i="3"/>
  <c r="L13" i="3"/>
  <c r="K13" i="3"/>
  <c r="J13" i="3"/>
  <c r="I13" i="3"/>
  <c r="H13" i="3"/>
  <c r="G13" i="3"/>
  <c r="F13" i="3"/>
  <c r="E13" i="3"/>
  <c r="B13" i="3"/>
  <c r="BM12" i="3"/>
  <c r="BL12" i="3"/>
  <c r="BK12" i="3"/>
  <c r="BJ12" i="3"/>
  <c r="BI12" i="3"/>
  <c r="BH12" i="3"/>
  <c r="BG12" i="3"/>
  <c r="BC12" i="3"/>
  <c r="BB12" i="3"/>
  <c r="AZ12" i="3"/>
  <c r="AX12" i="3"/>
  <c r="AU12" i="3"/>
  <c r="AT12" i="3"/>
  <c r="AR12" i="3"/>
  <c r="AQ12" i="3"/>
  <c r="AO12" i="3"/>
  <c r="AM12" i="3"/>
  <c r="AF12" i="3"/>
  <c r="AE12" i="3"/>
  <c r="AD12" i="3"/>
  <c r="AC12" i="3"/>
  <c r="AB12" i="3"/>
  <c r="AA12" i="3"/>
  <c r="Y12" i="3"/>
  <c r="X12" i="3"/>
  <c r="W12" i="3"/>
  <c r="V12" i="3"/>
  <c r="U12" i="3"/>
  <c r="T12" i="3"/>
  <c r="S12" i="3"/>
  <c r="Q12" i="3"/>
  <c r="O12" i="3"/>
  <c r="N12" i="3"/>
  <c r="M12" i="3"/>
  <c r="L12" i="3"/>
  <c r="K12" i="3"/>
  <c r="J12" i="3"/>
  <c r="I12" i="3"/>
  <c r="H12" i="3"/>
  <c r="G12" i="3"/>
  <c r="F12" i="3"/>
  <c r="E12" i="3"/>
  <c r="B12" i="3"/>
  <c r="BM11" i="3"/>
  <c r="BL11" i="3"/>
  <c r="BK11" i="3"/>
  <c r="BJ11" i="3"/>
  <c r="BI11" i="3"/>
  <c r="BH11" i="3"/>
  <c r="BG11" i="3"/>
  <c r="BC11" i="3"/>
  <c r="BB11" i="3"/>
  <c r="AZ11" i="3"/>
  <c r="AX11" i="3"/>
  <c r="AU11" i="3"/>
  <c r="AT11" i="3"/>
  <c r="AR11" i="3"/>
  <c r="AQ11" i="3"/>
  <c r="AO11" i="3"/>
  <c r="AK11" i="3"/>
  <c r="AJ11" i="3"/>
  <c r="AI11" i="3"/>
  <c r="AH11" i="3"/>
  <c r="AF11" i="3"/>
  <c r="AE11" i="3"/>
  <c r="AD11" i="3"/>
  <c r="AC11" i="3"/>
  <c r="AB11" i="3"/>
  <c r="Y11" i="3"/>
  <c r="X11" i="3"/>
  <c r="W11" i="3"/>
  <c r="V11" i="3"/>
  <c r="U11" i="3"/>
  <c r="T11" i="3"/>
  <c r="S11" i="3"/>
  <c r="Q11" i="3"/>
  <c r="O11" i="3"/>
  <c r="N11" i="3"/>
  <c r="M11" i="3"/>
  <c r="L11" i="3"/>
  <c r="K11" i="3"/>
  <c r="J11" i="3"/>
  <c r="I11" i="3"/>
  <c r="H11" i="3"/>
  <c r="G11" i="3"/>
  <c r="F11" i="3"/>
  <c r="E11" i="3"/>
  <c r="B11" i="3"/>
  <c r="BM10" i="3"/>
  <c r="BL10" i="3"/>
  <c r="BK10" i="3"/>
  <c r="BJ10" i="3"/>
  <c r="BI10" i="3"/>
  <c r="BH10" i="3"/>
  <c r="BG10" i="3"/>
  <c r="BC10" i="3"/>
  <c r="BB10" i="3"/>
  <c r="AZ10" i="3"/>
  <c r="AX10" i="3"/>
  <c r="AU10" i="3"/>
  <c r="AT10" i="3"/>
  <c r="AR10" i="3"/>
  <c r="AQ10" i="3"/>
  <c r="AO10" i="3"/>
  <c r="AM10" i="3"/>
  <c r="AI10" i="3"/>
  <c r="AH10" i="3"/>
  <c r="AF10" i="3"/>
  <c r="AE10" i="3"/>
  <c r="AD10" i="3"/>
  <c r="AC10" i="3"/>
  <c r="AB10" i="3"/>
  <c r="AA10" i="3"/>
  <c r="Y10" i="3"/>
  <c r="X10" i="3"/>
  <c r="W10" i="3"/>
  <c r="V10" i="3"/>
  <c r="U10" i="3"/>
  <c r="T10" i="3"/>
  <c r="S10" i="3"/>
  <c r="Q10" i="3"/>
  <c r="O10" i="3"/>
  <c r="N10" i="3"/>
  <c r="M10" i="3"/>
  <c r="L10" i="3"/>
  <c r="K10" i="3"/>
  <c r="J10" i="3"/>
  <c r="I10" i="3"/>
  <c r="H10" i="3"/>
  <c r="G10" i="3"/>
  <c r="F10" i="3"/>
  <c r="E10" i="3"/>
  <c r="B10" i="3"/>
  <c r="BM9" i="3"/>
  <c r="BL9" i="3"/>
  <c r="BK9" i="3"/>
  <c r="BJ9" i="3"/>
  <c r="BI9" i="3"/>
  <c r="BH9" i="3"/>
  <c r="BG9" i="3"/>
  <c r="BC9" i="3"/>
  <c r="BB9" i="3"/>
  <c r="AZ9" i="3"/>
  <c r="AX9" i="3"/>
  <c r="AU9" i="3"/>
  <c r="AT9" i="3"/>
  <c r="AR9" i="3"/>
  <c r="AQ9" i="3"/>
  <c r="AO9" i="3"/>
  <c r="AM9" i="3"/>
  <c r="AF9" i="3"/>
  <c r="AE9" i="3"/>
  <c r="AD9" i="3"/>
  <c r="AC9" i="3"/>
  <c r="AB9" i="3"/>
  <c r="AA9" i="3"/>
  <c r="Y9" i="3"/>
  <c r="X9" i="3"/>
  <c r="W9" i="3"/>
  <c r="V9" i="3"/>
  <c r="U9" i="3"/>
  <c r="T9" i="3"/>
  <c r="S9" i="3"/>
  <c r="Q9" i="3"/>
  <c r="O9" i="3"/>
  <c r="N9" i="3"/>
  <c r="M9" i="3"/>
  <c r="L9" i="3"/>
  <c r="K9" i="3"/>
  <c r="J9" i="3"/>
  <c r="I9" i="3"/>
  <c r="H9" i="3"/>
  <c r="G9" i="3"/>
  <c r="F9" i="3"/>
  <c r="E9" i="3"/>
  <c r="B9" i="3"/>
  <c r="BM8" i="3"/>
  <c r="BL8" i="3"/>
  <c r="BK8" i="3"/>
  <c r="BJ8" i="3"/>
  <c r="BI8" i="3"/>
  <c r="BH8" i="3"/>
  <c r="BG8" i="3"/>
  <c r="BC8" i="3"/>
  <c r="BB8" i="3"/>
  <c r="AZ8" i="3"/>
  <c r="AX8" i="3"/>
  <c r="AU8" i="3"/>
  <c r="AT8" i="3"/>
  <c r="AR8" i="3"/>
  <c r="AQ8" i="3"/>
  <c r="AO8" i="3"/>
  <c r="AK8" i="3"/>
  <c r="AJ8" i="3"/>
  <c r="AI8" i="3"/>
  <c r="AH8" i="3"/>
  <c r="AF8" i="3"/>
  <c r="AE8" i="3"/>
  <c r="AD8" i="3"/>
  <c r="AC8" i="3"/>
  <c r="AB8" i="3"/>
  <c r="AA8" i="3"/>
  <c r="Y8" i="3"/>
  <c r="X8" i="3"/>
  <c r="W8" i="3"/>
  <c r="V8" i="3"/>
  <c r="U8" i="3"/>
  <c r="T8" i="3"/>
  <c r="S8" i="3"/>
  <c r="Q8" i="3"/>
  <c r="O8" i="3"/>
  <c r="N8" i="3"/>
  <c r="M8" i="3"/>
  <c r="L8" i="3"/>
  <c r="K8" i="3"/>
  <c r="J8" i="3"/>
  <c r="I8" i="3"/>
  <c r="H8" i="3"/>
  <c r="G8" i="3"/>
  <c r="F8" i="3"/>
  <c r="E8" i="3"/>
  <c r="B8" i="3"/>
  <c r="BM7" i="3"/>
  <c r="BL7" i="3"/>
  <c r="BK7" i="3"/>
  <c r="BJ7" i="3"/>
  <c r="BI7" i="3"/>
  <c r="BH7" i="3"/>
  <c r="BG7" i="3"/>
  <c r="BC7" i="3"/>
  <c r="BB7" i="3"/>
  <c r="AZ7" i="3"/>
  <c r="AX7" i="3"/>
  <c r="AU7" i="3"/>
  <c r="AT7" i="3"/>
  <c r="AR7" i="3"/>
  <c r="AQ7" i="3"/>
  <c r="AO7" i="3"/>
  <c r="AM7" i="3"/>
  <c r="AI7" i="3"/>
  <c r="AH7" i="3"/>
  <c r="AF7" i="3"/>
  <c r="AE7" i="3"/>
  <c r="AD7" i="3"/>
  <c r="AC7" i="3"/>
  <c r="AB7" i="3"/>
  <c r="AA7" i="3"/>
  <c r="Y7" i="3"/>
  <c r="X7" i="3"/>
  <c r="W7" i="3"/>
  <c r="V7" i="3"/>
  <c r="U7" i="3"/>
  <c r="T7" i="3"/>
  <c r="S7" i="3"/>
  <c r="Q7" i="3"/>
  <c r="O7" i="3"/>
  <c r="N7" i="3"/>
  <c r="M7" i="3"/>
  <c r="L7" i="3"/>
  <c r="K7" i="3"/>
  <c r="J7" i="3"/>
  <c r="I7" i="3"/>
  <c r="H7" i="3"/>
  <c r="G7" i="3"/>
  <c r="F7" i="3"/>
  <c r="E7" i="3"/>
  <c r="B7" i="3"/>
  <c r="BM6" i="3"/>
  <c r="BL6" i="3"/>
  <c r="BK6" i="3"/>
  <c r="BJ6" i="3"/>
  <c r="BI6" i="3"/>
  <c r="BH6" i="3"/>
  <c r="BG6" i="3"/>
  <c r="BC6" i="3"/>
  <c r="BB6" i="3"/>
  <c r="AZ6" i="3"/>
  <c r="AX6" i="3"/>
  <c r="AU6" i="3"/>
  <c r="AT6" i="3"/>
  <c r="AR6" i="3"/>
  <c r="AQ6" i="3"/>
  <c r="AO6" i="3"/>
  <c r="AM6" i="3"/>
  <c r="AF6" i="3"/>
  <c r="AE6" i="3"/>
  <c r="AD6" i="3"/>
  <c r="AC6" i="3"/>
  <c r="AB6" i="3"/>
  <c r="AA6" i="3"/>
  <c r="Y6" i="3"/>
  <c r="X6" i="3"/>
  <c r="W6" i="3"/>
  <c r="V6" i="3"/>
  <c r="U6" i="3"/>
  <c r="T6" i="3"/>
  <c r="S6" i="3"/>
  <c r="Q6" i="3"/>
  <c r="O6" i="3"/>
  <c r="N6" i="3"/>
  <c r="M6" i="3"/>
  <c r="L6" i="3"/>
  <c r="K6" i="3"/>
  <c r="J6" i="3"/>
  <c r="I6" i="3"/>
  <c r="H6" i="3"/>
  <c r="G6" i="3"/>
  <c r="F6" i="3"/>
  <c r="E6" i="3"/>
  <c r="B6" i="3"/>
  <c r="BM5" i="3"/>
  <c r="BL5" i="3"/>
  <c r="BK5" i="3"/>
  <c r="BJ5" i="3"/>
  <c r="BI5" i="3"/>
  <c r="BH5" i="3"/>
  <c r="BG5" i="3"/>
  <c r="BC5" i="3"/>
  <c r="BB5" i="3"/>
  <c r="AZ5" i="3"/>
  <c r="AX5" i="3"/>
  <c r="AU5" i="3"/>
  <c r="AT5" i="3"/>
  <c r="AR5" i="3"/>
  <c r="AQ5" i="3"/>
  <c r="AO5" i="3"/>
  <c r="AK5" i="3"/>
  <c r="AJ5" i="3"/>
  <c r="AI5" i="3"/>
  <c r="AH5" i="3"/>
  <c r="AF5" i="3"/>
  <c r="AE5" i="3"/>
  <c r="AD5" i="3"/>
  <c r="AC5" i="3"/>
  <c r="AB5" i="3"/>
  <c r="Y5" i="3"/>
  <c r="X5" i="3"/>
  <c r="W5" i="3"/>
  <c r="V5" i="3"/>
  <c r="U5" i="3"/>
  <c r="T5" i="3"/>
  <c r="S5" i="3"/>
  <c r="Q5" i="3"/>
  <c r="O5" i="3"/>
  <c r="N5" i="3"/>
  <c r="M5" i="3"/>
  <c r="L5" i="3"/>
  <c r="K5" i="3"/>
  <c r="J5" i="3"/>
  <c r="I5" i="3"/>
  <c r="H5" i="3"/>
  <c r="G5" i="3"/>
  <c r="F5" i="3"/>
  <c r="E5" i="3"/>
  <c r="B5" i="3"/>
  <c r="BM4" i="3"/>
  <c r="BL4" i="3"/>
  <c r="BK4" i="3"/>
  <c r="BJ4" i="3"/>
  <c r="BI4" i="3"/>
  <c r="BH4" i="3"/>
  <c r="BG4" i="3"/>
  <c r="BC4" i="3"/>
  <c r="BB4" i="3"/>
  <c r="AZ4" i="3"/>
  <c r="AX4" i="3"/>
  <c r="AU4" i="3"/>
  <c r="AT4" i="3"/>
  <c r="AR4" i="3"/>
  <c r="AQ4" i="3"/>
  <c r="AO4" i="3"/>
  <c r="AM4" i="3"/>
  <c r="AI4" i="3"/>
  <c r="AH4" i="3"/>
  <c r="AF4" i="3"/>
  <c r="AE4" i="3"/>
  <c r="AD4" i="3"/>
  <c r="AC4" i="3"/>
  <c r="AB4" i="3"/>
  <c r="Y4" i="3"/>
  <c r="X4" i="3"/>
  <c r="W4" i="3"/>
  <c r="V4" i="3"/>
  <c r="U4" i="3"/>
  <c r="T4" i="3"/>
  <c r="S4" i="3"/>
  <c r="Q4" i="3"/>
  <c r="P4" i="3"/>
  <c r="O4" i="3"/>
  <c r="N4" i="3"/>
  <c r="M4" i="3"/>
  <c r="L4" i="3"/>
  <c r="K4" i="3"/>
  <c r="J4" i="3"/>
  <c r="I4" i="3"/>
  <c r="G4" i="3"/>
  <c r="F4" i="3"/>
  <c r="E4" i="3"/>
  <c r="B4" i="3"/>
  <c r="A4" i="3"/>
  <c r="Z136" i="2"/>
  <c r="Y136" i="2"/>
  <c r="X136" i="2"/>
  <c r="W136" i="2"/>
  <c r="V136" i="2"/>
  <c r="U136" i="2"/>
  <c r="S136" i="2"/>
  <c r="R136" i="2"/>
  <c r="Q136" i="2"/>
  <c r="P136" i="2"/>
  <c r="O136" i="2"/>
  <c r="N136" i="2"/>
  <c r="M136" i="2"/>
  <c r="L136" i="2"/>
  <c r="J136" i="2"/>
  <c r="I136" i="2"/>
  <c r="H136" i="2"/>
  <c r="G136" i="2"/>
  <c r="F136" i="2"/>
  <c r="E136" i="2"/>
  <c r="D136" i="2"/>
  <c r="C136" i="2"/>
  <c r="B136" i="2"/>
  <c r="A136" i="2"/>
  <c r="Z135" i="2"/>
  <c r="Y135" i="2"/>
  <c r="X135" i="2"/>
  <c r="W135" i="2"/>
  <c r="V135" i="2"/>
  <c r="U135" i="2"/>
  <c r="S135" i="2"/>
  <c r="R135" i="2"/>
  <c r="Q135" i="2"/>
  <c r="P135" i="2"/>
  <c r="O135" i="2"/>
  <c r="N135" i="2"/>
  <c r="M135" i="2"/>
  <c r="L135" i="2"/>
  <c r="J135" i="2"/>
  <c r="I135" i="2"/>
  <c r="H135" i="2"/>
  <c r="G135" i="2"/>
  <c r="F135" i="2"/>
  <c r="E135" i="2"/>
  <c r="D135" i="2"/>
  <c r="C135" i="2"/>
  <c r="B135" i="2"/>
  <c r="A135" i="2"/>
  <c r="Z134" i="2"/>
  <c r="Y134" i="2"/>
  <c r="X134" i="2"/>
  <c r="W134" i="2"/>
  <c r="V134" i="2"/>
  <c r="U134" i="2"/>
  <c r="S134" i="2"/>
  <c r="R134" i="2"/>
  <c r="Q134" i="2"/>
  <c r="P134" i="2"/>
  <c r="O134" i="2"/>
  <c r="N134" i="2"/>
  <c r="M134" i="2"/>
  <c r="L134" i="2"/>
  <c r="J134" i="2"/>
  <c r="I134" i="2"/>
  <c r="H134" i="2"/>
  <c r="G134" i="2"/>
  <c r="F134" i="2"/>
  <c r="E134" i="2"/>
  <c r="D134" i="2"/>
  <c r="C134" i="2"/>
  <c r="B134" i="2"/>
  <c r="A134" i="2"/>
  <c r="Z133" i="2"/>
  <c r="Y133" i="2"/>
  <c r="X133" i="2"/>
  <c r="W133" i="2"/>
  <c r="V133" i="2"/>
  <c r="U133" i="2"/>
  <c r="S133" i="2"/>
  <c r="R133" i="2"/>
  <c r="Q133" i="2"/>
  <c r="P133" i="2"/>
  <c r="O133" i="2"/>
  <c r="N133" i="2"/>
  <c r="M133" i="2"/>
  <c r="L133" i="2"/>
  <c r="J133" i="2"/>
  <c r="I133" i="2"/>
  <c r="H133" i="2"/>
  <c r="G133" i="2"/>
  <c r="F133" i="2"/>
  <c r="E133" i="2"/>
  <c r="D133" i="2"/>
  <c r="C133" i="2"/>
  <c r="B133" i="2"/>
  <c r="A133" i="2"/>
  <c r="Z132" i="2"/>
  <c r="Y132" i="2"/>
  <c r="X132" i="2"/>
  <c r="W132" i="2"/>
  <c r="V132" i="2"/>
  <c r="U132" i="2"/>
  <c r="S132" i="2"/>
  <c r="R132" i="2"/>
  <c r="Q132" i="2"/>
  <c r="P132" i="2"/>
  <c r="O132" i="2"/>
  <c r="N132" i="2"/>
  <c r="M132" i="2"/>
  <c r="L132" i="2"/>
  <c r="J132" i="2"/>
  <c r="I132" i="2"/>
  <c r="H132" i="2"/>
  <c r="G132" i="2"/>
  <c r="F132" i="2"/>
  <c r="E132" i="2"/>
  <c r="D132" i="2"/>
  <c r="C132" i="2"/>
  <c r="B132" i="2"/>
  <c r="A132" i="2"/>
  <c r="Z131" i="2"/>
  <c r="Y131" i="2"/>
  <c r="X131" i="2"/>
  <c r="W131" i="2"/>
  <c r="V131" i="2"/>
  <c r="U131" i="2"/>
  <c r="S131" i="2"/>
  <c r="R131" i="2"/>
  <c r="Q131" i="2"/>
  <c r="P131" i="2"/>
  <c r="O131" i="2"/>
  <c r="N131" i="2"/>
  <c r="M131" i="2"/>
  <c r="L131" i="2"/>
  <c r="J131" i="2"/>
  <c r="I131" i="2"/>
  <c r="H131" i="2"/>
  <c r="G131" i="2"/>
  <c r="F131" i="2"/>
  <c r="E131" i="2"/>
  <c r="D131" i="2"/>
  <c r="C131" i="2"/>
  <c r="B131" i="2"/>
  <c r="A131" i="2"/>
  <c r="Z130" i="2"/>
  <c r="Y130" i="2"/>
  <c r="X130" i="2"/>
  <c r="W130" i="2"/>
  <c r="V130" i="2"/>
  <c r="U130" i="2"/>
  <c r="S130" i="2"/>
  <c r="R130" i="2"/>
  <c r="Q130" i="2"/>
  <c r="P130" i="2"/>
  <c r="O130" i="2"/>
  <c r="N130" i="2"/>
  <c r="M130" i="2"/>
  <c r="L130" i="2"/>
  <c r="J130" i="2"/>
  <c r="I130" i="2"/>
  <c r="H130" i="2"/>
  <c r="G130" i="2"/>
  <c r="F130" i="2"/>
  <c r="E130" i="2"/>
  <c r="D130" i="2"/>
  <c r="C130" i="2"/>
  <c r="B130" i="2"/>
  <c r="A130" i="2"/>
  <c r="Z129" i="2"/>
  <c r="Y129" i="2"/>
  <c r="X129" i="2"/>
  <c r="W129" i="2"/>
  <c r="V129" i="2"/>
  <c r="U129" i="2"/>
  <c r="S129" i="2"/>
  <c r="R129" i="2"/>
  <c r="Q129" i="2"/>
  <c r="P129" i="2"/>
  <c r="O129" i="2"/>
  <c r="N129" i="2"/>
  <c r="M129" i="2"/>
  <c r="L129" i="2"/>
  <c r="J129" i="2"/>
  <c r="I129" i="2"/>
  <c r="H129" i="2"/>
  <c r="G129" i="2"/>
  <c r="F129" i="2"/>
  <c r="E129" i="2"/>
  <c r="D129" i="2"/>
  <c r="C129" i="2"/>
  <c r="B129" i="2"/>
  <c r="A129" i="2"/>
  <c r="Z128" i="2"/>
  <c r="Y128" i="2"/>
  <c r="X128" i="2"/>
  <c r="W128" i="2"/>
  <c r="V128" i="2"/>
  <c r="U128" i="2"/>
  <c r="S128" i="2"/>
  <c r="R128" i="2"/>
  <c r="Q128" i="2"/>
  <c r="P128" i="2"/>
  <c r="O128" i="2"/>
  <c r="N128" i="2"/>
  <c r="M128" i="2"/>
  <c r="L128" i="2"/>
  <c r="J128" i="2"/>
  <c r="I128" i="2"/>
  <c r="H128" i="2"/>
  <c r="G128" i="2"/>
  <c r="F128" i="2"/>
  <c r="E128" i="2"/>
  <c r="D128" i="2"/>
  <c r="C128" i="2"/>
  <c r="B128" i="2"/>
  <c r="A128" i="2"/>
  <c r="Z127" i="2"/>
  <c r="Y127" i="2"/>
  <c r="X127" i="2"/>
  <c r="W127" i="2"/>
  <c r="V127" i="2"/>
  <c r="U127" i="2"/>
  <c r="S127" i="2"/>
  <c r="R127" i="2"/>
  <c r="Q127" i="2"/>
  <c r="P127" i="2"/>
  <c r="O127" i="2"/>
  <c r="N127" i="2"/>
  <c r="M127" i="2"/>
  <c r="L127" i="2"/>
  <c r="J127" i="2"/>
  <c r="I127" i="2"/>
  <c r="H127" i="2"/>
  <c r="G127" i="2"/>
  <c r="F127" i="2"/>
  <c r="E127" i="2"/>
  <c r="D127" i="2"/>
  <c r="C127" i="2"/>
  <c r="B127" i="2"/>
  <c r="A127" i="2"/>
  <c r="Z126" i="2"/>
  <c r="Y126" i="2"/>
  <c r="X126" i="2"/>
  <c r="W126" i="2"/>
  <c r="V126" i="2"/>
  <c r="U126" i="2"/>
  <c r="S126" i="2"/>
  <c r="R126" i="2"/>
  <c r="Q126" i="2"/>
  <c r="P126" i="2"/>
  <c r="O126" i="2"/>
  <c r="N126" i="2"/>
  <c r="M126" i="2"/>
  <c r="L126" i="2"/>
  <c r="J126" i="2"/>
  <c r="I126" i="2"/>
  <c r="H126" i="2"/>
  <c r="G126" i="2"/>
  <c r="F126" i="2"/>
  <c r="E126" i="2"/>
  <c r="D126" i="2"/>
  <c r="C126" i="2"/>
  <c r="B126" i="2"/>
  <c r="A126" i="2"/>
  <c r="Z125" i="2"/>
  <c r="Y125" i="2"/>
  <c r="X125" i="2"/>
  <c r="W125" i="2"/>
  <c r="V125" i="2"/>
  <c r="U125" i="2"/>
  <c r="S125" i="2"/>
  <c r="R125" i="2"/>
  <c r="Q125" i="2"/>
  <c r="P125" i="2"/>
  <c r="O125" i="2"/>
  <c r="N125" i="2"/>
  <c r="M125" i="2"/>
  <c r="L125" i="2"/>
  <c r="J125" i="2"/>
  <c r="I125" i="2"/>
  <c r="H125" i="2"/>
  <c r="G125" i="2"/>
  <c r="F125" i="2"/>
  <c r="E125" i="2"/>
  <c r="D125" i="2"/>
  <c r="C125" i="2"/>
  <c r="B125" i="2"/>
  <c r="A125" i="2"/>
  <c r="Z124" i="2"/>
  <c r="Y124" i="2"/>
  <c r="X124" i="2"/>
  <c r="W124" i="2"/>
  <c r="V124" i="2"/>
  <c r="U124" i="2"/>
  <c r="S124" i="2"/>
  <c r="R124" i="2"/>
  <c r="Q124" i="2"/>
  <c r="P124" i="2"/>
  <c r="O124" i="2"/>
  <c r="N124" i="2"/>
  <c r="M124" i="2"/>
  <c r="L124" i="2"/>
  <c r="J124" i="2"/>
  <c r="I124" i="2"/>
  <c r="H124" i="2"/>
  <c r="G124" i="2"/>
  <c r="F124" i="2"/>
  <c r="E124" i="2"/>
  <c r="D124" i="2"/>
  <c r="C124" i="2"/>
  <c r="B124" i="2"/>
  <c r="A124" i="2"/>
  <c r="Z123" i="2"/>
  <c r="Y123" i="2"/>
  <c r="X123" i="2"/>
  <c r="W123" i="2"/>
  <c r="V123" i="2"/>
  <c r="U123" i="2"/>
  <c r="S123" i="2"/>
  <c r="R123" i="2"/>
  <c r="Q123" i="2"/>
  <c r="P123" i="2"/>
  <c r="O123" i="2"/>
  <c r="N123" i="2"/>
  <c r="M123" i="2"/>
  <c r="L123" i="2"/>
  <c r="J123" i="2"/>
  <c r="I123" i="2"/>
  <c r="H123" i="2"/>
  <c r="G123" i="2"/>
  <c r="F123" i="2"/>
  <c r="E123" i="2"/>
  <c r="D123" i="2"/>
  <c r="C123" i="2"/>
  <c r="B123" i="2"/>
  <c r="A123" i="2"/>
  <c r="Z122" i="2"/>
  <c r="Y122" i="2"/>
  <c r="X122" i="2"/>
  <c r="W122" i="2"/>
  <c r="V122" i="2"/>
  <c r="U122" i="2"/>
  <c r="S122" i="2"/>
  <c r="R122" i="2"/>
  <c r="Q122" i="2"/>
  <c r="P122" i="2"/>
  <c r="O122" i="2"/>
  <c r="N122" i="2"/>
  <c r="M122" i="2"/>
  <c r="L122" i="2"/>
  <c r="J122" i="2"/>
  <c r="I122" i="2"/>
  <c r="H122" i="2"/>
  <c r="G122" i="2"/>
  <c r="F122" i="2"/>
  <c r="E122" i="2"/>
  <c r="D122" i="2"/>
  <c r="C122" i="2"/>
  <c r="B122" i="2"/>
  <c r="A122" i="2"/>
  <c r="Z121" i="2"/>
  <c r="Y121" i="2"/>
  <c r="X121" i="2"/>
  <c r="W121" i="2"/>
  <c r="V121" i="2"/>
  <c r="U121" i="2"/>
  <c r="S121" i="2"/>
  <c r="R121" i="2"/>
  <c r="Q121" i="2"/>
  <c r="P121" i="2"/>
  <c r="O121" i="2"/>
  <c r="N121" i="2"/>
  <c r="M121" i="2"/>
  <c r="L121" i="2"/>
  <c r="J121" i="2"/>
  <c r="I121" i="2"/>
  <c r="H121" i="2"/>
  <c r="G121" i="2"/>
  <c r="F121" i="2"/>
  <c r="E121" i="2"/>
  <c r="D121" i="2"/>
  <c r="C121" i="2"/>
  <c r="B121" i="2"/>
  <c r="A121" i="2"/>
  <c r="Z120" i="2"/>
  <c r="Y120" i="2"/>
  <c r="X120" i="2"/>
  <c r="W120" i="2"/>
  <c r="V120" i="2"/>
  <c r="U120" i="2"/>
  <c r="S120" i="2"/>
  <c r="R120" i="2"/>
  <c r="Q120" i="2"/>
  <c r="P120" i="2"/>
  <c r="O120" i="2"/>
  <c r="N120" i="2"/>
  <c r="M120" i="2"/>
  <c r="L120" i="2"/>
  <c r="J120" i="2"/>
  <c r="I120" i="2"/>
  <c r="H120" i="2"/>
  <c r="G120" i="2"/>
  <c r="F120" i="2"/>
  <c r="E120" i="2"/>
  <c r="D120" i="2"/>
  <c r="C120" i="2"/>
  <c r="B120" i="2"/>
  <c r="A120" i="2"/>
  <c r="Z119" i="2"/>
  <c r="Y119" i="2"/>
  <c r="X119" i="2"/>
  <c r="W119" i="2"/>
  <c r="V119" i="2"/>
  <c r="U119" i="2"/>
  <c r="S119" i="2"/>
  <c r="R119" i="2"/>
  <c r="Q119" i="2"/>
  <c r="P119" i="2"/>
  <c r="O119" i="2"/>
  <c r="N119" i="2"/>
  <c r="M119" i="2"/>
  <c r="L119" i="2"/>
  <c r="J119" i="2"/>
  <c r="I119" i="2"/>
  <c r="H119" i="2"/>
  <c r="G119" i="2"/>
  <c r="F119" i="2"/>
  <c r="E119" i="2"/>
  <c r="D119" i="2"/>
  <c r="C119" i="2"/>
  <c r="B119" i="2"/>
  <c r="A119" i="2"/>
  <c r="Z118" i="2"/>
  <c r="Y118" i="2"/>
  <c r="X118" i="2"/>
  <c r="W118" i="2"/>
  <c r="V118" i="2"/>
  <c r="U118" i="2"/>
  <c r="S118" i="2"/>
  <c r="R118" i="2"/>
  <c r="Q118" i="2"/>
  <c r="P118" i="2"/>
  <c r="O118" i="2"/>
  <c r="N118" i="2"/>
  <c r="M118" i="2"/>
  <c r="L118" i="2"/>
  <c r="J118" i="2"/>
  <c r="I118" i="2"/>
  <c r="H118" i="2"/>
  <c r="G118" i="2"/>
  <c r="F118" i="2"/>
  <c r="E118" i="2"/>
  <c r="D118" i="2"/>
  <c r="C118" i="2"/>
  <c r="B118" i="2"/>
  <c r="A118" i="2"/>
  <c r="Z117" i="2"/>
  <c r="Y117" i="2"/>
  <c r="X117" i="2"/>
  <c r="W117" i="2"/>
  <c r="V117" i="2"/>
  <c r="U117" i="2"/>
  <c r="S117" i="2"/>
  <c r="R117" i="2"/>
  <c r="Q117" i="2"/>
  <c r="P117" i="2"/>
  <c r="O117" i="2"/>
  <c r="N117" i="2"/>
  <c r="M117" i="2"/>
  <c r="L117" i="2"/>
  <c r="J117" i="2"/>
  <c r="I117" i="2"/>
  <c r="H117" i="2"/>
  <c r="G117" i="2"/>
  <c r="F117" i="2"/>
  <c r="E117" i="2"/>
  <c r="D117" i="2"/>
  <c r="C117" i="2"/>
  <c r="B117" i="2"/>
  <c r="A117" i="2"/>
  <c r="Z116" i="2"/>
  <c r="Y116" i="2"/>
  <c r="X116" i="2"/>
  <c r="W116" i="2"/>
  <c r="V116" i="2"/>
  <c r="U116" i="2"/>
  <c r="S116" i="2"/>
  <c r="R116" i="2"/>
  <c r="Q116" i="2"/>
  <c r="P116" i="2"/>
  <c r="O116" i="2"/>
  <c r="N116" i="2"/>
  <c r="M116" i="2"/>
  <c r="L116" i="2"/>
  <c r="J116" i="2"/>
  <c r="I116" i="2"/>
  <c r="H116" i="2"/>
  <c r="G116" i="2"/>
  <c r="F116" i="2"/>
  <c r="E116" i="2"/>
  <c r="D116" i="2"/>
  <c r="C116" i="2"/>
  <c r="B116" i="2"/>
  <c r="A116" i="2"/>
  <c r="Z115" i="2"/>
  <c r="Y115" i="2"/>
  <c r="X115" i="2"/>
  <c r="W115" i="2"/>
  <c r="V115" i="2"/>
  <c r="U115" i="2"/>
  <c r="S115" i="2"/>
  <c r="R115" i="2"/>
  <c r="Q115" i="2"/>
  <c r="P115" i="2"/>
  <c r="O115" i="2"/>
  <c r="N115" i="2"/>
  <c r="M115" i="2"/>
  <c r="L115" i="2"/>
  <c r="J115" i="2"/>
  <c r="I115" i="2"/>
  <c r="H115" i="2"/>
  <c r="G115" i="2"/>
  <c r="F115" i="2"/>
  <c r="E115" i="2"/>
  <c r="D115" i="2"/>
  <c r="C115" i="2"/>
  <c r="B115" i="2"/>
  <c r="A115" i="2"/>
  <c r="Z114" i="2"/>
  <c r="Y114" i="2"/>
  <c r="X114" i="2"/>
  <c r="W114" i="2"/>
  <c r="V114" i="2"/>
  <c r="U114" i="2"/>
  <c r="S114" i="2"/>
  <c r="R114" i="2"/>
  <c r="Q114" i="2"/>
  <c r="P114" i="2"/>
  <c r="O114" i="2"/>
  <c r="N114" i="2"/>
  <c r="M114" i="2"/>
  <c r="L114" i="2"/>
  <c r="J114" i="2"/>
  <c r="I114" i="2"/>
  <c r="H114" i="2"/>
  <c r="G114" i="2"/>
  <c r="F114" i="2"/>
  <c r="E114" i="2"/>
  <c r="D114" i="2"/>
  <c r="C114" i="2"/>
  <c r="B114" i="2"/>
  <c r="A114" i="2"/>
  <c r="Z113" i="2"/>
  <c r="Y113" i="2"/>
  <c r="X113" i="2"/>
  <c r="W113" i="2"/>
  <c r="V113" i="2"/>
  <c r="U113" i="2"/>
  <c r="S113" i="2"/>
  <c r="R113" i="2"/>
  <c r="Q113" i="2"/>
  <c r="P113" i="2"/>
  <c r="O113" i="2"/>
  <c r="N113" i="2"/>
  <c r="M113" i="2"/>
  <c r="L113" i="2"/>
  <c r="J113" i="2"/>
  <c r="I113" i="2"/>
  <c r="H113" i="2"/>
  <c r="G113" i="2"/>
  <c r="F113" i="2"/>
  <c r="E113" i="2"/>
  <c r="D113" i="2"/>
  <c r="C113" i="2"/>
  <c r="B113" i="2"/>
  <c r="A113" i="2"/>
  <c r="Z112" i="2"/>
  <c r="Y112" i="2"/>
  <c r="X112" i="2"/>
  <c r="W112" i="2"/>
  <c r="V112" i="2"/>
  <c r="U112" i="2"/>
  <c r="S112" i="2"/>
  <c r="R112" i="2"/>
  <c r="Q112" i="2"/>
  <c r="P112" i="2"/>
  <c r="O112" i="2"/>
  <c r="N112" i="2"/>
  <c r="M112" i="2"/>
  <c r="L112" i="2"/>
  <c r="J112" i="2"/>
  <c r="I112" i="2"/>
  <c r="H112" i="2"/>
  <c r="G112" i="2"/>
  <c r="F112" i="2"/>
  <c r="E112" i="2"/>
  <c r="D112" i="2"/>
  <c r="C112" i="2"/>
  <c r="B112" i="2"/>
  <c r="A112" i="2"/>
  <c r="Z111" i="2"/>
  <c r="Y111" i="2"/>
  <c r="X111" i="2"/>
  <c r="W111" i="2"/>
  <c r="V111" i="2"/>
  <c r="U111" i="2"/>
  <c r="S111" i="2"/>
  <c r="R111" i="2"/>
  <c r="Q111" i="2"/>
  <c r="P111" i="2"/>
  <c r="O111" i="2"/>
  <c r="N111" i="2"/>
  <c r="M111" i="2"/>
  <c r="L111" i="2"/>
  <c r="J111" i="2"/>
  <c r="I111" i="2"/>
  <c r="H111" i="2"/>
  <c r="G111" i="2"/>
  <c r="F111" i="2"/>
  <c r="E111" i="2"/>
  <c r="D111" i="2"/>
  <c r="C111" i="2"/>
  <c r="B111" i="2"/>
  <c r="A111" i="2"/>
  <c r="Z110" i="2"/>
  <c r="Y110" i="2"/>
  <c r="X110" i="2"/>
  <c r="W110" i="2"/>
  <c r="V110" i="2"/>
  <c r="U110" i="2"/>
  <c r="S110" i="2"/>
  <c r="R110" i="2"/>
  <c r="Q110" i="2"/>
  <c r="P110" i="2"/>
  <c r="O110" i="2"/>
  <c r="N110" i="2"/>
  <c r="M110" i="2"/>
  <c r="L110" i="2"/>
  <c r="J110" i="2"/>
  <c r="I110" i="2"/>
  <c r="H110" i="2"/>
  <c r="G110" i="2"/>
  <c r="F110" i="2"/>
  <c r="E110" i="2"/>
  <c r="D110" i="2"/>
  <c r="C110" i="2"/>
  <c r="B110" i="2"/>
  <c r="A110" i="2"/>
  <c r="Z109" i="2"/>
  <c r="Y109" i="2"/>
  <c r="X109" i="2"/>
  <c r="W109" i="2"/>
  <c r="V109" i="2"/>
  <c r="U109" i="2"/>
  <c r="S109" i="2"/>
  <c r="R109" i="2"/>
  <c r="Q109" i="2"/>
  <c r="P109" i="2"/>
  <c r="O109" i="2"/>
  <c r="N109" i="2"/>
  <c r="M109" i="2"/>
  <c r="L109" i="2"/>
  <c r="J109" i="2"/>
  <c r="I109" i="2"/>
  <c r="H109" i="2"/>
  <c r="G109" i="2"/>
  <c r="F109" i="2"/>
  <c r="E109" i="2"/>
  <c r="D109" i="2"/>
  <c r="C109" i="2"/>
  <c r="B109" i="2"/>
  <c r="A109" i="2"/>
  <c r="Z108" i="2"/>
  <c r="Y108" i="2"/>
  <c r="X108" i="2"/>
  <c r="W108" i="2"/>
  <c r="V108" i="2"/>
  <c r="U108" i="2"/>
  <c r="S108" i="2"/>
  <c r="R108" i="2"/>
  <c r="Q108" i="2"/>
  <c r="P108" i="2"/>
  <c r="O108" i="2"/>
  <c r="N108" i="2"/>
  <c r="M108" i="2"/>
  <c r="L108" i="2"/>
  <c r="J108" i="2"/>
  <c r="I108" i="2"/>
  <c r="H108" i="2"/>
  <c r="G108" i="2"/>
  <c r="F108" i="2"/>
  <c r="E108" i="2"/>
  <c r="D108" i="2"/>
  <c r="C108" i="2"/>
  <c r="B108" i="2"/>
  <c r="A108" i="2"/>
  <c r="Z107" i="2"/>
  <c r="Y107" i="2"/>
  <c r="X107" i="2"/>
  <c r="W107" i="2"/>
  <c r="V107" i="2"/>
  <c r="U107" i="2"/>
  <c r="S107" i="2"/>
  <c r="R107" i="2"/>
  <c r="Q107" i="2"/>
  <c r="P107" i="2"/>
  <c r="O107" i="2"/>
  <c r="N107" i="2"/>
  <c r="M107" i="2"/>
  <c r="L107" i="2"/>
  <c r="J107" i="2"/>
  <c r="I107" i="2"/>
  <c r="H107" i="2"/>
  <c r="G107" i="2"/>
  <c r="F107" i="2"/>
  <c r="E107" i="2"/>
  <c r="D107" i="2"/>
  <c r="C107" i="2"/>
  <c r="B107" i="2"/>
  <c r="A107" i="2"/>
  <c r="Z106" i="2"/>
  <c r="Y106" i="2"/>
  <c r="X106" i="2"/>
  <c r="W106" i="2"/>
  <c r="V106" i="2"/>
  <c r="U106" i="2"/>
  <c r="S106" i="2"/>
  <c r="R106" i="2"/>
  <c r="Q106" i="2"/>
  <c r="P106" i="2"/>
  <c r="O106" i="2"/>
  <c r="N106" i="2"/>
  <c r="M106" i="2"/>
  <c r="L106" i="2"/>
  <c r="J106" i="2"/>
  <c r="I106" i="2"/>
  <c r="H106" i="2"/>
  <c r="G106" i="2"/>
  <c r="F106" i="2"/>
  <c r="E106" i="2"/>
  <c r="D106" i="2"/>
  <c r="C106" i="2"/>
  <c r="B106" i="2"/>
  <c r="A106" i="2"/>
  <c r="Z105" i="2"/>
  <c r="Y105" i="2"/>
  <c r="X105" i="2"/>
  <c r="W105" i="2"/>
  <c r="V105" i="2"/>
  <c r="U105" i="2"/>
  <c r="S105" i="2"/>
  <c r="R105" i="2"/>
  <c r="Q105" i="2"/>
  <c r="P105" i="2"/>
  <c r="O105" i="2"/>
  <c r="N105" i="2"/>
  <c r="M105" i="2"/>
  <c r="L105" i="2"/>
  <c r="J105" i="2"/>
  <c r="I105" i="2"/>
  <c r="H105" i="2"/>
  <c r="G105" i="2"/>
  <c r="F105" i="2"/>
  <c r="E105" i="2"/>
  <c r="D105" i="2"/>
  <c r="C105" i="2"/>
  <c r="B105" i="2"/>
  <c r="A105" i="2"/>
  <c r="Z104" i="2"/>
  <c r="Y104" i="2"/>
  <c r="X104" i="2"/>
  <c r="W104" i="2"/>
  <c r="V104" i="2"/>
  <c r="U104" i="2"/>
  <c r="S104" i="2"/>
  <c r="R104" i="2"/>
  <c r="Q104" i="2"/>
  <c r="P104" i="2"/>
  <c r="O104" i="2"/>
  <c r="N104" i="2"/>
  <c r="M104" i="2"/>
  <c r="L104" i="2"/>
  <c r="J104" i="2"/>
  <c r="I104" i="2"/>
  <c r="H104" i="2"/>
  <c r="G104" i="2"/>
  <c r="F104" i="2"/>
  <c r="E104" i="2"/>
  <c r="D104" i="2"/>
  <c r="C104" i="2"/>
  <c r="B104" i="2"/>
  <c r="A104" i="2"/>
  <c r="Z103" i="2"/>
  <c r="Y103" i="2"/>
  <c r="X103" i="2"/>
  <c r="W103" i="2"/>
  <c r="V103" i="2"/>
  <c r="U103" i="2"/>
  <c r="S103" i="2"/>
  <c r="R103" i="2"/>
  <c r="Q103" i="2"/>
  <c r="P103" i="2"/>
  <c r="O103" i="2"/>
  <c r="N103" i="2"/>
  <c r="M103" i="2"/>
  <c r="L103" i="2"/>
  <c r="J103" i="2"/>
  <c r="I103" i="2"/>
  <c r="H103" i="2"/>
  <c r="G103" i="2"/>
  <c r="F103" i="2"/>
  <c r="E103" i="2"/>
  <c r="D103" i="2"/>
  <c r="C103" i="2"/>
  <c r="B103" i="2"/>
  <c r="A103" i="2"/>
  <c r="Z102" i="2"/>
  <c r="Y102" i="2"/>
  <c r="X102" i="2"/>
  <c r="W102" i="2"/>
  <c r="V102" i="2"/>
  <c r="U102" i="2"/>
  <c r="S102" i="2"/>
  <c r="R102" i="2"/>
  <c r="Q102" i="2"/>
  <c r="P102" i="2"/>
  <c r="O102" i="2"/>
  <c r="N102" i="2"/>
  <c r="M102" i="2"/>
  <c r="L102" i="2"/>
  <c r="J102" i="2"/>
  <c r="I102" i="2"/>
  <c r="H102" i="2"/>
  <c r="G102" i="2"/>
  <c r="F102" i="2"/>
  <c r="E102" i="2"/>
  <c r="D102" i="2"/>
  <c r="C102" i="2"/>
  <c r="B102" i="2"/>
  <c r="A102" i="2"/>
  <c r="Z101" i="2"/>
  <c r="Y101" i="2"/>
  <c r="X101" i="2"/>
  <c r="W101" i="2"/>
  <c r="V101" i="2"/>
  <c r="U101" i="2"/>
  <c r="S101" i="2"/>
  <c r="R101" i="2"/>
  <c r="Q101" i="2"/>
  <c r="P101" i="2"/>
  <c r="O101" i="2"/>
  <c r="N101" i="2"/>
  <c r="M101" i="2"/>
  <c r="L101" i="2"/>
  <c r="J101" i="2"/>
  <c r="I101" i="2"/>
  <c r="H101" i="2"/>
  <c r="G101" i="2"/>
  <c r="F101" i="2"/>
  <c r="E101" i="2"/>
  <c r="D101" i="2"/>
  <c r="C101" i="2"/>
  <c r="B101" i="2"/>
  <c r="A101" i="2"/>
  <c r="Z100" i="2"/>
  <c r="Y100" i="2"/>
  <c r="X100" i="2"/>
  <c r="W100" i="2"/>
  <c r="V100" i="2"/>
  <c r="U100" i="2"/>
  <c r="S100" i="2"/>
  <c r="R100" i="2"/>
  <c r="Q100" i="2"/>
  <c r="P100" i="2"/>
  <c r="O100" i="2"/>
  <c r="N100" i="2"/>
  <c r="M100" i="2"/>
  <c r="L100" i="2"/>
  <c r="J100" i="2"/>
  <c r="I100" i="2"/>
  <c r="H100" i="2"/>
  <c r="G100" i="2"/>
  <c r="F100" i="2"/>
  <c r="E100" i="2"/>
  <c r="D100" i="2"/>
  <c r="C100" i="2"/>
  <c r="B100" i="2"/>
  <c r="A100" i="2"/>
  <c r="Z99" i="2"/>
  <c r="Y99" i="2"/>
  <c r="X99" i="2"/>
  <c r="W99" i="2"/>
  <c r="V99" i="2"/>
  <c r="U99" i="2"/>
  <c r="S99" i="2"/>
  <c r="R99" i="2"/>
  <c r="Q99" i="2"/>
  <c r="P99" i="2"/>
  <c r="O99" i="2"/>
  <c r="N99" i="2"/>
  <c r="M99" i="2"/>
  <c r="L99" i="2"/>
  <c r="J99" i="2"/>
  <c r="I99" i="2"/>
  <c r="H99" i="2"/>
  <c r="G99" i="2"/>
  <c r="F99" i="2"/>
  <c r="E99" i="2"/>
  <c r="D99" i="2"/>
  <c r="C99" i="2"/>
  <c r="B99" i="2"/>
  <c r="A99" i="2"/>
  <c r="Z98" i="2"/>
  <c r="Y98" i="2"/>
  <c r="X98" i="2"/>
  <c r="W98" i="2"/>
  <c r="V98" i="2"/>
  <c r="U98" i="2"/>
  <c r="S98" i="2"/>
  <c r="R98" i="2"/>
  <c r="Q98" i="2"/>
  <c r="P98" i="2"/>
  <c r="O98" i="2"/>
  <c r="N98" i="2"/>
  <c r="M98" i="2"/>
  <c r="L98" i="2"/>
  <c r="J98" i="2"/>
  <c r="I98" i="2"/>
  <c r="H98" i="2"/>
  <c r="G98" i="2"/>
  <c r="F98" i="2"/>
  <c r="E98" i="2"/>
  <c r="D98" i="2"/>
  <c r="C98" i="2"/>
  <c r="B98" i="2"/>
  <c r="A98" i="2"/>
  <c r="Z97" i="2"/>
  <c r="Y97" i="2"/>
  <c r="X97" i="2"/>
  <c r="W97" i="2"/>
  <c r="V97" i="2"/>
  <c r="U97" i="2"/>
  <c r="S97" i="2"/>
  <c r="R97" i="2"/>
  <c r="Q97" i="2"/>
  <c r="P97" i="2"/>
  <c r="O97" i="2"/>
  <c r="N97" i="2"/>
  <c r="M97" i="2"/>
  <c r="L97" i="2"/>
  <c r="J97" i="2"/>
  <c r="I97" i="2"/>
  <c r="H97" i="2"/>
  <c r="G97" i="2"/>
  <c r="F97" i="2"/>
  <c r="E97" i="2"/>
  <c r="D97" i="2"/>
  <c r="C97" i="2"/>
  <c r="B97" i="2"/>
  <c r="A97" i="2"/>
  <c r="Z96" i="2"/>
  <c r="Y96" i="2"/>
  <c r="X96" i="2"/>
  <c r="W96" i="2"/>
  <c r="V96" i="2"/>
  <c r="U96" i="2"/>
  <c r="S96" i="2"/>
  <c r="R96" i="2"/>
  <c r="Q96" i="2"/>
  <c r="P96" i="2"/>
  <c r="O96" i="2"/>
  <c r="N96" i="2"/>
  <c r="M96" i="2"/>
  <c r="L96" i="2"/>
  <c r="J96" i="2"/>
  <c r="I96" i="2"/>
  <c r="H96" i="2"/>
  <c r="G96" i="2"/>
  <c r="F96" i="2"/>
  <c r="E96" i="2"/>
  <c r="D96" i="2"/>
  <c r="C96" i="2"/>
  <c r="B96" i="2"/>
  <c r="A96" i="2"/>
  <c r="Z95" i="2"/>
  <c r="Y95" i="2"/>
  <c r="X95" i="2"/>
  <c r="W95" i="2"/>
  <c r="V95" i="2"/>
  <c r="U95" i="2"/>
  <c r="S95" i="2"/>
  <c r="R95" i="2"/>
  <c r="Q95" i="2"/>
  <c r="P95" i="2"/>
  <c r="O95" i="2"/>
  <c r="N95" i="2"/>
  <c r="M95" i="2"/>
  <c r="L95" i="2"/>
  <c r="J95" i="2"/>
  <c r="I95" i="2"/>
  <c r="H95" i="2"/>
  <c r="G95" i="2"/>
  <c r="F95" i="2"/>
  <c r="E95" i="2"/>
  <c r="D95" i="2"/>
  <c r="C95" i="2"/>
  <c r="B95" i="2"/>
  <c r="A95" i="2"/>
  <c r="Z94" i="2"/>
  <c r="Y94" i="2"/>
  <c r="X94" i="2"/>
  <c r="W94" i="2"/>
  <c r="V94" i="2"/>
  <c r="U94" i="2"/>
  <c r="S94" i="2"/>
  <c r="R94" i="2"/>
  <c r="Q94" i="2"/>
  <c r="P94" i="2"/>
  <c r="O94" i="2"/>
  <c r="N94" i="2"/>
  <c r="M94" i="2"/>
  <c r="L94" i="2"/>
  <c r="J94" i="2"/>
  <c r="I94" i="2"/>
  <c r="H94" i="2"/>
  <c r="G94" i="2"/>
  <c r="F94" i="2"/>
  <c r="E94" i="2"/>
  <c r="D94" i="2"/>
  <c r="C94" i="2"/>
  <c r="B94" i="2"/>
  <c r="A94" i="2"/>
  <c r="Z93" i="2"/>
  <c r="Y93" i="2"/>
  <c r="X93" i="2"/>
  <c r="W93" i="2"/>
  <c r="V93" i="2"/>
  <c r="U93" i="2"/>
  <c r="S93" i="2"/>
  <c r="R93" i="2"/>
  <c r="Q93" i="2"/>
  <c r="P93" i="2"/>
  <c r="O93" i="2"/>
  <c r="N93" i="2"/>
  <c r="M93" i="2"/>
  <c r="L93" i="2"/>
  <c r="J93" i="2"/>
  <c r="I93" i="2"/>
  <c r="H93" i="2"/>
  <c r="G93" i="2"/>
  <c r="F93" i="2"/>
  <c r="E93" i="2"/>
  <c r="D93" i="2"/>
  <c r="C93" i="2"/>
  <c r="B93" i="2"/>
  <c r="A93" i="2"/>
  <c r="Z92" i="2"/>
  <c r="Y92" i="2"/>
  <c r="X92" i="2"/>
  <c r="W92" i="2"/>
  <c r="V92" i="2"/>
  <c r="U92" i="2"/>
  <c r="S92" i="2"/>
  <c r="R92" i="2"/>
  <c r="Q92" i="2"/>
  <c r="P92" i="2"/>
  <c r="O92" i="2"/>
  <c r="N92" i="2"/>
  <c r="M92" i="2"/>
  <c r="L92" i="2"/>
  <c r="J92" i="2"/>
  <c r="I92" i="2"/>
  <c r="H92" i="2"/>
  <c r="G92" i="2"/>
  <c r="F92" i="2"/>
  <c r="E92" i="2"/>
  <c r="D92" i="2"/>
  <c r="C92" i="2"/>
  <c r="B92" i="2"/>
  <c r="A92" i="2"/>
  <c r="Z91" i="2"/>
  <c r="Y91" i="2"/>
  <c r="X91" i="2"/>
  <c r="W91" i="2"/>
  <c r="V91" i="2"/>
  <c r="U91" i="2"/>
  <c r="S91" i="2"/>
  <c r="R91" i="2"/>
  <c r="Q91" i="2"/>
  <c r="P91" i="2"/>
  <c r="O91" i="2"/>
  <c r="N91" i="2"/>
  <c r="M91" i="2"/>
  <c r="L91" i="2"/>
  <c r="J91" i="2"/>
  <c r="I91" i="2"/>
  <c r="H91" i="2"/>
  <c r="G91" i="2"/>
  <c r="F91" i="2"/>
  <c r="E91" i="2"/>
  <c r="D91" i="2"/>
  <c r="C91" i="2"/>
  <c r="B91" i="2"/>
  <c r="A91" i="2"/>
  <c r="Z90" i="2"/>
  <c r="Y90" i="2"/>
  <c r="X90" i="2"/>
  <c r="W90" i="2"/>
  <c r="V90" i="2"/>
  <c r="U90" i="2"/>
  <c r="S90" i="2"/>
  <c r="R90" i="2"/>
  <c r="Q90" i="2"/>
  <c r="P90" i="2"/>
  <c r="O90" i="2"/>
  <c r="N90" i="2"/>
  <c r="M90" i="2"/>
  <c r="L90" i="2"/>
  <c r="J90" i="2"/>
  <c r="I90" i="2"/>
  <c r="H90" i="2"/>
  <c r="G90" i="2"/>
  <c r="F90" i="2"/>
  <c r="E90" i="2"/>
  <c r="D90" i="2"/>
  <c r="C90" i="2"/>
  <c r="B90" i="2"/>
  <c r="A90" i="2"/>
  <c r="Z89" i="2"/>
  <c r="Y89" i="2"/>
  <c r="X89" i="2"/>
  <c r="W89" i="2"/>
  <c r="V89" i="2"/>
  <c r="U89" i="2"/>
  <c r="S89" i="2"/>
  <c r="R89" i="2"/>
  <c r="Q89" i="2"/>
  <c r="P89" i="2"/>
  <c r="O89" i="2"/>
  <c r="N89" i="2"/>
  <c r="M89" i="2"/>
  <c r="L89" i="2"/>
  <c r="J89" i="2"/>
  <c r="I89" i="2"/>
  <c r="H89" i="2"/>
  <c r="G89" i="2"/>
  <c r="F89" i="2"/>
  <c r="E89" i="2"/>
  <c r="D89" i="2"/>
  <c r="C89" i="2"/>
  <c r="B89" i="2"/>
  <c r="A89" i="2"/>
  <c r="Z88" i="2"/>
  <c r="Y88" i="2"/>
  <c r="X88" i="2"/>
  <c r="W88" i="2"/>
  <c r="V88" i="2"/>
  <c r="U88" i="2"/>
  <c r="S88" i="2"/>
  <c r="R88" i="2"/>
  <c r="Q88" i="2"/>
  <c r="P88" i="2"/>
  <c r="O88" i="2"/>
  <c r="N88" i="2"/>
  <c r="M88" i="2"/>
  <c r="L88" i="2"/>
  <c r="J88" i="2"/>
  <c r="I88" i="2"/>
  <c r="H88" i="2"/>
  <c r="G88" i="2"/>
  <c r="F88" i="2"/>
  <c r="E88" i="2"/>
  <c r="D88" i="2"/>
  <c r="C88" i="2"/>
  <c r="B88" i="2"/>
  <c r="A88" i="2"/>
  <c r="Z87" i="2"/>
  <c r="Y87" i="2"/>
  <c r="X87" i="2"/>
  <c r="W87" i="2"/>
  <c r="V87" i="2"/>
  <c r="U87" i="2"/>
  <c r="S87" i="2"/>
  <c r="R87" i="2"/>
  <c r="Q87" i="2"/>
  <c r="P87" i="2"/>
  <c r="O87" i="2"/>
  <c r="N87" i="2"/>
  <c r="M87" i="2"/>
  <c r="L87" i="2"/>
  <c r="J87" i="2"/>
  <c r="I87" i="2"/>
  <c r="H87" i="2"/>
  <c r="G87" i="2"/>
  <c r="F87" i="2"/>
  <c r="E87" i="2"/>
  <c r="D87" i="2"/>
  <c r="C87" i="2"/>
  <c r="B87" i="2"/>
  <c r="A87" i="2"/>
  <c r="Z86" i="2"/>
  <c r="Y86" i="2"/>
  <c r="X86" i="2"/>
  <c r="W86" i="2"/>
  <c r="V86" i="2"/>
  <c r="U86" i="2"/>
  <c r="S86" i="2"/>
  <c r="R86" i="2"/>
  <c r="Q86" i="2"/>
  <c r="P86" i="2"/>
  <c r="O86" i="2"/>
  <c r="N86" i="2"/>
  <c r="M86" i="2"/>
  <c r="L86" i="2"/>
  <c r="J86" i="2"/>
  <c r="I86" i="2"/>
  <c r="H86" i="2"/>
  <c r="G86" i="2"/>
  <c r="F86" i="2"/>
  <c r="E86" i="2"/>
  <c r="D86" i="2"/>
  <c r="C86" i="2"/>
  <c r="B86" i="2"/>
  <c r="A86" i="2"/>
  <c r="Z85" i="2"/>
  <c r="Y85" i="2"/>
  <c r="X85" i="2"/>
  <c r="W85" i="2"/>
  <c r="V85" i="2"/>
  <c r="U85" i="2"/>
  <c r="S85" i="2"/>
  <c r="R85" i="2"/>
  <c r="Q85" i="2"/>
  <c r="P85" i="2"/>
  <c r="O85" i="2"/>
  <c r="N85" i="2"/>
  <c r="M85" i="2"/>
  <c r="L85" i="2"/>
  <c r="J85" i="2"/>
  <c r="I85" i="2"/>
  <c r="H85" i="2"/>
  <c r="G85" i="2"/>
  <c r="F85" i="2"/>
  <c r="E85" i="2"/>
  <c r="D85" i="2"/>
  <c r="C85" i="2"/>
  <c r="B85" i="2"/>
  <c r="A85" i="2"/>
  <c r="Z84" i="2"/>
  <c r="Y84" i="2"/>
  <c r="X84" i="2"/>
  <c r="W84" i="2"/>
  <c r="V84" i="2"/>
  <c r="U84" i="2"/>
  <c r="S84" i="2"/>
  <c r="R84" i="2"/>
  <c r="Q84" i="2"/>
  <c r="P84" i="2"/>
  <c r="O84" i="2"/>
  <c r="N84" i="2"/>
  <c r="M84" i="2"/>
  <c r="L84" i="2"/>
  <c r="J84" i="2"/>
  <c r="I84" i="2"/>
  <c r="H84" i="2"/>
  <c r="G84" i="2"/>
  <c r="F84" i="2"/>
  <c r="E84" i="2"/>
  <c r="D84" i="2"/>
  <c r="C84" i="2"/>
  <c r="B84" i="2"/>
  <c r="A84" i="2"/>
  <c r="Z83" i="2"/>
  <c r="Y83" i="2"/>
  <c r="X83" i="2"/>
  <c r="W83" i="2"/>
  <c r="V83" i="2"/>
  <c r="U83" i="2"/>
  <c r="S83" i="2"/>
  <c r="R83" i="2"/>
  <c r="Q83" i="2"/>
  <c r="P83" i="2"/>
  <c r="O83" i="2"/>
  <c r="N83" i="2"/>
  <c r="M83" i="2"/>
  <c r="L83" i="2"/>
  <c r="J83" i="2"/>
  <c r="I83" i="2"/>
  <c r="H83" i="2"/>
  <c r="G83" i="2"/>
  <c r="F83" i="2"/>
  <c r="E83" i="2"/>
  <c r="D83" i="2"/>
  <c r="C83" i="2"/>
  <c r="B83" i="2"/>
  <c r="A83" i="2"/>
  <c r="Z82" i="2"/>
  <c r="Y82" i="2"/>
  <c r="X82" i="2"/>
  <c r="W82" i="2"/>
  <c r="V82" i="2"/>
  <c r="U82" i="2"/>
  <c r="S82" i="2"/>
  <c r="R82" i="2"/>
  <c r="Q82" i="2"/>
  <c r="P82" i="2"/>
  <c r="O82" i="2"/>
  <c r="N82" i="2"/>
  <c r="M82" i="2"/>
  <c r="L82" i="2"/>
  <c r="J82" i="2"/>
  <c r="I82" i="2"/>
  <c r="H82" i="2"/>
  <c r="G82" i="2"/>
  <c r="F82" i="2"/>
  <c r="E82" i="2"/>
  <c r="D82" i="2"/>
  <c r="C82" i="2"/>
  <c r="B82" i="2"/>
  <c r="A82" i="2"/>
  <c r="Z81" i="2"/>
  <c r="Y81" i="2"/>
  <c r="X81" i="2"/>
  <c r="W81" i="2"/>
  <c r="V81" i="2"/>
  <c r="U81" i="2"/>
  <c r="S81" i="2"/>
  <c r="R81" i="2"/>
  <c r="Q81" i="2"/>
  <c r="P81" i="2"/>
  <c r="O81" i="2"/>
  <c r="N81" i="2"/>
  <c r="M81" i="2"/>
  <c r="L81" i="2"/>
  <c r="J81" i="2"/>
  <c r="I81" i="2"/>
  <c r="H81" i="2"/>
  <c r="G81" i="2"/>
  <c r="F81" i="2"/>
  <c r="E81" i="2"/>
  <c r="D81" i="2"/>
  <c r="C81" i="2"/>
  <c r="B81" i="2"/>
  <c r="A81" i="2"/>
  <c r="Z80" i="2"/>
  <c r="Y80" i="2"/>
  <c r="X80" i="2"/>
  <c r="W80" i="2"/>
  <c r="V80" i="2"/>
  <c r="U80" i="2"/>
  <c r="S80" i="2"/>
  <c r="R80" i="2"/>
  <c r="Q80" i="2"/>
  <c r="P80" i="2"/>
  <c r="O80" i="2"/>
  <c r="N80" i="2"/>
  <c r="M80" i="2"/>
  <c r="L80" i="2"/>
  <c r="J80" i="2"/>
  <c r="I80" i="2"/>
  <c r="H80" i="2"/>
  <c r="G80" i="2"/>
  <c r="F80" i="2"/>
  <c r="E80" i="2"/>
  <c r="D80" i="2"/>
  <c r="C80" i="2"/>
  <c r="B80" i="2"/>
  <c r="A80" i="2"/>
  <c r="Z79" i="2"/>
  <c r="Y79" i="2"/>
  <c r="X79" i="2"/>
  <c r="W79" i="2"/>
  <c r="V79" i="2"/>
  <c r="U79" i="2"/>
  <c r="S79" i="2"/>
  <c r="R79" i="2"/>
  <c r="Q79" i="2"/>
  <c r="P79" i="2"/>
  <c r="O79" i="2"/>
  <c r="N79" i="2"/>
  <c r="M79" i="2"/>
  <c r="L79" i="2"/>
  <c r="J79" i="2"/>
  <c r="I79" i="2"/>
  <c r="H79" i="2"/>
  <c r="G79" i="2"/>
  <c r="F79" i="2"/>
  <c r="E79" i="2"/>
  <c r="D79" i="2"/>
  <c r="C79" i="2"/>
  <c r="B79" i="2"/>
  <c r="A79" i="2"/>
  <c r="Z78" i="2"/>
  <c r="Y78" i="2"/>
  <c r="X78" i="2"/>
  <c r="W78" i="2"/>
  <c r="V78" i="2"/>
  <c r="U78" i="2"/>
  <c r="S78" i="2"/>
  <c r="R78" i="2"/>
  <c r="Q78" i="2"/>
  <c r="P78" i="2"/>
  <c r="O78" i="2"/>
  <c r="N78" i="2"/>
  <c r="M78" i="2"/>
  <c r="L78" i="2"/>
  <c r="J78" i="2"/>
  <c r="I78" i="2"/>
  <c r="H78" i="2"/>
  <c r="G78" i="2"/>
  <c r="F78" i="2"/>
  <c r="E78" i="2"/>
  <c r="D78" i="2"/>
  <c r="C78" i="2"/>
  <c r="B78" i="2"/>
  <c r="A78" i="2"/>
  <c r="Z77" i="2"/>
  <c r="Y77" i="2"/>
  <c r="X77" i="2"/>
  <c r="W77" i="2"/>
  <c r="V77" i="2"/>
  <c r="U77" i="2"/>
  <c r="S77" i="2"/>
  <c r="R77" i="2"/>
  <c r="Q77" i="2"/>
  <c r="P77" i="2"/>
  <c r="O77" i="2"/>
  <c r="N77" i="2"/>
  <c r="M77" i="2"/>
  <c r="L77" i="2"/>
  <c r="J77" i="2"/>
  <c r="I77" i="2"/>
  <c r="H77" i="2"/>
  <c r="G77" i="2"/>
  <c r="F77" i="2"/>
  <c r="E77" i="2"/>
  <c r="D77" i="2"/>
  <c r="C77" i="2"/>
  <c r="B77" i="2"/>
  <c r="A77" i="2"/>
  <c r="Z76" i="2"/>
  <c r="Y76" i="2"/>
  <c r="X76" i="2"/>
  <c r="W76" i="2"/>
  <c r="V76" i="2"/>
  <c r="U76" i="2"/>
  <c r="S76" i="2"/>
  <c r="R76" i="2"/>
  <c r="Q76" i="2"/>
  <c r="P76" i="2"/>
  <c r="O76" i="2"/>
  <c r="N76" i="2"/>
  <c r="M76" i="2"/>
  <c r="L76" i="2"/>
  <c r="J76" i="2"/>
  <c r="I76" i="2"/>
  <c r="H76" i="2"/>
  <c r="G76" i="2"/>
  <c r="F76" i="2"/>
  <c r="E76" i="2"/>
  <c r="D76" i="2"/>
  <c r="C76" i="2"/>
  <c r="B54" i="1" s="1"/>
  <c r="B76" i="2"/>
  <c r="A76" i="2"/>
  <c r="Z75" i="2"/>
  <c r="Y75" i="2"/>
  <c r="X75" i="2"/>
  <c r="W75" i="2"/>
  <c r="V75" i="2"/>
  <c r="U75" i="2"/>
  <c r="S75" i="2"/>
  <c r="R75" i="2"/>
  <c r="Q75" i="2"/>
  <c r="P75" i="2"/>
  <c r="O75" i="2"/>
  <c r="N75" i="2"/>
  <c r="M75" i="2"/>
  <c r="L75" i="2"/>
  <c r="J75" i="2"/>
  <c r="I75" i="2"/>
  <c r="H75" i="2"/>
  <c r="G75" i="2"/>
  <c r="F75" i="2"/>
  <c r="E75" i="2"/>
  <c r="D75" i="2"/>
  <c r="C75" i="2"/>
  <c r="B75" i="2"/>
  <c r="A75" i="2"/>
  <c r="Z74" i="2"/>
  <c r="Y74" i="2"/>
  <c r="X74" i="2"/>
  <c r="W74" i="2"/>
  <c r="V74" i="2"/>
  <c r="U74" i="2"/>
  <c r="S74" i="2"/>
  <c r="R74" i="2"/>
  <c r="Q74" i="2"/>
  <c r="P74" i="2"/>
  <c r="O74" i="2"/>
  <c r="N74" i="2"/>
  <c r="M74" i="2"/>
  <c r="L74" i="2"/>
  <c r="J74" i="2"/>
  <c r="I74" i="2"/>
  <c r="H74" i="2"/>
  <c r="G74" i="2"/>
  <c r="F74" i="2"/>
  <c r="E74" i="2"/>
  <c r="D74" i="2"/>
  <c r="C74" i="2"/>
  <c r="B74" i="2"/>
  <c r="A74" i="2"/>
  <c r="Z73" i="2"/>
  <c r="Y73" i="2"/>
  <c r="X73" i="2"/>
  <c r="W73" i="2"/>
  <c r="V73" i="2"/>
  <c r="U73" i="2"/>
  <c r="S73" i="2"/>
  <c r="R73" i="2"/>
  <c r="Q73" i="2"/>
  <c r="P73" i="2"/>
  <c r="O73" i="2"/>
  <c r="N73" i="2"/>
  <c r="M73" i="2"/>
  <c r="L73" i="2"/>
  <c r="J73" i="2"/>
  <c r="I73" i="2"/>
  <c r="H73" i="2"/>
  <c r="G73" i="2"/>
  <c r="F73" i="2"/>
  <c r="E73" i="2"/>
  <c r="D73" i="2"/>
  <c r="C73" i="2"/>
  <c r="B73" i="2"/>
  <c r="A73" i="2"/>
  <c r="Z72" i="2"/>
  <c r="Y72" i="2"/>
  <c r="X72" i="2"/>
  <c r="W72" i="2"/>
  <c r="V72" i="2"/>
  <c r="U72" i="2"/>
  <c r="S72" i="2"/>
  <c r="R72" i="2"/>
  <c r="Q72" i="2"/>
  <c r="P72" i="2"/>
  <c r="O72" i="2"/>
  <c r="N72" i="2"/>
  <c r="M72" i="2"/>
  <c r="L72" i="2"/>
  <c r="J72" i="2"/>
  <c r="I72" i="2"/>
  <c r="H72" i="2"/>
  <c r="G72" i="2"/>
  <c r="F72" i="2"/>
  <c r="E72" i="2"/>
  <c r="D72" i="2"/>
  <c r="C72" i="2"/>
  <c r="B72" i="2"/>
  <c r="A72" i="2"/>
  <c r="Z71" i="2"/>
  <c r="Y71" i="2"/>
  <c r="X71" i="2"/>
  <c r="W71" i="2"/>
  <c r="V71" i="2"/>
  <c r="U71" i="2"/>
  <c r="S71" i="2"/>
  <c r="R71" i="2"/>
  <c r="Q71" i="2"/>
  <c r="P71" i="2"/>
  <c r="O71" i="2"/>
  <c r="N71" i="2"/>
  <c r="M71" i="2"/>
  <c r="L71" i="2"/>
  <c r="J71" i="2"/>
  <c r="I71" i="2"/>
  <c r="H71" i="2"/>
  <c r="G71" i="2"/>
  <c r="F71" i="2"/>
  <c r="E71" i="2"/>
  <c r="D71" i="2"/>
  <c r="C71" i="2"/>
  <c r="B71" i="2"/>
  <c r="A71" i="2"/>
  <c r="Z70" i="2"/>
  <c r="Y70" i="2"/>
  <c r="X70" i="2"/>
  <c r="W70" i="2"/>
  <c r="V70" i="2"/>
  <c r="U70" i="2"/>
  <c r="S70" i="2"/>
  <c r="R70" i="2"/>
  <c r="Q70" i="2"/>
  <c r="P70" i="2"/>
  <c r="O70" i="2"/>
  <c r="N70" i="2"/>
  <c r="M70" i="2"/>
  <c r="L70" i="2"/>
  <c r="J70" i="2"/>
  <c r="I70" i="2"/>
  <c r="H70" i="2"/>
  <c r="G70" i="2"/>
  <c r="F70" i="2"/>
  <c r="E70" i="2"/>
  <c r="D70" i="2"/>
  <c r="C70" i="2"/>
  <c r="B70" i="2"/>
  <c r="A70" i="2"/>
  <c r="Z69" i="2"/>
  <c r="Y69" i="2"/>
  <c r="X69" i="2"/>
  <c r="W69" i="2"/>
  <c r="V69" i="2"/>
  <c r="U69" i="2"/>
  <c r="S69" i="2"/>
  <c r="R69" i="2"/>
  <c r="Q69" i="2"/>
  <c r="P69" i="2"/>
  <c r="O69" i="2"/>
  <c r="N69" i="2"/>
  <c r="M69" i="2"/>
  <c r="L69" i="2"/>
  <c r="J69" i="2"/>
  <c r="I69" i="2"/>
  <c r="H69" i="2"/>
  <c r="G69" i="2"/>
  <c r="F69" i="2"/>
  <c r="E69" i="2"/>
  <c r="D69" i="2"/>
  <c r="C69" i="2"/>
  <c r="B69" i="2"/>
  <c r="A69" i="2"/>
  <c r="Z68" i="2"/>
  <c r="Y68" i="2"/>
  <c r="X68" i="2"/>
  <c r="W68" i="2"/>
  <c r="V68" i="2"/>
  <c r="U68" i="2"/>
  <c r="S68" i="2"/>
  <c r="R68" i="2"/>
  <c r="Q68" i="2"/>
  <c r="P68" i="2"/>
  <c r="O68" i="2"/>
  <c r="N68" i="2"/>
  <c r="M68" i="2"/>
  <c r="L68" i="2"/>
  <c r="J68" i="2"/>
  <c r="I68" i="2"/>
  <c r="H68" i="2"/>
  <c r="G68" i="2"/>
  <c r="F68" i="2"/>
  <c r="E68" i="2"/>
  <c r="D68" i="2"/>
  <c r="C68" i="2"/>
  <c r="B68" i="2"/>
  <c r="A68" i="2"/>
  <c r="Z67" i="2"/>
  <c r="Y67" i="2"/>
  <c r="X67" i="2"/>
  <c r="W67" i="2"/>
  <c r="V67" i="2"/>
  <c r="U67" i="2"/>
  <c r="S67" i="2"/>
  <c r="R67" i="2"/>
  <c r="Q67" i="2"/>
  <c r="P67" i="2"/>
  <c r="O67" i="2"/>
  <c r="N67" i="2"/>
  <c r="M67" i="2"/>
  <c r="L67" i="2"/>
  <c r="J67" i="2"/>
  <c r="I67" i="2"/>
  <c r="H67" i="2"/>
  <c r="G67" i="2"/>
  <c r="F67" i="2"/>
  <c r="E67" i="2"/>
  <c r="D67" i="2"/>
  <c r="C67" i="2"/>
  <c r="B67" i="2"/>
  <c r="A67" i="2"/>
  <c r="Z66" i="2"/>
  <c r="Y66" i="2"/>
  <c r="X66" i="2"/>
  <c r="W66" i="2"/>
  <c r="V66" i="2"/>
  <c r="U66" i="2"/>
  <c r="S66" i="2"/>
  <c r="R66" i="2"/>
  <c r="Q66" i="2"/>
  <c r="P66" i="2"/>
  <c r="O66" i="2"/>
  <c r="N66" i="2"/>
  <c r="M66" i="2"/>
  <c r="L66" i="2"/>
  <c r="J66" i="2"/>
  <c r="I66" i="2"/>
  <c r="H66" i="2"/>
  <c r="G66" i="2"/>
  <c r="F66" i="2"/>
  <c r="E66" i="2"/>
  <c r="D66" i="2"/>
  <c r="C66" i="2"/>
  <c r="B66" i="2"/>
  <c r="A66" i="2"/>
  <c r="Z65" i="2"/>
  <c r="Y65" i="2"/>
  <c r="X65" i="2"/>
  <c r="W65" i="2"/>
  <c r="V65" i="2"/>
  <c r="U65" i="2"/>
  <c r="S65" i="2"/>
  <c r="R65" i="2"/>
  <c r="Q65" i="2"/>
  <c r="P65" i="2"/>
  <c r="O65" i="2"/>
  <c r="N65" i="2"/>
  <c r="M65" i="2"/>
  <c r="L65" i="2"/>
  <c r="J65" i="2"/>
  <c r="I65" i="2"/>
  <c r="H65" i="2"/>
  <c r="G65" i="2"/>
  <c r="F65" i="2"/>
  <c r="E65" i="2"/>
  <c r="D65" i="2"/>
  <c r="C65" i="2"/>
  <c r="B65" i="2"/>
  <c r="A65" i="2"/>
  <c r="Z64" i="2"/>
  <c r="Y64" i="2"/>
  <c r="X64" i="2"/>
  <c r="W64" i="2"/>
  <c r="V64" i="2"/>
  <c r="U64" i="2"/>
  <c r="S64" i="2"/>
  <c r="R64" i="2"/>
  <c r="Q64" i="2"/>
  <c r="P64" i="2"/>
  <c r="O64" i="2"/>
  <c r="N64" i="2"/>
  <c r="M64" i="2"/>
  <c r="L64" i="2"/>
  <c r="J64" i="2"/>
  <c r="I64" i="2"/>
  <c r="H64" i="2"/>
  <c r="G64" i="2"/>
  <c r="F64" i="2"/>
  <c r="E64" i="2"/>
  <c r="D64" i="2"/>
  <c r="C64" i="2"/>
  <c r="B64" i="2"/>
  <c r="A64" i="2"/>
  <c r="Z63" i="2"/>
  <c r="Y63" i="2"/>
  <c r="X63" i="2"/>
  <c r="W63" i="2"/>
  <c r="V63" i="2"/>
  <c r="U63" i="2"/>
  <c r="S63" i="2"/>
  <c r="R63" i="2"/>
  <c r="Q63" i="2"/>
  <c r="P63" i="2"/>
  <c r="O63" i="2"/>
  <c r="N63" i="2"/>
  <c r="M63" i="2"/>
  <c r="L63" i="2"/>
  <c r="J63" i="2"/>
  <c r="I63" i="2"/>
  <c r="H63" i="2"/>
  <c r="G63" i="2"/>
  <c r="F63" i="2"/>
  <c r="E63" i="2"/>
  <c r="D63" i="2"/>
  <c r="C63" i="2"/>
  <c r="B63" i="2"/>
  <c r="A63" i="2"/>
  <c r="Z62" i="2"/>
  <c r="Y62" i="2"/>
  <c r="X62" i="2"/>
  <c r="W62" i="2"/>
  <c r="V62" i="2"/>
  <c r="U62" i="2"/>
  <c r="S62" i="2"/>
  <c r="R62" i="2"/>
  <c r="Q62" i="2"/>
  <c r="P62" i="2"/>
  <c r="O62" i="2"/>
  <c r="N62" i="2"/>
  <c r="M62" i="2"/>
  <c r="L62" i="2"/>
  <c r="J62" i="2"/>
  <c r="I62" i="2"/>
  <c r="H62" i="2"/>
  <c r="G62" i="2"/>
  <c r="F62" i="2"/>
  <c r="E62" i="2"/>
  <c r="D62" i="2"/>
  <c r="C62" i="2"/>
  <c r="B62" i="2"/>
  <c r="A62" i="2"/>
  <c r="Z61" i="2"/>
  <c r="Y61" i="2"/>
  <c r="X61" i="2"/>
  <c r="W61" i="2"/>
  <c r="V61" i="2"/>
  <c r="U61" i="2"/>
  <c r="S61" i="2"/>
  <c r="R61" i="2"/>
  <c r="Q61" i="2"/>
  <c r="P61" i="2"/>
  <c r="O61" i="2"/>
  <c r="N61" i="2"/>
  <c r="M61" i="2"/>
  <c r="L61" i="2"/>
  <c r="J61" i="2"/>
  <c r="I61" i="2"/>
  <c r="H61" i="2"/>
  <c r="G61" i="2"/>
  <c r="F61" i="2"/>
  <c r="E61" i="2"/>
  <c r="D61" i="2"/>
  <c r="C61" i="2"/>
  <c r="B61" i="2"/>
  <c r="A61" i="2"/>
  <c r="Z60" i="2"/>
  <c r="Y60" i="2"/>
  <c r="X60" i="2"/>
  <c r="W60" i="2"/>
  <c r="V60" i="2"/>
  <c r="U60" i="2"/>
  <c r="S60" i="2"/>
  <c r="R60" i="2"/>
  <c r="Q60" i="2"/>
  <c r="P60" i="2"/>
  <c r="O60" i="2"/>
  <c r="N60" i="2"/>
  <c r="M60" i="2"/>
  <c r="L60" i="2"/>
  <c r="J60" i="2"/>
  <c r="I60" i="2"/>
  <c r="H60" i="2"/>
  <c r="G60" i="2"/>
  <c r="F60" i="2"/>
  <c r="E60" i="2"/>
  <c r="D60" i="2"/>
  <c r="C60" i="2"/>
  <c r="B60" i="2"/>
  <c r="A60" i="2"/>
  <c r="Z59" i="2"/>
  <c r="Y59" i="2"/>
  <c r="X59" i="2"/>
  <c r="W59" i="2"/>
  <c r="V59" i="2"/>
  <c r="U59" i="2"/>
  <c r="S59" i="2"/>
  <c r="R59" i="2"/>
  <c r="Q59" i="2"/>
  <c r="P59" i="2"/>
  <c r="O59" i="2"/>
  <c r="N59" i="2"/>
  <c r="M59" i="2"/>
  <c r="L59" i="2"/>
  <c r="J59" i="2"/>
  <c r="I59" i="2"/>
  <c r="H59" i="2"/>
  <c r="G59" i="2"/>
  <c r="F59" i="2"/>
  <c r="E59" i="2"/>
  <c r="D59" i="2"/>
  <c r="C59" i="2"/>
  <c r="B59" i="2"/>
  <c r="A59" i="2"/>
  <c r="Z58" i="2"/>
  <c r="Y58" i="2"/>
  <c r="X58" i="2"/>
  <c r="W58" i="2"/>
  <c r="V58" i="2"/>
  <c r="U58" i="2"/>
  <c r="S58" i="2"/>
  <c r="R58" i="2"/>
  <c r="Q58" i="2"/>
  <c r="P58" i="2"/>
  <c r="O58" i="2"/>
  <c r="N58" i="2"/>
  <c r="M58" i="2"/>
  <c r="L58" i="2"/>
  <c r="J58" i="2"/>
  <c r="I58" i="2"/>
  <c r="H58" i="2"/>
  <c r="G58" i="2"/>
  <c r="F58" i="2"/>
  <c r="E58" i="2"/>
  <c r="D58" i="2"/>
  <c r="C58" i="2"/>
  <c r="B58" i="2"/>
  <c r="A58" i="2"/>
  <c r="Z57" i="2"/>
  <c r="Y57" i="2"/>
  <c r="X57" i="2"/>
  <c r="W57" i="2"/>
  <c r="V57" i="2"/>
  <c r="U57" i="2"/>
  <c r="S57" i="2"/>
  <c r="R57" i="2"/>
  <c r="Q57" i="2"/>
  <c r="P57" i="2"/>
  <c r="O57" i="2"/>
  <c r="N57" i="2"/>
  <c r="M57" i="2"/>
  <c r="L57" i="2"/>
  <c r="J57" i="2"/>
  <c r="I57" i="2"/>
  <c r="H57" i="2"/>
  <c r="G57" i="2"/>
  <c r="F57" i="2"/>
  <c r="E57" i="2"/>
  <c r="D57" i="2"/>
  <c r="C57" i="2"/>
  <c r="B57" i="2"/>
  <c r="A57" i="2"/>
  <c r="Z56" i="2"/>
  <c r="Y56" i="2"/>
  <c r="X56" i="2"/>
  <c r="W56" i="2"/>
  <c r="V56" i="2"/>
  <c r="U56" i="2"/>
  <c r="S56" i="2"/>
  <c r="R56" i="2"/>
  <c r="Q56" i="2"/>
  <c r="P56" i="2"/>
  <c r="O56" i="2"/>
  <c r="N56" i="2"/>
  <c r="M56" i="2"/>
  <c r="L56" i="2"/>
  <c r="J56" i="2"/>
  <c r="I56" i="2"/>
  <c r="H56" i="2"/>
  <c r="G56" i="2"/>
  <c r="F56" i="2"/>
  <c r="E56" i="2"/>
  <c r="D56" i="2"/>
  <c r="C56" i="2"/>
  <c r="B56" i="2"/>
  <c r="A56" i="2"/>
  <c r="Z55" i="2"/>
  <c r="Y55" i="2"/>
  <c r="X55" i="2"/>
  <c r="W55" i="2"/>
  <c r="V55" i="2"/>
  <c r="U55" i="2"/>
  <c r="S55" i="2"/>
  <c r="R55" i="2"/>
  <c r="Q55" i="2"/>
  <c r="P55" i="2"/>
  <c r="O55" i="2"/>
  <c r="N55" i="2"/>
  <c r="M55" i="2"/>
  <c r="L55" i="2"/>
  <c r="J55" i="2"/>
  <c r="I55" i="2"/>
  <c r="H55" i="2"/>
  <c r="G55" i="2"/>
  <c r="F55" i="2"/>
  <c r="E55" i="2"/>
  <c r="D55" i="2"/>
  <c r="C55" i="2"/>
  <c r="B55" i="2"/>
  <c r="A55" i="2"/>
  <c r="Z54" i="2"/>
  <c r="Y54" i="2"/>
  <c r="X54" i="2"/>
  <c r="W54" i="2"/>
  <c r="V54" i="2"/>
  <c r="U54" i="2"/>
  <c r="S54" i="2"/>
  <c r="R54" i="2"/>
  <c r="Q54" i="2"/>
  <c r="P54" i="2"/>
  <c r="O54" i="2"/>
  <c r="N54" i="2"/>
  <c r="M54" i="2"/>
  <c r="L54" i="2"/>
  <c r="J54" i="2"/>
  <c r="I54" i="2"/>
  <c r="H54" i="2"/>
  <c r="G54" i="2"/>
  <c r="F54" i="2"/>
  <c r="E54" i="2"/>
  <c r="D54" i="2"/>
  <c r="C54" i="2"/>
  <c r="B54" i="2"/>
  <c r="A54" i="2"/>
  <c r="Z53" i="2"/>
  <c r="Y53" i="2"/>
  <c r="X53" i="2"/>
  <c r="W53" i="2"/>
  <c r="V53" i="2"/>
  <c r="U53" i="2"/>
  <c r="S53" i="2"/>
  <c r="R53" i="2"/>
  <c r="Q53" i="2"/>
  <c r="P53" i="2"/>
  <c r="O53" i="2"/>
  <c r="N53" i="2"/>
  <c r="M53" i="2"/>
  <c r="L53" i="2"/>
  <c r="J53" i="2"/>
  <c r="I53" i="2"/>
  <c r="H53" i="2"/>
  <c r="G53" i="2"/>
  <c r="F53" i="2"/>
  <c r="E53" i="2"/>
  <c r="D53" i="2"/>
  <c r="C53" i="2"/>
  <c r="B53" i="2"/>
  <c r="A53" i="2"/>
  <c r="Z52" i="2"/>
  <c r="Y52" i="2"/>
  <c r="X52" i="2"/>
  <c r="W52" i="2"/>
  <c r="V52" i="2"/>
  <c r="U52" i="2"/>
  <c r="S52" i="2"/>
  <c r="R52" i="2"/>
  <c r="Q52" i="2"/>
  <c r="P52" i="2"/>
  <c r="O52" i="2"/>
  <c r="N52" i="2"/>
  <c r="M52" i="2"/>
  <c r="L52" i="2"/>
  <c r="J52" i="2"/>
  <c r="I52" i="2"/>
  <c r="H52" i="2"/>
  <c r="G52" i="2"/>
  <c r="F52" i="2"/>
  <c r="E52" i="2"/>
  <c r="D52" i="2"/>
  <c r="C52" i="2"/>
  <c r="B52" i="2"/>
  <c r="A52" i="2"/>
  <c r="Z51" i="2"/>
  <c r="Y51" i="2"/>
  <c r="X51" i="2"/>
  <c r="W51" i="2"/>
  <c r="V51" i="2"/>
  <c r="U51" i="2"/>
  <c r="S51" i="2"/>
  <c r="R51" i="2"/>
  <c r="Q51" i="2"/>
  <c r="P51" i="2"/>
  <c r="O51" i="2"/>
  <c r="N51" i="2"/>
  <c r="M51" i="2"/>
  <c r="L51" i="2"/>
  <c r="J51" i="2"/>
  <c r="I51" i="2"/>
  <c r="H51" i="2"/>
  <c r="G51" i="2"/>
  <c r="F51" i="2"/>
  <c r="E51" i="2"/>
  <c r="D51" i="2"/>
  <c r="C51" i="2"/>
  <c r="B51" i="2"/>
  <c r="A51" i="2"/>
  <c r="Z50" i="2"/>
  <c r="Y50" i="2"/>
  <c r="X50" i="2"/>
  <c r="W50" i="2"/>
  <c r="V50" i="2"/>
  <c r="U50" i="2"/>
  <c r="S50" i="2"/>
  <c r="R50" i="2"/>
  <c r="Q50" i="2"/>
  <c r="P50" i="2"/>
  <c r="O50" i="2"/>
  <c r="N50" i="2"/>
  <c r="M50" i="2"/>
  <c r="L50" i="2"/>
  <c r="J50" i="2"/>
  <c r="I50" i="2"/>
  <c r="H50" i="2"/>
  <c r="G50" i="2"/>
  <c r="F50" i="2"/>
  <c r="E50" i="2"/>
  <c r="D50" i="2"/>
  <c r="C50" i="2"/>
  <c r="B50" i="2"/>
  <c r="A50" i="2"/>
  <c r="Z49" i="2"/>
  <c r="Y49" i="2"/>
  <c r="X49" i="2"/>
  <c r="W49" i="2"/>
  <c r="V49" i="2"/>
  <c r="U49" i="2"/>
  <c r="S49" i="2"/>
  <c r="R49" i="2"/>
  <c r="Q49" i="2"/>
  <c r="P49" i="2"/>
  <c r="O49" i="2"/>
  <c r="N49" i="2"/>
  <c r="M49" i="2"/>
  <c r="L49" i="2"/>
  <c r="J49" i="2"/>
  <c r="I49" i="2"/>
  <c r="H49" i="2"/>
  <c r="G49" i="2"/>
  <c r="F49" i="2"/>
  <c r="E49" i="2"/>
  <c r="D49" i="2"/>
  <c r="C49" i="2"/>
  <c r="B49" i="2"/>
  <c r="A49" i="2"/>
  <c r="Z48" i="2"/>
  <c r="Y48" i="2"/>
  <c r="X48" i="2"/>
  <c r="W48" i="2"/>
  <c r="V48" i="2"/>
  <c r="U48" i="2"/>
  <c r="S48" i="2"/>
  <c r="R48" i="2"/>
  <c r="Q48" i="2"/>
  <c r="P48" i="2"/>
  <c r="O48" i="2"/>
  <c r="N48" i="2"/>
  <c r="M48" i="2"/>
  <c r="L48" i="2"/>
  <c r="J48" i="2"/>
  <c r="I48" i="2"/>
  <c r="H48" i="2"/>
  <c r="G48" i="2"/>
  <c r="F48" i="2"/>
  <c r="E48" i="2"/>
  <c r="D48" i="2"/>
  <c r="C48" i="2"/>
  <c r="B48" i="2"/>
  <c r="A48" i="2"/>
  <c r="Z47" i="2"/>
  <c r="Y47" i="2"/>
  <c r="X47" i="2"/>
  <c r="W47" i="2"/>
  <c r="V47" i="2"/>
  <c r="U47" i="2"/>
  <c r="S47" i="2"/>
  <c r="R47" i="2"/>
  <c r="Q47" i="2"/>
  <c r="P47" i="2"/>
  <c r="O47" i="2"/>
  <c r="N47" i="2"/>
  <c r="M47" i="2"/>
  <c r="L47" i="2"/>
  <c r="J47" i="2"/>
  <c r="I47" i="2"/>
  <c r="H47" i="2"/>
  <c r="G47" i="2"/>
  <c r="F47" i="2"/>
  <c r="E47" i="2"/>
  <c r="D47" i="2"/>
  <c r="C47" i="2"/>
  <c r="B47" i="2"/>
  <c r="A47" i="2"/>
  <c r="Z46" i="2"/>
  <c r="Y46" i="2"/>
  <c r="X46" i="2"/>
  <c r="W46" i="2"/>
  <c r="V46" i="2"/>
  <c r="U46" i="2"/>
  <c r="S46" i="2"/>
  <c r="R46" i="2"/>
  <c r="Q46" i="2"/>
  <c r="P46" i="2"/>
  <c r="O46" i="2"/>
  <c r="N46" i="2"/>
  <c r="M46" i="2"/>
  <c r="L46" i="2"/>
  <c r="J46" i="2"/>
  <c r="I46" i="2"/>
  <c r="H46" i="2"/>
  <c r="G46" i="2"/>
  <c r="F46" i="2"/>
  <c r="E46" i="2"/>
  <c r="D46" i="2"/>
  <c r="C46" i="2"/>
  <c r="B46" i="2"/>
  <c r="A46" i="2"/>
  <c r="Z45" i="2"/>
  <c r="Y45" i="2"/>
  <c r="X45" i="2"/>
  <c r="W45" i="2"/>
  <c r="V45" i="2"/>
  <c r="U45" i="2"/>
  <c r="S45" i="2"/>
  <c r="R45" i="2"/>
  <c r="Q45" i="2"/>
  <c r="P45" i="2"/>
  <c r="O45" i="2"/>
  <c r="N45" i="2"/>
  <c r="M45" i="2"/>
  <c r="L45" i="2"/>
  <c r="J45" i="2"/>
  <c r="I45" i="2"/>
  <c r="H45" i="2"/>
  <c r="G45" i="2"/>
  <c r="F45" i="2"/>
  <c r="E45" i="2"/>
  <c r="D45" i="2"/>
  <c r="C45" i="2"/>
  <c r="B45" i="2"/>
  <c r="A45" i="2"/>
  <c r="Z44" i="2"/>
  <c r="Y44" i="2"/>
  <c r="X44" i="2"/>
  <c r="W44" i="2"/>
  <c r="V44" i="2"/>
  <c r="U44" i="2"/>
  <c r="S44" i="2"/>
  <c r="R44" i="2"/>
  <c r="Q44" i="2"/>
  <c r="P44" i="2"/>
  <c r="O44" i="2"/>
  <c r="N44" i="2"/>
  <c r="M44" i="2"/>
  <c r="L44" i="2"/>
  <c r="J44" i="2"/>
  <c r="I44" i="2"/>
  <c r="H44" i="2"/>
  <c r="G44" i="2"/>
  <c r="F44" i="2"/>
  <c r="E44" i="2"/>
  <c r="D44" i="2"/>
  <c r="C44" i="2"/>
  <c r="B44" i="2"/>
  <c r="A44" i="2"/>
  <c r="Z43" i="2"/>
  <c r="Y43" i="2"/>
  <c r="X43" i="2"/>
  <c r="W43" i="2"/>
  <c r="V43" i="2"/>
  <c r="U43" i="2"/>
  <c r="S43" i="2"/>
  <c r="R43" i="2"/>
  <c r="Q43" i="2"/>
  <c r="P43" i="2"/>
  <c r="O43" i="2"/>
  <c r="N43" i="2"/>
  <c r="M43" i="2"/>
  <c r="L43" i="2"/>
  <c r="J43" i="2"/>
  <c r="I43" i="2"/>
  <c r="H43" i="2"/>
  <c r="G43" i="2"/>
  <c r="F43" i="2"/>
  <c r="E43" i="2"/>
  <c r="D43" i="2"/>
  <c r="C43" i="2"/>
  <c r="B43" i="2"/>
  <c r="A43" i="2"/>
  <c r="Z42" i="2"/>
  <c r="Y42" i="2"/>
  <c r="X42" i="2"/>
  <c r="W42" i="2"/>
  <c r="V42" i="2"/>
  <c r="U42" i="2"/>
  <c r="S42" i="2"/>
  <c r="R42" i="2"/>
  <c r="Q42" i="2"/>
  <c r="P42" i="2"/>
  <c r="O42" i="2"/>
  <c r="N42" i="2"/>
  <c r="M42" i="2"/>
  <c r="L42" i="2"/>
  <c r="J42" i="2"/>
  <c r="I42" i="2"/>
  <c r="H42" i="2"/>
  <c r="G42" i="2"/>
  <c r="F42" i="2"/>
  <c r="E42" i="2"/>
  <c r="D42" i="2"/>
  <c r="C42" i="2"/>
  <c r="B42" i="2"/>
  <c r="A42" i="2"/>
  <c r="Z41" i="2"/>
  <c r="Y41" i="2"/>
  <c r="X41" i="2"/>
  <c r="W41" i="2"/>
  <c r="V41" i="2"/>
  <c r="U41" i="2"/>
  <c r="S41" i="2"/>
  <c r="R41" i="2"/>
  <c r="Q41" i="2"/>
  <c r="P41" i="2"/>
  <c r="O41" i="2"/>
  <c r="N41" i="2"/>
  <c r="M41" i="2"/>
  <c r="L41" i="2"/>
  <c r="J41" i="2"/>
  <c r="I41" i="2"/>
  <c r="H41" i="2"/>
  <c r="G41" i="2"/>
  <c r="F41" i="2"/>
  <c r="E41" i="2"/>
  <c r="D41" i="2"/>
  <c r="C41" i="2"/>
  <c r="B41" i="2"/>
  <c r="A41" i="2"/>
  <c r="Z40" i="2"/>
  <c r="Y40" i="2"/>
  <c r="X40" i="2"/>
  <c r="W40" i="2"/>
  <c r="V40" i="2"/>
  <c r="U40" i="2"/>
  <c r="S40" i="2"/>
  <c r="R40" i="2"/>
  <c r="Q40" i="2"/>
  <c r="P40" i="2"/>
  <c r="O40" i="2"/>
  <c r="N40" i="2"/>
  <c r="M40" i="2"/>
  <c r="L40" i="2"/>
  <c r="J40" i="2"/>
  <c r="I40" i="2"/>
  <c r="H40" i="2"/>
  <c r="G40" i="2"/>
  <c r="F40" i="2"/>
  <c r="E40" i="2"/>
  <c r="D40" i="2"/>
  <c r="C40" i="2"/>
  <c r="B40" i="2"/>
  <c r="A40" i="2"/>
  <c r="Z39" i="2"/>
  <c r="Y39" i="2"/>
  <c r="X39" i="2"/>
  <c r="W39" i="2"/>
  <c r="V39" i="2"/>
  <c r="U39" i="2"/>
  <c r="S39" i="2"/>
  <c r="R39" i="2"/>
  <c r="Q39" i="2"/>
  <c r="P39" i="2"/>
  <c r="O39" i="2"/>
  <c r="N39" i="2"/>
  <c r="M39" i="2"/>
  <c r="L39" i="2"/>
  <c r="J39" i="2"/>
  <c r="I39" i="2"/>
  <c r="H39" i="2"/>
  <c r="G39" i="2"/>
  <c r="F39" i="2"/>
  <c r="E39" i="2"/>
  <c r="D39" i="2"/>
  <c r="C39" i="2"/>
  <c r="B39" i="2"/>
  <c r="A39" i="2"/>
  <c r="Z38" i="2"/>
  <c r="Y38" i="2"/>
  <c r="X38" i="2"/>
  <c r="W38" i="2"/>
  <c r="V38" i="2"/>
  <c r="U38" i="2"/>
  <c r="S38" i="2"/>
  <c r="R38" i="2"/>
  <c r="Q38" i="2"/>
  <c r="P38" i="2"/>
  <c r="O38" i="2"/>
  <c r="N38" i="2"/>
  <c r="M38" i="2"/>
  <c r="L38" i="2"/>
  <c r="J38" i="2"/>
  <c r="I38" i="2"/>
  <c r="H38" i="2"/>
  <c r="G38" i="2"/>
  <c r="F38" i="2"/>
  <c r="E38" i="2"/>
  <c r="D38" i="2"/>
  <c r="C38" i="2"/>
  <c r="B38" i="2"/>
  <c r="A38" i="2"/>
  <c r="Z37" i="2"/>
  <c r="Y37" i="2"/>
  <c r="X37" i="2"/>
  <c r="W37" i="2"/>
  <c r="V37" i="2"/>
  <c r="U37" i="2"/>
  <c r="S37" i="2"/>
  <c r="R37" i="2"/>
  <c r="Q37" i="2"/>
  <c r="P37" i="2"/>
  <c r="O37" i="2"/>
  <c r="N37" i="2"/>
  <c r="M37" i="2"/>
  <c r="L37" i="2"/>
  <c r="J37" i="2"/>
  <c r="I37" i="2"/>
  <c r="H37" i="2"/>
  <c r="G37" i="2"/>
  <c r="F37" i="2"/>
  <c r="E37" i="2"/>
  <c r="D37" i="2"/>
  <c r="C37" i="2"/>
  <c r="B37" i="2"/>
  <c r="A37" i="2"/>
  <c r="Z36" i="2"/>
  <c r="Y36" i="2"/>
  <c r="X36" i="2"/>
  <c r="W36" i="2"/>
  <c r="V36" i="2"/>
  <c r="U36" i="2"/>
  <c r="S36" i="2"/>
  <c r="R36" i="2"/>
  <c r="Q36" i="2"/>
  <c r="P36" i="2"/>
  <c r="O36" i="2"/>
  <c r="N36" i="2"/>
  <c r="M36" i="2"/>
  <c r="L36" i="2"/>
  <c r="J36" i="2"/>
  <c r="I36" i="2"/>
  <c r="H36" i="2"/>
  <c r="G36" i="2"/>
  <c r="F36" i="2"/>
  <c r="E36" i="2"/>
  <c r="D36" i="2"/>
  <c r="C36" i="2"/>
  <c r="B36" i="2"/>
  <c r="A36" i="2"/>
  <c r="Z35" i="2"/>
  <c r="Y35" i="2"/>
  <c r="X35" i="2"/>
  <c r="W35" i="2"/>
  <c r="V35" i="2"/>
  <c r="U35" i="2"/>
  <c r="S35" i="2"/>
  <c r="R35" i="2"/>
  <c r="Q35" i="2"/>
  <c r="P35" i="2"/>
  <c r="O35" i="2"/>
  <c r="N35" i="2"/>
  <c r="M35" i="2"/>
  <c r="L35" i="2"/>
  <c r="J35" i="2"/>
  <c r="I35" i="2"/>
  <c r="H35" i="2"/>
  <c r="G35" i="2"/>
  <c r="F35" i="2"/>
  <c r="E35" i="2"/>
  <c r="D35" i="2"/>
  <c r="C35" i="2"/>
  <c r="B35" i="2"/>
  <c r="A35" i="2"/>
  <c r="Z34" i="2"/>
  <c r="Y34" i="2"/>
  <c r="X34" i="2"/>
  <c r="W34" i="2"/>
  <c r="V34" i="2"/>
  <c r="U34" i="2"/>
  <c r="S34" i="2"/>
  <c r="R34" i="2"/>
  <c r="Q34" i="2"/>
  <c r="P34" i="2"/>
  <c r="O34" i="2"/>
  <c r="N34" i="2"/>
  <c r="M34" i="2"/>
  <c r="L34" i="2"/>
  <c r="J34" i="2"/>
  <c r="I34" i="2"/>
  <c r="H34" i="2"/>
  <c r="G34" i="2"/>
  <c r="F34" i="2"/>
  <c r="E34" i="2"/>
  <c r="D34" i="2"/>
  <c r="C34" i="2"/>
  <c r="B34" i="2"/>
  <c r="A34" i="2"/>
  <c r="Z33" i="2"/>
  <c r="Y33" i="2"/>
  <c r="X33" i="2"/>
  <c r="W33" i="2"/>
  <c r="V33" i="2"/>
  <c r="U33" i="2"/>
  <c r="S33" i="2"/>
  <c r="R33" i="2"/>
  <c r="Q33" i="2"/>
  <c r="P33" i="2"/>
  <c r="O33" i="2"/>
  <c r="N33" i="2"/>
  <c r="M33" i="2"/>
  <c r="L33" i="2"/>
  <c r="J33" i="2"/>
  <c r="I33" i="2"/>
  <c r="H33" i="2"/>
  <c r="G33" i="2"/>
  <c r="F33" i="2"/>
  <c r="E33" i="2"/>
  <c r="D33" i="2"/>
  <c r="C33" i="2"/>
  <c r="B33" i="2"/>
  <c r="A33" i="2"/>
  <c r="Z32" i="2"/>
  <c r="Y32" i="2"/>
  <c r="X32" i="2"/>
  <c r="W32" i="2"/>
  <c r="V32" i="2"/>
  <c r="U32" i="2"/>
  <c r="S32" i="2"/>
  <c r="R32" i="2"/>
  <c r="Q32" i="2"/>
  <c r="P32" i="2"/>
  <c r="O32" i="2"/>
  <c r="N32" i="2"/>
  <c r="M32" i="2"/>
  <c r="L32" i="2"/>
  <c r="J32" i="2"/>
  <c r="I32" i="2"/>
  <c r="H32" i="2"/>
  <c r="G32" i="2"/>
  <c r="F32" i="2"/>
  <c r="E32" i="2"/>
  <c r="D32" i="2"/>
  <c r="C32" i="2"/>
  <c r="B32" i="2"/>
  <c r="A32" i="2"/>
  <c r="Z31" i="2"/>
  <c r="Y31" i="2"/>
  <c r="X31" i="2"/>
  <c r="W31" i="2"/>
  <c r="V31" i="2"/>
  <c r="U31" i="2"/>
  <c r="S31" i="2"/>
  <c r="R31" i="2"/>
  <c r="Q31" i="2"/>
  <c r="P31" i="2"/>
  <c r="O31" i="2"/>
  <c r="N31" i="2"/>
  <c r="M31" i="2"/>
  <c r="L31" i="2"/>
  <c r="J31" i="2"/>
  <c r="I31" i="2"/>
  <c r="H31" i="2"/>
  <c r="G31" i="2"/>
  <c r="F31" i="2"/>
  <c r="E31" i="2"/>
  <c r="D31" i="2"/>
  <c r="C31" i="2"/>
  <c r="B31" i="2"/>
  <c r="A31" i="2"/>
  <c r="Z30" i="2"/>
  <c r="Y30" i="2"/>
  <c r="X30" i="2"/>
  <c r="W30" i="2"/>
  <c r="V30" i="2"/>
  <c r="U30" i="2"/>
  <c r="S30" i="2"/>
  <c r="R30" i="2"/>
  <c r="Q30" i="2"/>
  <c r="P30" i="2"/>
  <c r="O30" i="2"/>
  <c r="N30" i="2"/>
  <c r="M30" i="2"/>
  <c r="L30" i="2"/>
  <c r="J30" i="2"/>
  <c r="I30" i="2"/>
  <c r="H30" i="2"/>
  <c r="G30" i="2"/>
  <c r="F30" i="2"/>
  <c r="E30" i="2"/>
  <c r="D30" i="2"/>
  <c r="C30" i="2"/>
  <c r="B30" i="2"/>
  <c r="A30" i="2"/>
  <c r="Z29" i="2"/>
  <c r="Y29" i="2"/>
  <c r="X29" i="2"/>
  <c r="W29" i="2"/>
  <c r="V29" i="2"/>
  <c r="U29" i="2"/>
  <c r="S29" i="2"/>
  <c r="R29" i="2"/>
  <c r="Q29" i="2"/>
  <c r="P29" i="2"/>
  <c r="O29" i="2"/>
  <c r="N29" i="2"/>
  <c r="M29" i="2"/>
  <c r="L29" i="2"/>
  <c r="J29" i="2"/>
  <c r="I29" i="2"/>
  <c r="H29" i="2"/>
  <c r="G29" i="2"/>
  <c r="F29" i="2"/>
  <c r="E29" i="2"/>
  <c r="D29" i="2"/>
  <c r="C29" i="2"/>
  <c r="B29" i="2"/>
  <c r="A29" i="2"/>
  <c r="Z28" i="2"/>
  <c r="Y28" i="2"/>
  <c r="X28" i="2"/>
  <c r="W28" i="2"/>
  <c r="V28" i="2"/>
  <c r="U28" i="2"/>
  <c r="S28" i="2"/>
  <c r="R28" i="2"/>
  <c r="Q28" i="2"/>
  <c r="P28" i="2"/>
  <c r="O28" i="2"/>
  <c r="N28" i="2"/>
  <c r="M28" i="2"/>
  <c r="L28" i="2"/>
  <c r="J28" i="2"/>
  <c r="I28" i="2"/>
  <c r="H28" i="2"/>
  <c r="G28" i="2"/>
  <c r="F28" i="2"/>
  <c r="E28" i="2"/>
  <c r="D28" i="2"/>
  <c r="C28" i="2"/>
  <c r="B28" i="2"/>
  <c r="A28" i="2"/>
  <c r="Z27" i="2"/>
  <c r="Y27" i="2"/>
  <c r="X27" i="2"/>
  <c r="W27" i="2"/>
  <c r="V27" i="2"/>
  <c r="U27" i="2"/>
  <c r="S27" i="2"/>
  <c r="R27" i="2"/>
  <c r="Q27" i="2"/>
  <c r="P27" i="2"/>
  <c r="O27" i="2"/>
  <c r="N27" i="2"/>
  <c r="M27" i="2"/>
  <c r="L27" i="2"/>
  <c r="J27" i="2"/>
  <c r="I27" i="2"/>
  <c r="H27" i="2"/>
  <c r="G27" i="2"/>
  <c r="F27" i="2"/>
  <c r="E27" i="2"/>
  <c r="D27" i="2"/>
  <c r="C27" i="2"/>
  <c r="B27" i="2"/>
  <c r="A27" i="2"/>
  <c r="Z26" i="2"/>
  <c r="Y26" i="2"/>
  <c r="X26" i="2"/>
  <c r="W26" i="2"/>
  <c r="V26" i="2"/>
  <c r="U26" i="2"/>
  <c r="S26" i="2"/>
  <c r="R26" i="2"/>
  <c r="Q26" i="2"/>
  <c r="P26" i="2"/>
  <c r="O26" i="2"/>
  <c r="N26" i="2"/>
  <c r="M26" i="2"/>
  <c r="L26" i="2"/>
  <c r="J26" i="2"/>
  <c r="I26" i="2"/>
  <c r="H26" i="2"/>
  <c r="G26" i="2"/>
  <c r="F26" i="2"/>
  <c r="E26" i="2"/>
  <c r="D26" i="2"/>
  <c r="C26" i="2"/>
  <c r="B26" i="2"/>
  <c r="A26" i="2"/>
  <c r="Z25" i="2"/>
  <c r="Y25" i="2"/>
  <c r="X25" i="2"/>
  <c r="W25" i="2"/>
  <c r="V25" i="2"/>
  <c r="U25" i="2"/>
  <c r="S25" i="2"/>
  <c r="R25" i="2"/>
  <c r="Q25" i="2"/>
  <c r="P25" i="2"/>
  <c r="O25" i="2"/>
  <c r="N25" i="2"/>
  <c r="M25" i="2"/>
  <c r="L25" i="2"/>
  <c r="J25" i="2"/>
  <c r="I25" i="2"/>
  <c r="H25" i="2"/>
  <c r="G25" i="2"/>
  <c r="F25" i="2"/>
  <c r="E25" i="2"/>
  <c r="D25" i="2"/>
  <c r="C25" i="2"/>
  <c r="B25" i="2"/>
  <c r="A25" i="2"/>
  <c r="Z24" i="2"/>
  <c r="Y24" i="2"/>
  <c r="X24" i="2"/>
  <c r="W24" i="2"/>
  <c r="V24" i="2"/>
  <c r="U24" i="2"/>
  <c r="S24" i="2"/>
  <c r="R24" i="2"/>
  <c r="Q24" i="2"/>
  <c r="P24" i="2"/>
  <c r="O24" i="2"/>
  <c r="N24" i="2"/>
  <c r="M24" i="2"/>
  <c r="L24" i="2"/>
  <c r="J24" i="2"/>
  <c r="I24" i="2"/>
  <c r="H24" i="2"/>
  <c r="G24" i="2"/>
  <c r="F24" i="2"/>
  <c r="E24" i="2"/>
  <c r="D24" i="2"/>
  <c r="C24" i="2"/>
  <c r="B24" i="2"/>
  <c r="A24" i="2"/>
  <c r="Z23" i="2"/>
  <c r="Y23" i="2"/>
  <c r="X23" i="2"/>
  <c r="W23" i="2"/>
  <c r="V23" i="2"/>
  <c r="U23" i="2"/>
  <c r="S23" i="2"/>
  <c r="R23" i="2"/>
  <c r="Q23" i="2"/>
  <c r="P23" i="2"/>
  <c r="O23" i="2"/>
  <c r="N23" i="2"/>
  <c r="M23" i="2"/>
  <c r="L23" i="2"/>
  <c r="J23" i="2"/>
  <c r="I23" i="2"/>
  <c r="H23" i="2"/>
  <c r="G23" i="2"/>
  <c r="F23" i="2"/>
  <c r="E23" i="2"/>
  <c r="D23" i="2"/>
  <c r="C23" i="2"/>
  <c r="B23" i="2"/>
  <c r="A23" i="2"/>
  <c r="Z22" i="2"/>
  <c r="Y22" i="2"/>
  <c r="X22" i="2"/>
  <c r="W22" i="2"/>
  <c r="V22" i="2"/>
  <c r="U22" i="2"/>
  <c r="S22" i="2"/>
  <c r="R22" i="2"/>
  <c r="Q22" i="2"/>
  <c r="P22" i="2"/>
  <c r="O22" i="2"/>
  <c r="N22" i="2"/>
  <c r="M22" i="2"/>
  <c r="L22" i="2"/>
  <c r="J22" i="2"/>
  <c r="I22" i="2"/>
  <c r="H22" i="2"/>
  <c r="G22" i="2"/>
  <c r="F22" i="2"/>
  <c r="E22" i="2"/>
  <c r="D22" i="2"/>
  <c r="C22" i="2"/>
  <c r="B22" i="2"/>
  <c r="A22" i="2"/>
  <c r="Z21" i="2"/>
  <c r="Y21" i="2"/>
  <c r="X21" i="2"/>
  <c r="W21" i="2"/>
  <c r="V21" i="2"/>
  <c r="U21" i="2"/>
  <c r="S21" i="2"/>
  <c r="R21" i="2"/>
  <c r="Q21" i="2"/>
  <c r="P21" i="2"/>
  <c r="O21" i="2"/>
  <c r="N21" i="2"/>
  <c r="M21" i="2"/>
  <c r="L21" i="2"/>
  <c r="J21" i="2"/>
  <c r="I21" i="2"/>
  <c r="H21" i="2"/>
  <c r="G21" i="2"/>
  <c r="F21" i="2"/>
  <c r="E21" i="2"/>
  <c r="D21" i="2"/>
  <c r="C21" i="2"/>
  <c r="B21" i="2"/>
  <c r="A21" i="2"/>
  <c r="Z20" i="2"/>
  <c r="Y20" i="2"/>
  <c r="X20" i="2"/>
  <c r="W20" i="2"/>
  <c r="V20" i="2"/>
  <c r="U20" i="2"/>
  <c r="S20" i="2"/>
  <c r="R20" i="2"/>
  <c r="Q20" i="2"/>
  <c r="P20" i="2"/>
  <c r="O20" i="2"/>
  <c r="N20" i="2"/>
  <c r="M20" i="2"/>
  <c r="L20" i="2"/>
  <c r="J20" i="2"/>
  <c r="I20" i="2"/>
  <c r="H20" i="2"/>
  <c r="G20" i="2"/>
  <c r="F20" i="2"/>
  <c r="E20" i="2"/>
  <c r="D20" i="2"/>
  <c r="C20" i="2"/>
  <c r="B20" i="2"/>
  <c r="A20" i="2"/>
  <c r="Z19" i="2"/>
  <c r="Y19" i="2"/>
  <c r="X19" i="2"/>
  <c r="W19" i="2"/>
  <c r="V19" i="2"/>
  <c r="U19" i="2"/>
  <c r="S19" i="2"/>
  <c r="R19" i="2"/>
  <c r="Q19" i="2"/>
  <c r="P19" i="2"/>
  <c r="O19" i="2"/>
  <c r="N19" i="2"/>
  <c r="M19" i="2"/>
  <c r="L19" i="2"/>
  <c r="J19" i="2"/>
  <c r="I19" i="2"/>
  <c r="H19" i="2"/>
  <c r="G19" i="2"/>
  <c r="F19" i="2"/>
  <c r="E19" i="2"/>
  <c r="D19" i="2"/>
  <c r="C19" i="2"/>
  <c r="B19" i="2"/>
  <c r="A19" i="2"/>
  <c r="Z18" i="2"/>
  <c r="Y18" i="2"/>
  <c r="X18" i="2"/>
  <c r="W18" i="2"/>
  <c r="V18" i="2"/>
  <c r="U18" i="2"/>
  <c r="S18" i="2"/>
  <c r="R18" i="2"/>
  <c r="Q18" i="2"/>
  <c r="P18" i="2"/>
  <c r="O18" i="2"/>
  <c r="N18" i="2"/>
  <c r="M18" i="2"/>
  <c r="L18" i="2"/>
  <c r="J18" i="2"/>
  <c r="I18" i="2"/>
  <c r="H18" i="2"/>
  <c r="G18" i="2"/>
  <c r="F18" i="2"/>
  <c r="E18" i="2"/>
  <c r="D18" i="2"/>
  <c r="C18" i="2"/>
  <c r="B18" i="2"/>
  <c r="A18" i="2"/>
  <c r="Z17" i="2"/>
  <c r="Y17" i="2"/>
  <c r="X17" i="2"/>
  <c r="W17" i="2"/>
  <c r="V17" i="2"/>
  <c r="U17" i="2"/>
  <c r="S17" i="2"/>
  <c r="R17" i="2"/>
  <c r="Q17" i="2"/>
  <c r="P17" i="2"/>
  <c r="O17" i="2"/>
  <c r="N17" i="2"/>
  <c r="M17" i="2"/>
  <c r="L17" i="2"/>
  <c r="J17" i="2"/>
  <c r="I17" i="2"/>
  <c r="H17" i="2"/>
  <c r="G17" i="2"/>
  <c r="F17" i="2"/>
  <c r="E17" i="2"/>
  <c r="D17" i="2"/>
  <c r="C17" i="2"/>
  <c r="B17" i="2"/>
  <c r="A17" i="2"/>
  <c r="Z16" i="2"/>
  <c r="Y16" i="2"/>
  <c r="X16" i="2"/>
  <c r="W16" i="2"/>
  <c r="V16" i="2"/>
  <c r="U16" i="2"/>
  <c r="S16" i="2"/>
  <c r="R16" i="2"/>
  <c r="Q16" i="2"/>
  <c r="P16" i="2"/>
  <c r="O16" i="2"/>
  <c r="N16" i="2"/>
  <c r="M16" i="2"/>
  <c r="L16" i="2"/>
  <c r="J16" i="2"/>
  <c r="I16" i="2"/>
  <c r="H16" i="2"/>
  <c r="G16" i="2"/>
  <c r="F16" i="2"/>
  <c r="E16" i="2"/>
  <c r="D16" i="2"/>
  <c r="C16" i="2"/>
  <c r="B16" i="2"/>
  <c r="A16" i="2"/>
  <c r="Z15" i="2"/>
  <c r="Y15" i="2"/>
  <c r="X15" i="2"/>
  <c r="W15" i="2"/>
  <c r="V15" i="2"/>
  <c r="U15" i="2"/>
  <c r="S15" i="2"/>
  <c r="R15" i="2"/>
  <c r="Q15" i="2"/>
  <c r="P15" i="2"/>
  <c r="O15" i="2"/>
  <c r="N15" i="2"/>
  <c r="M15" i="2"/>
  <c r="L15" i="2"/>
  <c r="J15" i="2"/>
  <c r="I15" i="2"/>
  <c r="H15" i="2"/>
  <c r="G15" i="2"/>
  <c r="F15" i="2"/>
  <c r="E15" i="2"/>
  <c r="D15" i="2"/>
  <c r="C15" i="2"/>
  <c r="B15" i="2"/>
  <c r="A15" i="2"/>
  <c r="Z14" i="2"/>
  <c r="Y14" i="2"/>
  <c r="X14" i="2"/>
  <c r="W14" i="2"/>
  <c r="V14" i="2"/>
  <c r="U14" i="2"/>
  <c r="S14" i="2"/>
  <c r="R14" i="2"/>
  <c r="Q14" i="2"/>
  <c r="P14" i="2"/>
  <c r="O14" i="2"/>
  <c r="N14" i="2"/>
  <c r="M14" i="2"/>
  <c r="L14" i="2"/>
  <c r="J14" i="2"/>
  <c r="I14" i="2"/>
  <c r="H14" i="2"/>
  <c r="G14" i="2"/>
  <c r="F14" i="2"/>
  <c r="E14" i="2"/>
  <c r="D14" i="2"/>
  <c r="C14" i="2"/>
  <c r="B14" i="2"/>
  <c r="A14" i="2"/>
  <c r="Z13" i="2"/>
  <c r="Y13" i="2"/>
  <c r="X13" i="2"/>
  <c r="W13" i="2"/>
  <c r="V13" i="2"/>
  <c r="U13" i="2"/>
  <c r="S13" i="2"/>
  <c r="R13" i="2"/>
  <c r="Q13" i="2"/>
  <c r="P13" i="2"/>
  <c r="O13" i="2"/>
  <c r="N13" i="2"/>
  <c r="M13" i="2"/>
  <c r="L13" i="2"/>
  <c r="J13" i="2"/>
  <c r="I13" i="2"/>
  <c r="H13" i="2"/>
  <c r="G13" i="2"/>
  <c r="F13" i="2"/>
  <c r="E13" i="2"/>
  <c r="D13" i="2"/>
  <c r="C13" i="2"/>
  <c r="B13" i="2"/>
  <c r="A13" i="2"/>
  <c r="Z12" i="2"/>
  <c r="Y12" i="2"/>
  <c r="X12" i="2"/>
  <c r="W12" i="2"/>
  <c r="V12" i="2"/>
  <c r="U12" i="2"/>
  <c r="S12" i="2"/>
  <c r="R12" i="2"/>
  <c r="Q12" i="2"/>
  <c r="P12" i="2"/>
  <c r="O12" i="2"/>
  <c r="N12" i="2"/>
  <c r="M12" i="2"/>
  <c r="L12" i="2"/>
  <c r="J12" i="2"/>
  <c r="I12" i="2"/>
  <c r="H12" i="2"/>
  <c r="G12" i="2"/>
  <c r="F12" i="2"/>
  <c r="E12" i="2"/>
  <c r="D12" i="2"/>
  <c r="C12" i="2"/>
  <c r="B12" i="2"/>
  <c r="A12" i="2"/>
  <c r="Z11" i="2"/>
  <c r="Y11" i="2"/>
  <c r="X11" i="2"/>
  <c r="W11" i="2"/>
  <c r="V11" i="2"/>
  <c r="U11" i="2"/>
  <c r="S11" i="2"/>
  <c r="R11" i="2"/>
  <c r="Q11" i="2"/>
  <c r="P11" i="2"/>
  <c r="O11" i="2"/>
  <c r="N11" i="2"/>
  <c r="M11" i="2"/>
  <c r="L11" i="2"/>
  <c r="J11" i="2"/>
  <c r="I11" i="2"/>
  <c r="H11" i="2"/>
  <c r="G11" i="2"/>
  <c r="F11" i="2"/>
  <c r="E11" i="2"/>
  <c r="D11" i="2"/>
  <c r="C11" i="2"/>
  <c r="B11" i="2"/>
  <c r="A11" i="2"/>
  <c r="Z10" i="2"/>
  <c r="Y10" i="2"/>
  <c r="X10" i="2"/>
  <c r="W10" i="2"/>
  <c r="V10" i="2"/>
  <c r="U10" i="2"/>
  <c r="S10" i="2"/>
  <c r="R10" i="2"/>
  <c r="Q10" i="2"/>
  <c r="P10" i="2"/>
  <c r="O10" i="2"/>
  <c r="N10" i="2"/>
  <c r="M10" i="2"/>
  <c r="L10" i="2"/>
  <c r="J10" i="2"/>
  <c r="I10" i="2"/>
  <c r="H10" i="2"/>
  <c r="G10" i="2"/>
  <c r="F10" i="2"/>
  <c r="E10" i="2"/>
  <c r="D10" i="2"/>
  <c r="C10" i="2"/>
  <c r="B10" i="2"/>
  <c r="A10" i="2"/>
  <c r="Z9" i="2"/>
  <c r="Y9" i="2"/>
  <c r="X9" i="2"/>
  <c r="W9" i="2"/>
  <c r="V9" i="2"/>
  <c r="U9" i="2"/>
  <c r="S9" i="2"/>
  <c r="R9" i="2"/>
  <c r="Q9" i="2"/>
  <c r="P9" i="2"/>
  <c r="O9" i="2"/>
  <c r="N9" i="2"/>
  <c r="M9" i="2"/>
  <c r="L9" i="2"/>
  <c r="J9" i="2"/>
  <c r="I9" i="2"/>
  <c r="H9" i="2"/>
  <c r="G9" i="2"/>
  <c r="F9" i="2"/>
  <c r="E9" i="2"/>
  <c r="D9" i="2"/>
  <c r="C9" i="2"/>
  <c r="B9" i="2"/>
  <c r="A9" i="2"/>
  <c r="Z8" i="2"/>
  <c r="Y8" i="2"/>
  <c r="X8" i="2"/>
  <c r="W8" i="2"/>
  <c r="V8" i="2"/>
  <c r="U8" i="2"/>
  <c r="S8" i="2"/>
  <c r="R8" i="2"/>
  <c r="Q8" i="2"/>
  <c r="P8" i="2"/>
  <c r="O8" i="2"/>
  <c r="N8" i="2"/>
  <c r="M8" i="2"/>
  <c r="L8" i="2"/>
  <c r="J8" i="2"/>
  <c r="I8" i="2"/>
  <c r="H8" i="2"/>
  <c r="G8" i="2"/>
  <c r="F8" i="2"/>
  <c r="E8" i="2"/>
  <c r="D8" i="2"/>
  <c r="C8" i="2"/>
  <c r="B8" i="2"/>
  <c r="A8" i="2"/>
  <c r="Z7" i="2"/>
  <c r="Y7" i="2"/>
  <c r="X7" i="2"/>
  <c r="W7" i="2"/>
  <c r="V7" i="2"/>
  <c r="U7" i="2"/>
  <c r="S7" i="2"/>
  <c r="R7" i="2"/>
  <c r="Q7" i="2"/>
  <c r="P7" i="2"/>
  <c r="O7" i="2"/>
  <c r="N7" i="2"/>
  <c r="M7" i="2"/>
  <c r="L7" i="2"/>
  <c r="J7" i="2"/>
  <c r="I7" i="2"/>
  <c r="H7" i="2"/>
  <c r="G7" i="2"/>
  <c r="F7" i="2"/>
  <c r="E7" i="2"/>
  <c r="D7" i="2"/>
  <c r="C7" i="2"/>
  <c r="B7" i="2"/>
  <c r="A7" i="2"/>
  <c r="Z6" i="2"/>
  <c r="Y6" i="2"/>
  <c r="X6" i="2"/>
  <c r="W6" i="2"/>
  <c r="V6" i="2"/>
  <c r="U6" i="2"/>
  <c r="S6" i="2"/>
  <c r="R6" i="2"/>
  <c r="Q6" i="2"/>
  <c r="P6" i="2"/>
  <c r="O6" i="2"/>
  <c r="N6" i="2"/>
  <c r="M6" i="2"/>
  <c r="L6" i="2"/>
  <c r="J6" i="2"/>
  <c r="I6" i="2"/>
  <c r="H6" i="2"/>
  <c r="G6" i="2"/>
  <c r="F6" i="2"/>
  <c r="E6" i="2"/>
  <c r="D6" i="2"/>
  <c r="C6" i="2"/>
  <c r="B6" i="2"/>
  <c r="A6" i="2"/>
  <c r="Z5" i="2"/>
  <c r="Y5" i="2"/>
  <c r="X5" i="2"/>
  <c r="W5" i="2"/>
  <c r="V5" i="2"/>
  <c r="U5" i="2"/>
  <c r="S5" i="2"/>
  <c r="R5" i="2"/>
  <c r="Q5" i="2"/>
  <c r="P5" i="2"/>
  <c r="O5" i="2"/>
  <c r="N5" i="2"/>
  <c r="M5" i="2"/>
  <c r="L5" i="2"/>
  <c r="J5" i="2"/>
  <c r="I5" i="2"/>
  <c r="H5" i="2"/>
  <c r="G5" i="2"/>
  <c r="F5" i="2"/>
  <c r="E5" i="2"/>
  <c r="D5" i="2"/>
  <c r="C5" i="2"/>
  <c r="B5" i="2"/>
  <c r="A5" i="2"/>
  <c r="Z4" i="2"/>
  <c r="Y4" i="2"/>
  <c r="X4" i="2"/>
  <c r="W4" i="2"/>
  <c r="V4" i="2"/>
  <c r="U4" i="2"/>
  <c r="S4" i="2"/>
  <c r="R4" i="2"/>
  <c r="Q4" i="2"/>
  <c r="P4" i="2"/>
  <c r="O4" i="2"/>
  <c r="N4" i="2"/>
  <c r="M4" i="2"/>
  <c r="L4" i="2"/>
  <c r="J4" i="2"/>
  <c r="I4" i="2"/>
  <c r="H4" i="2"/>
  <c r="G4" i="2"/>
  <c r="F4" i="2"/>
  <c r="E4" i="2"/>
  <c r="D4" i="2"/>
  <c r="C4" i="2"/>
  <c r="B4" i="2"/>
  <c r="A4" i="2"/>
  <c r="O2" i="2"/>
  <c r="N2" i="2"/>
  <c r="E93" i="1"/>
  <c r="E92" i="1"/>
  <c r="E91" i="1"/>
  <c r="E90" i="1"/>
  <c r="D90" i="1"/>
  <c r="C89" i="1"/>
  <c r="E88" i="1"/>
  <c r="D88" i="1"/>
  <c r="E85" i="1"/>
  <c r="E84" i="1"/>
  <c r="C84" i="1"/>
  <c r="E83" i="1"/>
  <c r="D83" i="1"/>
  <c r="E81" i="1"/>
  <c r="E80" i="1"/>
  <c r="D80" i="1"/>
  <c r="C80" i="1"/>
  <c r="E79" i="1"/>
  <c r="E78" i="1"/>
  <c r="E76" i="1"/>
  <c r="B70" i="1"/>
  <c r="E69" i="1"/>
  <c r="F69" i="1" s="1"/>
  <c r="B69" i="1"/>
  <c r="B68" i="1"/>
  <c r="E68" i="1" s="1"/>
  <c r="F68" i="1" s="1"/>
  <c r="D67" i="1"/>
  <c r="B67" i="1"/>
  <c r="J66" i="1"/>
  <c r="I66" i="1"/>
  <c r="E66" i="1"/>
  <c r="F66" i="1" s="1"/>
  <c r="D66" i="1"/>
  <c r="B66" i="1"/>
  <c r="J65" i="1"/>
  <c r="I65" i="1"/>
  <c r="F65" i="1"/>
  <c r="E65" i="1"/>
  <c r="D65" i="1"/>
  <c r="J64" i="1"/>
  <c r="I64" i="1"/>
  <c r="E64" i="1"/>
  <c r="F64" i="1" s="1"/>
  <c r="D64" i="1"/>
  <c r="B64" i="1"/>
  <c r="J63" i="1"/>
  <c r="I63" i="1"/>
  <c r="F63" i="1"/>
  <c r="E63" i="1"/>
  <c r="D63" i="1"/>
  <c r="B63" i="1"/>
  <c r="J62" i="1"/>
  <c r="I62" i="1"/>
  <c r="E62" i="1"/>
  <c r="F62" i="1" s="1"/>
  <c r="D62" i="1"/>
  <c r="B62" i="1"/>
  <c r="J61" i="1"/>
  <c r="I61" i="1"/>
  <c r="F61" i="1"/>
  <c r="E61" i="1"/>
  <c r="D61" i="1"/>
  <c r="B61" i="1"/>
  <c r="E60" i="1"/>
  <c r="D60" i="1"/>
  <c r="B60" i="1"/>
  <c r="F59" i="1"/>
  <c r="E59" i="1"/>
  <c r="D59" i="1"/>
  <c r="B59" i="1"/>
  <c r="F58" i="1"/>
  <c r="E58" i="1"/>
  <c r="D58" i="1"/>
  <c r="J57" i="1"/>
  <c r="I57" i="1"/>
  <c r="E57" i="1"/>
  <c r="F57" i="1" s="1"/>
  <c r="D57" i="1"/>
  <c r="J56" i="1"/>
  <c r="I56" i="1"/>
  <c r="F56" i="1"/>
  <c r="E56" i="1"/>
  <c r="D56" i="1"/>
  <c r="B56" i="1"/>
  <c r="J55" i="1"/>
  <c r="I55" i="1"/>
  <c r="E55" i="1"/>
  <c r="F55" i="1" s="1"/>
  <c r="D55" i="1"/>
  <c r="E54" i="1"/>
  <c r="F54" i="1" s="1"/>
  <c r="D54" i="1"/>
  <c r="F53" i="1"/>
  <c r="E53" i="1"/>
  <c r="D53" i="1"/>
  <c r="E52" i="1"/>
  <c r="F52" i="1" s="1"/>
  <c r="D52" i="1"/>
  <c r="F51" i="1"/>
  <c r="E51" i="1"/>
  <c r="D51" i="1"/>
  <c r="B51" i="1"/>
  <c r="E50" i="1"/>
  <c r="F50" i="1" s="1"/>
  <c r="D50" i="1"/>
  <c r="F49" i="1"/>
  <c r="E49" i="1"/>
  <c r="D49" i="1"/>
  <c r="E48" i="1"/>
  <c r="D48" i="1"/>
  <c r="B48" i="1"/>
  <c r="I51" i="1" s="1"/>
  <c r="A48" i="1"/>
  <c r="E47" i="1"/>
  <c r="F60" i="1" s="1"/>
  <c r="B47" i="1"/>
  <c r="A47" i="1"/>
  <c r="B46" i="1"/>
  <c r="B45" i="1"/>
  <c r="I50" i="1" s="1"/>
  <c r="J50" i="1" s="1"/>
  <c r="A45" i="1"/>
  <c r="F42" i="1"/>
  <c r="B42" i="1"/>
  <c r="F41" i="1"/>
  <c r="B41" i="1"/>
  <c r="B55" i="1" s="1"/>
  <c r="B39" i="1"/>
  <c r="B38" i="1"/>
  <c r="F37" i="1"/>
  <c r="B37" i="1"/>
  <c r="C37" i="1" s="1"/>
  <c r="A37" i="1"/>
  <c r="I37" i="1" s="1"/>
  <c r="B36" i="1"/>
  <c r="C36" i="1" s="1"/>
  <c r="A36" i="1"/>
  <c r="I36" i="1" s="1"/>
  <c r="I32" i="1"/>
  <c r="I31" i="1"/>
  <c r="P135" i="3" s="1"/>
  <c r="I30" i="1"/>
  <c r="AM12" i="4" s="1"/>
  <c r="I29" i="1"/>
  <c r="E29" i="1"/>
  <c r="D29" i="1"/>
  <c r="C29" i="1"/>
  <c r="B29" i="1"/>
  <c r="I28" i="1"/>
  <c r="E28" i="1"/>
  <c r="D28" i="1"/>
  <c r="C28" i="1"/>
  <c r="B28" i="1"/>
  <c r="I27" i="1"/>
  <c r="E27" i="1"/>
  <c r="D27" i="1"/>
  <c r="C27" i="1"/>
  <c r="B27" i="1"/>
  <c r="I26" i="1"/>
  <c r="E26" i="1"/>
  <c r="D26" i="1"/>
  <c r="C26" i="1"/>
  <c r="B26" i="1"/>
  <c r="I25" i="1"/>
  <c r="F25" i="1"/>
  <c r="E25" i="1"/>
  <c r="D25" i="1"/>
  <c r="A25" i="1"/>
  <c r="I24" i="1"/>
  <c r="F24" i="1"/>
  <c r="E24" i="1"/>
  <c r="D24" i="1"/>
  <c r="B24" i="1"/>
  <c r="C38" i="1" s="1"/>
  <c r="A24" i="1"/>
  <c r="A38" i="1" s="1"/>
  <c r="I38" i="1" s="1"/>
  <c r="I23" i="1"/>
  <c r="AP135" i="3" s="1"/>
  <c r="F23" i="1"/>
  <c r="E23" i="1"/>
  <c r="D23" i="1"/>
  <c r="C23" i="1"/>
  <c r="B23" i="1"/>
  <c r="A23" i="1"/>
  <c r="I22" i="1"/>
  <c r="AM136" i="3" s="1"/>
  <c r="F22" i="1"/>
  <c r="E22" i="1"/>
  <c r="D22" i="1"/>
  <c r="C22" i="1"/>
  <c r="B22" i="1"/>
  <c r="A22" i="1"/>
  <c r="M2" i="2" s="1"/>
  <c r="I21" i="1"/>
  <c r="AL136" i="3" s="1"/>
  <c r="I20" i="1"/>
  <c r="AK136" i="3" s="1"/>
  <c r="I19" i="1"/>
  <c r="AJ136" i="3" s="1"/>
  <c r="I18" i="1"/>
  <c r="AI134" i="3" s="1"/>
  <c r="I17" i="1"/>
  <c r="AH134" i="3" s="1"/>
  <c r="E17" i="1"/>
  <c r="B17" i="1"/>
  <c r="I16" i="1"/>
  <c r="E16" i="1"/>
  <c r="I15" i="1"/>
  <c r="E15" i="1"/>
  <c r="BY4" i="10" s="1"/>
  <c r="F1" i="9"/>
  <c r="E18" i="1"/>
  <c r="C40" i="1" l="1"/>
  <c r="I48" i="1" s="1"/>
  <c r="DE6" i="4"/>
  <c r="DJ6" i="4"/>
  <c r="CZ5" i="4"/>
  <c r="DI10" i="4"/>
  <c r="DI11" i="4"/>
  <c r="C82" i="1"/>
  <c r="DJ5" i="4"/>
  <c r="DF5" i="4"/>
  <c r="DI7" i="4"/>
  <c r="DI14" i="4"/>
  <c r="DF78" i="4"/>
  <c r="DJ78" i="4"/>
  <c r="DJ79" i="4"/>
  <c r="AP7" i="3"/>
  <c r="AP13" i="3"/>
  <c r="AP19" i="3"/>
  <c r="AP37" i="3"/>
  <c r="AP40" i="3"/>
  <c r="AP46" i="3"/>
  <c r="AP49" i="3"/>
  <c r="AP52" i="3"/>
  <c r="AP55" i="3"/>
  <c r="AP64" i="3"/>
  <c r="AP67" i="3"/>
  <c r="AP73" i="3"/>
  <c r="AP79" i="3"/>
  <c r="AP91" i="3"/>
  <c r="AP112" i="3"/>
  <c r="AM6" i="4"/>
  <c r="DJ97" i="4"/>
  <c r="DJ98" i="4"/>
  <c r="BJ25" i="7"/>
  <c r="BJ12" i="7"/>
  <c r="BJ21" i="7"/>
  <c r="BJ10" i="7"/>
  <c r="BJ136" i="7"/>
  <c r="BJ134" i="7"/>
  <c r="BJ132" i="7"/>
  <c r="BJ130" i="7"/>
  <c r="BJ128" i="7"/>
  <c r="BJ126" i="7"/>
  <c r="BJ124" i="7"/>
  <c r="BJ122" i="7"/>
  <c r="BJ120" i="7"/>
  <c r="BJ118" i="7"/>
  <c r="BJ116" i="7"/>
  <c r="BJ114" i="7"/>
  <c r="BJ112" i="7"/>
  <c r="BJ110" i="7"/>
  <c r="BJ108" i="7"/>
  <c r="BJ106" i="7"/>
  <c r="BJ104" i="7"/>
  <c r="BJ102" i="7"/>
  <c r="BJ100" i="7"/>
  <c r="BJ98" i="7"/>
  <c r="BJ96" i="7"/>
  <c r="BJ94" i="7"/>
  <c r="BJ92" i="7"/>
  <c r="BJ90" i="7"/>
  <c r="BJ88" i="7"/>
  <c r="BJ86" i="7"/>
  <c r="BJ84" i="7"/>
  <c r="BJ82" i="7"/>
  <c r="BJ80" i="7"/>
  <c r="BJ78" i="7"/>
  <c r="BJ76" i="7"/>
  <c r="BJ74" i="7"/>
  <c r="BJ72" i="7"/>
  <c r="BJ70" i="7"/>
  <c r="BJ68" i="7"/>
  <c r="BJ66" i="7"/>
  <c r="BJ64" i="7"/>
  <c r="BJ62" i="7"/>
  <c r="BJ60" i="7"/>
  <c r="BJ58" i="7"/>
  <c r="BJ56" i="7"/>
  <c r="BJ54" i="7"/>
  <c r="BJ52" i="7"/>
  <c r="BJ50" i="7"/>
  <c r="BJ48" i="7"/>
  <c r="BJ46" i="7"/>
  <c r="BJ44" i="7"/>
  <c r="BJ42" i="7"/>
  <c r="BJ40" i="7"/>
  <c r="BJ38" i="7"/>
  <c r="BJ36" i="7"/>
  <c r="BJ34" i="7"/>
  <c r="BJ32" i="7"/>
  <c r="BJ30" i="7"/>
  <c r="BJ28" i="7"/>
  <c r="BJ19" i="7"/>
  <c r="BJ8" i="7"/>
  <c r="BJ26" i="7"/>
  <c r="BJ17" i="7"/>
  <c r="BJ15" i="7"/>
  <c r="BJ13" i="7"/>
  <c r="BJ6" i="7"/>
  <c r="BJ24" i="7"/>
  <c r="BJ22" i="7"/>
  <c r="BJ11" i="7"/>
  <c r="BJ4" i="7"/>
  <c r="BJ14" i="7"/>
  <c r="BJ5" i="7"/>
  <c r="BJ135" i="7"/>
  <c r="BJ133" i="7"/>
  <c r="BJ131" i="7"/>
  <c r="BJ129" i="7"/>
  <c r="BJ127" i="7"/>
  <c r="BJ125" i="7"/>
  <c r="BJ123" i="7"/>
  <c r="BJ121" i="7"/>
  <c r="BJ119" i="7"/>
  <c r="BJ117" i="7"/>
  <c r="BJ115" i="7"/>
  <c r="BJ113" i="7"/>
  <c r="BJ111" i="7"/>
  <c r="BJ109" i="7"/>
  <c r="BJ107" i="7"/>
  <c r="BJ105" i="7"/>
  <c r="BJ103" i="7"/>
  <c r="BJ101" i="7"/>
  <c r="BJ99" i="7"/>
  <c r="BJ97" i="7"/>
  <c r="BJ95" i="7"/>
  <c r="BJ93" i="7"/>
  <c r="BJ91" i="7"/>
  <c r="BJ89" i="7"/>
  <c r="BJ87" i="7"/>
  <c r="BJ85" i="7"/>
  <c r="BJ83" i="7"/>
  <c r="BJ81" i="7"/>
  <c r="BJ79" i="7"/>
  <c r="BJ77" i="7"/>
  <c r="BJ75" i="7"/>
  <c r="BJ73" i="7"/>
  <c r="BJ71" i="7"/>
  <c r="BJ69" i="7"/>
  <c r="BJ67" i="7"/>
  <c r="BJ65" i="7"/>
  <c r="BJ63" i="7"/>
  <c r="BJ61" i="7"/>
  <c r="BJ59" i="7"/>
  <c r="BJ57" i="7"/>
  <c r="BJ55" i="7"/>
  <c r="BJ53" i="7"/>
  <c r="BJ51" i="7"/>
  <c r="BJ49" i="7"/>
  <c r="BJ47" i="7"/>
  <c r="BJ45" i="7"/>
  <c r="BJ43" i="7"/>
  <c r="BJ41" i="7"/>
  <c r="BJ37" i="7"/>
  <c r="BJ31" i="7"/>
  <c r="BJ23" i="7"/>
  <c r="BJ16" i="7"/>
  <c r="BJ39" i="7"/>
  <c r="BJ33" i="7"/>
  <c r="BJ9" i="7"/>
  <c r="BJ27" i="7"/>
  <c r="BJ7" i="7"/>
  <c r="BJ20" i="7"/>
  <c r="BJ18" i="7"/>
  <c r="BJ35" i="7"/>
  <c r="BJ29" i="7"/>
  <c r="DC19" i="7"/>
  <c r="DC116" i="7"/>
  <c r="DC92" i="7"/>
  <c r="DC68" i="7"/>
  <c r="DC44" i="7"/>
  <c r="DC133" i="7"/>
  <c r="DC109" i="7"/>
  <c r="DC85" i="7"/>
  <c r="DC61" i="7"/>
  <c r="DC37" i="7"/>
  <c r="DC36" i="7"/>
  <c r="DC5" i="7"/>
  <c r="AP10" i="3"/>
  <c r="AP25" i="3"/>
  <c r="AP31" i="3"/>
  <c r="AP34" i="3"/>
  <c r="AP43" i="3"/>
  <c r="AP88" i="3"/>
  <c r="AP106" i="3"/>
  <c r="AP118" i="3"/>
  <c r="DJ11" i="4"/>
  <c r="AO26" i="4"/>
  <c r="BN136" i="7"/>
  <c r="BN134" i="7"/>
  <c r="BN132" i="7"/>
  <c r="BN130" i="7"/>
  <c r="BN128" i="7"/>
  <c r="BN126" i="7"/>
  <c r="BN124" i="7"/>
  <c r="BN122" i="7"/>
  <c r="BN120" i="7"/>
  <c r="BN118" i="7"/>
  <c r="BN116" i="7"/>
  <c r="BN114" i="7"/>
  <c r="BN112" i="7"/>
  <c r="BN110" i="7"/>
  <c r="BN108" i="7"/>
  <c r="BN106" i="7"/>
  <c r="BN104" i="7"/>
  <c r="BN102" i="7"/>
  <c r="BN100" i="7"/>
  <c r="BN98" i="7"/>
  <c r="BN96" i="7"/>
  <c r="BN94" i="7"/>
  <c r="BN92" i="7"/>
  <c r="BN90" i="7"/>
  <c r="BN88" i="7"/>
  <c r="BN86" i="7"/>
  <c r="BN84" i="7"/>
  <c r="BN82" i="7"/>
  <c r="BN80" i="7"/>
  <c r="BN78" i="7"/>
  <c r="BN76" i="7"/>
  <c r="BN74" i="7"/>
  <c r="BN72" i="7"/>
  <c r="BN70" i="7"/>
  <c r="BN68" i="7"/>
  <c r="BN66" i="7"/>
  <c r="BN64" i="7"/>
  <c r="BN62" i="7"/>
  <c r="BN60" i="7"/>
  <c r="BN58" i="7"/>
  <c r="BN56" i="7"/>
  <c r="BN54" i="7"/>
  <c r="BN52" i="7"/>
  <c r="BN50" i="7"/>
  <c r="BN48" i="7"/>
  <c r="BN46" i="7"/>
  <c r="BN44" i="7"/>
  <c r="BN42" i="7"/>
  <c r="BN40" i="7"/>
  <c r="BN38" i="7"/>
  <c r="BN36" i="7"/>
  <c r="BN34" i="7"/>
  <c r="BN32" i="7"/>
  <c r="BN30" i="7"/>
  <c r="BN28" i="7"/>
  <c r="BN19" i="7"/>
  <c r="BN6" i="7"/>
  <c r="BN20" i="7"/>
  <c r="BN9" i="7"/>
  <c r="BN135" i="7"/>
  <c r="BN133" i="7"/>
  <c r="BN131" i="7"/>
  <c r="BN129" i="7"/>
  <c r="BN127" i="7"/>
  <c r="BN125" i="7"/>
  <c r="BN123" i="7"/>
  <c r="BN121" i="7"/>
  <c r="BN119" i="7"/>
  <c r="BN117" i="7"/>
  <c r="BN115" i="7"/>
  <c r="BN113" i="7"/>
  <c r="BN111" i="7"/>
  <c r="BN109" i="7"/>
  <c r="BN107" i="7"/>
  <c r="BN105" i="7"/>
  <c r="BN103" i="7"/>
  <c r="BN101" i="7"/>
  <c r="BN99" i="7"/>
  <c r="BN97" i="7"/>
  <c r="BN95" i="7"/>
  <c r="BN93" i="7"/>
  <c r="BN91" i="7"/>
  <c r="BN89" i="7"/>
  <c r="BN87" i="7"/>
  <c r="BN85" i="7"/>
  <c r="BN83" i="7"/>
  <c r="BN81" i="7"/>
  <c r="BN79" i="7"/>
  <c r="BN77" i="7"/>
  <c r="BN75" i="7"/>
  <c r="BN73" i="7"/>
  <c r="BN71" i="7"/>
  <c r="BN69" i="7"/>
  <c r="BN67" i="7"/>
  <c r="BN65" i="7"/>
  <c r="BN63" i="7"/>
  <c r="BN61" i="7"/>
  <c r="BN59" i="7"/>
  <c r="BN57" i="7"/>
  <c r="BN55" i="7"/>
  <c r="BN53" i="7"/>
  <c r="BN51" i="7"/>
  <c r="BN49" i="7"/>
  <c r="BN47" i="7"/>
  <c r="BN45" i="7"/>
  <c r="BN43" i="7"/>
  <c r="BN41" i="7"/>
  <c r="BN39" i="7"/>
  <c r="BN37" i="7"/>
  <c r="BN35" i="7"/>
  <c r="BN33" i="7"/>
  <c r="BN31" i="7"/>
  <c r="BN29" i="7"/>
  <c r="BN27" i="7"/>
  <c r="BN18" i="7"/>
  <c r="BN16" i="7"/>
  <c r="BN14" i="7"/>
  <c r="BN7" i="7"/>
  <c r="BN25" i="7"/>
  <c r="BN12" i="7"/>
  <c r="BN17" i="7"/>
  <c r="BN26" i="7"/>
  <c r="BN24" i="7"/>
  <c r="BN23" i="7"/>
  <c r="BN13" i="7"/>
  <c r="BN11" i="7"/>
  <c r="BN10" i="7"/>
  <c r="BN15" i="7"/>
  <c r="BN5" i="7"/>
  <c r="BN4" i="7"/>
  <c r="BN21" i="7"/>
  <c r="BN8" i="7"/>
  <c r="BN22" i="7"/>
  <c r="BQ24" i="7"/>
  <c r="BQ22" i="7"/>
  <c r="BQ11" i="7"/>
  <c r="BQ20" i="7"/>
  <c r="BQ9" i="7"/>
  <c r="BQ135" i="7"/>
  <c r="BQ133" i="7"/>
  <c r="BQ131" i="7"/>
  <c r="BQ129" i="7"/>
  <c r="BQ127" i="7"/>
  <c r="BQ125" i="7"/>
  <c r="BQ123" i="7"/>
  <c r="BQ121" i="7"/>
  <c r="BQ119" i="7"/>
  <c r="BQ117" i="7"/>
  <c r="BQ115" i="7"/>
  <c r="BQ113" i="7"/>
  <c r="BQ111" i="7"/>
  <c r="BQ109" i="7"/>
  <c r="BQ107" i="7"/>
  <c r="BQ105" i="7"/>
  <c r="BQ103" i="7"/>
  <c r="BQ101" i="7"/>
  <c r="BQ99" i="7"/>
  <c r="BQ97" i="7"/>
  <c r="BQ95" i="7"/>
  <c r="BQ93" i="7"/>
  <c r="BQ91" i="7"/>
  <c r="BQ89" i="7"/>
  <c r="BQ87" i="7"/>
  <c r="BQ85" i="7"/>
  <c r="BQ83" i="7"/>
  <c r="BQ81" i="7"/>
  <c r="BQ79" i="7"/>
  <c r="BQ77" i="7"/>
  <c r="BQ75" i="7"/>
  <c r="BQ73" i="7"/>
  <c r="BQ71" i="7"/>
  <c r="BQ69" i="7"/>
  <c r="BQ67" i="7"/>
  <c r="BQ65" i="7"/>
  <c r="BQ63" i="7"/>
  <c r="BQ61" i="7"/>
  <c r="BQ59" i="7"/>
  <c r="BQ57" i="7"/>
  <c r="BQ55" i="7"/>
  <c r="BQ53" i="7"/>
  <c r="BQ51" i="7"/>
  <c r="BQ49" i="7"/>
  <c r="BQ47" i="7"/>
  <c r="BQ45" i="7"/>
  <c r="BQ43" i="7"/>
  <c r="BQ41" i="7"/>
  <c r="BQ18" i="7"/>
  <c r="BQ16" i="7"/>
  <c r="BQ14" i="7"/>
  <c r="BQ7" i="7"/>
  <c r="BQ25" i="7"/>
  <c r="BQ12" i="7"/>
  <c r="BQ23" i="7"/>
  <c r="BQ5" i="7"/>
  <c r="BQ21" i="7"/>
  <c r="BQ10" i="7"/>
  <c r="BQ136" i="7"/>
  <c r="BQ134" i="7"/>
  <c r="BQ132" i="7"/>
  <c r="BQ130" i="7"/>
  <c r="BQ128" i="7"/>
  <c r="BQ126" i="7"/>
  <c r="BQ124" i="7"/>
  <c r="BQ122" i="7"/>
  <c r="BQ120" i="7"/>
  <c r="BQ118" i="7"/>
  <c r="BQ116" i="7"/>
  <c r="BQ114" i="7"/>
  <c r="BQ112" i="7"/>
  <c r="BQ110" i="7"/>
  <c r="BQ108" i="7"/>
  <c r="BQ106" i="7"/>
  <c r="BQ104" i="7"/>
  <c r="BQ102" i="7"/>
  <c r="BQ100" i="7"/>
  <c r="BQ98" i="7"/>
  <c r="BQ96" i="7"/>
  <c r="BQ94" i="7"/>
  <c r="BQ92" i="7"/>
  <c r="BQ90" i="7"/>
  <c r="BQ88" i="7"/>
  <c r="BQ86" i="7"/>
  <c r="BQ84" i="7"/>
  <c r="BQ82" i="7"/>
  <c r="BQ80" i="7"/>
  <c r="BQ78" i="7"/>
  <c r="BQ76" i="7"/>
  <c r="BQ74" i="7"/>
  <c r="BQ72" i="7"/>
  <c r="BQ70" i="7"/>
  <c r="BQ68" i="7"/>
  <c r="BQ66" i="7"/>
  <c r="BQ64" i="7"/>
  <c r="BQ62" i="7"/>
  <c r="BQ60" i="7"/>
  <c r="BQ58" i="7"/>
  <c r="BQ56" i="7"/>
  <c r="BQ54" i="7"/>
  <c r="BQ52" i="7"/>
  <c r="BQ50" i="7"/>
  <c r="BQ48" i="7"/>
  <c r="BQ46" i="7"/>
  <c r="BQ44" i="7"/>
  <c r="BQ42" i="7"/>
  <c r="BQ40" i="7"/>
  <c r="BQ38" i="7"/>
  <c r="BQ36" i="7"/>
  <c r="BQ34" i="7"/>
  <c r="BQ32" i="7"/>
  <c r="BQ30" i="7"/>
  <c r="BQ28" i="7"/>
  <c r="BQ37" i="7"/>
  <c r="BQ31" i="7"/>
  <c r="BQ6" i="7"/>
  <c r="BQ13" i="7"/>
  <c r="BQ39" i="7"/>
  <c r="BQ33" i="7"/>
  <c r="BQ27" i="7"/>
  <c r="BQ15" i="7"/>
  <c r="BQ8" i="7"/>
  <c r="BQ4" i="7"/>
  <c r="BQ35" i="7"/>
  <c r="BQ29" i="7"/>
  <c r="BQ19" i="7"/>
  <c r="BQ26" i="7"/>
  <c r="BQ17" i="7"/>
  <c r="AJ135" i="10"/>
  <c r="AF134" i="10"/>
  <c r="AJ132" i="10"/>
  <c r="AF131" i="10"/>
  <c r="AJ129" i="10"/>
  <c r="AF128" i="10"/>
  <c r="AJ126" i="10"/>
  <c r="AF125" i="10"/>
  <c r="AJ123" i="10"/>
  <c r="AF122" i="10"/>
  <c r="AJ120" i="10"/>
  <c r="AF119" i="10"/>
  <c r="AJ117" i="10"/>
  <c r="AF116" i="10"/>
  <c r="AJ114" i="10"/>
  <c r="AF113" i="10"/>
  <c r="AJ111" i="10"/>
  <c r="AF110" i="10"/>
  <c r="AJ108" i="10"/>
  <c r="AF107" i="10"/>
  <c r="AJ105" i="10"/>
  <c r="AF104" i="10"/>
  <c r="AJ102" i="10"/>
  <c r="AF101" i="10"/>
  <c r="AJ99" i="10"/>
  <c r="AF98" i="10"/>
  <c r="AJ96" i="10"/>
  <c r="AF95" i="10"/>
  <c r="AJ93" i="10"/>
  <c r="AF92" i="10"/>
  <c r="AJ90" i="10"/>
  <c r="AF89" i="10"/>
  <c r="AJ87" i="10"/>
  <c r="AF86" i="10"/>
  <c r="AJ84" i="10"/>
  <c r="AF83" i="10"/>
  <c r="AJ81" i="10"/>
  <c r="AF80" i="10"/>
  <c r="AJ78" i="10"/>
  <c r="AF77" i="10"/>
  <c r="AJ75" i="10"/>
  <c r="AF74" i="10"/>
  <c r="AJ72" i="10"/>
  <c r="AF71" i="10"/>
  <c r="AJ69" i="10"/>
  <c r="AF68" i="10"/>
  <c r="AJ66" i="10"/>
  <c r="AI135" i="10"/>
  <c r="AI132" i="10"/>
  <c r="AI129" i="10"/>
  <c r="AI126" i="10"/>
  <c r="AI123" i="10"/>
  <c r="AI120" i="10"/>
  <c r="AI117" i="10"/>
  <c r="AI114" i="10"/>
  <c r="AI111" i="10"/>
  <c r="AI108" i="10"/>
  <c r="AI105" i="10"/>
  <c r="AI102" i="10"/>
  <c r="AI99" i="10"/>
  <c r="AI96" i="10"/>
  <c r="AI93" i="10"/>
  <c r="AI90" i="10"/>
  <c r="AI87" i="10"/>
  <c r="AI84" i="10"/>
  <c r="AI81" i="10"/>
  <c r="AI78" i="10"/>
  <c r="AI75" i="10"/>
  <c r="AH135" i="10"/>
  <c r="AH132" i="10"/>
  <c r="AH129" i="10"/>
  <c r="AH126" i="10"/>
  <c r="AH123" i="10"/>
  <c r="AH120" i="10"/>
  <c r="AH117" i="10"/>
  <c r="AH114" i="10"/>
  <c r="AH111" i="10"/>
  <c r="AH108" i="10"/>
  <c r="AH105" i="10"/>
  <c r="AH102" i="10"/>
  <c r="AH99" i="10"/>
  <c r="AH96" i="10"/>
  <c r="AH93" i="10"/>
  <c r="AH90" i="10"/>
  <c r="AH87" i="10"/>
  <c r="AH84" i="10"/>
  <c r="AH81" i="10"/>
  <c r="AH78" i="10"/>
  <c r="AH75" i="10"/>
  <c r="AK136" i="10"/>
  <c r="AG135" i="10"/>
  <c r="AK133" i="10"/>
  <c r="AG132" i="10"/>
  <c r="AK130" i="10"/>
  <c r="AG129" i="10"/>
  <c r="AK127" i="10"/>
  <c r="AG126" i="10"/>
  <c r="AK124" i="10"/>
  <c r="AG123" i="10"/>
  <c r="AK121" i="10"/>
  <c r="AG120" i="10"/>
  <c r="AK118" i="10"/>
  <c r="AG117" i="10"/>
  <c r="AK115" i="10"/>
  <c r="AG114" i="10"/>
  <c r="AK112" i="10"/>
  <c r="AG111" i="10"/>
  <c r="AK109" i="10"/>
  <c r="AG108" i="10"/>
  <c r="AK106" i="10"/>
  <c r="AG105" i="10"/>
  <c r="AK103" i="10"/>
  <c r="AG102" i="10"/>
  <c r="AK100" i="10"/>
  <c r="AG99" i="10"/>
  <c r="AK97" i="10"/>
  <c r="AG96" i="10"/>
  <c r="AK94" i="10"/>
  <c r="AG93" i="10"/>
  <c r="AK91" i="10"/>
  <c r="AG90" i="10"/>
  <c r="AK88" i="10"/>
  <c r="AG87" i="10"/>
  <c r="AK85" i="10"/>
  <c r="AG84" i="10"/>
  <c r="AK82" i="10"/>
  <c r="AG81" i="10"/>
  <c r="AK79" i="10"/>
  <c r="AG78" i="10"/>
  <c r="AK76" i="10"/>
  <c r="AG75" i="10"/>
  <c r="AK73" i="10"/>
  <c r="AG72" i="10"/>
  <c r="AJ136" i="10"/>
  <c r="AF135" i="10"/>
  <c r="AJ133" i="10"/>
  <c r="AF132" i="10"/>
  <c r="AJ130" i="10"/>
  <c r="AF129" i="10"/>
  <c r="AJ127" i="10"/>
  <c r="AF126" i="10"/>
  <c r="AJ124" i="10"/>
  <c r="AF123" i="10"/>
  <c r="AJ121" i="10"/>
  <c r="AF120" i="10"/>
  <c r="AJ118" i="10"/>
  <c r="AF117" i="10"/>
  <c r="AJ115" i="10"/>
  <c r="AF114" i="10"/>
  <c r="AJ112" i="10"/>
  <c r="AF111" i="10"/>
  <c r="AJ109" i="10"/>
  <c r="AF108" i="10"/>
  <c r="AJ106" i="10"/>
  <c r="AF105" i="10"/>
  <c r="AJ103" i="10"/>
  <c r="AF102" i="10"/>
  <c r="AJ100" i="10"/>
  <c r="AF99" i="10"/>
  <c r="AJ97" i="10"/>
  <c r="AF96" i="10"/>
  <c r="AJ94" i="10"/>
  <c r="AF93" i="10"/>
  <c r="AJ91" i="10"/>
  <c r="AF90" i="10"/>
  <c r="AJ88" i="10"/>
  <c r="AF87" i="10"/>
  <c r="AJ85" i="10"/>
  <c r="AF84" i="10"/>
  <c r="AJ82" i="10"/>
  <c r="AF81" i="10"/>
  <c r="AJ79" i="10"/>
  <c r="AF78" i="10"/>
  <c r="AJ76" i="10"/>
  <c r="AF75" i="10"/>
  <c r="AJ73" i="10"/>
  <c r="AF72" i="10"/>
  <c r="AJ70" i="10"/>
  <c r="AF69" i="10"/>
  <c r="AI136" i="10"/>
  <c r="AI133" i="10"/>
  <c r="AI130" i="10"/>
  <c r="AI127" i="10"/>
  <c r="AI124" i="10"/>
  <c r="AI121" i="10"/>
  <c r="AI118" i="10"/>
  <c r="AI115" i="10"/>
  <c r="AI112" i="10"/>
  <c r="AI109" i="10"/>
  <c r="AI106" i="10"/>
  <c r="AI103" i="10"/>
  <c r="AI100" i="10"/>
  <c r="AI97" i="10"/>
  <c r="AI94" i="10"/>
  <c r="AI91" i="10"/>
  <c r="AI88" i="10"/>
  <c r="AI85" i="10"/>
  <c r="AI82" i="10"/>
  <c r="AI79" i="10"/>
  <c r="AI76" i="10"/>
  <c r="AI73" i="10"/>
  <c r="AI70" i="10"/>
  <c r="AI67" i="10"/>
  <c r="AI64" i="10"/>
  <c r="AI61" i="10"/>
  <c r="AI58" i="10"/>
  <c r="AI55" i="10"/>
  <c r="AI52" i="10"/>
  <c r="AI49" i="10"/>
  <c r="AI46" i="10"/>
  <c r="AI43" i="10"/>
  <c r="AI40" i="10"/>
  <c r="AI37" i="10"/>
  <c r="AI34" i="10"/>
  <c r="AI31" i="10"/>
  <c r="AI28" i="10"/>
  <c r="AI25" i="10"/>
  <c r="AI22" i="10"/>
  <c r="AI19" i="10"/>
  <c r="AI16" i="10"/>
  <c r="AI13" i="10"/>
  <c r="AI10" i="10"/>
  <c r="AI7" i="10"/>
  <c r="AI4" i="10"/>
  <c r="AH136" i="10"/>
  <c r="AH133" i="10"/>
  <c r="AH130" i="10"/>
  <c r="AH127" i="10"/>
  <c r="AH124" i="10"/>
  <c r="AH121" i="10"/>
  <c r="AH118" i="10"/>
  <c r="AH115" i="10"/>
  <c r="AH112" i="10"/>
  <c r="AH109" i="10"/>
  <c r="AH106" i="10"/>
  <c r="AH103" i="10"/>
  <c r="AH100" i="10"/>
  <c r="AH97" i="10"/>
  <c r="AH94" i="10"/>
  <c r="AH91" i="10"/>
  <c r="AH88" i="10"/>
  <c r="AH85" i="10"/>
  <c r="AH82" i="10"/>
  <c r="AH79" i="10"/>
  <c r="AH76" i="10"/>
  <c r="AH73" i="10"/>
  <c r="AH70" i="10"/>
  <c r="AH67" i="10"/>
  <c r="AH64" i="10"/>
  <c r="AH61" i="10"/>
  <c r="AH58" i="10"/>
  <c r="AH55" i="10"/>
  <c r="AH52" i="10"/>
  <c r="AH49" i="10"/>
  <c r="AH46" i="10"/>
  <c r="AH43" i="10"/>
  <c r="AH40" i="10"/>
  <c r="AH37" i="10"/>
  <c r="AH34" i="10"/>
  <c r="AH31" i="10"/>
  <c r="AH28" i="10"/>
  <c r="AH25" i="10"/>
  <c r="AH22" i="10"/>
  <c r="AH19" i="10"/>
  <c r="AH16" i="10"/>
  <c r="AH13" i="10"/>
  <c r="AH10" i="10"/>
  <c r="AH7" i="10"/>
  <c r="AH4" i="10"/>
  <c r="AF136" i="10"/>
  <c r="AJ134" i="10"/>
  <c r="AF133" i="10"/>
  <c r="AJ131" i="10"/>
  <c r="AF130" i="10"/>
  <c r="AJ128" i="10"/>
  <c r="AF127" i="10"/>
  <c r="AJ125" i="10"/>
  <c r="AF124" i="10"/>
  <c r="AJ122" i="10"/>
  <c r="AF121" i="10"/>
  <c r="AJ119" i="10"/>
  <c r="AF118" i="10"/>
  <c r="AJ116" i="10"/>
  <c r="AF115" i="10"/>
  <c r="AJ113" i="10"/>
  <c r="AF112" i="10"/>
  <c r="AJ110" i="10"/>
  <c r="AF109" i="10"/>
  <c r="AJ107" i="10"/>
  <c r="AF106" i="10"/>
  <c r="AJ104" i="10"/>
  <c r="AF103" i="10"/>
  <c r="AJ101" i="10"/>
  <c r="AF100" i="10"/>
  <c r="AJ98" i="10"/>
  <c r="AF97" i="10"/>
  <c r="AJ95" i="10"/>
  <c r="AF94" i="10"/>
  <c r="AJ92" i="10"/>
  <c r="AF91" i="10"/>
  <c r="AJ89" i="10"/>
  <c r="AF88" i="10"/>
  <c r="AJ86" i="10"/>
  <c r="AF85" i="10"/>
  <c r="AJ83" i="10"/>
  <c r="AF82" i="10"/>
  <c r="AJ80" i="10"/>
  <c r="AF79" i="10"/>
  <c r="AJ77" i="10"/>
  <c r="AF76" i="10"/>
  <c r="AJ74" i="10"/>
  <c r="AF73" i="10"/>
  <c r="AJ71" i="10"/>
  <c r="AF70" i="10"/>
  <c r="AJ68" i="10"/>
  <c r="AF67" i="10"/>
  <c r="AJ65" i="10"/>
  <c r="AF64" i="10"/>
  <c r="AI134" i="10"/>
  <c r="AI131" i="10"/>
  <c r="AI128" i="10"/>
  <c r="AI125" i="10"/>
  <c r="AI122" i="10"/>
  <c r="AI119" i="10"/>
  <c r="AI116" i="10"/>
  <c r="AI113" i="10"/>
  <c r="AI110" i="10"/>
  <c r="AI107" i="10"/>
  <c r="AI104" i="10"/>
  <c r="AI101" i="10"/>
  <c r="AI98" i="10"/>
  <c r="AI95" i="10"/>
  <c r="AI92" i="10"/>
  <c r="AI89" i="10"/>
  <c r="AI86" i="10"/>
  <c r="AI83" i="10"/>
  <c r="AI80" i="10"/>
  <c r="AI77" i="10"/>
  <c r="AI74" i="10"/>
  <c r="AH134" i="10"/>
  <c r="AH131" i="10"/>
  <c r="AH128" i="10"/>
  <c r="AH125" i="10"/>
  <c r="AH122" i="10"/>
  <c r="AH119" i="10"/>
  <c r="AH116" i="10"/>
  <c r="AH113" i="10"/>
  <c r="AH110" i="10"/>
  <c r="AH107" i="10"/>
  <c r="AH104" i="10"/>
  <c r="AH101" i="10"/>
  <c r="AH98" i="10"/>
  <c r="AH95" i="10"/>
  <c r="AH92" i="10"/>
  <c r="AH89" i="10"/>
  <c r="AH86" i="10"/>
  <c r="AH83" i="10"/>
  <c r="AH80" i="10"/>
  <c r="AH77" i="10"/>
  <c r="AH74" i="10"/>
  <c r="AG136" i="10"/>
  <c r="AK125" i="10"/>
  <c r="AG118" i="10"/>
  <c r="AK107" i="10"/>
  <c r="AG100" i="10"/>
  <c r="AK89" i="10"/>
  <c r="AG82" i="10"/>
  <c r="AK69" i="10"/>
  <c r="AK67" i="10"/>
  <c r="AK65" i="10"/>
  <c r="AK63" i="10"/>
  <c r="AG62" i="10"/>
  <c r="AI60" i="10"/>
  <c r="AG57" i="10"/>
  <c r="AK55" i="10"/>
  <c r="AG52" i="10"/>
  <c r="AK132" i="10"/>
  <c r="AG125" i="10"/>
  <c r="AK114" i="10"/>
  <c r="AG107" i="10"/>
  <c r="AK96" i="10"/>
  <c r="AG89" i="10"/>
  <c r="AK78" i="10"/>
  <c r="AI69" i="10"/>
  <c r="AJ67" i="10"/>
  <c r="AI65" i="10"/>
  <c r="AJ63" i="10"/>
  <c r="AF62" i="10"/>
  <c r="AH60" i="10"/>
  <c r="AF57" i="10"/>
  <c r="AJ55" i="10"/>
  <c r="AF52" i="10"/>
  <c r="AJ50" i="10"/>
  <c r="AH47" i="10"/>
  <c r="AJ45" i="10"/>
  <c r="AF44" i="10"/>
  <c r="AH42" i="10"/>
  <c r="AK128" i="10"/>
  <c r="AG121" i="10"/>
  <c r="AK110" i="10"/>
  <c r="AG103" i="10"/>
  <c r="AK92" i="10"/>
  <c r="AG85" i="10"/>
  <c r="AK74" i="10"/>
  <c r="AK71" i="10"/>
  <c r="AH69" i="10"/>
  <c r="AG67" i="10"/>
  <c r="AH65" i="10"/>
  <c r="AI63" i="10"/>
  <c r="AG60" i="10"/>
  <c r="AK58" i="10"/>
  <c r="AG55" i="10"/>
  <c r="AK53" i="10"/>
  <c r="AI50" i="10"/>
  <c r="AK48" i="10"/>
  <c r="AG47" i="10"/>
  <c r="AI45" i="10"/>
  <c r="AG42" i="10"/>
  <c r="AK40" i="10"/>
  <c r="AG37" i="10"/>
  <c r="AK35" i="10"/>
  <c r="AI32" i="10"/>
  <c r="AK30" i="10"/>
  <c r="AG29" i="10"/>
  <c r="AI27" i="10"/>
  <c r="AG24" i="10"/>
  <c r="AK22" i="10"/>
  <c r="AG19" i="10"/>
  <c r="AK17" i="10"/>
  <c r="AI14" i="10"/>
  <c r="AK12" i="10"/>
  <c r="AG11" i="10"/>
  <c r="AI9" i="10"/>
  <c r="AK135" i="10"/>
  <c r="AG128" i="10"/>
  <c r="AK117" i="10"/>
  <c r="AG110" i="10"/>
  <c r="AK99" i="10"/>
  <c r="AG92" i="10"/>
  <c r="AK81" i="10"/>
  <c r="AG74" i="10"/>
  <c r="AI71" i="10"/>
  <c r="AG69" i="10"/>
  <c r="AG65" i="10"/>
  <c r="AH63" i="10"/>
  <c r="AF60" i="10"/>
  <c r="AJ58" i="10"/>
  <c r="AF55" i="10"/>
  <c r="AJ53" i="10"/>
  <c r="AH50" i="10"/>
  <c r="AJ48" i="10"/>
  <c r="AF47" i="10"/>
  <c r="AH45" i="10"/>
  <c r="AF42" i="10"/>
  <c r="AJ40" i="10"/>
  <c r="AF37" i="10"/>
  <c r="AJ35" i="10"/>
  <c r="AH32" i="10"/>
  <c r="AJ30" i="10"/>
  <c r="AF29" i="10"/>
  <c r="AH27" i="10"/>
  <c r="AF24" i="10"/>
  <c r="AJ22" i="10"/>
  <c r="AF19" i="10"/>
  <c r="AJ17" i="10"/>
  <c r="AH14" i="10"/>
  <c r="AJ12" i="10"/>
  <c r="AF11" i="10"/>
  <c r="AH9" i="10"/>
  <c r="AF6" i="10"/>
  <c r="AJ4" i="10"/>
  <c r="AK131" i="10"/>
  <c r="AG124" i="10"/>
  <c r="AK113" i="10"/>
  <c r="AG106" i="10"/>
  <c r="AK95" i="10"/>
  <c r="AG88" i="10"/>
  <c r="AK77" i="10"/>
  <c r="AH71" i="10"/>
  <c r="AF65" i="10"/>
  <c r="AG63" i="10"/>
  <c r="AK61" i="10"/>
  <c r="AG58" i="10"/>
  <c r="AK56" i="10"/>
  <c r="AI53" i="10"/>
  <c r="AK51" i="10"/>
  <c r="AG50" i="10"/>
  <c r="AI48" i="10"/>
  <c r="AG45" i="10"/>
  <c r="AG131" i="10"/>
  <c r="AK120" i="10"/>
  <c r="AG113" i="10"/>
  <c r="AK102" i="10"/>
  <c r="AG95" i="10"/>
  <c r="AK84" i="10"/>
  <c r="AG77" i="10"/>
  <c r="AG71" i="10"/>
  <c r="AK66" i="10"/>
  <c r="AF63" i="10"/>
  <c r="AJ61" i="10"/>
  <c r="AF58" i="10"/>
  <c r="AJ56" i="10"/>
  <c r="AH53" i="10"/>
  <c r="AJ51" i="10"/>
  <c r="AF50" i="10"/>
  <c r="AH48" i="10"/>
  <c r="AF45" i="10"/>
  <c r="AJ43" i="10"/>
  <c r="AF40" i="10"/>
  <c r="AJ38" i="10"/>
  <c r="AH35" i="10"/>
  <c r="AJ33" i="10"/>
  <c r="AF32" i="10"/>
  <c r="AH30" i="10"/>
  <c r="AF27" i="10"/>
  <c r="AG130" i="10"/>
  <c r="AK119" i="10"/>
  <c r="AG112" i="10"/>
  <c r="AK101" i="10"/>
  <c r="AG94" i="10"/>
  <c r="AK83" i="10"/>
  <c r="AG76" i="10"/>
  <c r="AK70" i="10"/>
  <c r="AH68" i="10"/>
  <c r="AG66" i="10"/>
  <c r="AJ64" i="10"/>
  <c r="AK62" i="10"/>
  <c r="AI59" i="10"/>
  <c r="AK57" i="10"/>
  <c r="AG56" i="10"/>
  <c r="AI54" i="10"/>
  <c r="AK126" i="10"/>
  <c r="AG119" i="10"/>
  <c r="AK108" i="10"/>
  <c r="AG101" i="10"/>
  <c r="AK90" i="10"/>
  <c r="AG83" i="10"/>
  <c r="AK72" i="10"/>
  <c r="AG70" i="10"/>
  <c r="AG68" i="10"/>
  <c r="AF66" i="10"/>
  <c r="AG64" i="10"/>
  <c r="AJ62" i="10"/>
  <c r="AH59" i="10"/>
  <c r="AJ57" i="10"/>
  <c r="AF56" i="10"/>
  <c r="AH54" i="10"/>
  <c r="AF51" i="10"/>
  <c r="AJ49" i="10"/>
  <c r="AF46" i="10"/>
  <c r="AJ44" i="10"/>
  <c r="AH41" i="10"/>
  <c r="AJ39" i="10"/>
  <c r="AG133" i="10"/>
  <c r="AK122" i="10"/>
  <c r="AG115" i="10"/>
  <c r="AK104" i="10"/>
  <c r="AG97" i="10"/>
  <c r="AK86" i="10"/>
  <c r="AG79" i="10"/>
  <c r="AI72" i="10"/>
  <c r="AI62" i="10"/>
  <c r="AK60" i="10"/>
  <c r="AG59" i="10"/>
  <c r="AI57" i="10"/>
  <c r="AG54" i="10"/>
  <c r="AK52" i="10"/>
  <c r="AG49" i="10"/>
  <c r="AK47" i="10"/>
  <c r="AI44" i="10"/>
  <c r="AK42" i="10"/>
  <c r="AG41" i="10"/>
  <c r="AK129" i="10"/>
  <c r="AG122" i="10"/>
  <c r="AK111" i="10"/>
  <c r="AG104" i="10"/>
  <c r="AK93" i="10"/>
  <c r="AG86" i="10"/>
  <c r="AK75" i="10"/>
  <c r="AH72" i="10"/>
  <c r="AH62" i="10"/>
  <c r="AJ60" i="10"/>
  <c r="AF59" i="10"/>
  <c r="AH57" i="10"/>
  <c r="AF54" i="10"/>
  <c r="AJ52" i="10"/>
  <c r="AF49" i="10"/>
  <c r="AJ47" i="10"/>
  <c r="AG98" i="10"/>
  <c r="AK87" i="10"/>
  <c r="AI66" i="10"/>
  <c r="AK50" i="10"/>
  <c r="AJ41" i="10"/>
  <c r="AH66" i="10"/>
  <c r="AG61" i="10"/>
  <c r="AG53" i="10"/>
  <c r="AK46" i="10"/>
  <c r="AI41" i="10"/>
  <c r="AF33" i="10"/>
  <c r="AF61" i="10"/>
  <c r="AF53" i="10"/>
  <c r="AJ46" i="10"/>
  <c r="AK134" i="10"/>
  <c r="AG91" i="10"/>
  <c r="AK80" i="10"/>
  <c r="AI56" i="10"/>
  <c r="AK49" i="10"/>
  <c r="AG46" i="10"/>
  <c r="AG43" i="10"/>
  <c r="AK38" i="10"/>
  <c r="AG134" i="10"/>
  <c r="AK123" i="10"/>
  <c r="AG80" i="10"/>
  <c r="AH56" i="10"/>
  <c r="AF43" i="10"/>
  <c r="AI38" i="10"/>
  <c r="AI36" i="10"/>
  <c r="AJ34" i="10"/>
  <c r="AK32" i="10"/>
  <c r="AG30" i="10"/>
  <c r="AG28" i="10"/>
  <c r="AH26" i="10"/>
  <c r="AJ24" i="10"/>
  <c r="AF17" i="10"/>
  <c r="AH15" i="10"/>
  <c r="AJ13" i="10"/>
  <c r="AJ11" i="10"/>
  <c r="AJ9" i="10"/>
  <c r="AF4" i="10"/>
  <c r="AG40" i="10"/>
  <c r="AH38" i="10"/>
  <c r="AH36" i="10"/>
  <c r="AG34" i="10"/>
  <c r="AJ32" i="10"/>
  <c r="AF30" i="10"/>
  <c r="AF28" i="10"/>
  <c r="AG26" i="10"/>
  <c r="AI24" i="10"/>
  <c r="AG22" i="10"/>
  <c r="AK20" i="10"/>
  <c r="AK18" i="10"/>
  <c r="AG15" i="10"/>
  <c r="AG13" i="10"/>
  <c r="AI11" i="10"/>
  <c r="AG9" i="10"/>
  <c r="AK68" i="10"/>
  <c r="AK64" i="10"/>
  <c r="AG48" i="10"/>
  <c r="AK45" i="10"/>
  <c r="AG116" i="10"/>
  <c r="AK105" i="10"/>
  <c r="AJ59" i="10"/>
  <c r="AH51" i="10"/>
  <c r="AI42" i="10"/>
  <c r="AK39" i="10"/>
  <c r="AK29" i="10"/>
  <c r="AK27" i="10"/>
  <c r="AK54" i="10"/>
  <c r="AG51" i="10"/>
  <c r="AK44" i="10"/>
  <c r="AI39" i="10"/>
  <c r="AK33" i="10"/>
  <c r="AK31" i="10"/>
  <c r="AJ29" i="10"/>
  <c r="AJ54" i="10"/>
  <c r="AI47" i="10"/>
  <c r="AH44" i="10"/>
  <c r="AH39" i="10"/>
  <c r="AK37" i="10"/>
  <c r="AI35" i="10"/>
  <c r="AI33" i="10"/>
  <c r="AJ31" i="10"/>
  <c r="AI29" i="10"/>
  <c r="AG27" i="10"/>
  <c r="AG109" i="10"/>
  <c r="AK98" i="10"/>
  <c r="AG44" i="10"/>
  <c r="AK41" i="10"/>
  <c r="AG39" i="10"/>
  <c r="AJ37" i="10"/>
  <c r="AG35" i="10"/>
  <c r="AH33" i="10"/>
  <c r="AG31" i="10"/>
  <c r="AG38" i="10"/>
  <c r="AF35" i="10"/>
  <c r="AJ25" i="10"/>
  <c r="AH23" i="10"/>
  <c r="AG21" i="10"/>
  <c r="AJ19" i="10"/>
  <c r="AG17" i="10"/>
  <c r="AF15" i="10"/>
  <c r="AJ10" i="10"/>
  <c r="AJ42" i="10"/>
  <c r="AF38" i="10"/>
  <c r="AF31" i="10"/>
  <c r="AG25" i="10"/>
  <c r="AG23" i="10"/>
  <c r="AF21" i="10"/>
  <c r="AI12" i="10"/>
  <c r="AG10" i="10"/>
  <c r="AK116" i="10"/>
  <c r="AG127" i="10"/>
  <c r="AK34" i="10"/>
  <c r="AJ18" i="10"/>
  <c r="AI68" i="10"/>
  <c r="AI51" i="10"/>
  <c r="AF41" i="10"/>
  <c r="AF34" i="10"/>
  <c r="AI30" i="10"/>
  <c r="AJ20" i="10"/>
  <c r="AI18" i="10"/>
  <c r="AG73" i="10"/>
  <c r="AK26" i="10"/>
  <c r="AK24" i="10"/>
  <c r="AF22" i="10"/>
  <c r="AK36" i="10"/>
  <c r="AJ26" i="10"/>
  <c r="AH24" i="10"/>
  <c r="AH20" i="10"/>
  <c r="AG18" i="10"/>
  <c r="AF16" i="10"/>
  <c r="AF14" i="10"/>
  <c r="AF9" i="10"/>
  <c r="AJ7" i="10"/>
  <c r="AK5" i="10"/>
  <c r="AJ36" i="10"/>
  <c r="AG33" i="10"/>
  <c r="AH29" i="10"/>
  <c r="AI26" i="10"/>
  <c r="AG20" i="10"/>
  <c r="AF18" i="10"/>
  <c r="AK11" i="10"/>
  <c r="AG7" i="10"/>
  <c r="AJ5" i="10"/>
  <c r="AG36" i="10"/>
  <c r="AF26" i="10"/>
  <c r="AK21" i="10"/>
  <c r="AF20" i="10"/>
  <c r="AF39" i="10"/>
  <c r="AF36" i="10"/>
  <c r="AK23" i="10"/>
  <c r="AJ21" i="10"/>
  <c r="AH21" i="10"/>
  <c r="AI17" i="10"/>
  <c r="AG12" i="10"/>
  <c r="AF5" i="10"/>
  <c r="AI20" i="10"/>
  <c r="AJ14" i="10"/>
  <c r="AG32" i="10"/>
  <c r="AJ23" i="10"/>
  <c r="AK16" i="10"/>
  <c r="AG14" i="10"/>
  <c r="AH11" i="10"/>
  <c r="AI8" i="10"/>
  <c r="AI6" i="10"/>
  <c r="AF48" i="10"/>
  <c r="AF23" i="10"/>
  <c r="AK19" i="10"/>
  <c r="AG16" i="10"/>
  <c r="AG8" i="10"/>
  <c r="AG6" i="10"/>
  <c r="AK59" i="10"/>
  <c r="AK13" i="10"/>
  <c r="AK10" i="10"/>
  <c r="AF8" i="10"/>
  <c r="AF13" i="10"/>
  <c r="AF10" i="10"/>
  <c r="AI15" i="10"/>
  <c r="AK7" i="10"/>
  <c r="AI23" i="10"/>
  <c r="AH18" i="10"/>
  <c r="AF7" i="10"/>
  <c r="AK4" i="10"/>
  <c r="AJ27" i="10"/>
  <c r="AG4" i="10"/>
  <c r="AK43" i="10"/>
  <c r="AK14" i="10"/>
  <c r="AJ6" i="10"/>
  <c r="AI21" i="10"/>
  <c r="AH6" i="10"/>
  <c r="AK25" i="10"/>
  <c r="AJ16" i="10"/>
  <c r="AK8" i="10"/>
  <c r="AF25" i="10"/>
  <c r="AH12" i="10"/>
  <c r="AJ8" i="10"/>
  <c r="AK15" i="10"/>
  <c r="AJ15" i="10"/>
  <c r="AI5" i="10"/>
  <c r="AK9" i="10"/>
  <c r="AH5" i="10"/>
  <c r="AG5" i="10"/>
  <c r="AH8" i="10"/>
  <c r="AF12" i="10"/>
  <c r="AK28" i="10"/>
  <c r="AH17" i="10"/>
  <c r="AK6" i="10"/>
  <c r="AJ28" i="10"/>
  <c r="B53" i="1"/>
  <c r="CQ136" i="4"/>
  <c r="DG135" i="4" a="1"/>
  <c r="DG135" i="4" s="1"/>
  <c r="CU135" i="4"/>
  <c r="CQ133" i="4"/>
  <c r="DG132" i="4" a="1"/>
  <c r="DG132" i="4" s="1"/>
  <c r="CU132" i="4"/>
  <c r="CQ130" i="4"/>
  <c r="DG129" i="4" a="1"/>
  <c r="DG129" i="4" s="1"/>
  <c r="CU129" i="4"/>
  <c r="CQ127" i="4"/>
  <c r="DG126" i="4" a="1"/>
  <c r="DG126" i="4" s="1"/>
  <c r="CU126" i="4"/>
  <c r="CQ124" i="4"/>
  <c r="DG123" i="4" a="1"/>
  <c r="DG123" i="4" s="1"/>
  <c r="CU123" i="4"/>
  <c r="CQ121" i="4"/>
  <c r="DG120" i="4" a="1"/>
  <c r="DG120" i="4" s="1"/>
  <c r="CU120" i="4"/>
  <c r="CQ118" i="4"/>
  <c r="DG117" i="4" a="1"/>
  <c r="DG117" i="4" s="1"/>
  <c r="CU117" i="4"/>
  <c r="CQ115" i="4"/>
  <c r="DG114" i="4" a="1"/>
  <c r="DG114" i="4" s="1"/>
  <c r="CU114" i="4"/>
  <c r="CQ112" i="4"/>
  <c r="DG111" i="4" a="1"/>
  <c r="DG111" i="4" s="1"/>
  <c r="CU111" i="4"/>
  <c r="CQ109" i="4"/>
  <c r="DG108" i="4" a="1"/>
  <c r="DG108" i="4" s="1"/>
  <c r="CU108" i="4"/>
  <c r="CQ106" i="4"/>
  <c r="DG105" i="4" a="1"/>
  <c r="DG105" i="4" s="1"/>
  <c r="CU105" i="4"/>
  <c r="CQ103" i="4"/>
  <c r="DG102" i="4" a="1"/>
  <c r="DG102" i="4" s="1"/>
  <c r="CU102" i="4"/>
  <c r="CR135" i="4"/>
  <c r="CV134" i="4"/>
  <c r="CR132" i="4"/>
  <c r="CV131" i="4"/>
  <c r="CR129" i="4"/>
  <c r="CV128" i="4"/>
  <c r="CR126" i="4"/>
  <c r="CV125" i="4"/>
  <c r="CR123" i="4"/>
  <c r="CV122" i="4"/>
  <c r="CR120" i="4"/>
  <c r="CV119" i="4"/>
  <c r="CR117" i="4"/>
  <c r="CV116" i="4"/>
  <c r="CR114" i="4"/>
  <c r="CW135" i="4"/>
  <c r="DG134" i="4" a="1"/>
  <c r="DG134" i="4" s="1"/>
  <c r="CS134" i="4"/>
  <c r="CW136" i="4"/>
  <c r="CS135" i="4"/>
  <c r="CW132" i="4"/>
  <c r="DG131" i="4" a="1"/>
  <c r="DG131" i="4" s="1"/>
  <c r="CS131" i="4"/>
  <c r="CW128" i="4"/>
  <c r="CT127" i="4"/>
  <c r="CW124" i="4"/>
  <c r="CS123" i="4"/>
  <c r="CW120" i="4"/>
  <c r="DG119" i="4" a="1"/>
  <c r="DG119" i="4" s="1"/>
  <c r="CS119" i="4"/>
  <c r="CW116" i="4"/>
  <c r="CT115" i="4"/>
  <c r="CV136" i="4"/>
  <c r="CQ135" i="4"/>
  <c r="CV132" i="4"/>
  <c r="CR131" i="4"/>
  <c r="CU128" i="4"/>
  <c r="DG127" i="4" a="1"/>
  <c r="DG127" i="4" s="1"/>
  <c r="CS127" i="4"/>
  <c r="CV124" i="4"/>
  <c r="CQ123" i="4"/>
  <c r="CV120" i="4"/>
  <c r="CR119" i="4"/>
  <c r="CU116" i="4"/>
  <c r="DG115" i="4" a="1"/>
  <c r="DG115" i="4" s="1"/>
  <c r="CS115" i="4"/>
  <c r="CV111" i="4"/>
  <c r="CU136" i="4"/>
  <c r="CT136" i="4"/>
  <c r="CW133" i="4"/>
  <c r="CS132" i="4"/>
  <c r="CW129" i="4"/>
  <c r="DG128" i="4" a="1"/>
  <c r="DG128" i="4" s="1"/>
  <c r="CS128" i="4"/>
  <c r="CW125" i="4"/>
  <c r="CT124" i="4"/>
  <c r="CW121" i="4"/>
  <c r="CS120" i="4"/>
  <c r="CW117" i="4"/>
  <c r="DG116" i="4" a="1"/>
  <c r="DG116" i="4" s="1"/>
  <c r="CS116" i="4"/>
  <c r="CW113" i="4"/>
  <c r="CV112" i="4"/>
  <c r="CS111" i="4"/>
  <c r="CS110" i="4"/>
  <c r="CR109" i="4"/>
  <c r="CW104" i="4"/>
  <c r="CV103" i="4"/>
  <c r="CS102" i="4"/>
  <c r="CS101" i="4"/>
  <c r="CS100" i="4"/>
  <c r="CW99" i="4"/>
  <c r="CS97" i="4"/>
  <c r="DG136" i="4" a="1"/>
  <c r="DG136" i="4" s="1"/>
  <c r="CS136" i="4"/>
  <c r="CV133" i="4"/>
  <c r="CQ132" i="4"/>
  <c r="CV129" i="4"/>
  <c r="CR128" i="4"/>
  <c r="CU125" i="4"/>
  <c r="DG124" i="4" a="1"/>
  <c r="DG124" i="4" s="1"/>
  <c r="CS124" i="4"/>
  <c r="CV121" i="4"/>
  <c r="CQ120" i="4"/>
  <c r="CV117" i="4"/>
  <c r="CR116" i="4"/>
  <c r="CV113" i="4"/>
  <c r="CU112" i="4"/>
  <c r="CR136" i="4"/>
  <c r="CU133" i="4"/>
  <c r="CT129" i="4"/>
  <c r="CQ128" i="4"/>
  <c r="CT125" i="4"/>
  <c r="CR124" i="4"/>
  <c r="CU121" i="4"/>
  <c r="CT117" i="4"/>
  <c r="CQ116" i="4"/>
  <c r="CU113" i="4"/>
  <c r="DG112" i="4" a="1"/>
  <c r="DG112" i="4" s="1"/>
  <c r="CT112" i="4"/>
  <c r="CQ111" i="4"/>
  <c r="CQ110" i="4"/>
  <c r="CV105" i="4"/>
  <c r="CU104" i="4"/>
  <c r="DG103" i="4" a="1"/>
  <c r="DG103" i="4" s="1"/>
  <c r="CT103" i="4"/>
  <c r="CQ102" i="4"/>
  <c r="CQ101" i="4"/>
  <c r="CQ100" i="4"/>
  <c r="DG99" i="4" a="1"/>
  <c r="DG99" i="4" s="1"/>
  <c r="CU99" i="4"/>
  <c r="CQ97" i="4"/>
  <c r="DG96" i="4" a="1"/>
  <c r="DG96" i="4" s="1"/>
  <c r="CU96" i="4"/>
  <c r="CQ94" i="4"/>
  <c r="DG93" i="4" a="1"/>
  <c r="DG93" i="4" s="1"/>
  <c r="CU93" i="4"/>
  <c r="CQ91" i="4"/>
  <c r="DG90" i="4" a="1"/>
  <c r="DG90" i="4" s="1"/>
  <c r="CU90" i="4"/>
  <c r="CQ88" i="4"/>
  <c r="DG87" i="4" a="1"/>
  <c r="DG87" i="4" s="1"/>
  <c r="CU87" i="4"/>
  <c r="CQ85" i="4"/>
  <c r="DG84" i="4" a="1"/>
  <c r="DG84" i="4" s="1"/>
  <c r="CU84" i="4"/>
  <c r="CQ82" i="4"/>
  <c r="DG81" i="4" a="1"/>
  <c r="DG81" i="4" s="1"/>
  <c r="CU81" i="4"/>
  <c r="CQ79" i="4"/>
  <c r="DG78" i="4" a="1"/>
  <c r="DG78" i="4" s="1"/>
  <c r="CU78" i="4"/>
  <c r="CQ76" i="4"/>
  <c r="DG75" i="4" a="1"/>
  <c r="DG75" i="4" s="1"/>
  <c r="CU75" i="4"/>
  <c r="CQ73" i="4"/>
  <c r="DG72" i="4" a="1"/>
  <c r="DG72" i="4" s="1"/>
  <c r="CU72" i="4"/>
  <c r="CW134" i="4"/>
  <c r="CT128" i="4"/>
  <c r="CT119" i="4"/>
  <c r="CS118" i="4"/>
  <c r="DG110" i="4" a="1"/>
  <c r="DG110" i="4" s="1"/>
  <c r="CV109" i="4"/>
  <c r="CU107" i="4"/>
  <c r="CR106" i="4"/>
  <c r="CW105" i="4"/>
  <c r="CS103" i="4"/>
  <c r="CW102" i="4"/>
  <c r="CU100" i="4"/>
  <c r="CT98" i="4"/>
  <c r="CS96" i="4"/>
  <c r="CS95" i="4"/>
  <c r="CR94" i="4"/>
  <c r="CW89" i="4"/>
  <c r="CV88" i="4"/>
  <c r="CS87" i="4"/>
  <c r="CS86" i="4"/>
  <c r="CR85" i="4"/>
  <c r="CW80" i="4"/>
  <c r="CV79" i="4"/>
  <c r="CS78" i="4"/>
  <c r="CS77" i="4"/>
  <c r="CR76" i="4"/>
  <c r="CW71" i="4"/>
  <c r="CW70" i="4"/>
  <c r="CS68" i="4"/>
  <c r="CW67" i="4"/>
  <c r="CS65" i="4"/>
  <c r="CW64" i="4"/>
  <c r="CS62" i="4"/>
  <c r="CW61" i="4"/>
  <c r="CS59" i="4"/>
  <c r="CW58" i="4"/>
  <c r="CS56" i="4"/>
  <c r="CW55" i="4"/>
  <c r="CS53" i="4"/>
  <c r="CW52" i="4"/>
  <c r="CS50" i="4"/>
  <c r="CW49" i="4"/>
  <c r="CS47" i="4"/>
  <c r="CW46" i="4"/>
  <c r="CS44" i="4"/>
  <c r="CW43" i="4"/>
  <c r="CS41" i="4"/>
  <c r="CW40" i="4"/>
  <c r="CS38" i="4"/>
  <c r="CW37" i="4"/>
  <c r="CS35" i="4"/>
  <c r="CW34" i="4"/>
  <c r="CU134" i="4"/>
  <c r="CT133" i="4"/>
  <c r="CW130" i="4"/>
  <c r="DG121" i="4" a="1"/>
  <c r="DG121" i="4" s="1"/>
  <c r="CQ119" i="4"/>
  <c r="CR118" i="4"/>
  <c r="CW115" i="4"/>
  <c r="CW114" i="4"/>
  <c r="CU109" i="4"/>
  <c r="CT107" i="4"/>
  <c r="CT105" i="4"/>
  <c r="CR103" i="4"/>
  <c r="CV102" i="4"/>
  <c r="CT100" i="4"/>
  <c r="DG98" i="4" a="1"/>
  <c r="DG98" i="4" s="1"/>
  <c r="CS98" i="4"/>
  <c r="CR96" i="4"/>
  <c r="CR95" i="4"/>
  <c r="CW90" i="4"/>
  <c r="CV89" i="4"/>
  <c r="CU88" i="4"/>
  <c r="CR87" i="4"/>
  <c r="CR86" i="4"/>
  <c r="CW81" i="4"/>
  <c r="CV80" i="4"/>
  <c r="CU79" i="4"/>
  <c r="CR78" i="4"/>
  <c r="CR77" i="4"/>
  <c r="CW72" i="4"/>
  <c r="CV71" i="4"/>
  <c r="CV70" i="4"/>
  <c r="CR68" i="4"/>
  <c r="CV67" i="4"/>
  <c r="CR65" i="4"/>
  <c r="CV64" i="4"/>
  <c r="CR62" i="4"/>
  <c r="CV61" i="4"/>
  <c r="CR59" i="4"/>
  <c r="CV58" i="4"/>
  <c r="CR56" i="4"/>
  <c r="CV55" i="4"/>
  <c r="CR53" i="4"/>
  <c r="CV52" i="4"/>
  <c r="CT134" i="4"/>
  <c r="CS133" i="4"/>
  <c r="CV130" i="4"/>
  <c r="CS129" i="4"/>
  <c r="CU124" i="4"/>
  <c r="CV115" i="4"/>
  <c r="CV114" i="4"/>
  <c r="CT109" i="4"/>
  <c r="CS107" i="4"/>
  <c r="CS105" i="4"/>
  <c r="CT102" i="4"/>
  <c r="DG100" i="4" a="1"/>
  <c r="DG100" i="4" s="1"/>
  <c r="CR100" i="4"/>
  <c r="CR98" i="4"/>
  <c r="CQ96" i="4"/>
  <c r="CQ95" i="4"/>
  <c r="CV90" i="4"/>
  <c r="CU89" i="4"/>
  <c r="DG88" i="4" a="1"/>
  <c r="DG88" i="4" s="1"/>
  <c r="CT88" i="4"/>
  <c r="CQ87" i="4"/>
  <c r="CQ86" i="4"/>
  <c r="CV81" i="4"/>
  <c r="CU80" i="4"/>
  <c r="DG79" i="4" a="1"/>
  <c r="DG79" i="4" s="1"/>
  <c r="CT79" i="4"/>
  <c r="CQ78" i="4"/>
  <c r="CQ77" i="4"/>
  <c r="CV72" i="4"/>
  <c r="CU71" i="4"/>
  <c r="DG70" i="4" a="1"/>
  <c r="DG70" i="4" s="1"/>
  <c r="CU70" i="4"/>
  <c r="CQ68" i="4"/>
  <c r="DG67" i="4" a="1"/>
  <c r="DG67" i="4" s="1"/>
  <c r="CU67" i="4"/>
  <c r="CQ65" i="4"/>
  <c r="DG64" i="4" a="1"/>
  <c r="DG64" i="4" s="1"/>
  <c r="CU64" i="4"/>
  <c r="CQ62" i="4"/>
  <c r="DG61" i="4" a="1"/>
  <c r="DG61" i="4" s="1"/>
  <c r="CU61" i="4"/>
  <c r="CQ59" i="4"/>
  <c r="DG58" i="4" a="1"/>
  <c r="DG58" i="4" s="1"/>
  <c r="CU58" i="4"/>
  <c r="CQ56" i="4"/>
  <c r="DG55" i="4" a="1"/>
  <c r="DG55" i="4" s="1"/>
  <c r="CU55" i="4"/>
  <c r="CQ53" i="4"/>
  <c r="DG52" i="4" a="1"/>
  <c r="DG52" i="4" s="1"/>
  <c r="CU52" i="4"/>
  <c r="CQ50" i="4"/>
  <c r="DG49" i="4" a="1"/>
  <c r="DG49" i="4" s="1"/>
  <c r="CU49" i="4"/>
  <c r="CQ47" i="4"/>
  <c r="DG46" i="4" a="1"/>
  <c r="DG46" i="4" s="1"/>
  <c r="CU46" i="4"/>
  <c r="CQ44" i="4"/>
  <c r="DG43" i="4" a="1"/>
  <c r="DG43" i="4" s="1"/>
  <c r="CU43" i="4"/>
  <c r="CQ41" i="4"/>
  <c r="DG40" i="4" a="1"/>
  <c r="DG40" i="4" s="1"/>
  <c r="CU40" i="4"/>
  <c r="CQ38" i="4"/>
  <c r="DG37" i="4" a="1"/>
  <c r="DG37" i="4" s="1"/>
  <c r="CU37" i="4"/>
  <c r="CQ35" i="4"/>
  <c r="CR134" i="4"/>
  <c r="CR133" i="4"/>
  <c r="CU130" i="4"/>
  <c r="CQ129" i="4"/>
  <c r="DG118" i="4" a="1"/>
  <c r="DG118" i="4" s="1"/>
  <c r="CU115" i="4"/>
  <c r="CT114" i="4"/>
  <c r="CW111" i="4"/>
  <c r="CS109" i="4"/>
  <c r="DG107" i="4" a="1"/>
  <c r="DG107" i="4" s="1"/>
  <c r="CR107" i="4"/>
  <c r="CR105" i="4"/>
  <c r="CR102" i="4"/>
  <c r="CV99" i="4"/>
  <c r="CQ98" i="4"/>
  <c r="CW97" i="4"/>
  <c r="CW91" i="4"/>
  <c r="CT90" i="4"/>
  <c r="DG89" i="4" a="1"/>
  <c r="DG89" i="4" s="1"/>
  <c r="CT89" i="4"/>
  <c r="CS88" i="4"/>
  <c r="CW82" i="4"/>
  <c r="CT81" i="4"/>
  <c r="DG80" i="4" a="1"/>
  <c r="DG80" i="4" s="1"/>
  <c r="CT80" i="4"/>
  <c r="CS79" i="4"/>
  <c r="CW73" i="4"/>
  <c r="CT72" i="4"/>
  <c r="DG71" i="4" a="1"/>
  <c r="DG71" i="4" s="1"/>
  <c r="CT71" i="4"/>
  <c r="CT70" i="4"/>
  <c r="CT67" i="4"/>
  <c r="CT64" i="4"/>
  <c r="CT61" i="4"/>
  <c r="CQ134" i="4"/>
  <c r="CW131" i="4"/>
  <c r="CT130" i="4"/>
  <c r="CW122" i="4"/>
  <c r="CR115" i="4"/>
  <c r="CS114" i="4"/>
  <c r="CT113" i="4"/>
  <c r="CT111" i="4"/>
  <c r="DG109" i="4" a="1"/>
  <c r="DG109" i="4" s="1"/>
  <c r="CW108" i="4"/>
  <c r="CQ107" i="4"/>
  <c r="CQ105" i="4"/>
  <c r="CT99" i="4"/>
  <c r="CV97" i="4"/>
  <c r="CW92" i="4"/>
  <c r="CV91" i="4"/>
  <c r="CS90" i="4"/>
  <c r="CS89" i="4"/>
  <c r="CR88" i="4"/>
  <c r="CW83" i="4"/>
  <c r="CV82" i="4"/>
  <c r="CS81" i="4"/>
  <c r="CS80" i="4"/>
  <c r="CR79" i="4"/>
  <c r="CW74" i="4"/>
  <c r="CV73" i="4"/>
  <c r="CS72" i="4"/>
  <c r="CS71" i="4"/>
  <c r="CS70" i="4"/>
  <c r="CW69" i="4"/>
  <c r="CS67" i="4"/>
  <c r="CW66" i="4"/>
  <c r="CS64" i="4"/>
  <c r="CW63" i="4"/>
  <c r="CS61" i="4"/>
  <c r="CW60" i="4"/>
  <c r="CS58" i="4"/>
  <c r="CW57" i="4"/>
  <c r="CS55" i="4"/>
  <c r="CW54" i="4"/>
  <c r="CS52" i="4"/>
  <c r="CW51" i="4"/>
  <c r="CS49" i="4"/>
  <c r="CW48" i="4"/>
  <c r="CS46" i="4"/>
  <c r="CW45" i="4"/>
  <c r="CS43" i="4"/>
  <c r="CW42" i="4"/>
  <c r="CS40" i="4"/>
  <c r="CW39" i="4"/>
  <c r="CU131" i="4"/>
  <c r="CS130" i="4"/>
  <c r="CW126" i="4"/>
  <c r="CU122" i="4"/>
  <c r="CT120" i="4"/>
  <c r="CQ114" i="4"/>
  <c r="CS113" i="4"/>
  <c r="CW112" i="4"/>
  <c r="CR111" i="4"/>
  <c r="CV108" i="4"/>
  <c r="CW101" i="4"/>
  <c r="CS99" i="4"/>
  <c r="CU97" i="4"/>
  <c r="CW93" i="4"/>
  <c r="CV92" i="4"/>
  <c r="CU91" i="4"/>
  <c r="CR90" i="4"/>
  <c r="CR89" i="4"/>
  <c r="CW84" i="4"/>
  <c r="CV83" i="4"/>
  <c r="CU82" i="4"/>
  <c r="CR81" i="4"/>
  <c r="CT131" i="4"/>
  <c r="CR130" i="4"/>
  <c r="CW127" i="4"/>
  <c r="CV126" i="4"/>
  <c r="CS125" i="4"/>
  <c r="CT122" i="4"/>
  <c r="CR113" i="4"/>
  <c r="CS112" i="4"/>
  <c r="CT108" i="4"/>
  <c r="CV104" i="4"/>
  <c r="CV101" i="4"/>
  <c r="CR99" i="4"/>
  <c r="CT97" i="4"/>
  <c r="CV93" i="4"/>
  <c r="CU92" i="4"/>
  <c r="DG91" i="4" a="1"/>
  <c r="DG91" i="4" s="1"/>
  <c r="CT91" i="4"/>
  <c r="CQ90" i="4"/>
  <c r="CQ89" i="4"/>
  <c r="CV84" i="4"/>
  <c r="CU83" i="4"/>
  <c r="DG82" i="4" a="1"/>
  <c r="DG82" i="4" s="1"/>
  <c r="CT82" i="4"/>
  <c r="CQ81" i="4"/>
  <c r="CQ80" i="4"/>
  <c r="CV135" i="4"/>
  <c r="DG133" i="4" a="1"/>
  <c r="DG133" i="4" s="1"/>
  <c r="CQ131" i="4"/>
  <c r="CV127" i="4"/>
  <c r="CT126" i="4"/>
  <c r="CR125" i="4"/>
  <c r="CW123" i="4"/>
  <c r="CS122" i="4"/>
  <c r="CT121" i="4"/>
  <c r="CT116" i="4"/>
  <c r="CQ113" i="4"/>
  <c r="CR112" i="4"/>
  <c r="CW110" i="4"/>
  <c r="CS108" i="4"/>
  <c r="CW106" i="4"/>
  <c r="CT104" i="4"/>
  <c r="CU101" i="4"/>
  <c r="CQ99" i="4"/>
  <c r="DG97" i="4" a="1"/>
  <c r="DG97" i="4" s="1"/>
  <c r="CR97" i="4"/>
  <c r="CW94" i="4"/>
  <c r="CT93" i="4"/>
  <c r="DG92" i="4" a="1"/>
  <c r="DG92" i="4" s="1"/>
  <c r="CT92" i="4"/>
  <c r="CS91" i="4"/>
  <c r="CW85" i="4"/>
  <c r="CT84" i="4"/>
  <c r="DG83" i="4" a="1"/>
  <c r="DG83" i="4" s="1"/>
  <c r="CT83" i="4"/>
  <c r="CS82" i="4"/>
  <c r="CW76" i="4"/>
  <c r="CT75" i="4"/>
  <c r="DG74" i="4" a="1"/>
  <c r="DG74" i="4" s="1"/>
  <c r="CT74" i="4"/>
  <c r="CS73" i="4"/>
  <c r="CT69" i="4"/>
  <c r="CT66" i="4"/>
  <c r="CT63" i="4"/>
  <c r="CT60" i="4"/>
  <c r="CT57" i="4"/>
  <c r="CT54" i="4"/>
  <c r="CT51" i="4"/>
  <c r="CT48" i="4"/>
  <c r="CT45" i="4"/>
  <c r="CT42" i="4"/>
  <c r="CT39" i="4"/>
  <c r="CT135" i="4"/>
  <c r="CU127" i="4"/>
  <c r="CS126" i="4"/>
  <c r="CQ125" i="4"/>
  <c r="CV123" i="4"/>
  <c r="CR122" i="4"/>
  <c r="CS121" i="4"/>
  <c r="CW118" i="4"/>
  <c r="DG113" i="4" a="1"/>
  <c r="DG113" i="4" s="1"/>
  <c r="CV110" i="4"/>
  <c r="CR108" i="4"/>
  <c r="CV106" i="4"/>
  <c r="CS104" i="4"/>
  <c r="CT101" i="4"/>
  <c r="CW95" i="4"/>
  <c r="CV94" i="4"/>
  <c r="CS93" i="4"/>
  <c r="CS92" i="4"/>
  <c r="CR91" i="4"/>
  <c r="CW86" i="4"/>
  <c r="CV85" i="4"/>
  <c r="CS84" i="4"/>
  <c r="CS83" i="4"/>
  <c r="CR82" i="4"/>
  <c r="CW77" i="4"/>
  <c r="CV76" i="4"/>
  <c r="CS75" i="4"/>
  <c r="CS74" i="4"/>
  <c r="CR73" i="4"/>
  <c r="CS69" i="4"/>
  <c r="CW68" i="4"/>
  <c r="CS66" i="4"/>
  <c r="CW65" i="4"/>
  <c r="CS63" i="4"/>
  <c r="CW62" i="4"/>
  <c r="CS60" i="4"/>
  <c r="CW59" i="4"/>
  <c r="CS57" i="4"/>
  <c r="CW56" i="4"/>
  <c r="CS54" i="4"/>
  <c r="CW53" i="4"/>
  <c r="CS51" i="4"/>
  <c r="CW50" i="4"/>
  <c r="CS48" i="4"/>
  <c r="CW47" i="4"/>
  <c r="CS45" i="4"/>
  <c r="CW44" i="4"/>
  <c r="CS42" i="4"/>
  <c r="CW41" i="4"/>
  <c r="CS39" i="4"/>
  <c r="CW38" i="4"/>
  <c r="CS36" i="4"/>
  <c r="CW35" i="4"/>
  <c r="CS33" i="4"/>
  <c r="CW32" i="4"/>
  <c r="CS30" i="4"/>
  <c r="CW29" i="4"/>
  <c r="CS27" i="4"/>
  <c r="CW26" i="4"/>
  <c r="CS24" i="4"/>
  <c r="CW23" i="4"/>
  <c r="CS21" i="4"/>
  <c r="CW20" i="4"/>
  <c r="CS18" i="4"/>
  <c r="CW17" i="4"/>
  <c r="CR15" i="4"/>
  <c r="DG130" i="4" a="1"/>
  <c r="DG130" i="4" s="1"/>
  <c r="CR127" i="4"/>
  <c r="CQ126" i="4"/>
  <c r="CT123" i="4"/>
  <c r="CQ122" i="4"/>
  <c r="CR121" i="4"/>
  <c r="CV118" i="4"/>
  <c r="CS117" i="4"/>
  <c r="CU110" i="4"/>
  <c r="CQ108" i="4"/>
  <c r="CU106" i="4"/>
  <c r="DG104" i="4" a="1"/>
  <c r="DG104" i="4" s="1"/>
  <c r="CR104" i="4"/>
  <c r="CR101" i="4"/>
  <c r="CW98" i="4"/>
  <c r="CW96" i="4"/>
  <c r="CV95" i="4"/>
  <c r="CU94" i="4"/>
  <c r="CR93" i="4"/>
  <c r="CR92" i="4"/>
  <c r="CW87" i="4"/>
  <c r="CV86" i="4"/>
  <c r="CU85" i="4"/>
  <c r="CR84" i="4"/>
  <c r="CR83" i="4"/>
  <c r="CW78" i="4"/>
  <c r="CV77" i="4"/>
  <c r="CU76" i="4"/>
  <c r="CR75" i="4"/>
  <c r="CR74" i="4"/>
  <c r="CR69" i="4"/>
  <c r="CV68" i="4"/>
  <c r="CR66" i="4"/>
  <c r="CV65" i="4"/>
  <c r="CR63" i="4"/>
  <c r="CV62" i="4"/>
  <c r="CR60" i="4"/>
  <c r="CV59" i="4"/>
  <c r="CR57" i="4"/>
  <c r="CV56" i="4"/>
  <c r="CR54" i="4"/>
  <c r="CV53" i="4"/>
  <c r="CR51" i="4"/>
  <c r="CV50" i="4"/>
  <c r="CR48" i="4"/>
  <c r="CV47" i="4"/>
  <c r="CR45" i="4"/>
  <c r="CV44" i="4"/>
  <c r="CV75" i="4"/>
  <c r="CU73" i="4"/>
  <c r="CQ69" i="4"/>
  <c r="CU65" i="4"/>
  <c r="CQ57" i="4"/>
  <c r="CT52" i="4"/>
  <c r="DG51" i="4" a="1"/>
  <c r="DG51" i="4" s="1"/>
  <c r="CV49" i="4"/>
  <c r="CR47" i="4"/>
  <c r="CU44" i="4"/>
  <c r="CU42" i="4"/>
  <c r="CT40" i="4"/>
  <c r="DG39" i="4" a="1"/>
  <c r="DG39" i="4" s="1"/>
  <c r="CV38" i="4"/>
  <c r="CQ37" i="4"/>
  <c r="CT36" i="4"/>
  <c r="CT35" i="4"/>
  <c r="CU34" i="4"/>
  <c r="CV29" i="4"/>
  <c r="CV28" i="4"/>
  <c r="CU27" i="4"/>
  <c r="CS26" i="4"/>
  <c r="CS25" i="4"/>
  <c r="CQ24" i="4"/>
  <c r="CV17" i="4"/>
  <c r="CV16" i="4"/>
  <c r="CV15" i="4"/>
  <c r="CQ13" i="4"/>
  <c r="DG125" i="4" a="1"/>
  <c r="DG125" i="4" s="1"/>
  <c r="CV87" i="4"/>
  <c r="DG86" i="4" a="1"/>
  <c r="DG86" i="4" s="1"/>
  <c r="CR80" i="4"/>
  <c r="CU77" i="4"/>
  <c r="DG76" i="4" a="1"/>
  <c r="DG76" i="4" s="1"/>
  <c r="E67" i="1" s="1"/>
  <c r="CQ75" i="4"/>
  <c r="CT73" i="4"/>
  <c r="CR67" i="4"/>
  <c r="CT65" i="4"/>
  <c r="CV60" i="4"/>
  <c r="CU56" i="4"/>
  <c r="CR52" i="4"/>
  <c r="DG50" i="4" a="1"/>
  <c r="DG50" i="4" s="1"/>
  <c r="CT49" i="4"/>
  <c r="DG48" i="4" a="1"/>
  <c r="DG48" i="4" s="1"/>
  <c r="CT44" i="4"/>
  <c r="CR42" i="4"/>
  <c r="CR40" i="4"/>
  <c r="CU38" i="4"/>
  <c r="CR36" i="4"/>
  <c r="CR35" i="4"/>
  <c r="CT34" i="4"/>
  <c r="CW30" i="4"/>
  <c r="CU29" i="4"/>
  <c r="CU28" i="4"/>
  <c r="DG27" i="4" a="1"/>
  <c r="DG27" i="4" s="1"/>
  <c r="CT27" i="4"/>
  <c r="CR26" i="4"/>
  <c r="CR25" i="4"/>
  <c r="CW18" i="4"/>
  <c r="CU17" i="4"/>
  <c r="CU16" i="4"/>
  <c r="CU15" i="4"/>
  <c r="CT87" i="4"/>
  <c r="CW79" i="4"/>
  <c r="CT77" i="4"/>
  <c r="CR70" i="4"/>
  <c r="DG68" i="4" a="1"/>
  <c r="DG68" i="4" s="1"/>
  <c r="CQ67" i="4"/>
  <c r="DG66" i="4" a="1"/>
  <c r="DG66" i="4" s="1"/>
  <c r="CU60" i="4"/>
  <c r="CT56" i="4"/>
  <c r="CQ52" i="4"/>
  <c r="CR49" i="4"/>
  <c r="CV46" i="4"/>
  <c r="CR44" i="4"/>
  <c r="CQ42" i="4"/>
  <c r="CQ40" i="4"/>
  <c r="CT38" i="4"/>
  <c r="DG36" i="4" a="1"/>
  <c r="DG36" i="4" s="1"/>
  <c r="CQ36" i="4"/>
  <c r="DG35" i="4" a="1"/>
  <c r="DG35" i="4" s="1"/>
  <c r="DG34" i="4" a="1"/>
  <c r="DG34" i="4" s="1"/>
  <c r="CS34" i="4"/>
  <c r="CW31" i="4"/>
  <c r="CV30" i="4"/>
  <c r="DG29" i="4" a="1"/>
  <c r="DG29" i="4" s="1"/>
  <c r="CT29" i="4"/>
  <c r="DG28" i="4" a="1"/>
  <c r="DG28" i="4" s="1"/>
  <c r="CT28" i="4"/>
  <c r="CR27" i="4"/>
  <c r="CQ26" i="4"/>
  <c r="CQ25" i="4"/>
  <c r="CW19" i="4"/>
  <c r="CV18" i="4"/>
  <c r="DG17" i="4" a="1"/>
  <c r="DG17" i="4" s="1"/>
  <c r="CT17" i="4"/>
  <c r="DG16" i="4" a="1"/>
  <c r="DG16" i="4" s="1"/>
  <c r="CT16" i="4"/>
  <c r="DG15" i="4" a="1"/>
  <c r="DG15" i="4" s="1"/>
  <c r="CT15" i="4"/>
  <c r="DG122" i="4" a="1"/>
  <c r="DG122" i="4" s="1"/>
  <c r="CW107" i="4"/>
  <c r="DG85" i="4" a="1"/>
  <c r="DG85" i="4" s="1"/>
  <c r="CQ70" i="4"/>
  <c r="DG63" i="4" a="1"/>
  <c r="DG63" i="4" s="1"/>
  <c r="CQ60" i="4"/>
  <c r="CT55" i="4"/>
  <c r="DG54" i="4" a="1"/>
  <c r="DG54" i="4" s="1"/>
  <c r="CQ49" i="4"/>
  <c r="DG47" i="4" a="1"/>
  <c r="DG47" i="4" s="1"/>
  <c r="CT46" i="4"/>
  <c r="DG45" i="4" a="1"/>
  <c r="DG45" i="4" s="1"/>
  <c r="CR38" i="4"/>
  <c r="CR34" i="4"/>
  <c r="CV32" i="4"/>
  <c r="CV31" i="4"/>
  <c r="CU30" i="4"/>
  <c r="CS29" i="4"/>
  <c r="CS28" i="4"/>
  <c r="CQ27" i="4"/>
  <c r="CV20" i="4"/>
  <c r="CV19" i="4"/>
  <c r="CU18" i="4"/>
  <c r="CS17" i="4"/>
  <c r="CU118" i="4"/>
  <c r="CW109" i="4"/>
  <c r="CV107" i="4"/>
  <c r="DG95" i="4" a="1"/>
  <c r="DG95" i="4" s="1"/>
  <c r="CU86" i="4"/>
  <c r="CR64" i="4"/>
  <c r="DG62" i="4" a="1"/>
  <c r="DG62" i="4" s="1"/>
  <c r="CU59" i="4"/>
  <c r="CR55" i="4"/>
  <c r="DG53" i="4" a="1"/>
  <c r="DG53" i="4" s="1"/>
  <c r="CV51" i="4"/>
  <c r="CR46" i="4"/>
  <c r="CV43" i="4"/>
  <c r="CQ34" i="4"/>
  <c r="CU32" i="4"/>
  <c r="CU31" i="4"/>
  <c r="DG30" i="4" a="1"/>
  <c r="DG30" i="4" s="1"/>
  <c r="CT30" i="4"/>
  <c r="CR29" i="4"/>
  <c r="CR28" i="4"/>
  <c r="CW21" i="4"/>
  <c r="CU20" i="4"/>
  <c r="CU19" i="4"/>
  <c r="DG18" i="4" a="1"/>
  <c r="DG18" i="4" s="1"/>
  <c r="CT18" i="4"/>
  <c r="CW119" i="4"/>
  <c r="CT118" i="4"/>
  <c r="DG106" i="4" a="1"/>
  <c r="DG106" i="4" s="1"/>
  <c r="CQ104" i="4"/>
  <c r="CW103" i="4"/>
  <c r="CV98" i="4"/>
  <c r="CV96" i="4"/>
  <c r="CT86" i="4"/>
  <c r="CV74" i="4"/>
  <c r="CR72" i="4"/>
  <c r="CQ64" i="4"/>
  <c r="CT59" i="4"/>
  <c r="CQ55" i="4"/>
  <c r="CU51" i="4"/>
  <c r="CQ46" i="4"/>
  <c r="DG44" i="4" a="1"/>
  <c r="DG44" i="4" s="1"/>
  <c r="CT43" i="4"/>
  <c r="DG42" i="4" a="1"/>
  <c r="DG42" i="4" s="1"/>
  <c r="CV41" i="4"/>
  <c r="DG38" i="4" a="1"/>
  <c r="DG38" i="4" s="1"/>
  <c r="CW33" i="4"/>
  <c r="DG32" i="4" a="1"/>
  <c r="DG32" i="4" s="1"/>
  <c r="CT32" i="4"/>
  <c r="DG31" i="4" a="1"/>
  <c r="DG31" i="4" s="1"/>
  <c r="CT31" i="4"/>
  <c r="CR30" i="4"/>
  <c r="CQ29" i="4"/>
  <c r="CQ28" i="4"/>
  <c r="CW22" i="4"/>
  <c r="CV21" i="4"/>
  <c r="DG20" i="4" a="1"/>
  <c r="DG20" i="4" s="1"/>
  <c r="CT20" i="4"/>
  <c r="DG19" i="4" a="1"/>
  <c r="DG19" i="4" s="1"/>
  <c r="CT19" i="4"/>
  <c r="CR18" i="4"/>
  <c r="CQ17" i="4"/>
  <c r="CU119" i="4"/>
  <c r="CT110" i="4"/>
  <c r="CU103" i="4"/>
  <c r="DG101" i="4" a="1"/>
  <c r="DG101" i="4" s="1"/>
  <c r="CU98" i="4"/>
  <c r="CT96" i="4"/>
  <c r="DG94" i="4" a="1"/>
  <c r="DG94" i="4" s="1"/>
  <c r="CV78" i="4"/>
  <c r="CT76" i="4"/>
  <c r="CU74" i="4"/>
  <c r="CQ72" i="4"/>
  <c r="DG69" i="4" a="1"/>
  <c r="DG69" i="4" s="1"/>
  <c r="CV66" i="4"/>
  <c r="CT58" i="4"/>
  <c r="DG57" i="4" a="1"/>
  <c r="DG57" i="4" s="1"/>
  <c r="CQ51" i="4"/>
  <c r="CV48" i="4"/>
  <c r="CR43" i="4"/>
  <c r="CU41" i="4"/>
  <c r="CV39" i="4"/>
  <c r="CV33" i="4"/>
  <c r="CS32" i="4"/>
  <c r="CS31" i="4"/>
  <c r="CQ30" i="4"/>
  <c r="CV23" i="4"/>
  <c r="CV22" i="4"/>
  <c r="CU21" i="4"/>
  <c r="CS20" i="4"/>
  <c r="CS19" i="4"/>
  <c r="CQ18" i="4"/>
  <c r="CR110" i="4"/>
  <c r="CT106" i="4"/>
  <c r="CW100" i="4"/>
  <c r="CU95" i="4"/>
  <c r="CT85" i="4"/>
  <c r="CT78" i="4"/>
  <c r="CS76" i="4"/>
  <c r="CQ74" i="4"/>
  <c r="CU68" i="4"/>
  <c r="CU66" i="4"/>
  <c r="DG65" i="4" a="1"/>
  <c r="DG65" i="4" s="1"/>
  <c r="CV63" i="4"/>
  <c r="CR58" i="4"/>
  <c r="DG56" i="4" a="1"/>
  <c r="DG56" i="4" s="1"/>
  <c r="CV54" i="4"/>
  <c r="CU48" i="4"/>
  <c r="CQ43" i="4"/>
  <c r="CT41" i="4"/>
  <c r="CU39" i="4"/>
  <c r="CU33" i="4"/>
  <c r="CR32" i="4"/>
  <c r="CR31" i="4"/>
  <c r="CW24" i="4"/>
  <c r="CU23" i="4"/>
  <c r="CU22" i="4"/>
  <c r="DG21" i="4" a="1"/>
  <c r="DG21" i="4" s="1"/>
  <c r="CT21" i="4"/>
  <c r="CR20" i="4"/>
  <c r="CR19" i="4"/>
  <c r="CR14" i="4"/>
  <c r="CV13" i="4"/>
  <c r="CQ117" i="4"/>
  <c r="CS106" i="4"/>
  <c r="CV100" i="4"/>
  <c r="CT95" i="4"/>
  <c r="CS85" i="4"/>
  <c r="DG77" i="4" a="1"/>
  <c r="DG77" i="4" s="1"/>
  <c r="DG73" i="4" a="1"/>
  <c r="DG73" i="4" s="1"/>
  <c r="CT68" i="4"/>
  <c r="CQ66" i="4"/>
  <c r="CU63" i="4"/>
  <c r="CQ58" i="4"/>
  <c r="CU54" i="4"/>
  <c r="CU50" i="4"/>
  <c r="CQ48" i="4"/>
  <c r="CV45" i="4"/>
  <c r="CR41" i="4"/>
  <c r="CR39" i="4"/>
  <c r="CV37" i="4"/>
  <c r="CT33" i="4"/>
  <c r="CQ32" i="4"/>
  <c r="CQ31" i="4"/>
  <c r="CW25" i="4"/>
  <c r="CV24" i="4"/>
  <c r="DG23" i="4" a="1"/>
  <c r="DG23" i="4" s="1"/>
  <c r="CT23" i="4"/>
  <c r="DG22" i="4" a="1"/>
  <c r="DG22" i="4" s="1"/>
  <c r="CT22" i="4"/>
  <c r="CR21" i="4"/>
  <c r="CQ20" i="4"/>
  <c r="CQ19" i="4"/>
  <c r="CQ14" i="4"/>
  <c r="DG13" i="4" a="1"/>
  <c r="DG13" i="4" s="1"/>
  <c r="CU13" i="4"/>
  <c r="CQ11" i="4"/>
  <c r="DG10" i="4" a="1"/>
  <c r="DG10" i="4" s="1"/>
  <c r="CU10" i="4"/>
  <c r="CQ8" i="4"/>
  <c r="CQ84" i="4"/>
  <c r="CQ63" i="4"/>
  <c r="CU62" i="4"/>
  <c r="DG60" i="4" a="1"/>
  <c r="DG60" i="4" s="1"/>
  <c r="CQ54" i="4"/>
  <c r="CT50" i="4"/>
  <c r="CU45" i="4"/>
  <c r="CQ39" i="4"/>
  <c r="CT37" i="4"/>
  <c r="CW36" i="4"/>
  <c r="DG33" i="4" a="1"/>
  <c r="DG33" i="4" s="1"/>
  <c r="CR33" i="4"/>
  <c r="CV26" i="4"/>
  <c r="CV25" i="4"/>
  <c r="CU24" i="4"/>
  <c r="CS23" i="4"/>
  <c r="CS22" i="4"/>
  <c r="CQ21" i="4"/>
  <c r="CT94" i="4"/>
  <c r="CQ93" i="4"/>
  <c r="CQ92" i="4"/>
  <c r="CW88" i="4"/>
  <c r="CQ83" i="4"/>
  <c r="CR71" i="4"/>
  <c r="CV69" i="4"/>
  <c r="CT62" i="4"/>
  <c r="CR61" i="4"/>
  <c r="DG59" i="4" a="1"/>
  <c r="DG59" i="4" s="1"/>
  <c r="CV57" i="4"/>
  <c r="CU53" i="4"/>
  <c r="CR50" i="4"/>
  <c r="CU47" i="4"/>
  <c r="CQ45" i="4"/>
  <c r="DG41" i="4" a="1"/>
  <c r="DG41" i="4" s="1"/>
  <c r="CS37" i="4"/>
  <c r="CV36" i="4"/>
  <c r="CV35" i="4"/>
  <c r="CQ33" i="4"/>
  <c r="CW27" i="4"/>
  <c r="CU26" i="4"/>
  <c r="CU25" i="4"/>
  <c r="DG24" i="4" a="1"/>
  <c r="DG24" i="4" s="1"/>
  <c r="CT24" i="4"/>
  <c r="CR23" i="4"/>
  <c r="CR22" i="4"/>
  <c r="CS13" i="4"/>
  <c r="CW12" i="4"/>
  <c r="CS10" i="4"/>
  <c r="CW9" i="4"/>
  <c r="AC23" i="2"/>
  <c r="AC95" i="2"/>
  <c r="AL5" i="3"/>
  <c r="AH6" i="3"/>
  <c r="AL8" i="3"/>
  <c r="AH9" i="3"/>
  <c r="AL11" i="3"/>
  <c r="AH12" i="3"/>
  <c r="AL14" i="3"/>
  <c r="AH15" i="3"/>
  <c r="AL17" i="3"/>
  <c r="AH18" i="3"/>
  <c r="AL20" i="3"/>
  <c r="AH21" i="3"/>
  <c r="AL23" i="3"/>
  <c r="AH24" i="3"/>
  <c r="AL26" i="3"/>
  <c r="AH27" i="3"/>
  <c r="AL29" i="3"/>
  <c r="AH30" i="3"/>
  <c r="AL32" i="3"/>
  <c r="AH33" i="3"/>
  <c r="AL35" i="3"/>
  <c r="AH36" i="3"/>
  <c r="AL38" i="3"/>
  <c r="AH39" i="3"/>
  <c r="AL41" i="3"/>
  <c r="AH42" i="3"/>
  <c r="AL44" i="3"/>
  <c r="AH45" i="3"/>
  <c r="AL47" i="3"/>
  <c r="AH48" i="3"/>
  <c r="AL50" i="3"/>
  <c r="AH51" i="3"/>
  <c r="AL53" i="3"/>
  <c r="AH54" i="3"/>
  <c r="AL56" i="3"/>
  <c r="AH57" i="3"/>
  <c r="AL59" i="3"/>
  <c r="AH60" i="3"/>
  <c r="AL62" i="3"/>
  <c r="AH63" i="3"/>
  <c r="AL65" i="3"/>
  <c r="AH66" i="3"/>
  <c r="AL68" i="3"/>
  <c r="AH69" i="3"/>
  <c r="AL71" i="3"/>
  <c r="AH72" i="3"/>
  <c r="AL74" i="3"/>
  <c r="AH75" i="3"/>
  <c r="AL77" i="3"/>
  <c r="AH78" i="3"/>
  <c r="AL80" i="3"/>
  <c r="AH81" i="3"/>
  <c r="AL83" i="3"/>
  <c r="AH84" i="3"/>
  <c r="AL86" i="3"/>
  <c r="AH87" i="3"/>
  <c r="AL89" i="3"/>
  <c r="AH90" i="3"/>
  <c r="AL92" i="3"/>
  <c r="AH93" i="3"/>
  <c r="AL95" i="3"/>
  <c r="AH96" i="3"/>
  <c r="AL98" i="3"/>
  <c r="AH99" i="3"/>
  <c r="AL101" i="3"/>
  <c r="AH102" i="3"/>
  <c r="AL104" i="3"/>
  <c r="AH105" i="3"/>
  <c r="AL107" i="3"/>
  <c r="AH108" i="3"/>
  <c r="AL110" i="3"/>
  <c r="AH111" i="3"/>
  <c r="AL113" i="3"/>
  <c r="AH114" i="3"/>
  <c r="AL116" i="3"/>
  <c r="AH117" i="3"/>
  <c r="AL119" i="3"/>
  <c r="AH120" i="3"/>
  <c r="AL122" i="3"/>
  <c r="AH123" i="3"/>
  <c r="AL125" i="3"/>
  <c r="AH126" i="3"/>
  <c r="AL128" i="3"/>
  <c r="AH129" i="3"/>
  <c r="AL131" i="3"/>
  <c r="AH132" i="3"/>
  <c r="AL134" i="3"/>
  <c r="AH135" i="3"/>
  <c r="AM4" i="4"/>
  <c r="H4" i="3" s="1"/>
  <c r="CV4" i="4"/>
  <c r="CT5" i="4"/>
  <c r="CU9" i="4"/>
  <c r="DF10" i="4"/>
  <c r="CW11" i="4"/>
  <c r="AM13" i="4"/>
  <c r="CZ14" i="4"/>
  <c r="DB15" i="4"/>
  <c r="DI15" i="4"/>
  <c r="CQ15" i="4"/>
  <c r="CW16" i="4"/>
  <c r="DJ18" i="4"/>
  <c r="CT25" i="4"/>
  <c r="DC26" i="4"/>
  <c r="DB29" i="4"/>
  <c r="DA32" i="4"/>
  <c r="DF34" i="4"/>
  <c r="DJ39" i="4"/>
  <c r="DJ41" i="4"/>
  <c r="DJ42" i="4"/>
  <c r="AO57" i="4"/>
  <c r="DF65" i="4"/>
  <c r="DI79" i="4"/>
  <c r="DI78" i="4"/>
  <c r="AM94" i="4"/>
  <c r="BM136" i="7"/>
  <c r="BM134" i="7"/>
  <c r="BM132" i="7"/>
  <c r="BM130" i="7"/>
  <c r="BM128" i="7"/>
  <c r="BM126" i="7"/>
  <c r="BM124" i="7"/>
  <c r="BM122" i="7"/>
  <c r="BM120" i="7"/>
  <c r="BM118" i="7"/>
  <c r="BM116" i="7"/>
  <c r="BM114" i="7"/>
  <c r="BM112" i="7"/>
  <c r="BM110" i="7"/>
  <c r="BM108" i="7"/>
  <c r="BM106" i="7"/>
  <c r="BM104" i="7"/>
  <c r="BM102" i="7"/>
  <c r="BM100" i="7"/>
  <c r="BM98" i="7"/>
  <c r="BM96" i="7"/>
  <c r="BM94" i="7"/>
  <c r="BM92" i="7"/>
  <c r="BM90" i="7"/>
  <c r="BM88" i="7"/>
  <c r="BM86" i="7"/>
  <c r="BM84" i="7"/>
  <c r="BM82" i="7"/>
  <c r="BM80" i="7"/>
  <c r="BM78" i="7"/>
  <c r="BM76" i="7"/>
  <c r="BM74" i="7"/>
  <c r="BM72" i="7"/>
  <c r="BM70" i="7"/>
  <c r="BM68" i="7"/>
  <c r="BM66" i="7"/>
  <c r="BM64" i="7"/>
  <c r="BM62" i="7"/>
  <c r="BM60" i="7"/>
  <c r="BM58" i="7"/>
  <c r="BM56" i="7"/>
  <c r="BM54" i="7"/>
  <c r="BM52" i="7"/>
  <c r="BM50" i="7"/>
  <c r="BM48" i="7"/>
  <c r="BM46" i="7"/>
  <c r="BM44" i="7"/>
  <c r="BM42" i="7"/>
  <c r="BM40" i="7"/>
  <c r="BM26" i="7"/>
  <c r="BM17" i="7"/>
  <c r="BM15" i="7"/>
  <c r="BM13" i="7"/>
  <c r="BM24" i="7"/>
  <c r="BM22" i="7"/>
  <c r="BM11" i="7"/>
  <c r="BM4" i="7"/>
  <c r="BM20" i="7"/>
  <c r="BM9" i="7"/>
  <c r="BM135" i="7"/>
  <c r="BM133" i="7"/>
  <c r="BM131" i="7"/>
  <c r="BM129" i="7"/>
  <c r="BM127" i="7"/>
  <c r="BM125" i="7"/>
  <c r="BM123" i="7"/>
  <c r="BM121" i="7"/>
  <c r="BM119" i="7"/>
  <c r="BM117" i="7"/>
  <c r="BM115" i="7"/>
  <c r="BM113" i="7"/>
  <c r="BM111" i="7"/>
  <c r="BM109" i="7"/>
  <c r="BM107" i="7"/>
  <c r="BM105" i="7"/>
  <c r="BM103" i="7"/>
  <c r="BM101" i="7"/>
  <c r="BM99" i="7"/>
  <c r="BM97" i="7"/>
  <c r="BM95" i="7"/>
  <c r="BM93" i="7"/>
  <c r="BM91" i="7"/>
  <c r="BM89" i="7"/>
  <c r="BM87" i="7"/>
  <c r="BM85" i="7"/>
  <c r="BM83" i="7"/>
  <c r="BM81" i="7"/>
  <c r="BM79" i="7"/>
  <c r="BM77" i="7"/>
  <c r="BM75" i="7"/>
  <c r="BM73" i="7"/>
  <c r="BM71" i="7"/>
  <c r="BM69" i="7"/>
  <c r="BM67" i="7"/>
  <c r="BM65" i="7"/>
  <c r="BM63" i="7"/>
  <c r="BM61" i="7"/>
  <c r="BM59" i="7"/>
  <c r="BM57" i="7"/>
  <c r="BM55" i="7"/>
  <c r="BM53" i="7"/>
  <c r="BM51" i="7"/>
  <c r="BM49" i="7"/>
  <c r="BM47" i="7"/>
  <c r="BM45" i="7"/>
  <c r="BM43" i="7"/>
  <c r="BM41" i="7"/>
  <c r="BM39" i="7"/>
  <c r="BM37" i="7"/>
  <c r="BM35" i="7"/>
  <c r="BM33" i="7"/>
  <c r="BM31" i="7"/>
  <c r="BM29" i="7"/>
  <c r="BM27" i="7"/>
  <c r="BM18" i="7"/>
  <c r="BM16" i="7"/>
  <c r="BM14" i="7"/>
  <c r="BM7" i="7"/>
  <c r="BM21" i="7"/>
  <c r="BM19" i="7"/>
  <c r="BM34" i="7"/>
  <c r="BM28" i="7"/>
  <c r="BM23" i="7"/>
  <c r="BM6" i="7"/>
  <c r="BM36" i="7"/>
  <c r="BM30" i="7"/>
  <c r="BM12" i="7"/>
  <c r="BM10" i="7"/>
  <c r="BM38" i="7"/>
  <c r="BM32" i="7"/>
  <c r="BM5" i="7"/>
  <c r="BM8" i="7"/>
  <c r="BM25" i="7"/>
  <c r="C1270" i="2"/>
  <c r="AP16" i="3"/>
  <c r="AP58" i="3"/>
  <c r="AP61" i="3"/>
  <c r="AP70" i="3"/>
  <c r="AP76" i="3"/>
  <c r="AP94" i="3"/>
  <c r="AP103" i="3"/>
  <c r="AP115" i="3"/>
  <c r="AP121" i="3"/>
  <c r="AP124" i="3"/>
  <c r="AP127" i="3"/>
  <c r="AP130" i="3"/>
  <c r="AP133" i="3"/>
  <c r="AP136" i="3"/>
  <c r="AM15" i="4"/>
  <c r="DJ32" i="4"/>
  <c r="DJ33" i="4"/>
  <c r="A36" i="12"/>
  <c r="AH2" i="7"/>
  <c r="F2" i="7"/>
  <c r="AY2" i="7"/>
  <c r="F48" i="1"/>
  <c r="AB60" i="2"/>
  <c r="AB132" i="2"/>
  <c r="AM5" i="3"/>
  <c r="AI6" i="3"/>
  <c r="P7" i="3"/>
  <c r="AM8" i="3"/>
  <c r="AI9" i="3"/>
  <c r="P10" i="3"/>
  <c r="AM11" i="3"/>
  <c r="AI12" i="3"/>
  <c r="P13" i="3"/>
  <c r="AM14" i="3"/>
  <c r="AI15" i="3"/>
  <c r="P16" i="3"/>
  <c r="AM17" i="3"/>
  <c r="AI18" i="3"/>
  <c r="P19" i="3"/>
  <c r="AM20" i="3"/>
  <c r="AI21" i="3"/>
  <c r="P22" i="3"/>
  <c r="AM23" i="3"/>
  <c r="AI24" i="3"/>
  <c r="P25" i="3"/>
  <c r="AM26" i="3"/>
  <c r="AI27" i="3"/>
  <c r="P28" i="3"/>
  <c r="AM29" i="3"/>
  <c r="AI30" i="3"/>
  <c r="P31" i="3"/>
  <c r="AM32" i="3"/>
  <c r="AI33" i="3"/>
  <c r="P34" i="3"/>
  <c r="AM35" i="3"/>
  <c r="AI36" i="3"/>
  <c r="P37" i="3"/>
  <c r="AM38" i="3"/>
  <c r="AI39" i="3"/>
  <c r="P40" i="3"/>
  <c r="AM41" i="3"/>
  <c r="AI42" i="3"/>
  <c r="P43" i="3"/>
  <c r="AM44" i="3"/>
  <c r="AI45" i="3"/>
  <c r="P46" i="3"/>
  <c r="AM47" i="3"/>
  <c r="AI48" i="3"/>
  <c r="P49" i="3"/>
  <c r="AM50" i="3"/>
  <c r="AI51" i="3"/>
  <c r="P52" i="3"/>
  <c r="AM53" i="3"/>
  <c r="AI54" i="3"/>
  <c r="P55" i="3"/>
  <c r="AM56" i="3"/>
  <c r="AI57" i="3"/>
  <c r="P58" i="3"/>
  <c r="AM59" i="3"/>
  <c r="AI60" i="3"/>
  <c r="P61" i="3"/>
  <c r="AM62" i="3"/>
  <c r="AI63" i="3"/>
  <c r="P64" i="3"/>
  <c r="AM65" i="3"/>
  <c r="AI66" i="3"/>
  <c r="P67" i="3"/>
  <c r="AM68" i="3"/>
  <c r="AI69" i="3"/>
  <c r="P70" i="3"/>
  <c r="AM71" i="3"/>
  <c r="AI72" i="3"/>
  <c r="P73" i="3"/>
  <c r="AM74" i="3"/>
  <c r="AI75" i="3"/>
  <c r="P76" i="3"/>
  <c r="AM77" i="3"/>
  <c r="AI78" i="3"/>
  <c r="P79" i="3"/>
  <c r="AM80" i="3"/>
  <c r="AI81" i="3"/>
  <c r="P82" i="3"/>
  <c r="AM83" i="3"/>
  <c r="AI84" i="3"/>
  <c r="P85" i="3"/>
  <c r="AM86" i="3"/>
  <c r="AI87" i="3"/>
  <c r="P88" i="3"/>
  <c r="AM89" i="3"/>
  <c r="AI90" i="3"/>
  <c r="P91" i="3"/>
  <c r="AM92" i="3"/>
  <c r="AI93" i="3"/>
  <c r="P94" i="3"/>
  <c r="AM95" i="3"/>
  <c r="AI96" i="3"/>
  <c r="P97" i="3"/>
  <c r="AM98" i="3"/>
  <c r="AI99" i="3"/>
  <c r="P100" i="3"/>
  <c r="AM101" i="3"/>
  <c r="AI102" i="3"/>
  <c r="P103" i="3"/>
  <c r="AM104" i="3"/>
  <c r="AI105" i="3"/>
  <c r="P106" i="3"/>
  <c r="AM107" i="3"/>
  <c r="AI108" i="3"/>
  <c r="P109" i="3"/>
  <c r="AM110" i="3"/>
  <c r="AI111" i="3"/>
  <c r="P112" i="3"/>
  <c r="AM113" i="3"/>
  <c r="AI114" i="3"/>
  <c r="P115" i="3"/>
  <c r="AM116" i="3"/>
  <c r="AI117" i="3"/>
  <c r="P118" i="3"/>
  <c r="AM119" i="3"/>
  <c r="AI120" i="3"/>
  <c r="P121" i="3"/>
  <c r="AM122" i="3"/>
  <c r="AI123" i="3"/>
  <c r="P124" i="3"/>
  <c r="AM125" i="3"/>
  <c r="AI126" i="3"/>
  <c r="P127" i="3"/>
  <c r="AM128" i="3"/>
  <c r="AI129" i="3"/>
  <c r="P130" i="3"/>
  <c r="AM131" i="3"/>
  <c r="AI132" i="3"/>
  <c r="P133" i="3"/>
  <c r="AM134" i="3"/>
  <c r="AI135" i="3"/>
  <c r="P136" i="3"/>
  <c r="CW4" i="4"/>
  <c r="CU5" i="4"/>
  <c r="DG5" i="4" a="1"/>
  <c r="DG5" i="4" s="1"/>
  <c r="AO6" i="4"/>
  <c r="CQ6" i="4"/>
  <c r="AM9" i="4"/>
  <c r="CV9" i="4"/>
  <c r="CQ12" i="4"/>
  <c r="DG14" i="4" a="1"/>
  <c r="DG14" i="4" s="1"/>
  <c r="AO15" i="4"/>
  <c r="CS15" i="4"/>
  <c r="CZ17" i="4"/>
  <c r="AO25" i="4"/>
  <c r="CW28" i="4"/>
  <c r="DC29" i="4"/>
  <c r="DJ31" i="4"/>
  <c r="DJ35" i="4"/>
  <c r="DC48" i="4"/>
  <c r="AO78" i="4"/>
  <c r="BS20" i="7"/>
  <c r="BS9" i="7"/>
  <c r="BS135" i="7"/>
  <c r="BS133" i="7"/>
  <c r="BS131" i="7"/>
  <c r="BS129" i="7"/>
  <c r="BS127" i="7"/>
  <c r="BS125" i="7"/>
  <c r="BS123" i="7"/>
  <c r="BS121" i="7"/>
  <c r="BS119" i="7"/>
  <c r="BS117" i="7"/>
  <c r="BS115" i="7"/>
  <c r="BS113" i="7"/>
  <c r="BS111" i="7"/>
  <c r="BS109" i="7"/>
  <c r="BS107" i="7"/>
  <c r="BS105" i="7"/>
  <c r="BS103" i="7"/>
  <c r="BS101" i="7"/>
  <c r="BS99" i="7"/>
  <c r="BS97" i="7"/>
  <c r="BS95" i="7"/>
  <c r="BS93" i="7"/>
  <c r="BS91" i="7"/>
  <c r="BS89" i="7"/>
  <c r="BS87" i="7"/>
  <c r="BS85" i="7"/>
  <c r="BS83" i="7"/>
  <c r="BS81" i="7"/>
  <c r="BS79" i="7"/>
  <c r="BS77" i="7"/>
  <c r="BS75" i="7"/>
  <c r="BS73" i="7"/>
  <c r="BS71" i="7"/>
  <c r="BS69" i="7"/>
  <c r="BS67" i="7"/>
  <c r="BS65" i="7"/>
  <c r="BS63" i="7"/>
  <c r="BS61" i="7"/>
  <c r="BS59" i="7"/>
  <c r="BS57" i="7"/>
  <c r="BS55" i="7"/>
  <c r="BS53" i="7"/>
  <c r="BS51" i="7"/>
  <c r="BS49" i="7"/>
  <c r="BS47" i="7"/>
  <c r="BS45" i="7"/>
  <c r="BS43" i="7"/>
  <c r="BS41" i="7"/>
  <c r="BS18" i="7"/>
  <c r="BS16" i="7"/>
  <c r="BS14" i="7"/>
  <c r="BS7" i="7"/>
  <c r="BS23" i="7"/>
  <c r="BS5" i="7"/>
  <c r="BS21" i="7"/>
  <c r="BS10" i="7"/>
  <c r="BS136" i="7"/>
  <c r="BS134" i="7"/>
  <c r="BS132" i="7"/>
  <c r="BS130" i="7"/>
  <c r="BS128" i="7"/>
  <c r="BS126" i="7"/>
  <c r="BS124" i="7"/>
  <c r="BS122" i="7"/>
  <c r="BS120" i="7"/>
  <c r="BS118" i="7"/>
  <c r="BS116" i="7"/>
  <c r="BS114" i="7"/>
  <c r="BS112" i="7"/>
  <c r="BS110" i="7"/>
  <c r="BS108" i="7"/>
  <c r="BS106" i="7"/>
  <c r="BS104" i="7"/>
  <c r="BS102" i="7"/>
  <c r="BS100" i="7"/>
  <c r="BS98" i="7"/>
  <c r="BS96" i="7"/>
  <c r="BS94" i="7"/>
  <c r="BS92" i="7"/>
  <c r="BS90" i="7"/>
  <c r="BS88" i="7"/>
  <c r="BS86" i="7"/>
  <c r="BS84" i="7"/>
  <c r="BS82" i="7"/>
  <c r="BS80" i="7"/>
  <c r="BS78" i="7"/>
  <c r="BS76" i="7"/>
  <c r="BS74" i="7"/>
  <c r="BS72" i="7"/>
  <c r="BS70" i="7"/>
  <c r="BS68" i="7"/>
  <c r="BS66" i="7"/>
  <c r="BS64" i="7"/>
  <c r="BS62" i="7"/>
  <c r="BS60" i="7"/>
  <c r="BS58" i="7"/>
  <c r="BS56" i="7"/>
  <c r="BS54" i="7"/>
  <c r="BS52" i="7"/>
  <c r="BS50" i="7"/>
  <c r="BS48" i="7"/>
  <c r="BS46" i="7"/>
  <c r="BS44" i="7"/>
  <c r="BS42" i="7"/>
  <c r="BS40" i="7"/>
  <c r="BS38" i="7"/>
  <c r="BS36" i="7"/>
  <c r="BS34" i="7"/>
  <c r="BS32" i="7"/>
  <c r="BS30" i="7"/>
  <c r="BS28" i="7"/>
  <c r="BS19" i="7"/>
  <c r="BS8" i="7"/>
  <c r="BS26" i="7"/>
  <c r="BS17" i="7"/>
  <c r="BS15" i="7"/>
  <c r="BS13" i="7"/>
  <c r="BS25" i="7"/>
  <c r="BS39" i="7"/>
  <c r="BS12" i="7"/>
  <c r="BS4" i="7"/>
  <c r="BS35" i="7"/>
  <c r="BS29" i="7"/>
  <c r="BS22" i="7"/>
  <c r="BS24" i="7"/>
  <c r="BS6" i="7"/>
  <c r="BS11" i="7"/>
  <c r="BS33" i="7"/>
  <c r="BS27" i="7"/>
  <c r="BS31" i="7"/>
  <c r="BS37" i="7"/>
  <c r="B1270" i="10"/>
  <c r="C1270" i="8"/>
  <c r="B1270" i="7"/>
  <c r="B1270" i="5"/>
  <c r="A1270" i="4"/>
  <c r="A1270" i="6"/>
  <c r="AP4" i="3"/>
  <c r="AP22" i="3"/>
  <c r="AP28" i="3"/>
  <c r="AP82" i="3"/>
  <c r="AP85" i="3"/>
  <c r="AP97" i="3"/>
  <c r="AP100" i="3"/>
  <c r="AP109" i="3"/>
  <c r="U26" i="7"/>
  <c r="U17" i="7"/>
  <c r="U15" i="7"/>
  <c r="U13" i="7"/>
  <c r="U24" i="7"/>
  <c r="U22" i="7"/>
  <c r="U11" i="7"/>
  <c r="U4" i="7"/>
  <c r="U20" i="7"/>
  <c r="U9" i="7"/>
  <c r="U135" i="7"/>
  <c r="U133" i="7"/>
  <c r="U131" i="7"/>
  <c r="U129" i="7"/>
  <c r="U127" i="7"/>
  <c r="U125" i="7"/>
  <c r="U123" i="7"/>
  <c r="U121" i="7"/>
  <c r="U119" i="7"/>
  <c r="U117" i="7"/>
  <c r="U115" i="7"/>
  <c r="U113" i="7"/>
  <c r="U111" i="7"/>
  <c r="U109" i="7"/>
  <c r="U107" i="7"/>
  <c r="U105" i="7"/>
  <c r="U103" i="7"/>
  <c r="U101" i="7"/>
  <c r="U99" i="7"/>
  <c r="U97" i="7"/>
  <c r="U95" i="7"/>
  <c r="U93" i="7"/>
  <c r="U91" i="7"/>
  <c r="U89" i="7"/>
  <c r="U87" i="7"/>
  <c r="U85" i="7"/>
  <c r="U83" i="7"/>
  <c r="U81" i="7"/>
  <c r="U79" i="7"/>
  <c r="U77" i="7"/>
  <c r="U75" i="7"/>
  <c r="U73" i="7"/>
  <c r="U71" i="7"/>
  <c r="U69" i="7"/>
  <c r="U67" i="7"/>
  <c r="U65" i="7"/>
  <c r="U63" i="7"/>
  <c r="U61" i="7"/>
  <c r="U59" i="7"/>
  <c r="U57" i="7"/>
  <c r="U55" i="7"/>
  <c r="U53" i="7"/>
  <c r="U51" i="7"/>
  <c r="U49" i="7"/>
  <c r="U47" i="7"/>
  <c r="U45" i="7"/>
  <c r="U43" i="7"/>
  <c r="U41" i="7"/>
  <c r="U39" i="7"/>
  <c r="U37" i="7"/>
  <c r="U35" i="7"/>
  <c r="U33" i="7"/>
  <c r="U31" i="7"/>
  <c r="U29" i="7"/>
  <c r="U27" i="7"/>
  <c r="U18" i="7"/>
  <c r="U16" i="7"/>
  <c r="U14" i="7"/>
  <c r="U7" i="7"/>
  <c r="U25" i="7"/>
  <c r="U12" i="7"/>
  <c r="U23" i="7"/>
  <c r="U5" i="7"/>
  <c r="U36" i="7"/>
  <c r="U30" i="7"/>
  <c r="U38" i="7"/>
  <c r="U32" i="7"/>
  <c r="U10" i="7"/>
  <c r="U8" i="7"/>
  <c r="U19" i="7"/>
  <c r="U136" i="7"/>
  <c r="U134" i="7"/>
  <c r="U132" i="7"/>
  <c r="U130" i="7"/>
  <c r="U128" i="7"/>
  <c r="U126" i="7"/>
  <c r="U124" i="7"/>
  <c r="U122" i="7"/>
  <c r="U120" i="7"/>
  <c r="U118" i="7"/>
  <c r="U116" i="7"/>
  <c r="U114" i="7"/>
  <c r="U112" i="7"/>
  <c r="U110" i="7"/>
  <c r="U108" i="7"/>
  <c r="U106" i="7"/>
  <c r="U104" i="7"/>
  <c r="U102" i="7"/>
  <c r="U100" i="7"/>
  <c r="U98" i="7"/>
  <c r="U96" i="7"/>
  <c r="U94" i="7"/>
  <c r="U92" i="7"/>
  <c r="U90" i="7"/>
  <c r="U88" i="7"/>
  <c r="U86" i="7"/>
  <c r="U84" i="7"/>
  <c r="U82" i="7"/>
  <c r="U80" i="7"/>
  <c r="U78" i="7"/>
  <c r="U76" i="7"/>
  <c r="G36" i="1" s="1"/>
  <c r="H41" i="1" s="1"/>
  <c r="U74" i="7"/>
  <c r="U72" i="7"/>
  <c r="U70" i="7"/>
  <c r="U68" i="7"/>
  <c r="U66" i="7"/>
  <c r="U64" i="7"/>
  <c r="U62" i="7"/>
  <c r="U60" i="7"/>
  <c r="U58" i="7"/>
  <c r="U56" i="7"/>
  <c r="U54" i="7"/>
  <c r="U52" i="7"/>
  <c r="U50" i="7"/>
  <c r="U48" i="7"/>
  <c r="U46" i="7"/>
  <c r="U44" i="7"/>
  <c r="U42" i="7"/>
  <c r="U34" i="7"/>
  <c r="U28" i="7"/>
  <c r="U21" i="7"/>
  <c r="U40" i="7"/>
  <c r="U6" i="7"/>
  <c r="F36" i="1"/>
  <c r="AC54" i="2"/>
  <c r="AC126" i="2"/>
  <c r="AJ6" i="3"/>
  <c r="AJ9" i="3"/>
  <c r="AJ12" i="3"/>
  <c r="AA14" i="3"/>
  <c r="AJ15" i="3"/>
  <c r="AJ18" i="3"/>
  <c r="AJ21" i="3"/>
  <c r="AJ24" i="3"/>
  <c r="AJ27" i="3"/>
  <c r="AJ30" i="3"/>
  <c r="AJ33" i="3"/>
  <c r="AJ36" i="3"/>
  <c r="AJ39" i="3"/>
  <c r="AJ42" i="3"/>
  <c r="AJ45" i="3"/>
  <c r="AJ48" i="3"/>
  <c r="AJ51" i="3"/>
  <c r="AJ54" i="3"/>
  <c r="AJ57" i="3"/>
  <c r="AJ60" i="3"/>
  <c r="AJ63" i="3"/>
  <c r="AJ66" i="3"/>
  <c r="AJ69" i="3"/>
  <c r="AJ72" i="3"/>
  <c r="AJ75" i="3"/>
  <c r="AJ78" i="3"/>
  <c r="AJ81" i="3"/>
  <c r="AJ84" i="3"/>
  <c r="AJ87" i="3"/>
  <c r="AJ90" i="3"/>
  <c r="AJ93" i="3"/>
  <c r="AJ96" i="3"/>
  <c r="AJ99" i="3"/>
  <c r="AJ102" i="3"/>
  <c r="AJ105" i="3"/>
  <c r="AJ108" i="3"/>
  <c r="AJ111" i="3"/>
  <c r="AJ114" i="3"/>
  <c r="AJ117" i="3"/>
  <c r="AJ120" i="3"/>
  <c r="AJ123" i="3"/>
  <c r="AJ126" i="3"/>
  <c r="AJ129" i="3"/>
  <c r="AJ132" i="3"/>
  <c r="AJ135" i="3"/>
  <c r="AO4" i="4"/>
  <c r="CV5" i="4"/>
  <c r="CR6" i="4"/>
  <c r="CR8" i="4"/>
  <c r="DB11" i="4"/>
  <c r="CR12" i="4"/>
  <c r="AO13" i="4"/>
  <c r="DB14" i="4"/>
  <c r="CW15" i="4"/>
  <c r="AM17" i="4"/>
  <c r="DJ17" i="4"/>
  <c r="DF20" i="4"/>
  <c r="DA24" i="4"/>
  <c r="AM24" i="4"/>
  <c r="DI24" i="4"/>
  <c r="CT26" i="4"/>
  <c r="DA27" i="4"/>
  <c r="CT47" i="4"/>
  <c r="AO61" i="4"/>
  <c r="DJ69" i="4"/>
  <c r="DJ68" i="4"/>
  <c r="CT132" i="4"/>
  <c r="AB127" i="2"/>
  <c r="AP5" i="3"/>
  <c r="AK6" i="3"/>
  <c r="AP8" i="3"/>
  <c r="AK9" i="3"/>
  <c r="AP11" i="3"/>
  <c r="AK12" i="3"/>
  <c r="AP14" i="3"/>
  <c r="AK15" i="3"/>
  <c r="AP17" i="3"/>
  <c r="AK18" i="3"/>
  <c r="AP20" i="3"/>
  <c r="AK21" i="3"/>
  <c r="AP23" i="3"/>
  <c r="AK24" i="3"/>
  <c r="AP26" i="3"/>
  <c r="AK27" i="3"/>
  <c r="AP29" i="3"/>
  <c r="AK30" i="3"/>
  <c r="AP32" i="3"/>
  <c r="AK33" i="3"/>
  <c r="AP35" i="3"/>
  <c r="AK36" i="3"/>
  <c r="AP38" i="3"/>
  <c r="AK39" i="3"/>
  <c r="AP41" i="3"/>
  <c r="AK42" i="3"/>
  <c r="AP44" i="3"/>
  <c r="AK45" i="3"/>
  <c r="AP47" i="3"/>
  <c r="AK48" i="3"/>
  <c r="AP50" i="3"/>
  <c r="AK51" i="3"/>
  <c r="AP53" i="3"/>
  <c r="AK54" i="3"/>
  <c r="AP56" i="3"/>
  <c r="AK57" i="3"/>
  <c r="AP59" i="3"/>
  <c r="AK60" i="3"/>
  <c r="AP62" i="3"/>
  <c r="AK63" i="3"/>
  <c r="AP65" i="3"/>
  <c r="AK66" i="3"/>
  <c r="AP68" i="3"/>
  <c r="AK69" i="3"/>
  <c r="AP71" i="3"/>
  <c r="AK72" i="3"/>
  <c r="AP74" i="3"/>
  <c r="AK75" i="3"/>
  <c r="AP77" i="3"/>
  <c r="AK78" i="3"/>
  <c r="AP80" i="3"/>
  <c r="AK81" i="3"/>
  <c r="AP83" i="3"/>
  <c r="AK84" i="3"/>
  <c r="AP86" i="3"/>
  <c r="AK87" i="3"/>
  <c r="AP89" i="3"/>
  <c r="AK90" i="3"/>
  <c r="AP92" i="3"/>
  <c r="AK93" i="3"/>
  <c r="AP95" i="3"/>
  <c r="AK96" i="3"/>
  <c r="AP98" i="3"/>
  <c r="AK99" i="3"/>
  <c r="AP101" i="3"/>
  <c r="AK102" i="3"/>
  <c r="AP104" i="3"/>
  <c r="AK105" i="3"/>
  <c r="AP107" i="3"/>
  <c r="AK108" i="3"/>
  <c r="AP110" i="3"/>
  <c r="AK111" i="3"/>
  <c r="AP113" i="3"/>
  <c r="AK114" i="3"/>
  <c r="AP116" i="3"/>
  <c r="AK117" i="3"/>
  <c r="AP119" i="3"/>
  <c r="AK120" i="3"/>
  <c r="AP122" i="3"/>
  <c r="AK123" i="3"/>
  <c r="AP125" i="3"/>
  <c r="AK126" i="3"/>
  <c r="AP128" i="3"/>
  <c r="AK129" i="3"/>
  <c r="AP131" i="3"/>
  <c r="AK132" i="3"/>
  <c r="AP134" i="3"/>
  <c r="AK135" i="3"/>
  <c r="CW5" i="4"/>
  <c r="CS6" i="4"/>
  <c r="AM7" i="4"/>
  <c r="CS8" i="4"/>
  <c r="DG8" i="4" a="1"/>
  <c r="DG8" i="4" s="1"/>
  <c r="AO9" i="4"/>
  <c r="CQ10" i="4"/>
  <c r="CS12" i="4"/>
  <c r="DG12" i="4" a="1"/>
  <c r="DG12" i="4" s="1"/>
  <c r="CS14" i="4"/>
  <c r="CR24" i="4"/>
  <c r="DG25" i="4" a="1"/>
  <c r="DG25" i="4" s="1"/>
  <c r="CV27" i="4"/>
  <c r="CR37" i="4"/>
  <c r="AB5" i="2"/>
  <c r="AB65" i="2"/>
  <c r="S118" i="7"/>
  <c r="S94" i="7"/>
  <c r="S70" i="7"/>
  <c r="S46" i="7"/>
  <c r="S20" i="7"/>
  <c r="S115" i="7"/>
  <c r="S91" i="7"/>
  <c r="S67" i="7"/>
  <c r="S43" i="7"/>
  <c r="S7" i="7"/>
  <c r="S34" i="7"/>
  <c r="A38" i="12"/>
  <c r="CL21" i="7"/>
  <c r="AJ2" i="7"/>
  <c r="H2" i="7"/>
  <c r="CL20" i="7"/>
  <c r="BA2" i="7"/>
  <c r="BT135" i="7"/>
  <c r="BT133" i="7"/>
  <c r="BT131" i="7"/>
  <c r="BT129" i="7"/>
  <c r="BT127" i="7"/>
  <c r="BT125" i="7"/>
  <c r="BT123" i="7"/>
  <c r="BT121" i="7"/>
  <c r="BT119" i="7"/>
  <c r="BT117" i="7"/>
  <c r="BT115" i="7"/>
  <c r="BT113" i="7"/>
  <c r="BT111" i="7"/>
  <c r="BT109" i="7"/>
  <c r="BT107" i="7"/>
  <c r="BT105" i="7"/>
  <c r="BT103" i="7"/>
  <c r="BT101" i="7"/>
  <c r="BT99" i="7"/>
  <c r="BT97" i="7"/>
  <c r="BT95" i="7"/>
  <c r="BT93" i="7"/>
  <c r="BT91" i="7"/>
  <c r="BT89" i="7"/>
  <c r="BT87" i="7"/>
  <c r="BT85" i="7"/>
  <c r="BT83" i="7"/>
  <c r="BT81" i="7"/>
  <c r="BT79" i="7"/>
  <c r="BT77" i="7"/>
  <c r="BT75" i="7"/>
  <c r="BT73" i="7"/>
  <c r="BT71" i="7"/>
  <c r="BT69" i="7"/>
  <c r="BT67" i="7"/>
  <c r="BT65" i="7"/>
  <c r="BT63" i="7"/>
  <c r="BT61" i="7"/>
  <c r="BT59" i="7"/>
  <c r="BT57" i="7"/>
  <c r="BT55" i="7"/>
  <c r="BT53" i="7"/>
  <c r="BT51" i="7"/>
  <c r="BT49" i="7"/>
  <c r="BT47" i="7"/>
  <c r="BT45" i="7"/>
  <c r="BT43" i="7"/>
  <c r="BT41" i="7"/>
  <c r="BT39" i="7"/>
  <c r="BT37" i="7"/>
  <c r="BT35" i="7"/>
  <c r="BT33" i="7"/>
  <c r="BT31" i="7"/>
  <c r="BT29" i="7"/>
  <c r="BT27" i="7"/>
  <c r="BT25" i="7"/>
  <c r="BT12" i="7"/>
  <c r="BT21" i="7"/>
  <c r="BT10" i="7"/>
  <c r="BT136" i="7"/>
  <c r="BT134" i="7"/>
  <c r="BT132" i="7"/>
  <c r="BT130" i="7"/>
  <c r="BT128" i="7"/>
  <c r="BT126" i="7"/>
  <c r="BT124" i="7"/>
  <c r="BT122" i="7"/>
  <c r="BT120" i="7"/>
  <c r="BT118" i="7"/>
  <c r="BT116" i="7"/>
  <c r="BT114" i="7"/>
  <c r="BT112" i="7"/>
  <c r="BT110" i="7"/>
  <c r="BT108" i="7"/>
  <c r="BT106" i="7"/>
  <c r="BT104" i="7"/>
  <c r="BT102" i="7"/>
  <c r="BT100" i="7"/>
  <c r="BT98" i="7"/>
  <c r="BT96" i="7"/>
  <c r="BT94" i="7"/>
  <c r="BT92" i="7"/>
  <c r="BT90" i="7"/>
  <c r="BT88" i="7"/>
  <c r="BT86" i="7"/>
  <c r="BT84" i="7"/>
  <c r="BT82" i="7"/>
  <c r="BT80" i="7"/>
  <c r="BT78" i="7"/>
  <c r="BT76" i="7"/>
  <c r="BT74" i="7"/>
  <c r="BT72" i="7"/>
  <c r="BT70" i="7"/>
  <c r="BT68" i="7"/>
  <c r="BT66" i="7"/>
  <c r="BT64" i="7"/>
  <c r="BT62" i="7"/>
  <c r="BT60" i="7"/>
  <c r="BT58" i="7"/>
  <c r="BT56" i="7"/>
  <c r="BT54" i="7"/>
  <c r="BT52" i="7"/>
  <c r="BT50" i="7"/>
  <c r="BT48" i="7"/>
  <c r="BT46" i="7"/>
  <c r="BT44" i="7"/>
  <c r="BT42" i="7"/>
  <c r="BT40" i="7"/>
  <c r="BT38" i="7"/>
  <c r="BT36" i="7"/>
  <c r="BT34" i="7"/>
  <c r="BT32" i="7"/>
  <c r="BT30" i="7"/>
  <c r="BT28" i="7"/>
  <c r="BT19" i="7"/>
  <c r="BT8" i="7"/>
  <c r="BT26" i="7"/>
  <c r="BT17" i="7"/>
  <c r="BT15" i="7"/>
  <c r="BT13" i="7"/>
  <c r="BT6" i="7"/>
  <c r="BT23" i="7"/>
  <c r="BT16" i="7"/>
  <c r="BT11" i="7"/>
  <c r="BT9" i="7"/>
  <c r="BT18" i="7"/>
  <c r="BT4" i="7"/>
  <c r="BT20" i="7"/>
  <c r="BT22" i="7"/>
  <c r="BT5" i="7"/>
  <c r="BT14" i="7"/>
  <c r="BT24" i="7"/>
  <c r="BT7" i="7"/>
  <c r="AB25" i="2"/>
  <c r="BK23" i="7"/>
  <c r="BK136" i="7"/>
  <c r="BK134" i="7"/>
  <c r="BK132" i="7"/>
  <c r="BK130" i="7"/>
  <c r="BK128" i="7"/>
  <c r="BK126" i="7"/>
  <c r="BK124" i="7"/>
  <c r="BK122" i="7"/>
  <c r="BK120" i="7"/>
  <c r="BK118" i="7"/>
  <c r="BK116" i="7"/>
  <c r="BK114" i="7"/>
  <c r="BK112" i="7"/>
  <c r="BK110" i="7"/>
  <c r="BK108" i="7"/>
  <c r="BK106" i="7"/>
  <c r="BK104" i="7"/>
  <c r="BK102" i="7"/>
  <c r="BK100" i="7"/>
  <c r="BK98" i="7"/>
  <c r="BK96" i="7"/>
  <c r="BK94" i="7"/>
  <c r="BK92" i="7"/>
  <c r="BK90" i="7"/>
  <c r="BK88" i="7"/>
  <c r="BK86" i="7"/>
  <c r="BK84" i="7"/>
  <c r="BK82" i="7"/>
  <c r="BK80" i="7"/>
  <c r="BK78" i="7"/>
  <c r="BK76" i="7"/>
  <c r="BK74" i="7"/>
  <c r="BK72" i="7"/>
  <c r="BK70" i="7"/>
  <c r="BK68" i="7"/>
  <c r="BK66" i="7"/>
  <c r="BK64" i="7"/>
  <c r="BK62" i="7"/>
  <c r="BK60" i="7"/>
  <c r="BK58" i="7"/>
  <c r="BK56" i="7"/>
  <c r="BK54" i="7"/>
  <c r="BK52" i="7"/>
  <c r="BK50" i="7"/>
  <c r="BK48" i="7"/>
  <c r="BK46" i="7"/>
  <c r="BK44" i="7"/>
  <c r="BK42" i="7"/>
  <c r="BK26" i="7"/>
  <c r="BK17" i="7"/>
  <c r="BK15" i="7"/>
  <c r="BK13" i="7"/>
  <c r="BK6" i="7"/>
  <c r="BK24" i="7"/>
  <c r="BK22" i="7"/>
  <c r="BK11" i="7"/>
  <c r="BK4" i="7"/>
  <c r="BK20" i="7"/>
  <c r="BK9" i="7"/>
  <c r="BK135" i="7"/>
  <c r="BK133" i="7"/>
  <c r="BK131" i="7"/>
  <c r="BK129" i="7"/>
  <c r="BK127" i="7"/>
  <c r="BK125" i="7"/>
  <c r="BK123" i="7"/>
  <c r="BK121" i="7"/>
  <c r="BK119" i="7"/>
  <c r="BK117" i="7"/>
  <c r="BK115" i="7"/>
  <c r="BK113" i="7"/>
  <c r="BK111" i="7"/>
  <c r="BK109" i="7"/>
  <c r="BK107" i="7"/>
  <c r="BK105" i="7"/>
  <c r="BK103" i="7"/>
  <c r="BK101" i="7"/>
  <c r="BK99" i="7"/>
  <c r="BK97" i="7"/>
  <c r="BK95" i="7"/>
  <c r="BK93" i="7"/>
  <c r="BK91" i="7"/>
  <c r="BK89" i="7"/>
  <c r="BK87" i="7"/>
  <c r="BK85" i="7"/>
  <c r="BK83" i="7"/>
  <c r="BK81" i="7"/>
  <c r="BK79" i="7"/>
  <c r="BK77" i="7"/>
  <c r="BK75" i="7"/>
  <c r="BK73" i="7"/>
  <c r="BK71" i="7"/>
  <c r="BK69" i="7"/>
  <c r="BK67" i="7"/>
  <c r="BK65" i="7"/>
  <c r="BK63" i="7"/>
  <c r="BK61" i="7"/>
  <c r="BK59" i="7"/>
  <c r="BK57" i="7"/>
  <c r="BK55" i="7"/>
  <c r="BK53" i="7"/>
  <c r="BK51" i="7"/>
  <c r="BK49" i="7"/>
  <c r="BK47" i="7"/>
  <c r="BK45" i="7"/>
  <c r="BK43" i="7"/>
  <c r="BK41" i="7"/>
  <c r="BK39" i="7"/>
  <c r="BK37" i="7"/>
  <c r="BK35" i="7"/>
  <c r="BK33" i="7"/>
  <c r="BK31" i="7"/>
  <c r="BK29" i="7"/>
  <c r="BK8" i="7"/>
  <c r="BK21" i="7"/>
  <c r="BK19" i="7"/>
  <c r="BK34" i="7"/>
  <c r="BK28" i="7"/>
  <c r="BK40" i="7"/>
  <c r="BK27" i="7"/>
  <c r="BK25" i="7"/>
  <c r="BK36" i="7"/>
  <c r="BK30" i="7"/>
  <c r="BK7" i="7"/>
  <c r="BK18" i="7"/>
  <c r="BK12" i="7"/>
  <c r="BK10" i="7"/>
  <c r="BK38" i="7"/>
  <c r="BK32" i="7"/>
  <c r="BK5" i="7"/>
  <c r="BK14" i="7"/>
  <c r="BK16" i="7"/>
  <c r="AC37" i="2"/>
  <c r="AC109" i="2"/>
  <c r="AL6" i="3"/>
  <c r="AL9" i="3"/>
  <c r="AL12" i="3"/>
  <c r="AL15" i="3"/>
  <c r="AL18" i="3"/>
  <c r="AL21" i="3"/>
  <c r="AL24" i="3"/>
  <c r="AL27" i="3"/>
  <c r="AL30" i="3"/>
  <c r="AL33" i="3"/>
  <c r="AL36" i="3"/>
  <c r="AH37" i="3"/>
  <c r="AL39" i="3"/>
  <c r="AH40" i="3"/>
  <c r="AL42" i="3"/>
  <c r="AH43" i="3"/>
  <c r="AL45" i="3"/>
  <c r="AH46" i="3"/>
  <c r="AL48" i="3"/>
  <c r="AH49" i="3"/>
  <c r="AL51" i="3"/>
  <c r="AH52" i="3"/>
  <c r="AL54" i="3"/>
  <c r="AH55" i="3"/>
  <c r="AL57" i="3"/>
  <c r="AH58" i="3"/>
  <c r="AL60" i="3"/>
  <c r="AH61" i="3"/>
  <c r="AL63" i="3"/>
  <c r="AH64" i="3"/>
  <c r="AL66" i="3"/>
  <c r="AH67" i="3"/>
  <c r="AL69" i="3"/>
  <c r="AH70" i="3"/>
  <c r="AL72" i="3"/>
  <c r="AH73" i="3"/>
  <c r="AL75" i="3"/>
  <c r="AH76" i="3"/>
  <c r="AL78" i="3"/>
  <c r="AH79" i="3"/>
  <c r="AL81" i="3"/>
  <c r="AH82" i="3"/>
  <c r="AL84" i="3"/>
  <c r="AH85" i="3"/>
  <c r="AL87" i="3"/>
  <c r="AH88" i="3"/>
  <c r="AL90" i="3"/>
  <c r="AH91" i="3"/>
  <c r="AL93" i="3"/>
  <c r="AH94" i="3"/>
  <c r="AL96" i="3"/>
  <c r="AH97" i="3"/>
  <c r="AL99" i="3"/>
  <c r="AH100" i="3"/>
  <c r="AL102" i="3"/>
  <c r="AH103" i="3"/>
  <c r="AL105" i="3"/>
  <c r="AH106" i="3"/>
  <c r="AL108" i="3"/>
  <c r="AH109" i="3"/>
  <c r="AL111" i="3"/>
  <c r="AH112" i="3"/>
  <c r="AL114" i="3"/>
  <c r="AH115" i="3"/>
  <c r="AL117" i="3"/>
  <c r="AH118" i="3"/>
  <c r="AL120" i="3"/>
  <c r="AH121" i="3"/>
  <c r="AL123" i="3"/>
  <c r="AH124" i="3"/>
  <c r="AL126" i="3"/>
  <c r="AH127" i="3"/>
  <c r="AL129" i="3"/>
  <c r="AH130" i="3"/>
  <c r="AL132" i="3"/>
  <c r="AH133" i="3"/>
  <c r="AL135" i="3"/>
  <c r="AH136" i="3"/>
  <c r="CT6" i="4"/>
  <c r="CT8" i="4"/>
  <c r="CR10" i="4"/>
  <c r="DD11" i="4"/>
  <c r="CT12" i="4"/>
  <c r="CT14" i="4"/>
  <c r="DA16" i="4"/>
  <c r="AM16" i="4"/>
  <c r="DE19" i="4"/>
  <c r="CQ23" i="4"/>
  <c r="DE28" i="4"/>
  <c r="CU35" i="4"/>
  <c r="AM72" i="4"/>
  <c r="DI97" i="4"/>
  <c r="DI96" i="4"/>
  <c r="BL21" i="7"/>
  <c r="BL10" i="7"/>
  <c r="BL136" i="7"/>
  <c r="BL134" i="7"/>
  <c r="BL132" i="7"/>
  <c r="BL130" i="7"/>
  <c r="BL128" i="7"/>
  <c r="BL126" i="7"/>
  <c r="BL124" i="7"/>
  <c r="BL122" i="7"/>
  <c r="BL120" i="7"/>
  <c r="BL118" i="7"/>
  <c r="BL116" i="7"/>
  <c r="BL114" i="7"/>
  <c r="BL112" i="7"/>
  <c r="BL110" i="7"/>
  <c r="BL108" i="7"/>
  <c r="BL106" i="7"/>
  <c r="BL104" i="7"/>
  <c r="BL102" i="7"/>
  <c r="BL100" i="7"/>
  <c r="BL98" i="7"/>
  <c r="BL96" i="7"/>
  <c r="BL94" i="7"/>
  <c r="BL92" i="7"/>
  <c r="BL90" i="7"/>
  <c r="BL88" i="7"/>
  <c r="BL86" i="7"/>
  <c r="BL84" i="7"/>
  <c r="BL82" i="7"/>
  <c r="BL80" i="7"/>
  <c r="BL78" i="7"/>
  <c r="BL76" i="7"/>
  <c r="BL74" i="7"/>
  <c r="BL72" i="7"/>
  <c r="BL70" i="7"/>
  <c r="BL68" i="7"/>
  <c r="BL66" i="7"/>
  <c r="BL64" i="7"/>
  <c r="BL62" i="7"/>
  <c r="BL60" i="7"/>
  <c r="BL58" i="7"/>
  <c r="BL56" i="7"/>
  <c r="BL54" i="7"/>
  <c r="BL52" i="7"/>
  <c r="BL50" i="7"/>
  <c r="BL48" i="7"/>
  <c r="BL46" i="7"/>
  <c r="BL44" i="7"/>
  <c r="BL42" i="7"/>
  <c r="BL40" i="7"/>
  <c r="BL38" i="7"/>
  <c r="BL36" i="7"/>
  <c r="BL34" i="7"/>
  <c r="BL32" i="7"/>
  <c r="BL30" i="7"/>
  <c r="BL28" i="7"/>
  <c r="BL19" i="7"/>
  <c r="BL8" i="7"/>
  <c r="BL6" i="7"/>
  <c r="BL24" i="7"/>
  <c r="BL22" i="7"/>
  <c r="BL11" i="7"/>
  <c r="BL4" i="7"/>
  <c r="BL20" i="7"/>
  <c r="BL9" i="7"/>
  <c r="BL135" i="7"/>
  <c r="BL133" i="7"/>
  <c r="BL131" i="7"/>
  <c r="BL129" i="7"/>
  <c r="BL127" i="7"/>
  <c r="BL125" i="7"/>
  <c r="BL123" i="7"/>
  <c r="BL121" i="7"/>
  <c r="BL119" i="7"/>
  <c r="BL117" i="7"/>
  <c r="BL115" i="7"/>
  <c r="BL113" i="7"/>
  <c r="BL111" i="7"/>
  <c r="BL109" i="7"/>
  <c r="BL107" i="7"/>
  <c r="BL105" i="7"/>
  <c r="BL103" i="7"/>
  <c r="BL101" i="7"/>
  <c r="BL99" i="7"/>
  <c r="BL97" i="7"/>
  <c r="BL95" i="7"/>
  <c r="BL93" i="7"/>
  <c r="BL91" i="7"/>
  <c r="BL89" i="7"/>
  <c r="BL87" i="7"/>
  <c r="BL85" i="7"/>
  <c r="BL83" i="7"/>
  <c r="BL81" i="7"/>
  <c r="BL79" i="7"/>
  <c r="BL77" i="7"/>
  <c r="BL75" i="7"/>
  <c r="BL73" i="7"/>
  <c r="BL71" i="7"/>
  <c r="BL69" i="7"/>
  <c r="BL67" i="7"/>
  <c r="BL65" i="7"/>
  <c r="BL63" i="7"/>
  <c r="BL61" i="7"/>
  <c r="BL59" i="7"/>
  <c r="BL57" i="7"/>
  <c r="BL55" i="7"/>
  <c r="BL53" i="7"/>
  <c r="BL51" i="7"/>
  <c r="BL49" i="7"/>
  <c r="BL47" i="7"/>
  <c r="BL45" i="7"/>
  <c r="BL43" i="7"/>
  <c r="BL41" i="7"/>
  <c r="BL39" i="7"/>
  <c r="BL37" i="7"/>
  <c r="BL35" i="7"/>
  <c r="BL33" i="7"/>
  <c r="BL31" i="7"/>
  <c r="BL29" i="7"/>
  <c r="BL27" i="7"/>
  <c r="BL17" i="7"/>
  <c r="BL26" i="7"/>
  <c r="BL16" i="7"/>
  <c r="BL25" i="7"/>
  <c r="BL13" i="7"/>
  <c r="BL7" i="7"/>
  <c r="BL18" i="7"/>
  <c r="BL12" i="7"/>
  <c r="BL15" i="7"/>
  <c r="BL23" i="7"/>
  <c r="BL5" i="7"/>
  <c r="BL14" i="7"/>
  <c r="BR135" i="7"/>
  <c r="BR133" i="7"/>
  <c r="BR131" i="7"/>
  <c r="BR129" i="7"/>
  <c r="BR127" i="7"/>
  <c r="BR125" i="7"/>
  <c r="BR123" i="7"/>
  <c r="BR121" i="7"/>
  <c r="BR119" i="7"/>
  <c r="BR117" i="7"/>
  <c r="BR115" i="7"/>
  <c r="BR113" i="7"/>
  <c r="BR111" i="7"/>
  <c r="BR109" i="7"/>
  <c r="BR107" i="7"/>
  <c r="BR105" i="7"/>
  <c r="BR103" i="7"/>
  <c r="BR101" i="7"/>
  <c r="BR99" i="7"/>
  <c r="BR97" i="7"/>
  <c r="BR95" i="7"/>
  <c r="BR93" i="7"/>
  <c r="BR91" i="7"/>
  <c r="BR89" i="7"/>
  <c r="BR87" i="7"/>
  <c r="BR85" i="7"/>
  <c r="BR83" i="7"/>
  <c r="BR81" i="7"/>
  <c r="BR79" i="7"/>
  <c r="BR77" i="7"/>
  <c r="BR75" i="7"/>
  <c r="BR73" i="7"/>
  <c r="BR71" i="7"/>
  <c r="BR69" i="7"/>
  <c r="BR67" i="7"/>
  <c r="BR65" i="7"/>
  <c r="BR63" i="7"/>
  <c r="BR61" i="7"/>
  <c r="BR59" i="7"/>
  <c r="BR57" i="7"/>
  <c r="BR55" i="7"/>
  <c r="BR53" i="7"/>
  <c r="BR51" i="7"/>
  <c r="BR49" i="7"/>
  <c r="BR47" i="7"/>
  <c r="BR45" i="7"/>
  <c r="BR43" i="7"/>
  <c r="BR41" i="7"/>
  <c r="BR39" i="7"/>
  <c r="BR37" i="7"/>
  <c r="BR35" i="7"/>
  <c r="BR33" i="7"/>
  <c r="BR31" i="7"/>
  <c r="BR29" i="7"/>
  <c r="BR27" i="7"/>
  <c r="BR25" i="7"/>
  <c r="BR12" i="7"/>
  <c r="BR23" i="7"/>
  <c r="BR5" i="7"/>
  <c r="BR21" i="7"/>
  <c r="BR10" i="7"/>
  <c r="BR136" i="7"/>
  <c r="BR134" i="7"/>
  <c r="BR132" i="7"/>
  <c r="BR130" i="7"/>
  <c r="BR128" i="7"/>
  <c r="BR126" i="7"/>
  <c r="BR124" i="7"/>
  <c r="BR122" i="7"/>
  <c r="BR120" i="7"/>
  <c r="BR118" i="7"/>
  <c r="BR116" i="7"/>
  <c r="BR114" i="7"/>
  <c r="BR112" i="7"/>
  <c r="BR110" i="7"/>
  <c r="BR108" i="7"/>
  <c r="BR106" i="7"/>
  <c r="BR104" i="7"/>
  <c r="BR102" i="7"/>
  <c r="BR100" i="7"/>
  <c r="BR98" i="7"/>
  <c r="BR96" i="7"/>
  <c r="BR94" i="7"/>
  <c r="BR92" i="7"/>
  <c r="BR90" i="7"/>
  <c r="BR88" i="7"/>
  <c r="BR86" i="7"/>
  <c r="BR84" i="7"/>
  <c r="BR82" i="7"/>
  <c r="BR80" i="7"/>
  <c r="BR78" i="7"/>
  <c r="BR76" i="7"/>
  <c r="BR74" i="7"/>
  <c r="BR72" i="7"/>
  <c r="BR70" i="7"/>
  <c r="BR68" i="7"/>
  <c r="BR66" i="7"/>
  <c r="BR64" i="7"/>
  <c r="BR62" i="7"/>
  <c r="BR60" i="7"/>
  <c r="BR58" i="7"/>
  <c r="BR56" i="7"/>
  <c r="BR54" i="7"/>
  <c r="BR52" i="7"/>
  <c r="BR50" i="7"/>
  <c r="BR48" i="7"/>
  <c r="BR46" i="7"/>
  <c r="BR44" i="7"/>
  <c r="BR42" i="7"/>
  <c r="BR40" i="7"/>
  <c r="BR38" i="7"/>
  <c r="BR36" i="7"/>
  <c r="BR34" i="7"/>
  <c r="BR32" i="7"/>
  <c r="BR30" i="7"/>
  <c r="BR28" i="7"/>
  <c r="BR19" i="7"/>
  <c r="BR8" i="7"/>
  <c r="BR6" i="7"/>
  <c r="BR16" i="7"/>
  <c r="BR13" i="7"/>
  <c r="BR11" i="7"/>
  <c r="BR7" i="7"/>
  <c r="BR18" i="7"/>
  <c r="BR15" i="7"/>
  <c r="BR20" i="7"/>
  <c r="BR4" i="7"/>
  <c r="BR22" i="7"/>
  <c r="BR17" i="7"/>
  <c r="BR14" i="7"/>
  <c r="BR9" i="7"/>
  <c r="BR24" i="7"/>
  <c r="BR26" i="7"/>
  <c r="X136" i="6"/>
  <c r="X124" i="6"/>
  <c r="X112" i="6"/>
  <c r="X100" i="6"/>
  <c r="X88" i="6"/>
  <c r="X76" i="6"/>
  <c r="X64" i="6"/>
  <c r="X52" i="6"/>
  <c r="X126" i="6"/>
  <c r="X114" i="6"/>
  <c r="X102" i="6"/>
  <c r="X90" i="6"/>
  <c r="X78" i="6"/>
  <c r="X66" i="6"/>
  <c r="X133" i="6"/>
  <c r="X121" i="6"/>
  <c r="X109" i="6"/>
  <c r="X97" i="6"/>
  <c r="X85" i="6"/>
  <c r="X73" i="6"/>
  <c r="X61" i="6"/>
  <c r="X49" i="6"/>
  <c r="X37" i="6"/>
  <c r="X25" i="6"/>
  <c r="X13" i="6"/>
  <c r="X128" i="6"/>
  <c r="X116" i="6"/>
  <c r="X104" i="6"/>
  <c r="X92" i="6"/>
  <c r="X80" i="6"/>
  <c r="X68" i="6"/>
  <c r="X56" i="6"/>
  <c r="X44" i="6"/>
  <c r="X32" i="6"/>
  <c r="X135" i="6"/>
  <c r="X123" i="6"/>
  <c r="X111" i="6"/>
  <c r="X99" i="6"/>
  <c r="X87" i="6"/>
  <c r="X75" i="6"/>
  <c r="X63" i="6"/>
  <c r="X51" i="6"/>
  <c r="X39" i="6"/>
  <c r="X27" i="6"/>
  <c r="X15" i="6"/>
  <c r="X130" i="6"/>
  <c r="X118" i="6"/>
  <c r="X106" i="6"/>
  <c r="X94" i="6"/>
  <c r="X82" i="6"/>
  <c r="X70" i="6"/>
  <c r="X58" i="6"/>
  <c r="X46" i="6"/>
  <c r="X34" i="6"/>
  <c r="X22" i="6"/>
  <c r="X10" i="6"/>
  <c r="X50" i="6"/>
  <c r="X33" i="6"/>
  <c r="X17" i="6"/>
  <c r="X53" i="6"/>
  <c r="X47" i="6"/>
  <c r="X30" i="6"/>
  <c r="X14" i="6"/>
  <c r="X6" i="6"/>
  <c r="X19" i="6"/>
  <c r="X11" i="6"/>
  <c r="X35" i="6"/>
  <c r="X21" i="6"/>
  <c r="X43" i="6"/>
  <c r="X16" i="6"/>
  <c r="X132" i="6"/>
  <c r="X120" i="6"/>
  <c r="X108" i="6"/>
  <c r="X96" i="6"/>
  <c r="X84" i="6"/>
  <c r="X72" i="6"/>
  <c r="X60" i="6"/>
  <c r="X29" i="6"/>
  <c r="X5" i="6"/>
  <c r="X129" i="6"/>
  <c r="X117" i="6"/>
  <c r="X105" i="6"/>
  <c r="X93" i="6"/>
  <c r="X81" i="6"/>
  <c r="X69" i="6"/>
  <c r="X57" i="6"/>
  <c r="X40" i="6"/>
  <c r="X26" i="6"/>
  <c r="X18" i="6"/>
  <c r="X54" i="6"/>
  <c r="X48" i="6"/>
  <c r="X31" i="6"/>
  <c r="X23" i="6"/>
  <c r="X7" i="6"/>
  <c r="X45" i="6"/>
  <c r="X20" i="6"/>
  <c r="X12" i="6"/>
  <c r="X127" i="6"/>
  <c r="X101" i="6"/>
  <c r="X91" i="6"/>
  <c r="X65" i="6"/>
  <c r="X55" i="6"/>
  <c r="X8" i="6"/>
  <c r="X107" i="6"/>
  <c r="X71" i="6"/>
  <c r="X110" i="6"/>
  <c r="X74" i="6"/>
  <c r="X4" i="6"/>
  <c r="X113" i="6"/>
  <c r="X103" i="6"/>
  <c r="X77" i="6"/>
  <c r="X67" i="6"/>
  <c r="X42" i="6"/>
  <c r="X36" i="6"/>
  <c r="X119" i="6"/>
  <c r="X83" i="6"/>
  <c r="X122" i="6"/>
  <c r="X86" i="6"/>
  <c r="X28" i="6"/>
  <c r="X125" i="6"/>
  <c r="X115" i="6"/>
  <c r="X89" i="6"/>
  <c r="X79" i="6"/>
  <c r="X9" i="6"/>
  <c r="X38" i="6"/>
  <c r="X24" i="6"/>
  <c r="X131" i="6"/>
  <c r="X95" i="6"/>
  <c r="X59" i="6"/>
  <c r="X41" i="6"/>
  <c r="X134" i="6"/>
  <c r="X98" i="6"/>
  <c r="X62" i="6"/>
  <c r="AB38" i="2"/>
  <c r="P5" i="3"/>
  <c r="P8" i="3"/>
  <c r="P11" i="3"/>
  <c r="P14" i="3"/>
  <c r="P17" i="3"/>
  <c r="P20" i="3"/>
  <c r="P23" i="3"/>
  <c r="P26" i="3"/>
  <c r="AI28" i="3"/>
  <c r="P29" i="3"/>
  <c r="AI31" i="3"/>
  <c r="P32" i="3"/>
  <c r="AI34" i="3"/>
  <c r="P35" i="3"/>
  <c r="AI37" i="3"/>
  <c r="P38" i="3"/>
  <c r="AI40" i="3"/>
  <c r="P41" i="3"/>
  <c r="AI43" i="3"/>
  <c r="P44" i="3"/>
  <c r="AI46" i="3"/>
  <c r="P47" i="3"/>
  <c r="AM48" i="3"/>
  <c r="AI49" i="3"/>
  <c r="P50" i="3"/>
  <c r="AM51" i="3"/>
  <c r="AI52" i="3"/>
  <c r="P53" i="3"/>
  <c r="AM54" i="3"/>
  <c r="AI55" i="3"/>
  <c r="P56" i="3"/>
  <c r="AM57" i="3"/>
  <c r="AI58" i="3"/>
  <c r="P59" i="3"/>
  <c r="AM60" i="3"/>
  <c r="AI61" i="3"/>
  <c r="P62" i="3"/>
  <c r="AM63" i="3"/>
  <c r="AI64" i="3"/>
  <c r="P65" i="3"/>
  <c r="AM66" i="3"/>
  <c r="AI67" i="3"/>
  <c r="P68" i="3"/>
  <c r="AM69" i="3"/>
  <c r="AI70" i="3"/>
  <c r="P71" i="3"/>
  <c r="AM72" i="3"/>
  <c r="AI73" i="3"/>
  <c r="P74" i="3"/>
  <c r="AM75" i="3"/>
  <c r="AI76" i="3"/>
  <c r="P77" i="3"/>
  <c r="AM78" i="3"/>
  <c r="AI79" i="3"/>
  <c r="P80" i="3"/>
  <c r="AM81" i="3"/>
  <c r="AI82" i="3"/>
  <c r="P83" i="3"/>
  <c r="AM84" i="3"/>
  <c r="AI85" i="3"/>
  <c r="P86" i="3"/>
  <c r="AM87" i="3"/>
  <c r="AI88" i="3"/>
  <c r="P89" i="3"/>
  <c r="AM90" i="3"/>
  <c r="AI91" i="3"/>
  <c r="P92" i="3"/>
  <c r="AM93" i="3"/>
  <c r="AI94" i="3"/>
  <c r="P95" i="3"/>
  <c r="AM96" i="3"/>
  <c r="AI97" i="3"/>
  <c r="P98" i="3"/>
  <c r="AM99" i="3"/>
  <c r="AI100" i="3"/>
  <c r="P101" i="3"/>
  <c r="AM102" i="3"/>
  <c r="AI103" i="3"/>
  <c r="P104" i="3"/>
  <c r="AM105" i="3"/>
  <c r="AI106" i="3"/>
  <c r="P107" i="3"/>
  <c r="AM108" i="3"/>
  <c r="AI109" i="3"/>
  <c r="P110" i="3"/>
  <c r="AM111" i="3"/>
  <c r="AI112" i="3"/>
  <c r="P113" i="3"/>
  <c r="AM114" i="3"/>
  <c r="AI115" i="3"/>
  <c r="P116" i="3"/>
  <c r="AM117" i="3"/>
  <c r="AI118" i="3"/>
  <c r="P119" i="3"/>
  <c r="AM120" i="3"/>
  <c r="AI121" i="3"/>
  <c r="P122" i="3"/>
  <c r="AM123" i="3"/>
  <c r="AI124" i="3"/>
  <c r="P125" i="3"/>
  <c r="AM126" i="3"/>
  <c r="AI127" i="3"/>
  <c r="P128" i="3"/>
  <c r="AM129" i="3"/>
  <c r="AI130" i="3"/>
  <c r="P131" i="3"/>
  <c r="AM132" i="3"/>
  <c r="AI133" i="3"/>
  <c r="P134" i="3"/>
  <c r="AM135" i="3"/>
  <c r="AI136" i="3"/>
  <c r="C1270" i="3"/>
  <c r="CU6" i="4"/>
  <c r="DG6" i="4" a="1"/>
  <c r="DG6" i="4" s="1"/>
  <c r="AO7" i="4"/>
  <c r="CQ7" i="4"/>
  <c r="CU8" i="4"/>
  <c r="CT10" i="4"/>
  <c r="CZ12" i="4"/>
  <c r="CU12" i="4"/>
  <c r="DJ12" i="4"/>
  <c r="CU14" i="4"/>
  <c r="DA18" i="4"/>
  <c r="DD27" i="4"/>
  <c r="DI27" i="4"/>
  <c r="DF32" i="4"/>
  <c r="CT53" i="4"/>
  <c r="DJ66" i="4"/>
  <c r="DJ65" i="4"/>
  <c r="AO66" i="4"/>
  <c r="CU69" i="4"/>
  <c r="AM76" i="4"/>
  <c r="AJ4" i="3"/>
  <c r="AJ7" i="3"/>
  <c r="AJ10" i="3"/>
  <c r="AJ13" i="3"/>
  <c r="AJ16" i="3"/>
  <c r="AJ19" i="3"/>
  <c r="AJ22" i="3"/>
  <c r="AJ25" i="3"/>
  <c r="AJ28" i="3"/>
  <c r="AJ31" i="3"/>
  <c r="AJ34" i="3"/>
  <c r="AJ37" i="3"/>
  <c r="AJ40" i="3"/>
  <c r="AJ43" i="3"/>
  <c r="AJ46" i="3"/>
  <c r="AJ49" i="3"/>
  <c r="AJ52" i="3"/>
  <c r="AJ55" i="3"/>
  <c r="AJ58" i="3"/>
  <c r="AJ61" i="3"/>
  <c r="AJ64" i="3"/>
  <c r="AJ67" i="3"/>
  <c r="AJ70" i="3"/>
  <c r="AJ73" i="3"/>
  <c r="AJ76" i="3"/>
  <c r="AJ79" i="3"/>
  <c r="AJ82" i="3"/>
  <c r="AJ85" i="3"/>
  <c r="AJ88" i="3"/>
  <c r="AJ91" i="3"/>
  <c r="AJ94" i="3"/>
  <c r="AJ97" i="3"/>
  <c r="AJ100" i="3"/>
  <c r="AJ103" i="3"/>
  <c r="AJ106" i="3"/>
  <c r="AJ109" i="3"/>
  <c r="AJ112" i="3"/>
  <c r="AJ115" i="3"/>
  <c r="AJ118" i="3"/>
  <c r="AJ121" i="3"/>
  <c r="AJ124" i="3"/>
  <c r="AJ127" i="3"/>
  <c r="AJ130" i="3"/>
  <c r="AJ133" i="3"/>
  <c r="CV6" i="4"/>
  <c r="CR7" i="4"/>
  <c r="CV8" i="4"/>
  <c r="CV10" i="4"/>
  <c r="CV12" i="4"/>
  <c r="CV14" i="4"/>
  <c r="CR17" i="4"/>
  <c r="CQ22" i="4"/>
  <c r="DG26" i="4" a="1"/>
  <c r="DG26" i="4" s="1"/>
  <c r="CQ71" i="4"/>
  <c r="AO136" i="4"/>
  <c r="AO133" i="4"/>
  <c r="AO130" i="4"/>
  <c r="AO127" i="4"/>
  <c r="AO124" i="4"/>
  <c r="AO121" i="4"/>
  <c r="AO118" i="4"/>
  <c r="AO115" i="4"/>
  <c r="AO112" i="4"/>
  <c r="AO109" i="4"/>
  <c r="AO106" i="4"/>
  <c r="AO103" i="4"/>
  <c r="AM135" i="4"/>
  <c r="AM131" i="4"/>
  <c r="AM127" i="4"/>
  <c r="AM123" i="4"/>
  <c r="AM119" i="4"/>
  <c r="AM115" i="4"/>
  <c r="AO132" i="4"/>
  <c r="AO128" i="4"/>
  <c r="AO120" i="4"/>
  <c r="AO116" i="4"/>
  <c r="AM136" i="4"/>
  <c r="AM132" i="4"/>
  <c r="AM128" i="4"/>
  <c r="AM124" i="4"/>
  <c r="AM120" i="4"/>
  <c r="AM116" i="4"/>
  <c r="AM110" i="4"/>
  <c r="AM101" i="4"/>
  <c r="AM98" i="4"/>
  <c r="AO129" i="4"/>
  <c r="AO125" i="4"/>
  <c r="AO117" i="4"/>
  <c r="AO113" i="4"/>
  <c r="AM112" i="4"/>
  <c r="AO104" i="4"/>
  <c r="AM103" i="4"/>
  <c r="AO100" i="4"/>
  <c r="AO97" i="4"/>
  <c r="AO94" i="4"/>
  <c r="AO91" i="4"/>
  <c r="AO88" i="4"/>
  <c r="AO85" i="4"/>
  <c r="AO82" i="4"/>
  <c r="AO79" i="4"/>
  <c r="AO76" i="4"/>
  <c r="AO73" i="4"/>
  <c r="AM130" i="4"/>
  <c r="AM125" i="4"/>
  <c r="AO111" i="4"/>
  <c r="AM102" i="4"/>
  <c r="AM95" i="4"/>
  <c r="AM86" i="4"/>
  <c r="AM77" i="4"/>
  <c r="AM69" i="4"/>
  <c r="AM66" i="4"/>
  <c r="AM63" i="4"/>
  <c r="AM60" i="4"/>
  <c r="AM57" i="4"/>
  <c r="AM54" i="4"/>
  <c r="AM51" i="4"/>
  <c r="AM48" i="4"/>
  <c r="AM45" i="4"/>
  <c r="AM42" i="4"/>
  <c r="AM39" i="4"/>
  <c r="AM36" i="4"/>
  <c r="AO123" i="4"/>
  <c r="AM114" i="4"/>
  <c r="AM113" i="4"/>
  <c r="AM107" i="4"/>
  <c r="AM105" i="4"/>
  <c r="AO99" i="4"/>
  <c r="AM96" i="4"/>
  <c r="AM87" i="4"/>
  <c r="AM78" i="4"/>
  <c r="AO126" i="4"/>
  <c r="AM111" i="4"/>
  <c r="AM97" i="4"/>
  <c r="AO89" i="4"/>
  <c r="AM88" i="4"/>
  <c r="AO80" i="4"/>
  <c r="AM79" i="4"/>
  <c r="AO71" i="4"/>
  <c r="AO68" i="4"/>
  <c r="AO65" i="4"/>
  <c r="AO62" i="4"/>
  <c r="AO59" i="4"/>
  <c r="AO56" i="4"/>
  <c r="AO53" i="4"/>
  <c r="AO50" i="4"/>
  <c r="AO47" i="4"/>
  <c r="AO44" i="4"/>
  <c r="AO41" i="4"/>
  <c r="AO38" i="4"/>
  <c r="AO35" i="4"/>
  <c r="AO122" i="4"/>
  <c r="AM121" i="4"/>
  <c r="AO108" i="4"/>
  <c r="AO101" i="4"/>
  <c r="AM99" i="4"/>
  <c r="AO90" i="4"/>
  <c r="AO81" i="4"/>
  <c r="AO72" i="4"/>
  <c r="AM126" i="4"/>
  <c r="AO119" i="4"/>
  <c r="AM89" i="4"/>
  <c r="AM80" i="4"/>
  <c r="AM71" i="4"/>
  <c r="AM68" i="4"/>
  <c r="AM65" i="4"/>
  <c r="AM62" i="4"/>
  <c r="AM59" i="4"/>
  <c r="AM56" i="4"/>
  <c r="AM53" i="4"/>
  <c r="AM50" i="4"/>
  <c r="AM47" i="4"/>
  <c r="AM44" i="4"/>
  <c r="AM41" i="4"/>
  <c r="AM38" i="4"/>
  <c r="AM122" i="4"/>
  <c r="AM117" i="4"/>
  <c r="AO110" i="4"/>
  <c r="AM108" i="4"/>
  <c r="AM104" i="4"/>
  <c r="AM90" i="4"/>
  <c r="AM81" i="4"/>
  <c r="AM106" i="4"/>
  <c r="AO92" i="4"/>
  <c r="AM91" i="4"/>
  <c r="AO83" i="4"/>
  <c r="AM82" i="4"/>
  <c r="AM118" i="4"/>
  <c r="AO93" i="4"/>
  <c r="AO84" i="4"/>
  <c r="AO75" i="4"/>
  <c r="AO98" i="4"/>
  <c r="AM92" i="4"/>
  <c r="AM83" i="4"/>
  <c r="AM74" i="4"/>
  <c r="AM70" i="4"/>
  <c r="AM67" i="4"/>
  <c r="AM64" i="4"/>
  <c r="AM61" i="4"/>
  <c r="AM58" i="4"/>
  <c r="AM55" i="4"/>
  <c r="AM52" i="4"/>
  <c r="AM49" i="4"/>
  <c r="AM46" i="4"/>
  <c r="AM43" i="4"/>
  <c r="AM40" i="4"/>
  <c r="AM37" i="4"/>
  <c r="AM34" i="4"/>
  <c r="AM31" i="4"/>
  <c r="AM28" i="4"/>
  <c r="AM25" i="4"/>
  <c r="AM22" i="4"/>
  <c r="AM19" i="4"/>
  <c r="AO134" i="4"/>
  <c r="AM133" i="4"/>
  <c r="AM100" i="4"/>
  <c r="AM93" i="4"/>
  <c r="AM84" i="4"/>
  <c r="AM75" i="4"/>
  <c r="AO135" i="4"/>
  <c r="AO131" i="4"/>
  <c r="AM134" i="4"/>
  <c r="AO27" i="4"/>
  <c r="AO42" i="4"/>
  <c r="AM26" i="4"/>
  <c r="AO60" i="4"/>
  <c r="AO52" i="4"/>
  <c r="AO40" i="4"/>
  <c r="AO29" i="4"/>
  <c r="AO28" i="4"/>
  <c r="AM27" i="4"/>
  <c r="AO17" i="4"/>
  <c r="AO16" i="4"/>
  <c r="AO49" i="4"/>
  <c r="AO37" i="4"/>
  <c r="AO30" i="4"/>
  <c r="AO18" i="4"/>
  <c r="AO114" i="4"/>
  <c r="AO87" i="4"/>
  <c r="AO36" i="4"/>
  <c r="AM29" i="4"/>
  <c r="AO105" i="4"/>
  <c r="AO77" i="4"/>
  <c r="AM73" i="4"/>
  <c r="AO67" i="4"/>
  <c r="AO55" i="4"/>
  <c r="AO51" i="4"/>
  <c r="AO46" i="4"/>
  <c r="AM35" i="4"/>
  <c r="AO32" i="4"/>
  <c r="AO31" i="4"/>
  <c r="AM30" i="4"/>
  <c r="AO20" i="4"/>
  <c r="AO19" i="4"/>
  <c r="AM18" i="4"/>
  <c r="AM129" i="4"/>
  <c r="AO69" i="4"/>
  <c r="AO64" i="4"/>
  <c r="AO33" i="4"/>
  <c r="AO21" i="4"/>
  <c r="AM109" i="4"/>
  <c r="AO96" i="4"/>
  <c r="AO86" i="4"/>
  <c r="AO48" i="4"/>
  <c r="AO43" i="4"/>
  <c r="AM32" i="4"/>
  <c r="AM20" i="4"/>
  <c r="AO107" i="4"/>
  <c r="AO63" i="4"/>
  <c r="AO58" i="4"/>
  <c r="AO54" i="4"/>
  <c r="AO39" i="4"/>
  <c r="AM33" i="4"/>
  <c r="AO23" i="4"/>
  <c r="AO22" i="4"/>
  <c r="AM21" i="4"/>
  <c r="AO14" i="4"/>
  <c r="AO11" i="4"/>
  <c r="AO8" i="4"/>
  <c r="AO102" i="4"/>
  <c r="AO70" i="4"/>
  <c r="AO45" i="4"/>
  <c r="AO24" i="4"/>
  <c r="AO95" i="4"/>
  <c r="AM85" i="4"/>
  <c r="AO34" i="4"/>
  <c r="AM23" i="4"/>
  <c r="AM14" i="4"/>
  <c r="AM11" i="4"/>
  <c r="P25" i="7"/>
  <c r="P21" i="7"/>
  <c r="P10" i="7"/>
  <c r="P136" i="7"/>
  <c r="P134" i="7"/>
  <c r="P132" i="7"/>
  <c r="P128" i="7"/>
  <c r="P124" i="7"/>
  <c r="P120" i="7"/>
  <c r="P116" i="7"/>
  <c r="P114" i="7"/>
  <c r="P112" i="7"/>
  <c r="P110" i="7"/>
  <c r="P108" i="7"/>
  <c r="P104" i="7"/>
  <c r="P100" i="7"/>
  <c r="P96" i="7"/>
  <c r="P92" i="7"/>
  <c r="P90" i="7"/>
  <c r="P88" i="7"/>
  <c r="P86" i="7"/>
  <c r="P84" i="7"/>
  <c r="P80" i="7"/>
  <c r="P76" i="7"/>
  <c r="P72" i="7"/>
  <c r="P68" i="7"/>
  <c r="P66" i="7"/>
  <c r="P64" i="7"/>
  <c r="P62" i="7"/>
  <c r="P60" i="7"/>
  <c r="P56" i="7"/>
  <c r="P52" i="7"/>
  <c r="P48" i="7"/>
  <c r="P44" i="7"/>
  <c r="P42" i="7"/>
  <c r="P40" i="7"/>
  <c r="P38" i="7"/>
  <c r="P36" i="7"/>
  <c r="P32" i="7"/>
  <c r="P28" i="7"/>
  <c r="P8" i="7"/>
  <c r="P17" i="7"/>
  <c r="P15" i="7"/>
  <c r="P13" i="7"/>
  <c r="P6" i="7"/>
  <c r="P24" i="7"/>
  <c r="P11" i="7"/>
  <c r="P16" i="7"/>
  <c r="P33" i="7"/>
  <c r="P9" i="7"/>
  <c r="P20" i="7"/>
  <c r="P18" i="7"/>
  <c r="P7" i="7"/>
  <c r="P35" i="7"/>
  <c r="P14" i="7"/>
  <c r="P133" i="7"/>
  <c r="P129" i="7"/>
  <c r="P125" i="7"/>
  <c r="P123" i="7"/>
  <c r="P121" i="7"/>
  <c r="P119" i="7"/>
  <c r="P117" i="7"/>
  <c r="P113" i="7"/>
  <c r="P109" i="7"/>
  <c r="P105" i="7"/>
  <c r="P101" i="7"/>
  <c r="P99" i="7"/>
  <c r="P97" i="7"/>
  <c r="P95" i="7"/>
  <c r="P93" i="7"/>
  <c r="P89" i="7"/>
  <c r="P85" i="7"/>
  <c r="P81" i="7"/>
  <c r="P77" i="7"/>
  <c r="P75" i="7"/>
  <c r="P73" i="7"/>
  <c r="P71" i="7"/>
  <c r="P69" i="7"/>
  <c r="P65" i="7"/>
  <c r="P61" i="7"/>
  <c r="P57" i="7"/>
  <c r="P53" i="7"/>
  <c r="P51" i="7"/>
  <c r="P49" i="7"/>
  <c r="P47" i="7"/>
  <c r="P45" i="7"/>
  <c r="P41" i="7"/>
  <c r="P31" i="7"/>
  <c r="P27" i="7"/>
  <c r="BP135" i="7"/>
  <c r="BP133" i="7"/>
  <c r="BP131" i="7"/>
  <c r="BP129" i="7"/>
  <c r="BP127" i="7"/>
  <c r="BP125" i="7"/>
  <c r="BP123" i="7"/>
  <c r="BP121" i="7"/>
  <c r="BP119" i="7"/>
  <c r="BP117" i="7"/>
  <c r="BP115" i="7"/>
  <c r="BP113" i="7"/>
  <c r="BP111" i="7"/>
  <c r="BP109" i="7"/>
  <c r="BP107" i="7"/>
  <c r="BP105" i="7"/>
  <c r="BP103" i="7"/>
  <c r="BP101" i="7"/>
  <c r="BP99" i="7"/>
  <c r="BP97" i="7"/>
  <c r="BP95" i="7"/>
  <c r="BP93" i="7"/>
  <c r="BP91" i="7"/>
  <c r="BP89" i="7"/>
  <c r="BP87" i="7"/>
  <c r="BP85" i="7"/>
  <c r="BP83" i="7"/>
  <c r="BP81" i="7"/>
  <c r="BP79" i="7"/>
  <c r="BP77" i="7"/>
  <c r="BP75" i="7"/>
  <c r="BP73" i="7"/>
  <c r="BP71" i="7"/>
  <c r="BP69" i="7"/>
  <c r="BP67" i="7"/>
  <c r="BP65" i="7"/>
  <c r="BP63" i="7"/>
  <c r="BP61" i="7"/>
  <c r="BP59" i="7"/>
  <c r="BP57" i="7"/>
  <c r="BP55" i="7"/>
  <c r="BP53" i="7"/>
  <c r="BP51" i="7"/>
  <c r="BP49" i="7"/>
  <c r="BP47" i="7"/>
  <c r="BP45" i="7"/>
  <c r="BP43" i="7"/>
  <c r="BP41" i="7"/>
  <c r="BP39" i="7"/>
  <c r="BP37" i="7"/>
  <c r="BP35" i="7"/>
  <c r="BP33" i="7"/>
  <c r="BP31" i="7"/>
  <c r="BP29" i="7"/>
  <c r="BP27" i="7"/>
  <c r="BP18" i="7"/>
  <c r="BP16" i="7"/>
  <c r="BP14" i="7"/>
  <c r="BP7" i="7"/>
  <c r="BP25" i="7"/>
  <c r="BP12" i="7"/>
  <c r="BP23" i="7"/>
  <c r="BP5" i="7"/>
  <c r="BP21" i="7"/>
  <c r="BP10" i="7"/>
  <c r="BP26" i="7"/>
  <c r="BP24" i="7"/>
  <c r="BP136" i="7"/>
  <c r="BP134" i="7"/>
  <c r="BP132" i="7"/>
  <c r="BP130" i="7"/>
  <c r="BP128" i="7"/>
  <c r="BP126" i="7"/>
  <c r="BP124" i="7"/>
  <c r="BP122" i="7"/>
  <c r="BP120" i="7"/>
  <c r="BP118" i="7"/>
  <c r="BP116" i="7"/>
  <c r="BP114" i="7"/>
  <c r="BP112" i="7"/>
  <c r="BP110" i="7"/>
  <c r="BP108" i="7"/>
  <c r="BP106" i="7"/>
  <c r="BP104" i="7"/>
  <c r="BP102" i="7"/>
  <c r="BP100" i="7"/>
  <c r="BP98" i="7"/>
  <c r="BP96" i="7"/>
  <c r="BP94" i="7"/>
  <c r="BP92" i="7"/>
  <c r="BP90" i="7"/>
  <c r="BP88" i="7"/>
  <c r="BP86" i="7"/>
  <c r="BP84" i="7"/>
  <c r="BP82" i="7"/>
  <c r="BP80" i="7"/>
  <c r="BP78" i="7"/>
  <c r="BP76" i="7"/>
  <c r="BP74" i="7"/>
  <c r="BP72" i="7"/>
  <c r="BP70" i="7"/>
  <c r="BP68" i="7"/>
  <c r="BP66" i="7"/>
  <c r="BP64" i="7"/>
  <c r="BP62" i="7"/>
  <c r="BP60" i="7"/>
  <c r="BP58" i="7"/>
  <c r="BP56" i="7"/>
  <c r="BP54" i="7"/>
  <c r="BP52" i="7"/>
  <c r="BP50" i="7"/>
  <c r="BP48" i="7"/>
  <c r="BP46" i="7"/>
  <c r="BP44" i="7"/>
  <c r="BP42" i="7"/>
  <c r="BP40" i="7"/>
  <c r="BP6" i="7"/>
  <c r="BP9" i="7"/>
  <c r="BP11" i="7"/>
  <c r="BP38" i="7"/>
  <c r="BP32" i="7"/>
  <c r="BP20" i="7"/>
  <c r="BP15" i="7"/>
  <c r="BP8" i="7"/>
  <c r="BP4" i="7"/>
  <c r="BP22" i="7"/>
  <c r="BP34" i="7"/>
  <c r="BP28" i="7"/>
  <c r="BP13" i="7"/>
  <c r="BP19" i="7"/>
  <c r="BP17" i="7"/>
  <c r="BP36" i="7"/>
  <c r="BP30" i="7"/>
  <c r="DF17" i="7"/>
  <c r="DF15" i="7"/>
  <c r="DF13" i="7"/>
  <c r="DF22" i="7"/>
  <c r="DF4" i="7"/>
  <c r="DF135" i="7"/>
  <c r="DF133" i="7"/>
  <c r="DF131" i="7"/>
  <c r="DF129" i="7"/>
  <c r="DF127" i="7"/>
  <c r="DF125" i="7"/>
  <c r="DF123" i="7"/>
  <c r="DF121" i="7"/>
  <c r="DF119" i="7"/>
  <c r="DF117" i="7"/>
  <c r="DF115" i="7"/>
  <c r="DF113" i="7"/>
  <c r="DF111" i="7"/>
  <c r="DF109" i="7"/>
  <c r="DF107" i="7"/>
  <c r="DF105" i="7"/>
  <c r="DF103" i="7"/>
  <c r="DF101" i="7"/>
  <c r="DF99" i="7"/>
  <c r="DF97" i="7"/>
  <c r="DF95" i="7"/>
  <c r="DF93" i="7"/>
  <c r="DF91" i="7"/>
  <c r="DF89" i="7"/>
  <c r="DF87" i="7"/>
  <c r="DF85" i="7"/>
  <c r="DF83" i="7"/>
  <c r="DF81" i="7"/>
  <c r="DF79" i="7"/>
  <c r="DF77" i="7"/>
  <c r="DF75" i="7"/>
  <c r="DF73" i="7"/>
  <c r="DF71" i="7"/>
  <c r="DF69" i="7"/>
  <c r="DF67" i="7"/>
  <c r="DF65" i="7"/>
  <c r="DF63" i="7"/>
  <c r="DF61" i="7"/>
  <c r="DF59" i="7"/>
  <c r="DF57" i="7"/>
  <c r="DF55" i="7"/>
  <c r="DF53" i="7"/>
  <c r="DF51" i="7"/>
  <c r="DF49" i="7"/>
  <c r="DF47" i="7"/>
  <c r="DF45" i="7"/>
  <c r="DF43" i="7"/>
  <c r="DF41" i="7"/>
  <c r="DF39" i="7"/>
  <c r="DF37" i="7"/>
  <c r="DF35" i="7"/>
  <c r="DF33" i="7"/>
  <c r="DF31" i="7"/>
  <c r="DF29" i="7"/>
  <c r="DF27" i="7"/>
  <c r="DF18" i="7"/>
  <c r="DF7" i="7"/>
  <c r="DF25" i="7"/>
  <c r="DF16" i="7"/>
  <c r="DF14" i="7"/>
  <c r="DF12" i="7"/>
  <c r="DF5" i="7"/>
  <c r="DF23" i="7"/>
  <c r="DF21" i="7"/>
  <c r="DF10" i="7"/>
  <c r="DF20" i="7"/>
  <c r="DF38" i="7"/>
  <c r="DF32" i="7"/>
  <c r="DF8" i="7"/>
  <c r="DF26" i="7"/>
  <c r="DF24" i="7"/>
  <c r="DF19" i="7"/>
  <c r="DF6" i="7"/>
  <c r="DF34" i="7"/>
  <c r="DF28" i="7"/>
  <c r="DF11" i="7"/>
  <c r="DF9" i="7"/>
  <c r="DF136" i="7"/>
  <c r="DF132" i="7"/>
  <c r="DF128" i="7"/>
  <c r="DF124" i="7"/>
  <c r="DF120" i="7"/>
  <c r="DF116" i="7"/>
  <c r="DF112" i="7"/>
  <c r="DF108" i="7"/>
  <c r="DF104" i="7"/>
  <c r="DF100" i="7"/>
  <c r="DF96" i="7"/>
  <c r="DF92" i="7"/>
  <c r="DF88" i="7"/>
  <c r="DF84" i="7"/>
  <c r="DF80" i="7"/>
  <c r="DF76" i="7"/>
  <c r="DF72" i="7"/>
  <c r="DF68" i="7"/>
  <c r="DF64" i="7"/>
  <c r="DF60" i="7"/>
  <c r="DF56" i="7"/>
  <c r="DF52" i="7"/>
  <c r="DF48" i="7"/>
  <c r="DF44" i="7"/>
  <c r="DF40" i="7"/>
  <c r="DF36" i="7"/>
  <c r="DF30" i="7"/>
  <c r="DF102" i="7"/>
  <c r="DF54" i="7"/>
  <c r="DF106" i="7"/>
  <c r="DF58" i="7"/>
  <c r="DF110" i="7"/>
  <c r="DF62" i="7"/>
  <c r="DF114" i="7"/>
  <c r="DF66" i="7"/>
  <c r="DF118" i="7"/>
  <c r="DF70" i="7"/>
  <c r="DF122" i="7"/>
  <c r="DF74" i="7"/>
  <c r="DF126" i="7"/>
  <c r="DF78" i="7"/>
  <c r="DF130" i="7"/>
  <c r="DF82" i="7"/>
  <c r="DF134" i="7"/>
  <c r="DF86" i="7"/>
  <c r="DF90" i="7"/>
  <c r="DF42" i="7"/>
  <c r="DF94" i="7"/>
  <c r="DF46" i="7"/>
  <c r="AB63" i="2"/>
  <c r="AB135" i="2"/>
  <c r="AK4" i="3"/>
  <c r="AP6" i="3"/>
  <c r="AK7" i="3"/>
  <c r="AP9" i="3"/>
  <c r="AK10" i="3"/>
  <c r="AP12" i="3"/>
  <c r="AK13" i="3"/>
  <c r="AP15" i="3"/>
  <c r="AK16" i="3"/>
  <c r="AP18" i="3"/>
  <c r="AK19" i="3"/>
  <c r="AP21" i="3"/>
  <c r="AK22" i="3"/>
  <c r="AP24" i="3"/>
  <c r="AK25" i="3"/>
  <c r="AP27" i="3"/>
  <c r="AK28" i="3"/>
  <c r="AP30" i="3"/>
  <c r="AK31" i="3"/>
  <c r="AP33" i="3"/>
  <c r="AK34" i="3"/>
  <c r="AP36" i="3"/>
  <c r="AK37" i="3"/>
  <c r="AP39" i="3"/>
  <c r="AK40" i="3"/>
  <c r="AP42" i="3"/>
  <c r="AK43" i="3"/>
  <c r="AP45" i="3"/>
  <c r="AK46" i="3"/>
  <c r="AP48" i="3"/>
  <c r="AK49" i="3"/>
  <c r="AP51" i="3"/>
  <c r="AK52" i="3"/>
  <c r="AP54" i="3"/>
  <c r="AK55" i="3"/>
  <c r="AP57" i="3"/>
  <c r="AK58" i="3"/>
  <c r="AP60" i="3"/>
  <c r="AK61" i="3"/>
  <c r="AP63" i="3"/>
  <c r="AK64" i="3"/>
  <c r="AP66" i="3"/>
  <c r="AK67" i="3"/>
  <c r="AP69" i="3"/>
  <c r="AK70" i="3"/>
  <c r="AP72" i="3"/>
  <c r="AK73" i="3"/>
  <c r="AP75" i="3"/>
  <c r="AK76" i="3"/>
  <c r="AP78" i="3"/>
  <c r="AK79" i="3"/>
  <c r="AP81" i="3"/>
  <c r="AK82" i="3"/>
  <c r="AP84" i="3"/>
  <c r="AK85" i="3"/>
  <c r="AP87" i="3"/>
  <c r="AK88" i="3"/>
  <c r="AP90" i="3"/>
  <c r="AK91" i="3"/>
  <c r="AP93" i="3"/>
  <c r="AK94" i="3"/>
  <c r="AP96" i="3"/>
  <c r="AK97" i="3"/>
  <c r="AP99" i="3"/>
  <c r="AK100" i="3"/>
  <c r="AP102" i="3"/>
  <c r="AK103" i="3"/>
  <c r="AP105" i="3"/>
  <c r="AK106" i="3"/>
  <c r="AP108" i="3"/>
  <c r="AK109" i="3"/>
  <c r="AP111" i="3"/>
  <c r="AK112" i="3"/>
  <c r="AP114" i="3"/>
  <c r="AK115" i="3"/>
  <c r="AP117" i="3"/>
  <c r="AK118" i="3"/>
  <c r="AP120" i="3"/>
  <c r="AK121" i="3"/>
  <c r="AP123" i="3"/>
  <c r="AK124" i="3"/>
  <c r="AP126" i="3"/>
  <c r="AK127" i="3"/>
  <c r="AP129" i="3"/>
  <c r="AK130" i="3"/>
  <c r="AP132" i="3"/>
  <c r="AK133" i="3"/>
  <c r="CQ4" i="4"/>
  <c r="AM5" i="4"/>
  <c r="CW6" i="4"/>
  <c r="CS7" i="4"/>
  <c r="AM8" i="4"/>
  <c r="CW8" i="4"/>
  <c r="AM10" i="4"/>
  <c r="CW10" i="4"/>
  <c r="CR11" i="4"/>
  <c r="CR13" i="4"/>
  <c r="CW14" i="4"/>
  <c r="DE31" i="4"/>
  <c r="CV42" i="4"/>
  <c r="DF50" i="7"/>
  <c r="A35" i="12"/>
  <c r="AG2" i="7"/>
  <c r="AX2" i="7"/>
  <c r="E2" i="7"/>
  <c r="BO26" i="7"/>
  <c r="BO17" i="7"/>
  <c r="BO15" i="7"/>
  <c r="BO13" i="7"/>
  <c r="BO24" i="7"/>
  <c r="BO22" i="7"/>
  <c r="BO11" i="7"/>
  <c r="BO4" i="7"/>
  <c r="BO20" i="7"/>
  <c r="BO9" i="7"/>
  <c r="BO135" i="7"/>
  <c r="BO133" i="7"/>
  <c r="BO131" i="7"/>
  <c r="BO129" i="7"/>
  <c r="BO127" i="7"/>
  <c r="BO125" i="7"/>
  <c r="BO123" i="7"/>
  <c r="BO121" i="7"/>
  <c r="BO119" i="7"/>
  <c r="BO117" i="7"/>
  <c r="BO115" i="7"/>
  <c r="BO113" i="7"/>
  <c r="BO111" i="7"/>
  <c r="BO109" i="7"/>
  <c r="BO107" i="7"/>
  <c r="BO105" i="7"/>
  <c r="BO103" i="7"/>
  <c r="BO101" i="7"/>
  <c r="BO99" i="7"/>
  <c r="BO97" i="7"/>
  <c r="BO95" i="7"/>
  <c r="BO93" i="7"/>
  <c r="BO91" i="7"/>
  <c r="BO89" i="7"/>
  <c r="BO87" i="7"/>
  <c r="BO85" i="7"/>
  <c r="BO83" i="7"/>
  <c r="BO81" i="7"/>
  <c r="BO79" i="7"/>
  <c r="BO77" i="7"/>
  <c r="BO75" i="7"/>
  <c r="BO73" i="7"/>
  <c r="BO71" i="7"/>
  <c r="BO69" i="7"/>
  <c r="BO67" i="7"/>
  <c r="BO65" i="7"/>
  <c r="BO63" i="7"/>
  <c r="BO61" i="7"/>
  <c r="BO59" i="7"/>
  <c r="BO57" i="7"/>
  <c r="BO55" i="7"/>
  <c r="BO53" i="7"/>
  <c r="BO51" i="7"/>
  <c r="BO49" i="7"/>
  <c r="BO47" i="7"/>
  <c r="BO45" i="7"/>
  <c r="BO43" i="7"/>
  <c r="BO41" i="7"/>
  <c r="BO39" i="7"/>
  <c r="BO37" i="7"/>
  <c r="BO35" i="7"/>
  <c r="BO33" i="7"/>
  <c r="BO31" i="7"/>
  <c r="BO29" i="7"/>
  <c r="BO27" i="7"/>
  <c r="BO18" i="7"/>
  <c r="BO16" i="7"/>
  <c r="BO14" i="7"/>
  <c r="BO7" i="7"/>
  <c r="BO25" i="7"/>
  <c r="BO12" i="7"/>
  <c r="BO23" i="7"/>
  <c r="BO5" i="7"/>
  <c r="BO34" i="7"/>
  <c r="BO28" i="7"/>
  <c r="BO136" i="7"/>
  <c r="BO134" i="7"/>
  <c r="BO132" i="7"/>
  <c r="BO130" i="7"/>
  <c r="BO128" i="7"/>
  <c r="BO126" i="7"/>
  <c r="BO124" i="7"/>
  <c r="BO122" i="7"/>
  <c r="BO120" i="7"/>
  <c r="BO118" i="7"/>
  <c r="BO116" i="7"/>
  <c r="BO114" i="7"/>
  <c r="BO112" i="7"/>
  <c r="BO110" i="7"/>
  <c r="BO108" i="7"/>
  <c r="BO106" i="7"/>
  <c r="BO104" i="7"/>
  <c r="BO102" i="7"/>
  <c r="BO100" i="7"/>
  <c r="BO98" i="7"/>
  <c r="BO96" i="7"/>
  <c r="BO94" i="7"/>
  <c r="BO92" i="7"/>
  <c r="BO90" i="7"/>
  <c r="BO88" i="7"/>
  <c r="BO86" i="7"/>
  <c r="BO84" i="7"/>
  <c r="BO82" i="7"/>
  <c r="BO80" i="7"/>
  <c r="BO78" i="7"/>
  <c r="BO76" i="7"/>
  <c r="BO74" i="7"/>
  <c r="BO72" i="7"/>
  <c r="BO70" i="7"/>
  <c r="BO68" i="7"/>
  <c r="BO66" i="7"/>
  <c r="BO64" i="7"/>
  <c r="BO62" i="7"/>
  <c r="BO60" i="7"/>
  <c r="BO58" i="7"/>
  <c r="BO56" i="7"/>
  <c r="BO54" i="7"/>
  <c r="BO52" i="7"/>
  <c r="BO50" i="7"/>
  <c r="BO48" i="7"/>
  <c r="BO46" i="7"/>
  <c r="BO44" i="7"/>
  <c r="BO42" i="7"/>
  <c r="BO40" i="7"/>
  <c r="BO36" i="7"/>
  <c r="BO30" i="7"/>
  <c r="BO10" i="7"/>
  <c r="BO38" i="7"/>
  <c r="BO32" i="7"/>
  <c r="BO8" i="7"/>
  <c r="BO6" i="7"/>
  <c r="BO19" i="7"/>
  <c r="BO21" i="7"/>
  <c r="A37" i="12"/>
  <c r="CL19" i="7"/>
  <c r="S136" i="7" s="1"/>
  <c r="G2" i="7"/>
  <c r="CL18" i="7"/>
  <c r="DC134" i="7" s="1"/>
  <c r="AZ2" i="7"/>
  <c r="AI2" i="7"/>
  <c r="A39" i="1"/>
  <c r="I39" i="1" s="1"/>
  <c r="P2" i="2"/>
  <c r="AC33" i="2"/>
  <c r="AC105" i="2"/>
  <c r="AL4" i="3"/>
  <c r="AL7" i="3"/>
  <c r="AL10" i="3"/>
  <c r="AL13" i="3"/>
  <c r="AL16" i="3"/>
  <c r="AL19" i="3"/>
  <c r="AL22" i="3"/>
  <c r="AL25" i="3"/>
  <c r="AL28" i="3"/>
  <c r="AL31" i="3"/>
  <c r="AL34" i="3"/>
  <c r="AL37" i="3"/>
  <c r="AL40" i="3"/>
  <c r="AL43" i="3"/>
  <c r="AL46" i="3"/>
  <c r="AH47" i="3"/>
  <c r="AL49" i="3"/>
  <c r="AH50" i="3"/>
  <c r="AL52" i="3"/>
  <c r="AH53" i="3"/>
  <c r="AL55" i="3"/>
  <c r="AH56" i="3"/>
  <c r="AL58" i="3"/>
  <c r="AH59" i="3"/>
  <c r="AL61" i="3"/>
  <c r="AH62" i="3"/>
  <c r="AL64" i="3"/>
  <c r="AH65" i="3"/>
  <c r="AL67" i="3"/>
  <c r="AH68" i="3"/>
  <c r="AL70" i="3"/>
  <c r="AH71" i="3"/>
  <c r="AL73" i="3"/>
  <c r="AH74" i="3"/>
  <c r="AL76" i="3"/>
  <c r="AH77" i="3"/>
  <c r="AL79" i="3"/>
  <c r="AH80" i="3"/>
  <c r="AL82" i="3"/>
  <c r="AH83" i="3"/>
  <c r="AL85" i="3"/>
  <c r="AH86" i="3"/>
  <c r="AL88" i="3"/>
  <c r="AH89" i="3"/>
  <c r="AL91" i="3"/>
  <c r="AH92" i="3"/>
  <c r="AL94" i="3"/>
  <c r="AH95" i="3"/>
  <c r="AL97" i="3"/>
  <c r="AH98" i="3"/>
  <c r="AL100" i="3"/>
  <c r="AH101" i="3"/>
  <c r="AL103" i="3"/>
  <c r="AH104" i="3"/>
  <c r="AL106" i="3"/>
  <c r="AH107" i="3"/>
  <c r="AL109" i="3"/>
  <c r="AH110" i="3"/>
  <c r="AL112" i="3"/>
  <c r="AH113" i="3"/>
  <c r="AL115" i="3"/>
  <c r="AH116" i="3"/>
  <c r="AL118" i="3"/>
  <c r="AH119" i="3"/>
  <c r="AL121" i="3"/>
  <c r="AH122" i="3"/>
  <c r="AL124" i="3"/>
  <c r="AH125" i="3"/>
  <c r="AL127" i="3"/>
  <c r="AH128" i="3"/>
  <c r="AL130" i="3"/>
  <c r="AH131" i="3"/>
  <c r="AL133" i="3"/>
  <c r="CR4" i="4"/>
  <c r="CT7" i="4"/>
  <c r="CQ9" i="4"/>
  <c r="CS11" i="4"/>
  <c r="DG11" i="4" a="1"/>
  <c r="DG11" i="4" s="1"/>
  <c r="AO12" i="4"/>
  <c r="CT13" i="4"/>
  <c r="DD18" i="4"/>
  <c r="DJ20" i="4"/>
  <c r="DJ21" i="4"/>
  <c r="CV34" i="4"/>
  <c r="AO74" i="4"/>
  <c r="DD75" i="4"/>
  <c r="CW75" i="4"/>
  <c r="DA81" i="4"/>
  <c r="DJ101" i="4"/>
  <c r="DF98" i="7"/>
  <c r="BI18" i="7"/>
  <c r="BI16" i="7"/>
  <c r="BI14" i="7"/>
  <c r="BI23" i="7"/>
  <c r="BI5" i="7"/>
  <c r="BI136" i="7"/>
  <c r="BI134" i="7"/>
  <c r="BI132" i="7"/>
  <c r="BI130" i="7"/>
  <c r="BI128" i="7"/>
  <c r="BI126" i="7"/>
  <c r="BI124" i="7"/>
  <c r="BI122" i="7"/>
  <c r="BI120" i="7"/>
  <c r="BI118" i="7"/>
  <c r="BI116" i="7"/>
  <c r="BI114" i="7"/>
  <c r="BI112" i="7"/>
  <c r="BI110" i="7"/>
  <c r="BI108" i="7"/>
  <c r="BI106" i="7"/>
  <c r="BI104" i="7"/>
  <c r="BI102" i="7"/>
  <c r="BI100" i="7"/>
  <c r="BI98" i="7"/>
  <c r="BI96" i="7"/>
  <c r="BI94" i="7"/>
  <c r="BI92" i="7"/>
  <c r="BI90" i="7"/>
  <c r="BI88" i="7"/>
  <c r="BI86" i="7"/>
  <c r="BI84" i="7"/>
  <c r="BI82" i="7"/>
  <c r="BI80" i="7"/>
  <c r="BI78" i="7"/>
  <c r="BI76" i="7"/>
  <c r="BI74" i="7"/>
  <c r="BI72" i="7"/>
  <c r="BI70" i="7"/>
  <c r="BI68" i="7"/>
  <c r="BI66" i="7"/>
  <c r="BI64" i="7"/>
  <c r="BI62" i="7"/>
  <c r="BI60" i="7"/>
  <c r="BI58" i="7"/>
  <c r="BI56" i="7"/>
  <c r="BI54" i="7"/>
  <c r="BI52" i="7"/>
  <c r="BI50" i="7"/>
  <c r="BI48" i="7"/>
  <c r="BI46" i="7"/>
  <c r="BI44" i="7"/>
  <c r="BI42" i="7"/>
  <c r="BI40" i="7"/>
  <c r="BI38" i="7"/>
  <c r="BI36" i="7"/>
  <c r="BI34" i="7"/>
  <c r="BI32" i="7"/>
  <c r="BI30" i="7"/>
  <c r="BI28" i="7"/>
  <c r="BI19" i="7"/>
  <c r="BI8" i="7"/>
  <c r="BI26" i="7"/>
  <c r="BI17" i="7"/>
  <c r="BI15" i="7"/>
  <c r="BI13" i="7"/>
  <c r="BI6" i="7"/>
  <c r="BI24" i="7"/>
  <c r="BI22" i="7"/>
  <c r="BI11" i="7"/>
  <c r="BI4" i="7"/>
  <c r="BI135" i="7"/>
  <c r="BI133" i="7"/>
  <c r="BI131" i="7"/>
  <c r="BI129" i="7"/>
  <c r="BI127" i="7"/>
  <c r="BI125" i="7"/>
  <c r="BI123" i="7"/>
  <c r="BI121" i="7"/>
  <c r="BI119" i="7"/>
  <c r="BI117" i="7"/>
  <c r="BI115" i="7"/>
  <c r="BI113" i="7"/>
  <c r="BI111" i="7"/>
  <c r="BI109" i="7"/>
  <c r="BI107" i="7"/>
  <c r="BI105" i="7"/>
  <c r="BI103" i="7"/>
  <c r="BI101" i="7"/>
  <c r="BI99" i="7"/>
  <c r="BI97" i="7"/>
  <c r="BI95" i="7"/>
  <c r="BI93" i="7"/>
  <c r="BI91" i="7"/>
  <c r="BI89" i="7"/>
  <c r="BI87" i="7"/>
  <c r="BI85" i="7"/>
  <c r="BI83" i="7"/>
  <c r="BI81" i="7"/>
  <c r="BI79" i="7"/>
  <c r="BI77" i="7"/>
  <c r="BI75" i="7"/>
  <c r="BI73" i="7"/>
  <c r="BI71" i="7"/>
  <c r="BI69" i="7"/>
  <c r="BI67" i="7"/>
  <c r="BI65" i="7"/>
  <c r="BI63" i="7"/>
  <c r="BI61" i="7"/>
  <c r="BI59" i="7"/>
  <c r="BI57" i="7"/>
  <c r="BI55" i="7"/>
  <c r="BI53" i="7"/>
  <c r="BI51" i="7"/>
  <c r="BI49" i="7"/>
  <c r="BI47" i="7"/>
  <c r="BI45" i="7"/>
  <c r="BI43" i="7"/>
  <c r="BI41" i="7"/>
  <c r="BI37" i="7"/>
  <c r="BI31" i="7"/>
  <c r="BI21" i="7"/>
  <c r="BI39" i="7"/>
  <c r="BI33" i="7"/>
  <c r="BI25" i="7"/>
  <c r="BI9" i="7"/>
  <c r="BI27" i="7"/>
  <c r="BI7" i="7"/>
  <c r="BI20" i="7"/>
  <c r="BI12" i="7"/>
  <c r="BI10" i="7"/>
  <c r="BI35" i="7"/>
  <c r="BI29" i="7"/>
  <c r="Q23" i="7"/>
  <c r="Q136" i="7"/>
  <c r="Q134" i="7"/>
  <c r="Q132" i="7"/>
  <c r="Q130" i="7"/>
  <c r="Q128" i="7"/>
  <c r="Q126" i="7"/>
  <c r="Q124" i="7"/>
  <c r="Q122" i="7"/>
  <c r="Q120" i="7"/>
  <c r="Q118" i="7"/>
  <c r="Q116" i="7"/>
  <c r="Q114" i="7"/>
  <c r="Q112" i="7"/>
  <c r="Q110" i="7"/>
  <c r="Q108" i="7"/>
  <c r="Q106" i="7"/>
  <c r="Q104" i="7"/>
  <c r="Q102" i="7"/>
  <c r="Q100" i="7"/>
  <c r="Q98" i="7"/>
  <c r="Q96" i="7"/>
  <c r="Q94" i="7"/>
  <c r="Q92" i="7"/>
  <c r="Q90" i="7"/>
  <c r="Q88" i="7"/>
  <c r="Q86" i="7"/>
  <c r="Q84" i="7"/>
  <c r="Q82" i="7"/>
  <c r="Q80" i="7"/>
  <c r="Q78" i="7"/>
  <c r="Q76" i="7"/>
  <c r="D36" i="1" s="1"/>
  <c r="E36" i="1" s="1"/>
  <c r="E40" i="1" s="1"/>
  <c r="Q74" i="7"/>
  <c r="Q72" i="7"/>
  <c r="Q70" i="7"/>
  <c r="Q68" i="7"/>
  <c r="Q66" i="7"/>
  <c r="Q64" i="7"/>
  <c r="Q62" i="7"/>
  <c r="Q60" i="7"/>
  <c r="Q58" i="7"/>
  <c r="Q56" i="7"/>
  <c r="Q54" i="7"/>
  <c r="Q52" i="7"/>
  <c r="Q50" i="7"/>
  <c r="Q48" i="7"/>
  <c r="Q46" i="7"/>
  <c r="Q44" i="7"/>
  <c r="Q42" i="7"/>
  <c r="Q26" i="7"/>
  <c r="Q17" i="7"/>
  <c r="Q15" i="7"/>
  <c r="Q13" i="7"/>
  <c r="Q6" i="7"/>
  <c r="Q24" i="7"/>
  <c r="Q22" i="7"/>
  <c r="Q11" i="7"/>
  <c r="Q4" i="7"/>
  <c r="Q20" i="7"/>
  <c r="Q9" i="7"/>
  <c r="Q135" i="7"/>
  <c r="Q133" i="7"/>
  <c r="Q131" i="7"/>
  <c r="Q129" i="7"/>
  <c r="Q127" i="7"/>
  <c r="Q125" i="7"/>
  <c r="Q123" i="7"/>
  <c r="Q121" i="7"/>
  <c r="Q119" i="7"/>
  <c r="Q117" i="7"/>
  <c r="Q115" i="7"/>
  <c r="Q113" i="7"/>
  <c r="Q111" i="7"/>
  <c r="Q109" i="7"/>
  <c r="Q107" i="7"/>
  <c r="Q105" i="7"/>
  <c r="Q103" i="7"/>
  <c r="Q101" i="7"/>
  <c r="Q99" i="7"/>
  <c r="Q97" i="7"/>
  <c r="Q95" i="7"/>
  <c r="Q93" i="7"/>
  <c r="Q91" i="7"/>
  <c r="Q89" i="7"/>
  <c r="Q87" i="7"/>
  <c r="Q85" i="7"/>
  <c r="Q83" i="7"/>
  <c r="Q81" i="7"/>
  <c r="Q79" i="7"/>
  <c r="Q77" i="7"/>
  <c r="Q75" i="7"/>
  <c r="Q73" i="7"/>
  <c r="Q71" i="7"/>
  <c r="Q69" i="7"/>
  <c r="Q67" i="7"/>
  <c r="Q65" i="7"/>
  <c r="Q63" i="7"/>
  <c r="Q61" i="7"/>
  <c r="Q59" i="7"/>
  <c r="Q57" i="7"/>
  <c r="Q55" i="7"/>
  <c r="Q53" i="7"/>
  <c r="Q51" i="7"/>
  <c r="Q49" i="7"/>
  <c r="Q47" i="7"/>
  <c r="Q45" i="7"/>
  <c r="Q43" i="7"/>
  <c r="Q41" i="7"/>
  <c r="Q39" i="7"/>
  <c r="Q37" i="7"/>
  <c r="Q35" i="7"/>
  <c r="Q33" i="7"/>
  <c r="Q31" i="7"/>
  <c r="Q29" i="7"/>
  <c r="Q40" i="7"/>
  <c r="Q34" i="7"/>
  <c r="Q28" i="7"/>
  <c r="Q21" i="7"/>
  <c r="Q27" i="7"/>
  <c r="Q36" i="7"/>
  <c r="Q30" i="7"/>
  <c r="Q12" i="7"/>
  <c r="Q14" i="7"/>
  <c r="Q38" i="7"/>
  <c r="Q32" i="7"/>
  <c r="Q10" i="7"/>
  <c r="Q5" i="7"/>
  <c r="Q18" i="7"/>
  <c r="Q16" i="7"/>
  <c r="Q19" i="7"/>
  <c r="Q8" i="7"/>
  <c r="Q7" i="7"/>
  <c r="Q25" i="7"/>
  <c r="AB70" i="2"/>
  <c r="P6" i="3"/>
  <c r="P9" i="3"/>
  <c r="P12" i="3"/>
  <c r="P15" i="3"/>
  <c r="P18" i="3"/>
  <c r="P21" i="3"/>
  <c r="P24" i="3"/>
  <c r="P27" i="3"/>
  <c r="P30" i="3"/>
  <c r="P33" i="3"/>
  <c r="P36" i="3"/>
  <c r="P39" i="3"/>
  <c r="P42" i="3"/>
  <c r="P45" i="3"/>
  <c r="AI47" i="3"/>
  <c r="P48" i="3"/>
  <c r="AI50" i="3"/>
  <c r="P51" i="3"/>
  <c r="AI53" i="3"/>
  <c r="P54" i="3"/>
  <c r="AI56" i="3"/>
  <c r="P57" i="3"/>
  <c r="AI59" i="3"/>
  <c r="P60" i="3"/>
  <c r="AI62" i="3"/>
  <c r="P63" i="3"/>
  <c r="AI65" i="3"/>
  <c r="P66" i="3"/>
  <c r="AM67" i="3"/>
  <c r="AI68" i="3"/>
  <c r="P69" i="3"/>
  <c r="AM70" i="3"/>
  <c r="AI71" i="3"/>
  <c r="P72" i="3"/>
  <c r="AM73" i="3"/>
  <c r="AI74" i="3"/>
  <c r="P75" i="3"/>
  <c r="AM76" i="3"/>
  <c r="AI77" i="3"/>
  <c r="P78" i="3"/>
  <c r="AM79" i="3"/>
  <c r="AI80" i="3"/>
  <c r="P81" i="3"/>
  <c r="AM82" i="3"/>
  <c r="AI83" i="3"/>
  <c r="P84" i="3"/>
  <c r="AM85" i="3"/>
  <c r="AI86" i="3"/>
  <c r="P87" i="3"/>
  <c r="AM88" i="3"/>
  <c r="AI89" i="3"/>
  <c r="P90" i="3"/>
  <c r="AM91" i="3"/>
  <c r="AI92" i="3"/>
  <c r="P93" i="3"/>
  <c r="AM94" i="3"/>
  <c r="AI95" i="3"/>
  <c r="P96" i="3"/>
  <c r="AM97" i="3"/>
  <c r="AI98" i="3"/>
  <c r="P99" i="3"/>
  <c r="AM100" i="3"/>
  <c r="AI101" i="3"/>
  <c r="P102" i="3"/>
  <c r="AM103" i="3"/>
  <c r="AI104" i="3"/>
  <c r="P105" i="3"/>
  <c r="AM106" i="3"/>
  <c r="AI107" i="3"/>
  <c r="P108" i="3"/>
  <c r="AM109" i="3"/>
  <c r="AI110" i="3"/>
  <c r="P111" i="3"/>
  <c r="AM112" i="3"/>
  <c r="AI113" i="3"/>
  <c r="P114" i="3"/>
  <c r="AM115" i="3"/>
  <c r="AI116" i="3"/>
  <c r="P117" i="3"/>
  <c r="AM118" i="3"/>
  <c r="AI119" i="3"/>
  <c r="P120" i="3"/>
  <c r="AM121" i="3"/>
  <c r="AI122" i="3"/>
  <c r="P123" i="3"/>
  <c r="AM124" i="3"/>
  <c r="AI125" i="3"/>
  <c r="P126" i="3"/>
  <c r="AM127" i="3"/>
  <c r="AI128" i="3"/>
  <c r="P129" i="3"/>
  <c r="AM130" i="3"/>
  <c r="AI131" i="3"/>
  <c r="P132" i="3"/>
  <c r="AM133" i="3"/>
  <c r="CS4" i="4"/>
  <c r="AO5" i="4"/>
  <c r="CQ5" i="4"/>
  <c r="CU7" i="4"/>
  <c r="DG7" i="4" a="1"/>
  <c r="DG7" i="4" s="1"/>
  <c r="CR9" i="4"/>
  <c r="AO10" i="4"/>
  <c r="CT11" i="4"/>
  <c r="CW13" i="4"/>
  <c r="CQ16" i="4"/>
  <c r="CZ33" i="4"/>
  <c r="DC34" i="4"/>
  <c r="DI88" i="4"/>
  <c r="DI87" i="4"/>
  <c r="DB34" i="4"/>
  <c r="DF38" i="4"/>
  <c r="CZ39" i="4"/>
  <c r="DF40" i="4"/>
  <c r="DF52" i="4"/>
  <c r="DB53" i="4"/>
  <c r="CZ54" i="4"/>
  <c r="DI54" i="4"/>
  <c r="DF60" i="4"/>
  <c r="DC61" i="4"/>
  <c r="CZ63" i="4"/>
  <c r="DI63" i="4"/>
  <c r="DB72" i="4"/>
  <c r="DC74" i="4"/>
  <c r="DC78" i="4"/>
  <c r="DA85" i="4"/>
  <c r="DI85" i="4"/>
  <c r="DD90" i="4"/>
  <c r="DJ103" i="4"/>
  <c r="DJ110" i="4"/>
  <c r="DF27" i="4"/>
  <c r="DF56" i="4"/>
  <c r="DF96" i="4"/>
  <c r="DJ96" i="4"/>
  <c r="DB22" i="4"/>
  <c r="DJ25" i="4"/>
  <c r="DB39" i="4"/>
  <c r="DD53" i="4"/>
  <c r="DB54" i="4"/>
  <c r="DB58" i="4"/>
  <c r="DB63" i="4"/>
  <c r="DF68" i="4"/>
  <c r="DC70" i="4"/>
  <c r="DD72" i="4"/>
  <c r="DF82" i="4"/>
  <c r="DE91" i="4"/>
  <c r="DC102" i="4"/>
  <c r="DJ102" i="4"/>
  <c r="DF102" i="4"/>
  <c r="DA104" i="4"/>
  <c r="DI106" i="4"/>
  <c r="DA111" i="4"/>
  <c r="DI111" i="4"/>
  <c r="DI123" i="4"/>
  <c r="DI131" i="4"/>
  <c r="DB33" i="4"/>
  <c r="DB41" i="4"/>
  <c r="DF47" i="4"/>
  <c r="DI51" i="4"/>
  <c r="DF57" i="4"/>
  <c r="DC58" i="4"/>
  <c r="DF61" i="4"/>
  <c r="DF91" i="4"/>
  <c r="DC107" i="4"/>
  <c r="DJ125" i="4"/>
  <c r="DF125" i="4"/>
  <c r="DF24" i="4"/>
  <c r="DJ44" i="4"/>
  <c r="DI46" i="4"/>
  <c r="DI99" i="4"/>
  <c r="DI100" i="4"/>
  <c r="DB103" i="4"/>
  <c r="DB106" i="4"/>
  <c r="DJ113" i="4"/>
  <c r="DJ114" i="4"/>
  <c r="DJ129" i="4"/>
  <c r="DJ130" i="4"/>
  <c r="DF129" i="4"/>
  <c r="DI20" i="4"/>
  <c r="DI32" i="4"/>
  <c r="DD41" i="4"/>
  <c r="DB46" i="4"/>
  <c r="DB55" i="4"/>
  <c r="DC64" i="4"/>
  <c r="DI65" i="4"/>
  <c r="DF77" i="4"/>
  <c r="DJ77" i="4"/>
  <c r="DF85" i="4"/>
  <c r="DF87" i="4"/>
  <c r="DJ87" i="4"/>
  <c r="DD104" i="4"/>
  <c r="DB112" i="4"/>
  <c r="DB130" i="4"/>
  <c r="DI35" i="4"/>
  <c r="DI38" i="4"/>
  <c r="DB59" i="4"/>
  <c r="DI60" i="4"/>
  <c r="DJ73" i="4"/>
  <c r="DJ74" i="4"/>
  <c r="CZ80" i="4"/>
  <c r="DI40" i="4"/>
  <c r="DF41" i="4"/>
  <c r="DI42" i="4"/>
  <c r="DF43" i="4"/>
  <c r="DI44" i="4"/>
  <c r="DF48" i="4"/>
  <c r="DB49" i="4"/>
  <c r="DJ53" i="4"/>
  <c r="DI56" i="4"/>
  <c r="DJ81" i="4"/>
  <c r="DF81" i="4"/>
  <c r="DE15" i="4"/>
  <c r="DI17" i="4"/>
  <c r="DB28" i="4"/>
  <c r="DI29" i="4"/>
  <c r="DD35" i="4"/>
  <c r="DB38" i="4"/>
  <c r="DC49" i="4"/>
  <c r="DJ50" i="4"/>
  <c r="DD59" i="4"/>
  <c r="DB60" i="4"/>
  <c r="DJ62" i="4"/>
  <c r="DF64" i="4"/>
  <c r="DI68" i="4"/>
  <c r="DJ82" i="4"/>
  <c r="DJ83" i="4"/>
  <c r="DJ90" i="4"/>
  <c r="DF90" i="4"/>
  <c r="DJ91" i="4"/>
  <c r="DJ92" i="4"/>
  <c r="DE98" i="4"/>
  <c r="DJ126" i="4"/>
  <c r="DC40" i="4"/>
  <c r="DF46" i="4"/>
  <c r="DI47" i="4"/>
  <c r="DF51" i="4"/>
  <c r="DC52" i="4"/>
  <c r="DF55" i="4"/>
  <c r="CZ57" i="4"/>
  <c r="DI57" i="4"/>
  <c r="DD65" i="4"/>
  <c r="DF67" i="4"/>
  <c r="DB71" i="4"/>
  <c r="DE73" i="4"/>
  <c r="DB81" i="4"/>
  <c r="DF99" i="4"/>
  <c r="DI116" i="4"/>
  <c r="DI120" i="4"/>
  <c r="DF18" i="4"/>
  <c r="DF30" i="4"/>
  <c r="DF35" i="4"/>
  <c r="DI53" i="4"/>
  <c r="DF59" i="4"/>
  <c r="DJ63" i="4"/>
  <c r="DB68" i="4"/>
  <c r="DF73" i="4"/>
  <c r="DI84" i="4"/>
  <c r="DB88" i="4"/>
  <c r="DB90" i="4"/>
  <c r="DI93" i="4"/>
  <c r="CZ94" i="4"/>
  <c r="DB134" i="4"/>
  <c r="DF97" i="4"/>
  <c r="DJ122" i="4"/>
  <c r="DI129" i="4"/>
  <c r="DD130" i="4"/>
  <c r="DC131" i="4"/>
  <c r="DA133" i="4"/>
  <c r="DC135" i="4"/>
  <c r="CT20" i="7"/>
  <c r="CT9" i="7"/>
  <c r="CT135" i="7"/>
  <c r="CT133" i="7"/>
  <c r="CT131" i="7"/>
  <c r="CT129" i="7"/>
  <c r="CT127" i="7"/>
  <c r="CT125" i="7"/>
  <c r="CT123" i="7"/>
  <c r="CT121" i="7"/>
  <c r="CT119" i="7"/>
  <c r="CT117" i="7"/>
  <c r="CT115" i="7"/>
  <c r="CT113" i="7"/>
  <c r="CT111" i="7"/>
  <c r="CT109" i="7"/>
  <c r="CT107" i="7"/>
  <c r="CT105" i="7"/>
  <c r="CT103" i="7"/>
  <c r="CT101" i="7"/>
  <c r="CT99" i="7"/>
  <c r="CT97" i="7"/>
  <c r="CT95" i="7"/>
  <c r="CT93" i="7"/>
  <c r="CT91" i="7"/>
  <c r="CT89" i="7"/>
  <c r="CT87" i="7"/>
  <c r="CT85" i="7"/>
  <c r="CT83" i="7"/>
  <c r="CT81" i="7"/>
  <c r="CT79" i="7"/>
  <c r="CT77" i="7"/>
  <c r="CT75" i="7"/>
  <c r="CT73" i="7"/>
  <c r="CT71" i="7"/>
  <c r="CT69" i="7"/>
  <c r="CT67" i="7"/>
  <c r="CT65" i="7"/>
  <c r="CT63" i="7"/>
  <c r="CT61" i="7"/>
  <c r="CT59" i="7"/>
  <c r="CT57" i="7"/>
  <c r="CT55" i="7"/>
  <c r="CT53" i="7"/>
  <c r="CT51" i="7"/>
  <c r="CT49" i="7"/>
  <c r="CT47" i="7"/>
  <c r="CT45" i="7"/>
  <c r="CT43" i="7"/>
  <c r="CT41" i="7"/>
  <c r="CT39" i="7"/>
  <c r="CT37" i="7"/>
  <c r="CT35" i="7"/>
  <c r="CT33" i="7"/>
  <c r="CT31" i="7"/>
  <c r="CT29" i="7"/>
  <c r="CT27" i="7"/>
  <c r="CT18" i="7"/>
  <c r="CT7" i="7"/>
  <c r="CT5" i="7"/>
  <c r="CT23" i="7"/>
  <c r="CT21" i="7"/>
  <c r="CT10" i="7"/>
  <c r="CT19" i="7"/>
  <c r="CT8" i="7"/>
  <c r="CT136" i="7"/>
  <c r="CT134" i="7"/>
  <c r="CT132" i="7"/>
  <c r="CT130" i="7"/>
  <c r="CT128" i="7"/>
  <c r="CT126" i="7"/>
  <c r="CT124" i="7"/>
  <c r="CT122" i="7"/>
  <c r="CT120" i="7"/>
  <c r="CT118" i="7"/>
  <c r="CT116" i="7"/>
  <c r="CT114" i="7"/>
  <c r="CT112" i="7"/>
  <c r="CT110" i="7"/>
  <c r="CT108" i="7"/>
  <c r="CT106" i="7"/>
  <c r="CT104" i="7"/>
  <c r="CT102" i="7"/>
  <c r="CT100" i="7"/>
  <c r="CT98" i="7"/>
  <c r="CT96" i="7"/>
  <c r="CT94" i="7"/>
  <c r="CT92" i="7"/>
  <c r="CT90" i="7"/>
  <c r="CT88" i="7"/>
  <c r="CT86" i="7"/>
  <c r="CT84" i="7"/>
  <c r="CT82" i="7"/>
  <c r="CT80" i="7"/>
  <c r="CT78" i="7"/>
  <c r="CT76" i="7"/>
  <c r="CT74" i="7"/>
  <c r="CT72" i="7"/>
  <c r="CT70" i="7"/>
  <c r="CT68" i="7"/>
  <c r="CT66" i="7"/>
  <c r="CT64" i="7"/>
  <c r="CT62" i="7"/>
  <c r="CT60" i="7"/>
  <c r="CT58" i="7"/>
  <c r="CT56" i="7"/>
  <c r="CT54" i="7"/>
  <c r="CT52" i="7"/>
  <c r="CT50" i="7"/>
  <c r="CT48" i="7"/>
  <c r="CT46" i="7"/>
  <c r="CT44" i="7"/>
  <c r="CT42" i="7"/>
  <c r="CT40" i="7"/>
  <c r="CT38" i="7"/>
  <c r="CT36" i="7"/>
  <c r="CT34" i="7"/>
  <c r="CT32" i="7"/>
  <c r="CT30" i="7"/>
  <c r="CT28" i="7"/>
  <c r="CT26" i="7"/>
  <c r="CT24" i="7"/>
  <c r="CT6" i="7"/>
  <c r="CT25" i="7"/>
  <c r="CT4" i="7"/>
  <c r="CT15" i="7"/>
  <c r="CT12" i="7"/>
  <c r="CT22" i="7"/>
  <c r="DJ86" i="4"/>
  <c r="DJ95" i="4"/>
  <c r="DB98" i="4"/>
  <c r="DE102" i="4"/>
  <c r="DJ106" i="4"/>
  <c r="DD109" i="4"/>
  <c r="DD112" i="4"/>
  <c r="DD131" i="4"/>
  <c r="DD134" i="4"/>
  <c r="CT14" i="7"/>
  <c r="DD76" i="4"/>
  <c r="DD85" i="4"/>
  <c r="DD94" i="4"/>
  <c r="DI103" i="4"/>
  <c r="CZ110" i="4"/>
  <c r="DD115" i="4"/>
  <c r="DA118" i="4"/>
  <c r="DE131" i="4"/>
  <c r="DJ133" i="4"/>
  <c r="CT13" i="7"/>
  <c r="CZ104" i="4"/>
  <c r="DF109" i="4"/>
  <c r="DE115" i="4"/>
  <c r="DF116" i="4"/>
  <c r="DB118" i="4"/>
  <c r="CZ122" i="4"/>
  <c r="DI136" i="4"/>
  <c r="DJ136" i="4"/>
  <c r="DA108" i="4"/>
  <c r="DA117" i="4"/>
  <c r="DA122" i="4"/>
  <c r="CZ126" i="4"/>
  <c r="DB136" i="4"/>
  <c r="DF100" i="4"/>
  <c r="DD103" i="4"/>
  <c r="DB122" i="4"/>
  <c r="DA126" i="4"/>
  <c r="DF103" i="4"/>
  <c r="DD106" i="4"/>
  <c r="DC108" i="4"/>
  <c r="DC119" i="4"/>
  <c r="DE110" i="4"/>
  <c r="CZ113" i="4"/>
  <c r="CZ114" i="4"/>
  <c r="DJ117" i="4"/>
  <c r="DC126" i="4"/>
  <c r="CZ77" i="4"/>
  <c r="CZ86" i="4"/>
  <c r="CZ95" i="4"/>
  <c r="DJ104" i="4"/>
  <c r="DJ105" i="4"/>
  <c r="DA107" i="4"/>
  <c r="DA113" i="4"/>
  <c r="DE117" i="4"/>
  <c r="CZ125" i="4"/>
  <c r="DE101" i="4"/>
  <c r="DJ118" i="4"/>
  <c r="DC123" i="4"/>
  <c r="DI125" i="4"/>
  <c r="AQ136" i="7"/>
  <c r="AQ134" i="7"/>
  <c r="AQ132" i="7"/>
  <c r="AQ130" i="7"/>
  <c r="AQ128" i="7"/>
  <c r="AQ126" i="7"/>
  <c r="AQ124" i="7"/>
  <c r="AQ122" i="7"/>
  <c r="AQ120" i="7"/>
  <c r="AQ118" i="7"/>
  <c r="AQ116" i="7"/>
  <c r="AQ114" i="7"/>
  <c r="AQ112" i="7"/>
  <c r="AQ110" i="7"/>
  <c r="AQ108" i="7"/>
  <c r="AQ106" i="7"/>
  <c r="AQ104" i="7"/>
  <c r="AQ102" i="7"/>
  <c r="AQ100" i="7"/>
  <c r="AQ98" i="7"/>
  <c r="AQ96" i="7"/>
  <c r="AQ94" i="7"/>
  <c r="AQ92" i="7"/>
  <c r="AQ90" i="7"/>
  <c r="AQ88" i="7"/>
  <c r="AQ86" i="7"/>
  <c r="AQ84" i="7"/>
  <c r="AQ82" i="7"/>
  <c r="AQ80" i="7"/>
  <c r="AQ78" i="7"/>
  <c r="AQ76" i="7"/>
  <c r="AQ74" i="7"/>
  <c r="AQ72" i="7"/>
  <c r="AQ70" i="7"/>
  <c r="AQ68" i="7"/>
  <c r="AQ66" i="7"/>
  <c r="AQ64" i="7"/>
  <c r="AQ62" i="7"/>
  <c r="AQ60" i="7"/>
  <c r="AQ58" i="7"/>
  <c r="AQ56" i="7"/>
  <c r="AQ54" i="7"/>
  <c r="AQ52" i="7"/>
  <c r="AQ50" i="7"/>
  <c r="AQ48" i="7"/>
  <c r="AQ46" i="7"/>
  <c r="AQ44" i="7"/>
  <c r="AQ42" i="7"/>
  <c r="AQ40" i="7"/>
  <c r="AQ26" i="7"/>
  <c r="AQ17" i="7"/>
  <c r="AQ15" i="7"/>
  <c r="AQ13" i="7"/>
  <c r="AQ24" i="7"/>
  <c r="AQ22" i="7"/>
  <c r="AQ11" i="7"/>
  <c r="AQ4" i="7"/>
  <c r="CL24" i="7"/>
  <c r="AQ20" i="7"/>
  <c r="AQ9" i="7"/>
  <c r="AQ135" i="7"/>
  <c r="AQ133" i="7"/>
  <c r="AQ131" i="7"/>
  <c r="AQ129" i="7"/>
  <c r="AQ127" i="7"/>
  <c r="AQ125" i="7"/>
  <c r="AQ123" i="7"/>
  <c r="AQ121" i="7"/>
  <c r="AQ119" i="7"/>
  <c r="AQ117" i="7"/>
  <c r="AQ115" i="7"/>
  <c r="AQ113" i="7"/>
  <c r="AQ111" i="7"/>
  <c r="AQ109" i="7"/>
  <c r="AQ107" i="7"/>
  <c r="AQ105" i="7"/>
  <c r="AQ103" i="7"/>
  <c r="AQ101" i="7"/>
  <c r="AQ99" i="7"/>
  <c r="AQ97" i="7"/>
  <c r="AQ95" i="7"/>
  <c r="AQ93" i="7"/>
  <c r="AQ91" i="7"/>
  <c r="AQ89" i="7"/>
  <c r="AQ87" i="7"/>
  <c r="AQ85" i="7"/>
  <c r="AQ83" i="7"/>
  <c r="AQ81" i="7"/>
  <c r="AQ79" i="7"/>
  <c r="AQ77" i="7"/>
  <c r="AQ75" i="7"/>
  <c r="AQ73" i="7"/>
  <c r="AQ71" i="7"/>
  <c r="AQ69" i="7"/>
  <c r="AQ67" i="7"/>
  <c r="AQ65" i="7"/>
  <c r="AQ63" i="7"/>
  <c r="AQ61" i="7"/>
  <c r="AQ59" i="7"/>
  <c r="AQ57" i="7"/>
  <c r="AQ55" i="7"/>
  <c r="AQ53" i="7"/>
  <c r="AQ51" i="7"/>
  <c r="AQ49" i="7"/>
  <c r="AQ47" i="7"/>
  <c r="AQ45" i="7"/>
  <c r="AQ43" i="7"/>
  <c r="AQ41" i="7"/>
  <c r="AQ39" i="7"/>
  <c r="AQ37" i="7"/>
  <c r="AQ35" i="7"/>
  <c r="AQ33" i="7"/>
  <c r="AQ31" i="7"/>
  <c r="AQ29" i="7"/>
  <c r="AQ27" i="7"/>
  <c r="AQ18" i="7"/>
  <c r="AQ16" i="7"/>
  <c r="AQ14" i="7"/>
  <c r="AQ7" i="7"/>
  <c r="AQ5" i="7"/>
  <c r="AQ8" i="7"/>
  <c r="DD121" i="4"/>
  <c r="DA124" i="4"/>
  <c r="DD133" i="4"/>
  <c r="DA136" i="4"/>
  <c r="AS2" i="7"/>
  <c r="AQ10" i="7"/>
  <c r="CL26" i="7"/>
  <c r="AQ32" i="7"/>
  <c r="AQ38" i="7"/>
  <c r="CZ119" i="4"/>
  <c r="CZ131" i="4"/>
  <c r="AQ12" i="7"/>
  <c r="DA115" i="4"/>
  <c r="DD124" i="4"/>
  <c r="DA127" i="4"/>
  <c r="DD136" i="4"/>
  <c r="AQ25" i="7"/>
  <c r="AQ30" i="7"/>
  <c r="AQ36" i="7"/>
  <c r="AQ6" i="7"/>
  <c r="AQ23" i="7"/>
  <c r="U131" i="9" a="1"/>
  <c r="U131" i="9" s="1"/>
  <c r="U136" i="9" a="1"/>
  <c r="U136" i="9" s="1"/>
  <c r="U134" i="9" a="1"/>
  <c r="U134" i="9" s="1"/>
  <c r="U133" i="9" a="1"/>
  <c r="U133" i="9" s="1"/>
  <c r="U126" i="9" a="1"/>
  <c r="U126" i="9" s="1"/>
  <c r="U129" i="9" a="1"/>
  <c r="U129" i="9" s="1"/>
  <c r="U127" i="9" a="1"/>
  <c r="U127" i="9" s="1"/>
  <c r="U132" i="9" a="1"/>
  <c r="U132" i="9" s="1"/>
  <c r="U130" i="9" a="1"/>
  <c r="U130" i="9" s="1"/>
  <c r="U125" i="9" a="1"/>
  <c r="U125" i="9" s="1"/>
  <c r="U128" i="9" a="1"/>
  <c r="U128" i="9" s="1"/>
  <c r="U135" i="9" a="1"/>
  <c r="U135" i="9" s="1"/>
  <c r="U122" i="9" a="1"/>
  <c r="U122" i="9" s="1"/>
  <c r="U120" i="9" a="1"/>
  <c r="U120" i="9" s="1"/>
  <c r="U123" i="9" a="1"/>
  <c r="U123" i="9" s="1"/>
  <c r="U121" i="9" a="1"/>
  <c r="U121" i="9" s="1"/>
  <c r="U115" i="9" a="1"/>
  <c r="U115" i="9" s="1"/>
  <c r="U113" i="9" a="1"/>
  <c r="U113" i="9" s="1"/>
  <c r="U118" i="9" a="1"/>
  <c r="U118" i="9" s="1"/>
  <c r="U124" i="9" a="1"/>
  <c r="U124" i="9" s="1"/>
  <c r="U107" i="9" a="1"/>
  <c r="U107" i="9" s="1"/>
  <c r="U105" i="9" a="1"/>
  <c r="U105" i="9" s="1"/>
  <c r="U110" i="9" a="1"/>
  <c r="U110" i="9" s="1"/>
  <c r="U103" i="9" a="1"/>
  <c r="U103" i="9" s="1"/>
  <c r="U117" i="9" a="1"/>
  <c r="U117" i="9" s="1"/>
  <c r="U116" i="9" a="1"/>
  <c r="U116" i="9" s="1"/>
  <c r="U108" i="9" a="1"/>
  <c r="U108" i="9" s="1"/>
  <c r="U101" i="9" a="1"/>
  <c r="U101" i="9" s="1"/>
  <c r="U106" i="9" a="1"/>
  <c r="U106" i="9" s="1"/>
  <c r="U114" i="9" a="1"/>
  <c r="U114" i="9" s="1"/>
  <c r="U104" i="9" a="1"/>
  <c r="U104" i="9" s="1"/>
  <c r="U112" i="9" a="1"/>
  <c r="U112" i="9" s="1"/>
  <c r="U111" i="9" a="1"/>
  <c r="U111" i="9" s="1"/>
  <c r="U99" i="9" a="1"/>
  <c r="U99" i="9" s="1"/>
  <c r="U97" i="9" a="1"/>
  <c r="U97" i="9" s="1"/>
  <c r="U119" i="9" a="1"/>
  <c r="U119" i="9" s="1"/>
  <c r="U95" i="9" a="1"/>
  <c r="U95" i="9" s="1"/>
  <c r="U102" i="9" a="1"/>
  <c r="U102" i="9" s="1"/>
  <c r="U100" i="9" a="1"/>
  <c r="U100" i="9" s="1"/>
  <c r="U93" i="9" a="1"/>
  <c r="U93" i="9" s="1"/>
  <c r="U109" i="9" a="1"/>
  <c r="U109" i="9" s="1"/>
  <c r="U98" i="9" a="1"/>
  <c r="U98" i="9" s="1"/>
  <c r="U91" i="9" a="1"/>
  <c r="U91" i="9" s="1"/>
  <c r="U96" i="9" a="1"/>
  <c r="U96" i="9" s="1"/>
  <c r="U86" i="9" a="1"/>
  <c r="U86" i="9" s="1"/>
  <c r="U84" i="9" a="1"/>
  <c r="U84" i="9" s="1"/>
  <c r="U89" i="9" a="1"/>
  <c r="U89" i="9" s="1"/>
  <c r="U82" i="9" a="1"/>
  <c r="U82" i="9" s="1"/>
  <c r="U87" i="9" a="1"/>
  <c r="U87" i="9" s="1"/>
  <c r="U92" i="9" a="1"/>
  <c r="U92" i="9" s="1"/>
  <c r="U80" i="9" a="1"/>
  <c r="U80" i="9" s="1"/>
  <c r="U85" i="9" a="1"/>
  <c r="U85" i="9" s="1"/>
  <c r="U90" i="9" a="1"/>
  <c r="U90" i="9" s="1"/>
  <c r="U94" i="9" a="1"/>
  <c r="U94" i="9" s="1"/>
  <c r="U83" i="9" a="1"/>
  <c r="U83" i="9" s="1"/>
  <c r="U75" i="9" a="1"/>
  <c r="U75" i="9" s="1"/>
  <c r="U68" i="9" a="1"/>
  <c r="U68" i="9" s="1"/>
  <c r="U73" i="9" a="1"/>
  <c r="U73" i="9" s="1"/>
  <c r="U78" i="9" a="1"/>
  <c r="U78" i="9" s="1"/>
  <c r="U71" i="9" a="1"/>
  <c r="U71" i="9" s="1"/>
  <c r="U88" i="9" a="1"/>
  <c r="U88" i="9" s="1"/>
  <c r="U81" i="9" a="1"/>
  <c r="U81" i="9" s="1"/>
  <c r="U76" i="9" a="1"/>
  <c r="U76" i="9" s="1"/>
  <c r="U69" i="9" a="1"/>
  <c r="U69" i="9" s="1"/>
  <c r="U74" i="9" a="1"/>
  <c r="U74" i="9" s="1"/>
  <c r="U79" i="9" a="1"/>
  <c r="U79" i="9" s="1"/>
  <c r="U67" i="9" a="1"/>
  <c r="U67" i="9" s="1"/>
  <c r="U72" i="9" a="1"/>
  <c r="U72" i="9" s="1"/>
  <c r="U56" i="9" a="1"/>
  <c r="U56" i="9" s="1"/>
  <c r="U44" i="9" a="1"/>
  <c r="U44" i="9" s="1"/>
  <c r="U61" i="9" a="1"/>
  <c r="U61" i="9" s="1"/>
  <c r="U49" i="9" a="1"/>
  <c r="U49" i="9" s="1"/>
  <c r="U66" i="9" a="1"/>
  <c r="U66" i="9" s="1"/>
  <c r="U54" i="9" a="1"/>
  <c r="U54" i="9" s="1"/>
  <c r="U42" i="9" a="1"/>
  <c r="U42" i="9" s="1"/>
  <c r="U77" i="9" a="1"/>
  <c r="U77" i="9" s="1"/>
  <c r="U70" i="9" a="1"/>
  <c r="U70" i="9" s="1"/>
  <c r="U59" i="9" a="1"/>
  <c r="U59" i="9" s="1"/>
  <c r="U47" i="9" a="1"/>
  <c r="U47" i="9" s="1"/>
  <c r="U64" i="9" a="1"/>
  <c r="U64" i="9" s="1"/>
  <c r="U52" i="9" a="1"/>
  <c r="U52" i="9" s="1"/>
  <c r="U40" i="9" a="1"/>
  <c r="U40" i="9" s="1"/>
  <c r="U57" i="9" a="1"/>
  <c r="U57" i="9" s="1"/>
  <c r="U45" i="9" a="1"/>
  <c r="U45" i="9" s="1"/>
  <c r="U62" i="9" a="1"/>
  <c r="U62" i="9" s="1"/>
  <c r="U50" i="9" a="1"/>
  <c r="U50" i="9" s="1"/>
  <c r="U55" i="9" a="1"/>
  <c r="U55" i="9" s="1"/>
  <c r="U43" i="9" a="1"/>
  <c r="U43" i="9" s="1"/>
  <c r="U60" i="9" a="1"/>
  <c r="U60" i="9" s="1"/>
  <c r="U48" i="9" a="1"/>
  <c r="U48" i="9" s="1"/>
  <c r="U32" i="9" a="1"/>
  <c r="U32" i="9" s="1"/>
  <c r="U20" i="9" a="1"/>
  <c r="U20" i="9" s="1"/>
  <c r="U58" i="9" a="1"/>
  <c r="U58" i="9" s="1"/>
  <c r="U46" i="9" a="1"/>
  <c r="U46" i="9" s="1"/>
  <c r="U41" i="9" a="1"/>
  <c r="U41" i="9" s="1"/>
  <c r="U37" i="9" a="1"/>
  <c r="U37" i="9" s="1"/>
  <c r="U25" i="9" a="1"/>
  <c r="U25" i="9" s="1"/>
  <c r="U30" i="9" a="1"/>
  <c r="U30" i="9" s="1"/>
  <c r="U18" i="9" a="1"/>
  <c r="U18" i="9" s="1"/>
  <c r="U35" i="9" a="1"/>
  <c r="U35" i="9" s="1"/>
  <c r="U28" i="9" a="1"/>
  <c r="U28" i="9" s="1"/>
  <c r="U33" i="9" a="1"/>
  <c r="U33" i="9" s="1"/>
  <c r="U21" i="9" a="1"/>
  <c r="U21" i="9" s="1"/>
  <c r="U63" i="9" a="1"/>
  <c r="U63" i="9" s="1"/>
  <c r="U51" i="9" a="1"/>
  <c r="U51" i="9" s="1"/>
  <c r="U31" i="9" a="1"/>
  <c r="U31" i="9" s="1"/>
  <c r="U19" i="9" a="1"/>
  <c r="U19" i="9" s="1"/>
  <c r="U65" i="9" a="1"/>
  <c r="U65" i="9" s="1"/>
  <c r="U53" i="9" a="1"/>
  <c r="U53" i="9" s="1"/>
  <c r="U36" i="9" a="1"/>
  <c r="U36" i="9" s="1"/>
  <c r="U24" i="9" a="1"/>
  <c r="U24" i="9" s="1"/>
  <c r="U39" i="9" a="1"/>
  <c r="U39" i="9" s="1"/>
  <c r="U29" i="9" a="1"/>
  <c r="U29" i="9" s="1"/>
  <c r="U11" i="9" a="1"/>
  <c r="U11" i="9" s="1"/>
  <c r="U16" i="9" a="1"/>
  <c r="U16" i="9" s="1"/>
  <c r="U9" i="9" a="1"/>
  <c r="U9" i="9" s="1"/>
  <c r="U14" i="9" a="1"/>
  <c r="U14" i="9" s="1"/>
  <c r="U38" i="9" a="1"/>
  <c r="U38" i="9" s="1"/>
  <c r="U7" i="9" a="1"/>
  <c r="U7" i="9" s="1"/>
  <c r="U17" i="9" a="1"/>
  <c r="U17" i="9" s="1"/>
  <c r="U12" i="9" a="1"/>
  <c r="U12" i="9" s="1"/>
  <c r="U23" i="9" a="1"/>
  <c r="U23" i="9" s="1"/>
  <c r="U5" i="9" a="1"/>
  <c r="U5" i="9" s="1"/>
  <c r="U22" i="9" a="1"/>
  <c r="U22" i="9" s="1"/>
  <c r="U10" i="9" a="1"/>
  <c r="U10" i="9" s="1"/>
  <c r="U15" i="9" a="1"/>
  <c r="U15" i="9" s="1"/>
  <c r="U34" i="9" a="1"/>
  <c r="U34" i="9" s="1"/>
  <c r="U8" i="9" a="1"/>
  <c r="U8" i="9" s="1"/>
  <c r="U26" i="9" a="1"/>
  <c r="U26" i="9" s="1"/>
  <c r="U27" i="9" a="1"/>
  <c r="U27" i="9" s="1"/>
  <c r="U6" i="9" a="1"/>
  <c r="U6" i="9" s="1"/>
  <c r="U13" i="9" a="1"/>
  <c r="U13" i="9" s="1"/>
  <c r="U4" i="9" a="1"/>
  <c r="U4" i="9" s="1"/>
  <c r="AG134" i="9" a="1"/>
  <c r="AG134" i="9" s="1"/>
  <c r="AG136" i="9" a="1"/>
  <c r="AG136" i="9" s="1"/>
  <c r="AG133" i="9" a="1"/>
  <c r="AG133" i="9" s="1"/>
  <c r="AG129" i="9" a="1"/>
  <c r="AG129" i="9" s="1"/>
  <c r="AG132" i="9" a="1"/>
  <c r="AG132" i="9" s="1"/>
  <c r="AG126" i="9" a="1"/>
  <c r="AG126" i="9" s="1"/>
  <c r="AG135" i="9" a="1"/>
  <c r="AG135" i="9" s="1"/>
  <c r="AG125" i="9" a="1"/>
  <c r="AG125" i="9" s="1"/>
  <c r="AG131" i="9" a="1"/>
  <c r="AG131" i="9" s="1"/>
  <c r="AG127" i="9" a="1"/>
  <c r="AG127" i="9" s="1"/>
  <c r="AG122" i="9" a="1"/>
  <c r="AG122" i="9" s="1"/>
  <c r="AG130" i="9" a="1"/>
  <c r="AG130" i="9" s="1"/>
  <c r="AG128" i="9" a="1"/>
  <c r="AG128" i="9" s="1"/>
  <c r="AG120" i="9" a="1"/>
  <c r="AG120" i="9" s="1"/>
  <c r="AG124" i="9" a="1"/>
  <c r="AG124" i="9" s="1"/>
  <c r="AG115" i="9" a="1"/>
  <c r="AG115" i="9" s="1"/>
  <c r="AG121" i="9" a="1"/>
  <c r="AG121" i="9" s="1"/>
  <c r="AG123" i="9" a="1"/>
  <c r="AG123" i="9" s="1"/>
  <c r="AG113" i="9" a="1"/>
  <c r="AG113" i="9" s="1"/>
  <c r="AG118" i="9" a="1"/>
  <c r="AG118" i="9" s="1"/>
  <c r="AG107" i="9" a="1"/>
  <c r="AG107" i="9" s="1"/>
  <c r="AG119" i="9" a="1"/>
  <c r="AG119" i="9" s="1"/>
  <c r="AG105" i="9" a="1"/>
  <c r="AG105" i="9" s="1"/>
  <c r="AG110" i="9" a="1"/>
  <c r="AG110" i="9" s="1"/>
  <c r="AG103" i="9" a="1"/>
  <c r="AG103" i="9" s="1"/>
  <c r="AG112" i="9" a="1"/>
  <c r="AG112" i="9" s="1"/>
  <c r="AG108" i="9" a="1"/>
  <c r="AG108" i="9" s="1"/>
  <c r="AG101" i="9" a="1"/>
  <c r="AG101" i="9" s="1"/>
  <c r="AG106" i="9" a="1"/>
  <c r="AG106" i="9" s="1"/>
  <c r="AG117" i="9" a="1"/>
  <c r="AG117" i="9" s="1"/>
  <c r="AG116" i="9" a="1"/>
  <c r="AG116" i="9" s="1"/>
  <c r="AG104" i="9" a="1"/>
  <c r="AG104" i="9" s="1"/>
  <c r="AG114" i="9" a="1"/>
  <c r="AG114" i="9" s="1"/>
  <c r="AG99" i="9" a="1"/>
  <c r="AG99" i="9" s="1"/>
  <c r="AG97" i="9" a="1"/>
  <c r="AG97" i="9" s="1"/>
  <c r="AG111" i="9" a="1"/>
  <c r="AG111" i="9" s="1"/>
  <c r="AG95" i="9" a="1"/>
  <c r="AG95" i="9" s="1"/>
  <c r="AG100" i="9" a="1"/>
  <c r="AG100" i="9" s="1"/>
  <c r="AG93" i="9" a="1"/>
  <c r="AG93" i="9" s="1"/>
  <c r="AG98" i="9" a="1"/>
  <c r="AG98" i="9" s="1"/>
  <c r="AG91" i="9" a="1"/>
  <c r="AG91" i="9" s="1"/>
  <c r="AG102" i="9" a="1"/>
  <c r="AG102" i="9" s="1"/>
  <c r="AG96" i="9" a="1"/>
  <c r="AG96" i="9" s="1"/>
  <c r="AG92" i="9" a="1"/>
  <c r="AG92" i="9" s="1"/>
  <c r="AG86" i="9" a="1"/>
  <c r="AG86" i="9" s="1"/>
  <c r="AG84" i="9" a="1"/>
  <c r="AG84" i="9" s="1"/>
  <c r="AG94" i="9" a="1"/>
  <c r="AG94" i="9" s="1"/>
  <c r="AG89" i="9" a="1"/>
  <c r="AG89" i="9" s="1"/>
  <c r="AG82" i="9" a="1"/>
  <c r="AG82" i="9" s="1"/>
  <c r="AG87" i="9" a="1"/>
  <c r="AG87" i="9" s="1"/>
  <c r="AG80" i="9" a="1"/>
  <c r="AG80" i="9" s="1"/>
  <c r="AG109" i="9" a="1"/>
  <c r="AG109" i="9" s="1"/>
  <c r="AG85" i="9" a="1"/>
  <c r="AG85" i="9" s="1"/>
  <c r="AG90" i="9" a="1"/>
  <c r="AG90" i="9" s="1"/>
  <c r="AG83" i="9" a="1"/>
  <c r="AG83" i="9" s="1"/>
  <c r="AG75" i="9" a="1"/>
  <c r="AG75" i="9" s="1"/>
  <c r="AG88" i="9" a="1"/>
  <c r="AG88" i="9" s="1"/>
  <c r="AG81" i="9" a="1"/>
  <c r="AG81" i="9" s="1"/>
  <c r="AG68" i="9" a="1"/>
  <c r="AG68" i="9" s="1"/>
  <c r="AG73" i="9" a="1"/>
  <c r="AG73" i="9" s="1"/>
  <c r="AG78" i="9" a="1"/>
  <c r="AG78" i="9" s="1"/>
  <c r="AG71" i="9" a="1"/>
  <c r="AG71" i="9" s="1"/>
  <c r="AG76" i="9" a="1"/>
  <c r="AG76" i="9" s="1"/>
  <c r="AG69" i="9" a="1"/>
  <c r="AG69" i="9" s="1"/>
  <c r="AG74" i="9" a="1"/>
  <c r="AG74" i="9" s="1"/>
  <c r="AG79" i="9" a="1"/>
  <c r="AG79" i="9" s="1"/>
  <c r="AG67" i="9" a="1"/>
  <c r="AG67" i="9" s="1"/>
  <c r="AG72" i="9" a="1"/>
  <c r="AG72" i="9" s="1"/>
  <c r="AG56" i="9" a="1"/>
  <c r="AG56" i="9" s="1"/>
  <c r="AG44" i="9" a="1"/>
  <c r="AG44" i="9" s="1"/>
  <c r="AG61" i="9" a="1"/>
  <c r="AG61" i="9" s="1"/>
  <c r="AG49" i="9" a="1"/>
  <c r="AG49" i="9" s="1"/>
  <c r="AG66" i="9" a="1"/>
  <c r="AG66" i="9" s="1"/>
  <c r="AG54" i="9" a="1"/>
  <c r="AG54" i="9" s="1"/>
  <c r="AG42" i="9" a="1"/>
  <c r="AG42" i="9" s="1"/>
  <c r="AG59" i="9" a="1"/>
  <c r="AG59" i="9" s="1"/>
  <c r="AG47" i="9" a="1"/>
  <c r="AG47" i="9" s="1"/>
  <c r="AG64" i="9" a="1"/>
  <c r="AG64" i="9" s="1"/>
  <c r="AG52" i="9" a="1"/>
  <c r="AG52" i="9" s="1"/>
  <c r="AG40" i="9" a="1"/>
  <c r="AG40" i="9" s="1"/>
  <c r="AG57" i="9" a="1"/>
  <c r="AG57" i="9" s="1"/>
  <c r="AG45" i="9" a="1"/>
  <c r="AG45" i="9" s="1"/>
  <c r="AG62" i="9" a="1"/>
  <c r="AG62" i="9" s="1"/>
  <c r="AG50" i="9" a="1"/>
  <c r="AG50" i="9" s="1"/>
  <c r="AG55" i="9" a="1"/>
  <c r="AG55" i="9" s="1"/>
  <c r="AG43" i="9" a="1"/>
  <c r="AG43" i="9" s="1"/>
  <c r="AG60" i="9" a="1"/>
  <c r="AG60" i="9" s="1"/>
  <c r="AG48" i="9" a="1"/>
  <c r="AG48" i="9" s="1"/>
  <c r="AG63" i="9" a="1"/>
  <c r="AG63" i="9" s="1"/>
  <c r="AG51" i="9" a="1"/>
  <c r="AG51" i="9" s="1"/>
  <c r="AG32" i="9" a="1"/>
  <c r="AG32" i="9" s="1"/>
  <c r="AG20" i="9" a="1"/>
  <c r="AG20" i="9" s="1"/>
  <c r="AG77" i="9" a="1"/>
  <c r="AG77" i="9" s="1"/>
  <c r="AG39" i="9" a="1"/>
  <c r="AG39" i="9" s="1"/>
  <c r="AG37" i="9" a="1"/>
  <c r="AG37" i="9" s="1"/>
  <c r="AG25" i="9" a="1"/>
  <c r="AG25" i="9" s="1"/>
  <c r="AG65" i="9" a="1"/>
  <c r="AG65" i="9" s="1"/>
  <c r="AG53" i="9" a="1"/>
  <c r="AG53" i="9" s="1"/>
  <c r="AG30" i="9" a="1"/>
  <c r="AG30" i="9" s="1"/>
  <c r="AG18" i="9" a="1"/>
  <c r="AG18" i="9" s="1"/>
  <c r="AG35" i="9" a="1"/>
  <c r="AG35" i="9" s="1"/>
  <c r="AG28" i="9" a="1"/>
  <c r="AG28" i="9" s="1"/>
  <c r="AG16" i="9" a="1"/>
  <c r="AG16" i="9" s="1"/>
  <c r="AG70" i="9" a="1"/>
  <c r="AG70" i="9" s="1"/>
  <c r="AG41" i="9" a="1"/>
  <c r="AG41" i="9" s="1"/>
  <c r="AG33" i="9" a="1"/>
  <c r="AG33" i="9" s="1"/>
  <c r="AG21" i="9" a="1"/>
  <c r="AG21" i="9" s="1"/>
  <c r="AG58" i="9" a="1"/>
  <c r="AG58" i="9" s="1"/>
  <c r="AG46" i="9" a="1"/>
  <c r="AG46" i="9" s="1"/>
  <c r="AG31" i="9" a="1"/>
  <c r="AG31" i="9" s="1"/>
  <c r="AG19" i="9" a="1"/>
  <c r="AG19" i="9" s="1"/>
  <c r="AG36" i="9" a="1"/>
  <c r="AG36" i="9" s="1"/>
  <c r="AG24" i="9" a="1"/>
  <c r="AG24" i="9" s="1"/>
  <c r="AG29" i="9" a="1"/>
  <c r="AG29" i="9" s="1"/>
  <c r="AG26" i="9" a="1"/>
  <c r="AG26" i="9" s="1"/>
  <c r="AG11" i="9" a="1"/>
  <c r="AG11" i="9" s="1"/>
  <c r="AG9" i="9" a="1"/>
  <c r="AG9" i="9" s="1"/>
  <c r="AG34" i="9" a="1"/>
  <c r="AG34" i="9" s="1"/>
  <c r="AG27" i="9" a="1"/>
  <c r="AG27" i="9" s="1"/>
  <c r="AG14" i="9" a="1"/>
  <c r="AG14" i="9" s="1"/>
  <c r="AG7" i="9" a="1"/>
  <c r="AG7" i="9" s="1"/>
  <c r="AG12" i="9" a="1"/>
  <c r="AG12" i="9" s="1"/>
  <c r="AG5" i="9" a="1"/>
  <c r="AG5" i="9" s="1"/>
  <c r="AG17" i="9" a="1"/>
  <c r="AG17" i="9" s="1"/>
  <c r="AG10" i="9" a="1"/>
  <c r="AG10" i="9" s="1"/>
  <c r="AG23" i="9" a="1"/>
  <c r="AG23" i="9" s="1"/>
  <c r="AG15" i="9" a="1"/>
  <c r="AG15" i="9" s="1"/>
  <c r="AG22" i="9" a="1"/>
  <c r="AG22" i="9" s="1"/>
  <c r="AG8" i="9" a="1"/>
  <c r="AG8" i="9" s="1"/>
  <c r="AG38" i="9" a="1"/>
  <c r="AG38" i="9" s="1"/>
  <c r="AG13" i="9" a="1"/>
  <c r="AG13" i="9" s="1"/>
  <c r="AG4" i="9" a="1"/>
  <c r="AG4" i="9" s="1"/>
  <c r="AG6" i="9" a="1"/>
  <c r="AG6" i="9" s="1"/>
  <c r="AS134" i="9" a="1"/>
  <c r="AS134" i="9" s="1"/>
  <c r="AS136" i="9" a="1"/>
  <c r="AS136" i="9" s="1"/>
  <c r="AS133" i="9" a="1"/>
  <c r="AS133" i="9" s="1"/>
  <c r="AS135" i="9" a="1"/>
  <c r="AS135" i="9" s="1"/>
  <c r="AS130" i="9" a="1"/>
  <c r="AS130" i="9" s="1"/>
  <c r="AS126" i="9" a="1"/>
  <c r="AS126" i="9" s="1"/>
  <c r="AS128" i="9" a="1"/>
  <c r="AS128" i="9" s="1"/>
  <c r="AS131" i="9" a="1"/>
  <c r="AS131" i="9" s="1"/>
  <c r="AS125" i="9" a="1"/>
  <c r="AS125" i="9" s="1"/>
  <c r="AS132" i="9" a="1"/>
  <c r="AS132" i="9" s="1"/>
  <c r="AS124" i="9" a="1"/>
  <c r="AS124" i="9" s="1"/>
  <c r="AS123" i="9" a="1"/>
  <c r="AS123" i="9" s="1"/>
  <c r="AS127" i="9" a="1"/>
  <c r="AS127" i="9" s="1"/>
  <c r="AS122" i="9" a="1"/>
  <c r="AS122" i="9" s="1"/>
  <c r="AS129" i="9" a="1"/>
  <c r="AS129" i="9" s="1"/>
  <c r="AS120" i="9" a="1"/>
  <c r="AS120" i="9" s="1"/>
  <c r="AS119" i="9" a="1"/>
  <c r="AS119" i="9" s="1"/>
  <c r="AS115" i="9" a="1"/>
  <c r="AS115" i="9" s="1"/>
  <c r="AS113" i="9" a="1"/>
  <c r="AS113" i="9" s="1"/>
  <c r="AS121" i="9" a="1"/>
  <c r="AS121" i="9" s="1"/>
  <c r="AS118" i="9" a="1"/>
  <c r="AS118" i="9" s="1"/>
  <c r="AS107" i="9" a="1"/>
  <c r="AS107" i="9" s="1"/>
  <c r="AS105" i="9" a="1"/>
  <c r="AS105" i="9" s="1"/>
  <c r="AS110" i="9" a="1"/>
  <c r="AS110" i="9" s="1"/>
  <c r="AS103" i="9" a="1"/>
  <c r="AS103" i="9" s="1"/>
  <c r="AS108" i="9" a="1"/>
  <c r="AS108" i="9" s="1"/>
  <c r="AS101" i="9" a="1"/>
  <c r="AS101" i="9" s="1"/>
  <c r="AS106" i="9" a="1"/>
  <c r="AS106" i="9" s="1"/>
  <c r="AS112" i="9" a="1"/>
  <c r="AS112" i="9" s="1"/>
  <c r="AS104" i="9" a="1"/>
  <c r="AS104" i="9" s="1"/>
  <c r="AS117" i="9" a="1"/>
  <c r="AS117" i="9" s="1"/>
  <c r="AS99" i="9" a="1"/>
  <c r="AS99" i="9" s="1"/>
  <c r="AS97" i="9" a="1"/>
  <c r="AS97" i="9" s="1"/>
  <c r="AS109" i="9" a="1"/>
  <c r="AS109" i="9" s="1"/>
  <c r="AS95" i="9" a="1"/>
  <c r="AS95" i="9" s="1"/>
  <c r="AS116" i="9" a="1"/>
  <c r="AS116" i="9" s="1"/>
  <c r="AS100" i="9" a="1"/>
  <c r="AS100" i="9" s="1"/>
  <c r="AS93" i="9" a="1"/>
  <c r="AS93" i="9" s="1"/>
  <c r="AS98" i="9" a="1"/>
  <c r="AS98" i="9" s="1"/>
  <c r="AS111" i="9" a="1"/>
  <c r="AS111" i="9" s="1"/>
  <c r="AS91" i="9" a="1"/>
  <c r="AS91" i="9" s="1"/>
  <c r="AS114" i="9" a="1"/>
  <c r="AS114" i="9" s="1"/>
  <c r="AS96" i="9" a="1"/>
  <c r="AS96" i="9" s="1"/>
  <c r="AS102" i="9" a="1"/>
  <c r="AS102" i="9" s="1"/>
  <c r="AS90" i="9" a="1"/>
  <c r="AS90" i="9" s="1"/>
  <c r="AS86" i="9" a="1"/>
  <c r="AS86" i="9" s="1"/>
  <c r="AS84" i="9" a="1"/>
  <c r="AS84" i="9" s="1"/>
  <c r="AS89" i="9" a="1"/>
  <c r="AS89" i="9" s="1"/>
  <c r="AS82" i="9" a="1"/>
  <c r="AS82" i="9" s="1"/>
  <c r="AS87" i="9" a="1"/>
  <c r="AS87" i="9" s="1"/>
  <c r="AS92" i="9" a="1"/>
  <c r="AS92" i="9" s="1"/>
  <c r="AS80" i="9" a="1"/>
  <c r="AS80" i="9" s="1"/>
  <c r="AS85" i="9" a="1"/>
  <c r="AS85" i="9" s="1"/>
  <c r="AS94" i="9" a="1"/>
  <c r="AS94" i="9" s="1"/>
  <c r="AS83" i="9" a="1"/>
  <c r="AS83" i="9" s="1"/>
  <c r="AS75" i="9" a="1"/>
  <c r="AS75" i="9" s="1"/>
  <c r="AS68" i="9" a="1"/>
  <c r="AS68" i="9" s="1"/>
  <c r="AS73" i="9" a="1"/>
  <c r="AS73" i="9" s="1"/>
  <c r="AS78" i="9" a="1"/>
  <c r="AS78" i="9" s="1"/>
  <c r="AS71" i="9" a="1"/>
  <c r="AS71" i="9" s="1"/>
  <c r="AS76" i="9" a="1"/>
  <c r="AS76" i="9" s="1"/>
  <c r="AS69" i="9" a="1"/>
  <c r="AS69" i="9" s="1"/>
  <c r="AS74" i="9" a="1"/>
  <c r="AS74" i="9" s="1"/>
  <c r="AS79" i="9" a="1"/>
  <c r="AS79" i="9" s="1"/>
  <c r="AS67" i="9" a="1"/>
  <c r="AS67" i="9" s="1"/>
  <c r="AS88" i="9" a="1"/>
  <c r="AS88" i="9" s="1"/>
  <c r="AS81" i="9" a="1"/>
  <c r="AS81" i="9" s="1"/>
  <c r="AS72" i="9" a="1"/>
  <c r="AS72" i="9" s="1"/>
  <c r="AS56" i="9" a="1"/>
  <c r="AS56" i="9" s="1"/>
  <c r="AS44" i="9" a="1"/>
  <c r="AS44" i="9" s="1"/>
  <c r="AS61" i="9" a="1"/>
  <c r="AS61" i="9" s="1"/>
  <c r="AS49" i="9" a="1"/>
  <c r="AS49" i="9" s="1"/>
  <c r="AS54" i="9" a="1"/>
  <c r="AS54" i="9" s="1"/>
  <c r="AS42" i="9" a="1"/>
  <c r="AS42" i="9" s="1"/>
  <c r="AS59" i="9" a="1"/>
  <c r="AS59" i="9" s="1"/>
  <c r="AS47" i="9" a="1"/>
  <c r="AS47" i="9" s="1"/>
  <c r="AS66" i="9" a="1"/>
  <c r="AS66" i="9" s="1"/>
  <c r="AS64" i="9" a="1"/>
  <c r="AS64" i="9" s="1"/>
  <c r="AS52" i="9" a="1"/>
  <c r="AS52" i="9" s="1"/>
  <c r="AS40" i="9" a="1"/>
  <c r="AS40" i="9" s="1"/>
  <c r="AS57" i="9" a="1"/>
  <c r="AS57" i="9" s="1"/>
  <c r="AS45" i="9" a="1"/>
  <c r="AS45" i="9" s="1"/>
  <c r="AS62" i="9" a="1"/>
  <c r="AS62" i="9" s="1"/>
  <c r="AS50" i="9" a="1"/>
  <c r="AS50" i="9" s="1"/>
  <c r="AS77" i="9" a="1"/>
  <c r="AS77" i="9" s="1"/>
  <c r="AS70" i="9" a="1"/>
  <c r="AS70" i="9" s="1"/>
  <c r="AS55" i="9" a="1"/>
  <c r="AS55" i="9" s="1"/>
  <c r="AS43" i="9" a="1"/>
  <c r="AS43" i="9" s="1"/>
  <c r="AS60" i="9" a="1"/>
  <c r="AS60" i="9" s="1"/>
  <c r="AS48" i="9" a="1"/>
  <c r="AS48" i="9" s="1"/>
  <c r="AS32" i="9" a="1"/>
  <c r="AS32" i="9" s="1"/>
  <c r="AS20" i="9" a="1"/>
  <c r="AS20" i="9" s="1"/>
  <c r="AS58" i="9" a="1"/>
  <c r="AS58" i="9" s="1"/>
  <c r="AS46" i="9" a="1"/>
  <c r="AS46" i="9" s="1"/>
  <c r="AS37" i="9" a="1"/>
  <c r="AS37" i="9" s="1"/>
  <c r="AS25" i="9" a="1"/>
  <c r="AS25" i="9" s="1"/>
  <c r="AS30" i="9" a="1"/>
  <c r="AS30" i="9" s="1"/>
  <c r="AS18" i="9" a="1"/>
  <c r="AS18" i="9" s="1"/>
  <c r="AS35" i="9" a="1"/>
  <c r="AS35" i="9" s="1"/>
  <c r="AS28" i="9" a="1"/>
  <c r="AS28" i="9" s="1"/>
  <c r="AS16" i="9" a="1"/>
  <c r="AS16" i="9" s="1"/>
  <c r="AS39" i="9" a="1"/>
  <c r="AS39" i="9" s="1"/>
  <c r="AS33" i="9" a="1"/>
  <c r="AS33" i="9" s="1"/>
  <c r="AS21" i="9" a="1"/>
  <c r="AS21" i="9" s="1"/>
  <c r="AS63" i="9" a="1"/>
  <c r="AS63" i="9" s="1"/>
  <c r="AS51" i="9" a="1"/>
  <c r="AS51" i="9" s="1"/>
  <c r="AS31" i="9" a="1"/>
  <c r="AS31" i="9" s="1"/>
  <c r="AS19" i="9" a="1"/>
  <c r="AS19" i="9" s="1"/>
  <c r="AS65" i="9" a="1"/>
  <c r="AS65" i="9" s="1"/>
  <c r="AS53" i="9" a="1"/>
  <c r="AS53" i="9" s="1"/>
  <c r="AS38" i="9" a="1"/>
  <c r="AS38" i="9" s="1"/>
  <c r="AS36" i="9" a="1"/>
  <c r="AS36" i="9" s="1"/>
  <c r="AS24" i="9" a="1"/>
  <c r="AS24" i="9" s="1"/>
  <c r="AS41" i="9" a="1"/>
  <c r="AS41" i="9" s="1"/>
  <c r="AS29" i="9" a="1"/>
  <c r="AS29" i="9" s="1"/>
  <c r="AS11" i="9" a="1"/>
  <c r="AS11" i="9" s="1"/>
  <c r="AS26" i="9" a="1"/>
  <c r="AS26" i="9" s="1"/>
  <c r="AS9" i="9" a="1"/>
  <c r="AS9" i="9" s="1"/>
  <c r="AS14" i="9" a="1"/>
  <c r="AS14" i="9" s="1"/>
  <c r="AS7" i="9" a="1"/>
  <c r="AS7" i="9" s="1"/>
  <c r="AS12" i="9" a="1"/>
  <c r="AS12" i="9" s="1"/>
  <c r="AS5" i="9" a="1"/>
  <c r="AS5" i="9" s="1"/>
  <c r="AS27" i="9" a="1"/>
  <c r="AS27" i="9" s="1"/>
  <c r="AS10" i="9" a="1"/>
  <c r="AS10" i="9" s="1"/>
  <c r="AS15" i="9" a="1"/>
  <c r="AS15" i="9" s="1"/>
  <c r="AS34" i="9" a="1"/>
  <c r="AS34" i="9" s="1"/>
  <c r="AS17" i="9" a="1"/>
  <c r="AS17" i="9" s="1"/>
  <c r="AS8" i="9" a="1"/>
  <c r="AS8" i="9" s="1"/>
  <c r="AS23" i="9" a="1"/>
  <c r="AS23" i="9" s="1"/>
  <c r="AS6" i="9" a="1"/>
  <c r="AS6" i="9" s="1"/>
  <c r="AS22" i="9" a="1"/>
  <c r="AS22" i="9" s="1"/>
  <c r="AS4" i="9" a="1"/>
  <c r="AS4" i="9" s="1"/>
  <c r="AS13" i="9" a="1"/>
  <c r="AS13" i="9" s="1"/>
  <c r="BE134" i="9" a="1"/>
  <c r="BE134" i="9" s="1"/>
  <c r="BE132" i="9" a="1"/>
  <c r="BE132" i="9" s="1"/>
  <c r="BE136" i="9" a="1"/>
  <c r="BE136" i="9" s="1"/>
  <c r="BE133" i="9" a="1"/>
  <c r="BE133" i="9" s="1"/>
  <c r="BE135" i="9" a="1"/>
  <c r="BE135" i="9" s="1"/>
  <c r="BE126" i="9" a="1"/>
  <c r="BE126" i="9" s="1"/>
  <c r="BE130" i="9" a="1"/>
  <c r="BE130" i="9" s="1"/>
  <c r="BE125" i="9" a="1"/>
  <c r="BE125" i="9" s="1"/>
  <c r="BE131" i="9" a="1"/>
  <c r="BE131" i="9" s="1"/>
  <c r="BE128" i="9" a="1"/>
  <c r="BE128" i="9" s="1"/>
  <c r="BE122" i="9" a="1"/>
  <c r="BE122" i="9" s="1"/>
  <c r="BE120" i="9" a="1"/>
  <c r="BE120" i="9" s="1"/>
  <c r="BE127" i="9" a="1"/>
  <c r="BE127" i="9" s="1"/>
  <c r="BE123" i="9" a="1"/>
  <c r="BE123" i="9" s="1"/>
  <c r="BE115" i="9" a="1"/>
  <c r="BE115" i="9" s="1"/>
  <c r="BE119" i="9" a="1"/>
  <c r="BE119" i="9" s="1"/>
  <c r="BE129" i="9" a="1"/>
  <c r="BE129" i="9" s="1"/>
  <c r="BE113" i="9" a="1"/>
  <c r="BE113" i="9" s="1"/>
  <c r="BE118" i="9" a="1"/>
  <c r="BE118" i="9" s="1"/>
  <c r="BE107" i="9" a="1"/>
  <c r="BE107" i="9" s="1"/>
  <c r="BE105" i="9" a="1"/>
  <c r="BE105" i="9" s="1"/>
  <c r="BE114" i="9" a="1"/>
  <c r="BE114" i="9" s="1"/>
  <c r="BE110" i="9" a="1"/>
  <c r="BE110" i="9" s="1"/>
  <c r="BE121" i="9" a="1"/>
  <c r="BE121" i="9" s="1"/>
  <c r="BE103" i="9" a="1"/>
  <c r="BE103" i="9" s="1"/>
  <c r="BE117" i="9" a="1"/>
  <c r="BE117" i="9" s="1"/>
  <c r="BE116" i="9" a="1"/>
  <c r="BE116" i="9" s="1"/>
  <c r="BE108" i="9" a="1"/>
  <c r="BE108" i="9" s="1"/>
  <c r="BE101" i="9" a="1"/>
  <c r="BE101" i="9" s="1"/>
  <c r="BE124" i="9" a="1"/>
  <c r="BE124" i="9" s="1"/>
  <c r="BE106" i="9" a="1"/>
  <c r="BE106" i="9" s="1"/>
  <c r="BE104" i="9" a="1"/>
  <c r="BE104" i="9" s="1"/>
  <c r="BE111" i="9" a="1"/>
  <c r="BE111" i="9" s="1"/>
  <c r="BE99" i="9" a="1"/>
  <c r="BE99" i="9" s="1"/>
  <c r="BE97" i="9" a="1"/>
  <c r="BE97" i="9" s="1"/>
  <c r="BE112" i="9" a="1"/>
  <c r="BE112" i="9" s="1"/>
  <c r="BE95" i="9" a="1"/>
  <c r="BE95" i="9" s="1"/>
  <c r="BE102" i="9" a="1"/>
  <c r="BE102" i="9" s="1"/>
  <c r="BE93" i="9" a="1"/>
  <c r="BE93" i="9" s="1"/>
  <c r="BE109" i="9" a="1"/>
  <c r="BE109" i="9" s="1"/>
  <c r="BE98" i="9" a="1"/>
  <c r="BE98" i="9" s="1"/>
  <c r="BE91" i="9" a="1"/>
  <c r="BE91" i="9" s="1"/>
  <c r="BE96" i="9" a="1"/>
  <c r="BE96" i="9" s="1"/>
  <c r="BE92" i="9" a="1"/>
  <c r="BE92" i="9" s="1"/>
  <c r="BE86" i="9" a="1"/>
  <c r="BE86" i="9" s="1"/>
  <c r="BE84" i="9" a="1"/>
  <c r="BE84" i="9" s="1"/>
  <c r="BE94" i="9" a="1"/>
  <c r="BE94" i="9" s="1"/>
  <c r="BE89" i="9" a="1"/>
  <c r="BE89" i="9" s="1"/>
  <c r="BE100" i="9" a="1"/>
  <c r="BE100" i="9" s="1"/>
  <c r="BE82" i="9" a="1"/>
  <c r="BE82" i="9" s="1"/>
  <c r="BE87" i="9" a="1"/>
  <c r="BE87" i="9" s="1"/>
  <c r="BE90" i="9" a="1"/>
  <c r="BE90" i="9" s="1"/>
  <c r="BE80" i="9" a="1"/>
  <c r="BE80" i="9" s="1"/>
  <c r="BE85" i="9" a="1"/>
  <c r="BE85" i="9" s="1"/>
  <c r="BE83" i="9" a="1"/>
  <c r="BE83" i="9" s="1"/>
  <c r="BE75" i="9" a="1"/>
  <c r="BE75" i="9" s="1"/>
  <c r="BE79" i="9" a="1"/>
  <c r="BE79" i="9" s="1"/>
  <c r="BE68" i="9" a="1"/>
  <c r="BE68" i="9" s="1"/>
  <c r="BE73" i="9" a="1"/>
  <c r="BE73" i="9" s="1"/>
  <c r="BE78" i="9" a="1"/>
  <c r="BE78" i="9" s="1"/>
  <c r="BE66" i="9" a="1"/>
  <c r="BE66" i="9" s="1"/>
  <c r="BE71" i="9" a="1"/>
  <c r="BE71" i="9" s="1"/>
  <c r="BE88" i="9" a="1"/>
  <c r="BE88" i="9" s="1"/>
  <c r="BE81" i="9" a="1"/>
  <c r="BE81" i="9" s="1"/>
  <c r="BE76" i="9" a="1"/>
  <c r="BE76" i="9" s="1"/>
  <c r="BE69" i="9" a="1"/>
  <c r="BE69" i="9" s="1"/>
  <c r="BE74" i="9" a="1"/>
  <c r="BE74" i="9" s="1"/>
  <c r="BE67" i="9" a="1"/>
  <c r="BE67" i="9" s="1"/>
  <c r="BE72" i="9" a="1"/>
  <c r="BE72" i="9" s="1"/>
  <c r="BE56" i="9" a="1"/>
  <c r="BE56" i="9" s="1"/>
  <c r="BE44" i="9" a="1"/>
  <c r="BE44" i="9" s="1"/>
  <c r="BE61" i="9" a="1"/>
  <c r="BE61" i="9" s="1"/>
  <c r="BE49" i="9" a="1"/>
  <c r="BE49" i="9" s="1"/>
  <c r="BE54" i="9" a="1"/>
  <c r="BE54" i="9" s="1"/>
  <c r="BE42" i="9" a="1"/>
  <c r="BE42" i="9" s="1"/>
  <c r="BE77" i="9" a="1"/>
  <c r="BE77" i="9" s="1"/>
  <c r="BE70" i="9" a="1"/>
  <c r="BE70" i="9" s="1"/>
  <c r="BE59" i="9" a="1"/>
  <c r="BE59" i="9" s="1"/>
  <c r="BE47" i="9" a="1"/>
  <c r="BE47" i="9" s="1"/>
  <c r="BE64" i="9" a="1"/>
  <c r="BE64" i="9" s="1"/>
  <c r="BE52" i="9" a="1"/>
  <c r="BE52" i="9" s="1"/>
  <c r="BE40" i="9" a="1"/>
  <c r="BE40" i="9" s="1"/>
  <c r="BE57" i="9" a="1"/>
  <c r="BE57" i="9" s="1"/>
  <c r="BE45" i="9" a="1"/>
  <c r="BE45" i="9" s="1"/>
  <c r="BE62" i="9" a="1"/>
  <c r="BE62" i="9" s="1"/>
  <c r="BE50" i="9" a="1"/>
  <c r="BE50" i="9" s="1"/>
  <c r="BE38" i="9" a="1"/>
  <c r="BE38" i="9" s="1"/>
  <c r="BE55" i="9" a="1"/>
  <c r="BE55" i="9" s="1"/>
  <c r="BE43" i="9" a="1"/>
  <c r="BE43" i="9" s="1"/>
  <c r="BE60" i="9" a="1"/>
  <c r="BE60" i="9" s="1"/>
  <c r="BE48" i="9" a="1"/>
  <c r="BE48" i="9" s="1"/>
  <c r="BE63" i="9" a="1"/>
  <c r="BE63" i="9" s="1"/>
  <c r="BE51" i="9" a="1"/>
  <c r="BE51" i="9" s="1"/>
  <c r="BE32" i="9" a="1"/>
  <c r="BE32" i="9" s="1"/>
  <c r="BE20" i="9" a="1"/>
  <c r="BE20" i="9" s="1"/>
  <c r="BE37" i="9" a="1"/>
  <c r="BE37" i="9" s="1"/>
  <c r="BE25" i="9" a="1"/>
  <c r="BE25" i="9" s="1"/>
  <c r="BE65" i="9" a="1"/>
  <c r="BE65" i="9" s="1"/>
  <c r="BE53" i="9" a="1"/>
  <c r="BE53" i="9" s="1"/>
  <c r="BE41" i="9" a="1"/>
  <c r="BE41" i="9" s="1"/>
  <c r="BE30" i="9" a="1"/>
  <c r="BE30" i="9" s="1"/>
  <c r="BE18" i="9" a="1"/>
  <c r="BE18" i="9" s="1"/>
  <c r="BE35" i="9" a="1"/>
  <c r="BE35" i="9" s="1"/>
  <c r="BE28" i="9" a="1"/>
  <c r="BE28" i="9" s="1"/>
  <c r="BE16" i="9" a="1"/>
  <c r="BE16" i="9" s="1"/>
  <c r="BE33" i="9" a="1"/>
  <c r="BE33" i="9" s="1"/>
  <c r="BE21" i="9" a="1"/>
  <c r="BE21" i="9" s="1"/>
  <c r="BE58" i="9" a="1"/>
  <c r="BE58" i="9" s="1"/>
  <c r="BE46" i="9" a="1"/>
  <c r="BE46" i="9" s="1"/>
  <c r="BE31" i="9" a="1"/>
  <c r="BE31" i="9" s="1"/>
  <c r="BE19" i="9" a="1"/>
  <c r="BE19" i="9" s="1"/>
  <c r="BE36" i="9" a="1"/>
  <c r="BE36" i="9" s="1"/>
  <c r="BE24" i="9" a="1"/>
  <c r="BE24" i="9" s="1"/>
  <c r="BE39" i="9" a="1"/>
  <c r="BE39" i="9" s="1"/>
  <c r="BE29" i="9" a="1"/>
  <c r="BE29" i="9" s="1"/>
  <c r="BE23" i="9" a="1"/>
  <c r="BE23" i="9" s="1"/>
  <c r="BE11" i="9" a="1"/>
  <c r="BE11" i="9" s="1"/>
  <c r="BE22" i="9" a="1"/>
  <c r="BE22" i="9" s="1"/>
  <c r="BE9" i="9" a="1"/>
  <c r="BE9" i="9" s="1"/>
  <c r="BE34" i="9" a="1"/>
  <c r="BE34" i="9" s="1"/>
  <c r="BE14" i="9" a="1"/>
  <c r="BE14" i="9" s="1"/>
  <c r="BE26" i="9" a="1"/>
  <c r="BE26" i="9" s="1"/>
  <c r="BE7" i="9" a="1"/>
  <c r="BE7" i="9" s="1"/>
  <c r="BE12" i="9" a="1"/>
  <c r="BE12" i="9" s="1"/>
  <c r="BE5" i="9" a="1"/>
  <c r="BE5" i="9" s="1"/>
  <c r="BE10" i="9" a="1"/>
  <c r="BE10" i="9" s="1"/>
  <c r="BE15" i="9" a="1"/>
  <c r="BE15" i="9" s="1"/>
  <c r="BE8" i="9" a="1"/>
  <c r="BE8" i="9" s="1"/>
  <c r="BE27" i="9" a="1"/>
  <c r="BE27" i="9" s="1"/>
  <c r="BE4" i="9" a="1"/>
  <c r="BE4" i="9" s="1"/>
  <c r="BE17" i="9" a="1"/>
  <c r="BE17" i="9" s="1"/>
  <c r="BE13" i="9" a="1"/>
  <c r="BE13" i="9" s="1"/>
  <c r="BQ134" i="9" a="1"/>
  <c r="BQ134" i="9" s="1"/>
  <c r="BQ136" i="9" a="1"/>
  <c r="BQ136" i="9" s="1"/>
  <c r="BQ126" i="9" a="1"/>
  <c r="BQ126" i="9" s="1"/>
  <c r="BQ135" i="9" a="1"/>
  <c r="BQ135" i="9" s="1"/>
  <c r="BQ133" i="9" a="1"/>
  <c r="BQ133" i="9" s="1"/>
  <c r="BQ132" i="9" a="1"/>
  <c r="BQ132" i="9" s="1"/>
  <c r="BQ127" i="9" a="1"/>
  <c r="BQ127" i="9" s="1"/>
  <c r="BQ125" i="9" a="1"/>
  <c r="BQ125" i="9" s="1"/>
  <c r="BQ129" i="9" a="1"/>
  <c r="BQ129" i="9" s="1"/>
  <c r="BQ120" i="9" a="1"/>
  <c r="BQ120" i="9" s="1"/>
  <c r="BQ124" i="9" a="1"/>
  <c r="BQ124" i="9" s="1"/>
  <c r="BQ115" i="9" a="1"/>
  <c r="BQ115" i="9" s="1"/>
  <c r="BQ123" i="9" a="1"/>
  <c r="BQ123" i="9" s="1"/>
  <c r="BQ113" i="9" a="1"/>
  <c r="BQ113" i="9" s="1"/>
  <c r="BQ118" i="9" a="1"/>
  <c r="BQ118" i="9" s="1"/>
  <c r="BQ130" i="9" a="1"/>
  <c r="BQ130" i="9" s="1"/>
  <c r="BQ128" i="9" a="1"/>
  <c r="BQ128" i="9" s="1"/>
  <c r="BQ122" i="9" a="1"/>
  <c r="BQ122" i="9" s="1"/>
  <c r="BQ121" i="9" a="1"/>
  <c r="BQ121" i="9" s="1"/>
  <c r="BQ131" i="9" a="1"/>
  <c r="BQ131" i="9" s="1"/>
  <c r="BQ107" i="9" a="1"/>
  <c r="BQ107" i="9" s="1"/>
  <c r="BQ105" i="9" a="1"/>
  <c r="BQ105" i="9" s="1"/>
  <c r="BQ110" i="9" a="1"/>
  <c r="BQ110" i="9" s="1"/>
  <c r="BQ119" i="9" a="1"/>
  <c r="BQ119" i="9" s="1"/>
  <c r="BQ103" i="9" a="1"/>
  <c r="BQ103" i="9" s="1"/>
  <c r="BQ114" i="9" a="1"/>
  <c r="BQ114" i="9" s="1"/>
  <c r="BQ112" i="9" a="1"/>
  <c r="BQ112" i="9" s="1"/>
  <c r="BQ108" i="9" a="1"/>
  <c r="BQ108" i="9" s="1"/>
  <c r="BQ101" i="9" a="1"/>
  <c r="BQ101" i="9" s="1"/>
  <c r="BQ106" i="9" a="1"/>
  <c r="BQ106" i="9" s="1"/>
  <c r="BQ117" i="9" a="1"/>
  <c r="BQ117" i="9" s="1"/>
  <c r="BQ116" i="9" a="1"/>
  <c r="BQ116" i="9" s="1"/>
  <c r="BQ104" i="9" a="1"/>
  <c r="BQ104" i="9" s="1"/>
  <c r="BQ99" i="9" a="1"/>
  <c r="BQ99" i="9" s="1"/>
  <c r="BQ97" i="9" a="1"/>
  <c r="BQ97" i="9" s="1"/>
  <c r="BQ111" i="9" a="1"/>
  <c r="BQ111" i="9" s="1"/>
  <c r="BQ100" i="9" a="1"/>
  <c r="BQ100" i="9" s="1"/>
  <c r="BQ95" i="9" a="1"/>
  <c r="BQ95" i="9" s="1"/>
  <c r="BQ93" i="9" a="1"/>
  <c r="BQ93" i="9" s="1"/>
  <c r="BQ98" i="9" a="1"/>
  <c r="BQ98" i="9" s="1"/>
  <c r="BQ91" i="9" a="1"/>
  <c r="BQ91" i="9" s="1"/>
  <c r="BQ102" i="9" a="1"/>
  <c r="BQ102" i="9" s="1"/>
  <c r="BQ96" i="9" a="1"/>
  <c r="BQ96" i="9" s="1"/>
  <c r="BQ90" i="9" a="1"/>
  <c r="BQ90" i="9" s="1"/>
  <c r="BQ86" i="9" a="1"/>
  <c r="BQ86" i="9" s="1"/>
  <c r="BQ109" i="9" a="1"/>
  <c r="BQ109" i="9" s="1"/>
  <c r="BQ84" i="9" a="1"/>
  <c r="BQ84" i="9" s="1"/>
  <c r="BQ89" i="9" a="1"/>
  <c r="BQ89" i="9" s="1"/>
  <c r="BQ82" i="9" a="1"/>
  <c r="BQ82" i="9" s="1"/>
  <c r="BQ87" i="9" a="1"/>
  <c r="BQ87" i="9" s="1"/>
  <c r="BQ92" i="9" a="1"/>
  <c r="BQ92" i="9" s="1"/>
  <c r="BQ80" i="9" a="1"/>
  <c r="BQ80" i="9" s="1"/>
  <c r="BQ85" i="9" a="1"/>
  <c r="BQ85" i="9" s="1"/>
  <c r="BQ94" i="9" a="1"/>
  <c r="BQ94" i="9" s="1"/>
  <c r="BQ83" i="9" a="1"/>
  <c r="BQ83" i="9" s="1"/>
  <c r="BQ75" i="9" a="1"/>
  <c r="BQ75" i="9" s="1"/>
  <c r="BQ88" i="9" a="1"/>
  <c r="BQ88" i="9" s="1"/>
  <c r="BQ81" i="9" a="1"/>
  <c r="BQ81" i="9" s="1"/>
  <c r="BQ79" i="9" a="1"/>
  <c r="BQ79" i="9" s="1"/>
  <c r="BQ68" i="9" a="1"/>
  <c r="BQ68" i="9" s="1"/>
  <c r="BQ73" i="9" a="1"/>
  <c r="BQ73" i="9" s="1"/>
  <c r="BQ78" i="9" a="1"/>
  <c r="BQ78" i="9" s="1"/>
  <c r="BQ66" i="9" a="1"/>
  <c r="BQ66" i="9" s="1"/>
  <c r="BQ71" i="9" a="1"/>
  <c r="BQ71" i="9" s="1"/>
  <c r="BQ76" i="9" a="1"/>
  <c r="BQ76" i="9" s="1"/>
  <c r="BQ69" i="9" a="1"/>
  <c r="BQ69" i="9" s="1"/>
  <c r="BQ74" i="9" a="1"/>
  <c r="BQ74" i="9" s="1"/>
  <c r="BQ67" i="9" a="1"/>
  <c r="BQ67" i="9" s="1"/>
  <c r="BQ72" i="9" a="1"/>
  <c r="BQ72" i="9" s="1"/>
  <c r="BQ56" i="9" a="1"/>
  <c r="BQ56" i="9" s="1"/>
  <c r="BQ44" i="9" a="1"/>
  <c r="BQ44" i="9" s="1"/>
  <c r="BQ61" i="9" a="1"/>
  <c r="BQ61" i="9" s="1"/>
  <c r="BQ49" i="9" a="1"/>
  <c r="BQ49" i="9" s="1"/>
  <c r="BQ54" i="9" a="1"/>
  <c r="BQ54" i="9" s="1"/>
  <c r="BQ42" i="9" a="1"/>
  <c r="BQ42" i="9" s="1"/>
  <c r="BQ59" i="9" a="1"/>
  <c r="BQ59" i="9" s="1"/>
  <c r="BQ47" i="9" a="1"/>
  <c r="BQ47" i="9" s="1"/>
  <c r="BQ64" i="9" a="1"/>
  <c r="BQ64" i="9" s="1"/>
  <c r="BQ52" i="9" a="1"/>
  <c r="BQ52" i="9" s="1"/>
  <c r="BQ40" i="9" a="1"/>
  <c r="BQ40" i="9" s="1"/>
  <c r="BQ57" i="9" a="1"/>
  <c r="BQ57" i="9" s="1"/>
  <c r="BQ45" i="9" a="1"/>
  <c r="BQ45" i="9" s="1"/>
  <c r="BQ62" i="9" a="1"/>
  <c r="BQ62" i="9" s="1"/>
  <c r="BQ50" i="9" a="1"/>
  <c r="BQ50" i="9" s="1"/>
  <c r="BQ38" i="9" a="1"/>
  <c r="BQ38" i="9" s="1"/>
  <c r="BQ55" i="9" a="1"/>
  <c r="BQ55" i="9" s="1"/>
  <c r="BQ43" i="9" a="1"/>
  <c r="BQ43" i="9" s="1"/>
  <c r="BQ60" i="9" a="1"/>
  <c r="BQ60" i="9" s="1"/>
  <c r="BQ48" i="9" a="1"/>
  <c r="BQ48" i="9" s="1"/>
  <c r="BQ32" i="9" a="1"/>
  <c r="BQ32" i="9" s="1"/>
  <c r="BQ20" i="9" a="1"/>
  <c r="BQ20" i="9" s="1"/>
  <c r="BQ58" i="9" a="1"/>
  <c r="BQ58" i="9" s="1"/>
  <c r="BQ46" i="9" a="1"/>
  <c r="BQ46" i="9" s="1"/>
  <c r="BQ39" i="9" a="1"/>
  <c r="BQ39" i="9" s="1"/>
  <c r="BQ37" i="9" a="1"/>
  <c r="BQ37" i="9" s="1"/>
  <c r="BQ25" i="9" a="1"/>
  <c r="BQ25" i="9" s="1"/>
  <c r="BQ70" i="9" a="1"/>
  <c r="BQ70" i="9" s="1"/>
  <c r="BQ30" i="9" a="1"/>
  <c r="BQ30" i="9" s="1"/>
  <c r="BQ18" i="9" a="1"/>
  <c r="BQ18" i="9" s="1"/>
  <c r="BQ35" i="9" a="1"/>
  <c r="BQ35" i="9" s="1"/>
  <c r="BQ28" i="9" a="1"/>
  <c r="BQ28" i="9" s="1"/>
  <c r="BQ16" i="9" a="1"/>
  <c r="BQ16" i="9" s="1"/>
  <c r="BQ33" i="9" a="1"/>
  <c r="BQ33" i="9" s="1"/>
  <c r="BQ21" i="9" a="1"/>
  <c r="BQ21" i="9" s="1"/>
  <c r="BQ63" i="9" a="1"/>
  <c r="BQ63" i="9" s="1"/>
  <c r="BQ51" i="9" a="1"/>
  <c r="BQ51" i="9" s="1"/>
  <c r="BQ31" i="9" a="1"/>
  <c r="BQ31" i="9" s="1"/>
  <c r="BQ19" i="9" a="1"/>
  <c r="BQ19" i="9" s="1"/>
  <c r="BQ65" i="9" a="1"/>
  <c r="BQ65" i="9" s="1"/>
  <c r="BQ53" i="9" a="1"/>
  <c r="BQ53" i="9" s="1"/>
  <c r="BQ41" i="9" a="1"/>
  <c r="BQ41" i="9" s="1"/>
  <c r="BQ36" i="9" a="1"/>
  <c r="BQ36" i="9" s="1"/>
  <c r="BQ24" i="9" a="1"/>
  <c r="BQ24" i="9" s="1"/>
  <c r="BQ29" i="9" a="1"/>
  <c r="BQ29" i="9" s="1"/>
  <c r="BQ11" i="9" a="1"/>
  <c r="BQ11" i="9" s="1"/>
  <c r="BQ17" i="9" a="1"/>
  <c r="BQ17" i="9" s="1"/>
  <c r="BQ23" i="9" a="1"/>
  <c r="BQ23" i="9" s="1"/>
  <c r="BQ9" i="9" a="1"/>
  <c r="BQ9" i="9" s="1"/>
  <c r="BQ27" i="9" a="1"/>
  <c r="BQ27" i="9" s="1"/>
  <c r="BQ22" i="9" a="1"/>
  <c r="BQ22" i="9" s="1"/>
  <c r="BQ14" i="9" a="1"/>
  <c r="BQ14" i="9" s="1"/>
  <c r="BQ7" i="9" a="1"/>
  <c r="BQ7" i="9" s="1"/>
  <c r="BQ12" i="9" a="1"/>
  <c r="BQ12" i="9" s="1"/>
  <c r="BQ26" i="9" a="1"/>
  <c r="BQ26" i="9" s="1"/>
  <c r="BQ5" i="9" a="1"/>
  <c r="BQ5" i="9" s="1"/>
  <c r="BQ77" i="9" a="1"/>
  <c r="BQ77" i="9" s="1"/>
  <c r="BQ10" i="9" a="1"/>
  <c r="BQ10" i="9" s="1"/>
  <c r="BQ15" i="9" a="1"/>
  <c r="BQ15" i="9" s="1"/>
  <c r="BQ34" i="9" a="1"/>
  <c r="BQ34" i="9" s="1"/>
  <c r="BQ8" i="9" a="1"/>
  <c r="BQ8" i="9" s="1"/>
  <c r="BQ13" i="9" a="1"/>
  <c r="BQ13" i="9" s="1"/>
  <c r="BQ6" i="9" a="1"/>
  <c r="BQ6" i="9" s="1"/>
  <c r="BQ4" i="9" a="1"/>
  <c r="BQ4" i="9" s="1"/>
  <c r="W136" i="9" a="1"/>
  <c r="W136" i="9" s="1"/>
  <c r="W133" i="9" a="1"/>
  <c r="W133" i="9" s="1"/>
  <c r="W132" i="9" a="1"/>
  <c r="W132" i="9" s="1"/>
  <c r="W130" i="9" a="1"/>
  <c r="W130" i="9" s="1"/>
  <c r="W129" i="9" a="1"/>
  <c r="W129" i="9" s="1"/>
  <c r="W127" i="9" a="1"/>
  <c r="W127" i="9" s="1"/>
  <c r="W134" i="9" a="1"/>
  <c r="W134" i="9" s="1"/>
  <c r="W131" i="9" a="1"/>
  <c r="W131" i="9" s="1"/>
  <c r="W123" i="9" a="1"/>
  <c r="W123" i="9" s="1"/>
  <c r="W135" i="9" a="1"/>
  <c r="W135" i="9" s="1"/>
  <c r="W126" i="9" a="1"/>
  <c r="W126" i="9" s="1"/>
  <c r="W122" i="9" a="1"/>
  <c r="W122" i="9" s="1"/>
  <c r="W120" i="9" a="1"/>
  <c r="W120" i="9" s="1"/>
  <c r="W121" i="9" a="1"/>
  <c r="W121" i="9" s="1"/>
  <c r="W118" i="9" a="1"/>
  <c r="W118" i="9" s="1"/>
  <c r="W125" i="9" a="1"/>
  <c r="W125" i="9" s="1"/>
  <c r="W116" i="9" a="1"/>
  <c r="W116" i="9" s="1"/>
  <c r="W124" i="9" a="1"/>
  <c r="W124" i="9" s="1"/>
  <c r="W114" i="9" a="1"/>
  <c r="W114" i="9" s="1"/>
  <c r="W128" i="9" a="1"/>
  <c r="W128" i="9" s="1"/>
  <c r="W119" i="9" a="1"/>
  <c r="W119" i="9" s="1"/>
  <c r="W117" i="9" a="1"/>
  <c r="W117" i="9" s="1"/>
  <c r="W103" i="9" a="1"/>
  <c r="W103" i="9" s="1"/>
  <c r="W106" i="9" a="1"/>
  <c r="W106" i="9" s="1"/>
  <c r="W111" i="9" a="1"/>
  <c r="W111" i="9" s="1"/>
  <c r="W104" i="9" a="1"/>
  <c r="W104" i="9" s="1"/>
  <c r="W109" i="9" a="1"/>
  <c r="W109" i="9" s="1"/>
  <c r="W115" i="9" a="1"/>
  <c r="W115" i="9" s="1"/>
  <c r="W113" i="9" a="1"/>
  <c r="W113" i="9" s="1"/>
  <c r="W102" i="9" a="1"/>
  <c r="W102" i="9" s="1"/>
  <c r="W112" i="9" a="1"/>
  <c r="W112" i="9" s="1"/>
  <c r="W107" i="9" a="1"/>
  <c r="W107" i="9" s="1"/>
  <c r="W95" i="9" a="1"/>
  <c r="W95" i="9" s="1"/>
  <c r="W93" i="9" a="1"/>
  <c r="W93" i="9" s="1"/>
  <c r="W98" i="9" a="1"/>
  <c r="W98" i="9" s="1"/>
  <c r="W110" i="9" a="1"/>
  <c r="W110" i="9" s="1"/>
  <c r="W96" i="9" a="1"/>
  <c r="W96" i="9" s="1"/>
  <c r="W101" i="9" a="1"/>
  <c r="W101" i="9" s="1"/>
  <c r="W105" i="9" a="1"/>
  <c r="W105" i="9" s="1"/>
  <c r="W94" i="9" a="1"/>
  <c r="W94" i="9" s="1"/>
  <c r="W99" i="9" a="1"/>
  <c r="W99" i="9" s="1"/>
  <c r="W92" i="9" a="1"/>
  <c r="W92" i="9" s="1"/>
  <c r="W82" i="9" a="1"/>
  <c r="W82" i="9" s="1"/>
  <c r="W87" i="9" a="1"/>
  <c r="W87" i="9" s="1"/>
  <c r="W80" i="9" a="1"/>
  <c r="W80" i="9" s="1"/>
  <c r="W85" i="9" a="1"/>
  <c r="W85" i="9" s="1"/>
  <c r="W108" i="9" a="1"/>
  <c r="W108" i="9" s="1"/>
  <c r="W90" i="9" a="1"/>
  <c r="W90" i="9" s="1"/>
  <c r="W83" i="9" a="1"/>
  <c r="W83" i="9" s="1"/>
  <c r="W88" i="9" a="1"/>
  <c r="W88" i="9" s="1"/>
  <c r="W81" i="9" a="1"/>
  <c r="W81" i="9" s="1"/>
  <c r="W97" i="9" a="1"/>
  <c r="W97" i="9" s="1"/>
  <c r="W86" i="9" a="1"/>
  <c r="W86" i="9" s="1"/>
  <c r="W100" i="9" a="1"/>
  <c r="W100" i="9" s="1"/>
  <c r="W71" i="9" a="1"/>
  <c r="W71" i="9" s="1"/>
  <c r="W89" i="9" a="1"/>
  <c r="W89" i="9" s="1"/>
  <c r="W84" i="9" a="1"/>
  <c r="W84" i="9" s="1"/>
  <c r="W76" i="9" a="1"/>
  <c r="W76" i="9" s="1"/>
  <c r="W69" i="9" a="1"/>
  <c r="W69" i="9" s="1"/>
  <c r="W74" i="9" a="1"/>
  <c r="W74" i="9" s="1"/>
  <c r="W79" i="9" a="1"/>
  <c r="W79" i="9" s="1"/>
  <c r="W67" i="9" a="1"/>
  <c r="W67" i="9" s="1"/>
  <c r="W91" i="9" a="1"/>
  <c r="W91" i="9" s="1"/>
  <c r="W72" i="9" a="1"/>
  <c r="W72" i="9" s="1"/>
  <c r="W77" i="9" a="1"/>
  <c r="W77" i="9" s="1"/>
  <c r="W70" i="9" a="1"/>
  <c r="W70" i="9" s="1"/>
  <c r="W75" i="9" a="1"/>
  <c r="W75" i="9" s="1"/>
  <c r="W68" i="9" a="1"/>
  <c r="W68" i="9" s="1"/>
  <c r="W64" i="9" a="1"/>
  <c r="W64" i="9" s="1"/>
  <c r="W52" i="9" a="1"/>
  <c r="W52" i="9" s="1"/>
  <c r="W40" i="9" a="1"/>
  <c r="W40" i="9" s="1"/>
  <c r="W57" i="9" a="1"/>
  <c r="W57" i="9" s="1"/>
  <c r="W45" i="9" a="1"/>
  <c r="W45" i="9" s="1"/>
  <c r="W62" i="9" a="1"/>
  <c r="W62" i="9" s="1"/>
  <c r="W50" i="9" a="1"/>
  <c r="W50" i="9" s="1"/>
  <c r="W55" i="9" a="1"/>
  <c r="W55" i="9" s="1"/>
  <c r="W43" i="9" a="1"/>
  <c r="W43" i="9" s="1"/>
  <c r="W60" i="9" a="1"/>
  <c r="W60" i="9" s="1"/>
  <c r="W48" i="9" a="1"/>
  <c r="W48" i="9" s="1"/>
  <c r="W65" i="9" a="1"/>
  <c r="W65" i="9" s="1"/>
  <c r="W53" i="9" a="1"/>
  <c r="W53" i="9" s="1"/>
  <c r="W41" i="9" a="1"/>
  <c r="W41" i="9" s="1"/>
  <c r="W58" i="9" a="1"/>
  <c r="W58" i="9" s="1"/>
  <c r="W46" i="9" a="1"/>
  <c r="W46" i="9" s="1"/>
  <c r="W63" i="9" a="1"/>
  <c r="W63" i="9" s="1"/>
  <c r="W51" i="9" a="1"/>
  <c r="W51" i="9" s="1"/>
  <c r="W39" i="9" a="1"/>
  <c r="W39" i="9" s="1"/>
  <c r="W56" i="9" a="1"/>
  <c r="W56" i="9" s="1"/>
  <c r="W44" i="9" a="1"/>
  <c r="W44" i="9" s="1"/>
  <c r="W78" i="9" a="1"/>
  <c r="W78" i="9" s="1"/>
  <c r="W61" i="9" a="1"/>
  <c r="W61" i="9" s="1"/>
  <c r="W49" i="9" a="1"/>
  <c r="W49" i="9" s="1"/>
  <c r="W28" i="9" a="1"/>
  <c r="W28" i="9" s="1"/>
  <c r="W33" i="9" a="1"/>
  <c r="W33" i="9" s="1"/>
  <c r="W21" i="9" a="1"/>
  <c r="W21" i="9" s="1"/>
  <c r="W38" i="9" a="1"/>
  <c r="W38" i="9" s="1"/>
  <c r="W26" i="9" a="1"/>
  <c r="W26" i="9" s="1"/>
  <c r="W73" i="9" a="1"/>
  <c r="W73" i="9" s="1"/>
  <c r="W31" i="9" a="1"/>
  <c r="W31" i="9" s="1"/>
  <c r="W36" i="9" a="1"/>
  <c r="W36" i="9" s="1"/>
  <c r="W24" i="9" a="1"/>
  <c r="W24" i="9" s="1"/>
  <c r="W66" i="9" a="1"/>
  <c r="W66" i="9" s="1"/>
  <c r="W54" i="9" a="1"/>
  <c r="W54" i="9" s="1"/>
  <c r="W42" i="9" a="1"/>
  <c r="W42" i="9" s="1"/>
  <c r="W29" i="9" a="1"/>
  <c r="W29" i="9" s="1"/>
  <c r="W17" i="9" a="1"/>
  <c r="W17" i="9" s="1"/>
  <c r="W27" i="9" a="1"/>
  <c r="W27" i="9" s="1"/>
  <c r="W32" i="9" a="1"/>
  <c r="W32" i="9" s="1"/>
  <c r="W20" i="9" a="1"/>
  <c r="W20" i="9" s="1"/>
  <c r="W37" i="9" a="1"/>
  <c r="W37" i="9" s="1"/>
  <c r="W30" i="9" a="1"/>
  <c r="W30" i="9" s="1"/>
  <c r="W12" i="9" a="1"/>
  <c r="W12" i="9" s="1"/>
  <c r="W59" i="9" a="1"/>
  <c r="W59" i="9" s="1"/>
  <c r="W18" i="9" a="1"/>
  <c r="W18" i="9" s="1"/>
  <c r="W10" i="9" a="1"/>
  <c r="W10" i="9" s="1"/>
  <c r="W15" i="9" a="1"/>
  <c r="W15" i="9" s="1"/>
  <c r="W35" i="9" a="1"/>
  <c r="W35" i="9" s="1"/>
  <c r="W23" i="9" a="1"/>
  <c r="W23" i="9" s="1"/>
  <c r="W22" i="9" a="1"/>
  <c r="W22" i="9" s="1"/>
  <c r="W47" i="9" a="1"/>
  <c r="W47" i="9" s="1"/>
  <c r="W13" i="9" a="1"/>
  <c r="W13" i="9" s="1"/>
  <c r="W34" i="9" a="1"/>
  <c r="W34" i="9" s="1"/>
  <c r="W11" i="9" a="1"/>
  <c r="W11" i="9" s="1"/>
  <c r="W16" i="9" a="1"/>
  <c r="W16" i="9" s="1"/>
  <c r="W4" i="9" a="1"/>
  <c r="W4" i="9" s="1"/>
  <c r="W25" i="9" a="1"/>
  <c r="W25" i="9" s="1"/>
  <c r="AI136" i="9" a="1"/>
  <c r="AI136" i="9" s="1"/>
  <c r="AI133" i="9" a="1"/>
  <c r="AI133" i="9" s="1"/>
  <c r="AI129" i="9" a="1"/>
  <c r="AI129" i="9" s="1"/>
  <c r="AI135" i="9" a="1"/>
  <c r="AI135" i="9" s="1"/>
  <c r="AI130" i="9" a="1"/>
  <c r="AI130" i="9" s="1"/>
  <c r="AI123" i="9" a="1"/>
  <c r="AI123" i="9" s="1"/>
  <c r="AI134" i="9" a="1"/>
  <c r="AI134" i="9" s="1"/>
  <c r="AI132" i="9" a="1"/>
  <c r="AI132" i="9" s="1"/>
  <c r="AI131" i="9" a="1"/>
  <c r="AI131" i="9" s="1"/>
  <c r="AI128" i="9" a="1"/>
  <c r="AI128" i="9" s="1"/>
  <c r="AI122" i="9" a="1"/>
  <c r="AI122" i="9" s="1"/>
  <c r="AI120" i="9" a="1"/>
  <c r="AI120" i="9" s="1"/>
  <c r="AI124" i="9" a="1"/>
  <c r="AI124" i="9" s="1"/>
  <c r="AI121" i="9" a="1"/>
  <c r="AI121" i="9" s="1"/>
  <c r="AI127" i="9" a="1"/>
  <c r="AI127" i="9" s="1"/>
  <c r="AI118" i="9" a="1"/>
  <c r="AI118" i="9" s="1"/>
  <c r="AI116" i="9" a="1"/>
  <c r="AI116" i="9" s="1"/>
  <c r="AI114" i="9" a="1"/>
  <c r="AI114" i="9" s="1"/>
  <c r="AI119" i="9" a="1"/>
  <c r="AI119" i="9" s="1"/>
  <c r="AI117" i="9" a="1"/>
  <c r="AI117" i="9" s="1"/>
  <c r="AI103" i="9" a="1"/>
  <c r="AI103" i="9" s="1"/>
  <c r="AI106" i="9" a="1"/>
  <c r="AI106" i="9" s="1"/>
  <c r="AI111" i="9" a="1"/>
  <c r="AI111" i="9" s="1"/>
  <c r="AI113" i="9" a="1"/>
  <c r="AI113" i="9" s="1"/>
  <c r="AI104" i="9" a="1"/>
  <c r="AI104" i="9" s="1"/>
  <c r="AI109" i="9" a="1"/>
  <c r="AI109" i="9" s="1"/>
  <c r="AI102" i="9" a="1"/>
  <c r="AI102" i="9" s="1"/>
  <c r="AI125" i="9" a="1"/>
  <c r="AI125" i="9" s="1"/>
  <c r="AI115" i="9" a="1"/>
  <c r="AI115" i="9" s="1"/>
  <c r="AI95" i="9" a="1"/>
  <c r="AI95" i="9" s="1"/>
  <c r="AI108" i="9" a="1"/>
  <c r="AI108" i="9" s="1"/>
  <c r="AI93" i="9" a="1"/>
  <c r="AI93" i="9" s="1"/>
  <c r="AI98" i="9" a="1"/>
  <c r="AI98" i="9" s="1"/>
  <c r="AI112" i="9" a="1"/>
  <c r="AI112" i="9" s="1"/>
  <c r="AI107" i="9" a="1"/>
  <c r="AI107" i="9" s="1"/>
  <c r="AI101" i="9" a="1"/>
  <c r="AI101" i="9" s="1"/>
  <c r="AI96" i="9" a="1"/>
  <c r="AI96" i="9" s="1"/>
  <c r="AI94" i="9" a="1"/>
  <c r="AI94" i="9" s="1"/>
  <c r="AI110" i="9" a="1"/>
  <c r="AI110" i="9" s="1"/>
  <c r="AI99" i="9" a="1"/>
  <c r="AI99" i="9" s="1"/>
  <c r="AI92" i="9" a="1"/>
  <c r="AI92" i="9" s="1"/>
  <c r="AI82" i="9" a="1"/>
  <c r="AI82" i="9" s="1"/>
  <c r="AI87" i="9" a="1"/>
  <c r="AI87" i="9" s="1"/>
  <c r="AI97" i="9" a="1"/>
  <c r="AI97" i="9" s="1"/>
  <c r="AI80" i="9" a="1"/>
  <c r="AI80" i="9" s="1"/>
  <c r="AI100" i="9" a="1"/>
  <c r="AI100" i="9" s="1"/>
  <c r="AI85" i="9" a="1"/>
  <c r="AI85" i="9" s="1"/>
  <c r="AI90" i="9" a="1"/>
  <c r="AI90" i="9" s="1"/>
  <c r="AI91" i="9" a="1"/>
  <c r="AI91" i="9" s="1"/>
  <c r="AI83" i="9" a="1"/>
  <c r="AI83" i="9" s="1"/>
  <c r="AI88" i="9" a="1"/>
  <c r="AI88" i="9" s="1"/>
  <c r="AI126" i="9" a="1"/>
  <c r="AI126" i="9" s="1"/>
  <c r="AI105" i="9" a="1"/>
  <c r="AI105" i="9" s="1"/>
  <c r="AI81" i="9" a="1"/>
  <c r="AI81" i="9" s="1"/>
  <c r="AI86" i="9" a="1"/>
  <c r="AI86" i="9" s="1"/>
  <c r="AI71" i="9" a="1"/>
  <c r="AI71" i="9" s="1"/>
  <c r="AI76" i="9" a="1"/>
  <c r="AI76" i="9" s="1"/>
  <c r="AI69" i="9" a="1"/>
  <c r="AI69" i="9" s="1"/>
  <c r="AI74" i="9" a="1"/>
  <c r="AI74" i="9" s="1"/>
  <c r="AI79" i="9" a="1"/>
  <c r="AI79" i="9" s="1"/>
  <c r="AI67" i="9" a="1"/>
  <c r="AI67" i="9" s="1"/>
  <c r="AI72" i="9" a="1"/>
  <c r="AI72" i="9" s="1"/>
  <c r="AI77" i="9" a="1"/>
  <c r="AI77" i="9" s="1"/>
  <c r="AI70" i="9" a="1"/>
  <c r="AI70" i="9" s="1"/>
  <c r="AI75" i="9" a="1"/>
  <c r="AI75" i="9" s="1"/>
  <c r="AI89" i="9" a="1"/>
  <c r="AI89" i="9" s="1"/>
  <c r="AI84" i="9" a="1"/>
  <c r="AI84" i="9" s="1"/>
  <c r="AI68" i="9" a="1"/>
  <c r="AI68" i="9" s="1"/>
  <c r="AI64" i="9" a="1"/>
  <c r="AI64" i="9" s="1"/>
  <c r="AI52" i="9" a="1"/>
  <c r="AI52" i="9" s="1"/>
  <c r="AI40" i="9" a="1"/>
  <c r="AI40" i="9" s="1"/>
  <c r="AI57" i="9" a="1"/>
  <c r="AI57" i="9" s="1"/>
  <c r="AI45" i="9" a="1"/>
  <c r="AI45" i="9" s="1"/>
  <c r="AI62" i="9" a="1"/>
  <c r="AI62" i="9" s="1"/>
  <c r="AI50" i="9" a="1"/>
  <c r="AI50" i="9" s="1"/>
  <c r="AI55" i="9" a="1"/>
  <c r="AI55" i="9" s="1"/>
  <c r="AI43" i="9" a="1"/>
  <c r="AI43" i="9" s="1"/>
  <c r="AI60" i="9" a="1"/>
  <c r="AI60" i="9" s="1"/>
  <c r="AI48" i="9" a="1"/>
  <c r="AI48" i="9" s="1"/>
  <c r="AI65" i="9" a="1"/>
  <c r="AI65" i="9" s="1"/>
  <c r="AI53" i="9" a="1"/>
  <c r="AI53" i="9" s="1"/>
  <c r="AI41" i="9" a="1"/>
  <c r="AI41" i="9" s="1"/>
  <c r="AI58" i="9" a="1"/>
  <c r="AI58" i="9" s="1"/>
  <c r="AI46" i="9" a="1"/>
  <c r="AI46" i="9" s="1"/>
  <c r="AI78" i="9" a="1"/>
  <c r="AI78" i="9" s="1"/>
  <c r="AI73" i="9" a="1"/>
  <c r="AI73" i="9" s="1"/>
  <c r="AI63" i="9" a="1"/>
  <c r="AI63" i="9" s="1"/>
  <c r="AI51" i="9" a="1"/>
  <c r="AI51" i="9" s="1"/>
  <c r="AI39" i="9" a="1"/>
  <c r="AI39" i="9" s="1"/>
  <c r="AI56" i="9" a="1"/>
  <c r="AI56" i="9" s="1"/>
  <c r="AI44" i="9" a="1"/>
  <c r="AI44" i="9" s="1"/>
  <c r="AI28" i="9" a="1"/>
  <c r="AI28" i="9" s="1"/>
  <c r="AI16" i="9" a="1"/>
  <c r="AI16" i="9" s="1"/>
  <c r="AI33" i="9" a="1"/>
  <c r="AI33" i="9" s="1"/>
  <c r="AI21" i="9" a="1"/>
  <c r="AI21" i="9" s="1"/>
  <c r="AI38" i="9" a="1"/>
  <c r="AI38" i="9" s="1"/>
  <c r="AI26" i="9" a="1"/>
  <c r="AI26" i="9" s="1"/>
  <c r="AI31" i="9" a="1"/>
  <c r="AI31" i="9" s="1"/>
  <c r="AI59" i="9" a="1"/>
  <c r="AI59" i="9" s="1"/>
  <c r="AI47" i="9" a="1"/>
  <c r="AI47" i="9" s="1"/>
  <c r="AI36" i="9" a="1"/>
  <c r="AI36" i="9" s="1"/>
  <c r="AI24" i="9" a="1"/>
  <c r="AI24" i="9" s="1"/>
  <c r="AI29" i="9" a="1"/>
  <c r="AI29" i="9" s="1"/>
  <c r="AI17" i="9" a="1"/>
  <c r="AI17" i="9" s="1"/>
  <c r="AI61" i="9" a="1"/>
  <c r="AI61" i="9" s="1"/>
  <c r="AI49" i="9" a="1"/>
  <c r="AI49" i="9" s="1"/>
  <c r="AI27" i="9" a="1"/>
  <c r="AI27" i="9" s="1"/>
  <c r="AI32" i="9" a="1"/>
  <c r="AI32" i="9" s="1"/>
  <c r="AI20" i="9" a="1"/>
  <c r="AI20" i="9" s="1"/>
  <c r="AI37" i="9" a="1"/>
  <c r="AI37" i="9" s="1"/>
  <c r="AI66" i="9" a="1"/>
  <c r="AI66" i="9" s="1"/>
  <c r="AI25" i="9" a="1"/>
  <c r="AI25" i="9" s="1"/>
  <c r="AI19" i="9" a="1"/>
  <c r="AI19" i="9" s="1"/>
  <c r="AI12" i="9" a="1"/>
  <c r="AI12" i="9" s="1"/>
  <c r="AI34" i="9" a="1"/>
  <c r="AI34" i="9" s="1"/>
  <c r="AI10" i="9" a="1"/>
  <c r="AI10" i="9" s="1"/>
  <c r="AI54" i="9" a="1"/>
  <c r="AI54" i="9" s="1"/>
  <c r="AI18" i="9" a="1"/>
  <c r="AI18" i="9" s="1"/>
  <c r="AI15" i="9" a="1"/>
  <c r="AI15" i="9" s="1"/>
  <c r="AI30" i="9" a="1"/>
  <c r="AI30" i="9" s="1"/>
  <c r="AI13" i="9" a="1"/>
  <c r="AI13" i="9" s="1"/>
  <c r="AI23" i="9" a="1"/>
  <c r="AI23" i="9" s="1"/>
  <c r="AI22" i="9" a="1"/>
  <c r="AI22" i="9" s="1"/>
  <c r="AI42" i="9" a="1"/>
  <c r="AI42" i="9" s="1"/>
  <c r="AI11" i="9" a="1"/>
  <c r="AI11" i="9" s="1"/>
  <c r="AI4" i="9" a="1"/>
  <c r="AI4" i="9" s="1"/>
  <c r="AI35" i="9" a="1"/>
  <c r="AI35" i="9" s="1"/>
  <c r="AU135" i="9" a="1"/>
  <c r="AU135" i="9" s="1"/>
  <c r="AU131" i="9" a="1"/>
  <c r="AU131" i="9" s="1"/>
  <c r="AU132" i="9" a="1"/>
  <c r="AU132" i="9" s="1"/>
  <c r="AU127" i="9" a="1"/>
  <c r="AU127" i="9" s="1"/>
  <c r="AU134" i="9" a="1"/>
  <c r="AU134" i="9" s="1"/>
  <c r="AU129" i="9" a="1"/>
  <c r="AU129" i="9" s="1"/>
  <c r="AU133" i="9" a="1"/>
  <c r="AU133" i="9" s="1"/>
  <c r="AU136" i="9" a="1"/>
  <c r="AU136" i="9" s="1"/>
  <c r="AU128" i="9" a="1"/>
  <c r="AU128" i="9" s="1"/>
  <c r="AU123" i="9" a="1"/>
  <c r="AU123" i="9" s="1"/>
  <c r="AU130" i="9" a="1"/>
  <c r="AU130" i="9" s="1"/>
  <c r="AU122" i="9" a="1"/>
  <c r="AU122" i="9" s="1"/>
  <c r="AU120" i="9" a="1"/>
  <c r="AU120" i="9" s="1"/>
  <c r="AU121" i="9" a="1"/>
  <c r="AU121" i="9" s="1"/>
  <c r="AU126" i="9" a="1"/>
  <c r="AU126" i="9" s="1"/>
  <c r="AU118" i="9" a="1"/>
  <c r="AU118" i="9" s="1"/>
  <c r="AU116" i="9" a="1"/>
  <c r="AU116" i="9" s="1"/>
  <c r="AU125" i="9" a="1"/>
  <c r="AU125" i="9" s="1"/>
  <c r="AU124" i="9" a="1"/>
  <c r="AU124" i="9" s="1"/>
  <c r="AU114" i="9" a="1"/>
  <c r="AU114" i="9" s="1"/>
  <c r="AU117" i="9" a="1"/>
  <c r="AU117" i="9" s="1"/>
  <c r="AU103" i="9" a="1"/>
  <c r="AU103" i="9" s="1"/>
  <c r="AU106" i="9" a="1"/>
  <c r="AU106" i="9" s="1"/>
  <c r="AU119" i="9" a="1"/>
  <c r="AU119" i="9" s="1"/>
  <c r="AU111" i="9" a="1"/>
  <c r="AU111" i="9" s="1"/>
  <c r="AU113" i="9" a="1"/>
  <c r="AU113" i="9" s="1"/>
  <c r="AU112" i="9" a="1"/>
  <c r="AU112" i="9" s="1"/>
  <c r="AU104" i="9" a="1"/>
  <c r="AU104" i="9" s="1"/>
  <c r="AU109" i="9" a="1"/>
  <c r="AU109" i="9" s="1"/>
  <c r="AU102" i="9" a="1"/>
  <c r="AU102" i="9" s="1"/>
  <c r="AU110" i="9" a="1"/>
  <c r="AU110" i="9" s="1"/>
  <c r="AU95" i="9" a="1"/>
  <c r="AU95" i="9" s="1"/>
  <c r="AU93" i="9" a="1"/>
  <c r="AU93" i="9" s="1"/>
  <c r="AU105" i="9" a="1"/>
  <c r="AU105" i="9" s="1"/>
  <c r="AU98" i="9" a="1"/>
  <c r="AU98" i="9" s="1"/>
  <c r="AU101" i="9" a="1"/>
  <c r="AU101" i="9" s="1"/>
  <c r="AU96" i="9" a="1"/>
  <c r="AU96" i="9" s="1"/>
  <c r="AU115" i="9" a="1"/>
  <c r="AU115" i="9" s="1"/>
  <c r="AU108" i="9" a="1"/>
  <c r="AU108" i="9" s="1"/>
  <c r="AU94" i="9" a="1"/>
  <c r="AU94" i="9" s="1"/>
  <c r="AU107" i="9" a="1"/>
  <c r="AU107" i="9" s="1"/>
  <c r="AU99" i="9" a="1"/>
  <c r="AU99" i="9" s="1"/>
  <c r="AU92" i="9" a="1"/>
  <c r="AU92" i="9" s="1"/>
  <c r="AU82" i="9" a="1"/>
  <c r="AU82" i="9" s="1"/>
  <c r="AU87" i="9" a="1"/>
  <c r="AU87" i="9" s="1"/>
  <c r="AU80" i="9" a="1"/>
  <c r="AU80" i="9" s="1"/>
  <c r="AU85" i="9" a="1"/>
  <c r="AU85" i="9" s="1"/>
  <c r="AU83" i="9" a="1"/>
  <c r="AU83" i="9" s="1"/>
  <c r="AU88" i="9" a="1"/>
  <c r="AU88" i="9" s="1"/>
  <c r="AU81" i="9" a="1"/>
  <c r="AU81" i="9" s="1"/>
  <c r="AU97" i="9" a="1"/>
  <c r="AU97" i="9" s="1"/>
  <c r="AU90" i="9" a="1"/>
  <c r="AU90" i="9" s="1"/>
  <c r="AU86" i="9" a="1"/>
  <c r="AU86" i="9" s="1"/>
  <c r="AU100" i="9" a="1"/>
  <c r="AU100" i="9" s="1"/>
  <c r="AU79" i="9" a="1"/>
  <c r="AU79" i="9" s="1"/>
  <c r="AU71" i="9" a="1"/>
  <c r="AU71" i="9" s="1"/>
  <c r="AU76" i="9" a="1"/>
  <c r="AU76" i="9" s="1"/>
  <c r="AU69" i="9" a="1"/>
  <c r="AU69" i="9" s="1"/>
  <c r="AU74" i="9" a="1"/>
  <c r="AU74" i="9" s="1"/>
  <c r="AU67" i="9" a="1"/>
  <c r="AU67" i="9" s="1"/>
  <c r="AU89" i="9" a="1"/>
  <c r="AU89" i="9" s="1"/>
  <c r="AU84" i="9" a="1"/>
  <c r="AU84" i="9" s="1"/>
  <c r="AU72" i="9" a="1"/>
  <c r="AU72" i="9" s="1"/>
  <c r="AU77" i="9" a="1"/>
  <c r="AU77" i="9" s="1"/>
  <c r="AU70" i="9" a="1"/>
  <c r="AU70" i="9" s="1"/>
  <c r="AU75" i="9" a="1"/>
  <c r="AU75" i="9" s="1"/>
  <c r="AU68" i="9" a="1"/>
  <c r="AU68" i="9" s="1"/>
  <c r="AU66" i="9" a="1"/>
  <c r="AU66" i="9" s="1"/>
  <c r="AU64" i="9" a="1"/>
  <c r="AU64" i="9" s="1"/>
  <c r="AU52" i="9" a="1"/>
  <c r="AU52" i="9" s="1"/>
  <c r="AU40" i="9" a="1"/>
  <c r="AU40" i="9" s="1"/>
  <c r="AU57" i="9" a="1"/>
  <c r="AU57" i="9" s="1"/>
  <c r="AU45" i="9" a="1"/>
  <c r="AU45" i="9" s="1"/>
  <c r="AU62" i="9" a="1"/>
  <c r="AU62" i="9" s="1"/>
  <c r="AU50" i="9" a="1"/>
  <c r="AU50" i="9" s="1"/>
  <c r="AU38" i="9" a="1"/>
  <c r="AU38" i="9" s="1"/>
  <c r="AU78" i="9" a="1"/>
  <c r="AU78" i="9" s="1"/>
  <c r="AU73" i="9" a="1"/>
  <c r="AU73" i="9" s="1"/>
  <c r="AU55" i="9" a="1"/>
  <c r="AU55" i="9" s="1"/>
  <c r="AU43" i="9" a="1"/>
  <c r="AU43" i="9" s="1"/>
  <c r="AU60" i="9" a="1"/>
  <c r="AU60" i="9" s="1"/>
  <c r="AU48" i="9" a="1"/>
  <c r="AU48" i="9" s="1"/>
  <c r="AU65" i="9" a="1"/>
  <c r="AU65" i="9" s="1"/>
  <c r="AU53" i="9" a="1"/>
  <c r="AU53" i="9" s="1"/>
  <c r="AU41" i="9" a="1"/>
  <c r="AU41" i="9" s="1"/>
  <c r="AU58" i="9" a="1"/>
  <c r="AU58" i="9" s="1"/>
  <c r="AU46" i="9" a="1"/>
  <c r="AU46" i="9" s="1"/>
  <c r="AU63" i="9" a="1"/>
  <c r="AU63" i="9" s="1"/>
  <c r="AU51" i="9" a="1"/>
  <c r="AU51" i="9" s="1"/>
  <c r="AU39" i="9" a="1"/>
  <c r="AU39" i="9" s="1"/>
  <c r="AU56" i="9" a="1"/>
  <c r="AU56" i="9" s="1"/>
  <c r="AU44" i="9" a="1"/>
  <c r="AU44" i="9" s="1"/>
  <c r="AU61" i="9" a="1"/>
  <c r="AU61" i="9" s="1"/>
  <c r="AU49" i="9" a="1"/>
  <c r="AU49" i="9" s="1"/>
  <c r="AU28" i="9" a="1"/>
  <c r="AU28" i="9" s="1"/>
  <c r="AU16" i="9" a="1"/>
  <c r="AU16" i="9" s="1"/>
  <c r="AU33" i="9" a="1"/>
  <c r="AU33" i="9" s="1"/>
  <c r="AU21" i="9" a="1"/>
  <c r="AU21" i="9" s="1"/>
  <c r="AU91" i="9" a="1"/>
  <c r="AU91" i="9" s="1"/>
  <c r="AU26" i="9" a="1"/>
  <c r="AU26" i="9" s="1"/>
  <c r="AU31" i="9" a="1"/>
  <c r="AU31" i="9" s="1"/>
  <c r="AU36" i="9" a="1"/>
  <c r="AU36" i="9" s="1"/>
  <c r="AU24" i="9" a="1"/>
  <c r="AU24" i="9" s="1"/>
  <c r="AU54" i="9" a="1"/>
  <c r="AU54" i="9" s="1"/>
  <c r="AU42" i="9" a="1"/>
  <c r="AU42" i="9" s="1"/>
  <c r="AU29" i="9" a="1"/>
  <c r="AU29" i="9" s="1"/>
  <c r="AU17" i="9" a="1"/>
  <c r="AU17" i="9" s="1"/>
  <c r="AU27" i="9" a="1"/>
  <c r="AU27" i="9" s="1"/>
  <c r="AU32" i="9" a="1"/>
  <c r="AU32" i="9" s="1"/>
  <c r="AU20" i="9" a="1"/>
  <c r="AU20" i="9" s="1"/>
  <c r="AU37" i="9" a="1"/>
  <c r="AU37" i="9" s="1"/>
  <c r="AU59" i="9" a="1"/>
  <c r="AU59" i="9" s="1"/>
  <c r="AU30" i="9" a="1"/>
  <c r="AU30" i="9" s="1"/>
  <c r="AU12" i="9" a="1"/>
  <c r="AU12" i="9" s="1"/>
  <c r="AU25" i="9" a="1"/>
  <c r="AU25" i="9" s="1"/>
  <c r="AU19" i="9" a="1"/>
  <c r="AU19" i="9" s="1"/>
  <c r="AU10" i="9" a="1"/>
  <c r="AU10" i="9" s="1"/>
  <c r="AU47" i="9" a="1"/>
  <c r="AU47" i="9" s="1"/>
  <c r="AU15" i="9" a="1"/>
  <c r="AU15" i="9" s="1"/>
  <c r="AU35" i="9" a="1"/>
  <c r="AU35" i="9" s="1"/>
  <c r="AU18" i="9" a="1"/>
  <c r="AU18" i="9" s="1"/>
  <c r="AU13" i="9" a="1"/>
  <c r="AU13" i="9" s="1"/>
  <c r="AU34" i="9" a="1"/>
  <c r="AU34" i="9" s="1"/>
  <c r="AU11" i="9" a="1"/>
  <c r="AU11" i="9" s="1"/>
  <c r="AU23" i="9" a="1"/>
  <c r="AU23" i="9" s="1"/>
  <c r="AU22" i="9" a="1"/>
  <c r="AU22" i="9" s="1"/>
  <c r="AU4" i="9" a="1"/>
  <c r="AU4" i="9" s="1"/>
  <c r="BG136" i="9" a="1"/>
  <c r="BG136" i="9" s="1"/>
  <c r="BG133" i="9" a="1"/>
  <c r="BG133" i="9" s="1"/>
  <c r="BG127" i="9" a="1"/>
  <c r="BG127" i="9" s="1"/>
  <c r="BG134" i="9" a="1"/>
  <c r="BG134" i="9" s="1"/>
  <c r="BG130" i="9" a="1"/>
  <c r="BG130" i="9" s="1"/>
  <c r="BG132" i="9" a="1"/>
  <c r="BG132" i="9" s="1"/>
  <c r="BG129" i="9" a="1"/>
  <c r="BG129" i="9" s="1"/>
  <c r="BG131" i="9" a="1"/>
  <c r="BG131" i="9" s="1"/>
  <c r="BG123" i="9" a="1"/>
  <c r="BG123" i="9" s="1"/>
  <c r="BG122" i="9" a="1"/>
  <c r="BG122" i="9" s="1"/>
  <c r="BG120" i="9" a="1"/>
  <c r="BG120" i="9" s="1"/>
  <c r="BG135" i="9" a="1"/>
  <c r="BG135" i="9" s="1"/>
  <c r="BG128" i="9" a="1"/>
  <c r="BG128" i="9" s="1"/>
  <c r="BG126" i="9" a="1"/>
  <c r="BG126" i="9" s="1"/>
  <c r="BG125" i="9" a="1"/>
  <c r="BG125" i="9" s="1"/>
  <c r="BG121" i="9" a="1"/>
  <c r="BG121" i="9" s="1"/>
  <c r="BG124" i="9" a="1"/>
  <c r="BG124" i="9" s="1"/>
  <c r="BG119" i="9" a="1"/>
  <c r="BG119" i="9" s="1"/>
  <c r="BG118" i="9" a="1"/>
  <c r="BG118" i="9" s="1"/>
  <c r="BG116" i="9" a="1"/>
  <c r="BG116" i="9" s="1"/>
  <c r="BG114" i="9" a="1"/>
  <c r="BG114" i="9" s="1"/>
  <c r="BG117" i="9" a="1"/>
  <c r="BG117" i="9" s="1"/>
  <c r="BG103" i="9" a="1"/>
  <c r="BG103" i="9" s="1"/>
  <c r="BG101" i="9" a="1"/>
  <c r="BG101" i="9" s="1"/>
  <c r="BG106" i="9" a="1"/>
  <c r="BG106" i="9" s="1"/>
  <c r="BG111" i="9" a="1"/>
  <c r="BG111" i="9" s="1"/>
  <c r="BG113" i="9" a="1"/>
  <c r="BG113" i="9" s="1"/>
  <c r="BG104" i="9" a="1"/>
  <c r="BG104" i="9" s="1"/>
  <c r="BG109" i="9" a="1"/>
  <c r="BG109" i="9" s="1"/>
  <c r="BG102" i="9" a="1"/>
  <c r="BG102" i="9" s="1"/>
  <c r="BG112" i="9" a="1"/>
  <c r="BG112" i="9" s="1"/>
  <c r="BG100" i="9" a="1"/>
  <c r="BG100" i="9" s="1"/>
  <c r="BG107" i="9" a="1"/>
  <c r="BG107" i="9" s="1"/>
  <c r="BG95" i="9" a="1"/>
  <c r="BG95" i="9" s="1"/>
  <c r="BG93" i="9" a="1"/>
  <c r="BG93" i="9" s="1"/>
  <c r="BG115" i="9" a="1"/>
  <c r="BG115" i="9" s="1"/>
  <c r="BG98" i="9" a="1"/>
  <c r="BG98" i="9" s="1"/>
  <c r="BG110" i="9" a="1"/>
  <c r="BG110" i="9" s="1"/>
  <c r="BG91" i="9" a="1"/>
  <c r="BG91" i="9" s="1"/>
  <c r="BG96" i="9" a="1"/>
  <c r="BG96" i="9" s="1"/>
  <c r="BG105" i="9" a="1"/>
  <c r="BG105" i="9" s="1"/>
  <c r="BG94" i="9" a="1"/>
  <c r="BG94" i="9" s="1"/>
  <c r="BG99" i="9" a="1"/>
  <c r="BG99" i="9" s="1"/>
  <c r="BG92" i="9" a="1"/>
  <c r="BG92" i="9" s="1"/>
  <c r="BG82" i="9" a="1"/>
  <c r="BG82" i="9" s="1"/>
  <c r="BG87" i="9" a="1"/>
  <c r="BG87" i="9" s="1"/>
  <c r="BG97" i="9" a="1"/>
  <c r="BG97" i="9" s="1"/>
  <c r="BG90" i="9" a="1"/>
  <c r="BG90" i="9" s="1"/>
  <c r="BG80" i="9" a="1"/>
  <c r="BG80" i="9" s="1"/>
  <c r="BG85" i="9" a="1"/>
  <c r="BG85" i="9" s="1"/>
  <c r="BG83" i="9" a="1"/>
  <c r="BG83" i="9" s="1"/>
  <c r="BG88" i="9" a="1"/>
  <c r="BG88" i="9" s="1"/>
  <c r="BG81" i="9" a="1"/>
  <c r="BG81" i="9" s="1"/>
  <c r="BG86" i="9" a="1"/>
  <c r="BG86" i="9" s="1"/>
  <c r="BG79" i="9" a="1"/>
  <c r="BG79" i="9" s="1"/>
  <c r="BG71" i="9" a="1"/>
  <c r="BG71" i="9" s="1"/>
  <c r="BG89" i="9" a="1"/>
  <c r="BG89" i="9" s="1"/>
  <c r="BG84" i="9" a="1"/>
  <c r="BG84" i="9" s="1"/>
  <c r="BG76" i="9" a="1"/>
  <c r="BG76" i="9" s="1"/>
  <c r="BG69" i="9" a="1"/>
  <c r="BG69" i="9" s="1"/>
  <c r="BG108" i="9" a="1"/>
  <c r="BG108" i="9" s="1"/>
  <c r="BG74" i="9" a="1"/>
  <c r="BG74" i="9" s="1"/>
  <c r="BG67" i="9" a="1"/>
  <c r="BG67" i="9" s="1"/>
  <c r="BG72" i="9" a="1"/>
  <c r="BG72" i="9" s="1"/>
  <c r="BG77" i="9" a="1"/>
  <c r="BG77" i="9" s="1"/>
  <c r="BG70" i="9" a="1"/>
  <c r="BG70" i="9" s="1"/>
  <c r="BG75" i="9" a="1"/>
  <c r="BG75" i="9" s="1"/>
  <c r="BG68" i="9" a="1"/>
  <c r="BG68" i="9" s="1"/>
  <c r="BG64" i="9" a="1"/>
  <c r="BG64" i="9" s="1"/>
  <c r="BG52" i="9" a="1"/>
  <c r="BG52" i="9" s="1"/>
  <c r="BG40" i="9" a="1"/>
  <c r="BG40" i="9" s="1"/>
  <c r="BG57" i="9" a="1"/>
  <c r="BG57" i="9" s="1"/>
  <c r="BG45" i="9" a="1"/>
  <c r="BG45" i="9" s="1"/>
  <c r="BG62" i="9" a="1"/>
  <c r="BG62" i="9" s="1"/>
  <c r="BG50" i="9" a="1"/>
  <c r="BG50" i="9" s="1"/>
  <c r="BG38" i="9" a="1"/>
  <c r="BG38" i="9" s="1"/>
  <c r="BG55" i="9" a="1"/>
  <c r="BG55" i="9" s="1"/>
  <c r="BG43" i="9" a="1"/>
  <c r="BG43" i="9" s="1"/>
  <c r="BG60" i="9" a="1"/>
  <c r="BG60" i="9" s="1"/>
  <c r="BG48" i="9" a="1"/>
  <c r="BG48" i="9" s="1"/>
  <c r="BG65" i="9" a="1"/>
  <c r="BG65" i="9" s="1"/>
  <c r="BG53" i="9" a="1"/>
  <c r="BG53" i="9" s="1"/>
  <c r="BG41" i="9" a="1"/>
  <c r="BG41" i="9" s="1"/>
  <c r="BG58" i="9" a="1"/>
  <c r="BG58" i="9" s="1"/>
  <c r="BG46" i="9" a="1"/>
  <c r="BG46" i="9" s="1"/>
  <c r="BG63" i="9" a="1"/>
  <c r="BG63" i="9" s="1"/>
  <c r="BG51" i="9" a="1"/>
  <c r="BG51" i="9" s="1"/>
  <c r="BG39" i="9" a="1"/>
  <c r="BG39" i="9" s="1"/>
  <c r="BG56" i="9" a="1"/>
  <c r="BG56" i="9" s="1"/>
  <c r="BG44" i="9" a="1"/>
  <c r="BG44" i="9" s="1"/>
  <c r="BG73" i="9" a="1"/>
  <c r="BG73" i="9" s="1"/>
  <c r="BG28" i="9" a="1"/>
  <c r="BG28" i="9" s="1"/>
  <c r="BG16" i="9" a="1"/>
  <c r="BG16" i="9" s="1"/>
  <c r="BG33" i="9" a="1"/>
  <c r="BG33" i="9" s="1"/>
  <c r="BG21" i="9" a="1"/>
  <c r="BG21" i="9" s="1"/>
  <c r="BG26" i="9" a="1"/>
  <c r="BG26" i="9" s="1"/>
  <c r="BG66" i="9" a="1"/>
  <c r="BG66" i="9" s="1"/>
  <c r="BG31" i="9" a="1"/>
  <c r="BG31" i="9" s="1"/>
  <c r="BG59" i="9" a="1"/>
  <c r="BG59" i="9" s="1"/>
  <c r="BG47" i="9" a="1"/>
  <c r="BG47" i="9" s="1"/>
  <c r="BG36" i="9" a="1"/>
  <c r="BG36" i="9" s="1"/>
  <c r="BG24" i="9" a="1"/>
  <c r="BG24" i="9" s="1"/>
  <c r="BG29" i="9" a="1"/>
  <c r="BG29" i="9" s="1"/>
  <c r="BG17" i="9" a="1"/>
  <c r="BG17" i="9" s="1"/>
  <c r="BG61" i="9" a="1"/>
  <c r="BG61" i="9" s="1"/>
  <c r="BG49" i="9" a="1"/>
  <c r="BG49" i="9" s="1"/>
  <c r="BG27" i="9" a="1"/>
  <c r="BG27" i="9" s="1"/>
  <c r="BG32" i="9" a="1"/>
  <c r="BG32" i="9" s="1"/>
  <c r="BG20" i="9" a="1"/>
  <c r="BG20" i="9" s="1"/>
  <c r="BG78" i="9" a="1"/>
  <c r="BG78" i="9" s="1"/>
  <c r="BG37" i="9" a="1"/>
  <c r="BG37" i="9" s="1"/>
  <c r="BG12" i="9" a="1"/>
  <c r="BG12" i="9" s="1"/>
  <c r="BG54" i="9" a="1"/>
  <c r="BG54" i="9" s="1"/>
  <c r="BG34" i="9" a="1"/>
  <c r="BG34" i="9" s="1"/>
  <c r="BG10" i="9" a="1"/>
  <c r="BG10" i="9" s="1"/>
  <c r="BG15" i="9" a="1"/>
  <c r="BG15" i="9" s="1"/>
  <c r="BG42" i="9" a="1"/>
  <c r="BG42" i="9" s="1"/>
  <c r="BG25" i="9" a="1"/>
  <c r="BG25" i="9" s="1"/>
  <c r="BG19" i="9" a="1"/>
  <c r="BG19" i="9" s="1"/>
  <c r="BG30" i="9" a="1"/>
  <c r="BG30" i="9" s="1"/>
  <c r="BG13" i="9" a="1"/>
  <c r="BG13" i="9" s="1"/>
  <c r="BG18" i="9" a="1"/>
  <c r="BG18" i="9" s="1"/>
  <c r="BG11" i="9" a="1"/>
  <c r="BG11" i="9" s="1"/>
  <c r="BG4" i="9" a="1"/>
  <c r="BG4" i="9" s="1"/>
  <c r="BG35" i="9" a="1"/>
  <c r="BG35" i="9" s="1"/>
  <c r="BS135" i="9" a="1"/>
  <c r="BS135" i="9" s="1"/>
  <c r="BS127" i="9" a="1"/>
  <c r="BS127" i="9" s="1"/>
  <c r="BS128" i="9" a="1"/>
  <c r="BS128" i="9" s="1"/>
  <c r="BS133" i="9" a="1"/>
  <c r="BS133" i="9" s="1"/>
  <c r="BS132" i="9" a="1"/>
  <c r="BS132" i="9" s="1"/>
  <c r="BS134" i="9" a="1"/>
  <c r="BS134" i="9" s="1"/>
  <c r="BS123" i="9" a="1"/>
  <c r="BS123" i="9" s="1"/>
  <c r="BS131" i="9" a="1"/>
  <c r="BS131" i="9" s="1"/>
  <c r="BS130" i="9" a="1"/>
  <c r="BS130" i="9" s="1"/>
  <c r="BS136" i="9" a="1"/>
  <c r="BS136" i="9" s="1"/>
  <c r="BS129" i="9" a="1"/>
  <c r="BS129" i="9" s="1"/>
  <c r="BS120" i="9" a="1"/>
  <c r="BS120" i="9" s="1"/>
  <c r="BS126" i="9" a="1"/>
  <c r="BS126" i="9" s="1"/>
  <c r="BS125" i="9" a="1"/>
  <c r="BS125" i="9" s="1"/>
  <c r="BS124" i="9" a="1"/>
  <c r="BS124" i="9" s="1"/>
  <c r="BS122" i="9" a="1"/>
  <c r="BS122" i="9" s="1"/>
  <c r="BS121" i="9" a="1"/>
  <c r="BS121" i="9" s="1"/>
  <c r="BS118" i="9" a="1"/>
  <c r="BS118" i="9" s="1"/>
  <c r="BS116" i="9" a="1"/>
  <c r="BS116" i="9" s="1"/>
  <c r="BS119" i="9" a="1"/>
  <c r="BS119" i="9" s="1"/>
  <c r="BS114" i="9" a="1"/>
  <c r="BS114" i="9" s="1"/>
  <c r="BS117" i="9" a="1"/>
  <c r="BS117" i="9" s="1"/>
  <c r="BS103" i="9" a="1"/>
  <c r="BS103" i="9" s="1"/>
  <c r="BS101" i="9" a="1"/>
  <c r="BS101" i="9" s="1"/>
  <c r="BS115" i="9" a="1"/>
  <c r="BS115" i="9" s="1"/>
  <c r="BS106" i="9" a="1"/>
  <c r="BS106" i="9" s="1"/>
  <c r="BS111" i="9" a="1"/>
  <c r="BS111" i="9" s="1"/>
  <c r="BS104" i="9" a="1"/>
  <c r="BS104" i="9" s="1"/>
  <c r="BS113" i="9" a="1"/>
  <c r="BS113" i="9" s="1"/>
  <c r="BS109" i="9" a="1"/>
  <c r="BS109" i="9" s="1"/>
  <c r="BS102" i="9" a="1"/>
  <c r="BS102" i="9" s="1"/>
  <c r="BS100" i="9" a="1"/>
  <c r="BS100" i="9" s="1"/>
  <c r="BS95" i="9" a="1"/>
  <c r="BS95" i="9" s="1"/>
  <c r="BS108" i="9" a="1"/>
  <c r="BS108" i="9" s="1"/>
  <c r="BS93" i="9" a="1"/>
  <c r="BS93" i="9" s="1"/>
  <c r="BS98" i="9" a="1"/>
  <c r="BS98" i="9" s="1"/>
  <c r="BS107" i="9" a="1"/>
  <c r="BS107" i="9" s="1"/>
  <c r="BS91" i="9" a="1"/>
  <c r="BS91" i="9" s="1"/>
  <c r="BS96" i="9" a="1"/>
  <c r="BS96" i="9" s="1"/>
  <c r="BS94" i="9" a="1"/>
  <c r="BS94" i="9" s="1"/>
  <c r="BS112" i="9" a="1"/>
  <c r="BS112" i="9" s="1"/>
  <c r="BS110" i="9" a="1"/>
  <c r="BS110" i="9" s="1"/>
  <c r="BS99" i="9" a="1"/>
  <c r="BS99" i="9" s="1"/>
  <c r="BS92" i="9" a="1"/>
  <c r="BS92" i="9" s="1"/>
  <c r="BS82" i="9" a="1"/>
  <c r="BS82" i="9" s="1"/>
  <c r="BS105" i="9" a="1"/>
  <c r="BS105" i="9" s="1"/>
  <c r="BS87" i="9" a="1"/>
  <c r="BS87" i="9" s="1"/>
  <c r="BS80" i="9" a="1"/>
  <c r="BS80" i="9" s="1"/>
  <c r="BS85" i="9" a="1"/>
  <c r="BS85" i="9" s="1"/>
  <c r="BS83" i="9" a="1"/>
  <c r="BS83" i="9" s="1"/>
  <c r="BS88" i="9" a="1"/>
  <c r="BS88" i="9" s="1"/>
  <c r="BS81" i="9" a="1"/>
  <c r="BS81" i="9" s="1"/>
  <c r="BS97" i="9" a="1"/>
  <c r="BS97" i="9" s="1"/>
  <c r="BS90" i="9" a="1"/>
  <c r="BS90" i="9" s="1"/>
  <c r="BS86" i="9" a="1"/>
  <c r="BS86" i="9" s="1"/>
  <c r="BS79" i="9" a="1"/>
  <c r="BS79" i="9" s="1"/>
  <c r="BS71" i="9" a="1"/>
  <c r="BS71" i="9" s="1"/>
  <c r="BS76" i="9" a="1"/>
  <c r="BS76" i="9" s="1"/>
  <c r="BS69" i="9" a="1"/>
  <c r="BS69" i="9" s="1"/>
  <c r="BS74" i="9" a="1"/>
  <c r="BS74" i="9" s="1"/>
  <c r="BS67" i="9" a="1"/>
  <c r="BS67" i="9" s="1"/>
  <c r="BS72" i="9" a="1"/>
  <c r="BS72" i="9" s="1"/>
  <c r="BS77" i="9" a="1"/>
  <c r="BS77" i="9" s="1"/>
  <c r="BS70" i="9" a="1"/>
  <c r="BS70" i="9" s="1"/>
  <c r="BS75" i="9" a="1"/>
  <c r="BS75" i="9" s="1"/>
  <c r="BS89" i="9" a="1"/>
  <c r="BS89" i="9" s="1"/>
  <c r="BS84" i="9" a="1"/>
  <c r="BS84" i="9" s="1"/>
  <c r="BS68" i="9" a="1"/>
  <c r="BS68" i="9" s="1"/>
  <c r="BS64" i="9" a="1"/>
  <c r="BS64" i="9" s="1"/>
  <c r="BS52" i="9" a="1"/>
  <c r="BS52" i="9" s="1"/>
  <c r="BS40" i="9" a="1"/>
  <c r="BS40" i="9" s="1"/>
  <c r="BS57" i="9" a="1"/>
  <c r="BS57" i="9" s="1"/>
  <c r="BS45" i="9" a="1"/>
  <c r="BS45" i="9" s="1"/>
  <c r="BS62" i="9" a="1"/>
  <c r="BS62" i="9" s="1"/>
  <c r="BS50" i="9" a="1"/>
  <c r="BS50" i="9" s="1"/>
  <c r="BS38" i="9" a="1"/>
  <c r="BS38" i="9" s="1"/>
  <c r="BS55" i="9" a="1"/>
  <c r="BS55" i="9" s="1"/>
  <c r="BS43" i="9" a="1"/>
  <c r="BS43" i="9" s="1"/>
  <c r="BS60" i="9" a="1"/>
  <c r="BS60" i="9" s="1"/>
  <c r="BS48" i="9" a="1"/>
  <c r="BS48" i="9" s="1"/>
  <c r="BS65" i="9" a="1"/>
  <c r="BS65" i="9" s="1"/>
  <c r="BS53" i="9" a="1"/>
  <c r="BS53" i="9" s="1"/>
  <c r="BS41" i="9" a="1"/>
  <c r="BS41" i="9" s="1"/>
  <c r="BS58" i="9" a="1"/>
  <c r="BS58" i="9" s="1"/>
  <c r="BS46" i="9" a="1"/>
  <c r="BS46" i="9" s="1"/>
  <c r="BS78" i="9" a="1"/>
  <c r="BS78" i="9" s="1"/>
  <c r="BS73" i="9" a="1"/>
  <c r="BS73" i="9" s="1"/>
  <c r="BS66" i="9" a="1"/>
  <c r="BS66" i="9" s="1"/>
  <c r="BS63" i="9" a="1"/>
  <c r="BS63" i="9" s="1"/>
  <c r="BS51" i="9" a="1"/>
  <c r="BS51" i="9" s="1"/>
  <c r="BS39" i="9" a="1"/>
  <c r="BS39" i="9" s="1"/>
  <c r="BS56" i="9" a="1"/>
  <c r="BS56" i="9" s="1"/>
  <c r="BS44" i="9" a="1"/>
  <c r="BS44" i="9" s="1"/>
  <c r="BS61" i="9" a="1"/>
  <c r="BS61" i="9" s="1"/>
  <c r="BS49" i="9" a="1"/>
  <c r="BS49" i="9" s="1"/>
  <c r="BS28" i="9" a="1"/>
  <c r="BS28" i="9" s="1"/>
  <c r="BS16" i="9" a="1"/>
  <c r="BS16" i="9" s="1"/>
  <c r="BS33" i="9" a="1"/>
  <c r="BS33" i="9" s="1"/>
  <c r="BS21" i="9" a="1"/>
  <c r="BS21" i="9" s="1"/>
  <c r="BS26" i="9" a="1"/>
  <c r="BS26" i="9" s="1"/>
  <c r="BS31" i="9" a="1"/>
  <c r="BS31" i="9" s="1"/>
  <c r="BS36" i="9" a="1"/>
  <c r="BS36" i="9" s="1"/>
  <c r="BS24" i="9" a="1"/>
  <c r="BS24" i="9" s="1"/>
  <c r="BS54" i="9" a="1"/>
  <c r="BS54" i="9" s="1"/>
  <c r="BS42" i="9" a="1"/>
  <c r="BS42" i="9" s="1"/>
  <c r="BS29" i="9" a="1"/>
  <c r="BS29" i="9" s="1"/>
  <c r="BS17" i="9" a="1"/>
  <c r="BS17" i="9" s="1"/>
  <c r="BS27" i="9" a="1"/>
  <c r="BS27" i="9" s="1"/>
  <c r="BS32" i="9" a="1"/>
  <c r="BS32" i="9" s="1"/>
  <c r="BS20" i="9" a="1"/>
  <c r="BS20" i="9" s="1"/>
  <c r="BS37" i="9" a="1"/>
  <c r="BS37" i="9" s="1"/>
  <c r="BS30" i="9" a="1"/>
  <c r="BS30" i="9" s="1"/>
  <c r="BS23" i="9" a="1"/>
  <c r="BS23" i="9" s="1"/>
  <c r="BS22" i="9" a="1"/>
  <c r="BS22" i="9" s="1"/>
  <c r="BS12" i="9" a="1"/>
  <c r="BS12" i="9" s="1"/>
  <c r="BS47" i="9" a="1"/>
  <c r="BS47" i="9" s="1"/>
  <c r="BS10" i="9" a="1"/>
  <c r="BS10" i="9" s="1"/>
  <c r="BS15" i="9" a="1"/>
  <c r="BS15" i="9" s="1"/>
  <c r="BS35" i="9" a="1"/>
  <c r="BS35" i="9" s="1"/>
  <c r="BS13" i="9" a="1"/>
  <c r="BS13" i="9" s="1"/>
  <c r="BS25" i="9" a="1"/>
  <c r="BS25" i="9" s="1"/>
  <c r="BS19" i="9" a="1"/>
  <c r="BS19" i="9" s="1"/>
  <c r="BS34" i="9" a="1"/>
  <c r="BS34" i="9" s="1"/>
  <c r="BS11" i="9" a="1"/>
  <c r="BS11" i="9" s="1"/>
  <c r="BS4" i="9" a="1"/>
  <c r="BS4" i="9" s="1"/>
  <c r="BS59" i="9" a="1"/>
  <c r="BS59" i="9" s="1"/>
  <c r="BS18" i="9" a="1"/>
  <c r="BS18" i="9" s="1"/>
  <c r="AI14" i="9" a="1"/>
  <c r="AI14" i="9" s="1"/>
  <c r="BS14" i="9" a="1"/>
  <c r="BS14" i="9" s="1"/>
  <c r="CV11" i="7"/>
  <c r="CV24" i="7"/>
  <c r="X135" i="9" a="1"/>
  <c r="X135" i="9" s="1"/>
  <c r="X134" i="9" a="1"/>
  <c r="X134" i="9" s="1"/>
  <c r="X129" i="9" a="1"/>
  <c r="X129" i="9" s="1"/>
  <c r="X136" i="9" a="1"/>
  <c r="X136" i="9" s="1"/>
  <c r="X131" i="9" a="1"/>
  <c r="X131" i="9" s="1"/>
  <c r="X125" i="9" a="1"/>
  <c r="X125" i="9" s="1"/>
  <c r="X130" i="9" a="1"/>
  <c r="X130" i="9" s="1"/>
  <c r="X126" i="9" a="1"/>
  <c r="X126" i="9" s="1"/>
  <c r="X133" i="9" a="1"/>
  <c r="X133" i="9" s="1"/>
  <c r="X128" i="9" a="1"/>
  <c r="X128" i="9" s="1"/>
  <c r="X127" i="9" a="1"/>
  <c r="X127" i="9" s="1"/>
  <c r="X120" i="9" a="1"/>
  <c r="X120" i="9" s="1"/>
  <c r="X123" i="9" a="1"/>
  <c r="X123" i="9" s="1"/>
  <c r="X121" i="9" a="1"/>
  <c r="X121" i="9" s="1"/>
  <c r="X132" i="9" a="1"/>
  <c r="X132" i="9" s="1"/>
  <c r="X124" i="9" a="1"/>
  <c r="X124" i="9" s="1"/>
  <c r="X118" i="9" a="1"/>
  <c r="X118" i="9" s="1"/>
  <c r="X116" i="9" a="1"/>
  <c r="X116" i="9" s="1"/>
  <c r="X114" i="9" a="1"/>
  <c r="X114" i="9" s="1"/>
  <c r="X119" i="9" a="1"/>
  <c r="X119" i="9" s="1"/>
  <c r="X117" i="9" a="1"/>
  <c r="X117" i="9" s="1"/>
  <c r="X122" i="9" a="1"/>
  <c r="X122" i="9" s="1"/>
  <c r="X111" i="9" a="1"/>
  <c r="X111" i="9" s="1"/>
  <c r="X104" i="9" a="1"/>
  <c r="X104" i="9" s="1"/>
  <c r="X109" i="9" a="1"/>
  <c r="X109" i="9" s="1"/>
  <c r="X115" i="9" a="1"/>
  <c r="X115" i="9" s="1"/>
  <c r="X102" i="9" a="1"/>
  <c r="X102" i="9" s="1"/>
  <c r="X113" i="9" a="1"/>
  <c r="X113" i="9" s="1"/>
  <c r="X107" i="9" a="1"/>
  <c r="X107" i="9" s="1"/>
  <c r="X110" i="9" a="1"/>
  <c r="X110" i="9" s="1"/>
  <c r="X103" i="9" a="1"/>
  <c r="X103" i="9" s="1"/>
  <c r="X93" i="9" a="1"/>
  <c r="X93" i="9" s="1"/>
  <c r="X106" i="9" a="1"/>
  <c r="X106" i="9" s="1"/>
  <c r="X96" i="9" a="1"/>
  <c r="X96" i="9" s="1"/>
  <c r="X101" i="9" a="1"/>
  <c r="X101" i="9" s="1"/>
  <c r="X94" i="9" a="1"/>
  <c r="X94" i="9" s="1"/>
  <c r="X105" i="9" a="1"/>
  <c r="X105" i="9" s="1"/>
  <c r="X99" i="9" a="1"/>
  <c r="X99" i="9" s="1"/>
  <c r="X92" i="9" a="1"/>
  <c r="X92" i="9" s="1"/>
  <c r="X97" i="9" a="1"/>
  <c r="X97" i="9" s="1"/>
  <c r="X112" i="9" a="1"/>
  <c r="X112" i="9" s="1"/>
  <c r="X108" i="9" a="1"/>
  <c r="X108" i="9" s="1"/>
  <c r="X80" i="9" a="1"/>
  <c r="X80" i="9" s="1"/>
  <c r="X85" i="9" a="1"/>
  <c r="X85" i="9" s="1"/>
  <c r="X90" i="9" a="1"/>
  <c r="X90" i="9" s="1"/>
  <c r="X83" i="9" a="1"/>
  <c r="X83" i="9" s="1"/>
  <c r="X98" i="9" a="1"/>
  <c r="X98" i="9" s="1"/>
  <c r="X95" i="9" a="1"/>
  <c r="X95" i="9" s="1"/>
  <c r="X88" i="9" a="1"/>
  <c r="X88" i="9" s="1"/>
  <c r="X81" i="9" a="1"/>
  <c r="X81" i="9" s="1"/>
  <c r="X86" i="9" a="1"/>
  <c r="X86" i="9" s="1"/>
  <c r="X100" i="9" a="1"/>
  <c r="X100" i="9" s="1"/>
  <c r="X84" i="9" a="1"/>
  <c r="X84" i="9" s="1"/>
  <c r="X91" i="9" a="1"/>
  <c r="X91" i="9" s="1"/>
  <c r="X89" i="9" a="1"/>
  <c r="X89" i="9" s="1"/>
  <c r="X69" i="9" a="1"/>
  <c r="X69" i="9" s="1"/>
  <c r="X74" i="9" a="1"/>
  <c r="X74" i="9" s="1"/>
  <c r="X79" i="9" a="1"/>
  <c r="X79" i="9" s="1"/>
  <c r="X67" i="9" a="1"/>
  <c r="X67" i="9" s="1"/>
  <c r="X72" i="9" a="1"/>
  <c r="X72" i="9" s="1"/>
  <c r="X77" i="9" a="1"/>
  <c r="X77" i="9" s="1"/>
  <c r="X70" i="9" a="1"/>
  <c r="X70" i="9" s="1"/>
  <c r="X75" i="9" a="1"/>
  <c r="X75" i="9" s="1"/>
  <c r="X68" i="9" a="1"/>
  <c r="X68" i="9" s="1"/>
  <c r="X73" i="9" a="1"/>
  <c r="X73" i="9" s="1"/>
  <c r="X78" i="9" a="1"/>
  <c r="X78" i="9" s="1"/>
  <c r="X62" i="9" a="1"/>
  <c r="X62" i="9" s="1"/>
  <c r="X50" i="9" a="1"/>
  <c r="X50" i="9" s="1"/>
  <c r="X55" i="9" a="1"/>
  <c r="X55" i="9" s="1"/>
  <c r="X43" i="9" a="1"/>
  <c r="X43" i="9" s="1"/>
  <c r="X60" i="9" a="1"/>
  <c r="X60" i="9" s="1"/>
  <c r="X48" i="9" a="1"/>
  <c r="X48" i="9" s="1"/>
  <c r="X87" i="9" a="1"/>
  <c r="X87" i="9" s="1"/>
  <c r="X65" i="9" a="1"/>
  <c r="X65" i="9" s="1"/>
  <c r="X53" i="9" a="1"/>
  <c r="X53" i="9" s="1"/>
  <c r="X41" i="9" a="1"/>
  <c r="X41" i="9" s="1"/>
  <c r="X58" i="9" a="1"/>
  <c r="X58" i="9" s="1"/>
  <c r="X46" i="9" a="1"/>
  <c r="X46" i="9" s="1"/>
  <c r="X63" i="9" a="1"/>
  <c r="X63" i="9" s="1"/>
  <c r="X51" i="9" a="1"/>
  <c r="X51" i="9" s="1"/>
  <c r="X39" i="9" a="1"/>
  <c r="X39" i="9" s="1"/>
  <c r="X56" i="9" a="1"/>
  <c r="X56" i="9" s="1"/>
  <c r="X44" i="9" a="1"/>
  <c r="X44" i="9" s="1"/>
  <c r="X61" i="9" a="1"/>
  <c r="X61" i="9" s="1"/>
  <c r="X49" i="9" a="1"/>
  <c r="X49" i="9" s="1"/>
  <c r="X76" i="9" a="1"/>
  <c r="X76" i="9" s="1"/>
  <c r="X66" i="9" a="1"/>
  <c r="X66" i="9" s="1"/>
  <c r="X54" i="9" a="1"/>
  <c r="X54" i="9" s="1"/>
  <c r="X42" i="9" a="1"/>
  <c r="X42" i="9" s="1"/>
  <c r="X64" i="9" a="1"/>
  <c r="X64" i="9" s="1"/>
  <c r="X52" i="9" a="1"/>
  <c r="X52" i="9" s="1"/>
  <c r="X38" i="9" a="1"/>
  <c r="X38" i="9" s="1"/>
  <c r="X26" i="9" a="1"/>
  <c r="X26" i="9" s="1"/>
  <c r="X31" i="9" a="1"/>
  <c r="X31" i="9" s="1"/>
  <c r="X19" i="9" a="1"/>
  <c r="X19" i="9" s="1"/>
  <c r="X71" i="9" a="1"/>
  <c r="X71" i="9" s="1"/>
  <c r="X36" i="9" a="1"/>
  <c r="X36" i="9" s="1"/>
  <c r="X24" i="9" a="1"/>
  <c r="X24" i="9" s="1"/>
  <c r="X40" i="9" a="1"/>
  <c r="X40" i="9" s="1"/>
  <c r="X29" i="9" a="1"/>
  <c r="X29" i="9" s="1"/>
  <c r="X57" i="9" a="1"/>
  <c r="X57" i="9" s="1"/>
  <c r="X45" i="9" a="1"/>
  <c r="X45" i="9" s="1"/>
  <c r="X34" i="9" a="1"/>
  <c r="X34" i="9" s="1"/>
  <c r="X22" i="9" a="1"/>
  <c r="X22" i="9" s="1"/>
  <c r="X27" i="9" a="1"/>
  <c r="X27" i="9" s="1"/>
  <c r="X37" i="9" a="1"/>
  <c r="X37" i="9" s="1"/>
  <c r="X25" i="9" a="1"/>
  <c r="X25" i="9" s="1"/>
  <c r="X59" i="9" a="1"/>
  <c r="X59" i="9" s="1"/>
  <c r="X47" i="9" a="1"/>
  <c r="X47" i="9" s="1"/>
  <c r="X30" i="9" a="1"/>
  <c r="X30" i="9" s="1"/>
  <c r="X18" i="9" a="1"/>
  <c r="X18" i="9" s="1"/>
  <c r="X35" i="9" a="1"/>
  <c r="X35" i="9" s="1"/>
  <c r="X33" i="9" a="1"/>
  <c r="X33" i="9" s="1"/>
  <c r="X10" i="9" a="1"/>
  <c r="X10" i="9" s="1"/>
  <c r="X15" i="9" a="1"/>
  <c r="X15" i="9" s="1"/>
  <c r="X82" i="9" a="1"/>
  <c r="X82" i="9" s="1"/>
  <c r="X23" i="9" a="1"/>
  <c r="X23" i="9" s="1"/>
  <c r="X17" i="9" a="1"/>
  <c r="X17" i="9" s="1"/>
  <c r="X8" i="9" a="1"/>
  <c r="X8" i="9" s="1"/>
  <c r="X32" i="9" a="1"/>
  <c r="X32" i="9" s="1"/>
  <c r="X13" i="9" a="1"/>
  <c r="X13" i="9" s="1"/>
  <c r="X11" i="9" a="1"/>
  <c r="X11" i="9" s="1"/>
  <c r="X21" i="9" a="1"/>
  <c r="X21" i="9" s="1"/>
  <c r="X16" i="9" a="1"/>
  <c r="X16" i="9" s="1"/>
  <c r="X28" i="9" a="1"/>
  <c r="X28" i="9" s="1"/>
  <c r="X9" i="9" a="1"/>
  <c r="X9" i="9" s="1"/>
  <c r="X20" i="9" a="1"/>
  <c r="X20" i="9" s="1"/>
  <c r="X14" i="9" a="1"/>
  <c r="X14" i="9" s="1"/>
  <c r="AJ135" i="9" a="1"/>
  <c r="AJ135" i="9" s="1"/>
  <c r="AJ132" i="9" a="1"/>
  <c r="AJ132" i="9" s="1"/>
  <c r="AJ131" i="9" a="1"/>
  <c r="AJ131" i="9" s="1"/>
  <c r="AJ136" i="9" a="1"/>
  <c r="AJ136" i="9" s="1"/>
  <c r="AJ125" i="9" a="1"/>
  <c r="AJ125" i="9" s="1"/>
  <c r="AJ128" i="9" a="1"/>
  <c r="AJ128" i="9" s="1"/>
  <c r="AJ126" i="9" a="1"/>
  <c r="AJ126" i="9" s="1"/>
  <c r="AJ134" i="9" a="1"/>
  <c r="AJ134" i="9" s="1"/>
  <c r="AJ120" i="9" a="1"/>
  <c r="AJ120" i="9" s="1"/>
  <c r="AJ130" i="9" a="1"/>
  <c r="AJ130" i="9" s="1"/>
  <c r="AJ121" i="9" a="1"/>
  <c r="AJ121" i="9" s="1"/>
  <c r="AJ133" i="9" a="1"/>
  <c r="AJ133" i="9" s="1"/>
  <c r="AJ123" i="9" a="1"/>
  <c r="AJ123" i="9" s="1"/>
  <c r="AJ118" i="9" a="1"/>
  <c r="AJ118" i="9" s="1"/>
  <c r="AJ116" i="9" a="1"/>
  <c r="AJ116" i="9" s="1"/>
  <c r="AJ114" i="9" a="1"/>
  <c r="AJ114" i="9" s="1"/>
  <c r="AJ119" i="9" a="1"/>
  <c r="AJ119" i="9" s="1"/>
  <c r="AJ117" i="9" a="1"/>
  <c r="AJ117" i="9" s="1"/>
  <c r="AJ129" i="9" a="1"/>
  <c r="AJ129" i="9" s="1"/>
  <c r="AJ127" i="9" a="1"/>
  <c r="AJ127" i="9" s="1"/>
  <c r="AJ112" i="9" a="1"/>
  <c r="AJ112" i="9" s="1"/>
  <c r="AJ122" i="9" a="1"/>
  <c r="AJ122" i="9" s="1"/>
  <c r="AJ111" i="9" a="1"/>
  <c r="AJ111" i="9" s="1"/>
  <c r="AJ104" i="9" a="1"/>
  <c r="AJ104" i="9" s="1"/>
  <c r="AJ113" i="9" a="1"/>
  <c r="AJ113" i="9" s="1"/>
  <c r="AJ109" i="9" a="1"/>
  <c r="AJ109" i="9" s="1"/>
  <c r="AJ102" i="9" a="1"/>
  <c r="AJ102" i="9" s="1"/>
  <c r="AJ107" i="9" a="1"/>
  <c r="AJ107" i="9" s="1"/>
  <c r="AJ115" i="9" a="1"/>
  <c r="AJ115" i="9" s="1"/>
  <c r="AJ124" i="9" a="1"/>
  <c r="AJ124" i="9" s="1"/>
  <c r="AJ110" i="9" a="1"/>
  <c r="AJ110" i="9" s="1"/>
  <c r="AJ93" i="9" a="1"/>
  <c r="AJ93" i="9" s="1"/>
  <c r="AJ101" i="9" a="1"/>
  <c r="AJ101" i="9" s="1"/>
  <c r="AJ96" i="9" a="1"/>
  <c r="AJ96" i="9" s="1"/>
  <c r="AJ103" i="9" a="1"/>
  <c r="AJ103" i="9" s="1"/>
  <c r="AJ94" i="9" a="1"/>
  <c r="AJ94" i="9" s="1"/>
  <c r="AJ99" i="9" a="1"/>
  <c r="AJ99" i="9" s="1"/>
  <c r="AJ106" i="9" a="1"/>
  <c r="AJ106" i="9" s="1"/>
  <c r="AJ92" i="9" a="1"/>
  <c r="AJ92" i="9" s="1"/>
  <c r="AJ97" i="9" a="1"/>
  <c r="AJ97" i="9" s="1"/>
  <c r="AJ90" i="9" a="1"/>
  <c r="AJ90" i="9" s="1"/>
  <c r="AJ80" i="9" a="1"/>
  <c r="AJ80" i="9" s="1"/>
  <c r="AJ85" i="9" a="1"/>
  <c r="AJ85" i="9" s="1"/>
  <c r="AJ100" i="9" a="1"/>
  <c r="AJ100" i="9" s="1"/>
  <c r="AJ108" i="9" a="1"/>
  <c r="AJ108" i="9" s="1"/>
  <c r="AJ91" i="9" a="1"/>
  <c r="AJ91" i="9" s="1"/>
  <c r="AJ83" i="9" a="1"/>
  <c r="AJ83" i="9" s="1"/>
  <c r="AJ88" i="9" a="1"/>
  <c r="AJ88" i="9" s="1"/>
  <c r="AJ81" i="9" a="1"/>
  <c r="AJ81" i="9" s="1"/>
  <c r="AJ105" i="9" a="1"/>
  <c r="AJ105" i="9" s="1"/>
  <c r="AJ86" i="9" a="1"/>
  <c r="AJ86" i="9" s="1"/>
  <c r="AJ84" i="9" a="1"/>
  <c r="AJ84" i="9" s="1"/>
  <c r="AJ89" i="9" a="1"/>
  <c r="AJ89" i="9" s="1"/>
  <c r="AJ69" i="9" a="1"/>
  <c r="AJ69" i="9" s="1"/>
  <c r="AJ74" i="9" a="1"/>
  <c r="AJ74" i="9" s="1"/>
  <c r="AJ79" i="9" a="1"/>
  <c r="AJ79" i="9" s="1"/>
  <c r="AJ67" i="9" a="1"/>
  <c r="AJ67" i="9" s="1"/>
  <c r="AJ72" i="9" a="1"/>
  <c r="AJ72" i="9" s="1"/>
  <c r="AJ77" i="9" a="1"/>
  <c r="AJ77" i="9" s="1"/>
  <c r="AJ70" i="9" a="1"/>
  <c r="AJ70" i="9" s="1"/>
  <c r="AJ87" i="9" a="1"/>
  <c r="AJ87" i="9" s="1"/>
  <c r="AJ75" i="9" a="1"/>
  <c r="AJ75" i="9" s="1"/>
  <c r="AJ98" i="9" a="1"/>
  <c r="AJ98" i="9" s="1"/>
  <c r="AJ82" i="9" a="1"/>
  <c r="AJ82" i="9" s="1"/>
  <c r="AJ68" i="9" a="1"/>
  <c r="AJ68" i="9" s="1"/>
  <c r="AJ95" i="9" a="1"/>
  <c r="AJ95" i="9" s="1"/>
  <c r="AJ73" i="9" a="1"/>
  <c r="AJ73" i="9" s="1"/>
  <c r="AJ78" i="9" a="1"/>
  <c r="AJ78" i="9" s="1"/>
  <c r="AJ62" i="9" a="1"/>
  <c r="AJ62" i="9" s="1"/>
  <c r="AJ50" i="9" a="1"/>
  <c r="AJ50" i="9" s="1"/>
  <c r="AJ55" i="9" a="1"/>
  <c r="AJ55" i="9" s="1"/>
  <c r="AJ43" i="9" a="1"/>
  <c r="AJ43" i="9" s="1"/>
  <c r="AJ60" i="9" a="1"/>
  <c r="AJ60" i="9" s="1"/>
  <c r="AJ48" i="9" a="1"/>
  <c r="AJ48" i="9" s="1"/>
  <c r="AJ65" i="9" a="1"/>
  <c r="AJ65" i="9" s="1"/>
  <c r="AJ53" i="9" a="1"/>
  <c r="AJ53" i="9" s="1"/>
  <c r="AJ41" i="9" a="1"/>
  <c r="AJ41" i="9" s="1"/>
  <c r="AJ76" i="9" a="1"/>
  <c r="AJ76" i="9" s="1"/>
  <c r="AJ58" i="9" a="1"/>
  <c r="AJ58" i="9" s="1"/>
  <c r="AJ46" i="9" a="1"/>
  <c r="AJ46" i="9" s="1"/>
  <c r="AJ71" i="9" a="1"/>
  <c r="AJ71" i="9" s="1"/>
  <c r="AJ63" i="9" a="1"/>
  <c r="AJ63" i="9" s="1"/>
  <c r="AJ51" i="9" a="1"/>
  <c r="AJ51" i="9" s="1"/>
  <c r="AJ39" i="9" a="1"/>
  <c r="AJ39" i="9" s="1"/>
  <c r="AJ56" i="9" a="1"/>
  <c r="AJ56" i="9" s="1"/>
  <c r="AJ44" i="9" a="1"/>
  <c r="AJ44" i="9" s="1"/>
  <c r="AJ61" i="9" a="1"/>
  <c r="AJ61" i="9" s="1"/>
  <c r="AJ49" i="9" a="1"/>
  <c r="AJ49" i="9" s="1"/>
  <c r="AJ66" i="9" a="1"/>
  <c r="AJ66" i="9" s="1"/>
  <c r="AJ54" i="9" a="1"/>
  <c r="AJ54" i="9" s="1"/>
  <c r="AJ42" i="9" a="1"/>
  <c r="AJ42" i="9" s="1"/>
  <c r="AJ38" i="9" a="1"/>
  <c r="AJ38" i="9" s="1"/>
  <c r="AJ26" i="9" a="1"/>
  <c r="AJ26" i="9" s="1"/>
  <c r="AJ31" i="9" a="1"/>
  <c r="AJ31" i="9" s="1"/>
  <c r="AJ19" i="9" a="1"/>
  <c r="AJ19" i="9" s="1"/>
  <c r="AJ59" i="9" a="1"/>
  <c r="AJ59" i="9" s="1"/>
  <c r="AJ47" i="9" a="1"/>
  <c r="AJ47" i="9" s="1"/>
  <c r="AJ36" i="9" a="1"/>
  <c r="AJ36" i="9" s="1"/>
  <c r="AJ24" i="9" a="1"/>
  <c r="AJ24" i="9" s="1"/>
  <c r="AJ29" i="9" a="1"/>
  <c r="AJ29" i="9" s="1"/>
  <c r="AJ34" i="9" a="1"/>
  <c r="AJ34" i="9" s="1"/>
  <c r="AJ22" i="9" a="1"/>
  <c r="AJ22" i="9" s="1"/>
  <c r="AJ27" i="9" a="1"/>
  <c r="AJ27" i="9" s="1"/>
  <c r="AJ64" i="9" a="1"/>
  <c r="AJ64" i="9" s="1"/>
  <c r="AJ52" i="9" a="1"/>
  <c r="AJ52" i="9" s="1"/>
  <c r="AJ40" i="9" a="1"/>
  <c r="AJ40" i="9" s="1"/>
  <c r="AJ37" i="9" a="1"/>
  <c r="AJ37" i="9" s="1"/>
  <c r="AJ25" i="9" a="1"/>
  <c r="AJ25" i="9" s="1"/>
  <c r="AJ30" i="9" a="1"/>
  <c r="AJ30" i="9" s="1"/>
  <c r="AJ18" i="9" a="1"/>
  <c r="AJ18" i="9" s="1"/>
  <c r="AJ35" i="9" a="1"/>
  <c r="AJ35" i="9" s="1"/>
  <c r="AJ10" i="9" a="1"/>
  <c r="AJ10" i="9" s="1"/>
  <c r="AJ57" i="9" a="1"/>
  <c r="AJ57" i="9" s="1"/>
  <c r="AJ28" i="9" a="1"/>
  <c r="AJ28" i="9" s="1"/>
  <c r="AJ15" i="9" a="1"/>
  <c r="AJ15" i="9" s="1"/>
  <c r="AJ8" i="9" a="1"/>
  <c r="AJ8" i="9" s="1"/>
  <c r="AJ13" i="9" a="1"/>
  <c r="AJ13" i="9" s="1"/>
  <c r="AJ23" i="9" a="1"/>
  <c r="AJ23" i="9" s="1"/>
  <c r="AJ17" i="9" a="1"/>
  <c r="AJ17" i="9" s="1"/>
  <c r="AJ33" i="9" a="1"/>
  <c r="AJ33" i="9" s="1"/>
  <c r="AJ11" i="9" a="1"/>
  <c r="AJ11" i="9" s="1"/>
  <c r="AJ16" i="9" a="1"/>
  <c r="AJ16" i="9" s="1"/>
  <c r="AJ9" i="9" a="1"/>
  <c r="AJ9" i="9" s="1"/>
  <c r="AJ21" i="9" a="1"/>
  <c r="AJ21" i="9" s="1"/>
  <c r="AJ14" i="9" a="1"/>
  <c r="AJ14" i="9" s="1"/>
  <c r="AJ45" i="9" a="1"/>
  <c r="AJ45" i="9" s="1"/>
  <c r="AJ32" i="9" a="1"/>
  <c r="AJ32" i="9" s="1"/>
  <c r="AV135" i="9" a="1"/>
  <c r="AV135" i="9" s="1"/>
  <c r="AV134" i="9" a="1"/>
  <c r="AV134" i="9" s="1"/>
  <c r="AV136" i="9" a="1"/>
  <c r="AV136" i="9" s="1"/>
  <c r="AV131" i="9" a="1"/>
  <c r="AV131" i="9" s="1"/>
  <c r="AV129" i="9" a="1"/>
  <c r="AV129" i="9" s="1"/>
  <c r="AV133" i="9" a="1"/>
  <c r="AV133" i="9" s="1"/>
  <c r="AV125" i="9" a="1"/>
  <c r="AV125" i="9" s="1"/>
  <c r="AV130" i="9" a="1"/>
  <c r="AV130" i="9" s="1"/>
  <c r="AV126" i="9" a="1"/>
  <c r="AV126" i="9" s="1"/>
  <c r="AV132" i="9" a="1"/>
  <c r="AV132" i="9" s="1"/>
  <c r="AV120" i="9" a="1"/>
  <c r="AV120" i="9" s="1"/>
  <c r="AV121" i="9" a="1"/>
  <c r="AV121" i="9" s="1"/>
  <c r="AV118" i="9" a="1"/>
  <c r="AV118" i="9" s="1"/>
  <c r="AV128" i="9" a="1"/>
  <c r="AV128" i="9" s="1"/>
  <c r="AV116" i="9" a="1"/>
  <c r="AV116" i="9" s="1"/>
  <c r="AV124" i="9" a="1"/>
  <c r="AV124" i="9" s="1"/>
  <c r="AV114" i="9" a="1"/>
  <c r="AV114" i="9" s="1"/>
  <c r="AV119" i="9" a="1"/>
  <c r="AV119" i="9" s="1"/>
  <c r="AV123" i="9" a="1"/>
  <c r="AV123" i="9" s="1"/>
  <c r="AV117" i="9" a="1"/>
  <c r="AV117" i="9" s="1"/>
  <c r="AV127" i="9" a="1"/>
  <c r="AV127" i="9" s="1"/>
  <c r="AV111" i="9" a="1"/>
  <c r="AV111" i="9" s="1"/>
  <c r="AV104" i="9" a="1"/>
  <c r="AV104" i="9" s="1"/>
  <c r="AV113" i="9" a="1"/>
  <c r="AV113" i="9" s="1"/>
  <c r="AV112" i="9" a="1"/>
  <c r="AV112" i="9" s="1"/>
  <c r="AV109" i="9" a="1"/>
  <c r="AV109" i="9" s="1"/>
  <c r="AV102" i="9" a="1"/>
  <c r="AV102" i="9" s="1"/>
  <c r="AV107" i="9" a="1"/>
  <c r="AV107" i="9" s="1"/>
  <c r="AV100" i="9" a="1"/>
  <c r="AV100" i="9" s="1"/>
  <c r="AV115" i="9" a="1"/>
  <c r="AV115" i="9" s="1"/>
  <c r="AV110" i="9" a="1"/>
  <c r="AV110" i="9" s="1"/>
  <c r="AV122" i="9" a="1"/>
  <c r="AV122" i="9" s="1"/>
  <c r="AV93" i="9" a="1"/>
  <c r="AV93" i="9" s="1"/>
  <c r="AV105" i="9" a="1"/>
  <c r="AV105" i="9" s="1"/>
  <c r="AV101" i="9" a="1"/>
  <c r="AV101" i="9" s="1"/>
  <c r="AV96" i="9" a="1"/>
  <c r="AV96" i="9" s="1"/>
  <c r="AV108" i="9" a="1"/>
  <c r="AV108" i="9" s="1"/>
  <c r="AV94" i="9" a="1"/>
  <c r="AV94" i="9" s="1"/>
  <c r="AV99" i="9" a="1"/>
  <c r="AV99" i="9" s="1"/>
  <c r="AV92" i="9" a="1"/>
  <c r="AV92" i="9" s="1"/>
  <c r="AV103" i="9" a="1"/>
  <c r="AV103" i="9" s="1"/>
  <c r="AV97" i="9" a="1"/>
  <c r="AV97" i="9" s="1"/>
  <c r="AV90" i="9" a="1"/>
  <c r="AV90" i="9" s="1"/>
  <c r="AV80" i="9" a="1"/>
  <c r="AV80" i="9" s="1"/>
  <c r="AV85" i="9" a="1"/>
  <c r="AV85" i="9" s="1"/>
  <c r="AV83" i="9" a="1"/>
  <c r="AV83" i="9" s="1"/>
  <c r="AV98" i="9" a="1"/>
  <c r="AV98" i="9" s="1"/>
  <c r="AV95" i="9" a="1"/>
  <c r="AV95" i="9" s="1"/>
  <c r="AV88" i="9" a="1"/>
  <c r="AV88" i="9" s="1"/>
  <c r="AV81" i="9" a="1"/>
  <c r="AV81" i="9" s="1"/>
  <c r="AV86" i="9" a="1"/>
  <c r="AV86" i="9" s="1"/>
  <c r="AV84" i="9" a="1"/>
  <c r="AV84" i="9" s="1"/>
  <c r="AV91" i="9" a="1"/>
  <c r="AV91" i="9" s="1"/>
  <c r="AV89" i="9" a="1"/>
  <c r="AV89" i="9" s="1"/>
  <c r="AV69" i="9" a="1"/>
  <c r="AV69" i="9" s="1"/>
  <c r="AV74" i="9" a="1"/>
  <c r="AV74" i="9" s="1"/>
  <c r="AV87" i="9" a="1"/>
  <c r="AV87" i="9" s="1"/>
  <c r="AV67" i="9" a="1"/>
  <c r="AV67" i="9" s="1"/>
  <c r="AV82" i="9" a="1"/>
  <c r="AV82" i="9" s="1"/>
  <c r="AV72" i="9" a="1"/>
  <c r="AV72" i="9" s="1"/>
  <c r="AV79" i="9" a="1"/>
  <c r="AV79" i="9" s="1"/>
  <c r="AV77" i="9" a="1"/>
  <c r="AV77" i="9" s="1"/>
  <c r="AV70" i="9" a="1"/>
  <c r="AV70" i="9" s="1"/>
  <c r="AV75" i="9" a="1"/>
  <c r="AV75" i="9" s="1"/>
  <c r="AV68" i="9" a="1"/>
  <c r="AV68" i="9" s="1"/>
  <c r="AV73" i="9" a="1"/>
  <c r="AV73" i="9" s="1"/>
  <c r="AV78" i="9" a="1"/>
  <c r="AV78" i="9" s="1"/>
  <c r="AV66" i="9" a="1"/>
  <c r="AV66" i="9" s="1"/>
  <c r="AV76" i="9" a="1"/>
  <c r="AV76" i="9" s="1"/>
  <c r="AV62" i="9" a="1"/>
  <c r="AV62" i="9" s="1"/>
  <c r="AV50" i="9" a="1"/>
  <c r="AV50" i="9" s="1"/>
  <c r="AV38" i="9" a="1"/>
  <c r="AV38" i="9" s="1"/>
  <c r="AV71" i="9" a="1"/>
  <c r="AV71" i="9" s="1"/>
  <c r="AV55" i="9" a="1"/>
  <c r="AV55" i="9" s="1"/>
  <c r="AV43" i="9" a="1"/>
  <c r="AV43" i="9" s="1"/>
  <c r="AV60" i="9" a="1"/>
  <c r="AV60" i="9" s="1"/>
  <c r="AV48" i="9" a="1"/>
  <c r="AV48" i="9" s="1"/>
  <c r="AV65" i="9" a="1"/>
  <c r="AV65" i="9" s="1"/>
  <c r="AV53" i="9" a="1"/>
  <c r="AV53" i="9" s="1"/>
  <c r="AV41" i="9" a="1"/>
  <c r="AV41" i="9" s="1"/>
  <c r="AV58" i="9" a="1"/>
  <c r="AV58" i="9" s="1"/>
  <c r="AV46" i="9" a="1"/>
  <c r="AV46" i="9" s="1"/>
  <c r="AV106" i="9" a="1"/>
  <c r="AV106" i="9" s="1"/>
  <c r="AV63" i="9" a="1"/>
  <c r="AV63" i="9" s="1"/>
  <c r="AV51" i="9" a="1"/>
  <c r="AV51" i="9" s="1"/>
  <c r="AV39" i="9" a="1"/>
  <c r="AV39" i="9" s="1"/>
  <c r="AV56" i="9" a="1"/>
  <c r="AV56" i="9" s="1"/>
  <c r="AV44" i="9" a="1"/>
  <c r="AV44" i="9" s="1"/>
  <c r="AV61" i="9" a="1"/>
  <c r="AV61" i="9" s="1"/>
  <c r="AV49" i="9" a="1"/>
  <c r="AV49" i="9" s="1"/>
  <c r="AV54" i="9" a="1"/>
  <c r="AV54" i="9" s="1"/>
  <c r="AV42" i="9" a="1"/>
  <c r="AV42" i="9" s="1"/>
  <c r="AV64" i="9" a="1"/>
  <c r="AV64" i="9" s="1"/>
  <c r="AV52" i="9" a="1"/>
  <c r="AV52" i="9" s="1"/>
  <c r="AV26" i="9" a="1"/>
  <c r="AV26" i="9" s="1"/>
  <c r="AV31" i="9" a="1"/>
  <c r="AV31" i="9" s="1"/>
  <c r="AV19" i="9" a="1"/>
  <c r="AV19" i="9" s="1"/>
  <c r="AV36" i="9" a="1"/>
  <c r="AV36" i="9" s="1"/>
  <c r="AV24" i="9" a="1"/>
  <c r="AV24" i="9" s="1"/>
  <c r="AV29" i="9" a="1"/>
  <c r="AV29" i="9" s="1"/>
  <c r="AV57" i="9" a="1"/>
  <c r="AV57" i="9" s="1"/>
  <c r="AV45" i="9" a="1"/>
  <c r="AV45" i="9" s="1"/>
  <c r="AV34" i="9" a="1"/>
  <c r="AV34" i="9" s="1"/>
  <c r="AV22" i="9" a="1"/>
  <c r="AV22" i="9" s="1"/>
  <c r="AV27" i="9" a="1"/>
  <c r="AV27" i="9" s="1"/>
  <c r="AV37" i="9" a="1"/>
  <c r="AV37" i="9" s="1"/>
  <c r="AV25" i="9" a="1"/>
  <c r="AV25" i="9" s="1"/>
  <c r="AV59" i="9" a="1"/>
  <c r="AV59" i="9" s="1"/>
  <c r="AV47" i="9" a="1"/>
  <c r="AV47" i="9" s="1"/>
  <c r="AV30" i="9" a="1"/>
  <c r="AV30" i="9" s="1"/>
  <c r="AV18" i="9" a="1"/>
  <c r="AV18" i="9" s="1"/>
  <c r="AV35" i="9" a="1"/>
  <c r="AV35" i="9" s="1"/>
  <c r="AV33" i="9" a="1"/>
  <c r="AV33" i="9" s="1"/>
  <c r="AV20" i="9" a="1"/>
  <c r="AV20" i="9" s="1"/>
  <c r="AV10" i="9" a="1"/>
  <c r="AV10" i="9" s="1"/>
  <c r="AV15" i="9" a="1"/>
  <c r="AV15" i="9" s="1"/>
  <c r="AV40" i="9" a="1"/>
  <c r="AV40" i="9" s="1"/>
  <c r="AV8" i="9" a="1"/>
  <c r="AV8" i="9" s="1"/>
  <c r="AV32" i="9" a="1"/>
  <c r="AV32" i="9" s="1"/>
  <c r="AV13" i="9" a="1"/>
  <c r="AV13" i="9" s="1"/>
  <c r="AV11" i="9" a="1"/>
  <c r="AV11" i="9" s="1"/>
  <c r="AV23" i="9" a="1"/>
  <c r="AV23" i="9" s="1"/>
  <c r="AV17" i="9" a="1"/>
  <c r="AV17" i="9" s="1"/>
  <c r="AV28" i="9" a="1"/>
  <c r="AV28" i="9" s="1"/>
  <c r="AV9" i="9" a="1"/>
  <c r="AV9" i="9" s="1"/>
  <c r="AV16" i="9" a="1"/>
  <c r="AV16" i="9" s="1"/>
  <c r="AV14" i="9" a="1"/>
  <c r="AV14" i="9" s="1"/>
  <c r="BH135" i="9" a="1"/>
  <c r="BH135" i="9" s="1"/>
  <c r="BH136" i="9" a="1"/>
  <c r="BH136" i="9" s="1"/>
  <c r="BH131" i="9" a="1"/>
  <c r="BH131" i="9" s="1"/>
  <c r="BH134" i="9" a="1"/>
  <c r="BH134" i="9" s="1"/>
  <c r="BH132" i="9" a="1"/>
  <c r="BH132" i="9" s="1"/>
  <c r="BH129" i="9" a="1"/>
  <c r="BH129" i="9" s="1"/>
  <c r="BH125" i="9" a="1"/>
  <c r="BH125" i="9" s="1"/>
  <c r="BH128" i="9" a="1"/>
  <c r="BH128" i="9" s="1"/>
  <c r="BH127" i="9" a="1"/>
  <c r="BH127" i="9" s="1"/>
  <c r="BH130" i="9" a="1"/>
  <c r="BH130" i="9" s="1"/>
  <c r="BH126" i="9" a="1"/>
  <c r="BH126" i="9" s="1"/>
  <c r="BH133" i="9" a="1"/>
  <c r="BH133" i="9" s="1"/>
  <c r="BH122" i="9" a="1"/>
  <c r="BH122" i="9" s="1"/>
  <c r="BH120" i="9" a="1"/>
  <c r="BH120" i="9" s="1"/>
  <c r="BH123" i="9" a="1"/>
  <c r="BH123" i="9" s="1"/>
  <c r="BH121" i="9" a="1"/>
  <c r="BH121" i="9" s="1"/>
  <c r="BH124" i="9" a="1"/>
  <c r="BH124" i="9" s="1"/>
  <c r="BH118" i="9" a="1"/>
  <c r="BH118" i="9" s="1"/>
  <c r="BH116" i="9" a="1"/>
  <c r="BH116" i="9" s="1"/>
  <c r="BH114" i="9" a="1"/>
  <c r="BH114" i="9" s="1"/>
  <c r="BH117" i="9" a="1"/>
  <c r="BH117" i="9" s="1"/>
  <c r="BH101" i="9" a="1"/>
  <c r="BH101" i="9" s="1"/>
  <c r="BH111" i="9" a="1"/>
  <c r="BH111" i="9" s="1"/>
  <c r="BH104" i="9" a="1"/>
  <c r="BH104" i="9" s="1"/>
  <c r="BH113" i="9" a="1"/>
  <c r="BH113" i="9" s="1"/>
  <c r="BH109" i="9" a="1"/>
  <c r="BH109" i="9" s="1"/>
  <c r="BH102" i="9" a="1"/>
  <c r="BH102" i="9" s="1"/>
  <c r="BH107" i="9" a="1"/>
  <c r="BH107" i="9" s="1"/>
  <c r="BH100" i="9" a="1"/>
  <c r="BH100" i="9" s="1"/>
  <c r="BH119" i="9" a="1"/>
  <c r="BH119" i="9" s="1"/>
  <c r="BH110" i="9" a="1"/>
  <c r="BH110" i="9" s="1"/>
  <c r="BH103" i="9" a="1"/>
  <c r="BH103" i="9" s="1"/>
  <c r="BH93" i="9" a="1"/>
  <c r="BH93" i="9" s="1"/>
  <c r="BH115" i="9" a="1"/>
  <c r="BH115" i="9" s="1"/>
  <c r="BH91" i="9" a="1"/>
  <c r="BH91" i="9" s="1"/>
  <c r="BH106" i="9" a="1"/>
  <c r="BH106" i="9" s="1"/>
  <c r="BH96" i="9" a="1"/>
  <c r="BH96" i="9" s="1"/>
  <c r="BH94" i="9" a="1"/>
  <c r="BH94" i="9" s="1"/>
  <c r="BH105" i="9" a="1"/>
  <c r="BH105" i="9" s="1"/>
  <c r="BH99" i="9" a="1"/>
  <c r="BH99" i="9" s="1"/>
  <c r="BH92" i="9" a="1"/>
  <c r="BH92" i="9" s="1"/>
  <c r="BH97" i="9" a="1"/>
  <c r="BH97" i="9" s="1"/>
  <c r="BH108" i="9" a="1"/>
  <c r="BH108" i="9" s="1"/>
  <c r="BH90" i="9" a="1"/>
  <c r="BH90" i="9" s="1"/>
  <c r="BH112" i="9" a="1"/>
  <c r="BH112" i="9" s="1"/>
  <c r="BH80" i="9" a="1"/>
  <c r="BH80" i="9" s="1"/>
  <c r="BH85" i="9" a="1"/>
  <c r="BH85" i="9" s="1"/>
  <c r="BH83" i="9" a="1"/>
  <c r="BH83" i="9" s="1"/>
  <c r="BH88" i="9" a="1"/>
  <c r="BH88" i="9" s="1"/>
  <c r="BH81" i="9" a="1"/>
  <c r="BH81" i="9" s="1"/>
  <c r="BH86" i="9" a="1"/>
  <c r="BH86" i="9" s="1"/>
  <c r="BH79" i="9" a="1"/>
  <c r="BH79" i="9" s="1"/>
  <c r="BH84" i="9" a="1"/>
  <c r="BH84" i="9" s="1"/>
  <c r="BH89" i="9" a="1"/>
  <c r="BH89" i="9" s="1"/>
  <c r="BH69" i="9" a="1"/>
  <c r="BH69" i="9" s="1"/>
  <c r="BH74" i="9" a="1"/>
  <c r="BH74" i="9" s="1"/>
  <c r="BH67" i="9" a="1"/>
  <c r="BH67" i="9" s="1"/>
  <c r="BH72" i="9" a="1"/>
  <c r="BH72" i="9" s="1"/>
  <c r="BH77" i="9" a="1"/>
  <c r="BH77" i="9" s="1"/>
  <c r="BH98" i="9" a="1"/>
  <c r="BH98" i="9" s="1"/>
  <c r="BH70" i="9" a="1"/>
  <c r="BH70" i="9" s="1"/>
  <c r="BH95" i="9" a="1"/>
  <c r="BH95" i="9" s="1"/>
  <c r="BH75" i="9" a="1"/>
  <c r="BH75" i="9" s="1"/>
  <c r="BH68" i="9" a="1"/>
  <c r="BH68" i="9" s="1"/>
  <c r="BH73" i="9" a="1"/>
  <c r="BH73" i="9" s="1"/>
  <c r="BH78" i="9" a="1"/>
  <c r="BH78" i="9" s="1"/>
  <c r="BH66" i="9" a="1"/>
  <c r="BH66" i="9" s="1"/>
  <c r="BH62" i="9" a="1"/>
  <c r="BH62" i="9" s="1"/>
  <c r="BH50" i="9" a="1"/>
  <c r="BH50" i="9" s="1"/>
  <c r="BH38" i="9" a="1"/>
  <c r="BH38" i="9" s="1"/>
  <c r="BH87" i="9" a="1"/>
  <c r="BH87" i="9" s="1"/>
  <c r="BH55" i="9" a="1"/>
  <c r="BH55" i="9" s="1"/>
  <c r="BH43" i="9" a="1"/>
  <c r="BH43" i="9" s="1"/>
  <c r="BH60" i="9" a="1"/>
  <c r="BH60" i="9" s="1"/>
  <c r="BH48" i="9" a="1"/>
  <c r="BH48" i="9" s="1"/>
  <c r="BH65" i="9" a="1"/>
  <c r="BH65" i="9" s="1"/>
  <c r="BH53" i="9" a="1"/>
  <c r="BH53" i="9" s="1"/>
  <c r="BH41" i="9" a="1"/>
  <c r="BH41" i="9" s="1"/>
  <c r="BH58" i="9" a="1"/>
  <c r="BH58" i="9" s="1"/>
  <c r="BH46" i="9" a="1"/>
  <c r="BH46" i="9" s="1"/>
  <c r="BH63" i="9" a="1"/>
  <c r="BH63" i="9" s="1"/>
  <c r="BH51" i="9" a="1"/>
  <c r="BH51" i="9" s="1"/>
  <c r="BH39" i="9" a="1"/>
  <c r="BH39" i="9" s="1"/>
  <c r="BH56" i="9" a="1"/>
  <c r="BH56" i="9" s="1"/>
  <c r="BH44" i="9" a="1"/>
  <c r="BH44" i="9" s="1"/>
  <c r="BH82" i="9" a="1"/>
  <c r="BH82" i="9" s="1"/>
  <c r="BH61" i="9" a="1"/>
  <c r="BH61" i="9" s="1"/>
  <c r="BH49" i="9" a="1"/>
  <c r="BH49" i="9" s="1"/>
  <c r="BH76" i="9" a="1"/>
  <c r="BH76" i="9" s="1"/>
  <c r="B50" i="1" s="1"/>
  <c r="BH54" i="9" a="1"/>
  <c r="BH54" i="9" s="1"/>
  <c r="BH42" i="9" a="1"/>
  <c r="BH42" i="9" s="1"/>
  <c r="BH26" i="9" a="1"/>
  <c r="BH26" i="9" s="1"/>
  <c r="BH31" i="9" a="1"/>
  <c r="BH31" i="9" s="1"/>
  <c r="BH19" i="9" a="1"/>
  <c r="BH19" i="9" s="1"/>
  <c r="BH59" i="9" a="1"/>
  <c r="BH59" i="9" s="1"/>
  <c r="BH47" i="9" a="1"/>
  <c r="BH47" i="9" s="1"/>
  <c r="BH36" i="9" a="1"/>
  <c r="BH36" i="9" s="1"/>
  <c r="BH24" i="9" a="1"/>
  <c r="BH24" i="9" s="1"/>
  <c r="BH40" i="9" a="1"/>
  <c r="BH40" i="9" s="1"/>
  <c r="BH29" i="9" a="1"/>
  <c r="BH29" i="9" s="1"/>
  <c r="BH34" i="9" a="1"/>
  <c r="BH34" i="9" s="1"/>
  <c r="BH22" i="9" a="1"/>
  <c r="BH22" i="9" s="1"/>
  <c r="BH27" i="9" a="1"/>
  <c r="BH27" i="9" s="1"/>
  <c r="BH64" i="9" a="1"/>
  <c r="BH64" i="9" s="1"/>
  <c r="BH52" i="9" a="1"/>
  <c r="BH52" i="9" s="1"/>
  <c r="BH37" i="9" a="1"/>
  <c r="BH37" i="9" s="1"/>
  <c r="BH25" i="9" a="1"/>
  <c r="BH25" i="9" s="1"/>
  <c r="BH30" i="9" a="1"/>
  <c r="BH30" i="9" s="1"/>
  <c r="BH18" i="9" a="1"/>
  <c r="BH18" i="9" s="1"/>
  <c r="BH35" i="9" a="1"/>
  <c r="BH35" i="9" s="1"/>
  <c r="BH57" i="9" a="1"/>
  <c r="BH57" i="9" s="1"/>
  <c r="BH21" i="9" a="1"/>
  <c r="BH21" i="9" s="1"/>
  <c r="BH10" i="9" a="1"/>
  <c r="BH10" i="9" s="1"/>
  <c r="BH28" i="9" a="1"/>
  <c r="BH28" i="9" s="1"/>
  <c r="BH15" i="9" a="1"/>
  <c r="BH15" i="9" s="1"/>
  <c r="BH20" i="9" a="1"/>
  <c r="BH20" i="9" s="1"/>
  <c r="BH8" i="9" a="1"/>
  <c r="BH8" i="9" s="1"/>
  <c r="BH13" i="9" a="1"/>
  <c r="BH13" i="9" s="1"/>
  <c r="BH33" i="9" a="1"/>
  <c r="BH33" i="9" s="1"/>
  <c r="BH11" i="9" a="1"/>
  <c r="BH11" i="9" s="1"/>
  <c r="BH45" i="9" a="1"/>
  <c r="BH45" i="9" s="1"/>
  <c r="BH9" i="9" a="1"/>
  <c r="BH9" i="9" s="1"/>
  <c r="BH23" i="9" a="1"/>
  <c r="BH23" i="9" s="1"/>
  <c r="BH17" i="9" a="1"/>
  <c r="BH17" i="9" s="1"/>
  <c r="BH14" i="9" a="1"/>
  <c r="BH14" i="9" s="1"/>
  <c r="BH32" i="9" a="1"/>
  <c r="BH32" i="9" s="1"/>
  <c r="BH71" i="9" a="1"/>
  <c r="BH71" i="9" s="1"/>
  <c r="BT135" i="9" a="1"/>
  <c r="BT135" i="9" s="1"/>
  <c r="BT132" i="9" a="1"/>
  <c r="BT132" i="9" s="1"/>
  <c r="BT136" i="9" a="1"/>
  <c r="BT136" i="9" s="1"/>
  <c r="BT128" i="9" a="1"/>
  <c r="BT128" i="9" s="1"/>
  <c r="BT133" i="9" a="1"/>
  <c r="BT133" i="9" s="1"/>
  <c r="BT129" i="9" a="1"/>
  <c r="BT129" i="9" s="1"/>
  <c r="BT127" i="9" a="1"/>
  <c r="BT127" i="9" s="1"/>
  <c r="BT125" i="9" a="1"/>
  <c r="BT125" i="9" s="1"/>
  <c r="BT131" i="9" a="1"/>
  <c r="BT131" i="9" s="1"/>
  <c r="BT130" i="9" a="1"/>
  <c r="BT130" i="9" s="1"/>
  <c r="BT126" i="9" a="1"/>
  <c r="BT126" i="9" s="1"/>
  <c r="BT120" i="9" a="1"/>
  <c r="BT120" i="9" s="1"/>
  <c r="BT134" i="9" a="1"/>
  <c r="BT134" i="9" s="1"/>
  <c r="BT124" i="9" a="1"/>
  <c r="BT124" i="9" s="1"/>
  <c r="BT122" i="9" a="1"/>
  <c r="BT122" i="9" s="1"/>
  <c r="BT121" i="9" a="1"/>
  <c r="BT121" i="9" s="1"/>
  <c r="BT123" i="9" a="1"/>
  <c r="BT123" i="9" s="1"/>
  <c r="BT118" i="9" a="1"/>
  <c r="BT118" i="9" s="1"/>
  <c r="BT116" i="9" a="1"/>
  <c r="BT116" i="9" s="1"/>
  <c r="BT119" i="9" a="1"/>
  <c r="BT119" i="9" s="1"/>
  <c r="BT114" i="9" a="1"/>
  <c r="BT114" i="9" s="1"/>
  <c r="BT117" i="9" a="1"/>
  <c r="BT117" i="9" s="1"/>
  <c r="BT112" i="9" a="1"/>
  <c r="BT112" i="9" s="1"/>
  <c r="BT101" i="9" a="1"/>
  <c r="BT101" i="9" s="1"/>
  <c r="BT111" i="9" a="1"/>
  <c r="BT111" i="9" s="1"/>
  <c r="BT104" i="9" a="1"/>
  <c r="BT104" i="9" s="1"/>
  <c r="BT109" i="9" a="1"/>
  <c r="BT109" i="9" s="1"/>
  <c r="BT113" i="9" a="1"/>
  <c r="BT113" i="9" s="1"/>
  <c r="BT102" i="9" a="1"/>
  <c r="BT102" i="9" s="1"/>
  <c r="BT107" i="9" a="1"/>
  <c r="BT107" i="9" s="1"/>
  <c r="BT100" i="9" a="1"/>
  <c r="BT100" i="9" s="1"/>
  <c r="BT110" i="9" a="1"/>
  <c r="BT110" i="9" s="1"/>
  <c r="AB110" i="2" s="1"/>
  <c r="BT93" i="9" a="1"/>
  <c r="BT93" i="9" s="1"/>
  <c r="BT91" i="9" a="1"/>
  <c r="BT91" i="9" s="1"/>
  <c r="BT96" i="9" a="1"/>
  <c r="BT96" i="9" s="1"/>
  <c r="BT103" i="9" a="1"/>
  <c r="BT103" i="9" s="1"/>
  <c r="BT94" i="9" a="1"/>
  <c r="BT94" i="9" s="1"/>
  <c r="BT99" i="9" a="1"/>
  <c r="BT99" i="9" s="1"/>
  <c r="BT106" i="9" a="1"/>
  <c r="BT106" i="9" s="1"/>
  <c r="BT92" i="9" a="1"/>
  <c r="BT92" i="9" s="1"/>
  <c r="BT97" i="9" a="1"/>
  <c r="BT97" i="9" s="1"/>
  <c r="BT90" i="9" a="1"/>
  <c r="BT90" i="9" s="1"/>
  <c r="BT105" i="9" a="1"/>
  <c r="BT105" i="9" s="1"/>
  <c r="BT80" i="9" a="1"/>
  <c r="BT80" i="9" s="1"/>
  <c r="BT85" i="9" a="1"/>
  <c r="BT85" i="9" s="1"/>
  <c r="BT83" i="9" a="1"/>
  <c r="BT83" i="9" s="1"/>
  <c r="BT98" i="9" a="1"/>
  <c r="BT98" i="9" s="1"/>
  <c r="BT95" i="9" a="1"/>
  <c r="BT95" i="9" s="1"/>
  <c r="BT88" i="9" a="1"/>
  <c r="BT88" i="9" s="1"/>
  <c r="BT81" i="9" a="1"/>
  <c r="BT81" i="9" s="1"/>
  <c r="BT86" i="9" a="1"/>
  <c r="BT86" i="9" s="1"/>
  <c r="BT79" i="9" a="1"/>
  <c r="BT79" i="9" s="1"/>
  <c r="BT84" i="9" a="1"/>
  <c r="BT84" i="9" s="1"/>
  <c r="BT108" i="9" a="1"/>
  <c r="BT108" i="9" s="1"/>
  <c r="BT89" i="9" a="1"/>
  <c r="BT89" i="9" s="1"/>
  <c r="BT69" i="9" a="1"/>
  <c r="BT69" i="9" s="1"/>
  <c r="BT74" i="9" a="1"/>
  <c r="BT74" i="9" s="1"/>
  <c r="BT67" i="9" a="1"/>
  <c r="BT67" i="9" s="1"/>
  <c r="BT115" i="9" a="1"/>
  <c r="BT115" i="9" s="1"/>
  <c r="BT72" i="9" a="1"/>
  <c r="BT72" i="9" s="1"/>
  <c r="BT77" i="9" a="1"/>
  <c r="BT77" i="9" s="1"/>
  <c r="BT70" i="9" a="1"/>
  <c r="BT70" i="9" s="1"/>
  <c r="BT87" i="9" a="1"/>
  <c r="BT87" i="9" s="1"/>
  <c r="BT75" i="9" a="1"/>
  <c r="BT75" i="9" s="1"/>
  <c r="BT82" i="9" a="1"/>
  <c r="BT82" i="9" s="1"/>
  <c r="BT68" i="9" a="1"/>
  <c r="BT68" i="9" s="1"/>
  <c r="BT73" i="9" a="1"/>
  <c r="BT73" i="9" s="1"/>
  <c r="BT78" i="9" a="1"/>
  <c r="BT78" i="9" s="1"/>
  <c r="BT66" i="9" a="1"/>
  <c r="BT66" i="9" s="1"/>
  <c r="BT62" i="9" a="1"/>
  <c r="BT62" i="9" s="1"/>
  <c r="BT50" i="9" a="1"/>
  <c r="BT50" i="9" s="1"/>
  <c r="BT38" i="9" a="1"/>
  <c r="BT38" i="9" s="1"/>
  <c r="BT55" i="9" a="1"/>
  <c r="BT55" i="9" s="1"/>
  <c r="BT43" i="9" a="1"/>
  <c r="BT43" i="9" s="1"/>
  <c r="BT60" i="9" a="1"/>
  <c r="BT60" i="9" s="1"/>
  <c r="BT48" i="9" a="1"/>
  <c r="BT48" i="9" s="1"/>
  <c r="BT65" i="9" a="1"/>
  <c r="BT65" i="9" s="1"/>
  <c r="BT53" i="9" a="1"/>
  <c r="BT53" i="9" s="1"/>
  <c r="BT41" i="9" a="1"/>
  <c r="BT41" i="9" s="1"/>
  <c r="BT76" i="9" a="1"/>
  <c r="BT76" i="9" s="1"/>
  <c r="BT58" i="9" a="1"/>
  <c r="BT58" i="9" s="1"/>
  <c r="BT46" i="9" a="1"/>
  <c r="BT46" i="9" s="1"/>
  <c r="BT71" i="9" a="1"/>
  <c r="BT71" i="9" s="1"/>
  <c r="BT63" i="9" a="1"/>
  <c r="BT63" i="9" s="1"/>
  <c r="BT51" i="9" a="1"/>
  <c r="BT51" i="9" s="1"/>
  <c r="BT39" i="9" a="1"/>
  <c r="BT39" i="9" s="1"/>
  <c r="BT56" i="9" a="1"/>
  <c r="BT56" i="9" s="1"/>
  <c r="BT44" i="9" a="1"/>
  <c r="BT44" i="9" s="1"/>
  <c r="BT61" i="9" a="1"/>
  <c r="BT61" i="9" s="1"/>
  <c r="BT49" i="9" a="1"/>
  <c r="BT49" i="9" s="1"/>
  <c r="BT54" i="9" a="1"/>
  <c r="BT54" i="9" s="1"/>
  <c r="BT42" i="9" a="1"/>
  <c r="BT42" i="9" s="1"/>
  <c r="BT64" i="9" a="1"/>
  <c r="BT64" i="9" s="1"/>
  <c r="BT52" i="9" a="1"/>
  <c r="BT52" i="9" s="1"/>
  <c r="BT26" i="9" a="1"/>
  <c r="BT26" i="9" s="1"/>
  <c r="BT31" i="9" a="1"/>
  <c r="BT31" i="9" s="1"/>
  <c r="BT19" i="9" a="1"/>
  <c r="BT19" i="9" s="1"/>
  <c r="BT36" i="9" a="1"/>
  <c r="BT36" i="9" s="1"/>
  <c r="BT24" i="9" a="1"/>
  <c r="BT24" i="9" s="1"/>
  <c r="BT29" i="9" a="1"/>
  <c r="BT29" i="9" s="1"/>
  <c r="BT57" i="9" a="1"/>
  <c r="BT57" i="9" s="1"/>
  <c r="BT45" i="9" a="1"/>
  <c r="BT45" i="9" s="1"/>
  <c r="BT34" i="9" a="1"/>
  <c r="BT34" i="9" s="1"/>
  <c r="BT22" i="9" a="1"/>
  <c r="BT22" i="9" s="1"/>
  <c r="BT27" i="9" a="1"/>
  <c r="BT27" i="9" s="1"/>
  <c r="BT40" i="9" a="1"/>
  <c r="BT40" i="9" s="1"/>
  <c r="BT37" i="9" a="1"/>
  <c r="BT37" i="9" s="1"/>
  <c r="BT25" i="9" a="1"/>
  <c r="BT25" i="9" s="1"/>
  <c r="BT59" i="9" a="1"/>
  <c r="BT59" i="9" s="1"/>
  <c r="BT47" i="9" a="1"/>
  <c r="BT47" i="9" s="1"/>
  <c r="BT30" i="9" a="1"/>
  <c r="BT30" i="9" s="1"/>
  <c r="BT18" i="9" a="1"/>
  <c r="BT18" i="9" s="1"/>
  <c r="BT35" i="9" a="1"/>
  <c r="BT35" i="9" s="1"/>
  <c r="BT33" i="9" a="1"/>
  <c r="BT33" i="9" s="1"/>
  <c r="BT16" i="9" a="1"/>
  <c r="BT16" i="9" s="1"/>
  <c r="BT10" i="9" a="1"/>
  <c r="BT10" i="9" s="1"/>
  <c r="BT15" i="9" a="1"/>
  <c r="BT15" i="9" s="1"/>
  <c r="BT21" i="9" a="1"/>
  <c r="BT21" i="9" s="1"/>
  <c r="BT8" i="9" a="1"/>
  <c r="BT8" i="9" s="1"/>
  <c r="AB8" i="2" s="1"/>
  <c r="BT32" i="9" a="1"/>
  <c r="BT32" i="9" s="1"/>
  <c r="BT13" i="9" a="1"/>
  <c r="BT13" i="9" s="1"/>
  <c r="BT20" i="9" a="1"/>
  <c r="BT20" i="9" s="1"/>
  <c r="BT11" i="9" a="1"/>
  <c r="BT11" i="9" s="1"/>
  <c r="BT28" i="9" a="1"/>
  <c r="BT28" i="9" s="1"/>
  <c r="BT9" i="9" a="1"/>
  <c r="BT9" i="9" s="1"/>
  <c r="BT14" i="9" a="1"/>
  <c r="BT14" i="9" s="1"/>
  <c r="BT23" i="9" a="1"/>
  <c r="BT23" i="9" s="1"/>
  <c r="AB4" i="9" a="1"/>
  <c r="AB4" i="9" s="1"/>
  <c r="AC4" i="2" s="1"/>
  <c r="AJ4" i="9" a="1"/>
  <c r="AJ4" i="9" s="1"/>
  <c r="AZ4" i="9" a="1"/>
  <c r="AZ4" i="9" s="1"/>
  <c r="BH4" i="9" a="1"/>
  <c r="BH4" i="9" s="1"/>
  <c r="BB5" i="9" a="1"/>
  <c r="BB5" i="9" s="1"/>
  <c r="BS5" i="9" a="1"/>
  <c r="BS5" i="9" s="1"/>
  <c r="AP6" i="9" a="1"/>
  <c r="AP6" i="9" s="1"/>
  <c r="BG6" i="9" a="1"/>
  <c r="BG6" i="9" s="1"/>
  <c r="BP6" i="9" a="1"/>
  <c r="BP6" i="9" s="1"/>
  <c r="W7" i="9" a="1"/>
  <c r="W7" i="9" s="1"/>
  <c r="AO7" i="9" a="1"/>
  <c r="AO7" i="9" s="1"/>
  <c r="BG7" i="9" a="1"/>
  <c r="BG7" i="9" s="1"/>
  <c r="Q9" i="9" a="1"/>
  <c r="Q9" i="9" s="1"/>
  <c r="AI9" i="9" a="1"/>
  <c r="AI9" i="9" s="1"/>
  <c r="BA9" i="9" a="1"/>
  <c r="BA9" i="9" s="1"/>
  <c r="BS9" i="9" a="1"/>
  <c r="BS9" i="9" s="1"/>
  <c r="AD12" i="9" a="1"/>
  <c r="AD12" i="9" s="1"/>
  <c r="BN12" i="9" a="1"/>
  <c r="BN12" i="9" s="1"/>
  <c r="W19" i="9" a="1"/>
  <c r="W19" i="9" s="1"/>
  <c r="O23" i="9" a="1"/>
  <c r="O23" i="9" s="1"/>
  <c r="CV6" i="7"/>
  <c r="CR10" i="7"/>
  <c r="CV13" i="7"/>
  <c r="CV15" i="7"/>
  <c r="CV17" i="7"/>
  <c r="CR21" i="7"/>
  <c r="CR23" i="7"/>
  <c r="AD5" i="9" a="1"/>
  <c r="AD5" i="9" s="1"/>
  <c r="Q6" i="9" a="1"/>
  <c r="Q6" i="9" s="1"/>
  <c r="AY6" i="9" a="1"/>
  <c r="AY6" i="9" s="1"/>
  <c r="BH6" i="9" a="1"/>
  <c r="BH6" i="9" s="1"/>
  <c r="BZ7" i="9" a="1"/>
  <c r="BZ7" i="9" s="1"/>
  <c r="P8" i="9" a="1"/>
  <c r="P8" i="9" s="1"/>
  <c r="AN8" i="9" a="1"/>
  <c r="AN8" i="9" s="1"/>
  <c r="AZ8" i="9" a="1"/>
  <c r="AZ8" i="9" s="1"/>
  <c r="BY8" i="9" a="1"/>
  <c r="BY8" i="9" s="1"/>
  <c r="P10" i="9" a="1"/>
  <c r="P10" i="9" s="1"/>
  <c r="AN10" i="9" a="1"/>
  <c r="AN10" i="9" s="1"/>
  <c r="AO14" i="9" a="1"/>
  <c r="AO14" i="9" s="1"/>
  <c r="BY14" i="9" a="1"/>
  <c r="BY14" i="9" s="1"/>
  <c r="T15" i="9" a="1"/>
  <c r="T15" i="9" s="1"/>
  <c r="BD15" i="9" a="1"/>
  <c r="BD15" i="9" s="1"/>
  <c r="AD17" i="9" a="1"/>
  <c r="AD17" i="9" s="1"/>
  <c r="AJ20" i="9" a="1"/>
  <c r="AJ20" i="9" s="1"/>
  <c r="CR5" i="7"/>
  <c r="CV26" i="7"/>
  <c r="CV28" i="7"/>
  <c r="CV30" i="7"/>
  <c r="CV32" i="7"/>
  <c r="CV34" i="7"/>
  <c r="CV36" i="7"/>
  <c r="CV38" i="7"/>
  <c r="CV40" i="7"/>
  <c r="CV42" i="7"/>
  <c r="CV44" i="7"/>
  <c r="CV46" i="7"/>
  <c r="CV48" i="7"/>
  <c r="CV50" i="7"/>
  <c r="CV52" i="7"/>
  <c r="CV54" i="7"/>
  <c r="CV56" i="7"/>
  <c r="CV58" i="7"/>
  <c r="CV60" i="7"/>
  <c r="CV62" i="7"/>
  <c r="CV64" i="7"/>
  <c r="CV66" i="7"/>
  <c r="CV68" i="7"/>
  <c r="CV70" i="7"/>
  <c r="CV72" i="7"/>
  <c r="CV74" i="7"/>
  <c r="CV76" i="7"/>
  <c r="CV78" i="7"/>
  <c r="CV80" i="7"/>
  <c r="CV82" i="7"/>
  <c r="CV84" i="7"/>
  <c r="CV86" i="7"/>
  <c r="CV88" i="7"/>
  <c r="CV90" i="7"/>
  <c r="CV92" i="7"/>
  <c r="CV94" i="7"/>
  <c r="CV96" i="7"/>
  <c r="CV98" i="7"/>
  <c r="CV100" i="7"/>
  <c r="CV102" i="7"/>
  <c r="CV104" i="7"/>
  <c r="CV106" i="7"/>
  <c r="CV108" i="7"/>
  <c r="CV110" i="7"/>
  <c r="CV112" i="7"/>
  <c r="CV114" i="7"/>
  <c r="CV116" i="7"/>
  <c r="CV118" i="7"/>
  <c r="CV120" i="7"/>
  <c r="CV122" i="7"/>
  <c r="CV124" i="7"/>
  <c r="CV126" i="7"/>
  <c r="CV128" i="7"/>
  <c r="CV130" i="7"/>
  <c r="CV132" i="7"/>
  <c r="CV134" i="7"/>
  <c r="CV136" i="7"/>
  <c r="N136" i="9" a="1"/>
  <c r="N136" i="9" s="1"/>
  <c r="N131" i="9" a="1"/>
  <c r="N131" i="9" s="1"/>
  <c r="N133" i="9" a="1"/>
  <c r="N133" i="9" s="1"/>
  <c r="N129" i="9" a="1"/>
  <c r="N129" i="9" s="1"/>
  <c r="N132" i="9" a="1"/>
  <c r="N132" i="9" s="1"/>
  <c r="N135" i="9" a="1"/>
  <c r="N135" i="9" s="1"/>
  <c r="N128" i="9" a="1"/>
  <c r="N128" i="9" s="1"/>
  <c r="N127" i="9" a="1"/>
  <c r="N127" i="9" s="1"/>
  <c r="N124" i="9" a="1"/>
  <c r="N124" i="9" s="1"/>
  <c r="N130" i="9" a="1"/>
  <c r="N130" i="9" s="1"/>
  <c r="N122" i="9" a="1"/>
  <c r="N122" i="9" s="1"/>
  <c r="N123" i="9" a="1"/>
  <c r="N123" i="9" s="1"/>
  <c r="N134" i="9" a="1"/>
  <c r="N134" i="9" s="1"/>
  <c r="N114" i="9" a="1"/>
  <c r="N114" i="9" s="1"/>
  <c r="N117" i="9" a="1"/>
  <c r="N117" i="9" s="1"/>
  <c r="N115" i="9" a="1"/>
  <c r="N115" i="9" s="1"/>
  <c r="N125" i="9" a="1"/>
  <c r="N125" i="9" s="1"/>
  <c r="N113" i="9" a="1"/>
  <c r="N113" i="9" s="1"/>
  <c r="N126" i="9" a="1"/>
  <c r="N126" i="9" s="1"/>
  <c r="N121" i="9" a="1"/>
  <c r="N121" i="9" s="1"/>
  <c r="N109" i="9" a="1"/>
  <c r="N109" i="9" s="1"/>
  <c r="N107" i="9" a="1"/>
  <c r="N107" i="9" s="1"/>
  <c r="N119" i="9" a="1"/>
  <c r="N119" i="9" s="1"/>
  <c r="N112" i="9" a="1"/>
  <c r="N112" i="9" s="1"/>
  <c r="N120" i="9" a="1"/>
  <c r="N120" i="9" s="1"/>
  <c r="N118" i="9" a="1"/>
  <c r="N118" i="9" s="1"/>
  <c r="N105" i="9" a="1"/>
  <c r="N105" i="9" s="1"/>
  <c r="N110" i="9" a="1"/>
  <c r="N110" i="9" s="1"/>
  <c r="N103" i="9" a="1"/>
  <c r="N103" i="9" s="1"/>
  <c r="N108" i="9" a="1"/>
  <c r="N108" i="9" s="1"/>
  <c r="N106" i="9" a="1"/>
  <c r="N106" i="9" s="1"/>
  <c r="N99" i="9" a="1"/>
  <c r="N99" i="9" s="1"/>
  <c r="N104" i="9" a="1"/>
  <c r="N104" i="9" s="1"/>
  <c r="N92" i="9" a="1"/>
  <c r="N92" i="9" s="1"/>
  <c r="N97" i="9" a="1"/>
  <c r="N97" i="9" s="1"/>
  <c r="N111" i="9" a="1"/>
  <c r="N111" i="9" s="1"/>
  <c r="N101" i="9" a="1"/>
  <c r="N101" i="9" s="1"/>
  <c r="N95" i="9" a="1"/>
  <c r="N95" i="9" s="1"/>
  <c r="N100" i="9" a="1"/>
  <c r="N100" i="9" s="1"/>
  <c r="N93" i="9" a="1"/>
  <c r="N93" i="9" s="1"/>
  <c r="N98" i="9" a="1"/>
  <c r="N98" i="9" s="1"/>
  <c r="N88" i="9" a="1"/>
  <c r="N88" i="9" s="1"/>
  <c r="N94" i="9" a="1"/>
  <c r="N94" i="9" s="1"/>
  <c r="N81" i="9" a="1"/>
  <c r="N81" i="9" s="1"/>
  <c r="N116" i="9" a="1"/>
  <c r="N116" i="9" s="1"/>
  <c r="N86" i="9" a="1"/>
  <c r="N86" i="9" s="1"/>
  <c r="N102" i="9" a="1"/>
  <c r="N102" i="9" s="1"/>
  <c r="N96" i="9" a="1"/>
  <c r="N96" i="9" s="1"/>
  <c r="N84" i="9" a="1"/>
  <c r="N84" i="9" s="1"/>
  <c r="N89" i="9" a="1"/>
  <c r="N89" i="9" s="1"/>
  <c r="N82" i="9" a="1"/>
  <c r="N82" i="9" s="1"/>
  <c r="N87" i="9" a="1"/>
  <c r="N87" i="9" s="1"/>
  <c r="N80" i="9" a="1"/>
  <c r="N80" i="9" s="1"/>
  <c r="N85" i="9" a="1"/>
  <c r="N85" i="9" s="1"/>
  <c r="N77" i="9" a="1"/>
  <c r="N77" i="9" s="1"/>
  <c r="N70" i="9" a="1"/>
  <c r="N70" i="9" s="1"/>
  <c r="N75" i="9" a="1"/>
  <c r="N75" i="9" s="1"/>
  <c r="N68" i="9" a="1"/>
  <c r="N68" i="9" s="1"/>
  <c r="N73" i="9" a="1"/>
  <c r="N73" i="9" s="1"/>
  <c r="N78" i="9" a="1"/>
  <c r="N78" i="9" s="1"/>
  <c r="N71" i="9" a="1"/>
  <c r="N71" i="9" s="1"/>
  <c r="N91" i="9" a="1"/>
  <c r="N91" i="9" s="1"/>
  <c r="N76" i="9" a="1"/>
  <c r="N76" i="9" s="1"/>
  <c r="N69" i="9" a="1"/>
  <c r="N69" i="9" s="1"/>
  <c r="N90" i="9" a="1"/>
  <c r="N90" i="9" s="1"/>
  <c r="N83" i="9" a="1"/>
  <c r="N83" i="9" s="1"/>
  <c r="N74" i="9" a="1"/>
  <c r="N74" i="9" s="1"/>
  <c r="N58" i="9" a="1"/>
  <c r="N58" i="9" s="1"/>
  <c r="N46" i="9" a="1"/>
  <c r="N46" i="9" s="1"/>
  <c r="N63" i="9" a="1"/>
  <c r="N63" i="9" s="1"/>
  <c r="N51" i="9" a="1"/>
  <c r="N51" i="9" s="1"/>
  <c r="N39" i="9" a="1"/>
  <c r="N39" i="9" s="1"/>
  <c r="N56" i="9" a="1"/>
  <c r="N56" i="9" s="1"/>
  <c r="N44" i="9" a="1"/>
  <c r="N44" i="9" s="1"/>
  <c r="N61" i="9" a="1"/>
  <c r="N61" i="9" s="1"/>
  <c r="N49" i="9" a="1"/>
  <c r="N49" i="9" s="1"/>
  <c r="N66" i="9" a="1"/>
  <c r="N66" i="9" s="1"/>
  <c r="N54" i="9" a="1"/>
  <c r="N54" i="9" s="1"/>
  <c r="N42" i="9" a="1"/>
  <c r="N42" i="9" s="1"/>
  <c r="N59" i="9" a="1"/>
  <c r="N59" i="9" s="1"/>
  <c r="N47" i="9" a="1"/>
  <c r="N47" i="9" s="1"/>
  <c r="N64" i="9" a="1"/>
  <c r="N64" i="9" s="1"/>
  <c r="N52" i="9" a="1"/>
  <c r="N52" i="9" s="1"/>
  <c r="N40" i="9" a="1"/>
  <c r="N40" i="9" s="1"/>
  <c r="N79" i="9" a="1"/>
  <c r="N79" i="9" s="1"/>
  <c r="N72" i="9" a="1"/>
  <c r="N72" i="9" s="1"/>
  <c r="N67" i="9" a="1"/>
  <c r="N67" i="9" s="1"/>
  <c r="N57" i="9" a="1"/>
  <c r="N57" i="9" s="1"/>
  <c r="N45" i="9" a="1"/>
  <c r="N45" i="9" s="1"/>
  <c r="N62" i="9" a="1"/>
  <c r="N62" i="9" s="1"/>
  <c r="N50" i="9" a="1"/>
  <c r="N50" i="9" s="1"/>
  <c r="N34" i="9" a="1"/>
  <c r="N34" i="9" s="1"/>
  <c r="N22" i="9" a="1"/>
  <c r="N22" i="9" s="1"/>
  <c r="N65" i="9" a="1"/>
  <c r="N65" i="9" s="1"/>
  <c r="N53" i="9" a="1"/>
  <c r="N53" i="9" s="1"/>
  <c r="N27" i="9" a="1"/>
  <c r="N27" i="9" s="1"/>
  <c r="N32" i="9" a="1"/>
  <c r="N32" i="9" s="1"/>
  <c r="N20" i="9" a="1"/>
  <c r="N20" i="9" s="1"/>
  <c r="N55" i="9" a="1"/>
  <c r="N55" i="9" s="1"/>
  <c r="N43" i="9" a="1"/>
  <c r="N43" i="9" s="1"/>
  <c r="N37" i="9" a="1"/>
  <c r="N37" i="9" s="1"/>
  <c r="N30" i="9" a="1"/>
  <c r="N30" i="9" s="1"/>
  <c r="N18" i="9" a="1"/>
  <c r="N18" i="9" s="1"/>
  <c r="N35" i="9" a="1"/>
  <c r="N35" i="9" s="1"/>
  <c r="N23" i="9" a="1"/>
  <c r="N23" i="9" s="1"/>
  <c r="N41" i="9" a="1"/>
  <c r="N41" i="9" s="1"/>
  <c r="N33" i="9" a="1"/>
  <c r="N33" i="9" s="1"/>
  <c r="N21" i="9" a="1"/>
  <c r="N21" i="9" s="1"/>
  <c r="N60" i="9" a="1"/>
  <c r="N60" i="9" s="1"/>
  <c r="N48" i="9" a="1"/>
  <c r="N48" i="9" s="1"/>
  <c r="N38" i="9" a="1"/>
  <c r="N38" i="9" s="1"/>
  <c r="N26" i="9" a="1"/>
  <c r="N26" i="9" s="1"/>
  <c r="N31" i="9" a="1"/>
  <c r="N31" i="9" s="1"/>
  <c r="N17" i="9" a="1"/>
  <c r="N17" i="9" s="1"/>
  <c r="N13" i="9" a="1"/>
  <c r="N13" i="9" s="1"/>
  <c r="N28" i="9" a="1"/>
  <c r="N28" i="9" s="1"/>
  <c r="N11" i="9" a="1"/>
  <c r="N11" i="9" s="1"/>
  <c r="N16" i="9" a="1"/>
  <c r="N16" i="9" s="1"/>
  <c r="N4" i="9" a="1"/>
  <c r="N4" i="9" s="1"/>
  <c r="N36" i="9" a="1"/>
  <c r="N36" i="9" s="1"/>
  <c r="N9" i="9" a="1"/>
  <c r="N9" i="9" s="1"/>
  <c r="N14" i="9" a="1"/>
  <c r="N14" i="9" s="1"/>
  <c r="N19" i="9" a="1"/>
  <c r="N19" i="9" s="1"/>
  <c r="N7" i="9" a="1"/>
  <c r="N7" i="9" s="1"/>
  <c r="N25" i="9" a="1"/>
  <c r="N25" i="9" s="1"/>
  <c r="N12" i="9" a="1"/>
  <c r="N12" i="9" s="1"/>
  <c r="N29" i="9" a="1"/>
  <c r="N29" i="9" s="1"/>
  <c r="N24" i="9" a="1"/>
  <c r="N24" i="9" s="1"/>
  <c r="N10" i="9" a="1"/>
  <c r="N10" i="9" s="1"/>
  <c r="Z136" i="9" a="1"/>
  <c r="Z136" i="9" s="1"/>
  <c r="Z131" i="9" a="1"/>
  <c r="Z131" i="9" s="1"/>
  <c r="Z135" i="9" a="1"/>
  <c r="Z135" i="9" s="1"/>
  <c r="Z127" i="9" a="1"/>
  <c r="Z127" i="9" s="1"/>
  <c r="Z132" i="9" a="1"/>
  <c r="Z132" i="9" s="1"/>
  <c r="Z129" i="9" a="1"/>
  <c r="Z129" i="9" s="1"/>
  <c r="Z134" i="9" a="1"/>
  <c r="Z134" i="9" s="1"/>
  <c r="Z133" i="9" a="1"/>
  <c r="Z133" i="9" s="1"/>
  <c r="Z128" i="9" a="1"/>
  <c r="Z128" i="9" s="1"/>
  <c r="Z124" i="9" a="1"/>
  <c r="Z124" i="9" s="1"/>
  <c r="Z122" i="9" a="1"/>
  <c r="Z122" i="9" s="1"/>
  <c r="Z114" i="9" a="1"/>
  <c r="Z114" i="9" s="1"/>
  <c r="Z126" i="9" a="1"/>
  <c r="Z126" i="9" s="1"/>
  <c r="Z130" i="9" a="1"/>
  <c r="Z130" i="9" s="1"/>
  <c r="Z117" i="9" a="1"/>
  <c r="Z117" i="9" s="1"/>
  <c r="Z120" i="9" a="1"/>
  <c r="Z120" i="9" s="1"/>
  <c r="Z115" i="9" a="1"/>
  <c r="Z115" i="9" s="1"/>
  <c r="Z113" i="9" a="1"/>
  <c r="Z113" i="9" s="1"/>
  <c r="Z123" i="9" a="1"/>
  <c r="Z123" i="9" s="1"/>
  <c r="Z121" i="9" a="1"/>
  <c r="Z121" i="9" s="1"/>
  <c r="Z109" i="9" a="1"/>
  <c r="Z109" i="9" s="1"/>
  <c r="Z116" i="9" a="1"/>
  <c r="Z116" i="9" s="1"/>
  <c r="Z107" i="9" a="1"/>
  <c r="Z107" i="9" s="1"/>
  <c r="Z105" i="9" a="1"/>
  <c r="Z105" i="9" s="1"/>
  <c r="Z112" i="9" a="1"/>
  <c r="Z112" i="9" s="1"/>
  <c r="Z110" i="9" a="1"/>
  <c r="Z110" i="9" s="1"/>
  <c r="Z103" i="9" a="1"/>
  <c r="Z103" i="9" s="1"/>
  <c r="Z119" i="9" a="1"/>
  <c r="Z119" i="9" s="1"/>
  <c r="Z108" i="9" a="1"/>
  <c r="Z108" i="9" s="1"/>
  <c r="Z118" i="9" a="1"/>
  <c r="Z118" i="9" s="1"/>
  <c r="Z106" i="9" a="1"/>
  <c r="Z106" i="9" s="1"/>
  <c r="Z102" i="9" a="1"/>
  <c r="Z102" i="9" s="1"/>
  <c r="Z99" i="9" a="1"/>
  <c r="Z99" i="9" s="1"/>
  <c r="Z92" i="9" a="1"/>
  <c r="Z92" i="9" s="1"/>
  <c r="Z97" i="9" a="1"/>
  <c r="Z97" i="9" s="1"/>
  <c r="Z95" i="9" a="1"/>
  <c r="Z95" i="9" s="1"/>
  <c r="Z125" i="9" a="1"/>
  <c r="Z125" i="9" s="1"/>
  <c r="Z104" i="9" a="1"/>
  <c r="Z104" i="9" s="1"/>
  <c r="Z100" i="9" a="1"/>
  <c r="Z100" i="9" s="1"/>
  <c r="Z93" i="9" a="1"/>
  <c r="Z93" i="9" s="1"/>
  <c r="Z111" i="9" a="1"/>
  <c r="Z111" i="9" s="1"/>
  <c r="Z98" i="9" a="1"/>
  <c r="Z98" i="9" s="1"/>
  <c r="Z88" i="9" a="1"/>
  <c r="Z88" i="9" s="1"/>
  <c r="Z81" i="9" a="1"/>
  <c r="Z81" i="9" s="1"/>
  <c r="Z86" i="9" a="1"/>
  <c r="Z86" i="9" s="1"/>
  <c r="Z84" i="9" a="1"/>
  <c r="Z84" i="9" s="1"/>
  <c r="Z91" i="9" a="1"/>
  <c r="Z91" i="9" s="1"/>
  <c r="Z89" i="9" a="1"/>
  <c r="Z89" i="9" s="1"/>
  <c r="Z82" i="9" a="1"/>
  <c r="Z82" i="9" s="1"/>
  <c r="Z94" i="9" a="1"/>
  <c r="Z94" i="9" s="1"/>
  <c r="Z87" i="9" a="1"/>
  <c r="Z87" i="9" s="1"/>
  <c r="Z80" i="9" a="1"/>
  <c r="Z80" i="9" s="1"/>
  <c r="Z85" i="9" a="1"/>
  <c r="Z85" i="9" s="1"/>
  <c r="Z77" i="9" a="1"/>
  <c r="Z77" i="9" s="1"/>
  <c r="Z70" i="9" a="1"/>
  <c r="Z70" i="9" s="1"/>
  <c r="Z75" i="9" a="1"/>
  <c r="Z75" i="9" s="1"/>
  <c r="Z68" i="9" a="1"/>
  <c r="Z68" i="9" s="1"/>
  <c r="Z73" i="9" a="1"/>
  <c r="Z73" i="9" s="1"/>
  <c r="Z90" i="9" a="1"/>
  <c r="Z90" i="9" s="1"/>
  <c r="Z83" i="9" a="1"/>
  <c r="Z83" i="9" s="1"/>
  <c r="Z78" i="9" a="1"/>
  <c r="Z78" i="9" s="1"/>
  <c r="Z71" i="9" a="1"/>
  <c r="Z71" i="9" s="1"/>
  <c r="Z101" i="9" a="1"/>
  <c r="Z101" i="9" s="1"/>
  <c r="Z76" i="9" a="1"/>
  <c r="Z76" i="9" s="1"/>
  <c r="Z69" i="9" a="1"/>
  <c r="Z69" i="9" s="1"/>
  <c r="Z96" i="9" a="1"/>
  <c r="Z96" i="9" s="1"/>
  <c r="Z74" i="9" a="1"/>
  <c r="Z74" i="9" s="1"/>
  <c r="Z58" i="9" a="1"/>
  <c r="Z58" i="9" s="1"/>
  <c r="Z46" i="9" a="1"/>
  <c r="Z46" i="9" s="1"/>
  <c r="Z63" i="9" a="1"/>
  <c r="Z63" i="9" s="1"/>
  <c r="Z51" i="9" a="1"/>
  <c r="Z51" i="9" s="1"/>
  <c r="Z39" i="9" a="1"/>
  <c r="Z39" i="9" s="1"/>
  <c r="Z56" i="9" a="1"/>
  <c r="Z56" i="9" s="1"/>
  <c r="Z44" i="9" a="1"/>
  <c r="Z44" i="9" s="1"/>
  <c r="Z79" i="9" a="1"/>
  <c r="Z79" i="9" s="1"/>
  <c r="Z72" i="9" a="1"/>
  <c r="Z72" i="9" s="1"/>
  <c r="Z67" i="9" a="1"/>
  <c r="Z67" i="9" s="1"/>
  <c r="Z61" i="9" a="1"/>
  <c r="Z61" i="9" s="1"/>
  <c r="Z49" i="9" a="1"/>
  <c r="Z49" i="9" s="1"/>
  <c r="Z66" i="9" a="1"/>
  <c r="Z66" i="9" s="1"/>
  <c r="Z54" i="9" a="1"/>
  <c r="Z54" i="9" s="1"/>
  <c r="Z42" i="9" a="1"/>
  <c r="Z42" i="9" s="1"/>
  <c r="Z59" i="9" a="1"/>
  <c r="Z59" i="9" s="1"/>
  <c r="Z47" i="9" a="1"/>
  <c r="Z47" i="9" s="1"/>
  <c r="Z64" i="9" a="1"/>
  <c r="Z64" i="9" s="1"/>
  <c r="Z52" i="9" a="1"/>
  <c r="Z52" i="9" s="1"/>
  <c r="Z40" i="9" a="1"/>
  <c r="Z40" i="9" s="1"/>
  <c r="Z57" i="9" a="1"/>
  <c r="Z57" i="9" s="1"/>
  <c r="Z45" i="9" a="1"/>
  <c r="Z45" i="9" s="1"/>
  <c r="Z62" i="9" a="1"/>
  <c r="Z62" i="9" s="1"/>
  <c r="Z50" i="9" a="1"/>
  <c r="Z50" i="9" s="1"/>
  <c r="Z34" i="9" a="1"/>
  <c r="Z34" i="9" s="1"/>
  <c r="Z22" i="9" a="1"/>
  <c r="Z22" i="9" s="1"/>
  <c r="Z27" i="9" a="1"/>
  <c r="Z27" i="9" s="1"/>
  <c r="Z60" i="9" a="1"/>
  <c r="Z60" i="9" s="1"/>
  <c r="Z48" i="9" a="1"/>
  <c r="Z48" i="9" s="1"/>
  <c r="Z32" i="9" a="1"/>
  <c r="Z32" i="9" s="1"/>
  <c r="Z20" i="9" a="1"/>
  <c r="Z20" i="9" s="1"/>
  <c r="Z37" i="9" a="1"/>
  <c r="Z37" i="9" s="1"/>
  <c r="Z30" i="9" a="1"/>
  <c r="Z30" i="9" s="1"/>
  <c r="Z18" i="9" a="1"/>
  <c r="Z18" i="9" s="1"/>
  <c r="Z35" i="9" a="1"/>
  <c r="Z35" i="9" s="1"/>
  <c r="Z23" i="9" a="1"/>
  <c r="Z23" i="9" s="1"/>
  <c r="Z65" i="9" a="1"/>
  <c r="Z65" i="9" s="1"/>
  <c r="Z53" i="9" a="1"/>
  <c r="Z53" i="9" s="1"/>
  <c r="Z33" i="9" a="1"/>
  <c r="Z33" i="9" s="1"/>
  <c r="Z21" i="9" a="1"/>
  <c r="Z21" i="9" s="1"/>
  <c r="Z38" i="9" a="1"/>
  <c r="Z38" i="9" s="1"/>
  <c r="Z26" i="9" a="1"/>
  <c r="Z26" i="9" s="1"/>
  <c r="Z55" i="9" a="1"/>
  <c r="Z55" i="9" s="1"/>
  <c r="Z43" i="9" a="1"/>
  <c r="Z43" i="9" s="1"/>
  <c r="Z31" i="9" a="1"/>
  <c r="Z31" i="9" s="1"/>
  <c r="Z13" i="9" a="1"/>
  <c r="Z13" i="9" s="1"/>
  <c r="Z41" i="9" a="1"/>
  <c r="Z41" i="9" s="1"/>
  <c r="Z17" i="9" a="1"/>
  <c r="Z17" i="9" s="1"/>
  <c r="Z11" i="9" a="1"/>
  <c r="Z11" i="9" s="1"/>
  <c r="Z29" i="9" a="1"/>
  <c r="Z29" i="9" s="1"/>
  <c r="Z4" i="9" a="1"/>
  <c r="Z4" i="9" s="1"/>
  <c r="Z16" i="9" a="1"/>
  <c r="Z16" i="9" s="1"/>
  <c r="Z9" i="9" a="1"/>
  <c r="Z9" i="9" s="1"/>
  <c r="Z14" i="9" a="1"/>
  <c r="Z14" i="9" s="1"/>
  <c r="Z7" i="9" a="1"/>
  <c r="Z7" i="9" s="1"/>
  <c r="Z28" i="9" a="1"/>
  <c r="Z28" i="9" s="1"/>
  <c r="Z12" i="9" a="1"/>
  <c r="Z12" i="9" s="1"/>
  <c r="Z19" i="9" a="1"/>
  <c r="Z19" i="9" s="1"/>
  <c r="Z25" i="9" a="1"/>
  <c r="Z25" i="9" s="1"/>
  <c r="Z10" i="9" a="1"/>
  <c r="Z10" i="9" s="1"/>
  <c r="Z36" i="9" a="1"/>
  <c r="Z36" i="9" s="1"/>
  <c r="Z24" i="9" a="1"/>
  <c r="Z24" i="9" s="1"/>
  <c r="AL136" i="9" a="1"/>
  <c r="AL136" i="9" s="1"/>
  <c r="AL131" i="9" a="1"/>
  <c r="AL131" i="9" s="1"/>
  <c r="AL133" i="9" a="1"/>
  <c r="AL133" i="9" s="1"/>
  <c r="AL130" i="9" a="1"/>
  <c r="AL130" i="9" s="1"/>
  <c r="AL127" i="9" a="1"/>
  <c r="AL127" i="9" s="1"/>
  <c r="AL134" i="9" a="1"/>
  <c r="AL134" i="9" s="1"/>
  <c r="AL132" i="9" a="1"/>
  <c r="AL132" i="9" s="1"/>
  <c r="AL129" i="9" a="1"/>
  <c r="AL129" i="9" s="1"/>
  <c r="AL135" i="9" a="1"/>
  <c r="AL135" i="9" s="1"/>
  <c r="AL124" i="9" a="1"/>
  <c r="AL124" i="9" s="1"/>
  <c r="AL123" i="9" a="1"/>
  <c r="AL123" i="9" s="1"/>
  <c r="AL128" i="9" a="1"/>
  <c r="AL128" i="9" s="1"/>
  <c r="AL122" i="9" a="1"/>
  <c r="AL122" i="9" s="1"/>
  <c r="AL126" i="9" a="1"/>
  <c r="AL126" i="9" s="1"/>
  <c r="AL125" i="9" a="1"/>
  <c r="AL125" i="9" s="1"/>
  <c r="AL121" i="9" a="1"/>
  <c r="AL121" i="9" s="1"/>
  <c r="AL114" i="9" a="1"/>
  <c r="AL114" i="9" s="1"/>
  <c r="AL120" i="9" a="1"/>
  <c r="AL120" i="9" s="1"/>
  <c r="AL117" i="9" a="1"/>
  <c r="AL117" i="9" s="1"/>
  <c r="AL115" i="9" a="1"/>
  <c r="AL115" i="9" s="1"/>
  <c r="AL113" i="9" a="1"/>
  <c r="AL113" i="9" s="1"/>
  <c r="AL118" i="9" a="1"/>
  <c r="AL118" i="9" s="1"/>
  <c r="AL109" i="9" a="1"/>
  <c r="AL109" i="9" s="1"/>
  <c r="AL107" i="9" a="1"/>
  <c r="AL107" i="9" s="1"/>
  <c r="AL105" i="9" a="1"/>
  <c r="AL105" i="9" s="1"/>
  <c r="AL110" i="9" a="1"/>
  <c r="AL110" i="9" s="1"/>
  <c r="AL116" i="9" a="1"/>
  <c r="AL116" i="9" s="1"/>
  <c r="AL103" i="9" a="1"/>
  <c r="AL103" i="9" s="1"/>
  <c r="AL108" i="9" a="1"/>
  <c r="AL108" i="9" s="1"/>
  <c r="AL112" i="9" a="1"/>
  <c r="AL112" i="9" s="1"/>
  <c r="AL106" i="9" a="1"/>
  <c r="AL106" i="9" s="1"/>
  <c r="AL101" i="9" a="1"/>
  <c r="AL101" i="9" s="1"/>
  <c r="AL99" i="9" a="1"/>
  <c r="AL99" i="9" s="1"/>
  <c r="AL92" i="9" a="1"/>
  <c r="AL92" i="9" s="1"/>
  <c r="AL97" i="9" a="1"/>
  <c r="AL97" i="9" s="1"/>
  <c r="AL102" i="9" a="1"/>
  <c r="AL102" i="9" s="1"/>
  <c r="AL95" i="9" a="1"/>
  <c r="AL95" i="9" s="1"/>
  <c r="AL100" i="9" a="1"/>
  <c r="AL100" i="9" s="1"/>
  <c r="AL93" i="9" a="1"/>
  <c r="AL93" i="9" s="1"/>
  <c r="AL98" i="9" a="1"/>
  <c r="AL98" i="9" s="1"/>
  <c r="AL88" i="9" a="1"/>
  <c r="AL88" i="9" s="1"/>
  <c r="AL94" i="9" a="1"/>
  <c r="AL94" i="9" s="1"/>
  <c r="AL81" i="9" a="1"/>
  <c r="AL81" i="9" s="1"/>
  <c r="AL104" i="9" a="1"/>
  <c r="AL104" i="9" s="1"/>
  <c r="AL86" i="9" a="1"/>
  <c r="AL86" i="9" s="1"/>
  <c r="AL96" i="9" a="1"/>
  <c r="AL96" i="9" s="1"/>
  <c r="AL84" i="9" a="1"/>
  <c r="AL84" i="9" s="1"/>
  <c r="AL89" i="9" a="1"/>
  <c r="AL89" i="9" s="1"/>
  <c r="AL82" i="9" a="1"/>
  <c r="AL82" i="9" s="1"/>
  <c r="AL119" i="9" a="1"/>
  <c r="AL119" i="9" s="1"/>
  <c r="AL87" i="9" a="1"/>
  <c r="AL87" i="9" s="1"/>
  <c r="AL111" i="9" a="1"/>
  <c r="AL111" i="9" s="1"/>
  <c r="AL80" i="9" a="1"/>
  <c r="AL80" i="9" s="1"/>
  <c r="AL85" i="9" a="1"/>
  <c r="AL85" i="9" s="1"/>
  <c r="AL77" i="9" a="1"/>
  <c r="AL77" i="9" s="1"/>
  <c r="AL91" i="9" a="1"/>
  <c r="AL91" i="9" s="1"/>
  <c r="AL83" i="9" a="1"/>
  <c r="AL83" i="9" s="1"/>
  <c r="AL70" i="9" a="1"/>
  <c r="AL70" i="9" s="1"/>
  <c r="AL90" i="9" a="1"/>
  <c r="AL90" i="9" s="1"/>
  <c r="AL75" i="9" a="1"/>
  <c r="AL75" i="9" s="1"/>
  <c r="AL68" i="9" a="1"/>
  <c r="AL68" i="9" s="1"/>
  <c r="AL73" i="9" a="1"/>
  <c r="AL73" i="9" s="1"/>
  <c r="AL78" i="9" a="1"/>
  <c r="AL78" i="9" s="1"/>
  <c r="AL71" i="9" a="1"/>
  <c r="AL71" i="9" s="1"/>
  <c r="AL76" i="9" a="1"/>
  <c r="AL76" i="9" s="1"/>
  <c r="J51" i="1" s="1"/>
  <c r="AL69" i="9" a="1"/>
  <c r="AL69" i="9" s="1"/>
  <c r="AL74" i="9" a="1"/>
  <c r="AL74" i="9" s="1"/>
  <c r="AL58" i="9" a="1"/>
  <c r="AL58" i="9" s="1"/>
  <c r="AL46" i="9" a="1"/>
  <c r="AL46" i="9" s="1"/>
  <c r="AL63" i="9" a="1"/>
  <c r="AL63" i="9" s="1"/>
  <c r="AL51" i="9" a="1"/>
  <c r="AL51" i="9" s="1"/>
  <c r="AL39" i="9" a="1"/>
  <c r="AL39" i="9" s="1"/>
  <c r="AL56" i="9" a="1"/>
  <c r="AL56" i="9" s="1"/>
  <c r="AL44" i="9" a="1"/>
  <c r="AL44" i="9" s="1"/>
  <c r="AL61" i="9" a="1"/>
  <c r="AL61" i="9" s="1"/>
  <c r="AL49" i="9" a="1"/>
  <c r="AL49" i="9" s="1"/>
  <c r="AL66" i="9" a="1"/>
  <c r="AL66" i="9" s="1"/>
  <c r="AL54" i="9" a="1"/>
  <c r="AL54" i="9" s="1"/>
  <c r="AL42" i="9" a="1"/>
  <c r="AL42" i="9" s="1"/>
  <c r="AL59" i="9" a="1"/>
  <c r="AL59" i="9" s="1"/>
  <c r="AL47" i="9" a="1"/>
  <c r="AL47" i="9" s="1"/>
  <c r="AL64" i="9" a="1"/>
  <c r="AL64" i="9" s="1"/>
  <c r="AL52" i="9" a="1"/>
  <c r="AL52" i="9" s="1"/>
  <c r="AL40" i="9" a="1"/>
  <c r="AL40" i="9" s="1"/>
  <c r="AL57" i="9" a="1"/>
  <c r="AL57" i="9" s="1"/>
  <c r="AL45" i="9" a="1"/>
  <c r="AL45" i="9" s="1"/>
  <c r="AL62" i="9" a="1"/>
  <c r="AL62" i="9" s="1"/>
  <c r="AL50" i="9" a="1"/>
  <c r="AL50" i="9" s="1"/>
  <c r="AL34" i="9" a="1"/>
  <c r="AL34" i="9" s="1"/>
  <c r="AL22" i="9" a="1"/>
  <c r="AL22" i="9" s="1"/>
  <c r="AL65" i="9" a="1"/>
  <c r="AL65" i="9" s="1"/>
  <c r="AL53" i="9" a="1"/>
  <c r="AL53" i="9" s="1"/>
  <c r="AL27" i="9" a="1"/>
  <c r="AL27" i="9" s="1"/>
  <c r="AL32" i="9" a="1"/>
  <c r="AL32" i="9" s="1"/>
  <c r="AL20" i="9" a="1"/>
  <c r="AL20" i="9" s="1"/>
  <c r="AL72" i="9" a="1"/>
  <c r="AL72" i="9" s="1"/>
  <c r="AL55" i="9" a="1"/>
  <c r="AL55" i="9" s="1"/>
  <c r="AL43" i="9" a="1"/>
  <c r="AL43" i="9" s="1"/>
  <c r="AL41" i="9" a="1"/>
  <c r="AL41" i="9" s="1"/>
  <c r="AL37" i="9" a="1"/>
  <c r="AL37" i="9" s="1"/>
  <c r="AL30" i="9" a="1"/>
  <c r="AL30" i="9" s="1"/>
  <c r="AL18" i="9" a="1"/>
  <c r="AL18" i="9" s="1"/>
  <c r="AL67" i="9" a="1"/>
  <c r="AL67" i="9" s="1"/>
  <c r="AL35" i="9" a="1"/>
  <c r="AL35" i="9" s="1"/>
  <c r="AL23" i="9" a="1"/>
  <c r="AL23" i="9" s="1"/>
  <c r="AL33" i="9" a="1"/>
  <c r="AL33" i="9" s="1"/>
  <c r="AL21" i="9" a="1"/>
  <c r="AL21" i="9" s="1"/>
  <c r="AL60" i="9" a="1"/>
  <c r="AL60" i="9" s="1"/>
  <c r="AL48" i="9" a="1"/>
  <c r="AL48" i="9" s="1"/>
  <c r="AL38" i="9" a="1"/>
  <c r="AL38" i="9" s="1"/>
  <c r="AL26" i="9" a="1"/>
  <c r="AL26" i="9" s="1"/>
  <c r="AL31" i="9" a="1"/>
  <c r="AL31" i="9" s="1"/>
  <c r="AL13" i="9" a="1"/>
  <c r="AL13" i="9" s="1"/>
  <c r="AL28" i="9" a="1"/>
  <c r="AL28" i="9" s="1"/>
  <c r="AL24" i="9" a="1"/>
  <c r="AL24" i="9" s="1"/>
  <c r="AL79" i="9" a="1"/>
  <c r="AL79" i="9" s="1"/>
  <c r="AL11" i="9" a="1"/>
  <c r="AL11" i="9" s="1"/>
  <c r="AL4" i="9" a="1"/>
  <c r="AL4" i="9" s="1"/>
  <c r="AL36" i="9" a="1"/>
  <c r="AL36" i="9" s="1"/>
  <c r="AL17" i="9" a="1"/>
  <c r="AL17" i="9" s="1"/>
  <c r="AL9" i="9" a="1"/>
  <c r="AL9" i="9" s="1"/>
  <c r="AL16" i="9" a="1"/>
  <c r="AL16" i="9" s="1"/>
  <c r="AL14" i="9" a="1"/>
  <c r="AL14" i="9" s="1"/>
  <c r="AL7" i="9" a="1"/>
  <c r="AL7" i="9" s="1"/>
  <c r="AL12" i="9" a="1"/>
  <c r="AL12" i="9" s="1"/>
  <c r="AL29" i="9" a="1"/>
  <c r="AL29" i="9" s="1"/>
  <c r="AL10" i="9" a="1"/>
  <c r="AL10" i="9" s="1"/>
  <c r="AL19" i="9" a="1"/>
  <c r="AL19" i="9" s="1"/>
  <c r="AL25" i="9" a="1"/>
  <c r="AL25" i="9" s="1"/>
  <c r="AX136" i="9" a="1"/>
  <c r="AX136" i="9" s="1"/>
  <c r="AX133" i="9" a="1"/>
  <c r="AX133" i="9" s="1"/>
  <c r="AX131" i="9" a="1"/>
  <c r="AX131" i="9" s="1"/>
  <c r="AX132" i="9" a="1"/>
  <c r="AX132" i="9" s="1"/>
  <c r="AX129" i="9" a="1"/>
  <c r="AX129" i="9" s="1"/>
  <c r="AX134" i="9" a="1"/>
  <c r="AX134" i="9" s="1"/>
  <c r="AX127" i="9" a="1"/>
  <c r="AX127" i="9" s="1"/>
  <c r="AX128" i="9" a="1"/>
  <c r="AX128" i="9" s="1"/>
  <c r="AX130" i="9" a="1"/>
  <c r="AX130" i="9" s="1"/>
  <c r="AX135" i="9" a="1"/>
  <c r="AX135" i="9" s="1"/>
  <c r="AX126" i="9" a="1"/>
  <c r="AX126" i="9" s="1"/>
  <c r="AX125" i="9" a="1"/>
  <c r="AX125" i="9" s="1"/>
  <c r="AX122" i="9" a="1"/>
  <c r="AX122" i="9" s="1"/>
  <c r="AX123" i="9" a="1"/>
  <c r="AX123" i="9" s="1"/>
  <c r="AX124" i="9" a="1"/>
  <c r="AX124" i="9" s="1"/>
  <c r="AX114" i="9" a="1"/>
  <c r="AX114" i="9" s="1"/>
  <c r="AX121" i="9" a="1"/>
  <c r="AX121" i="9" s="1"/>
  <c r="AX117" i="9" a="1"/>
  <c r="AX117" i="9" s="1"/>
  <c r="AX119" i="9" a="1"/>
  <c r="AX119" i="9" s="1"/>
  <c r="AX115" i="9" a="1"/>
  <c r="AX115" i="9" s="1"/>
  <c r="AX113" i="9" a="1"/>
  <c r="AX113" i="9" s="1"/>
  <c r="AX109" i="9" a="1"/>
  <c r="AX109" i="9" s="1"/>
  <c r="AX107" i="9" a="1"/>
  <c r="AX107" i="9" s="1"/>
  <c r="AX118" i="9" a="1"/>
  <c r="AX118" i="9" s="1"/>
  <c r="AX105" i="9" a="1"/>
  <c r="AX105" i="9" s="1"/>
  <c r="AX110" i="9" a="1"/>
  <c r="AX110" i="9" s="1"/>
  <c r="AX120" i="9" a="1"/>
  <c r="AX120" i="9" s="1"/>
  <c r="AX103" i="9" a="1"/>
  <c r="AX103" i="9" s="1"/>
  <c r="AX108" i="9" a="1"/>
  <c r="AX108" i="9" s="1"/>
  <c r="AX106" i="9" a="1"/>
  <c r="AX106" i="9" s="1"/>
  <c r="AX101" i="9" a="1"/>
  <c r="AX101" i="9" s="1"/>
  <c r="AX99" i="9" a="1"/>
  <c r="AX99" i="9" s="1"/>
  <c r="AX116" i="9" a="1"/>
  <c r="AX116" i="9" s="1"/>
  <c r="AX104" i="9" a="1"/>
  <c r="AX104" i="9" s="1"/>
  <c r="AX92" i="9" a="1"/>
  <c r="AX92" i="9" s="1"/>
  <c r="AX97" i="9" a="1"/>
  <c r="AX97" i="9" s="1"/>
  <c r="AX111" i="9" a="1"/>
  <c r="AX111" i="9" s="1"/>
  <c r="AX95" i="9" a="1"/>
  <c r="AX95" i="9" s="1"/>
  <c r="AX112" i="9" a="1"/>
  <c r="AX112" i="9" s="1"/>
  <c r="AX93" i="9" a="1"/>
  <c r="AX93" i="9" s="1"/>
  <c r="AX100" i="9" a="1"/>
  <c r="AX100" i="9" s="1"/>
  <c r="AX98" i="9" a="1"/>
  <c r="AX98" i="9" s="1"/>
  <c r="AX88" i="9" a="1"/>
  <c r="AX88" i="9" s="1"/>
  <c r="AX81" i="9" a="1"/>
  <c r="AX81" i="9" s="1"/>
  <c r="AX86" i="9" a="1"/>
  <c r="AX86" i="9" s="1"/>
  <c r="AX84" i="9" a="1"/>
  <c r="AX84" i="9" s="1"/>
  <c r="AX91" i="9" a="1"/>
  <c r="AX91" i="9" s="1"/>
  <c r="AX90" i="9" a="1"/>
  <c r="AX90" i="9" s="1"/>
  <c r="AX89" i="9" a="1"/>
  <c r="AX89" i="9" s="1"/>
  <c r="AX82" i="9" a="1"/>
  <c r="AX82" i="9" s="1"/>
  <c r="AX94" i="9" a="1"/>
  <c r="AX94" i="9" s="1"/>
  <c r="AX87" i="9" a="1"/>
  <c r="AX87" i="9" s="1"/>
  <c r="AX80" i="9" a="1"/>
  <c r="AX80" i="9" s="1"/>
  <c r="AX85" i="9" a="1"/>
  <c r="AX85" i="9" s="1"/>
  <c r="AX79" i="9" a="1"/>
  <c r="AX79" i="9" s="1"/>
  <c r="AX77" i="9" a="1"/>
  <c r="AX77" i="9" s="1"/>
  <c r="AX70" i="9" a="1"/>
  <c r="AX70" i="9" s="1"/>
  <c r="AX75" i="9" a="1"/>
  <c r="AX75" i="9" s="1"/>
  <c r="AX68" i="9" a="1"/>
  <c r="AX68" i="9" s="1"/>
  <c r="AX73" i="9" a="1"/>
  <c r="AX73" i="9" s="1"/>
  <c r="AX78" i="9" a="1"/>
  <c r="AX78" i="9" s="1"/>
  <c r="AX71" i="9" a="1"/>
  <c r="AX71" i="9" s="1"/>
  <c r="AX96" i="9" a="1"/>
  <c r="AX96" i="9" s="1"/>
  <c r="AX76" i="9" a="1"/>
  <c r="AX76" i="9" s="1"/>
  <c r="AX69" i="9" a="1"/>
  <c r="AX69" i="9" s="1"/>
  <c r="AX102" i="9" a="1"/>
  <c r="AX102" i="9" s="1"/>
  <c r="AX83" i="9" a="1"/>
  <c r="AX83" i="9" s="1"/>
  <c r="AX74" i="9" a="1"/>
  <c r="AX74" i="9" s="1"/>
  <c r="AX58" i="9" a="1"/>
  <c r="AX58" i="9" s="1"/>
  <c r="AX46" i="9" a="1"/>
  <c r="AX46" i="9" s="1"/>
  <c r="AX63" i="9" a="1"/>
  <c r="AX63" i="9" s="1"/>
  <c r="AX51" i="9" a="1"/>
  <c r="AX51" i="9" s="1"/>
  <c r="AX39" i="9" a="1"/>
  <c r="AX39" i="9" s="1"/>
  <c r="AX56" i="9" a="1"/>
  <c r="AX56" i="9" s="1"/>
  <c r="AX44" i="9" a="1"/>
  <c r="AX44" i="9" s="1"/>
  <c r="AX61" i="9" a="1"/>
  <c r="AX61" i="9" s="1"/>
  <c r="AX49" i="9" a="1"/>
  <c r="AX49" i="9" s="1"/>
  <c r="AX54" i="9" a="1"/>
  <c r="AX54" i="9" s="1"/>
  <c r="AX42" i="9" a="1"/>
  <c r="AX42" i="9" s="1"/>
  <c r="AX59" i="9" a="1"/>
  <c r="AX59" i="9" s="1"/>
  <c r="AX47" i="9" a="1"/>
  <c r="AX47" i="9" s="1"/>
  <c r="AX64" i="9" a="1"/>
  <c r="AX64" i="9" s="1"/>
  <c r="AX52" i="9" a="1"/>
  <c r="AX52" i="9" s="1"/>
  <c r="AX40" i="9" a="1"/>
  <c r="AX40" i="9" s="1"/>
  <c r="AX72" i="9" a="1"/>
  <c r="AX72" i="9" s="1"/>
  <c r="AX67" i="9" a="1"/>
  <c r="AX67" i="9" s="1"/>
  <c r="AX57" i="9" a="1"/>
  <c r="AX57" i="9" s="1"/>
  <c r="AX45" i="9" a="1"/>
  <c r="AX45" i="9" s="1"/>
  <c r="AX62" i="9" a="1"/>
  <c r="AX62" i="9" s="1"/>
  <c r="AX50" i="9" a="1"/>
  <c r="AX50" i="9" s="1"/>
  <c r="AX34" i="9" a="1"/>
  <c r="AX34" i="9" s="1"/>
  <c r="AX22" i="9" a="1"/>
  <c r="AX22" i="9" s="1"/>
  <c r="AX38" i="9" a="1"/>
  <c r="AX38" i="9" s="1"/>
  <c r="AX27" i="9" a="1"/>
  <c r="AX27" i="9" s="1"/>
  <c r="AX60" i="9" a="1"/>
  <c r="AX60" i="9" s="1"/>
  <c r="AX48" i="9" a="1"/>
  <c r="AX48" i="9" s="1"/>
  <c r="AX32" i="9" a="1"/>
  <c r="AX32" i="9" s="1"/>
  <c r="AX20" i="9" a="1"/>
  <c r="AX20" i="9" s="1"/>
  <c r="AX37" i="9" a="1"/>
  <c r="AX37" i="9" s="1"/>
  <c r="AX66" i="9" a="1"/>
  <c r="AX66" i="9" s="1"/>
  <c r="AX30" i="9" a="1"/>
  <c r="AX30" i="9" s="1"/>
  <c r="AX18" i="9" a="1"/>
  <c r="AX18" i="9" s="1"/>
  <c r="AX35" i="9" a="1"/>
  <c r="AX35" i="9" s="1"/>
  <c r="AX23" i="9" a="1"/>
  <c r="AX23" i="9" s="1"/>
  <c r="AX65" i="9" a="1"/>
  <c r="AX65" i="9" s="1"/>
  <c r="AX53" i="9" a="1"/>
  <c r="AX53" i="9" s="1"/>
  <c r="AX41" i="9" a="1"/>
  <c r="AX41" i="9" s="1"/>
  <c r="AX33" i="9" a="1"/>
  <c r="AX33" i="9" s="1"/>
  <c r="AX21" i="9" a="1"/>
  <c r="AX21" i="9" s="1"/>
  <c r="AX26" i="9" a="1"/>
  <c r="AX26" i="9" s="1"/>
  <c r="AX55" i="9" a="1"/>
  <c r="AX55" i="9" s="1"/>
  <c r="AX43" i="9" a="1"/>
  <c r="AX43" i="9" s="1"/>
  <c r="AX31" i="9" a="1"/>
  <c r="AX31" i="9" s="1"/>
  <c r="AX19" i="9" a="1"/>
  <c r="AX19" i="9" s="1"/>
  <c r="AX13" i="9" a="1"/>
  <c r="AX13" i="9" s="1"/>
  <c r="AX25" i="9" a="1"/>
  <c r="AX25" i="9" s="1"/>
  <c r="AX11" i="9" a="1"/>
  <c r="AX11" i="9" s="1"/>
  <c r="AX29" i="9" a="1"/>
  <c r="AX29" i="9" s="1"/>
  <c r="AX24" i="9" a="1"/>
  <c r="AX24" i="9" s="1"/>
  <c r="AX4" i="9" a="1"/>
  <c r="AX4" i="9" s="1"/>
  <c r="AX9" i="9" a="1"/>
  <c r="AX9" i="9" s="1"/>
  <c r="AX14" i="9" a="1"/>
  <c r="AX14" i="9" s="1"/>
  <c r="AX17" i="9" a="1"/>
  <c r="AX17" i="9" s="1"/>
  <c r="AX7" i="9" a="1"/>
  <c r="AX7" i="9" s="1"/>
  <c r="AX28" i="9" a="1"/>
  <c r="AX28" i="9" s="1"/>
  <c r="AX16" i="9" a="1"/>
  <c r="AX16" i="9" s="1"/>
  <c r="AX12" i="9" a="1"/>
  <c r="AX12" i="9" s="1"/>
  <c r="AX10" i="9" a="1"/>
  <c r="AX10" i="9" s="1"/>
  <c r="AX36" i="9" a="1"/>
  <c r="AX36" i="9" s="1"/>
  <c r="BJ136" i="9" a="1"/>
  <c r="BJ136" i="9" s="1"/>
  <c r="AB136" i="2" s="1"/>
  <c r="BJ134" i="9" a="1"/>
  <c r="BJ134" i="9" s="1"/>
  <c r="AB134" i="2" s="1"/>
  <c r="BJ131" i="9" a="1"/>
  <c r="BJ131" i="9" s="1"/>
  <c r="AB131" i="2" s="1"/>
  <c r="BJ135" i="9" a="1"/>
  <c r="BJ135" i="9" s="1"/>
  <c r="BJ127" i="9" a="1"/>
  <c r="BJ127" i="9" s="1"/>
  <c r="BJ129" i="9" a="1"/>
  <c r="BJ129" i="9" s="1"/>
  <c r="AB129" i="2" s="1"/>
  <c r="BJ122" i="9" a="1"/>
  <c r="BJ122" i="9" s="1"/>
  <c r="AB122" i="2" s="1"/>
  <c r="BJ130" i="9" a="1"/>
  <c r="BJ130" i="9" s="1"/>
  <c r="AB130" i="2" s="1"/>
  <c r="BJ128" i="9" a="1"/>
  <c r="BJ128" i="9" s="1"/>
  <c r="AB128" i="2" s="1"/>
  <c r="BJ126" i="9" a="1"/>
  <c r="BJ126" i="9" s="1"/>
  <c r="AB126" i="2" s="1"/>
  <c r="BJ125" i="9" a="1"/>
  <c r="BJ125" i="9" s="1"/>
  <c r="AB125" i="2" s="1"/>
  <c r="BJ132" i="9" a="1"/>
  <c r="BJ132" i="9" s="1"/>
  <c r="BJ124" i="9" a="1"/>
  <c r="BJ124" i="9" s="1"/>
  <c r="AB124" i="2" s="1"/>
  <c r="BJ114" i="9" a="1"/>
  <c r="BJ114" i="9" s="1"/>
  <c r="AB114" i="2" s="1"/>
  <c r="BJ117" i="9" a="1"/>
  <c r="BJ117" i="9" s="1"/>
  <c r="AB117" i="2" s="1"/>
  <c r="BJ121" i="9" a="1"/>
  <c r="BJ121" i="9" s="1"/>
  <c r="AB121" i="2" s="1"/>
  <c r="BJ115" i="9" a="1"/>
  <c r="BJ115" i="9" s="1"/>
  <c r="AB115" i="2" s="1"/>
  <c r="BJ133" i="9" a="1"/>
  <c r="BJ133" i="9" s="1"/>
  <c r="AB133" i="2" s="1"/>
  <c r="BJ113" i="9" a="1"/>
  <c r="BJ113" i="9" s="1"/>
  <c r="AB113" i="2" s="1"/>
  <c r="BJ123" i="9" a="1"/>
  <c r="BJ123" i="9" s="1"/>
  <c r="AB123" i="2" s="1"/>
  <c r="BJ109" i="9" a="1"/>
  <c r="BJ109" i="9" s="1"/>
  <c r="AB109" i="2" s="1"/>
  <c r="BJ120" i="9" a="1"/>
  <c r="BJ120" i="9" s="1"/>
  <c r="AB120" i="2" s="1"/>
  <c r="BJ116" i="9" a="1"/>
  <c r="BJ116" i="9" s="1"/>
  <c r="AB116" i="2" s="1"/>
  <c r="BJ107" i="9" a="1"/>
  <c r="BJ107" i="9" s="1"/>
  <c r="AB107" i="2" s="1"/>
  <c r="BJ105" i="9" a="1"/>
  <c r="BJ105" i="9" s="1"/>
  <c r="AB105" i="2" s="1"/>
  <c r="BJ112" i="9" a="1"/>
  <c r="BJ112" i="9" s="1"/>
  <c r="AB112" i="2" s="1"/>
  <c r="BJ110" i="9" a="1"/>
  <c r="BJ110" i="9" s="1"/>
  <c r="BJ103" i="9" a="1"/>
  <c r="BJ103" i="9" s="1"/>
  <c r="AB103" i="2" s="1"/>
  <c r="BJ108" i="9" a="1"/>
  <c r="BJ108" i="9" s="1"/>
  <c r="AB108" i="2" s="1"/>
  <c r="BJ119" i="9" a="1"/>
  <c r="BJ119" i="9" s="1"/>
  <c r="AB119" i="2" s="1"/>
  <c r="BJ118" i="9" a="1"/>
  <c r="BJ118" i="9" s="1"/>
  <c r="AB118" i="2" s="1"/>
  <c r="BJ106" i="9" a="1"/>
  <c r="BJ106" i="9" s="1"/>
  <c r="AB106" i="2" s="1"/>
  <c r="BJ102" i="9" a="1"/>
  <c r="BJ102" i="9" s="1"/>
  <c r="AB102" i="2" s="1"/>
  <c r="BJ99" i="9" a="1"/>
  <c r="BJ99" i="9" s="1"/>
  <c r="AB99" i="2" s="1"/>
  <c r="BJ101" i="9" a="1"/>
  <c r="BJ101" i="9" s="1"/>
  <c r="AB101" i="2" s="1"/>
  <c r="BJ100" i="9" a="1"/>
  <c r="BJ100" i="9" s="1"/>
  <c r="AB100" i="2" s="1"/>
  <c r="BJ92" i="9" a="1"/>
  <c r="BJ92" i="9" s="1"/>
  <c r="AB92" i="2" s="1"/>
  <c r="BJ97" i="9" a="1"/>
  <c r="BJ97" i="9" s="1"/>
  <c r="AB97" i="2" s="1"/>
  <c r="BJ95" i="9" a="1"/>
  <c r="BJ95" i="9" s="1"/>
  <c r="AB95" i="2" s="1"/>
  <c r="BJ104" i="9" a="1"/>
  <c r="BJ104" i="9" s="1"/>
  <c r="AB104" i="2" s="1"/>
  <c r="BJ93" i="9" a="1"/>
  <c r="BJ93" i="9" s="1"/>
  <c r="AB93" i="2" s="1"/>
  <c r="BJ111" i="9" a="1"/>
  <c r="BJ111" i="9" s="1"/>
  <c r="AB111" i="2" s="1"/>
  <c r="BJ98" i="9" a="1"/>
  <c r="BJ98" i="9" s="1"/>
  <c r="AB98" i="2" s="1"/>
  <c r="BJ88" i="9" a="1"/>
  <c r="BJ88" i="9" s="1"/>
  <c r="AB88" i="2" s="1"/>
  <c r="BJ94" i="9" a="1"/>
  <c r="BJ94" i="9" s="1"/>
  <c r="AB94" i="2" s="1"/>
  <c r="BJ81" i="9" a="1"/>
  <c r="BJ81" i="9" s="1"/>
  <c r="AB81" i="2" s="1"/>
  <c r="BJ91" i="9" a="1"/>
  <c r="BJ91" i="9" s="1"/>
  <c r="AB91" i="2" s="1"/>
  <c r="BJ86" i="9" a="1"/>
  <c r="BJ86" i="9" s="1"/>
  <c r="AB86" i="2" s="1"/>
  <c r="BJ79" i="9" a="1"/>
  <c r="BJ79" i="9" s="1"/>
  <c r="AB79" i="2" s="1"/>
  <c r="BJ96" i="9" a="1"/>
  <c r="BJ96" i="9" s="1"/>
  <c r="AB96" i="2" s="1"/>
  <c r="BJ84" i="9" a="1"/>
  <c r="BJ84" i="9" s="1"/>
  <c r="AB84" i="2" s="1"/>
  <c r="BJ89" i="9" a="1"/>
  <c r="BJ89" i="9" s="1"/>
  <c r="AB89" i="2" s="1"/>
  <c r="BJ82" i="9" a="1"/>
  <c r="BJ82" i="9" s="1"/>
  <c r="AB82" i="2" s="1"/>
  <c r="BJ87" i="9" a="1"/>
  <c r="BJ87" i="9" s="1"/>
  <c r="AB87" i="2" s="1"/>
  <c r="BJ80" i="9" a="1"/>
  <c r="BJ80" i="9" s="1"/>
  <c r="AB80" i="2" s="1"/>
  <c r="BJ85" i="9" a="1"/>
  <c r="BJ85" i="9" s="1"/>
  <c r="AB85" i="2" s="1"/>
  <c r="BJ77" i="9" a="1"/>
  <c r="BJ77" i="9" s="1"/>
  <c r="AB77" i="2" s="1"/>
  <c r="BJ70" i="9" a="1"/>
  <c r="BJ70" i="9" s="1"/>
  <c r="BJ75" i="9" a="1"/>
  <c r="BJ75" i="9" s="1"/>
  <c r="AB75" i="2" s="1"/>
  <c r="BJ68" i="9" a="1"/>
  <c r="BJ68" i="9" s="1"/>
  <c r="AB68" i="2" s="1"/>
  <c r="BJ73" i="9" a="1"/>
  <c r="BJ73" i="9" s="1"/>
  <c r="AB73" i="2" s="1"/>
  <c r="BJ83" i="9" a="1"/>
  <c r="BJ83" i="9" s="1"/>
  <c r="AB83" i="2" s="1"/>
  <c r="BJ78" i="9" a="1"/>
  <c r="BJ78" i="9" s="1"/>
  <c r="AB78" i="2" s="1"/>
  <c r="BJ66" i="9" a="1"/>
  <c r="BJ66" i="9" s="1"/>
  <c r="AB66" i="2" s="1"/>
  <c r="BJ71" i="9" a="1"/>
  <c r="BJ71" i="9" s="1"/>
  <c r="AB71" i="2" s="1"/>
  <c r="BJ76" i="9" a="1"/>
  <c r="BJ76" i="9" s="1"/>
  <c r="AB76" i="2" s="1"/>
  <c r="BJ90" i="9" a="1"/>
  <c r="BJ90" i="9" s="1"/>
  <c r="AB90" i="2" s="1"/>
  <c r="BJ69" i="9" a="1"/>
  <c r="BJ69" i="9" s="1"/>
  <c r="AB69" i="2" s="1"/>
  <c r="BJ74" i="9" a="1"/>
  <c r="BJ74" i="9" s="1"/>
  <c r="AB74" i="2" s="1"/>
  <c r="BJ58" i="9" a="1"/>
  <c r="BJ58" i="9" s="1"/>
  <c r="AB58" i="2" s="1"/>
  <c r="BJ46" i="9" a="1"/>
  <c r="BJ46" i="9" s="1"/>
  <c r="AB46" i="2" s="1"/>
  <c r="BJ63" i="9" a="1"/>
  <c r="BJ63" i="9" s="1"/>
  <c r="BJ51" i="9" a="1"/>
  <c r="BJ51" i="9" s="1"/>
  <c r="AB51" i="2" s="1"/>
  <c r="BJ39" i="9" a="1"/>
  <c r="BJ39" i="9" s="1"/>
  <c r="AB39" i="2" s="1"/>
  <c r="BJ56" i="9" a="1"/>
  <c r="BJ56" i="9" s="1"/>
  <c r="AB56" i="2" s="1"/>
  <c r="BJ44" i="9" a="1"/>
  <c r="BJ44" i="9" s="1"/>
  <c r="AB44" i="2" s="1"/>
  <c r="BJ72" i="9" a="1"/>
  <c r="BJ72" i="9" s="1"/>
  <c r="AB72" i="2" s="1"/>
  <c r="BJ67" i="9" a="1"/>
  <c r="BJ67" i="9" s="1"/>
  <c r="AB67" i="2" s="1"/>
  <c r="BJ61" i="9" a="1"/>
  <c r="BJ61" i="9" s="1"/>
  <c r="AB61" i="2" s="1"/>
  <c r="BJ49" i="9" a="1"/>
  <c r="BJ49" i="9" s="1"/>
  <c r="AB49" i="2" s="1"/>
  <c r="BJ54" i="9" a="1"/>
  <c r="BJ54" i="9" s="1"/>
  <c r="AB54" i="2" s="1"/>
  <c r="BJ42" i="9" a="1"/>
  <c r="BJ42" i="9" s="1"/>
  <c r="AB42" i="2" s="1"/>
  <c r="BJ59" i="9" a="1"/>
  <c r="BJ59" i="9" s="1"/>
  <c r="AB59" i="2" s="1"/>
  <c r="BJ47" i="9" a="1"/>
  <c r="BJ47" i="9" s="1"/>
  <c r="AB47" i="2" s="1"/>
  <c r="BJ64" i="9" a="1"/>
  <c r="BJ64" i="9" s="1"/>
  <c r="AB64" i="2" s="1"/>
  <c r="BJ52" i="9" a="1"/>
  <c r="BJ52" i="9" s="1"/>
  <c r="AB52" i="2" s="1"/>
  <c r="BJ40" i="9" a="1"/>
  <c r="BJ40" i="9" s="1"/>
  <c r="AB40" i="2" s="1"/>
  <c r="BJ57" i="9" a="1"/>
  <c r="BJ57" i="9" s="1"/>
  <c r="AB57" i="2" s="1"/>
  <c r="BJ45" i="9" a="1"/>
  <c r="BJ45" i="9" s="1"/>
  <c r="AB45" i="2" s="1"/>
  <c r="BJ62" i="9" a="1"/>
  <c r="BJ62" i="9" s="1"/>
  <c r="AB62" i="2" s="1"/>
  <c r="BJ50" i="9" a="1"/>
  <c r="BJ50" i="9" s="1"/>
  <c r="AB50" i="2" s="1"/>
  <c r="BJ34" i="9" a="1"/>
  <c r="BJ34" i="9" s="1"/>
  <c r="AB34" i="2" s="1"/>
  <c r="BJ22" i="9" a="1"/>
  <c r="BJ22" i="9" s="1"/>
  <c r="AB22" i="2" s="1"/>
  <c r="BJ65" i="9" a="1"/>
  <c r="BJ65" i="9" s="1"/>
  <c r="BJ53" i="9" a="1"/>
  <c r="BJ53" i="9" s="1"/>
  <c r="AB53" i="2" s="1"/>
  <c r="BJ41" i="9" a="1"/>
  <c r="BJ41" i="9" s="1"/>
  <c r="AB41" i="2" s="1"/>
  <c r="BJ27" i="9" a="1"/>
  <c r="BJ27" i="9" s="1"/>
  <c r="AB27" i="2" s="1"/>
  <c r="BJ32" i="9" a="1"/>
  <c r="BJ32" i="9" s="1"/>
  <c r="AB32" i="2" s="1"/>
  <c r="BJ20" i="9" a="1"/>
  <c r="BJ20" i="9" s="1"/>
  <c r="AB20" i="2" s="1"/>
  <c r="BJ55" i="9" a="1"/>
  <c r="BJ55" i="9" s="1"/>
  <c r="AB55" i="2" s="1"/>
  <c r="BJ43" i="9" a="1"/>
  <c r="BJ43" i="9" s="1"/>
  <c r="AB43" i="2" s="1"/>
  <c r="BJ37" i="9" a="1"/>
  <c r="BJ37" i="9" s="1"/>
  <c r="AB37" i="2" s="1"/>
  <c r="BJ30" i="9" a="1"/>
  <c r="BJ30" i="9" s="1"/>
  <c r="AB30" i="2" s="1"/>
  <c r="BJ18" i="9" a="1"/>
  <c r="BJ18" i="9" s="1"/>
  <c r="AB18" i="2" s="1"/>
  <c r="BJ38" i="9" a="1"/>
  <c r="BJ38" i="9" s="1"/>
  <c r="BJ35" i="9" a="1"/>
  <c r="BJ35" i="9" s="1"/>
  <c r="AB35" i="2" s="1"/>
  <c r="BJ23" i="9" a="1"/>
  <c r="BJ23" i="9" s="1"/>
  <c r="AB23" i="2" s="1"/>
  <c r="BJ33" i="9" a="1"/>
  <c r="BJ33" i="9" s="1"/>
  <c r="AB33" i="2" s="1"/>
  <c r="BJ21" i="9" a="1"/>
  <c r="BJ21" i="9" s="1"/>
  <c r="AB21" i="2" s="1"/>
  <c r="BJ60" i="9" a="1"/>
  <c r="BJ60" i="9" s="1"/>
  <c r="BJ48" i="9" a="1"/>
  <c r="BJ48" i="9" s="1"/>
  <c r="AB48" i="2" s="1"/>
  <c r="BJ26" i="9" a="1"/>
  <c r="BJ26" i="9" s="1"/>
  <c r="AB26" i="2" s="1"/>
  <c r="BJ31" i="9" a="1"/>
  <c r="BJ31" i="9" s="1"/>
  <c r="AB31" i="2" s="1"/>
  <c r="BJ13" i="9" a="1"/>
  <c r="BJ13" i="9" s="1"/>
  <c r="AB13" i="2" s="1"/>
  <c r="BJ28" i="9" a="1"/>
  <c r="BJ28" i="9" s="1"/>
  <c r="AB28" i="2" s="1"/>
  <c r="BJ19" i="9" a="1"/>
  <c r="BJ19" i="9" s="1"/>
  <c r="AB19" i="2" s="1"/>
  <c r="BJ11" i="9" a="1"/>
  <c r="BJ11" i="9" s="1"/>
  <c r="AB11" i="2" s="1"/>
  <c r="BJ25" i="9" a="1"/>
  <c r="BJ25" i="9" s="1"/>
  <c r="BJ4" i="9" a="1"/>
  <c r="BJ4" i="9" s="1"/>
  <c r="AB4" i="2" s="1"/>
  <c r="BJ36" i="9" a="1"/>
  <c r="BJ36" i="9" s="1"/>
  <c r="AB36" i="2" s="1"/>
  <c r="BJ9" i="9" a="1"/>
  <c r="BJ9" i="9" s="1"/>
  <c r="AB9" i="2" s="1"/>
  <c r="BJ24" i="9" a="1"/>
  <c r="BJ24" i="9" s="1"/>
  <c r="AB24" i="2" s="1"/>
  <c r="BJ14" i="9" a="1"/>
  <c r="BJ14" i="9" s="1"/>
  <c r="AB14" i="2" s="1"/>
  <c r="BJ7" i="9" a="1"/>
  <c r="BJ7" i="9" s="1"/>
  <c r="AB7" i="2" s="1"/>
  <c r="BJ12" i="9" a="1"/>
  <c r="BJ12" i="9" s="1"/>
  <c r="AB12" i="2" s="1"/>
  <c r="BJ17" i="9" a="1"/>
  <c r="BJ17" i="9" s="1"/>
  <c r="AB17" i="2" s="1"/>
  <c r="BJ29" i="9" a="1"/>
  <c r="BJ29" i="9" s="1"/>
  <c r="AB29" i="2" s="1"/>
  <c r="BJ16" i="9" a="1"/>
  <c r="BJ16" i="9" s="1"/>
  <c r="AB16" i="2" s="1"/>
  <c r="BJ10" i="9" a="1"/>
  <c r="BJ10" i="9" s="1"/>
  <c r="AB10" i="2" s="1"/>
  <c r="BV136" i="9" a="1"/>
  <c r="BV136" i="9" s="1"/>
  <c r="BV131" i="9" a="1"/>
  <c r="BV131" i="9" s="1"/>
  <c r="BV134" i="9" a="1"/>
  <c r="BV134" i="9" s="1"/>
  <c r="BV129" i="9" a="1"/>
  <c r="BV129" i="9" s="1"/>
  <c r="BV127" i="9" a="1"/>
  <c r="BV127" i="9" s="1"/>
  <c r="BV133" i="9" a="1"/>
  <c r="BV133" i="9" s="1"/>
  <c r="BV122" i="9" a="1"/>
  <c r="BV122" i="9" s="1"/>
  <c r="BV132" i="9" a="1"/>
  <c r="BV132" i="9" s="1"/>
  <c r="BV124" i="9" a="1"/>
  <c r="BV124" i="9" s="1"/>
  <c r="BV123" i="9" a="1"/>
  <c r="BV123" i="9" s="1"/>
  <c r="BV128" i="9" a="1"/>
  <c r="BV128" i="9" s="1"/>
  <c r="BV114" i="9" a="1"/>
  <c r="BV114" i="9" s="1"/>
  <c r="BV117" i="9" a="1"/>
  <c r="BV117" i="9" s="1"/>
  <c r="BV115" i="9" a="1"/>
  <c r="BV115" i="9" s="1"/>
  <c r="BV135" i="9" a="1"/>
  <c r="BV135" i="9" s="1"/>
  <c r="BV121" i="9" a="1"/>
  <c r="BV121" i="9" s="1"/>
  <c r="BV113" i="9" a="1"/>
  <c r="BV113" i="9" s="1"/>
  <c r="BV130" i="9" a="1"/>
  <c r="BV130" i="9" s="1"/>
  <c r="BV125" i="9" a="1"/>
  <c r="BV125" i="9" s="1"/>
  <c r="BV126" i="9" a="1"/>
  <c r="BV126" i="9" s="1"/>
  <c r="BV120" i="9" a="1"/>
  <c r="BV120" i="9" s="1"/>
  <c r="BV118" i="9" a="1"/>
  <c r="BV118" i="9" s="1"/>
  <c r="BV109" i="9" a="1"/>
  <c r="BV109" i="9" s="1"/>
  <c r="BV107" i="9" a="1"/>
  <c r="BV107" i="9" s="1"/>
  <c r="BV119" i="9" a="1"/>
  <c r="BV119" i="9" s="1"/>
  <c r="BV105" i="9" a="1"/>
  <c r="BV105" i="9" s="1"/>
  <c r="BV110" i="9" a="1"/>
  <c r="BV110" i="9" s="1"/>
  <c r="BV116" i="9" a="1"/>
  <c r="BV116" i="9" s="1"/>
  <c r="BV103" i="9" a="1"/>
  <c r="BV103" i="9" s="1"/>
  <c r="BV108" i="9" a="1"/>
  <c r="BV108" i="9" s="1"/>
  <c r="BV106" i="9" a="1"/>
  <c r="BV106" i="9" s="1"/>
  <c r="BV99" i="9" a="1"/>
  <c r="BV99" i="9" s="1"/>
  <c r="BV92" i="9" a="1"/>
  <c r="BV92" i="9" s="1"/>
  <c r="BV97" i="9" a="1"/>
  <c r="BV97" i="9" s="1"/>
  <c r="BV112" i="9" a="1"/>
  <c r="BV112" i="9" s="1"/>
  <c r="BV102" i="9" a="1"/>
  <c r="BV102" i="9" s="1"/>
  <c r="BV95" i="9" a="1"/>
  <c r="BV95" i="9" s="1"/>
  <c r="BV101" i="9" a="1"/>
  <c r="BV101" i="9" s="1"/>
  <c r="BV93" i="9" a="1"/>
  <c r="BV93" i="9" s="1"/>
  <c r="BV100" i="9" a="1"/>
  <c r="BV100" i="9" s="1"/>
  <c r="BV98" i="9" a="1"/>
  <c r="BV98" i="9" s="1"/>
  <c r="BV88" i="9" a="1"/>
  <c r="BV88" i="9" s="1"/>
  <c r="BV81" i="9" a="1"/>
  <c r="BV81" i="9" s="1"/>
  <c r="BV111" i="9" a="1"/>
  <c r="BV111" i="9" s="1"/>
  <c r="BV86" i="9" a="1"/>
  <c r="BV86" i="9" s="1"/>
  <c r="BV79" i="9" a="1"/>
  <c r="BV79" i="9" s="1"/>
  <c r="BV84" i="9" a="1"/>
  <c r="BV84" i="9" s="1"/>
  <c r="BV91" i="9" a="1"/>
  <c r="BV91" i="9" s="1"/>
  <c r="BV90" i="9" a="1"/>
  <c r="BV90" i="9" s="1"/>
  <c r="BV89" i="9" a="1"/>
  <c r="BV89" i="9" s="1"/>
  <c r="BV82" i="9" a="1"/>
  <c r="BV82" i="9" s="1"/>
  <c r="BV94" i="9" a="1"/>
  <c r="BV94" i="9" s="1"/>
  <c r="BV87" i="9" a="1"/>
  <c r="BV87" i="9" s="1"/>
  <c r="BV104" i="9" a="1"/>
  <c r="BV104" i="9" s="1"/>
  <c r="BV80" i="9" a="1"/>
  <c r="BV80" i="9" s="1"/>
  <c r="BV85" i="9" a="1"/>
  <c r="BV85" i="9" s="1"/>
  <c r="BV77" i="9" a="1"/>
  <c r="BV77" i="9" s="1"/>
  <c r="BV83" i="9" a="1"/>
  <c r="BV83" i="9" s="1"/>
  <c r="BV70" i="9" a="1"/>
  <c r="BV70" i="9" s="1"/>
  <c r="BV75" i="9" a="1"/>
  <c r="BV75" i="9" s="1"/>
  <c r="BV68" i="9" a="1"/>
  <c r="BV68" i="9" s="1"/>
  <c r="BV73" i="9" a="1"/>
  <c r="BV73" i="9" s="1"/>
  <c r="BV96" i="9" a="1"/>
  <c r="BV96" i="9" s="1"/>
  <c r="BV78" i="9" a="1"/>
  <c r="BV78" i="9" s="1"/>
  <c r="BV66" i="9" a="1"/>
  <c r="BV66" i="9" s="1"/>
  <c r="BV71" i="9" a="1"/>
  <c r="BV71" i="9" s="1"/>
  <c r="BV76" i="9" a="1"/>
  <c r="BV76" i="9" s="1"/>
  <c r="BV69" i="9" a="1"/>
  <c r="BV69" i="9" s="1"/>
  <c r="BV74" i="9" a="1"/>
  <c r="BV74" i="9" s="1"/>
  <c r="BV58" i="9" a="1"/>
  <c r="BV58" i="9" s="1"/>
  <c r="BV46" i="9" a="1"/>
  <c r="BV46" i="9" s="1"/>
  <c r="BV63" i="9" a="1"/>
  <c r="BV63" i="9" s="1"/>
  <c r="BV51" i="9" a="1"/>
  <c r="BV51" i="9" s="1"/>
  <c r="BV39" i="9" a="1"/>
  <c r="BV39" i="9" s="1"/>
  <c r="BV56" i="9" a="1"/>
  <c r="BV56" i="9" s="1"/>
  <c r="BV44" i="9" a="1"/>
  <c r="BV44" i="9" s="1"/>
  <c r="BV61" i="9" a="1"/>
  <c r="BV61" i="9" s="1"/>
  <c r="BV49" i="9" a="1"/>
  <c r="BV49" i="9" s="1"/>
  <c r="BV54" i="9" a="1"/>
  <c r="BV54" i="9" s="1"/>
  <c r="BV42" i="9" a="1"/>
  <c r="BV42" i="9" s="1"/>
  <c r="BV59" i="9" a="1"/>
  <c r="BV59" i="9" s="1"/>
  <c r="BV47" i="9" a="1"/>
  <c r="BV47" i="9" s="1"/>
  <c r="BV64" i="9" a="1"/>
  <c r="BV64" i="9" s="1"/>
  <c r="BV52" i="9" a="1"/>
  <c r="BV52" i="9" s="1"/>
  <c r="BV40" i="9" a="1"/>
  <c r="BV40" i="9" s="1"/>
  <c r="BV57" i="9" a="1"/>
  <c r="BV57" i="9" s="1"/>
  <c r="BV45" i="9" a="1"/>
  <c r="BV45" i="9" s="1"/>
  <c r="BV62" i="9" a="1"/>
  <c r="BV62" i="9" s="1"/>
  <c r="BV50" i="9" a="1"/>
  <c r="BV50" i="9" s="1"/>
  <c r="BV72" i="9" a="1"/>
  <c r="BV72" i="9" s="1"/>
  <c r="BV34" i="9" a="1"/>
  <c r="BV34" i="9" s="1"/>
  <c r="BV22" i="9" a="1"/>
  <c r="BV22" i="9" s="1"/>
  <c r="BV27" i="9" a="1"/>
  <c r="BV27" i="9" s="1"/>
  <c r="BV67" i="9" a="1"/>
  <c r="BV67" i="9" s="1"/>
  <c r="BV60" i="9" a="1"/>
  <c r="BV60" i="9" s="1"/>
  <c r="BV48" i="9" a="1"/>
  <c r="BV48" i="9" s="1"/>
  <c r="BV32" i="9" a="1"/>
  <c r="BV32" i="9" s="1"/>
  <c r="BV20" i="9" a="1"/>
  <c r="BV20" i="9" s="1"/>
  <c r="BV37" i="9" a="1"/>
  <c r="BV37" i="9" s="1"/>
  <c r="BV30" i="9" a="1"/>
  <c r="BV30" i="9" s="1"/>
  <c r="BV18" i="9" a="1"/>
  <c r="BV18" i="9" s="1"/>
  <c r="BV35" i="9" a="1"/>
  <c r="BV35" i="9" s="1"/>
  <c r="BV23" i="9" a="1"/>
  <c r="BV23" i="9" s="1"/>
  <c r="BV65" i="9" a="1"/>
  <c r="BV65" i="9" s="1"/>
  <c r="BV53" i="9" a="1"/>
  <c r="BV53" i="9" s="1"/>
  <c r="BV41" i="9" a="1"/>
  <c r="BV41" i="9" s="1"/>
  <c r="BV33" i="9" a="1"/>
  <c r="BV33" i="9" s="1"/>
  <c r="BV21" i="9" a="1"/>
  <c r="BV21" i="9" s="1"/>
  <c r="BV26" i="9" a="1"/>
  <c r="BV26" i="9" s="1"/>
  <c r="BV55" i="9" a="1"/>
  <c r="BV55" i="9" s="1"/>
  <c r="BV43" i="9" a="1"/>
  <c r="BV43" i="9" s="1"/>
  <c r="BV38" i="9" a="1"/>
  <c r="BV38" i="9" s="1"/>
  <c r="BV31" i="9" a="1"/>
  <c r="BV31" i="9" s="1"/>
  <c r="BV13" i="9" a="1"/>
  <c r="BV13" i="9" s="1"/>
  <c r="BV11" i="9" a="1"/>
  <c r="BV11" i="9" s="1"/>
  <c r="BV29" i="9" a="1"/>
  <c r="BV29" i="9" s="1"/>
  <c r="BV4" i="9" a="1"/>
  <c r="BV4" i="9" s="1"/>
  <c r="BV19" i="9" a="1"/>
  <c r="BV19" i="9" s="1"/>
  <c r="BV9" i="9" a="1"/>
  <c r="BV9" i="9" s="1"/>
  <c r="BV25" i="9" a="1"/>
  <c r="BV25" i="9" s="1"/>
  <c r="BV14" i="9" a="1"/>
  <c r="BV14" i="9" s="1"/>
  <c r="BV7" i="9" a="1"/>
  <c r="BV7" i="9" s="1"/>
  <c r="BV28" i="9" a="1"/>
  <c r="BV28" i="9" s="1"/>
  <c r="BV24" i="9" a="1"/>
  <c r="BV24" i="9" s="1"/>
  <c r="BV12" i="9" a="1"/>
  <c r="BV12" i="9" s="1"/>
  <c r="BV10" i="9" a="1"/>
  <c r="BV10" i="9" s="1"/>
  <c r="BV36" i="9" a="1"/>
  <c r="BV36" i="9" s="1"/>
  <c r="BV17" i="9" a="1"/>
  <c r="BV17" i="9" s="1"/>
  <c r="W5" i="9" a="1"/>
  <c r="W5" i="9" s="1"/>
  <c r="AU5" i="9" a="1"/>
  <c r="AU5" i="9" s="1"/>
  <c r="BC5" i="9" a="1"/>
  <c r="BC5" i="9" s="1"/>
  <c r="AI6" i="9" a="1"/>
  <c r="AI6" i="9" s="1"/>
  <c r="BY6" i="9" a="1"/>
  <c r="BY6" i="9" s="1"/>
  <c r="P7" i="9" a="1"/>
  <c r="P7" i="9" s="1"/>
  <c r="AP7" i="9" a="1"/>
  <c r="AP7" i="9" s="1"/>
  <c r="AZ7" i="9" a="1"/>
  <c r="AZ7" i="9" s="1"/>
  <c r="Q8" i="9" a="1"/>
  <c r="Q8" i="9" s="1"/>
  <c r="AO8" i="9" a="1"/>
  <c r="AO8" i="9" s="1"/>
  <c r="BA8" i="9" a="1"/>
  <c r="BA8" i="9" s="1"/>
  <c r="BM8" i="9" a="1"/>
  <c r="BM8" i="9" s="1"/>
  <c r="S10" i="9" a="1"/>
  <c r="S10" i="9" s="1"/>
  <c r="AQ10" i="9" a="1"/>
  <c r="AQ10" i="9" s="1"/>
  <c r="BO10" i="9" a="1"/>
  <c r="BO10" i="9" s="1"/>
  <c r="AJ12" i="9" a="1"/>
  <c r="AJ12" i="9" s="1"/>
  <c r="BT12" i="9" a="1"/>
  <c r="BT12" i="9" s="1"/>
  <c r="AR17" i="9" a="1"/>
  <c r="AR17" i="9" s="1"/>
  <c r="AO18" i="9" a="1"/>
  <c r="AO18" i="9" s="1"/>
  <c r="AV21" i="9" a="1"/>
  <c r="AV21" i="9" s="1"/>
  <c r="CV8" i="7"/>
  <c r="CR12" i="7"/>
  <c r="CR14" i="7"/>
  <c r="CR16" i="7"/>
  <c r="CV19" i="7"/>
  <c r="CR25" i="7"/>
  <c r="O134" i="9" a="1"/>
  <c r="O134" i="9" s="1"/>
  <c r="O132" i="9" a="1"/>
  <c r="O132" i="9" s="1"/>
  <c r="O131" i="9" a="1"/>
  <c r="O131" i="9" s="1"/>
  <c r="O133" i="9" a="1"/>
  <c r="O133" i="9" s="1"/>
  <c r="O129" i="9" a="1"/>
  <c r="O129" i="9" s="1"/>
  <c r="O136" i="9" a="1"/>
  <c r="O136" i="9" s="1"/>
  <c r="O135" i="9" a="1"/>
  <c r="O135" i="9" s="1"/>
  <c r="O126" i="9" a="1"/>
  <c r="O126" i="9" s="1"/>
  <c r="O130" i="9" a="1"/>
  <c r="O130" i="9" s="1"/>
  <c r="O128" i="9" a="1"/>
  <c r="O128" i="9" s="1"/>
  <c r="O127" i="9" a="1"/>
  <c r="O127" i="9" s="1"/>
  <c r="O125" i="9" a="1"/>
  <c r="O125" i="9" s="1"/>
  <c r="O122" i="9" a="1"/>
  <c r="O122" i="9" s="1"/>
  <c r="O123" i="9" a="1"/>
  <c r="O123" i="9" s="1"/>
  <c r="O120" i="9" a="1"/>
  <c r="O120" i="9" s="1"/>
  <c r="O115" i="9" a="1"/>
  <c r="O115" i="9" s="1"/>
  <c r="O113" i="9" a="1"/>
  <c r="O113" i="9" s="1"/>
  <c r="O118" i="9" a="1"/>
  <c r="O118" i="9" s="1"/>
  <c r="O121" i="9" a="1"/>
  <c r="O121" i="9" s="1"/>
  <c r="O107" i="9" a="1"/>
  <c r="O107" i="9" s="1"/>
  <c r="O119" i="9" a="1"/>
  <c r="O119" i="9" s="1"/>
  <c r="O114" i="9" a="1"/>
  <c r="O114" i="9" s="1"/>
  <c r="O105" i="9" a="1"/>
  <c r="O105" i="9" s="1"/>
  <c r="O110" i="9" a="1"/>
  <c r="O110" i="9" s="1"/>
  <c r="O103" i="9" a="1"/>
  <c r="O103" i="9" s="1"/>
  <c r="O108" i="9" a="1"/>
  <c r="O108" i="9" s="1"/>
  <c r="O101" i="9" a="1"/>
  <c r="O101" i="9" s="1"/>
  <c r="O106" i="9" a="1"/>
  <c r="O106" i="9" s="1"/>
  <c r="O117" i="9" a="1"/>
  <c r="O117" i="9" s="1"/>
  <c r="O116" i="9" a="1"/>
  <c r="O116" i="9" s="1"/>
  <c r="O104" i="9" a="1"/>
  <c r="O104" i="9" s="1"/>
  <c r="O99" i="9" a="1"/>
  <c r="O99" i="9" s="1"/>
  <c r="O97" i="9" a="1"/>
  <c r="O97" i="9" s="1"/>
  <c r="O124" i="9" a="1"/>
  <c r="O124" i="9" s="1"/>
  <c r="O112" i="9" a="1"/>
  <c r="O112" i="9" s="1"/>
  <c r="O111" i="9" a="1"/>
  <c r="O111" i="9" s="1"/>
  <c r="O95" i="9" a="1"/>
  <c r="O95" i="9" s="1"/>
  <c r="O100" i="9" a="1"/>
  <c r="O100" i="9" s="1"/>
  <c r="O93" i="9" a="1"/>
  <c r="O93" i="9" s="1"/>
  <c r="O98" i="9" a="1"/>
  <c r="O98" i="9" s="1"/>
  <c r="O91" i="9" a="1"/>
  <c r="O91" i="9" s="1"/>
  <c r="O102" i="9" a="1"/>
  <c r="O102" i="9" s="1"/>
  <c r="O96" i="9" a="1"/>
  <c r="O96" i="9" s="1"/>
  <c r="O94" i="9" a="1"/>
  <c r="O94" i="9" s="1"/>
  <c r="O86" i="9" a="1"/>
  <c r="O86" i="9" s="1"/>
  <c r="O84" i="9" a="1"/>
  <c r="O84" i="9" s="1"/>
  <c r="O89" i="9" a="1"/>
  <c r="O89" i="9" s="1"/>
  <c r="O82" i="9" a="1"/>
  <c r="O82" i="9" s="1"/>
  <c r="O87" i="9" a="1"/>
  <c r="O87" i="9" s="1"/>
  <c r="O80" i="9" a="1"/>
  <c r="O80" i="9" s="1"/>
  <c r="O85" i="9" a="1"/>
  <c r="O85" i="9" s="1"/>
  <c r="O90" i="9" a="1"/>
  <c r="O90" i="9" s="1"/>
  <c r="O92" i="9" a="1"/>
  <c r="O92" i="9" s="1"/>
  <c r="O83" i="9" a="1"/>
  <c r="O83" i="9" s="1"/>
  <c r="O75" i="9" a="1"/>
  <c r="O75" i="9" s="1"/>
  <c r="O68" i="9" a="1"/>
  <c r="O68" i="9" s="1"/>
  <c r="O73" i="9" a="1"/>
  <c r="O73" i="9" s="1"/>
  <c r="O78" i="9" a="1"/>
  <c r="O78" i="9" s="1"/>
  <c r="O71" i="9" a="1"/>
  <c r="O71" i="9" s="1"/>
  <c r="O76" i="9" a="1"/>
  <c r="O76" i="9" s="1"/>
  <c r="O109" i="9" a="1"/>
  <c r="O109" i="9" s="1"/>
  <c r="O69" i="9" a="1"/>
  <c r="O69" i="9" s="1"/>
  <c r="O88" i="9" a="1"/>
  <c r="O88" i="9" s="1"/>
  <c r="O81" i="9" a="1"/>
  <c r="O81" i="9" s="1"/>
  <c r="O74" i="9" a="1"/>
  <c r="O74" i="9" s="1"/>
  <c r="O79" i="9" a="1"/>
  <c r="O79" i="9" s="1"/>
  <c r="O67" i="9" a="1"/>
  <c r="O67" i="9" s="1"/>
  <c r="O72" i="9" a="1"/>
  <c r="O72" i="9" s="1"/>
  <c r="O56" i="9" a="1"/>
  <c r="O56" i="9" s="1"/>
  <c r="O44" i="9" a="1"/>
  <c r="O44" i="9" s="1"/>
  <c r="O61" i="9" a="1"/>
  <c r="O61" i="9" s="1"/>
  <c r="O49" i="9" a="1"/>
  <c r="O49" i="9" s="1"/>
  <c r="O66" i="9" a="1"/>
  <c r="O66" i="9" s="1"/>
  <c r="O54" i="9" a="1"/>
  <c r="O54" i="9" s="1"/>
  <c r="O42" i="9" a="1"/>
  <c r="O42" i="9" s="1"/>
  <c r="O59" i="9" a="1"/>
  <c r="O59" i="9" s="1"/>
  <c r="O47" i="9" a="1"/>
  <c r="O47" i="9" s="1"/>
  <c r="O64" i="9" a="1"/>
  <c r="O64" i="9" s="1"/>
  <c r="O52" i="9" a="1"/>
  <c r="O52" i="9" s="1"/>
  <c r="O40" i="9" a="1"/>
  <c r="O40" i="9" s="1"/>
  <c r="O77" i="9" a="1"/>
  <c r="O77" i="9" s="1"/>
  <c r="O70" i="9" a="1"/>
  <c r="O70" i="9" s="1"/>
  <c r="O57" i="9" a="1"/>
  <c r="O57" i="9" s="1"/>
  <c r="O45" i="9" a="1"/>
  <c r="O45" i="9" s="1"/>
  <c r="O62" i="9" a="1"/>
  <c r="O62" i="9" s="1"/>
  <c r="O50" i="9" a="1"/>
  <c r="O50" i="9" s="1"/>
  <c r="O55" i="9" a="1"/>
  <c r="O55" i="9" s="1"/>
  <c r="O43" i="9" a="1"/>
  <c r="O43" i="9" s="1"/>
  <c r="O60" i="9" a="1"/>
  <c r="O60" i="9" s="1"/>
  <c r="O48" i="9" a="1"/>
  <c r="O48" i="9" s="1"/>
  <c r="O32" i="9" a="1"/>
  <c r="O32" i="9" s="1"/>
  <c r="O20" i="9" a="1"/>
  <c r="O20" i="9" s="1"/>
  <c r="O39" i="9" a="1"/>
  <c r="O39" i="9" s="1"/>
  <c r="O37" i="9" a="1"/>
  <c r="O37" i="9" s="1"/>
  <c r="O25" i="9" a="1"/>
  <c r="O25" i="9" s="1"/>
  <c r="O30" i="9" a="1"/>
  <c r="O30" i="9" s="1"/>
  <c r="O18" i="9" a="1"/>
  <c r="O18" i="9" s="1"/>
  <c r="O35" i="9" a="1"/>
  <c r="O35" i="9" s="1"/>
  <c r="O58" i="9" a="1"/>
  <c r="O58" i="9" s="1"/>
  <c r="O46" i="9" a="1"/>
  <c r="O46" i="9" s="1"/>
  <c r="O28" i="9" a="1"/>
  <c r="O28" i="9" s="1"/>
  <c r="O41" i="9" a="1"/>
  <c r="O41" i="9" s="1"/>
  <c r="O33" i="9" a="1"/>
  <c r="O33" i="9" s="1"/>
  <c r="O21" i="9" a="1"/>
  <c r="O21" i="9" s="1"/>
  <c r="O31" i="9" a="1"/>
  <c r="O31" i="9" s="1"/>
  <c r="O19" i="9" a="1"/>
  <c r="O19" i="9" s="1"/>
  <c r="O36" i="9" a="1"/>
  <c r="O36" i="9" s="1"/>
  <c r="O24" i="9" a="1"/>
  <c r="O24" i="9" s="1"/>
  <c r="O63" i="9" a="1"/>
  <c r="O63" i="9" s="1"/>
  <c r="O51" i="9" a="1"/>
  <c r="O51" i="9" s="1"/>
  <c r="O29" i="9" a="1"/>
  <c r="O29" i="9" s="1"/>
  <c r="O34" i="9" a="1"/>
  <c r="O34" i="9" s="1"/>
  <c r="O22" i="9" a="1"/>
  <c r="O22" i="9" s="1"/>
  <c r="O11" i="9" a="1"/>
  <c r="O11" i="9" s="1"/>
  <c r="O65" i="9" a="1"/>
  <c r="O65" i="9" s="1"/>
  <c r="O16" i="9" a="1"/>
  <c r="O16" i="9" s="1"/>
  <c r="O9" i="9" a="1"/>
  <c r="O9" i="9" s="1"/>
  <c r="O27" i="9" a="1"/>
  <c r="O27" i="9" s="1"/>
  <c r="O26" i="9" a="1"/>
  <c r="O26" i="9" s="1"/>
  <c r="O14" i="9" a="1"/>
  <c r="O14" i="9" s="1"/>
  <c r="O7" i="9" a="1"/>
  <c r="O7" i="9" s="1"/>
  <c r="O53" i="9" a="1"/>
  <c r="O53" i="9" s="1"/>
  <c r="O12" i="9" a="1"/>
  <c r="O12" i="9" s="1"/>
  <c r="O5" i="9" a="1"/>
  <c r="O5" i="9" s="1"/>
  <c r="O38" i="9" a="1"/>
  <c r="O38" i="9" s="1"/>
  <c r="O10" i="9" a="1"/>
  <c r="O10" i="9" s="1"/>
  <c r="O15" i="9" a="1"/>
  <c r="O15" i="9" s="1"/>
  <c r="O8" i="9" a="1"/>
  <c r="O8" i="9" s="1"/>
  <c r="AA134" i="9" a="1"/>
  <c r="AA134" i="9" s="1"/>
  <c r="AA136" i="9" a="1"/>
  <c r="AA136" i="9" s="1"/>
  <c r="AA133" i="9" a="1"/>
  <c r="AA133" i="9" s="1"/>
  <c r="AA130" i="9" a="1"/>
  <c r="AA130" i="9" s="1"/>
  <c r="AA135" i="9" a="1"/>
  <c r="AA135" i="9" s="1"/>
  <c r="AA129" i="9" a="1"/>
  <c r="AA129" i="9" s="1"/>
  <c r="AA126" i="9" a="1"/>
  <c r="AA126" i="9" s="1"/>
  <c r="AA132" i="9" a="1"/>
  <c r="AA132" i="9" s="1"/>
  <c r="AA131" i="9" a="1"/>
  <c r="AA131" i="9" s="1"/>
  <c r="AA127" i="9" a="1"/>
  <c r="AA127" i="9" s="1"/>
  <c r="AA125" i="9" a="1"/>
  <c r="AA125" i="9" s="1"/>
  <c r="AA124" i="9" a="1"/>
  <c r="AA124" i="9" s="1"/>
  <c r="AA122" i="9" a="1"/>
  <c r="AA122" i="9" s="1"/>
  <c r="AA120" i="9" a="1"/>
  <c r="AA120" i="9" s="1"/>
  <c r="AA115" i="9" a="1"/>
  <c r="AA115" i="9" s="1"/>
  <c r="AA128" i="9" a="1"/>
  <c r="AA128" i="9" s="1"/>
  <c r="AA113" i="9" a="1"/>
  <c r="AA113" i="9" s="1"/>
  <c r="AA118" i="9" a="1"/>
  <c r="AA118" i="9" s="1"/>
  <c r="AA123" i="9" a="1"/>
  <c r="AA123" i="9" s="1"/>
  <c r="AA121" i="9" a="1"/>
  <c r="AA121" i="9" s="1"/>
  <c r="AA107" i="9" a="1"/>
  <c r="AA107" i="9" s="1"/>
  <c r="AA105" i="9" a="1"/>
  <c r="AA105" i="9" s="1"/>
  <c r="AA112" i="9" a="1"/>
  <c r="AA112" i="9" s="1"/>
  <c r="AA110" i="9" a="1"/>
  <c r="AA110" i="9" s="1"/>
  <c r="AA114" i="9" a="1"/>
  <c r="AA114" i="9" s="1"/>
  <c r="AA103" i="9" a="1"/>
  <c r="AA103" i="9" s="1"/>
  <c r="AA108" i="9" a="1"/>
  <c r="AA108" i="9" s="1"/>
  <c r="AA119" i="9" a="1"/>
  <c r="AA119" i="9" s="1"/>
  <c r="AA101" i="9" a="1"/>
  <c r="AA101" i="9" s="1"/>
  <c r="AA106" i="9" a="1"/>
  <c r="AA106" i="9" s="1"/>
  <c r="AA104" i="9" a="1"/>
  <c r="AA104" i="9" s="1"/>
  <c r="AA99" i="9" a="1"/>
  <c r="AA99" i="9" s="1"/>
  <c r="AA97" i="9" a="1"/>
  <c r="AA97" i="9" s="1"/>
  <c r="AA117" i="9" a="1"/>
  <c r="AA117" i="9" s="1"/>
  <c r="AA109" i="9" a="1"/>
  <c r="AA109" i="9" s="1"/>
  <c r="AA95" i="9" a="1"/>
  <c r="AA95" i="9" s="1"/>
  <c r="AA100" i="9" a="1"/>
  <c r="AA100" i="9" s="1"/>
  <c r="AA93" i="9" a="1"/>
  <c r="AA93" i="9" s="1"/>
  <c r="AA98" i="9" a="1"/>
  <c r="AA98" i="9" s="1"/>
  <c r="AA111" i="9" a="1"/>
  <c r="AA111" i="9" s="1"/>
  <c r="AA91" i="9" a="1"/>
  <c r="AA91" i="9" s="1"/>
  <c r="AA116" i="9" a="1"/>
  <c r="AA116" i="9" s="1"/>
  <c r="AA96" i="9" a="1"/>
  <c r="AA96" i="9" s="1"/>
  <c r="AA86" i="9" a="1"/>
  <c r="AA86" i="9" s="1"/>
  <c r="AA84" i="9" a="1"/>
  <c r="AA84" i="9" s="1"/>
  <c r="AA102" i="9" a="1"/>
  <c r="AA102" i="9" s="1"/>
  <c r="AA92" i="9" a="1"/>
  <c r="AA92" i="9" s="1"/>
  <c r="AA89" i="9" a="1"/>
  <c r="AA89" i="9" s="1"/>
  <c r="AA82" i="9" a="1"/>
  <c r="AA82" i="9" s="1"/>
  <c r="AA87" i="9" a="1"/>
  <c r="AA87" i="9" s="1"/>
  <c r="AA94" i="9" a="1"/>
  <c r="AA94" i="9" s="1"/>
  <c r="AA80" i="9" a="1"/>
  <c r="AA80" i="9" s="1"/>
  <c r="AA85" i="9" a="1"/>
  <c r="AA85" i="9" s="1"/>
  <c r="AA90" i="9" a="1"/>
  <c r="AA90" i="9" s="1"/>
  <c r="AA83" i="9" a="1"/>
  <c r="AA83" i="9" s="1"/>
  <c r="AA75" i="9" a="1"/>
  <c r="AA75" i="9" s="1"/>
  <c r="AA68" i="9" a="1"/>
  <c r="AA68" i="9" s="1"/>
  <c r="AA73" i="9" a="1"/>
  <c r="AA73" i="9" s="1"/>
  <c r="AA88" i="9" a="1"/>
  <c r="AA88" i="9" s="1"/>
  <c r="AA81" i="9" a="1"/>
  <c r="AA81" i="9" s="1"/>
  <c r="AA78" i="9" a="1"/>
  <c r="AA78" i="9" s="1"/>
  <c r="AA71" i="9" a="1"/>
  <c r="AA71" i="9" s="1"/>
  <c r="AA76" i="9" a="1"/>
  <c r="AA76" i="9" s="1"/>
  <c r="AA69" i="9" a="1"/>
  <c r="AA69" i="9" s="1"/>
  <c r="AA74" i="9" a="1"/>
  <c r="AA74" i="9" s="1"/>
  <c r="AA79" i="9" a="1"/>
  <c r="AA79" i="9" s="1"/>
  <c r="AA67" i="9" a="1"/>
  <c r="AA67" i="9" s="1"/>
  <c r="AA72" i="9" a="1"/>
  <c r="AA72" i="9" s="1"/>
  <c r="AA56" i="9" a="1"/>
  <c r="AA56" i="9" s="1"/>
  <c r="AA44" i="9" a="1"/>
  <c r="AA44" i="9" s="1"/>
  <c r="AA77" i="9" a="1"/>
  <c r="AA77" i="9" s="1"/>
  <c r="AA70" i="9" a="1"/>
  <c r="AA70" i="9" s="1"/>
  <c r="AA61" i="9" a="1"/>
  <c r="AA61" i="9" s="1"/>
  <c r="AA49" i="9" a="1"/>
  <c r="AA49" i="9" s="1"/>
  <c r="AA66" i="9" a="1"/>
  <c r="AA66" i="9" s="1"/>
  <c r="AA54" i="9" a="1"/>
  <c r="AA54" i="9" s="1"/>
  <c r="AA42" i="9" a="1"/>
  <c r="AA42" i="9" s="1"/>
  <c r="AA59" i="9" a="1"/>
  <c r="AA59" i="9" s="1"/>
  <c r="AA47" i="9" a="1"/>
  <c r="AA47" i="9" s="1"/>
  <c r="AA64" i="9" a="1"/>
  <c r="AA64" i="9" s="1"/>
  <c r="AA52" i="9" a="1"/>
  <c r="AA52" i="9" s="1"/>
  <c r="AA40" i="9" a="1"/>
  <c r="AA40" i="9" s="1"/>
  <c r="AA57" i="9" a="1"/>
  <c r="AA57" i="9" s="1"/>
  <c r="AA45" i="9" a="1"/>
  <c r="AA45" i="9" s="1"/>
  <c r="AA62" i="9" a="1"/>
  <c r="AA62" i="9" s="1"/>
  <c r="AA50" i="9" a="1"/>
  <c r="AA50" i="9" s="1"/>
  <c r="AA55" i="9" a="1"/>
  <c r="AA55" i="9" s="1"/>
  <c r="AA43" i="9" a="1"/>
  <c r="AA43" i="9" s="1"/>
  <c r="AA60" i="9" a="1"/>
  <c r="AA60" i="9" s="1"/>
  <c r="AA48" i="9" a="1"/>
  <c r="AA48" i="9" s="1"/>
  <c r="AA32" i="9" a="1"/>
  <c r="AA32" i="9" s="1"/>
  <c r="AA20" i="9" a="1"/>
  <c r="AA20" i="9" s="1"/>
  <c r="AA37" i="9" a="1"/>
  <c r="AA37" i="9" s="1"/>
  <c r="AA25" i="9" a="1"/>
  <c r="AA25" i="9" s="1"/>
  <c r="AA30" i="9" a="1"/>
  <c r="AA30" i="9" s="1"/>
  <c r="AA18" i="9" a="1"/>
  <c r="AA18" i="9" s="1"/>
  <c r="AA63" i="9" a="1"/>
  <c r="AA63" i="9" s="1"/>
  <c r="AA51" i="9" a="1"/>
  <c r="AA51" i="9" s="1"/>
  <c r="AA35" i="9" a="1"/>
  <c r="AA35" i="9" s="1"/>
  <c r="AA28" i="9" a="1"/>
  <c r="AA28" i="9" s="1"/>
  <c r="AA16" i="9" a="1"/>
  <c r="AA16" i="9" s="1"/>
  <c r="AA65" i="9" a="1"/>
  <c r="AA65" i="9" s="1"/>
  <c r="AA53" i="9" a="1"/>
  <c r="AA53" i="9" s="1"/>
  <c r="AA39" i="9" a="1"/>
  <c r="AA39" i="9" s="1"/>
  <c r="AA33" i="9" a="1"/>
  <c r="AA33" i="9" s="1"/>
  <c r="AA21" i="9" a="1"/>
  <c r="AA21" i="9" s="1"/>
  <c r="AA31" i="9" a="1"/>
  <c r="AA31" i="9" s="1"/>
  <c r="AA19" i="9" a="1"/>
  <c r="AA19" i="9" s="1"/>
  <c r="AA36" i="9" a="1"/>
  <c r="AA36" i="9" s="1"/>
  <c r="AA24" i="9" a="1"/>
  <c r="AA24" i="9" s="1"/>
  <c r="AA41" i="9" a="1"/>
  <c r="AA41" i="9" s="1"/>
  <c r="AA29" i="9" a="1"/>
  <c r="AA29" i="9" s="1"/>
  <c r="AA17" i="9" a="1"/>
  <c r="AA17" i="9" s="1"/>
  <c r="AA11" i="9" a="1"/>
  <c r="AA11" i="9" s="1"/>
  <c r="AA38" i="9" a="1"/>
  <c r="AA38" i="9" s="1"/>
  <c r="AA23" i="9" a="1"/>
  <c r="AA23" i="9" s="1"/>
  <c r="AA22" i="9" a="1"/>
  <c r="AA22" i="9" s="1"/>
  <c r="AA9" i="9" a="1"/>
  <c r="AA9" i="9" s="1"/>
  <c r="AA58" i="9" a="1"/>
  <c r="AA58" i="9" s="1"/>
  <c r="AA14" i="9" a="1"/>
  <c r="AA14" i="9" s="1"/>
  <c r="AA7" i="9" a="1"/>
  <c r="AA7" i="9" s="1"/>
  <c r="AA26" i="9" a="1"/>
  <c r="AA26" i="9" s="1"/>
  <c r="AA12" i="9" a="1"/>
  <c r="AA12" i="9" s="1"/>
  <c r="AA34" i="9" a="1"/>
  <c r="AA34" i="9" s="1"/>
  <c r="AA5" i="9" a="1"/>
  <c r="AA5" i="9" s="1"/>
  <c r="AA27" i="9" a="1"/>
  <c r="AA27" i="9" s="1"/>
  <c r="AA10" i="9" a="1"/>
  <c r="AA10" i="9" s="1"/>
  <c r="AA15" i="9" a="1"/>
  <c r="AA15" i="9" s="1"/>
  <c r="AA46" i="9" a="1"/>
  <c r="AA46" i="9" s="1"/>
  <c r="AA8" i="9" a="1"/>
  <c r="AA8" i="9" s="1"/>
  <c r="AM134" i="9" a="1"/>
  <c r="AM134" i="9" s="1"/>
  <c r="AM130" i="9" a="1"/>
  <c r="AM130" i="9" s="1"/>
  <c r="AM131" i="9" a="1"/>
  <c r="AM131" i="9" s="1"/>
  <c r="AM133" i="9" a="1"/>
  <c r="AM133" i="9" s="1"/>
  <c r="AM129" i="9" a="1"/>
  <c r="AM129" i="9" s="1"/>
  <c r="AM126" i="9" a="1"/>
  <c r="AM126" i="9" s="1"/>
  <c r="AM128" i="9" a="1"/>
  <c r="AM128" i="9" s="1"/>
  <c r="AC128" i="2" s="1"/>
  <c r="AM132" i="9" a="1"/>
  <c r="AM132" i="9" s="1"/>
  <c r="AM136" i="9" a="1"/>
  <c r="AM136" i="9" s="1"/>
  <c r="AM125" i="9" a="1"/>
  <c r="AM125" i="9" s="1"/>
  <c r="AM122" i="9" a="1"/>
  <c r="AM122" i="9" s="1"/>
  <c r="AM120" i="9" a="1"/>
  <c r="AM120" i="9" s="1"/>
  <c r="AM127" i="9" a="1"/>
  <c r="AM127" i="9" s="1"/>
  <c r="AM115" i="9" a="1"/>
  <c r="AM115" i="9" s="1"/>
  <c r="AM113" i="9" a="1"/>
  <c r="AM113" i="9" s="1"/>
  <c r="AM118" i="9" a="1"/>
  <c r="AM118" i="9" s="1"/>
  <c r="AM135" i="9" a="1"/>
  <c r="AM135" i="9" s="1"/>
  <c r="AM124" i="9" a="1"/>
  <c r="AM124" i="9" s="1"/>
  <c r="AM123" i="9" a="1"/>
  <c r="AM123" i="9" s="1"/>
  <c r="AM107" i="9" a="1"/>
  <c r="AM107" i="9" s="1"/>
  <c r="AM105" i="9" a="1"/>
  <c r="AM105" i="9" s="1"/>
  <c r="AM110" i="9" a="1"/>
  <c r="AM110" i="9" s="1"/>
  <c r="AM103" i="9" a="1"/>
  <c r="AM103" i="9" s="1"/>
  <c r="AM117" i="9" a="1"/>
  <c r="AM117" i="9" s="1"/>
  <c r="AM116" i="9" a="1"/>
  <c r="AM116" i="9" s="1"/>
  <c r="AM108" i="9" a="1"/>
  <c r="AM108" i="9" s="1"/>
  <c r="AM114" i="9" a="1"/>
  <c r="AM114" i="9" s="1"/>
  <c r="AM101" i="9" a="1"/>
  <c r="AM101" i="9" s="1"/>
  <c r="AM112" i="9" a="1"/>
  <c r="AM112" i="9" s="1"/>
  <c r="AM106" i="9" a="1"/>
  <c r="AM106" i="9" s="1"/>
  <c r="AM121" i="9" a="1"/>
  <c r="AM121" i="9" s="1"/>
  <c r="AM104" i="9" a="1"/>
  <c r="AM104" i="9" s="1"/>
  <c r="AM119" i="9" a="1"/>
  <c r="AM119" i="9" s="1"/>
  <c r="AM111" i="9" a="1"/>
  <c r="AM111" i="9" s="1"/>
  <c r="AM99" i="9" a="1"/>
  <c r="AM99" i="9" s="1"/>
  <c r="AM97" i="9" a="1"/>
  <c r="AM97" i="9" s="1"/>
  <c r="AM95" i="9" a="1"/>
  <c r="AM95" i="9" s="1"/>
  <c r="AM102" i="9" a="1"/>
  <c r="AM102" i="9" s="1"/>
  <c r="AM100" i="9" a="1"/>
  <c r="AM100" i="9" s="1"/>
  <c r="AM93" i="9" a="1"/>
  <c r="AM93" i="9" s="1"/>
  <c r="AM109" i="9" a="1"/>
  <c r="AM109" i="9" s="1"/>
  <c r="AM98" i="9" a="1"/>
  <c r="AM98" i="9" s="1"/>
  <c r="AM91" i="9" a="1"/>
  <c r="AM91" i="9" s="1"/>
  <c r="AM96" i="9" a="1"/>
  <c r="AM96" i="9" s="1"/>
  <c r="AM94" i="9" a="1"/>
  <c r="AM94" i="9" s="1"/>
  <c r="AM86" i="9" a="1"/>
  <c r="AM86" i="9" s="1"/>
  <c r="AM84" i="9" a="1"/>
  <c r="AM84" i="9" s="1"/>
  <c r="AM89" i="9" a="1"/>
  <c r="AM89" i="9" s="1"/>
  <c r="AM82" i="9" a="1"/>
  <c r="AM82" i="9" s="1"/>
  <c r="AM87" i="9" a="1"/>
  <c r="AM87" i="9" s="1"/>
  <c r="AM80" i="9" a="1"/>
  <c r="AM80" i="9" s="1"/>
  <c r="AM85" i="9" a="1"/>
  <c r="AM85" i="9" s="1"/>
  <c r="AM92" i="9" a="1"/>
  <c r="AM92" i="9" s="1"/>
  <c r="AM90" i="9" a="1"/>
  <c r="AM90" i="9" s="1"/>
  <c r="AM83" i="9" a="1"/>
  <c r="AM83" i="9" s="1"/>
  <c r="AM75" i="9" a="1"/>
  <c r="AM75" i="9" s="1"/>
  <c r="AM68" i="9" a="1"/>
  <c r="AM68" i="9" s="1"/>
  <c r="AM73" i="9" a="1"/>
  <c r="AM73" i="9" s="1"/>
  <c r="AM78" i="9" a="1"/>
  <c r="AM78" i="9" s="1"/>
  <c r="AM71" i="9" a="1"/>
  <c r="AM71" i="9" s="1"/>
  <c r="AM76" i="9" a="1"/>
  <c r="AM76" i="9" s="1"/>
  <c r="AM69" i="9" a="1"/>
  <c r="AM69" i="9" s="1"/>
  <c r="AM74" i="9" a="1"/>
  <c r="AM74" i="9" s="1"/>
  <c r="AM79" i="9" a="1"/>
  <c r="AM79" i="9" s="1"/>
  <c r="AM67" i="9" a="1"/>
  <c r="AM67" i="9" s="1"/>
  <c r="AM72" i="9" a="1"/>
  <c r="AM72" i="9" s="1"/>
  <c r="AM56" i="9" a="1"/>
  <c r="AM56" i="9" s="1"/>
  <c r="AC56" i="2" s="1"/>
  <c r="AM44" i="9" a="1"/>
  <c r="AM44" i="9" s="1"/>
  <c r="AM61" i="9" a="1"/>
  <c r="AM61" i="9" s="1"/>
  <c r="AM49" i="9" a="1"/>
  <c r="AM49" i="9" s="1"/>
  <c r="AM66" i="9" a="1"/>
  <c r="AM66" i="9" s="1"/>
  <c r="AM54" i="9" a="1"/>
  <c r="AM54" i="9" s="1"/>
  <c r="AM42" i="9" a="1"/>
  <c r="AM42" i="9" s="1"/>
  <c r="AM59" i="9" a="1"/>
  <c r="AM59" i="9" s="1"/>
  <c r="AM47" i="9" a="1"/>
  <c r="AM47" i="9" s="1"/>
  <c r="AM64" i="9" a="1"/>
  <c r="AM64" i="9" s="1"/>
  <c r="AM52" i="9" a="1"/>
  <c r="AM52" i="9" s="1"/>
  <c r="AM40" i="9" a="1"/>
  <c r="AM40" i="9" s="1"/>
  <c r="AM88" i="9" a="1"/>
  <c r="AM88" i="9" s="1"/>
  <c r="AM57" i="9" a="1"/>
  <c r="AM57" i="9" s="1"/>
  <c r="AM45" i="9" a="1"/>
  <c r="AM45" i="9" s="1"/>
  <c r="AM62" i="9" a="1"/>
  <c r="AM62" i="9" s="1"/>
  <c r="AM50" i="9" a="1"/>
  <c r="AM50" i="9" s="1"/>
  <c r="AM55" i="9" a="1"/>
  <c r="AM55" i="9" s="1"/>
  <c r="AM43" i="9" a="1"/>
  <c r="AM43" i="9" s="1"/>
  <c r="AM81" i="9" a="1"/>
  <c r="AM81" i="9" s="1"/>
  <c r="AM60" i="9" a="1"/>
  <c r="AM60" i="9" s="1"/>
  <c r="AM48" i="9" a="1"/>
  <c r="AM48" i="9" s="1"/>
  <c r="AM32" i="9" a="1"/>
  <c r="AM32" i="9" s="1"/>
  <c r="AM20" i="9" a="1"/>
  <c r="AM20" i="9" s="1"/>
  <c r="AM41" i="9" a="1"/>
  <c r="AM41" i="9" s="1"/>
  <c r="AM37" i="9" a="1"/>
  <c r="AM37" i="9" s="1"/>
  <c r="AM25" i="9" a="1"/>
  <c r="AM25" i="9" s="1"/>
  <c r="AM30" i="9" a="1"/>
  <c r="AM30" i="9" s="1"/>
  <c r="AM18" i="9" a="1"/>
  <c r="AM18" i="9" s="1"/>
  <c r="AM70" i="9" a="1"/>
  <c r="AM70" i="9" s="1"/>
  <c r="AM35" i="9" a="1"/>
  <c r="AM35" i="9" s="1"/>
  <c r="AM58" i="9" a="1"/>
  <c r="AM58" i="9" s="1"/>
  <c r="AM46" i="9" a="1"/>
  <c r="AM46" i="9" s="1"/>
  <c r="AM28" i="9" a="1"/>
  <c r="AM28" i="9" s="1"/>
  <c r="AM16" i="9" a="1"/>
  <c r="AM16" i="9" s="1"/>
  <c r="AM33" i="9" a="1"/>
  <c r="AM33" i="9" s="1"/>
  <c r="AM21" i="9" a="1"/>
  <c r="AM21" i="9" s="1"/>
  <c r="AM31" i="9" a="1"/>
  <c r="AM31" i="9" s="1"/>
  <c r="AM19" i="9" a="1"/>
  <c r="AM19" i="9" s="1"/>
  <c r="AM36" i="9" a="1"/>
  <c r="AM36" i="9" s="1"/>
  <c r="AM24" i="9" a="1"/>
  <c r="AM24" i="9" s="1"/>
  <c r="AM63" i="9" a="1"/>
  <c r="AM63" i="9" s="1"/>
  <c r="AM51" i="9" a="1"/>
  <c r="AM51" i="9" s="1"/>
  <c r="AM39" i="9" a="1"/>
  <c r="AM39" i="9" s="1"/>
  <c r="AM29" i="9" a="1"/>
  <c r="AM29" i="9" s="1"/>
  <c r="AM34" i="9" a="1"/>
  <c r="AM34" i="9" s="1"/>
  <c r="AM11" i="9" a="1"/>
  <c r="AM11" i="9" s="1"/>
  <c r="AM17" i="9" a="1"/>
  <c r="AM17" i="9" s="1"/>
  <c r="AM9" i="9" a="1"/>
  <c r="AM9" i="9" s="1"/>
  <c r="AM53" i="9" a="1"/>
  <c r="AM53" i="9" s="1"/>
  <c r="AM23" i="9" a="1"/>
  <c r="AM23" i="9" s="1"/>
  <c r="AM14" i="9" a="1"/>
  <c r="AM14" i="9" s="1"/>
  <c r="AM22" i="9" a="1"/>
  <c r="AM22" i="9" s="1"/>
  <c r="AM7" i="9" a="1"/>
  <c r="AM7" i="9" s="1"/>
  <c r="AM12" i="9" a="1"/>
  <c r="AM12" i="9" s="1"/>
  <c r="AM5" i="9" a="1"/>
  <c r="AM5" i="9" s="1"/>
  <c r="AC5" i="2" s="1"/>
  <c r="AM38" i="9" a="1"/>
  <c r="AM38" i="9" s="1"/>
  <c r="AM26" i="9" a="1"/>
  <c r="AM26" i="9" s="1"/>
  <c r="AM10" i="9" a="1"/>
  <c r="AM10" i="9" s="1"/>
  <c r="AM77" i="9" a="1"/>
  <c r="AM77" i="9" s="1"/>
  <c r="AM15" i="9" a="1"/>
  <c r="AM15" i="9" s="1"/>
  <c r="AM8" i="9" a="1"/>
  <c r="AM8" i="9" s="1"/>
  <c r="AM65" i="9" a="1"/>
  <c r="AM65" i="9" s="1"/>
  <c r="AM27" i="9" a="1"/>
  <c r="AM27" i="9" s="1"/>
  <c r="AY134" i="9" a="1"/>
  <c r="AY134" i="9" s="1"/>
  <c r="AY130" i="9" a="1"/>
  <c r="AY130" i="9" s="1"/>
  <c r="AY136" i="9" a="1"/>
  <c r="AY136" i="9" s="1"/>
  <c r="AY132" i="9" a="1"/>
  <c r="AY132" i="9" s="1"/>
  <c r="AY126" i="9" a="1"/>
  <c r="AY126" i="9" s="1"/>
  <c r="AY135" i="9" a="1"/>
  <c r="AY135" i="9" s="1"/>
  <c r="AY131" i="9" a="1"/>
  <c r="AY131" i="9" s="1"/>
  <c r="AY133" i="9" a="1"/>
  <c r="AY133" i="9" s="1"/>
  <c r="AY129" i="9" a="1"/>
  <c r="AY129" i="9" s="1"/>
  <c r="AY127" i="9" a="1"/>
  <c r="AY127" i="9" s="1"/>
  <c r="AY125" i="9" a="1"/>
  <c r="AY125" i="9" s="1"/>
  <c r="AY122" i="9" a="1"/>
  <c r="AY122" i="9" s="1"/>
  <c r="AY123" i="9" a="1"/>
  <c r="AY123" i="9" s="1"/>
  <c r="AY124" i="9" a="1"/>
  <c r="AY124" i="9" s="1"/>
  <c r="AY120" i="9" a="1"/>
  <c r="AY120" i="9" s="1"/>
  <c r="AY128" i="9" a="1"/>
  <c r="AY128" i="9" s="1"/>
  <c r="AY119" i="9" a="1"/>
  <c r="AY119" i="9" s="1"/>
  <c r="AY115" i="9" a="1"/>
  <c r="AY115" i="9" s="1"/>
  <c r="AY113" i="9" a="1"/>
  <c r="AY113" i="9" s="1"/>
  <c r="AY118" i="9" a="1"/>
  <c r="AY118" i="9" s="1"/>
  <c r="AY107" i="9" a="1"/>
  <c r="AY107" i="9" s="1"/>
  <c r="AY105" i="9" a="1"/>
  <c r="AY105" i="9" s="1"/>
  <c r="AY110" i="9" a="1"/>
  <c r="AY110" i="9" s="1"/>
  <c r="AY103" i="9" a="1"/>
  <c r="AY103" i="9" s="1"/>
  <c r="AY108" i="9" a="1"/>
  <c r="AY108" i="9" s="1"/>
  <c r="AY121" i="9" a="1"/>
  <c r="AY121" i="9" s="1"/>
  <c r="AY101" i="9" a="1"/>
  <c r="AY101" i="9" s="1"/>
  <c r="AY106" i="9" a="1"/>
  <c r="AY106" i="9" s="1"/>
  <c r="AY117" i="9" a="1"/>
  <c r="AY117" i="9" s="1"/>
  <c r="AY116" i="9" a="1"/>
  <c r="AY116" i="9" s="1"/>
  <c r="AY104" i="9" a="1"/>
  <c r="AY104" i="9" s="1"/>
  <c r="AY99" i="9" a="1"/>
  <c r="AY99" i="9" s="1"/>
  <c r="AY97" i="9" a="1"/>
  <c r="AY97" i="9" s="1"/>
  <c r="AY111" i="9" a="1"/>
  <c r="AY111" i="9" s="1"/>
  <c r="AY95" i="9" a="1"/>
  <c r="AY95" i="9" s="1"/>
  <c r="AY114" i="9" a="1"/>
  <c r="AY114" i="9" s="1"/>
  <c r="AY93" i="9" a="1"/>
  <c r="AY93" i="9" s="1"/>
  <c r="AY112" i="9" a="1"/>
  <c r="AY112" i="9" s="1"/>
  <c r="AY100" i="9" a="1"/>
  <c r="AY100" i="9" s="1"/>
  <c r="AY98" i="9" a="1"/>
  <c r="AY98" i="9" s="1"/>
  <c r="AY91" i="9" a="1"/>
  <c r="AY91" i="9" s="1"/>
  <c r="AY102" i="9" a="1"/>
  <c r="AY102" i="9" s="1"/>
  <c r="AY96" i="9" a="1"/>
  <c r="AY96" i="9" s="1"/>
  <c r="AY86" i="9" a="1"/>
  <c r="AY86" i="9" s="1"/>
  <c r="AY84" i="9" a="1"/>
  <c r="AY84" i="9" s="1"/>
  <c r="AY92" i="9" a="1"/>
  <c r="AY92" i="9" s="1"/>
  <c r="AY90" i="9" a="1"/>
  <c r="AY90" i="9" s="1"/>
  <c r="AY89" i="9" a="1"/>
  <c r="AY89" i="9" s="1"/>
  <c r="AY109" i="9" a="1"/>
  <c r="AY109" i="9" s="1"/>
  <c r="AY82" i="9" a="1"/>
  <c r="AY82" i="9" s="1"/>
  <c r="AY87" i="9" a="1"/>
  <c r="AY87" i="9" s="1"/>
  <c r="AY94" i="9" a="1"/>
  <c r="AY94" i="9" s="1"/>
  <c r="AY80" i="9" a="1"/>
  <c r="AY80" i="9" s="1"/>
  <c r="AY85" i="9" a="1"/>
  <c r="AY85" i="9" s="1"/>
  <c r="AY83" i="9" a="1"/>
  <c r="AY83" i="9" s="1"/>
  <c r="AY75" i="9" a="1"/>
  <c r="AY75" i="9" s="1"/>
  <c r="AY68" i="9" a="1"/>
  <c r="AY68" i="9" s="1"/>
  <c r="AY73" i="9" a="1"/>
  <c r="AY73" i="9" s="1"/>
  <c r="AY78" i="9" a="1"/>
  <c r="AY78" i="9" s="1"/>
  <c r="AY71" i="9" a="1"/>
  <c r="AY71" i="9" s="1"/>
  <c r="AY76" i="9" a="1"/>
  <c r="AY76" i="9" s="1"/>
  <c r="AY69" i="9" a="1"/>
  <c r="AY69" i="9" s="1"/>
  <c r="AY88" i="9" a="1"/>
  <c r="AY88" i="9" s="1"/>
  <c r="AY81" i="9" a="1"/>
  <c r="AY81" i="9" s="1"/>
  <c r="AY74" i="9" a="1"/>
  <c r="AY74" i="9" s="1"/>
  <c r="AY67" i="9" a="1"/>
  <c r="AY67" i="9" s="1"/>
  <c r="AY72" i="9" a="1"/>
  <c r="AY72" i="9" s="1"/>
  <c r="AY56" i="9" a="1"/>
  <c r="AY56" i="9" s="1"/>
  <c r="AY44" i="9" a="1"/>
  <c r="AY44" i="9" s="1"/>
  <c r="AY61" i="9" a="1"/>
  <c r="AY61" i="9" s="1"/>
  <c r="AY49" i="9" a="1"/>
  <c r="AY49" i="9" s="1"/>
  <c r="AY54" i="9" a="1"/>
  <c r="AY54" i="9" s="1"/>
  <c r="AY42" i="9" a="1"/>
  <c r="AY42" i="9" s="1"/>
  <c r="AY59" i="9" a="1"/>
  <c r="AY59" i="9" s="1"/>
  <c r="AY47" i="9" a="1"/>
  <c r="AY47" i="9" s="1"/>
  <c r="AY64" i="9" a="1"/>
  <c r="AY64" i="9" s="1"/>
  <c r="AY52" i="9" a="1"/>
  <c r="AY52" i="9" s="1"/>
  <c r="AY40" i="9" a="1"/>
  <c r="AY40" i="9" s="1"/>
  <c r="AY77" i="9" a="1"/>
  <c r="AY77" i="9" s="1"/>
  <c r="AY70" i="9" a="1"/>
  <c r="AY70" i="9" s="1"/>
  <c r="AY57" i="9" a="1"/>
  <c r="AY57" i="9" s="1"/>
  <c r="AY45" i="9" a="1"/>
  <c r="AY45" i="9" s="1"/>
  <c r="AY62" i="9" a="1"/>
  <c r="AY62" i="9" s="1"/>
  <c r="AY50" i="9" a="1"/>
  <c r="AY50" i="9" s="1"/>
  <c r="AY38" i="9" a="1"/>
  <c r="AY38" i="9" s="1"/>
  <c r="AY79" i="9" a="1"/>
  <c r="AY79" i="9" s="1"/>
  <c r="AY66" i="9" a="1"/>
  <c r="AY66" i="9" s="1"/>
  <c r="AY55" i="9" a="1"/>
  <c r="AY55" i="9" s="1"/>
  <c r="AY43" i="9" a="1"/>
  <c r="AY43" i="9" s="1"/>
  <c r="AY60" i="9" a="1"/>
  <c r="AY60" i="9" s="1"/>
  <c r="AY48" i="9" a="1"/>
  <c r="AY48" i="9" s="1"/>
  <c r="AY32" i="9" a="1"/>
  <c r="AY32" i="9" s="1"/>
  <c r="AY20" i="9" a="1"/>
  <c r="AY20" i="9" s="1"/>
  <c r="AY39" i="9" a="1"/>
  <c r="AY39" i="9" s="1"/>
  <c r="AY37" i="9" a="1"/>
  <c r="AY37" i="9" s="1"/>
  <c r="AY25" i="9" a="1"/>
  <c r="AY25" i="9" s="1"/>
  <c r="AY30" i="9" a="1"/>
  <c r="AY30" i="9" s="1"/>
  <c r="AY18" i="9" a="1"/>
  <c r="AY18" i="9" s="1"/>
  <c r="AY63" i="9" a="1"/>
  <c r="AY63" i="9" s="1"/>
  <c r="AY51" i="9" a="1"/>
  <c r="AY51" i="9" s="1"/>
  <c r="AY35" i="9" a="1"/>
  <c r="AY35" i="9" s="1"/>
  <c r="AY28" i="9" a="1"/>
  <c r="AY28" i="9" s="1"/>
  <c r="AY16" i="9" a="1"/>
  <c r="AY16" i="9" s="1"/>
  <c r="AY65" i="9" a="1"/>
  <c r="AY65" i="9" s="1"/>
  <c r="AY53" i="9" a="1"/>
  <c r="AY53" i="9" s="1"/>
  <c r="AY41" i="9" a="1"/>
  <c r="AY41" i="9" s="1"/>
  <c r="AY33" i="9" a="1"/>
  <c r="AY33" i="9" s="1"/>
  <c r="AY21" i="9" a="1"/>
  <c r="AY21" i="9" s="1"/>
  <c r="AY31" i="9" a="1"/>
  <c r="AY31" i="9" s="1"/>
  <c r="AY19" i="9" a="1"/>
  <c r="AY19" i="9" s="1"/>
  <c r="AY36" i="9" a="1"/>
  <c r="AY36" i="9" s="1"/>
  <c r="AY24" i="9" a="1"/>
  <c r="AY24" i="9" s="1"/>
  <c r="AY29" i="9" a="1"/>
  <c r="AY29" i="9" s="1"/>
  <c r="AY11" i="9" a="1"/>
  <c r="AY11" i="9" s="1"/>
  <c r="AY58" i="9" a="1"/>
  <c r="AY58" i="9" s="1"/>
  <c r="AY9" i="9" a="1"/>
  <c r="AY9" i="9" s="1"/>
  <c r="AY27" i="9" a="1"/>
  <c r="AY27" i="9" s="1"/>
  <c r="AY14" i="9" a="1"/>
  <c r="AY14" i="9" s="1"/>
  <c r="AY17" i="9" a="1"/>
  <c r="AY17" i="9" s="1"/>
  <c r="AY7" i="9" a="1"/>
  <c r="AY7" i="9" s="1"/>
  <c r="AY23" i="9" a="1"/>
  <c r="AY23" i="9" s="1"/>
  <c r="AY12" i="9" a="1"/>
  <c r="AY12" i="9" s="1"/>
  <c r="AY46" i="9" a="1"/>
  <c r="AY46" i="9" s="1"/>
  <c r="AY34" i="9" a="1"/>
  <c r="AY34" i="9" s="1"/>
  <c r="AY22" i="9" a="1"/>
  <c r="AY22" i="9" s="1"/>
  <c r="AY5" i="9" a="1"/>
  <c r="AY5" i="9" s="1"/>
  <c r="AY10" i="9" a="1"/>
  <c r="AY10" i="9" s="1"/>
  <c r="AY15" i="9" a="1"/>
  <c r="AY15" i="9" s="1"/>
  <c r="AY26" i="9" a="1"/>
  <c r="AY26" i="9" s="1"/>
  <c r="AY8" i="9" a="1"/>
  <c r="AY8" i="9" s="1"/>
  <c r="BK134" i="9" a="1"/>
  <c r="BK134" i="9" s="1"/>
  <c r="BK135" i="9" a="1"/>
  <c r="BK135" i="9" s="1"/>
  <c r="BK133" i="9" a="1"/>
  <c r="BK133" i="9" s="1"/>
  <c r="BK129" i="9" a="1"/>
  <c r="BK129" i="9" s="1"/>
  <c r="BK126" i="9" a="1"/>
  <c r="BK126" i="9" s="1"/>
  <c r="BK136" i="9" a="1"/>
  <c r="BK136" i="9" s="1"/>
  <c r="BK130" i="9" a="1"/>
  <c r="BK130" i="9" s="1"/>
  <c r="BK131" i="9" a="1"/>
  <c r="BK131" i="9" s="1"/>
  <c r="BK132" i="9" a="1"/>
  <c r="BK132" i="9" s="1"/>
  <c r="BK125" i="9" a="1"/>
  <c r="BK125" i="9" s="1"/>
  <c r="BK127" i="9" a="1"/>
  <c r="BK127" i="9" s="1"/>
  <c r="BK124" i="9" a="1"/>
  <c r="BK124" i="9" s="1"/>
  <c r="BK120" i="9" a="1"/>
  <c r="BK120" i="9" s="1"/>
  <c r="BK121" i="9" a="1"/>
  <c r="BK121" i="9" s="1"/>
  <c r="BK115" i="9" a="1"/>
  <c r="BK115" i="9" s="1"/>
  <c r="BK113" i="9" a="1"/>
  <c r="BK113" i="9" s="1"/>
  <c r="BK119" i="9" a="1"/>
  <c r="BK119" i="9" s="1"/>
  <c r="BK118" i="9" a="1"/>
  <c r="BK118" i="9" s="1"/>
  <c r="BK123" i="9" a="1"/>
  <c r="BK123" i="9" s="1"/>
  <c r="BK107" i="9" a="1"/>
  <c r="BK107" i="9" s="1"/>
  <c r="BK128" i="9" a="1"/>
  <c r="BK128" i="9" s="1"/>
  <c r="BK105" i="9" a="1"/>
  <c r="BK105" i="9" s="1"/>
  <c r="BK112" i="9" a="1"/>
  <c r="BK112" i="9" s="1"/>
  <c r="BK110" i="9" a="1"/>
  <c r="BK110" i="9" s="1"/>
  <c r="BK103" i="9" a="1"/>
  <c r="BK103" i="9" s="1"/>
  <c r="BK108" i="9" a="1"/>
  <c r="BK108" i="9" s="1"/>
  <c r="BK101" i="9" a="1"/>
  <c r="BK101" i="9" s="1"/>
  <c r="BK106" i="9" a="1"/>
  <c r="BK106" i="9" s="1"/>
  <c r="BK104" i="9" a="1"/>
  <c r="BK104" i="9" s="1"/>
  <c r="BK99" i="9" a="1"/>
  <c r="BK99" i="9" s="1"/>
  <c r="BK97" i="9" a="1"/>
  <c r="BK97" i="9" s="1"/>
  <c r="BK114" i="9" a="1"/>
  <c r="BK114" i="9" s="1"/>
  <c r="BK109" i="9" a="1"/>
  <c r="BK109" i="9" s="1"/>
  <c r="BK95" i="9" a="1"/>
  <c r="BK95" i="9" s="1"/>
  <c r="BK93" i="9" a="1"/>
  <c r="BK93" i="9" s="1"/>
  <c r="BK98" i="9" a="1"/>
  <c r="BK98" i="9" s="1"/>
  <c r="BK111" i="9" a="1"/>
  <c r="BK111" i="9" s="1"/>
  <c r="BK91" i="9" a="1"/>
  <c r="BK91" i="9" s="1"/>
  <c r="BK117" i="9" a="1"/>
  <c r="BK117" i="9" s="1"/>
  <c r="BK96" i="9" a="1"/>
  <c r="BK96" i="9" s="1"/>
  <c r="BK116" i="9" a="1"/>
  <c r="BK116" i="9" s="1"/>
  <c r="BK94" i="9" a="1"/>
  <c r="BK94" i="9" s="1"/>
  <c r="BK86" i="9" a="1"/>
  <c r="BK86" i="9" s="1"/>
  <c r="BK84" i="9" a="1"/>
  <c r="BK84" i="9" s="1"/>
  <c r="BK122" i="9" a="1"/>
  <c r="BK122" i="9" s="1"/>
  <c r="BK100" i="9" a="1"/>
  <c r="BK100" i="9" s="1"/>
  <c r="BK89" i="9" a="1"/>
  <c r="BK89" i="9" s="1"/>
  <c r="BK82" i="9" a="1"/>
  <c r="BK82" i="9" s="1"/>
  <c r="BK87" i="9" a="1"/>
  <c r="BK87" i="9" s="1"/>
  <c r="BK80" i="9" a="1"/>
  <c r="BK80" i="9" s="1"/>
  <c r="BK85" i="9" a="1"/>
  <c r="BK85" i="9" s="1"/>
  <c r="BK102" i="9" a="1"/>
  <c r="BK102" i="9" s="1"/>
  <c r="BK92" i="9" a="1"/>
  <c r="BK92" i="9" s="1"/>
  <c r="BK90" i="9" a="1"/>
  <c r="BK90" i="9" s="1"/>
  <c r="BK83" i="9" a="1"/>
  <c r="BK83" i="9" s="1"/>
  <c r="BK75" i="9" a="1"/>
  <c r="BK75" i="9" s="1"/>
  <c r="BK68" i="9" a="1"/>
  <c r="BK68" i="9" s="1"/>
  <c r="BK73" i="9" a="1"/>
  <c r="BK73" i="9" s="1"/>
  <c r="BK88" i="9" a="1"/>
  <c r="BK88" i="9" s="1"/>
  <c r="BK81" i="9" a="1"/>
  <c r="BK81" i="9" s="1"/>
  <c r="BK78" i="9" a="1"/>
  <c r="BK78" i="9" s="1"/>
  <c r="BK66" i="9" a="1"/>
  <c r="BK66" i="9" s="1"/>
  <c r="BK71" i="9" a="1"/>
  <c r="BK71" i="9" s="1"/>
  <c r="BK76" i="9" a="1"/>
  <c r="BK76" i="9" s="1"/>
  <c r="BK69" i="9" a="1"/>
  <c r="BK69" i="9" s="1"/>
  <c r="BK79" i="9" a="1"/>
  <c r="BK79" i="9" s="1"/>
  <c r="BK74" i="9" a="1"/>
  <c r="BK74" i="9" s="1"/>
  <c r="BK67" i="9" a="1"/>
  <c r="BK67" i="9" s="1"/>
  <c r="BK72" i="9" a="1"/>
  <c r="BK72" i="9" s="1"/>
  <c r="BK56" i="9" a="1"/>
  <c r="BK56" i="9" s="1"/>
  <c r="BK44" i="9" a="1"/>
  <c r="BK44" i="9" s="1"/>
  <c r="BK77" i="9" a="1"/>
  <c r="BK77" i="9" s="1"/>
  <c r="BK70" i="9" a="1"/>
  <c r="BK70" i="9" s="1"/>
  <c r="BK61" i="9" a="1"/>
  <c r="BK61" i="9" s="1"/>
  <c r="BK49" i="9" a="1"/>
  <c r="BK49" i="9" s="1"/>
  <c r="BK54" i="9" a="1"/>
  <c r="BK54" i="9" s="1"/>
  <c r="BK42" i="9" a="1"/>
  <c r="BK42" i="9" s="1"/>
  <c r="BK59" i="9" a="1"/>
  <c r="BK59" i="9" s="1"/>
  <c r="BK47" i="9" a="1"/>
  <c r="BK47" i="9" s="1"/>
  <c r="BK64" i="9" a="1"/>
  <c r="BK64" i="9" s="1"/>
  <c r="BK52" i="9" a="1"/>
  <c r="BK52" i="9" s="1"/>
  <c r="BK40" i="9" a="1"/>
  <c r="BK40" i="9" s="1"/>
  <c r="BK57" i="9" a="1"/>
  <c r="BK57" i="9" s="1"/>
  <c r="BK45" i="9" a="1"/>
  <c r="BK45" i="9" s="1"/>
  <c r="BK62" i="9" a="1"/>
  <c r="BK62" i="9" s="1"/>
  <c r="BK50" i="9" a="1"/>
  <c r="BK50" i="9" s="1"/>
  <c r="BK38" i="9" a="1"/>
  <c r="BK38" i="9" s="1"/>
  <c r="BK55" i="9" a="1"/>
  <c r="BK55" i="9" s="1"/>
  <c r="BK43" i="9" a="1"/>
  <c r="BK43" i="9" s="1"/>
  <c r="BK60" i="9" a="1"/>
  <c r="BK60" i="9" s="1"/>
  <c r="BK48" i="9" a="1"/>
  <c r="BK48" i="9" s="1"/>
  <c r="BK32" i="9" a="1"/>
  <c r="BK32" i="9" s="1"/>
  <c r="BK20" i="9" a="1"/>
  <c r="BK20" i="9" s="1"/>
  <c r="BK37" i="9" a="1"/>
  <c r="BK37" i="9" s="1"/>
  <c r="BK25" i="9" a="1"/>
  <c r="BK25" i="9" s="1"/>
  <c r="BK30" i="9" a="1"/>
  <c r="BK30" i="9" s="1"/>
  <c r="BK18" i="9" a="1"/>
  <c r="BK18" i="9" s="1"/>
  <c r="BK35" i="9" a="1"/>
  <c r="BK35" i="9" s="1"/>
  <c r="BK58" i="9" a="1"/>
  <c r="BK58" i="9" s="1"/>
  <c r="BK46" i="9" a="1"/>
  <c r="BK46" i="9" s="1"/>
  <c r="BK28" i="9" a="1"/>
  <c r="BK28" i="9" s="1"/>
  <c r="BK16" i="9" a="1"/>
  <c r="BK16" i="9" s="1"/>
  <c r="BK39" i="9" a="1"/>
  <c r="BK39" i="9" s="1"/>
  <c r="BK33" i="9" a="1"/>
  <c r="BK33" i="9" s="1"/>
  <c r="BK21" i="9" a="1"/>
  <c r="BK21" i="9" s="1"/>
  <c r="BK31" i="9" a="1"/>
  <c r="BK31" i="9" s="1"/>
  <c r="BK19" i="9" a="1"/>
  <c r="BK19" i="9" s="1"/>
  <c r="BK36" i="9" a="1"/>
  <c r="BK36" i="9" s="1"/>
  <c r="BK24" i="9" a="1"/>
  <c r="BK24" i="9" s="1"/>
  <c r="BK63" i="9" a="1"/>
  <c r="BK63" i="9" s="1"/>
  <c r="BK51" i="9" a="1"/>
  <c r="BK51" i="9" s="1"/>
  <c r="BK29" i="9" a="1"/>
  <c r="BK29" i="9" s="1"/>
  <c r="BK34" i="9" a="1"/>
  <c r="BK34" i="9" s="1"/>
  <c r="BK11" i="9" a="1"/>
  <c r="BK11" i="9" s="1"/>
  <c r="BK53" i="9" a="1"/>
  <c r="BK53" i="9" s="1"/>
  <c r="BK9" i="9" a="1"/>
  <c r="BK9" i="9" s="1"/>
  <c r="BK14" i="9" a="1"/>
  <c r="BK14" i="9" s="1"/>
  <c r="BK7" i="9" a="1"/>
  <c r="BK7" i="9" s="1"/>
  <c r="BK12" i="9" a="1"/>
  <c r="BK12" i="9" s="1"/>
  <c r="BK17" i="9" a="1"/>
  <c r="BK17" i="9" s="1"/>
  <c r="BK5" i="9" a="1"/>
  <c r="BK5" i="9" s="1"/>
  <c r="BK41" i="9" a="1"/>
  <c r="BK41" i="9" s="1"/>
  <c r="BK27" i="9" a="1"/>
  <c r="BK27" i="9" s="1"/>
  <c r="BK23" i="9" a="1"/>
  <c r="BK23" i="9" s="1"/>
  <c r="BK10" i="9" a="1"/>
  <c r="BK10" i="9" s="1"/>
  <c r="BK22" i="9" a="1"/>
  <c r="BK22" i="9" s="1"/>
  <c r="BK15" i="9" a="1"/>
  <c r="BK15" i="9" s="1"/>
  <c r="BK65" i="9" a="1"/>
  <c r="BK65" i="9" s="1"/>
  <c r="BK8" i="9" a="1"/>
  <c r="BK8" i="9" s="1"/>
  <c r="BK26" i="9" a="1"/>
  <c r="BK26" i="9" s="1"/>
  <c r="BW134" i="9" a="1"/>
  <c r="BW134" i="9" s="1"/>
  <c r="BW131" i="9" a="1"/>
  <c r="BW131" i="9" s="1"/>
  <c r="BW126" i="9" a="1"/>
  <c r="BW126" i="9" s="1"/>
  <c r="BW136" i="9" a="1"/>
  <c r="BW136" i="9" s="1"/>
  <c r="BW125" i="9" a="1"/>
  <c r="BW125" i="9" s="1"/>
  <c r="BW132" i="9" a="1"/>
  <c r="BW132" i="9" s="1"/>
  <c r="BW122" i="9" a="1"/>
  <c r="BW122" i="9" s="1"/>
  <c r="BW127" i="9" a="1"/>
  <c r="BW127" i="9" s="1"/>
  <c r="BW120" i="9" a="1"/>
  <c r="BW120" i="9" s="1"/>
  <c r="BW133" i="9" a="1"/>
  <c r="BW133" i="9" s="1"/>
  <c r="BW128" i="9" a="1"/>
  <c r="BW128" i="9" s="1"/>
  <c r="BW123" i="9" a="1"/>
  <c r="BW123" i="9" s="1"/>
  <c r="BW129" i="9" a="1"/>
  <c r="BW129" i="9" s="1"/>
  <c r="BW115" i="9" a="1"/>
  <c r="BW115" i="9" s="1"/>
  <c r="BW135" i="9" a="1"/>
  <c r="BW135" i="9" s="1"/>
  <c r="BW121" i="9" a="1"/>
  <c r="BW121" i="9" s="1"/>
  <c r="BW113" i="9" a="1"/>
  <c r="BW113" i="9" s="1"/>
  <c r="BW118" i="9" a="1"/>
  <c r="BW118" i="9" s="1"/>
  <c r="BW130" i="9" a="1"/>
  <c r="BW130" i="9" s="1"/>
  <c r="BW124" i="9" a="1"/>
  <c r="BW124" i="9" s="1"/>
  <c r="BW114" i="9" a="1"/>
  <c r="BW114" i="9" s="1"/>
  <c r="BW107" i="9" a="1"/>
  <c r="BW107" i="9" s="1"/>
  <c r="BW119" i="9" a="1"/>
  <c r="BW119" i="9" s="1"/>
  <c r="BW105" i="9" a="1"/>
  <c r="BW105" i="9" s="1"/>
  <c r="BW110" i="9" a="1"/>
  <c r="BW110" i="9" s="1"/>
  <c r="BW103" i="9" a="1"/>
  <c r="BW103" i="9" s="1"/>
  <c r="BW117" i="9" a="1"/>
  <c r="BW117" i="9" s="1"/>
  <c r="BW116" i="9" a="1"/>
  <c r="BW116" i="9" s="1"/>
  <c r="BW108" i="9" a="1"/>
  <c r="BW108" i="9" s="1"/>
  <c r="BW101" i="9" a="1"/>
  <c r="BW101" i="9" s="1"/>
  <c r="BW106" i="9" a="1"/>
  <c r="BW106" i="9" s="1"/>
  <c r="BW104" i="9" a="1"/>
  <c r="BW104" i="9" s="1"/>
  <c r="BW111" i="9" a="1"/>
  <c r="BW111" i="9" s="1"/>
  <c r="BW99" i="9" a="1"/>
  <c r="BW99" i="9" s="1"/>
  <c r="BW97" i="9" a="1"/>
  <c r="BW97" i="9" s="1"/>
  <c r="BW95" i="9" a="1"/>
  <c r="BW95" i="9" s="1"/>
  <c r="BW112" i="9" a="1"/>
  <c r="BW112" i="9" s="1"/>
  <c r="BW102" i="9" a="1"/>
  <c r="BW102" i="9" s="1"/>
  <c r="BW93" i="9" a="1"/>
  <c r="BW93" i="9" s="1"/>
  <c r="BW109" i="9" a="1"/>
  <c r="BW109" i="9" s="1"/>
  <c r="BW100" i="9" a="1"/>
  <c r="BW100" i="9" s="1"/>
  <c r="BW98" i="9" a="1"/>
  <c r="BW98" i="9" s="1"/>
  <c r="BW91" i="9" a="1"/>
  <c r="BW91" i="9" s="1"/>
  <c r="BW96" i="9" a="1"/>
  <c r="BW96" i="9" s="1"/>
  <c r="BW86" i="9" a="1"/>
  <c r="BW86" i="9" s="1"/>
  <c r="BW79" i="9" a="1"/>
  <c r="BW79" i="9" s="1"/>
  <c r="BW84" i="9" a="1"/>
  <c r="BW84" i="9" s="1"/>
  <c r="BW92" i="9" a="1"/>
  <c r="BW92" i="9" s="1"/>
  <c r="BW90" i="9" a="1"/>
  <c r="BW90" i="9" s="1"/>
  <c r="BW89" i="9" a="1"/>
  <c r="BW89" i="9" s="1"/>
  <c r="BW82" i="9" a="1"/>
  <c r="BW82" i="9" s="1"/>
  <c r="BW87" i="9" a="1"/>
  <c r="BW87" i="9" s="1"/>
  <c r="BW94" i="9" a="1"/>
  <c r="BW94" i="9" s="1"/>
  <c r="BW80" i="9" a="1"/>
  <c r="BW80" i="9" s="1"/>
  <c r="BW85" i="9" a="1"/>
  <c r="BW85" i="9" s="1"/>
  <c r="BW83" i="9" a="1"/>
  <c r="BW83" i="9" s="1"/>
  <c r="BW75" i="9" a="1"/>
  <c r="BW75" i="9" s="1"/>
  <c r="BW68" i="9" a="1"/>
  <c r="BW68" i="9" s="1"/>
  <c r="BW73" i="9" a="1"/>
  <c r="BW73" i="9" s="1"/>
  <c r="BW78" i="9" a="1"/>
  <c r="BW78" i="9" s="1"/>
  <c r="BW66" i="9" a="1"/>
  <c r="BW66" i="9" s="1"/>
  <c r="BW71" i="9" a="1"/>
  <c r="BW71" i="9" s="1"/>
  <c r="BW76" i="9" a="1"/>
  <c r="BW76" i="9" s="1"/>
  <c r="BW69" i="9" a="1"/>
  <c r="BW69" i="9" s="1"/>
  <c r="BW74" i="9" a="1"/>
  <c r="BW74" i="9" s="1"/>
  <c r="BW67" i="9" a="1"/>
  <c r="BW67" i="9" s="1"/>
  <c r="BW72" i="9" a="1"/>
  <c r="BW72" i="9" s="1"/>
  <c r="BW56" i="9" a="1"/>
  <c r="BW56" i="9" s="1"/>
  <c r="BW44" i="9" a="1"/>
  <c r="BW44" i="9" s="1"/>
  <c r="BW61" i="9" a="1"/>
  <c r="BW61" i="9" s="1"/>
  <c r="BW49" i="9" a="1"/>
  <c r="BW49" i="9" s="1"/>
  <c r="BW54" i="9" a="1"/>
  <c r="BW54" i="9" s="1"/>
  <c r="BW42" i="9" a="1"/>
  <c r="BW42" i="9" s="1"/>
  <c r="BW88" i="9" a="1"/>
  <c r="BW88" i="9" s="1"/>
  <c r="BW59" i="9" a="1"/>
  <c r="BW59" i="9" s="1"/>
  <c r="BW47" i="9" a="1"/>
  <c r="BW47" i="9" s="1"/>
  <c r="BW64" i="9" a="1"/>
  <c r="BW64" i="9" s="1"/>
  <c r="BW52" i="9" a="1"/>
  <c r="BW52" i="9" s="1"/>
  <c r="BW40" i="9" a="1"/>
  <c r="BW40" i="9" s="1"/>
  <c r="BW57" i="9" a="1"/>
  <c r="BW57" i="9" s="1"/>
  <c r="BW45" i="9" a="1"/>
  <c r="BW45" i="9" s="1"/>
  <c r="BW81" i="9" a="1"/>
  <c r="BW81" i="9" s="1"/>
  <c r="BW62" i="9" a="1"/>
  <c r="BW62" i="9" s="1"/>
  <c r="BW50" i="9" a="1"/>
  <c r="BW50" i="9" s="1"/>
  <c r="BW38" i="9" a="1"/>
  <c r="BW38" i="9" s="1"/>
  <c r="BW55" i="9" a="1"/>
  <c r="BW55" i="9" s="1"/>
  <c r="BW43" i="9" a="1"/>
  <c r="BW43" i="9" s="1"/>
  <c r="BW60" i="9" a="1"/>
  <c r="BW60" i="9" s="1"/>
  <c r="BW48" i="9" a="1"/>
  <c r="BW48" i="9" s="1"/>
  <c r="BW70" i="9" a="1"/>
  <c r="BW70" i="9" s="1"/>
  <c r="BW32" i="9" a="1"/>
  <c r="BW32" i="9" s="1"/>
  <c r="BW20" i="9" a="1"/>
  <c r="BW20" i="9" s="1"/>
  <c r="BW37" i="9" a="1"/>
  <c r="BW37" i="9" s="1"/>
  <c r="BW25" i="9" a="1"/>
  <c r="BW25" i="9" s="1"/>
  <c r="BW30" i="9" a="1"/>
  <c r="BW30" i="9" s="1"/>
  <c r="BW18" i="9" a="1"/>
  <c r="BW18" i="9" s="1"/>
  <c r="BW63" i="9" a="1"/>
  <c r="BW63" i="9" s="1"/>
  <c r="BW51" i="9" a="1"/>
  <c r="BW51" i="9" s="1"/>
  <c r="BW35" i="9" a="1"/>
  <c r="BW35" i="9" s="1"/>
  <c r="BW28" i="9" a="1"/>
  <c r="BW28" i="9" s="1"/>
  <c r="BW16" i="9" a="1"/>
  <c r="BW16" i="9" s="1"/>
  <c r="BW65" i="9" a="1"/>
  <c r="BW65" i="9" s="1"/>
  <c r="BW53" i="9" a="1"/>
  <c r="BW53" i="9" s="1"/>
  <c r="BW41" i="9" a="1"/>
  <c r="BW41" i="9" s="1"/>
  <c r="BW33" i="9" a="1"/>
  <c r="BW33" i="9" s="1"/>
  <c r="BW21" i="9" a="1"/>
  <c r="BW21" i="9" s="1"/>
  <c r="BW31" i="9" a="1"/>
  <c r="BW31" i="9" s="1"/>
  <c r="BW19" i="9" a="1"/>
  <c r="BW19" i="9" s="1"/>
  <c r="BW77" i="9" a="1"/>
  <c r="BW77" i="9" s="1"/>
  <c r="BW36" i="9" a="1"/>
  <c r="BW36" i="9" s="1"/>
  <c r="BW24" i="9" a="1"/>
  <c r="BW24" i="9" s="1"/>
  <c r="BW39" i="9" a="1"/>
  <c r="BW39" i="9" s="1"/>
  <c r="BW29" i="9" a="1"/>
  <c r="BW29" i="9" s="1"/>
  <c r="BW11" i="9" a="1"/>
  <c r="BW11" i="9" s="1"/>
  <c r="BW26" i="9" a="1"/>
  <c r="BW26" i="9" s="1"/>
  <c r="BW9" i="9" a="1"/>
  <c r="BW9" i="9" s="1"/>
  <c r="BW46" i="9" a="1"/>
  <c r="BW46" i="9" s="1"/>
  <c r="BW14" i="9" a="1"/>
  <c r="BW14" i="9" s="1"/>
  <c r="BW7" i="9" a="1"/>
  <c r="BW7" i="9" s="1"/>
  <c r="BW12" i="9" a="1"/>
  <c r="BW12" i="9" s="1"/>
  <c r="BW34" i="9" a="1"/>
  <c r="BW34" i="9" s="1"/>
  <c r="BW5" i="9" a="1"/>
  <c r="BW5" i="9" s="1"/>
  <c r="BW10" i="9" a="1"/>
  <c r="BW10" i="9" s="1"/>
  <c r="BW17" i="9" a="1"/>
  <c r="BW17" i="9" s="1"/>
  <c r="BW15" i="9" a="1"/>
  <c r="BW15" i="9" s="1"/>
  <c r="BW23" i="9" a="1"/>
  <c r="BW23" i="9" s="1"/>
  <c r="BW8" i="9" a="1"/>
  <c r="BW8" i="9" s="1"/>
  <c r="BW22" i="9" a="1"/>
  <c r="BW22" i="9" s="1"/>
  <c r="BW58" i="9" a="1"/>
  <c r="BW58" i="9" s="1"/>
  <c r="BW27" i="9" a="1"/>
  <c r="BW27" i="9" s="1"/>
  <c r="BB4" i="9" a="1"/>
  <c r="BB4" i="9" s="1"/>
  <c r="BZ4" i="9" a="1"/>
  <c r="BZ4" i="9" s="1"/>
  <c r="AE5" i="9" a="1"/>
  <c r="AE5" i="9" s="1"/>
  <c r="BD5" i="9" a="1"/>
  <c r="BD5" i="9" s="1"/>
  <c r="AA6" i="9" a="1"/>
  <c r="AA6" i="9" s="1"/>
  <c r="AJ6" i="9" a="1"/>
  <c r="AJ6" i="9" s="1"/>
  <c r="BZ6" i="9" a="1"/>
  <c r="BZ6" i="9" s="1"/>
  <c r="AQ7" i="9" a="1"/>
  <c r="AQ7" i="9" s="1"/>
  <c r="AE8" i="9" a="1"/>
  <c r="AE8" i="9" s="1"/>
  <c r="BC8" i="9" a="1"/>
  <c r="BC8" i="9" s="1"/>
  <c r="BO8" i="9" a="1"/>
  <c r="BO8" i="9" s="1"/>
  <c r="P11" i="9" a="1"/>
  <c r="P11" i="9" s="1"/>
  <c r="AU14" i="9" a="1"/>
  <c r="AU14" i="9" s="1"/>
  <c r="Z15" i="9" a="1"/>
  <c r="Z15" i="9" s="1"/>
  <c r="BJ15" i="9" a="1"/>
  <c r="BJ15" i="9" s="1"/>
  <c r="AB15" i="2" s="1"/>
  <c r="BC18" i="9" a="1"/>
  <c r="BC18" i="9" s="1"/>
  <c r="BG22" i="9" a="1"/>
  <c r="BG22" i="9" s="1"/>
  <c r="BG23" i="9" a="1"/>
  <c r="BG23" i="9" s="1"/>
  <c r="CR7" i="7"/>
  <c r="CR18" i="7"/>
  <c r="CR27" i="7"/>
  <c r="CR29" i="7"/>
  <c r="CR31" i="7"/>
  <c r="CR33" i="7"/>
  <c r="CR35" i="7"/>
  <c r="CR37" i="7"/>
  <c r="CR39" i="7"/>
  <c r="CR41" i="7"/>
  <c r="CR43" i="7"/>
  <c r="CR45" i="7"/>
  <c r="CR47" i="7"/>
  <c r="CR49" i="7"/>
  <c r="CR51" i="7"/>
  <c r="CR53" i="7"/>
  <c r="CR55" i="7"/>
  <c r="CR57" i="7"/>
  <c r="CR59" i="7"/>
  <c r="CR61" i="7"/>
  <c r="CR63" i="7"/>
  <c r="CR65" i="7"/>
  <c r="CR67" i="7"/>
  <c r="CR69" i="7"/>
  <c r="CR71" i="7"/>
  <c r="CR73" i="7"/>
  <c r="CR75" i="7"/>
  <c r="CR77" i="7"/>
  <c r="CR79" i="7"/>
  <c r="CR81" i="7"/>
  <c r="CR83" i="7"/>
  <c r="CR85" i="7"/>
  <c r="CR87" i="7"/>
  <c r="CR89" i="7"/>
  <c r="CR91" i="7"/>
  <c r="CR93" i="7"/>
  <c r="CR95" i="7"/>
  <c r="CR97" i="7"/>
  <c r="CR99" i="7"/>
  <c r="CR101" i="7"/>
  <c r="CR103" i="7"/>
  <c r="CR105" i="7"/>
  <c r="CR107" i="7"/>
  <c r="CR109" i="7"/>
  <c r="CR111" i="7"/>
  <c r="CR113" i="7"/>
  <c r="CR115" i="7"/>
  <c r="CR117" i="7"/>
  <c r="CR119" i="7"/>
  <c r="CR121" i="7"/>
  <c r="CR123" i="7"/>
  <c r="CR125" i="7"/>
  <c r="CR127" i="7"/>
  <c r="CR129" i="7"/>
  <c r="CR131" i="7"/>
  <c r="CR133" i="7"/>
  <c r="CR135" i="7"/>
  <c r="P136" i="9" a="1"/>
  <c r="P136" i="9" s="1"/>
  <c r="P135" i="9" a="1"/>
  <c r="P135" i="9" s="1"/>
  <c r="P133" i="9" a="1"/>
  <c r="P133" i="9" s="1"/>
  <c r="P132" i="9" a="1"/>
  <c r="P132" i="9" s="1"/>
  <c r="P129" i="9" a="1"/>
  <c r="P129" i="9" s="1"/>
  <c r="P130" i="9" a="1"/>
  <c r="P130" i="9" s="1"/>
  <c r="P128" i="9" a="1"/>
  <c r="P128" i="9" s="1"/>
  <c r="P131" i="9" a="1"/>
  <c r="P131" i="9" s="1"/>
  <c r="P125" i="9" a="1"/>
  <c r="P125" i="9" s="1"/>
  <c r="P122" i="9" a="1"/>
  <c r="P122" i="9" s="1"/>
  <c r="P123" i="9" a="1"/>
  <c r="P123" i="9" s="1"/>
  <c r="P134" i="9" a="1"/>
  <c r="P134" i="9" s="1"/>
  <c r="P113" i="9" a="1"/>
  <c r="P113" i="9" s="1"/>
  <c r="P118" i="9" a="1"/>
  <c r="P118" i="9" s="1"/>
  <c r="P126" i="9" a="1"/>
  <c r="P126" i="9" s="1"/>
  <c r="P116" i="9" a="1"/>
  <c r="P116" i="9" s="1"/>
  <c r="P127" i="9" a="1"/>
  <c r="P127" i="9" s="1"/>
  <c r="P121" i="9" a="1"/>
  <c r="P121" i="9" s="1"/>
  <c r="P120" i="9" a="1"/>
  <c r="P120" i="9" s="1"/>
  <c r="P124" i="9" a="1"/>
  <c r="P124" i="9" s="1"/>
  <c r="P119" i="9" a="1"/>
  <c r="P119" i="9" s="1"/>
  <c r="P114" i="9" a="1"/>
  <c r="P114" i="9" s="1"/>
  <c r="P105" i="9" a="1"/>
  <c r="P105" i="9" s="1"/>
  <c r="P103" i="9" a="1"/>
  <c r="P103" i="9" s="1"/>
  <c r="P108" i="9" a="1"/>
  <c r="P108" i="9" s="1"/>
  <c r="P106" i="9" a="1"/>
  <c r="P106" i="9" s="1"/>
  <c r="P111" i="9" a="1"/>
  <c r="P111" i="9" s="1"/>
  <c r="P104" i="9" a="1"/>
  <c r="P104" i="9" s="1"/>
  <c r="P117" i="9" a="1"/>
  <c r="P117" i="9" s="1"/>
  <c r="P102" i="9" a="1"/>
  <c r="P102" i="9" s="1"/>
  <c r="P97" i="9" a="1"/>
  <c r="P97" i="9" s="1"/>
  <c r="P95" i="9" a="1"/>
  <c r="P95" i="9" s="1"/>
  <c r="P115" i="9" a="1"/>
  <c r="P115" i="9" s="1"/>
  <c r="P112" i="9" a="1"/>
  <c r="P112" i="9" s="1"/>
  <c r="P101" i="9" a="1"/>
  <c r="P101" i="9" s="1"/>
  <c r="P100" i="9" a="1"/>
  <c r="P100" i="9" s="1"/>
  <c r="P93" i="9" a="1"/>
  <c r="P93" i="9" s="1"/>
  <c r="P107" i="9" a="1"/>
  <c r="P107" i="9" s="1"/>
  <c r="P98" i="9" a="1"/>
  <c r="P98" i="9" s="1"/>
  <c r="P96" i="9" a="1"/>
  <c r="P96" i="9" s="1"/>
  <c r="P110" i="9" a="1"/>
  <c r="P110" i="9" s="1"/>
  <c r="P94" i="9" a="1"/>
  <c r="P94" i="9" s="1"/>
  <c r="P84" i="9" a="1"/>
  <c r="P84" i="9" s="1"/>
  <c r="P89" i="9" a="1"/>
  <c r="P89" i="9" s="1"/>
  <c r="P82" i="9" a="1"/>
  <c r="P82" i="9" s="1"/>
  <c r="P99" i="9" a="1"/>
  <c r="P99" i="9" s="1"/>
  <c r="P87" i="9" a="1"/>
  <c r="P87" i="9" s="1"/>
  <c r="P80" i="9" a="1"/>
  <c r="P80" i="9" s="1"/>
  <c r="P85" i="9" a="1"/>
  <c r="P85" i="9" s="1"/>
  <c r="P90" i="9" a="1"/>
  <c r="P90" i="9" s="1"/>
  <c r="P83" i="9" a="1"/>
  <c r="P83" i="9" s="1"/>
  <c r="P92" i="9" a="1"/>
  <c r="P92" i="9" s="1"/>
  <c r="P88" i="9" a="1"/>
  <c r="P88" i="9" s="1"/>
  <c r="P109" i="9" a="1"/>
  <c r="P109" i="9" s="1"/>
  <c r="P81" i="9" a="1"/>
  <c r="P81" i="9" s="1"/>
  <c r="P73" i="9" a="1"/>
  <c r="P73" i="9" s="1"/>
  <c r="P78" i="9" a="1"/>
  <c r="P78" i="9" s="1"/>
  <c r="P71" i="9" a="1"/>
  <c r="P71" i="9" s="1"/>
  <c r="P76" i="9" a="1"/>
  <c r="P76" i="9" s="1"/>
  <c r="P69" i="9" a="1"/>
  <c r="P69" i="9" s="1"/>
  <c r="P86" i="9" a="1"/>
  <c r="P86" i="9" s="1"/>
  <c r="P74" i="9" a="1"/>
  <c r="P74" i="9" s="1"/>
  <c r="P91" i="9" a="1"/>
  <c r="P91" i="9" s="1"/>
  <c r="P79" i="9" a="1"/>
  <c r="P79" i="9" s="1"/>
  <c r="P67" i="9" a="1"/>
  <c r="P67" i="9" s="1"/>
  <c r="P72" i="9" a="1"/>
  <c r="P72" i="9" s="1"/>
  <c r="P77" i="9" a="1"/>
  <c r="P77" i="9" s="1"/>
  <c r="P70" i="9" a="1"/>
  <c r="P70" i="9" s="1"/>
  <c r="P66" i="9" a="1"/>
  <c r="P66" i="9" s="1"/>
  <c r="P54" i="9" a="1"/>
  <c r="P54" i="9" s="1"/>
  <c r="P42" i="9" a="1"/>
  <c r="P42" i="9" s="1"/>
  <c r="P59" i="9" a="1"/>
  <c r="P59" i="9" s="1"/>
  <c r="P47" i="9" a="1"/>
  <c r="P47" i="9" s="1"/>
  <c r="P64" i="9" a="1"/>
  <c r="P64" i="9" s="1"/>
  <c r="P52" i="9" a="1"/>
  <c r="P52" i="9" s="1"/>
  <c r="P40" i="9" a="1"/>
  <c r="P40" i="9" s="1"/>
  <c r="P75" i="9" a="1"/>
  <c r="P75" i="9" s="1"/>
  <c r="P68" i="9" a="1"/>
  <c r="P68" i="9" s="1"/>
  <c r="P57" i="9" a="1"/>
  <c r="P57" i="9" s="1"/>
  <c r="P45" i="9" a="1"/>
  <c r="P45" i="9" s="1"/>
  <c r="P62" i="9" a="1"/>
  <c r="P62" i="9" s="1"/>
  <c r="P50" i="9" a="1"/>
  <c r="P50" i="9" s="1"/>
  <c r="P55" i="9" a="1"/>
  <c r="P55" i="9" s="1"/>
  <c r="P43" i="9" a="1"/>
  <c r="P43" i="9" s="1"/>
  <c r="P60" i="9" a="1"/>
  <c r="P60" i="9" s="1"/>
  <c r="P48" i="9" a="1"/>
  <c r="P48" i="9" s="1"/>
  <c r="P65" i="9" a="1"/>
  <c r="P65" i="9" s="1"/>
  <c r="P53" i="9" a="1"/>
  <c r="P53" i="9" s="1"/>
  <c r="P41" i="9" a="1"/>
  <c r="P41" i="9" s="1"/>
  <c r="P58" i="9" a="1"/>
  <c r="P58" i="9" s="1"/>
  <c r="P46" i="9" a="1"/>
  <c r="P46" i="9" s="1"/>
  <c r="P56" i="9" a="1"/>
  <c r="P56" i="9" s="1"/>
  <c r="P44" i="9" a="1"/>
  <c r="P44" i="9" s="1"/>
  <c r="P30" i="9" a="1"/>
  <c r="P30" i="9" s="1"/>
  <c r="P18" i="9" a="1"/>
  <c r="P18" i="9" s="1"/>
  <c r="P35" i="9" a="1"/>
  <c r="P35" i="9" s="1"/>
  <c r="P23" i="9" a="1"/>
  <c r="P23" i="9" s="1"/>
  <c r="P28" i="9" a="1"/>
  <c r="P28" i="9" s="1"/>
  <c r="P33" i="9" a="1"/>
  <c r="P33" i="9" s="1"/>
  <c r="P38" i="9" a="1"/>
  <c r="P38" i="9" s="1"/>
  <c r="P26" i="9" a="1"/>
  <c r="P26" i="9" s="1"/>
  <c r="P61" i="9" a="1"/>
  <c r="P61" i="9" s="1"/>
  <c r="P49" i="9" a="1"/>
  <c r="P49" i="9" s="1"/>
  <c r="P31" i="9" a="1"/>
  <c r="P31" i="9" s="1"/>
  <c r="P19" i="9" a="1"/>
  <c r="P19" i="9" s="1"/>
  <c r="P63" i="9" a="1"/>
  <c r="P63" i="9" s="1"/>
  <c r="P51" i="9" a="1"/>
  <c r="P51" i="9" s="1"/>
  <c r="P29" i="9" a="1"/>
  <c r="P29" i="9" s="1"/>
  <c r="P17" i="9" a="1"/>
  <c r="P17" i="9" s="1"/>
  <c r="P34" i="9" a="1"/>
  <c r="P34" i="9" s="1"/>
  <c r="P22" i="9" a="1"/>
  <c r="P22" i="9" s="1"/>
  <c r="P27" i="9" a="1"/>
  <c r="P27" i="9" s="1"/>
  <c r="P37" i="9" a="1"/>
  <c r="P37" i="9" s="1"/>
  <c r="P21" i="9" a="1"/>
  <c r="P21" i="9" s="1"/>
  <c r="P14" i="9" a="1"/>
  <c r="P14" i="9" s="1"/>
  <c r="P39" i="9" a="1"/>
  <c r="P39" i="9" s="1"/>
  <c r="P36" i="9" a="1"/>
  <c r="P36" i="9" s="1"/>
  <c r="P12" i="9" a="1"/>
  <c r="P12" i="9" s="1"/>
  <c r="P20" i="9" a="1"/>
  <c r="P20" i="9" s="1"/>
  <c r="P25" i="9" a="1"/>
  <c r="P25" i="9" s="1"/>
  <c r="P15" i="9" a="1"/>
  <c r="P15" i="9" s="1"/>
  <c r="P24" i="9" a="1"/>
  <c r="P24" i="9" s="1"/>
  <c r="P32" i="9" a="1"/>
  <c r="P32" i="9" s="1"/>
  <c r="P13" i="9" a="1"/>
  <c r="P13" i="9" s="1"/>
  <c r="P6" i="9" a="1"/>
  <c r="P6" i="9" s="1"/>
  <c r="AB134" i="9" a="1"/>
  <c r="AB134" i="9" s="1"/>
  <c r="AC134" i="2" s="1"/>
  <c r="AB135" i="9" a="1"/>
  <c r="AB135" i="9" s="1"/>
  <c r="AC135" i="2" s="1"/>
  <c r="AB129" i="9" a="1"/>
  <c r="AB129" i="9" s="1"/>
  <c r="AC129" i="2" s="1"/>
  <c r="AB136" i="9" a="1"/>
  <c r="AB136" i="9" s="1"/>
  <c r="AB128" i="9" a="1"/>
  <c r="AB128" i="9" s="1"/>
  <c r="AB132" i="9" a="1"/>
  <c r="AB132" i="9" s="1"/>
  <c r="AC132" i="2" s="1"/>
  <c r="AB130" i="9" a="1"/>
  <c r="AB130" i="9" s="1"/>
  <c r="AC130" i="2" s="1"/>
  <c r="AB131" i="9" a="1"/>
  <c r="AB131" i="9" s="1"/>
  <c r="AC131" i="2" s="1"/>
  <c r="AB125" i="9" a="1"/>
  <c r="AB125" i="9" s="1"/>
  <c r="AC125" i="2" s="1"/>
  <c r="AB124" i="9" a="1"/>
  <c r="AB124" i="9" s="1"/>
  <c r="AB122" i="9" a="1"/>
  <c r="AB122" i="9" s="1"/>
  <c r="AC122" i="2" s="1"/>
  <c r="AB126" i="9" a="1"/>
  <c r="AB126" i="9" s="1"/>
  <c r="AB123" i="9" a="1"/>
  <c r="AB123" i="9" s="1"/>
  <c r="AC123" i="2" s="1"/>
  <c r="AB127" i="9" a="1"/>
  <c r="AB127" i="9" s="1"/>
  <c r="AC127" i="2" s="1"/>
  <c r="AB133" i="9" a="1"/>
  <c r="AB133" i="9" s="1"/>
  <c r="AC133" i="2" s="1"/>
  <c r="AB113" i="9" a="1"/>
  <c r="AB113" i="9" s="1"/>
  <c r="AC113" i="2" s="1"/>
  <c r="AB120" i="9" a="1"/>
  <c r="AB120" i="9" s="1"/>
  <c r="AC120" i="2" s="1"/>
  <c r="AB118" i="9" a="1"/>
  <c r="AB118" i="9" s="1"/>
  <c r="AB116" i="9" a="1"/>
  <c r="AB116" i="9" s="1"/>
  <c r="AC116" i="2" s="1"/>
  <c r="AB121" i="9" a="1"/>
  <c r="AB121" i="9" s="1"/>
  <c r="AC121" i="2" s="1"/>
  <c r="AB119" i="9" a="1"/>
  <c r="AB119" i="9" s="1"/>
  <c r="AC119" i="2" s="1"/>
  <c r="AB117" i="9" a="1"/>
  <c r="AB117" i="9" s="1"/>
  <c r="AC117" i="2" s="1"/>
  <c r="AB105" i="9" a="1"/>
  <c r="AB105" i="9" s="1"/>
  <c r="AB114" i="9" a="1"/>
  <c r="AB114" i="9" s="1"/>
  <c r="AC114" i="2" s="1"/>
  <c r="AB103" i="9" a="1"/>
  <c r="AB103" i="9" s="1"/>
  <c r="AC103" i="2" s="1"/>
  <c r="AB115" i="9" a="1"/>
  <c r="AB115" i="9" s="1"/>
  <c r="AC115" i="2" s="1"/>
  <c r="AB108" i="9" a="1"/>
  <c r="AB108" i="9" s="1"/>
  <c r="AC108" i="2" s="1"/>
  <c r="AB106" i="9" a="1"/>
  <c r="AB106" i="9" s="1"/>
  <c r="AB111" i="9" a="1"/>
  <c r="AB111" i="9" s="1"/>
  <c r="AC111" i="2" s="1"/>
  <c r="AB104" i="9" a="1"/>
  <c r="AB104" i="9" s="1"/>
  <c r="AC104" i="2" s="1"/>
  <c r="AB102" i="9" a="1"/>
  <c r="AB102" i="9" s="1"/>
  <c r="AC102" i="2" s="1"/>
  <c r="AB101" i="9" a="1"/>
  <c r="AB101" i="9" s="1"/>
  <c r="AC101" i="2" s="1"/>
  <c r="AB97" i="9" a="1"/>
  <c r="AB97" i="9" s="1"/>
  <c r="AC97" i="2" s="1"/>
  <c r="AB109" i="9" a="1"/>
  <c r="AB109" i="9" s="1"/>
  <c r="AB95" i="9" a="1"/>
  <c r="AB95" i="9" s="1"/>
  <c r="AB100" i="9" a="1"/>
  <c r="AB100" i="9" s="1"/>
  <c r="AB93" i="9" a="1"/>
  <c r="AB93" i="9" s="1"/>
  <c r="AC93" i="2" s="1"/>
  <c r="AB98" i="9" a="1"/>
  <c r="AB98" i="9" s="1"/>
  <c r="AC98" i="2" s="1"/>
  <c r="AB96" i="9" a="1"/>
  <c r="AB96" i="9" s="1"/>
  <c r="AC96" i="2" s="1"/>
  <c r="AB112" i="9" a="1"/>
  <c r="AB112" i="9" s="1"/>
  <c r="AB107" i="9" a="1"/>
  <c r="AB107" i="9" s="1"/>
  <c r="AC107" i="2" s="1"/>
  <c r="AB94" i="9" a="1"/>
  <c r="AB94" i="9" s="1"/>
  <c r="AB84" i="9" a="1"/>
  <c r="AB84" i="9" s="1"/>
  <c r="AC84" i="2" s="1"/>
  <c r="AB89" i="9" a="1"/>
  <c r="AB89" i="9" s="1"/>
  <c r="AC89" i="2" s="1"/>
  <c r="AB92" i="9" a="1"/>
  <c r="AB92" i="9" s="1"/>
  <c r="AC92" i="2" s="1"/>
  <c r="AB82" i="9" a="1"/>
  <c r="AB82" i="9" s="1"/>
  <c r="AB110" i="9" a="1"/>
  <c r="AB110" i="9" s="1"/>
  <c r="AC110" i="2" s="1"/>
  <c r="AB87" i="9" a="1"/>
  <c r="AB87" i="9" s="1"/>
  <c r="AC87" i="2" s="1"/>
  <c r="AB91" i="9" a="1"/>
  <c r="AB91" i="9" s="1"/>
  <c r="AC91" i="2" s="1"/>
  <c r="AB80" i="9" a="1"/>
  <c r="AB80" i="9" s="1"/>
  <c r="AC80" i="2" s="1"/>
  <c r="AB85" i="9" a="1"/>
  <c r="AB85" i="9" s="1"/>
  <c r="AC85" i="2" s="1"/>
  <c r="AB90" i="9" a="1"/>
  <c r="AB90" i="9" s="1"/>
  <c r="AC90" i="2" s="1"/>
  <c r="AB83" i="9" a="1"/>
  <c r="AB83" i="9" s="1"/>
  <c r="AC83" i="2" s="1"/>
  <c r="AB88" i="9" a="1"/>
  <c r="AB88" i="9" s="1"/>
  <c r="AB99" i="9" a="1"/>
  <c r="AB99" i="9" s="1"/>
  <c r="AC99" i="2" s="1"/>
  <c r="AB81" i="9" a="1"/>
  <c r="AB81" i="9" s="1"/>
  <c r="AC81" i="2" s="1"/>
  <c r="AB73" i="9" a="1"/>
  <c r="AB73" i="9" s="1"/>
  <c r="AC73" i="2" s="1"/>
  <c r="AB86" i="9" a="1"/>
  <c r="AB86" i="9" s="1"/>
  <c r="AC86" i="2" s="1"/>
  <c r="AB78" i="9" a="1"/>
  <c r="AB78" i="9" s="1"/>
  <c r="AC78" i="2" s="1"/>
  <c r="AB71" i="9" a="1"/>
  <c r="AB71" i="9" s="1"/>
  <c r="AC71" i="2" s="1"/>
  <c r="AB76" i="9" a="1"/>
  <c r="AB76" i="9" s="1"/>
  <c r="AB69" i="9" a="1"/>
  <c r="AB69" i="9" s="1"/>
  <c r="AC69" i="2" s="1"/>
  <c r="AB74" i="9" a="1"/>
  <c r="AB74" i="9" s="1"/>
  <c r="AC74" i="2" s="1"/>
  <c r="AB79" i="9" a="1"/>
  <c r="AB79" i="9" s="1"/>
  <c r="AC79" i="2" s="1"/>
  <c r="AB67" i="9" a="1"/>
  <c r="AB67" i="9" s="1"/>
  <c r="AC67" i="2" s="1"/>
  <c r="AB72" i="9" a="1"/>
  <c r="AB72" i="9" s="1"/>
  <c r="AC72" i="2" s="1"/>
  <c r="AB77" i="9" a="1"/>
  <c r="AB77" i="9" s="1"/>
  <c r="AC77" i="2" s="1"/>
  <c r="AB70" i="9" a="1"/>
  <c r="AB70" i="9" s="1"/>
  <c r="AB66" i="9" a="1"/>
  <c r="AB66" i="9" s="1"/>
  <c r="AC66" i="2" s="1"/>
  <c r="AB54" i="9" a="1"/>
  <c r="AB54" i="9" s="1"/>
  <c r="AB42" i="9" a="1"/>
  <c r="AB42" i="9" s="1"/>
  <c r="AC42" i="2" s="1"/>
  <c r="AB59" i="9" a="1"/>
  <c r="AB59" i="9" s="1"/>
  <c r="AC59" i="2" s="1"/>
  <c r="AB47" i="9" a="1"/>
  <c r="AB47" i="9" s="1"/>
  <c r="AC47" i="2" s="1"/>
  <c r="AB64" i="9" a="1"/>
  <c r="AB64" i="9" s="1"/>
  <c r="AB52" i="9" a="1"/>
  <c r="AB52" i="9" s="1"/>
  <c r="AB40" i="9" a="1"/>
  <c r="AB40" i="9" s="1"/>
  <c r="AB57" i="9" a="1"/>
  <c r="AB57" i="9" s="1"/>
  <c r="AC57" i="2" s="1"/>
  <c r="AB45" i="9" a="1"/>
  <c r="AB45" i="9" s="1"/>
  <c r="AC45" i="2" s="1"/>
  <c r="AB62" i="9" a="1"/>
  <c r="AB62" i="9" s="1"/>
  <c r="AC62" i="2" s="1"/>
  <c r="AB50" i="9" a="1"/>
  <c r="AB50" i="9" s="1"/>
  <c r="AC50" i="2" s="1"/>
  <c r="AB55" i="9" a="1"/>
  <c r="AB55" i="9" s="1"/>
  <c r="AC55" i="2" s="1"/>
  <c r="AB43" i="9" a="1"/>
  <c r="AB43" i="9" s="1"/>
  <c r="AC43" i="2" s="1"/>
  <c r="AB60" i="9" a="1"/>
  <c r="AB60" i="9" s="1"/>
  <c r="AC60" i="2" s="1"/>
  <c r="AB48" i="9" a="1"/>
  <c r="AB48" i="9" s="1"/>
  <c r="AC48" i="2" s="1"/>
  <c r="AB65" i="9" a="1"/>
  <c r="AB65" i="9" s="1"/>
  <c r="AC65" i="2" s="1"/>
  <c r="AB53" i="9" a="1"/>
  <c r="AB53" i="9" s="1"/>
  <c r="AC53" i="2" s="1"/>
  <c r="AB41" i="9" a="1"/>
  <c r="AB41" i="9" s="1"/>
  <c r="AC41" i="2" s="1"/>
  <c r="AB58" i="9" a="1"/>
  <c r="AB58" i="9" s="1"/>
  <c r="AB46" i="9" a="1"/>
  <c r="AB46" i="9" s="1"/>
  <c r="AB30" i="9" a="1"/>
  <c r="AB30" i="9" s="1"/>
  <c r="AC30" i="2" s="1"/>
  <c r="AB18" i="9" a="1"/>
  <c r="AB18" i="9" s="1"/>
  <c r="AC18" i="2" s="1"/>
  <c r="AB63" i="9" a="1"/>
  <c r="AB63" i="9" s="1"/>
  <c r="AC63" i="2" s="1"/>
  <c r="AB51" i="9" a="1"/>
  <c r="AB51" i="9" s="1"/>
  <c r="AC51" i="2" s="1"/>
  <c r="AB35" i="9" a="1"/>
  <c r="AB35" i="9" s="1"/>
  <c r="AC35" i="2" s="1"/>
  <c r="AB23" i="9" a="1"/>
  <c r="AB23" i="9" s="1"/>
  <c r="AB28" i="9" a="1"/>
  <c r="AB28" i="9" s="1"/>
  <c r="AB16" i="9" a="1"/>
  <c r="AB16" i="9" s="1"/>
  <c r="AB75" i="9" a="1"/>
  <c r="AB75" i="9" s="1"/>
  <c r="AC75" i="2" s="1"/>
  <c r="AB39" i="9" a="1"/>
  <c r="AB39" i="9" s="1"/>
  <c r="AC39" i="2" s="1"/>
  <c r="AB33" i="9" a="1"/>
  <c r="AB33" i="9" s="1"/>
  <c r="AB38" i="9" a="1"/>
  <c r="AB38" i="9" s="1"/>
  <c r="AC38" i="2" s="1"/>
  <c r="AB26" i="9" a="1"/>
  <c r="AB26" i="9" s="1"/>
  <c r="AC26" i="2" s="1"/>
  <c r="AB31" i="9" a="1"/>
  <c r="AB31" i="9" s="1"/>
  <c r="AC31" i="2" s="1"/>
  <c r="AB19" i="9" a="1"/>
  <c r="AB19" i="9" s="1"/>
  <c r="AC19" i="2" s="1"/>
  <c r="AB68" i="9" a="1"/>
  <c r="AB68" i="9" s="1"/>
  <c r="AC68" i="2" s="1"/>
  <c r="AB56" i="9" a="1"/>
  <c r="AB56" i="9" s="1"/>
  <c r="AB29" i="9" a="1"/>
  <c r="AB29" i="9" s="1"/>
  <c r="AC29" i="2" s="1"/>
  <c r="AB17" i="9" a="1"/>
  <c r="AB17" i="9" s="1"/>
  <c r="AC17" i="2" s="1"/>
  <c r="AB34" i="9" a="1"/>
  <c r="AB34" i="9" s="1"/>
  <c r="AB22" i="9" a="1"/>
  <c r="AB22" i="9" s="1"/>
  <c r="AB27" i="9" a="1"/>
  <c r="AB27" i="9" s="1"/>
  <c r="AC27" i="2" s="1"/>
  <c r="AB14" i="9" a="1"/>
  <c r="AB14" i="9" s="1"/>
  <c r="AC14" i="2" s="1"/>
  <c r="AB44" i="9" a="1"/>
  <c r="AB44" i="9" s="1"/>
  <c r="AC44" i="2" s="1"/>
  <c r="AB32" i="9" a="1"/>
  <c r="AB32" i="9" s="1"/>
  <c r="AC32" i="2" s="1"/>
  <c r="AB61" i="9" a="1"/>
  <c r="AB61" i="9" s="1"/>
  <c r="AC61" i="2" s="1"/>
  <c r="AB21" i="9" a="1"/>
  <c r="AB21" i="9" s="1"/>
  <c r="AC21" i="2" s="1"/>
  <c r="AB12" i="9" a="1"/>
  <c r="AB12" i="9" s="1"/>
  <c r="AC12" i="2" s="1"/>
  <c r="AB37" i="9" a="1"/>
  <c r="AB37" i="9" s="1"/>
  <c r="AB20" i="9" a="1"/>
  <c r="AB20" i="9" s="1"/>
  <c r="AC20" i="2" s="1"/>
  <c r="AB15" i="9" a="1"/>
  <c r="AB15" i="9" s="1"/>
  <c r="AC15" i="2" s="1"/>
  <c r="AB49" i="9" a="1"/>
  <c r="AB49" i="9" s="1"/>
  <c r="AC49" i="2" s="1"/>
  <c r="AB25" i="9" a="1"/>
  <c r="AB25" i="9" s="1"/>
  <c r="AC25" i="2" s="1"/>
  <c r="AB13" i="9" a="1"/>
  <c r="AB13" i="9" s="1"/>
  <c r="AC13" i="2" s="1"/>
  <c r="AB36" i="9" a="1"/>
  <c r="AB36" i="9" s="1"/>
  <c r="AC36" i="2" s="1"/>
  <c r="AB24" i="9" a="1"/>
  <c r="AB24" i="9" s="1"/>
  <c r="AC24" i="2" s="1"/>
  <c r="AB6" i="9" a="1"/>
  <c r="AB6" i="9" s="1"/>
  <c r="AC6" i="2" s="1"/>
  <c r="AN134" i="9" a="1"/>
  <c r="AN134" i="9" s="1"/>
  <c r="AN129" i="9" a="1"/>
  <c r="AN129" i="9" s="1"/>
  <c r="AN133" i="9" a="1"/>
  <c r="AN133" i="9" s="1"/>
  <c r="AN128" i="9" a="1"/>
  <c r="AN128" i="9" s="1"/>
  <c r="AN132" i="9" a="1"/>
  <c r="AN132" i="9" s="1"/>
  <c r="AN131" i="9" a="1"/>
  <c r="AN131" i="9" s="1"/>
  <c r="AN130" i="9" a="1"/>
  <c r="AN130" i="9" s="1"/>
  <c r="AN136" i="9" a="1"/>
  <c r="AN136" i="9" s="1"/>
  <c r="AN125" i="9" a="1"/>
  <c r="AN125" i="9" s="1"/>
  <c r="AN122" i="9" a="1"/>
  <c r="AN122" i="9" s="1"/>
  <c r="AN126" i="9" a="1"/>
  <c r="AN126" i="9" s="1"/>
  <c r="AN127" i="9" a="1"/>
  <c r="AN127" i="9" s="1"/>
  <c r="AN123" i="9" a="1"/>
  <c r="AN123" i="9" s="1"/>
  <c r="AN120" i="9" a="1"/>
  <c r="AN120" i="9" s="1"/>
  <c r="AN113" i="9" a="1"/>
  <c r="AN113" i="9" s="1"/>
  <c r="AN118" i="9" a="1"/>
  <c r="AN118" i="9" s="1"/>
  <c r="AN116" i="9" a="1"/>
  <c r="AN116" i="9" s="1"/>
  <c r="AN135" i="9" a="1"/>
  <c r="AN135" i="9" s="1"/>
  <c r="AN124" i="9" a="1"/>
  <c r="AN124" i="9" s="1"/>
  <c r="AN121" i="9" a="1"/>
  <c r="AN121" i="9" s="1"/>
  <c r="AN119" i="9" a="1"/>
  <c r="AN119" i="9" s="1"/>
  <c r="AN105" i="9" a="1"/>
  <c r="AN105" i="9" s="1"/>
  <c r="AN103" i="9" a="1"/>
  <c r="AN103" i="9" s="1"/>
  <c r="AN108" i="9" a="1"/>
  <c r="AN108" i="9" s="1"/>
  <c r="AN117" i="9" a="1"/>
  <c r="AN117" i="9" s="1"/>
  <c r="AN114" i="9" a="1"/>
  <c r="AN114" i="9" s="1"/>
  <c r="AN101" i="9" a="1"/>
  <c r="AN101" i="9" s="1"/>
  <c r="AN115" i="9" a="1"/>
  <c r="AN115" i="9" s="1"/>
  <c r="AN112" i="9" a="1"/>
  <c r="AN112" i="9" s="1"/>
  <c r="AN106" i="9" a="1"/>
  <c r="AN106" i="9" s="1"/>
  <c r="AN111" i="9" a="1"/>
  <c r="AN111" i="9" s="1"/>
  <c r="AN104" i="9" a="1"/>
  <c r="AN104" i="9" s="1"/>
  <c r="AN102" i="9" a="1"/>
  <c r="AN102" i="9" s="1"/>
  <c r="AN97" i="9" a="1"/>
  <c r="AN97" i="9" s="1"/>
  <c r="AN95" i="9" a="1"/>
  <c r="AN95" i="9" s="1"/>
  <c r="AN100" i="9" a="1"/>
  <c r="AN100" i="9" s="1"/>
  <c r="AN93" i="9" a="1"/>
  <c r="AN93" i="9" s="1"/>
  <c r="AN110" i="9" a="1"/>
  <c r="AN110" i="9" s="1"/>
  <c r="AN98" i="9" a="1"/>
  <c r="AN98" i="9" s="1"/>
  <c r="AN109" i="9" a="1"/>
  <c r="AN109" i="9" s="1"/>
  <c r="AN96" i="9" a="1"/>
  <c r="AN96" i="9" s="1"/>
  <c r="AN94" i="9" a="1"/>
  <c r="AN94" i="9" s="1"/>
  <c r="AN84" i="9" a="1"/>
  <c r="AN84" i="9" s="1"/>
  <c r="AN89" i="9" a="1"/>
  <c r="AN89" i="9" s="1"/>
  <c r="AN82" i="9" a="1"/>
  <c r="AN82" i="9" s="1"/>
  <c r="AN99" i="9" a="1"/>
  <c r="AN99" i="9" s="1"/>
  <c r="AN87" i="9" a="1"/>
  <c r="AN87" i="9" s="1"/>
  <c r="AN80" i="9" a="1"/>
  <c r="AN80" i="9" s="1"/>
  <c r="AN85" i="9" a="1"/>
  <c r="AN85" i="9" s="1"/>
  <c r="AN90" i="9" a="1"/>
  <c r="AN90" i="9" s="1"/>
  <c r="AN83" i="9" a="1"/>
  <c r="AN83" i="9" s="1"/>
  <c r="AN107" i="9" a="1"/>
  <c r="AN107" i="9" s="1"/>
  <c r="AN92" i="9" a="1"/>
  <c r="AN92" i="9" s="1"/>
  <c r="AN88" i="9" a="1"/>
  <c r="AN88" i="9" s="1"/>
  <c r="AN81" i="9" a="1"/>
  <c r="AN81" i="9" s="1"/>
  <c r="AN91" i="9" a="1"/>
  <c r="AN91" i="9" s="1"/>
  <c r="AN73" i="9" a="1"/>
  <c r="AN73" i="9" s="1"/>
  <c r="AN78" i="9" a="1"/>
  <c r="AN78" i="9" s="1"/>
  <c r="AN71" i="9" a="1"/>
  <c r="AN71" i="9" s="1"/>
  <c r="AN76" i="9" a="1"/>
  <c r="AN76" i="9" s="1"/>
  <c r="AN69" i="9" a="1"/>
  <c r="AN69" i="9" s="1"/>
  <c r="AN74" i="9" a="1"/>
  <c r="AN74" i="9" s="1"/>
  <c r="AN79" i="9" a="1"/>
  <c r="AN79" i="9" s="1"/>
  <c r="AN67" i="9" a="1"/>
  <c r="AN67" i="9" s="1"/>
  <c r="AN72" i="9" a="1"/>
  <c r="AN72" i="9" s="1"/>
  <c r="AN77" i="9" a="1"/>
  <c r="AN77" i="9" s="1"/>
  <c r="AN86" i="9" a="1"/>
  <c r="AN86" i="9" s="1"/>
  <c r="AN70" i="9" a="1"/>
  <c r="AN70" i="9" s="1"/>
  <c r="AN66" i="9" a="1"/>
  <c r="AN66" i="9" s="1"/>
  <c r="AN54" i="9" a="1"/>
  <c r="AN54" i="9" s="1"/>
  <c r="AN42" i="9" a="1"/>
  <c r="AN42" i="9" s="1"/>
  <c r="AN59" i="9" a="1"/>
  <c r="AN59" i="9" s="1"/>
  <c r="AN47" i="9" a="1"/>
  <c r="AN47" i="9" s="1"/>
  <c r="AN64" i="9" a="1"/>
  <c r="AN64" i="9" s="1"/>
  <c r="AN52" i="9" a="1"/>
  <c r="AN52" i="9" s="1"/>
  <c r="AN40" i="9" a="1"/>
  <c r="AN40" i="9" s="1"/>
  <c r="AN57" i="9" a="1"/>
  <c r="AN57" i="9" s="1"/>
  <c r="AN45" i="9" a="1"/>
  <c r="AN45" i="9" s="1"/>
  <c r="AN62" i="9" a="1"/>
  <c r="AN62" i="9" s="1"/>
  <c r="AN50" i="9" a="1"/>
  <c r="AN50" i="9" s="1"/>
  <c r="AN55" i="9" a="1"/>
  <c r="AN55" i="9" s="1"/>
  <c r="AN43" i="9" a="1"/>
  <c r="AN43" i="9" s="1"/>
  <c r="AN60" i="9" a="1"/>
  <c r="AN60" i="9" s="1"/>
  <c r="AN48" i="9" a="1"/>
  <c r="AN48" i="9" s="1"/>
  <c r="AN75" i="9" a="1"/>
  <c r="AN75" i="9" s="1"/>
  <c r="AN68" i="9" a="1"/>
  <c r="AN68" i="9" s="1"/>
  <c r="AN65" i="9" a="1"/>
  <c r="AN65" i="9" s="1"/>
  <c r="AN53" i="9" a="1"/>
  <c r="AN53" i="9" s="1"/>
  <c r="AN41" i="9" a="1"/>
  <c r="AN41" i="9" s="1"/>
  <c r="AN58" i="9" a="1"/>
  <c r="AN58" i="9" s="1"/>
  <c r="AN46" i="9" a="1"/>
  <c r="AN46" i="9" s="1"/>
  <c r="AN56" i="9" a="1"/>
  <c r="AN56" i="9" s="1"/>
  <c r="AN44" i="9" a="1"/>
  <c r="AN44" i="9" s="1"/>
  <c r="AN30" i="9" a="1"/>
  <c r="AN30" i="9" s="1"/>
  <c r="AN18" i="9" a="1"/>
  <c r="AN18" i="9" s="1"/>
  <c r="AN35" i="9" a="1"/>
  <c r="AN35" i="9" s="1"/>
  <c r="AN23" i="9" a="1"/>
  <c r="AN23" i="9" s="1"/>
  <c r="AN28" i="9" a="1"/>
  <c r="AN28" i="9" s="1"/>
  <c r="AN16" i="9" a="1"/>
  <c r="AN16" i="9" s="1"/>
  <c r="AN33" i="9" a="1"/>
  <c r="AN33" i="9" s="1"/>
  <c r="AN38" i="9" a="1"/>
  <c r="AN38" i="9" s="1"/>
  <c r="AN26" i="9" a="1"/>
  <c r="AN26" i="9" s="1"/>
  <c r="AN61" i="9" a="1"/>
  <c r="AN61" i="9" s="1"/>
  <c r="AN49" i="9" a="1"/>
  <c r="AN49" i="9" s="1"/>
  <c r="AN31" i="9" a="1"/>
  <c r="AN31" i="9" s="1"/>
  <c r="AN19" i="9" a="1"/>
  <c r="AN19" i="9" s="1"/>
  <c r="AN63" i="9" a="1"/>
  <c r="AN63" i="9" s="1"/>
  <c r="AN51" i="9" a="1"/>
  <c r="AN51" i="9" s="1"/>
  <c r="AN39" i="9" a="1"/>
  <c r="AN39" i="9" s="1"/>
  <c r="AN29" i="9" a="1"/>
  <c r="AN29" i="9" s="1"/>
  <c r="AN17" i="9" a="1"/>
  <c r="AN17" i="9" s="1"/>
  <c r="AN34" i="9" a="1"/>
  <c r="AN34" i="9" s="1"/>
  <c r="AN22" i="9" a="1"/>
  <c r="AN22" i="9" s="1"/>
  <c r="AN27" i="9" a="1"/>
  <c r="AN27" i="9" s="1"/>
  <c r="AN37" i="9" a="1"/>
  <c r="AN37" i="9" s="1"/>
  <c r="AN14" i="9" a="1"/>
  <c r="AN14" i="9" s="1"/>
  <c r="AN36" i="9" a="1"/>
  <c r="AN36" i="9" s="1"/>
  <c r="AN12" i="9" a="1"/>
  <c r="AN12" i="9" s="1"/>
  <c r="AN21" i="9" a="1"/>
  <c r="AN21" i="9" s="1"/>
  <c r="AN15" i="9" a="1"/>
  <c r="AN15" i="9" s="1"/>
  <c r="AN32" i="9" a="1"/>
  <c r="AN32" i="9" s="1"/>
  <c r="AN20" i="9" a="1"/>
  <c r="AN20" i="9" s="1"/>
  <c r="AN13" i="9" a="1"/>
  <c r="AN13" i="9" s="1"/>
  <c r="AN6" i="9" a="1"/>
  <c r="AN6" i="9" s="1"/>
  <c r="AN25" i="9" a="1"/>
  <c r="AN25" i="9" s="1"/>
  <c r="AN24" i="9" a="1"/>
  <c r="AN24" i="9" s="1"/>
  <c r="AZ136" i="9" a="1"/>
  <c r="AZ136" i="9" s="1"/>
  <c r="AZ133" i="9" a="1"/>
  <c r="AZ133" i="9" s="1"/>
  <c r="AZ129" i="9" a="1"/>
  <c r="AZ129" i="9" s="1"/>
  <c r="AZ130" i="9" a="1"/>
  <c r="AZ130" i="9" s="1"/>
  <c r="AZ128" i="9" a="1"/>
  <c r="AZ128" i="9" s="1"/>
  <c r="AZ135" i="9" a="1"/>
  <c r="AZ135" i="9" s="1"/>
  <c r="AZ131" i="9" a="1"/>
  <c r="AZ131" i="9" s="1"/>
  <c r="AZ125" i="9" a="1"/>
  <c r="AZ125" i="9" s="1"/>
  <c r="AZ134" i="9" a="1"/>
  <c r="AZ134" i="9" s="1"/>
  <c r="AZ122" i="9" a="1"/>
  <c r="AZ122" i="9" s="1"/>
  <c r="AZ126" i="9" a="1"/>
  <c r="AZ126" i="9" s="1"/>
  <c r="AZ123" i="9" a="1"/>
  <c r="AZ123" i="9" s="1"/>
  <c r="AZ124" i="9" a="1"/>
  <c r="AZ124" i="9" s="1"/>
  <c r="AZ120" i="9" a="1"/>
  <c r="AZ120" i="9" s="1"/>
  <c r="AZ119" i="9" a="1"/>
  <c r="AZ119" i="9" s="1"/>
  <c r="AZ113" i="9" a="1"/>
  <c r="AZ113" i="9" s="1"/>
  <c r="AZ118" i="9" a="1"/>
  <c r="AZ118" i="9" s="1"/>
  <c r="AZ116" i="9" a="1"/>
  <c r="AZ116" i="9" s="1"/>
  <c r="AZ127" i="9" a="1"/>
  <c r="AZ127" i="9" s="1"/>
  <c r="AZ132" i="9" a="1"/>
  <c r="AZ132" i="9" s="1"/>
  <c r="AZ105" i="9" a="1"/>
  <c r="AZ105" i="9" s="1"/>
  <c r="AZ103" i="9" a="1"/>
  <c r="AZ103" i="9" s="1"/>
  <c r="AZ108" i="9" a="1"/>
  <c r="AZ108" i="9" s="1"/>
  <c r="AZ101" i="9" a="1"/>
  <c r="AZ101" i="9" s="1"/>
  <c r="AZ121" i="9" a="1"/>
  <c r="AZ121" i="9" s="1"/>
  <c r="AZ106" i="9" a="1"/>
  <c r="AZ106" i="9" s="1"/>
  <c r="AZ114" i="9" a="1"/>
  <c r="AZ114" i="9" s="1"/>
  <c r="AZ111" i="9" a="1"/>
  <c r="AZ111" i="9" s="1"/>
  <c r="AZ115" i="9" a="1"/>
  <c r="AZ115" i="9" s="1"/>
  <c r="AZ104" i="9" a="1"/>
  <c r="AZ104" i="9" s="1"/>
  <c r="AZ117" i="9" a="1"/>
  <c r="AZ117" i="9" s="1"/>
  <c r="AZ112" i="9" a="1"/>
  <c r="AZ112" i="9" s="1"/>
  <c r="AZ102" i="9" a="1"/>
  <c r="AZ102" i="9" s="1"/>
  <c r="AZ97" i="9" a="1"/>
  <c r="AZ97" i="9" s="1"/>
  <c r="AZ95" i="9" a="1"/>
  <c r="AZ95" i="9" s="1"/>
  <c r="AZ93" i="9" a="1"/>
  <c r="AZ93" i="9" s="1"/>
  <c r="AZ107" i="9" a="1"/>
  <c r="AZ107" i="9" s="1"/>
  <c r="AZ100" i="9" a="1"/>
  <c r="AZ100" i="9" s="1"/>
  <c r="AZ98" i="9" a="1"/>
  <c r="AZ98" i="9" s="1"/>
  <c r="AZ96" i="9" a="1"/>
  <c r="AZ96" i="9" s="1"/>
  <c r="AZ110" i="9" a="1"/>
  <c r="AZ110" i="9" s="1"/>
  <c r="AZ94" i="9" a="1"/>
  <c r="AZ94" i="9" s="1"/>
  <c r="AZ84" i="9" a="1"/>
  <c r="AZ84" i="9" s="1"/>
  <c r="AZ90" i="9" a="1"/>
  <c r="AZ90" i="9" s="1"/>
  <c r="AZ89" i="9" a="1"/>
  <c r="AZ89" i="9" s="1"/>
  <c r="AZ92" i="9" a="1"/>
  <c r="AZ92" i="9" s="1"/>
  <c r="AZ82" i="9" a="1"/>
  <c r="AZ82" i="9" s="1"/>
  <c r="AZ109" i="9" a="1"/>
  <c r="AZ109" i="9" s="1"/>
  <c r="AZ87" i="9" a="1"/>
  <c r="AZ87" i="9" s="1"/>
  <c r="AZ91" i="9" a="1"/>
  <c r="AZ91" i="9" s="1"/>
  <c r="AZ80" i="9" a="1"/>
  <c r="AZ80" i="9" s="1"/>
  <c r="AZ85" i="9" a="1"/>
  <c r="AZ85" i="9" s="1"/>
  <c r="AZ83" i="9" a="1"/>
  <c r="AZ83" i="9" s="1"/>
  <c r="AZ88" i="9" a="1"/>
  <c r="AZ88" i="9" s="1"/>
  <c r="AZ99" i="9" a="1"/>
  <c r="AZ99" i="9" s="1"/>
  <c r="AZ81" i="9" a="1"/>
  <c r="AZ81" i="9" s="1"/>
  <c r="AZ73" i="9" a="1"/>
  <c r="AZ73" i="9" s="1"/>
  <c r="AZ78" i="9" a="1"/>
  <c r="AZ78" i="9" s="1"/>
  <c r="AZ71" i="9" a="1"/>
  <c r="AZ71" i="9" s="1"/>
  <c r="AZ76" i="9" a="1"/>
  <c r="AZ76" i="9" s="1"/>
  <c r="AZ69" i="9" a="1"/>
  <c r="AZ69" i="9" s="1"/>
  <c r="AZ86" i="9" a="1"/>
  <c r="AZ86" i="9" s="1"/>
  <c r="AZ74" i="9" a="1"/>
  <c r="AZ74" i="9" s="1"/>
  <c r="AZ67" i="9" a="1"/>
  <c r="AZ67" i="9" s="1"/>
  <c r="AZ72" i="9" a="1"/>
  <c r="AZ72" i="9" s="1"/>
  <c r="AZ79" i="9" a="1"/>
  <c r="AZ79" i="9" s="1"/>
  <c r="AZ77" i="9" a="1"/>
  <c r="AZ77" i="9" s="1"/>
  <c r="AZ70" i="9" a="1"/>
  <c r="AZ70" i="9" s="1"/>
  <c r="AZ54" i="9" a="1"/>
  <c r="AZ54" i="9" s="1"/>
  <c r="AZ42" i="9" a="1"/>
  <c r="AZ42" i="9" s="1"/>
  <c r="AZ59" i="9" a="1"/>
  <c r="AZ59" i="9" s="1"/>
  <c r="AZ47" i="9" a="1"/>
  <c r="AZ47" i="9" s="1"/>
  <c r="AZ64" i="9" a="1"/>
  <c r="AZ64" i="9" s="1"/>
  <c r="AZ52" i="9" a="1"/>
  <c r="AZ52" i="9" s="1"/>
  <c r="AZ40" i="9" a="1"/>
  <c r="AZ40" i="9" s="1"/>
  <c r="AZ75" i="9" a="1"/>
  <c r="AZ75" i="9" s="1"/>
  <c r="AZ68" i="9" a="1"/>
  <c r="AZ68" i="9" s="1"/>
  <c r="AZ57" i="9" a="1"/>
  <c r="AZ57" i="9" s="1"/>
  <c r="AZ45" i="9" a="1"/>
  <c r="AZ45" i="9" s="1"/>
  <c r="AZ62" i="9" a="1"/>
  <c r="AZ62" i="9" s="1"/>
  <c r="AZ50" i="9" a="1"/>
  <c r="AZ50" i="9" s="1"/>
  <c r="AZ38" i="9" a="1"/>
  <c r="AZ38" i="9" s="1"/>
  <c r="AZ66" i="9" a="1"/>
  <c r="AZ66" i="9" s="1"/>
  <c r="AZ55" i="9" a="1"/>
  <c r="AZ55" i="9" s="1"/>
  <c r="AZ43" i="9" a="1"/>
  <c r="AZ43" i="9" s="1"/>
  <c r="AZ60" i="9" a="1"/>
  <c r="AZ60" i="9" s="1"/>
  <c r="AZ48" i="9" a="1"/>
  <c r="AZ48" i="9" s="1"/>
  <c r="AZ65" i="9" a="1"/>
  <c r="AZ65" i="9" s="1"/>
  <c r="AZ53" i="9" a="1"/>
  <c r="AZ53" i="9" s="1"/>
  <c r="AZ41" i="9" a="1"/>
  <c r="AZ41" i="9" s="1"/>
  <c r="AZ58" i="9" a="1"/>
  <c r="AZ58" i="9" s="1"/>
  <c r="AZ46" i="9" a="1"/>
  <c r="AZ46" i="9" s="1"/>
  <c r="AZ30" i="9" a="1"/>
  <c r="AZ30" i="9" s="1"/>
  <c r="AZ18" i="9" a="1"/>
  <c r="AZ18" i="9" s="1"/>
  <c r="AZ63" i="9" a="1"/>
  <c r="AZ63" i="9" s="1"/>
  <c r="AZ51" i="9" a="1"/>
  <c r="AZ51" i="9" s="1"/>
  <c r="AZ35" i="9" a="1"/>
  <c r="AZ35" i="9" s="1"/>
  <c r="AZ23" i="9" a="1"/>
  <c r="AZ23" i="9" s="1"/>
  <c r="AZ28" i="9" a="1"/>
  <c r="AZ28" i="9" s="1"/>
  <c r="AZ16" i="9" a="1"/>
  <c r="AZ16" i="9" s="1"/>
  <c r="AZ33" i="9" a="1"/>
  <c r="AZ33" i="9" s="1"/>
  <c r="AZ26" i="9" a="1"/>
  <c r="AZ26" i="9" s="1"/>
  <c r="AZ31" i="9" a="1"/>
  <c r="AZ31" i="9" s="1"/>
  <c r="AZ19" i="9" a="1"/>
  <c r="AZ19" i="9" s="1"/>
  <c r="AZ56" i="9" a="1"/>
  <c r="AZ56" i="9" s="1"/>
  <c r="AZ29" i="9" a="1"/>
  <c r="AZ29" i="9" s="1"/>
  <c r="AZ17" i="9" a="1"/>
  <c r="AZ17" i="9" s="1"/>
  <c r="AZ34" i="9" a="1"/>
  <c r="AZ34" i="9" s="1"/>
  <c r="AZ22" i="9" a="1"/>
  <c r="AZ22" i="9" s="1"/>
  <c r="AZ27" i="9" a="1"/>
  <c r="AZ27" i="9" s="1"/>
  <c r="AZ25" i="9" a="1"/>
  <c r="AZ25" i="9" s="1"/>
  <c r="AZ61" i="9" a="1"/>
  <c r="AZ61" i="9" s="1"/>
  <c r="AZ24" i="9" a="1"/>
  <c r="AZ24" i="9" s="1"/>
  <c r="AZ14" i="9" a="1"/>
  <c r="AZ14" i="9" s="1"/>
  <c r="AZ32" i="9" a="1"/>
  <c r="AZ32" i="9" s="1"/>
  <c r="AZ12" i="9" a="1"/>
  <c r="AZ12" i="9" s="1"/>
  <c r="AZ5" i="9" a="1"/>
  <c r="AZ5" i="9" s="1"/>
  <c r="AZ49" i="9" a="1"/>
  <c r="AZ49" i="9" s="1"/>
  <c r="AZ37" i="9" a="1"/>
  <c r="AZ37" i="9" s="1"/>
  <c r="AZ15" i="9" a="1"/>
  <c r="AZ15" i="9" s="1"/>
  <c r="AZ21" i="9" a="1"/>
  <c r="AZ21" i="9" s="1"/>
  <c r="AZ13" i="9" a="1"/>
  <c r="AZ13" i="9" s="1"/>
  <c r="AZ39" i="9" a="1"/>
  <c r="AZ39" i="9" s="1"/>
  <c r="AZ36" i="9" a="1"/>
  <c r="AZ36" i="9" s="1"/>
  <c r="AZ6" i="9" a="1"/>
  <c r="AZ6" i="9" s="1"/>
  <c r="AZ20" i="9" a="1"/>
  <c r="AZ20" i="9" s="1"/>
  <c r="AZ44" i="9" a="1"/>
  <c r="AZ44" i="9" s="1"/>
  <c r="P5" i="9" a="1"/>
  <c r="P5" i="9" s="1"/>
  <c r="AF5" i="9" a="1"/>
  <c r="AF5" i="9" s="1"/>
  <c r="AN5" i="9" a="1"/>
  <c r="AN5" i="9" s="1"/>
  <c r="T6" i="9" a="1"/>
  <c r="T6" i="9" s="1"/>
  <c r="BA6" i="9" a="1"/>
  <c r="BA6" i="9" s="1"/>
  <c r="BJ6" i="9" a="1"/>
  <c r="BJ6" i="9" s="1"/>
  <c r="AB6" i="2" s="1"/>
  <c r="AI7" i="9" a="1"/>
  <c r="AI7" i="9" s="1"/>
  <c r="BS7" i="9" a="1"/>
  <c r="BS7" i="9" s="1"/>
  <c r="W9" i="9" a="1"/>
  <c r="W9" i="9" s="1"/>
  <c r="BG9" i="9" a="1"/>
  <c r="BG9" i="9" s="1"/>
  <c r="BT17" i="9" a="1"/>
  <c r="BT17" i="9" s="1"/>
  <c r="Q136" i="9" a="1"/>
  <c r="Q136" i="9" s="1"/>
  <c r="Q133" i="9" a="1"/>
  <c r="Q133" i="9" s="1"/>
  <c r="Q134" i="9" a="1"/>
  <c r="Q134" i="9" s="1"/>
  <c r="Q135" i="9" a="1"/>
  <c r="Q135" i="9" s="1"/>
  <c r="Q131" i="9" a="1"/>
  <c r="Q131" i="9" s="1"/>
  <c r="Q130" i="9" a="1"/>
  <c r="Q130" i="9" s="1"/>
  <c r="Q127" i="9" a="1"/>
  <c r="Q127" i="9" s="1"/>
  <c r="Q123" i="9" a="1"/>
  <c r="Q123" i="9" s="1"/>
  <c r="Q129" i="9" a="1"/>
  <c r="Q129" i="9" s="1"/>
  <c r="Q122" i="9" a="1"/>
  <c r="Q122" i="9" s="1"/>
  <c r="Q128" i="9" a="1"/>
  <c r="Q128" i="9" s="1"/>
  <c r="Q124" i="9" a="1"/>
  <c r="Q124" i="9" s="1"/>
  <c r="Q126" i="9" a="1"/>
  <c r="Q126" i="9" s="1"/>
  <c r="Q121" i="9" a="1"/>
  <c r="Q121" i="9" s="1"/>
  <c r="Q125" i="9" a="1"/>
  <c r="Q125" i="9" s="1"/>
  <c r="Q118" i="9" a="1"/>
  <c r="Q118" i="9" s="1"/>
  <c r="Q132" i="9" a="1"/>
  <c r="Q132" i="9" s="1"/>
  <c r="Q116" i="9" a="1"/>
  <c r="Q116" i="9" s="1"/>
  <c r="Q120" i="9" a="1"/>
  <c r="Q120" i="9" s="1"/>
  <c r="Q114" i="9" a="1"/>
  <c r="Q114" i="9" s="1"/>
  <c r="Q119" i="9" a="1"/>
  <c r="Q119" i="9" s="1"/>
  <c r="Q117" i="9" a="1"/>
  <c r="Q117" i="9" s="1"/>
  <c r="Q115" i="9" a="1"/>
  <c r="Q115" i="9" s="1"/>
  <c r="Q103" i="9" a="1"/>
  <c r="Q103" i="9" s="1"/>
  <c r="Q113" i="9" a="1"/>
  <c r="Q113" i="9" s="1"/>
  <c r="Q106" i="9" a="1"/>
  <c r="Q106" i="9" s="1"/>
  <c r="Q111" i="9" a="1"/>
  <c r="Q111" i="9" s="1"/>
  <c r="Q104" i="9" a="1"/>
  <c r="Q104" i="9" s="1"/>
  <c r="Q109" i="9" a="1"/>
  <c r="Q109" i="9" s="1"/>
  <c r="Q102" i="9" a="1"/>
  <c r="Q102" i="9" s="1"/>
  <c r="Q112" i="9" a="1"/>
  <c r="Q112" i="9" s="1"/>
  <c r="Q95" i="9" a="1"/>
  <c r="Q95" i="9" s="1"/>
  <c r="Q108" i="9" a="1"/>
  <c r="Q108" i="9" s="1"/>
  <c r="Q101" i="9" a="1"/>
  <c r="Q101" i="9" s="1"/>
  <c r="Q93" i="9" a="1"/>
  <c r="Q93" i="9" s="1"/>
  <c r="Q98" i="9" a="1"/>
  <c r="Q98" i="9" s="1"/>
  <c r="Q107" i="9" a="1"/>
  <c r="Q107" i="9" s="1"/>
  <c r="Q96" i="9" a="1"/>
  <c r="Q96" i="9" s="1"/>
  <c r="Q94" i="9" a="1"/>
  <c r="Q94" i="9" s="1"/>
  <c r="Q110" i="9" a="1"/>
  <c r="Q110" i="9" s="1"/>
  <c r="Q99" i="9" a="1"/>
  <c r="Q99" i="9" s="1"/>
  <c r="Q92" i="9" a="1"/>
  <c r="Q92" i="9" s="1"/>
  <c r="Q100" i="9" a="1"/>
  <c r="Q100" i="9" s="1"/>
  <c r="Q82" i="9" a="1"/>
  <c r="Q82" i="9" s="1"/>
  <c r="Q87" i="9" a="1"/>
  <c r="Q87" i="9" s="1"/>
  <c r="Q80" i="9" a="1"/>
  <c r="Q80" i="9" s="1"/>
  <c r="Q85" i="9" a="1"/>
  <c r="Q85" i="9" s="1"/>
  <c r="Q90" i="9" a="1"/>
  <c r="Q90" i="9" s="1"/>
  <c r="Q83" i="9" a="1"/>
  <c r="Q83" i="9" s="1"/>
  <c r="Q88" i="9" a="1"/>
  <c r="Q88" i="9" s="1"/>
  <c r="Q81" i="9" a="1"/>
  <c r="Q81" i="9" s="1"/>
  <c r="Q91" i="9" a="1"/>
  <c r="Q91" i="9" s="1"/>
  <c r="Q86" i="9" a="1"/>
  <c r="Q86" i="9" s="1"/>
  <c r="Q71" i="9" a="1"/>
  <c r="Q71" i="9" s="1"/>
  <c r="Q76" i="9" a="1"/>
  <c r="Q76" i="9" s="1"/>
  <c r="Q69" i="9" a="1"/>
  <c r="Q69" i="9" s="1"/>
  <c r="Q89" i="9" a="1"/>
  <c r="Q89" i="9" s="1"/>
  <c r="Q84" i="9" a="1"/>
  <c r="Q84" i="9" s="1"/>
  <c r="Q74" i="9" a="1"/>
  <c r="Q74" i="9" s="1"/>
  <c r="Q79" i="9" a="1"/>
  <c r="Q79" i="9" s="1"/>
  <c r="Q67" i="9" a="1"/>
  <c r="Q67" i="9" s="1"/>
  <c r="Q72" i="9" a="1"/>
  <c r="Q72" i="9" s="1"/>
  <c r="Q105" i="9" a="1"/>
  <c r="Q105" i="9" s="1"/>
  <c r="Q77" i="9" a="1"/>
  <c r="Q77" i="9" s="1"/>
  <c r="Q70" i="9" a="1"/>
  <c r="Q70" i="9" s="1"/>
  <c r="Q75" i="9" a="1"/>
  <c r="Q75" i="9" s="1"/>
  <c r="Q97" i="9" a="1"/>
  <c r="Q97" i="9" s="1"/>
  <c r="Q68" i="9" a="1"/>
  <c r="Q68" i="9" s="1"/>
  <c r="Q64" i="9" a="1"/>
  <c r="Q64" i="9" s="1"/>
  <c r="Q52" i="9" a="1"/>
  <c r="Q52" i="9" s="1"/>
  <c r="Q40" i="9" a="1"/>
  <c r="Q40" i="9" s="1"/>
  <c r="Q78" i="9" a="1"/>
  <c r="Q78" i="9" s="1"/>
  <c r="Q73" i="9" a="1"/>
  <c r="Q73" i="9" s="1"/>
  <c r="Q57" i="9" a="1"/>
  <c r="Q57" i="9" s="1"/>
  <c r="Q45" i="9" a="1"/>
  <c r="Q45" i="9" s="1"/>
  <c r="Q62" i="9" a="1"/>
  <c r="Q62" i="9" s="1"/>
  <c r="Q50" i="9" a="1"/>
  <c r="Q50" i="9" s="1"/>
  <c r="Q55" i="9" a="1"/>
  <c r="Q55" i="9" s="1"/>
  <c r="Q43" i="9" a="1"/>
  <c r="Q43" i="9" s="1"/>
  <c r="Q60" i="9" a="1"/>
  <c r="Q60" i="9" s="1"/>
  <c r="Q48" i="9" a="1"/>
  <c r="Q48" i="9" s="1"/>
  <c r="Q65" i="9" a="1"/>
  <c r="Q65" i="9" s="1"/>
  <c r="Q53" i="9" a="1"/>
  <c r="Q53" i="9" s="1"/>
  <c r="Q41" i="9" a="1"/>
  <c r="Q41" i="9" s="1"/>
  <c r="Q58" i="9" a="1"/>
  <c r="Q58" i="9" s="1"/>
  <c r="Q46" i="9" a="1"/>
  <c r="Q46" i="9" s="1"/>
  <c r="Q63" i="9" a="1"/>
  <c r="Q63" i="9" s="1"/>
  <c r="Q51" i="9" a="1"/>
  <c r="Q51" i="9" s="1"/>
  <c r="Q39" i="9" a="1"/>
  <c r="Q39" i="9" s="1"/>
  <c r="Q56" i="9" a="1"/>
  <c r="Q56" i="9" s="1"/>
  <c r="Q44" i="9" a="1"/>
  <c r="Q44" i="9" s="1"/>
  <c r="Q28" i="9" a="1"/>
  <c r="Q28" i="9" s="1"/>
  <c r="Q59" i="9" a="1"/>
  <c r="Q59" i="9" s="1"/>
  <c r="Q47" i="9" a="1"/>
  <c r="Q47" i="9" s="1"/>
  <c r="Q33" i="9" a="1"/>
  <c r="Q33" i="9" s="1"/>
  <c r="Q21" i="9" a="1"/>
  <c r="Q21" i="9" s="1"/>
  <c r="Q38" i="9" a="1"/>
  <c r="Q38" i="9" s="1"/>
  <c r="Q26" i="9" a="1"/>
  <c r="Q26" i="9" s="1"/>
  <c r="Q61" i="9" a="1"/>
  <c r="Q61" i="9" s="1"/>
  <c r="Q49" i="9" a="1"/>
  <c r="Q49" i="9" s="1"/>
  <c r="Q31" i="9" a="1"/>
  <c r="Q31" i="9" s="1"/>
  <c r="Q36" i="9" a="1"/>
  <c r="Q36" i="9" s="1"/>
  <c r="Q24" i="9" a="1"/>
  <c r="Q24" i="9" s="1"/>
  <c r="Q29" i="9" a="1"/>
  <c r="Q29" i="9" s="1"/>
  <c r="Q17" i="9" a="1"/>
  <c r="Q17" i="9" s="1"/>
  <c r="Q27" i="9" a="1"/>
  <c r="Q27" i="9" s="1"/>
  <c r="Q66" i="9" a="1"/>
  <c r="Q66" i="9" s="1"/>
  <c r="Q54" i="9" a="1"/>
  <c r="Q54" i="9" s="1"/>
  <c r="Q42" i="9" a="1"/>
  <c r="Q42" i="9" s="1"/>
  <c r="Q32" i="9" a="1"/>
  <c r="Q32" i="9" s="1"/>
  <c r="Q20" i="9" a="1"/>
  <c r="Q20" i="9" s="1"/>
  <c r="Q37" i="9" a="1"/>
  <c r="Q37" i="9" s="1"/>
  <c r="Q12" i="9" a="1"/>
  <c r="Q12" i="9" s="1"/>
  <c r="Q30" i="9" a="1"/>
  <c r="Q30" i="9" s="1"/>
  <c r="Q10" i="9" a="1"/>
  <c r="Q10" i="9" s="1"/>
  <c r="Q25" i="9" a="1"/>
  <c r="Q25" i="9" s="1"/>
  <c r="Q19" i="9" a="1"/>
  <c r="Q19" i="9" s="1"/>
  <c r="Q15" i="9" a="1"/>
  <c r="Q15" i="9" s="1"/>
  <c r="Q13" i="9" a="1"/>
  <c r="Q13" i="9" s="1"/>
  <c r="Q18" i="9" a="1"/>
  <c r="Q18" i="9" s="1"/>
  <c r="Q35" i="9" a="1"/>
  <c r="Q35" i="9" s="1"/>
  <c r="Q11" i="9" a="1"/>
  <c r="Q11" i="9" s="1"/>
  <c r="Q16" i="9" a="1"/>
  <c r="Q16" i="9" s="1"/>
  <c r="Q4" i="9" a="1"/>
  <c r="Q4" i="9" s="1"/>
  <c r="Q23" i="9" a="1"/>
  <c r="Q23" i="9" s="1"/>
  <c r="Q22" i="9" a="1"/>
  <c r="Q22" i="9" s="1"/>
  <c r="Q34" i="9" a="1"/>
  <c r="Q34" i="9" s="1"/>
  <c r="AC131" i="9" a="1"/>
  <c r="AC131" i="9" s="1"/>
  <c r="AC134" i="9" a="1"/>
  <c r="AC134" i="9" s="1"/>
  <c r="AC133" i="9" a="1"/>
  <c r="AC133" i="9" s="1"/>
  <c r="AC130" i="9" a="1"/>
  <c r="AC130" i="9" s="1"/>
  <c r="AC136" i="9" a="1"/>
  <c r="AC136" i="9" s="1"/>
  <c r="AC128" i="9" a="1"/>
  <c r="AC128" i="9" s="1"/>
  <c r="AF128" i="5" s="1"/>
  <c r="AC135" i="9" a="1"/>
  <c r="AC135" i="9" s="1"/>
  <c r="AC123" i="9" a="1"/>
  <c r="AC123" i="9" s="1"/>
  <c r="AC129" i="9" a="1"/>
  <c r="AC129" i="9" s="1"/>
  <c r="AC124" i="9" a="1"/>
  <c r="AC124" i="9" s="1"/>
  <c r="AC122" i="9" a="1"/>
  <c r="AC122" i="9" s="1"/>
  <c r="AC120" i="9" a="1"/>
  <c r="AC120" i="9" s="1"/>
  <c r="AC126" i="9" a="1"/>
  <c r="AC126" i="9" s="1"/>
  <c r="AC132" i="9" a="1"/>
  <c r="AC132" i="9" s="1"/>
  <c r="AC127" i="9" a="1"/>
  <c r="AC127" i="9" s="1"/>
  <c r="AC125" i="9" a="1"/>
  <c r="AC125" i="9" s="1"/>
  <c r="AC121" i="9" a="1"/>
  <c r="AC121" i="9" s="1"/>
  <c r="AC118" i="9" a="1"/>
  <c r="AC118" i="9" s="1"/>
  <c r="AF118" i="5" s="1"/>
  <c r="AC116" i="9" a="1"/>
  <c r="AC116" i="9" s="1"/>
  <c r="AC114" i="9" a="1"/>
  <c r="AC114" i="9" s="1"/>
  <c r="AC119" i="9" a="1"/>
  <c r="AC119" i="9" s="1"/>
  <c r="AC117" i="9" a="1"/>
  <c r="AC117" i="9" s="1"/>
  <c r="AC113" i="9" a="1"/>
  <c r="AC113" i="9" s="1"/>
  <c r="AC103" i="9" a="1"/>
  <c r="AC103" i="9" s="1"/>
  <c r="AC115" i="9" a="1"/>
  <c r="AC115" i="9" s="1"/>
  <c r="AC106" i="9" a="1"/>
  <c r="AC106" i="9" s="1"/>
  <c r="AC111" i="9" a="1"/>
  <c r="AC111" i="9" s="1"/>
  <c r="AC104" i="9" a="1"/>
  <c r="AC104" i="9" s="1"/>
  <c r="AC109" i="9" a="1"/>
  <c r="AC109" i="9" s="1"/>
  <c r="AC102" i="9" a="1"/>
  <c r="AC102" i="9" s="1"/>
  <c r="AF102" i="5" s="1"/>
  <c r="AC110" i="9" a="1"/>
  <c r="AC110" i="9" s="1"/>
  <c r="AC95" i="9" a="1"/>
  <c r="AC95" i="9" s="1"/>
  <c r="AC93" i="9" a="1"/>
  <c r="AC93" i="9" s="1"/>
  <c r="AC105" i="9" a="1"/>
  <c r="AC105" i="9" s="1"/>
  <c r="AC98" i="9" a="1"/>
  <c r="AC98" i="9" s="1"/>
  <c r="AC96" i="9" a="1"/>
  <c r="AC96" i="9" s="1"/>
  <c r="AC108" i="9" a="1"/>
  <c r="AC108" i="9" s="1"/>
  <c r="AC112" i="9" a="1"/>
  <c r="AC112" i="9" s="1"/>
  <c r="AC94" i="9" a="1"/>
  <c r="AC94" i="9" s="1"/>
  <c r="AC107" i="9" a="1"/>
  <c r="AC107" i="9" s="1"/>
  <c r="AC99" i="9" a="1"/>
  <c r="AC99" i="9" s="1"/>
  <c r="AC92" i="9" a="1"/>
  <c r="AC92" i="9" s="1"/>
  <c r="AF92" i="5" s="1"/>
  <c r="AC82" i="9" a="1"/>
  <c r="AC82" i="9" s="1"/>
  <c r="AC87" i="9" a="1"/>
  <c r="AC87" i="9" s="1"/>
  <c r="AC91" i="9" a="1"/>
  <c r="AC91" i="9" s="1"/>
  <c r="AC80" i="9" a="1"/>
  <c r="AC80" i="9" s="1"/>
  <c r="AC85" i="9" a="1"/>
  <c r="AC85" i="9" s="1"/>
  <c r="AC90" i="9" a="1"/>
  <c r="AC90" i="9" s="1"/>
  <c r="AC97" i="9" a="1"/>
  <c r="AC97" i="9" s="1"/>
  <c r="AC83" i="9" a="1"/>
  <c r="AC83" i="9" s="1"/>
  <c r="AC100" i="9" a="1"/>
  <c r="AC100" i="9" s="1"/>
  <c r="AC88" i="9" a="1"/>
  <c r="AC88" i="9" s="1"/>
  <c r="AC81" i="9" a="1"/>
  <c r="AC81" i="9" s="1"/>
  <c r="AC86" i="9" a="1"/>
  <c r="AC86" i="9" s="1"/>
  <c r="AF86" i="5" s="1"/>
  <c r="AC71" i="9" a="1"/>
  <c r="AC71" i="9" s="1"/>
  <c r="AC76" i="9" a="1"/>
  <c r="AC76" i="9" s="1"/>
  <c r="AC69" i="9" a="1"/>
  <c r="AC69" i="9" s="1"/>
  <c r="AC74" i="9" a="1"/>
  <c r="AC74" i="9" s="1"/>
  <c r="AC79" i="9" a="1"/>
  <c r="AC79" i="9" s="1"/>
  <c r="AC67" i="9" a="1"/>
  <c r="AC67" i="9" s="1"/>
  <c r="AC72" i="9" a="1"/>
  <c r="AC72" i="9" s="1"/>
  <c r="AC101" i="9" a="1"/>
  <c r="AC101" i="9" s="1"/>
  <c r="AC77" i="9" a="1"/>
  <c r="AC77" i="9" s="1"/>
  <c r="AC70" i="9" a="1"/>
  <c r="AC70" i="9" s="1"/>
  <c r="AC75" i="9" a="1"/>
  <c r="AC75" i="9" s="1"/>
  <c r="AC68" i="9" a="1"/>
  <c r="AC68" i="9" s="1"/>
  <c r="AF68" i="5" s="1"/>
  <c r="AC64" i="9" a="1"/>
  <c r="AC64" i="9" s="1"/>
  <c r="AC52" i="9" a="1"/>
  <c r="AC52" i="9" s="1"/>
  <c r="AC40" i="9" a="1"/>
  <c r="AC40" i="9" s="1"/>
  <c r="AC84" i="9" a="1"/>
  <c r="AC84" i="9" s="1"/>
  <c r="AC57" i="9" a="1"/>
  <c r="AC57" i="9" s="1"/>
  <c r="AC45" i="9" a="1"/>
  <c r="AC45" i="9" s="1"/>
  <c r="AC62" i="9" a="1"/>
  <c r="AC62" i="9" s="1"/>
  <c r="AC50" i="9" a="1"/>
  <c r="AC50" i="9" s="1"/>
  <c r="AC55" i="9" a="1"/>
  <c r="AC55" i="9" s="1"/>
  <c r="AC43" i="9" a="1"/>
  <c r="AC43" i="9" s="1"/>
  <c r="AC60" i="9" a="1"/>
  <c r="AC60" i="9" s="1"/>
  <c r="AC48" i="9" a="1"/>
  <c r="AC48" i="9" s="1"/>
  <c r="AF48" i="5" s="1"/>
  <c r="AC65" i="9" a="1"/>
  <c r="AC65" i="9" s="1"/>
  <c r="AC53" i="9" a="1"/>
  <c r="AC53" i="9" s="1"/>
  <c r="AC41" i="9" a="1"/>
  <c r="AC41" i="9" s="1"/>
  <c r="AC58" i="9" a="1"/>
  <c r="AC58" i="9" s="1"/>
  <c r="AC46" i="9" a="1"/>
  <c r="AC46" i="9" s="1"/>
  <c r="AC89" i="9" a="1"/>
  <c r="AC89" i="9" s="1"/>
  <c r="AC63" i="9" a="1"/>
  <c r="AC63" i="9" s="1"/>
  <c r="AC51" i="9" a="1"/>
  <c r="AC51" i="9" s="1"/>
  <c r="AC39" i="9" a="1"/>
  <c r="AC39" i="9" s="1"/>
  <c r="AC56" i="9" a="1"/>
  <c r="AC56" i="9" s="1"/>
  <c r="AC44" i="9" a="1"/>
  <c r="AC44" i="9" s="1"/>
  <c r="AC28" i="9" a="1"/>
  <c r="AC28" i="9" s="1"/>
  <c r="AF28" i="5" s="1"/>
  <c r="AC16" i="9" a="1"/>
  <c r="AC16" i="9" s="1"/>
  <c r="AC73" i="9" a="1"/>
  <c r="AC73" i="9" s="1"/>
  <c r="AC33" i="9" a="1"/>
  <c r="AC33" i="9" s="1"/>
  <c r="AC21" i="9" a="1"/>
  <c r="AC21" i="9" s="1"/>
  <c r="AC66" i="9" a="1"/>
  <c r="AC66" i="9" s="1"/>
  <c r="AC54" i="9" a="1"/>
  <c r="AC54" i="9" s="1"/>
  <c r="AC42" i="9" a="1"/>
  <c r="AC42" i="9" s="1"/>
  <c r="AC38" i="9" a="1"/>
  <c r="AC38" i="9" s="1"/>
  <c r="AC26" i="9" a="1"/>
  <c r="AC26" i="9" s="1"/>
  <c r="AC31" i="9" a="1"/>
  <c r="AC31" i="9" s="1"/>
  <c r="AC36" i="9" a="1"/>
  <c r="AC36" i="9" s="1"/>
  <c r="AC24" i="9" a="1"/>
  <c r="AC24" i="9" s="1"/>
  <c r="AF24" i="5" s="1"/>
  <c r="AC29" i="9" a="1"/>
  <c r="AC29" i="9" s="1"/>
  <c r="AC17" i="9" a="1"/>
  <c r="AC17" i="9" s="1"/>
  <c r="AC59" i="9" a="1"/>
  <c r="AC59" i="9" s="1"/>
  <c r="AC47" i="9" a="1"/>
  <c r="AC47" i="9" s="1"/>
  <c r="AC27" i="9" a="1"/>
  <c r="AC27" i="9" s="1"/>
  <c r="AC32" i="9" a="1"/>
  <c r="AC32" i="9" s="1"/>
  <c r="AC20" i="9" a="1"/>
  <c r="AC20" i="9" s="1"/>
  <c r="AC61" i="9" a="1"/>
  <c r="AC61" i="9" s="1"/>
  <c r="AC49" i="9" a="1"/>
  <c r="AC49" i="9" s="1"/>
  <c r="AC37" i="9" a="1"/>
  <c r="AC37" i="9" s="1"/>
  <c r="AC23" i="9" a="1"/>
  <c r="AC23" i="9" s="1"/>
  <c r="AC22" i="9" a="1"/>
  <c r="AC22" i="9" s="1"/>
  <c r="AF22" i="5" s="1"/>
  <c r="AC12" i="9" a="1"/>
  <c r="AC12" i="9" s="1"/>
  <c r="AC35" i="9" a="1"/>
  <c r="AC35" i="9" s="1"/>
  <c r="AC10" i="9" a="1"/>
  <c r="AC10" i="9" s="1"/>
  <c r="AC15" i="9" a="1"/>
  <c r="AC15" i="9" s="1"/>
  <c r="AC34" i="9" a="1"/>
  <c r="AC34" i="9" s="1"/>
  <c r="AC25" i="9" a="1"/>
  <c r="AC25" i="9" s="1"/>
  <c r="AC19" i="9" a="1"/>
  <c r="AC19" i="9" s="1"/>
  <c r="AC13" i="9" a="1"/>
  <c r="AC13" i="9" s="1"/>
  <c r="AC11" i="9" a="1"/>
  <c r="AC11" i="9" s="1"/>
  <c r="AC30" i="9" a="1"/>
  <c r="AC30" i="9" s="1"/>
  <c r="AC18" i="9" a="1"/>
  <c r="AC18" i="9" s="1"/>
  <c r="AC4" i="9" a="1"/>
  <c r="AC4" i="9" s="1"/>
  <c r="AF4" i="5" s="1"/>
  <c r="AC78" i="9" a="1"/>
  <c r="AC78" i="9" s="1"/>
  <c r="AO134" i="9" a="1"/>
  <c r="AO134" i="9" s="1"/>
  <c r="AO132" i="9" a="1"/>
  <c r="AO132" i="9" s="1"/>
  <c r="AO136" i="9" a="1"/>
  <c r="AO136" i="9" s="1"/>
  <c r="AO135" i="9" a="1"/>
  <c r="AO135" i="9" s="1"/>
  <c r="AO130" i="9" a="1"/>
  <c r="AO130" i="9" s="1"/>
  <c r="AO133" i="9" a="1"/>
  <c r="AO133" i="9" s="1"/>
  <c r="AO131" i="9" a="1"/>
  <c r="AO131" i="9" s="1"/>
  <c r="AO128" i="9" a="1"/>
  <c r="AO128" i="9" s="1"/>
  <c r="AO129" i="9" a="1"/>
  <c r="AO129" i="9" s="1"/>
  <c r="AO123" i="9" a="1"/>
  <c r="AO123" i="9" s="1"/>
  <c r="AO127" i="9" a="1"/>
  <c r="AO127" i="9" s="1"/>
  <c r="AO122" i="9" a="1"/>
  <c r="AO122" i="9" s="1"/>
  <c r="AO120" i="9" a="1"/>
  <c r="AO120" i="9" s="1"/>
  <c r="AO126" i="9" a="1"/>
  <c r="AO126" i="9" s="1"/>
  <c r="AO125" i="9" a="1"/>
  <c r="AO125" i="9" s="1"/>
  <c r="AO124" i="9" a="1"/>
  <c r="AO124" i="9" s="1"/>
  <c r="AO121" i="9" a="1"/>
  <c r="AO121" i="9" s="1"/>
  <c r="AO118" i="9" a="1"/>
  <c r="AO118" i="9" s="1"/>
  <c r="AO116" i="9" a="1"/>
  <c r="AO116" i="9" s="1"/>
  <c r="AO114" i="9" a="1"/>
  <c r="AO114" i="9" s="1"/>
  <c r="AO119" i="9" a="1"/>
  <c r="AO119" i="9" s="1"/>
  <c r="AO117" i="9" a="1"/>
  <c r="AO117" i="9" s="1"/>
  <c r="AO103" i="9" a="1"/>
  <c r="AO103" i="9" s="1"/>
  <c r="AO112" i="9" a="1"/>
  <c r="AO112" i="9" s="1"/>
  <c r="AO106" i="9" a="1"/>
  <c r="AO106" i="9" s="1"/>
  <c r="AO115" i="9" a="1"/>
  <c r="AO115" i="9" s="1"/>
  <c r="AO111" i="9" a="1"/>
  <c r="AO111" i="9" s="1"/>
  <c r="AO104" i="9" a="1"/>
  <c r="AO104" i="9" s="1"/>
  <c r="AO109" i="9" a="1"/>
  <c r="AO109" i="9" s="1"/>
  <c r="AO102" i="9" a="1"/>
  <c r="AO102" i="9" s="1"/>
  <c r="AO113" i="9" a="1"/>
  <c r="AO113" i="9" s="1"/>
  <c r="AO107" i="9" a="1"/>
  <c r="AO107" i="9" s="1"/>
  <c r="AO95" i="9" a="1"/>
  <c r="AO95" i="9" s="1"/>
  <c r="AO93" i="9" a="1"/>
  <c r="AO93" i="9" s="1"/>
  <c r="AO98" i="9" a="1"/>
  <c r="AO98" i="9" s="1"/>
  <c r="AO110" i="9" a="1"/>
  <c r="AO110" i="9" s="1"/>
  <c r="AO96" i="9" a="1"/>
  <c r="AO96" i="9" s="1"/>
  <c r="AO105" i="9" a="1"/>
  <c r="AO105" i="9" s="1"/>
  <c r="AO94" i="9" a="1"/>
  <c r="AO94" i="9" s="1"/>
  <c r="AO99" i="9" a="1"/>
  <c r="AO99" i="9" s="1"/>
  <c r="AO92" i="9" a="1"/>
  <c r="AO92" i="9" s="1"/>
  <c r="AO100" i="9" a="1"/>
  <c r="AO100" i="9" s="1"/>
  <c r="AO82" i="9" a="1"/>
  <c r="AO82" i="9" s="1"/>
  <c r="AO108" i="9" a="1"/>
  <c r="AO108" i="9" s="1"/>
  <c r="AO87" i="9" a="1"/>
  <c r="AO87" i="9" s="1"/>
  <c r="AO80" i="9" a="1"/>
  <c r="AO80" i="9" s="1"/>
  <c r="AO85" i="9" a="1"/>
  <c r="AO85" i="9" s="1"/>
  <c r="AO90" i="9" a="1"/>
  <c r="AO90" i="9" s="1"/>
  <c r="AO83" i="9" a="1"/>
  <c r="AO83" i="9" s="1"/>
  <c r="AO88" i="9" a="1"/>
  <c r="AO88" i="9" s="1"/>
  <c r="AO101" i="9" a="1"/>
  <c r="AO101" i="9" s="1"/>
  <c r="AO81" i="9" a="1"/>
  <c r="AO81" i="9" s="1"/>
  <c r="AO91" i="9" a="1"/>
  <c r="AO91" i="9" s="1"/>
  <c r="AO86" i="9" a="1"/>
  <c r="AO86" i="9" s="1"/>
  <c r="AO71" i="9" a="1"/>
  <c r="AO71" i="9" s="1"/>
  <c r="AO76" i="9" a="1"/>
  <c r="AO76" i="9" s="1"/>
  <c r="AO69" i="9" a="1"/>
  <c r="AO69" i="9" s="1"/>
  <c r="AO74" i="9" a="1"/>
  <c r="AO74" i="9" s="1"/>
  <c r="AO79" i="9" a="1"/>
  <c r="AO79" i="9" s="1"/>
  <c r="AO67" i="9" a="1"/>
  <c r="AO67" i="9" s="1"/>
  <c r="AO72" i="9" a="1"/>
  <c r="AO72" i="9" s="1"/>
  <c r="AO77" i="9" a="1"/>
  <c r="AO77" i="9" s="1"/>
  <c r="AO97" i="9" a="1"/>
  <c r="AO97" i="9" s="1"/>
  <c r="AO89" i="9" a="1"/>
  <c r="AO89" i="9" s="1"/>
  <c r="AO84" i="9" a="1"/>
  <c r="AO84" i="9" s="1"/>
  <c r="AO70" i="9" a="1"/>
  <c r="AO70" i="9" s="1"/>
  <c r="AO75" i="9" a="1"/>
  <c r="AO75" i="9" s="1"/>
  <c r="AO68" i="9" a="1"/>
  <c r="AO68" i="9" s="1"/>
  <c r="AO64" i="9" a="1"/>
  <c r="AO64" i="9" s="1"/>
  <c r="AO52" i="9" a="1"/>
  <c r="AO52" i="9" s="1"/>
  <c r="AO40" i="9" a="1"/>
  <c r="AO40" i="9" s="1"/>
  <c r="AO57" i="9" a="1"/>
  <c r="AO57" i="9" s="1"/>
  <c r="AO45" i="9" a="1"/>
  <c r="AO45" i="9" s="1"/>
  <c r="AO62" i="9" a="1"/>
  <c r="AO62" i="9" s="1"/>
  <c r="AO50" i="9" a="1"/>
  <c r="AO50" i="9" s="1"/>
  <c r="AO55" i="9" a="1"/>
  <c r="AO55" i="9" s="1"/>
  <c r="AO43" i="9" a="1"/>
  <c r="AO43" i="9" s="1"/>
  <c r="AO60" i="9" a="1"/>
  <c r="AO60" i="9" s="1"/>
  <c r="AO48" i="9" a="1"/>
  <c r="AO48" i="9" s="1"/>
  <c r="AO78" i="9" a="1"/>
  <c r="AO78" i="9" s="1"/>
  <c r="AO73" i="9" a="1"/>
  <c r="AO73" i="9" s="1"/>
  <c r="AO65" i="9" a="1"/>
  <c r="AO65" i="9" s="1"/>
  <c r="AO53" i="9" a="1"/>
  <c r="AO53" i="9" s="1"/>
  <c r="AO41" i="9" a="1"/>
  <c r="AO41" i="9" s="1"/>
  <c r="AO58" i="9" a="1"/>
  <c r="AO58" i="9" s="1"/>
  <c r="AO46" i="9" a="1"/>
  <c r="AO46" i="9" s="1"/>
  <c r="AO63" i="9" a="1"/>
  <c r="AO63" i="9" s="1"/>
  <c r="AO51" i="9" a="1"/>
  <c r="AO51" i="9" s="1"/>
  <c r="AO39" i="9" a="1"/>
  <c r="AO39" i="9" s="1"/>
  <c r="AO56" i="9" a="1"/>
  <c r="AO56" i="9" s="1"/>
  <c r="AO44" i="9" a="1"/>
  <c r="AO44" i="9" s="1"/>
  <c r="AO28" i="9" a="1"/>
  <c r="AO28" i="9" s="1"/>
  <c r="AO16" i="9" a="1"/>
  <c r="AO16" i="9" s="1"/>
  <c r="AO59" i="9" a="1"/>
  <c r="AO59" i="9" s="1"/>
  <c r="AO47" i="9" a="1"/>
  <c r="AO47" i="9" s="1"/>
  <c r="AO33" i="9" a="1"/>
  <c r="AO33" i="9" s="1"/>
  <c r="AO21" i="9" a="1"/>
  <c r="AO21" i="9" s="1"/>
  <c r="AO38" i="9" a="1"/>
  <c r="AO38" i="9" s="1"/>
  <c r="AO26" i="9" a="1"/>
  <c r="AO26" i="9" s="1"/>
  <c r="AO61" i="9" a="1"/>
  <c r="AO61" i="9" s="1"/>
  <c r="AO49" i="9" a="1"/>
  <c r="AO49" i="9" s="1"/>
  <c r="AO31" i="9" a="1"/>
  <c r="AO31" i="9" s="1"/>
  <c r="AO36" i="9" a="1"/>
  <c r="AO36" i="9" s="1"/>
  <c r="AO24" i="9" a="1"/>
  <c r="AO24" i="9" s="1"/>
  <c r="AO29" i="9" a="1"/>
  <c r="AO29" i="9" s="1"/>
  <c r="AO17" i="9" a="1"/>
  <c r="AO17" i="9" s="1"/>
  <c r="AO27" i="9" a="1"/>
  <c r="AO27" i="9" s="1"/>
  <c r="AO66" i="9" a="1"/>
  <c r="AO66" i="9" s="1"/>
  <c r="AO54" i="9" a="1"/>
  <c r="AO54" i="9" s="1"/>
  <c r="AO42" i="9" a="1"/>
  <c r="AO42" i="9" s="1"/>
  <c r="AO32" i="9" a="1"/>
  <c r="AO32" i="9" s="1"/>
  <c r="AO20" i="9" a="1"/>
  <c r="AO20" i="9" s="1"/>
  <c r="AO37" i="9" a="1"/>
  <c r="AO37" i="9" s="1"/>
  <c r="AO12" i="9" a="1"/>
  <c r="AO12" i="9" s="1"/>
  <c r="AO23" i="9" a="1"/>
  <c r="AO23" i="9" s="1"/>
  <c r="AO22" i="9" a="1"/>
  <c r="AO22" i="9" s="1"/>
  <c r="AO30" i="9" a="1"/>
  <c r="AO30" i="9" s="1"/>
  <c r="AO10" i="9" a="1"/>
  <c r="AO10" i="9" s="1"/>
  <c r="AO15" i="9" a="1"/>
  <c r="AO15" i="9" s="1"/>
  <c r="AO13" i="9" a="1"/>
  <c r="AO13" i="9" s="1"/>
  <c r="AO35" i="9" a="1"/>
  <c r="AO35" i="9" s="1"/>
  <c r="AO25" i="9" a="1"/>
  <c r="AO25" i="9" s="1"/>
  <c r="AO19" i="9" a="1"/>
  <c r="AO19" i="9" s="1"/>
  <c r="AO11" i="9" a="1"/>
  <c r="AO11" i="9" s="1"/>
  <c r="AO4" i="9" a="1"/>
  <c r="AO4" i="9" s="1"/>
  <c r="AO34" i="9" a="1"/>
  <c r="AO34" i="9" s="1"/>
  <c r="BA135" i="9" a="1"/>
  <c r="BA135" i="9" s="1"/>
  <c r="BA134" i="9" a="1"/>
  <c r="BA134" i="9" s="1"/>
  <c r="BA133" i="9" a="1"/>
  <c r="BA133" i="9" s="1"/>
  <c r="BA127" i="9" a="1"/>
  <c r="BA127" i="9" s="1"/>
  <c r="BA132" i="9" a="1"/>
  <c r="BA132" i="9" s="1"/>
  <c r="BA130" i="9" a="1"/>
  <c r="BA130" i="9" s="1"/>
  <c r="BA131" i="9" a="1"/>
  <c r="BA131" i="9" s="1"/>
  <c r="BA129" i="9" a="1"/>
  <c r="BA129" i="9" s="1"/>
  <c r="BA123" i="9" a="1"/>
  <c r="BA123" i="9" s="1"/>
  <c r="BA122" i="9" a="1"/>
  <c r="BA122" i="9" s="1"/>
  <c r="BA125" i="9" a="1"/>
  <c r="BA125" i="9" s="1"/>
  <c r="BA120" i="9" a="1"/>
  <c r="BA120" i="9" s="1"/>
  <c r="BA136" i="9" a="1"/>
  <c r="BA136" i="9" s="1"/>
  <c r="BA124" i="9" a="1"/>
  <c r="BA124" i="9" s="1"/>
  <c r="BA121" i="9" a="1"/>
  <c r="BA121" i="9" s="1"/>
  <c r="BA128" i="9" a="1"/>
  <c r="BA128" i="9" s="1"/>
  <c r="BA118" i="9" a="1"/>
  <c r="BA118" i="9" s="1"/>
  <c r="BA116" i="9" a="1"/>
  <c r="BA116" i="9" s="1"/>
  <c r="BA126" i="9" a="1"/>
  <c r="BA126" i="9" s="1"/>
  <c r="BA114" i="9" a="1"/>
  <c r="BA114" i="9" s="1"/>
  <c r="BA117" i="9" a="1"/>
  <c r="BA117" i="9" s="1"/>
  <c r="BA103" i="9" a="1"/>
  <c r="BA103" i="9" s="1"/>
  <c r="BA106" i="9" a="1"/>
  <c r="BA106" i="9" s="1"/>
  <c r="BA111" i="9" a="1"/>
  <c r="BA111" i="9" s="1"/>
  <c r="BA104" i="9" a="1"/>
  <c r="BA104" i="9" s="1"/>
  <c r="BA115" i="9" a="1"/>
  <c r="BA115" i="9" s="1"/>
  <c r="BA109" i="9" a="1"/>
  <c r="BA109" i="9" s="1"/>
  <c r="BA112" i="9" a="1"/>
  <c r="BA112" i="9" s="1"/>
  <c r="BA102" i="9" a="1"/>
  <c r="BA102" i="9" s="1"/>
  <c r="BA100" i="9" a="1"/>
  <c r="BA100" i="9" s="1"/>
  <c r="BA95" i="9" a="1"/>
  <c r="BA95" i="9" s="1"/>
  <c r="BA108" i="9" a="1"/>
  <c r="BA108" i="9" s="1"/>
  <c r="BA93" i="9" a="1"/>
  <c r="BA93" i="9" s="1"/>
  <c r="BA98" i="9" a="1"/>
  <c r="BA98" i="9" s="1"/>
  <c r="BA107" i="9" a="1"/>
  <c r="BA107" i="9" s="1"/>
  <c r="BA96" i="9" a="1"/>
  <c r="BA96" i="9" s="1"/>
  <c r="BA94" i="9" a="1"/>
  <c r="BA94" i="9" s="1"/>
  <c r="BA113" i="9" a="1"/>
  <c r="BA113" i="9" s="1"/>
  <c r="BA110" i="9" a="1"/>
  <c r="BA110" i="9" s="1"/>
  <c r="BA99" i="9" a="1"/>
  <c r="BA99" i="9" s="1"/>
  <c r="BA92" i="9" a="1"/>
  <c r="BA92" i="9" s="1"/>
  <c r="BA82" i="9" a="1"/>
  <c r="BA82" i="9" s="1"/>
  <c r="BA87" i="9" a="1"/>
  <c r="BA87" i="9" s="1"/>
  <c r="BA91" i="9" a="1"/>
  <c r="BA91" i="9" s="1"/>
  <c r="BA80" i="9" a="1"/>
  <c r="BA80" i="9" s="1"/>
  <c r="BA85" i="9" a="1"/>
  <c r="BA85" i="9" s="1"/>
  <c r="BA105" i="9" a="1"/>
  <c r="BA105" i="9" s="1"/>
  <c r="BA101" i="9" a="1"/>
  <c r="BA101" i="9" s="1"/>
  <c r="BA97" i="9" a="1"/>
  <c r="BA97" i="9" s="1"/>
  <c r="BA83" i="9" a="1"/>
  <c r="BA83" i="9" s="1"/>
  <c r="BA119" i="9" a="1"/>
  <c r="BA119" i="9" s="1"/>
  <c r="BA88" i="9" a="1"/>
  <c r="BA88" i="9" s="1"/>
  <c r="BA81" i="9" a="1"/>
  <c r="BA81" i="9" s="1"/>
  <c r="BA86" i="9" a="1"/>
  <c r="BA86" i="9" s="1"/>
  <c r="BA79" i="9" a="1"/>
  <c r="BA79" i="9" s="1"/>
  <c r="BA71" i="9" a="1"/>
  <c r="BA71" i="9" s="1"/>
  <c r="BA76" i="9" a="1"/>
  <c r="BA76" i="9" s="1"/>
  <c r="BA69" i="9" a="1"/>
  <c r="BA69" i="9" s="1"/>
  <c r="BA89" i="9" a="1"/>
  <c r="BA89" i="9" s="1"/>
  <c r="BA84" i="9" a="1"/>
  <c r="BA84" i="9" s="1"/>
  <c r="BA74" i="9" a="1"/>
  <c r="BA74" i="9" s="1"/>
  <c r="BA67" i="9" a="1"/>
  <c r="BA67" i="9" s="1"/>
  <c r="BA72" i="9" a="1"/>
  <c r="BA72" i="9" s="1"/>
  <c r="BA77" i="9" a="1"/>
  <c r="BA77" i="9" s="1"/>
  <c r="BA70" i="9" a="1"/>
  <c r="BA70" i="9" s="1"/>
  <c r="BA75" i="9" a="1"/>
  <c r="BA75" i="9" s="1"/>
  <c r="BA68" i="9" a="1"/>
  <c r="BA68" i="9" s="1"/>
  <c r="BA64" i="9" a="1"/>
  <c r="BA64" i="9" s="1"/>
  <c r="BA52" i="9" a="1"/>
  <c r="BA52" i="9" s="1"/>
  <c r="BA40" i="9" a="1"/>
  <c r="BA40" i="9" s="1"/>
  <c r="BA78" i="9" a="1"/>
  <c r="BA78" i="9" s="1"/>
  <c r="BA73" i="9" a="1"/>
  <c r="BA73" i="9" s="1"/>
  <c r="BA57" i="9" a="1"/>
  <c r="BA57" i="9" s="1"/>
  <c r="BA45" i="9" a="1"/>
  <c r="BA45" i="9" s="1"/>
  <c r="BA62" i="9" a="1"/>
  <c r="BA62" i="9" s="1"/>
  <c r="BA50" i="9" a="1"/>
  <c r="BA50" i="9" s="1"/>
  <c r="BA38" i="9" a="1"/>
  <c r="BA38" i="9" s="1"/>
  <c r="BA55" i="9" a="1"/>
  <c r="BA55" i="9" s="1"/>
  <c r="BA43" i="9" a="1"/>
  <c r="BA43" i="9" s="1"/>
  <c r="BA66" i="9" a="1"/>
  <c r="BA66" i="9" s="1"/>
  <c r="BA60" i="9" a="1"/>
  <c r="BA60" i="9" s="1"/>
  <c r="BA48" i="9" a="1"/>
  <c r="BA48" i="9" s="1"/>
  <c r="BA65" i="9" a="1"/>
  <c r="BA65" i="9" s="1"/>
  <c r="BA53" i="9" a="1"/>
  <c r="BA53" i="9" s="1"/>
  <c r="BA41" i="9" a="1"/>
  <c r="BA41" i="9" s="1"/>
  <c r="BA90" i="9" a="1"/>
  <c r="BA90" i="9" s="1"/>
  <c r="BA58" i="9" a="1"/>
  <c r="BA58" i="9" s="1"/>
  <c r="BA46" i="9" a="1"/>
  <c r="BA46" i="9" s="1"/>
  <c r="BA63" i="9" a="1"/>
  <c r="BA63" i="9" s="1"/>
  <c r="BA51" i="9" a="1"/>
  <c r="BA51" i="9" s="1"/>
  <c r="BA39" i="9" a="1"/>
  <c r="BA39" i="9" s="1"/>
  <c r="BA56" i="9" a="1"/>
  <c r="BA56" i="9" s="1"/>
  <c r="BA44" i="9" a="1"/>
  <c r="BA44" i="9" s="1"/>
  <c r="BA28" i="9" a="1"/>
  <c r="BA28" i="9" s="1"/>
  <c r="BA16" i="9" a="1"/>
  <c r="BA16" i="9" s="1"/>
  <c r="BA33" i="9" a="1"/>
  <c r="BA33" i="9" s="1"/>
  <c r="BA21" i="9" a="1"/>
  <c r="BA21" i="9" s="1"/>
  <c r="BA54" i="9" a="1"/>
  <c r="BA54" i="9" s="1"/>
  <c r="BA42" i="9" a="1"/>
  <c r="BA42" i="9" s="1"/>
  <c r="BA26" i="9" a="1"/>
  <c r="BA26" i="9" s="1"/>
  <c r="BA31" i="9" a="1"/>
  <c r="BA31" i="9" s="1"/>
  <c r="BA36" i="9" a="1"/>
  <c r="BA36" i="9" s="1"/>
  <c r="BA24" i="9" a="1"/>
  <c r="BA24" i="9" s="1"/>
  <c r="BA29" i="9" a="1"/>
  <c r="BA29" i="9" s="1"/>
  <c r="BA17" i="9" a="1"/>
  <c r="BA17" i="9" s="1"/>
  <c r="BA59" i="9" a="1"/>
  <c r="BA59" i="9" s="1"/>
  <c r="BA47" i="9" a="1"/>
  <c r="BA47" i="9" s="1"/>
  <c r="BA27" i="9" a="1"/>
  <c r="BA27" i="9" s="1"/>
  <c r="BA32" i="9" a="1"/>
  <c r="BA32" i="9" s="1"/>
  <c r="BA20" i="9" a="1"/>
  <c r="BA20" i="9" s="1"/>
  <c r="BA61" i="9" a="1"/>
  <c r="BA61" i="9" s="1"/>
  <c r="BA49" i="9" a="1"/>
  <c r="BA49" i="9" s="1"/>
  <c r="BA37" i="9" a="1"/>
  <c r="BA37" i="9" s="1"/>
  <c r="BA18" i="9" a="1"/>
  <c r="BA18" i="9" s="1"/>
  <c r="BA12" i="9" a="1"/>
  <c r="BA12" i="9" s="1"/>
  <c r="BA35" i="9" a="1"/>
  <c r="BA35" i="9" s="1"/>
  <c r="BA10" i="9" a="1"/>
  <c r="BA10" i="9" s="1"/>
  <c r="BA23" i="9" a="1"/>
  <c r="BA23" i="9" s="1"/>
  <c r="BA22" i="9" a="1"/>
  <c r="BA22" i="9" s="1"/>
  <c r="BA15" i="9" a="1"/>
  <c r="BA15" i="9" s="1"/>
  <c r="BA34" i="9" a="1"/>
  <c r="BA34" i="9" s="1"/>
  <c r="BA13" i="9" a="1"/>
  <c r="BA13" i="9" s="1"/>
  <c r="BA11" i="9" a="1"/>
  <c r="BA11" i="9" s="1"/>
  <c r="BA30" i="9" a="1"/>
  <c r="BA30" i="9" s="1"/>
  <c r="BA4" i="9" a="1"/>
  <c r="BA4" i="9" s="1"/>
  <c r="BA25" i="9" a="1"/>
  <c r="BA25" i="9" s="1"/>
  <c r="BA19" i="9" a="1"/>
  <c r="BA19" i="9" s="1"/>
  <c r="BM132" i="9" a="1"/>
  <c r="BM132" i="9" s="1"/>
  <c r="BM127" i="9" a="1"/>
  <c r="BM127" i="9" s="1"/>
  <c r="BM133" i="9" a="1"/>
  <c r="BM133" i="9" s="1"/>
  <c r="BM136" i="9" a="1"/>
  <c r="BM136" i="9" s="1"/>
  <c r="BM130" i="9" a="1"/>
  <c r="BM130" i="9" s="1"/>
  <c r="BM131" i="9" a="1"/>
  <c r="BM131" i="9" s="1"/>
  <c r="BM129" i="9" a="1"/>
  <c r="BM129" i="9" s="1"/>
  <c r="BM135" i="9" a="1"/>
  <c r="BM135" i="9" s="1"/>
  <c r="BM123" i="9" a="1"/>
  <c r="BM123" i="9" s="1"/>
  <c r="BM128" i="9" a="1"/>
  <c r="BM128" i="9" s="1"/>
  <c r="BM125" i="9" a="1"/>
  <c r="BM125" i="9" s="1"/>
  <c r="BM120" i="9" a="1"/>
  <c r="BM120" i="9" s="1"/>
  <c r="BM134" i="9" a="1"/>
  <c r="BM134" i="9" s="1"/>
  <c r="BM122" i="9" a="1"/>
  <c r="BM122" i="9" s="1"/>
  <c r="BM121" i="9" a="1"/>
  <c r="BM121" i="9" s="1"/>
  <c r="BM126" i="9" a="1"/>
  <c r="BM126" i="9" s="1"/>
  <c r="BM119" i="9" a="1"/>
  <c r="BM119" i="9" s="1"/>
  <c r="BM118" i="9" a="1"/>
  <c r="BM118" i="9" s="1"/>
  <c r="BM116" i="9" a="1"/>
  <c r="BM116" i="9" s="1"/>
  <c r="BM114" i="9" a="1"/>
  <c r="BM114" i="9" s="1"/>
  <c r="BM117" i="9" a="1"/>
  <c r="BM117" i="9" s="1"/>
  <c r="BM103" i="9" a="1"/>
  <c r="BM103" i="9" s="1"/>
  <c r="BM101" i="9" a="1"/>
  <c r="BM101" i="9" s="1"/>
  <c r="BM106" i="9" a="1"/>
  <c r="BM106" i="9" s="1"/>
  <c r="BM111" i="9" a="1"/>
  <c r="BM111" i="9" s="1"/>
  <c r="BM104" i="9" a="1"/>
  <c r="BM104" i="9" s="1"/>
  <c r="BM124" i="9" a="1"/>
  <c r="BM124" i="9" s="1"/>
  <c r="BM109" i="9" a="1"/>
  <c r="BM109" i="9" s="1"/>
  <c r="BM102" i="9" a="1"/>
  <c r="BM102" i="9" s="1"/>
  <c r="BM100" i="9" a="1"/>
  <c r="BM100" i="9" s="1"/>
  <c r="BM115" i="9" a="1"/>
  <c r="BM115" i="9" s="1"/>
  <c r="BM110" i="9" a="1"/>
  <c r="BM110" i="9" s="1"/>
  <c r="BM95" i="9" a="1"/>
  <c r="BM95" i="9" s="1"/>
  <c r="BM93" i="9" a="1"/>
  <c r="BM93" i="9" s="1"/>
  <c r="BM105" i="9" a="1"/>
  <c r="BM105" i="9" s="1"/>
  <c r="BM98" i="9" a="1"/>
  <c r="BM98" i="9" s="1"/>
  <c r="BM113" i="9" a="1"/>
  <c r="BM113" i="9" s="1"/>
  <c r="BM91" i="9" a="1"/>
  <c r="BM91" i="9" s="1"/>
  <c r="BM96" i="9" a="1"/>
  <c r="BM96" i="9" s="1"/>
  <c r="BM108" i="9" a="1"/>
  <c r="BM108" i="9" s="1"/>
  <c r="BM94" i="9" a="1"/>
  <c r="BM94" i="9" s="1"/>
  <c r="BM107" i="9" a="1"/>
  <c r="BM107" i="9" s="1"/>
  <c r="BM99" i="9" a="1"/>
  <c r="BM99" i="9" s="1"/>
  <c r="BM92" i="9" a="1"/>
  <c r="BM92" i="9" s="1"/>
  <c r="BM82" i="9" a="1"/>
  <c r="BM82" i="9" s="1"/>
  <c r="BM87" i="9" a="1"/>
  <c r="BM87" i="9" s="1"/>
  <c r="BM80" i="9" a="1"/>
  <c r="BM80" i="9" s="1"/>
  <c r="BM85" i="9" a="1"/>
  <c r="BM85" i="9" s="1"/>
  <c r="BM90" i="9" a="1"/>
  <c r="BM90" i="9" s="1"/>
  <c r="BM83" i="9" a="1"/>
  <c r="BM83" i="9" s="1"/>
  <c r="BM88" i="9" a="1"/>
  <c r="BM88" i="9" s="1"/>
  <c r="BM81" i="9" a="1"/>
  <c r="BM81" i="9" s="1"/>
  <c r="BM86" i="9" a="1"/>
  <c r="BM86" i="9" s="1"/>
  <c r="BM79" i="9" a="1"/>
  <c r="BM79" i="9" s="1"/>
  <c r="BM71" i="9" a="1"/>
  <c r="BM71" i="9" s="1"/>
  <c r="BM76" i="9" a="1"/>
  <c r="BM76" i="9" s="1"/>
  <c r="BM69" i="9" a="1"/>
  <c r="BM69" i="9" s="1"/>
  <c r="BM74" i="9" a="1"/>
  <c r="BM74" i="9" s="1"/>
  <c r="BM112" i="9" a="1"/>
  <c r="BM112" i="9" s="1"/>
  <c r="BM67" i="9" a="1"/>
  <c r="BM67" i="9" s="1"/>
  <c r="BM97" i="9" a="1"/>
  <c r="BM97" i="9" s="1"/>
  <c r="BM72" i="9" a="1"/>
  <c r="BM72" i="9" s="1"/>
  <c r="BM77" i="9" a="1"/>
  <c r="BM77" i="9" s="1"/>
  <c r="BM70" i="9" a="1"/>
  <c r="BM70" i="9" s="1"/>
  <c r="BM75" i="9" a="1"/>
  <c r="BM75" i="9" s="1"/>
  <c r="BM68" i="9" a="1"/>
  <c r="BM68" i="9" s="1"/>
  <c r="BM64" i="9" a="1"/>
  <c r="BM64" i="9" s="1"/>
  <c r="BM52" i="9" a="1"/>
  <c r="BM52" i="9" s="1"/>
  <c r="BM40" i="9" a="1"/>
  <c r="BM40" i="9" s="1"/>
  <c r="BM57" i="9" a="1"/>
  <c r="BM57" i="9" s="1"/>
  <c r="BM45" i="9" a="1"/>
  <c r="BM45" i="9" s="1"/>
  <c r="BM62" i="9" a="1"/>
  <c r="BM62" i="9" s="1"/>
  <c r="BM50" i="9" a="1"/>
  <c r="BM50" i="9" s="1"/>
  <c r="BM38" i="9" a="1"/>
  <c r="BM38" i="9" s="1"/>
  <c r="BM55" i="9" a="1"/>
  <c r="BM55" i="9" s="1"/>
  <c r="BM43" i="9" a="1"/>
  <c r="BM43" i="9" s="1"/>
  <c r="BM60" i="9" a="1"/>
  <c r="BM60" i="9" s="1"/>
  <c r="BM48" i="9" a="1"/>
  <c r="BM48" i="9" s="1"/>
  <c r="BM89" i="9" a="1"/>
  <c r="BM89" i="9" s="1"/>
  <c r="BM65" i="9" a="1"/>
  <c r="BM65" i="9" s="1"/>
  <c r="BM53" i="9" a="1"/>
  <c r="BM53" i="9" s="1"/>
  <c r="BM41" i="9" a="1"/>
  <c r="BM41" i="9" s="1"/>
  <c r="BM58" i="9" a="1"/>
  <c r="BM58" i="9" s="1"/>
  <c r="BM46" i="9" a="1"/>
  <c r="BM46" i="9" s="1"/>
  <c r="BM63" i="9" a="1"/>
  <c r="BM63" i="9" s="1"/>
  <c r="BM51" i="9" a="1"/>
  <c r="BM51" i="9" s="1"/>
  <c r="BM39" i="9" a="1"/>
  <c r="BM39" i="9" s="1"/>
  <c r="BM56" i="9" a="1"/>
  <c r="BM56" i="9" s="1"/>
  <c r="BM44" i="9" a="1"/>
  <c r="BM44" i="9" s="1"/>
  <c r="BM28" i="9" a="1"/>
  <c r="BM28" i="9" s="1"/>
  <c r="BM16" i="9" a="1"/>
  <c r="BM16" i="9" s="1"/>
  <c r="BM66" i="9" a="1"/>
  <c r="BM66" i="9" s="1"/>
  <c r="BM59" i="9" a="1"/>
  <c r="BM59" i="9" s="1"/>
  <c r="BM47" i="9" a="1"/>
  <c r="BM47" i="9" s="1"/>
  <c r="BM33" i="9" a="1"/>
  <c r="BM33" i="9" s="1"/>
  <c r="BM21" i="9" a="1"/>
  <c r="BM21" i="9" s="1"/>
  <c r="BM26" i="9" a="1"/>
  <c r="BM26" i="9" s="1"/>
  <c r="BM61" i="9" a="1"/>
  <c r="BM61" i="9" s="1"/>
  <c r="BM49" i="9" a="1"/>
  <c r="BM49" i="9" s="1"/>
  <c r="BM31" i="9" a="1"/>
  <c r="BM31" i="9" s="1"/>
  <c r="BM36" i="9" a="1"/>
  <c r="BM36" i="9" s="1"/>
  <c r="BM24" i="9" a="1"/>
  <c r="BM24" i="9" s="1"/>
  <c r="BM29" i="9" a="1"/>
  <c r="BM29" i="9" s="1"/>
  <c r="BM17" i="9" a="1"/>
  <c r="BM17" i="9" s="1"/>
  <c r="BM84" i="9" a="1"/>
  <c r="BM84" i="9" s="1"/>
  <c r="BM78" i="9" a="1"/>
  <c r="BM78" i="9" s="1"/>
  <c r="BM27" i="9" a="1"/>
  <c r="BM27" i="9" s="1"/>
  <c r="BM54" i="9" a="1"/>
  <c r="BM54" i="9" s="1"/>
  <c r="BM42" i="9" a="1"/>
  <c r="BM42" i="9" s="1"/>
  <c r="BM32" i="9" a="1"/>
  <c r="BM32" i="9" s="1"/>
  <c r="BM20" i="9" a="1"/>
  <c r="BM20" i="9" s="1"/>
  <c r="BM37" i="9" a="1"/>
  <c r="BM37" i="9" s="1"/>
  <c r="BM25" i="9" a="1"/>
  <c r="BM25" i="9" s="1"/>
  <c r="BM19" i="9" a="1"/>
  <c r="BM19" i="9" s="1"/>
  <c r="BM12" i="9" a="1"/>
  <c r="BM12" i="9" s="1"/>
  <c r="BM30" i="9" a="1"/>
  <c r="BM30" i="9" s="1"/>
  <c r="BM18" i="9" a="1"/>
  <c r="BM18" i="9" s="1"/>
  <c r="BM10" i="9" a="1"/>
  <c r="BM10" i="9" s="1"/>
  <c r="BM15" i="9" a="1"/>
  <c r="BM15" i="9" s="1"/>
  <c r="BM73" i="9" a="1"/>
  <c r="BM73" i="9" s="1"/>
  <c r="BM23" i="9" a="1"/>
  <c r="BM23" i="9" s="1"/>
  <c r="BM22" i="9" a="1"/>
  <c r="BM22" i="9" s="1"/>
  <c r="BM13" i="9" a="1"/>
  <c r="BM13" i="9" s="1"/>
  <c r="BM35" i="9" a="1"/>
  <c r="BM35" i="9" s="1"/>
  <c r="BM11" i="9" a="1"/>
  <c r="BM11" i="9" s="1"/>
  <c r="BM4" i="9" a="1"/>
  <c r="BM4" i="9" s="1"/>
  <c r="BM34" i="9" a="1"/>
  <c r="BM34" i="9" s="1"/>
  <c r="BY134" i="9" a="1"/>
  <c r="BY134" i="9" s="1"/>
  <c r="BY136" i="9" a="1"/>
  <c r="BY136" i="9" s="1"/>
  <c r="BY130" i="9" a="1"/>
  <c r="BY130" i="9" s="1"/>
  <c r="BY127" i="9" a="1"/>
  <c r="BY127" i="9" s="1"/>
  <c r="BY132" i="9" a="1"/>
  <c r="BY132" i="9" s="1"/>
  <c r="BY128" i="9" a="1"/>
  <c r="BY128" i="9" s="1"/>
  <c r="BY131" i="9" a="1"/>
  <c r="BY131" i="9" s="1"/>
  <c r="BY129" i="9" a="1"/>
  <c r="BY129" i="9" s="1"/>
  <c r="BY123" i="9" a="1"/>
  <c r="BY123" i="9" s="1"/>
  <c r="BY135" i="9" a="1"/>
  <c r="BY135" i="9" s="1"/>
  <c r="BY120" i="9" a="1"/>
  <c r="BY120" i="9" s="1"/>
  <c r="BY133" i="9" a="1"/>
  <c r="BY133" i="9" s="1"/>
  <c r="BY121" i="9" a="1"/>
  <c r="BY121" i="9" s="1"/>
  <c r="BY118" i="9" a="1"/>
  <c r="BY118" i="9" s="1"/>
  <c r="BY122" i="9" a="1"/>
  <c r="BY122" i="9" s="1"/>
  <c r="BY116" i="9" a="1"/>
  <c r="BY116" i="9" s="1"/>
  <c r="BY126" i="9" a="1"/>
  <c r="BY126" i="9" s="1"/>
  <c r="BY125" i="9" a="1"/>
  <c r="BY125" i="9" s="1"/>
  <c r="BY124" i="9" a="1"/>
  <c r="BY124" i="9" s="1"/>
  <c r="BY114" i="9" a="1"/>
  <c r="BY114" i="9" s="1"/>
  <c r="BY117" i="9" a="1"/>
  <c r="BY117" i="9" s="1"/>
  <c r="BY103" i="9" a="1"/>
  <c r="BY103" i="9" s="1"/>
  <c r="BY101" i="9" a="1"/>
  <c r="BY101" i="9" s="1"/>
  <c r="BY106" i="9" a="1"/>
  <c r="BY106" i="9" s="1"/>
  <c r="BY112" i="9" a="1"/>
  <c r="BY112" i="9" s="1"/>
  <c r="BY111" i="9" a="1"/>
  <c r="BY111" i="9" s="1"/>
  <c r="BY104" i="9" a="1"/>
  <c r="BY104" i="9" s="1"/>
  <c r="BY109" i="9" a="1"/>
  <c r="BY109" i="9" s="1"/>
  <c r="BY102" i="9" a="1"/>
  <c r="BY102" i="9" s="1"/>
  <c r="BY100" i="9" a="1"/>
  <c r="BY100" i="9" s="1"/>
  <c r="BY107" i="9" a="1"/>
  <c r="BY107" i="9" s="1"/>
  <c r="BY95" i="9" a="1"/>
  <c r="BY95" i="9" s="1"/>
  <c r="BY93" i="9" a="1"/>
  <c r="BY93" i="9" s="1"/>
  <c r="BY98" i="9" a="1"/>
  <c r="BY98" i="9" s="1"/>
  <c r="BY110" i="9" a="1"/>
  <c r="BY110" i="9" s="1"/>
  <c r="BY91" i="9" a="1"/>
  <c r="BY91" i="9" s="1"/>
  <c r="BY96" i="9" a="1"/>
  <c r="BY96" i="9" s="1"/>
  <c r="BY105" i="9" a="1"/>
  <c r="BY105" i="9" s="1"/>
  <c r="BY94" i="9" a="1"/>
  <c r="BY94" i="9" s="1"/>
  <c r="BY119" i="9" a="1"/>
  <c r="BY119" i="9" s="1"/>
  <c r="BY99" i="9" a="1"/>
  <c r="BY99" i="9" s="1"/>
  <c r="BY115" i="9" a="1"/>
  <c r="BY115" i="9" s="1"/>
  <c r="BY92" i="9" a="1"/>
  <c r="BY92" i="9" s="1"/>
  <c r="BY82" i="9" a="1"/>
  <c r="BY82" i="9" s="1"/>
  <c r="BY87" i="9" a="1"/>
  <c r="BY87" i="9" s="1"/>
  <c r="BY80" i="9" a="1"/>
  <c r="BY80" i="9" s="1"/>
  <c r="BY85" i="9" a="1"/>
  <c r="BY85" i="9" s="1"/>
  <c r="BY97" i="9" a="1"/>
  <c r="BY97" i="9" s="1"/>
  <c r="BY83" i="9" a="1"/>
  <c r="BY83" i="9" s="1"/>
  <c r="BY88" i="9" a="1"/>
  <c r="BY88" i="9" s="1"/>
  <c r="BY108" i="9" a="1"/>
  <c r="BY108" i="9" s="1"/>
  <c r="BY81" i="9" a="1"/>
  <c r="BY81" i="9" s="1"/>
  <c r="BY86" i="9" a="1"/>
  <c r="BY86" i="9" s="1"/>
  <c r="BY79" i="9" a="1"/>
  <c r="BY79" i="9" s="1"/>
  <c r="BY71" i="9" a="1"/>
  <c r="BY71" i="9" s="1"/>
  <c r="BY76" i="9" a="1"/>
  <c r="BY76" i="9" s="1"/>
  <c r="BY69" i="9" a="1"/>
  <c r="BY69" i="9" s="1"/>
  <c r="BY74" i="9" a="1"/>
  <c r="BY74" i="9" s="1"/>
  <c r="BY90" i="9" a="1"/>
  <c r="BY90" i="9" s="1"/>
  <c r="BY67" i="9" a="1"/>
  <c r="BY67" i="9" s="1"/>
  <c r="BY72" i="9" a="1"/>
  <c r="BY72" i="9" s="1"/>
  <c r="BY77" i="9" a="1"/>
  <c r="BY77" i="9" s="1"/>
  <c r="BY113" i="9" a="1"/>
  <c r="BY113" i="9" s="1"/>
  <c r="BY89" i="9" a="1"/>
  <c r="BY89" i="9" s="1"/>
  <c r="BY84" i="9" a="1"/>
  <c r="BY84" i="9" s="1"/>
  <c r="BY70" i="9" a="1"/>
  <c r="BY70" i="9" s="1"/>
  <c r="BY75" i="9" a="1"/>
  <c r="BY75" i="9" s="1"/>
  <c r="BY68" i="9" a="1"/>
  <c r="BY68" i="9" s="1"/>
  <c r="BY64" i="9" a="1"/>
  <c r="BY64" i="9" s="1"/>
  <c r="BY52" i="9" a="1"/>
  <c r="BY52" i="9" s="1"/>
  <c r="BY40" i="9" a="1"/>
  <c r="BY40" i="9" s="1"/>
  <c r="BY57" i="9" a="1"/>
  <c r="BY57" i="9" s="1"/>
  <c r="BY45" i="9" a="1"/>
  <c r="BY45" i="9" s="1"/>
  <c r="BY62" i="9" a="1"/>
  <c r="BY62" i="9" s="1"/>
  <c r="BY50" i="9" a="1"/>
  <c r="BY50" i="9" s="1"/>
  <c r="BY38" i="9" a="1"/>
  <c r="BY38" i="9" s="1"/>
  <c r="BY55" i="9" a="1"/>
  <c r="BY55" i="9" s="1"/>
  <c r="BY43" i="9" a="1"/>
  <c r="BY43" i="9" s="1"/>
  <c r="BY60" i="9" a="1"/>
  <c r="BY60" i="9" s="1"/>
  <c r="BY48" i="9" a="1"/>
  <c r="BY48" i="9" s="1"/>
  <c r="BY78" i="9" a="1"/>
  <c r="BY78" i="9" s="1"/>
  <c r="BY73" i="9" a="1"/>
  <c r="BY73" i="9" s="1"/>
  <c r="BY66" i="9" a="1"/>
  <c r="BY66" i="9" s="1"/>
  <c r="BY65" i="9" a="1"/>
  <c r="BY65" i="9" s="1"/>
  <c r="BY53" i="9" a="1"/>
  <c r="BY53" i="9" s="1"/>
  <c r="BY41" i="9" a="1"/>
  <c r="BY41" i="9" s="1"/>
  <c r="BY58" i="9" a="1"/>
  <c r="BY58" i="9" s="1"/>
  <c r="BY46" i="9" a="1"/>
  <c r="BY46" i="9" s="1"/>
  <c r="BY63" i="9" a="1"/>
  <c r="BY63" i="9" s="1"/>
  <c r="BY51" i="9" a="1"/>
  <c r="BY51" i="9" s="1"/>
  <c r="BY39" i="9" a="1"/>
  <c r="BY39" i="9" s="1"/>
  <c r="BY56" i="9" a="1"/>
  <c r="BY56" i="9" s="1"/>
  <c r="BY44" i="9" a="1"/>
  <c r="BY44" i="9" s="1"/>
  <c r="BY28" i="9" a="1"/>
  <c r="BY28" i="9" s="1"/>
  <c r="BY16" i="9" a="1"/>
  <c r="BY16" i="9" s="1"/>
  <c r="BY33" i="9" a="1"/>
  <c r="BY33" i="9" s="1"/>
  <c r="BY21" i="9" a="1"/>
  <c r="BY21" i="9" s="1"/>
  <c r="BY54" i="9" a="1"/>
  <c r="BY54" i="9" s="1"/>
  <c r="BY42" i="9" a="1"/>
  <c r="BY42" i="9" s="1"/>
  <c r="BY26" i="9" a="1"/>
  <c r="BY26" i="9" s="1"/>
  <c r="BY31" i="9" a="1"/>
  <c r="BY31" i="9" s="1"/>
  <c r="BY36" i="9" a="1"/>
  <c r="BY36" i="9" s="1"/>
  <c r="BY24" i="9" a="1"/>
  <c r="BY24" i="9" s="1"/>
  <c r="BY29" i="9" a="1"/>
  <c r="BY29" i="9" s="1"/>
  <c r="BY17" i="9" a="1"/>
  <c r="BY17" i="9" s="1"/>
  <c r="BY59" i="9" a="1"/>
  <c r="BY59" i="9" s="1"/>
  <c r="BY47" i="9" a="1"/>
  <c r="BY47" i="9" s="1"/>
  <c r="BY27" i="9" a="1"/>
  <c r="BY27" i="9" s="1"/>
  <c r="BY32" i="9" a="1"/>
  <c r="BY32" i="9" s="1"/>
  <c r="BY20" i="9" a="1"/>
  <c r="BY20" i="9" s="1"/>
  <c r="BY61" i="9" a="1"/>
  <c r="BY61" i="9" s="1"/>
  <c r="BY49" i="9" a="1"/>
  <c r="BY49" i="9" s="1"/>
  <c r="BY37" i="9" a="1"/>
  <c r="BY37" i="9" s="1"/>
  <c r="BY12" i="9" a="1"/>
  <c r="BY12" i="9" s="1"/>
  <c r="BY35" i="9" a="1"/>
  <c r="BY35" i="9" s="1"/>
  <c r="BY25" i="9" a="1"/>
  <c r="BY25" i="9" s="1"/>
  <c r="BY19" i="9" a="1"/>
  <c r="BY19" i="9" s="1"/>
  <c r="BY10" i="9" a="1"/>
  <c r="BY10" i="9" s="1"/>
  <c r="BY15" i="9" a="1"/>
  <c r="BY15" i="9" s="1"/>
  <c r="BY34" i="9" a="1"/>
  <c r="BY34" i="9" s="1"/>
  <c r="BY18" i="9" a="1"/>
  <c r="BY18" i="9" s="1"/>
  <c r="BY13" i="9" a="1"/>
  <c r="BY13" i="9" s="1"/>
  <c r="BY23" i="9" a="1"/>
  <c r="BY23" i="9" s="1"/>
  <c r="BY22" i="9" a="1"/>
  <c r="BY22" i="9" s="1"/>
  <c r="BY11" i="9" a="1"/>
  <c r="BY11" i="9" s="1"/>
  <c r="BY30" i="9" a="1"/>
  <c r="BY30" i="9" s="1"/>
  <c r="BY4" i="9" a="1"/>
  <c r="BY4" i="9" s="1"/>
  <c r="Q5" i="9" a="1"/>
  <c r="Q5" i="9" s="1"/>
  <c r="AO5" i="9" a="1"/>
  <c r="AO5" i="9" s="1"/>
  <c r="BV5" i="9" a="1"/>
  <c r="BV5" i="9" s="1"/>
  <c r="BS6" i="9" a="1"/>
  <c r="BS6" i="9" s="1"/>
  <c r="AF8" i="9" a="1"/>
  <c r="AF8" i="9" s="1"/>
  <c r="BD8" i="9" a="1"/>
  <c r="BD8" i="9" s="1"/>
  <c r="BP8" i="9" a="1"/>
  <c r="BP8" i="9" s="1"/>
  <c r="AA13" i="9" a="1"/>
  <c r="AA13" i="9" s="1"/>
  <c r="BK13" i="9" a="1"/>
  <c r="BK13" i="9" s="1"/>
  <c r="Q14" i="9" a="1"/>
  <c r="Q14" i="9" s="1"/>
  <c r="BA14" i="9" a="1"/>
  <c r="BA14" i="9" s="1"/>
  <c r="CR9" i="7"/>
  <c r="CR20" i="7"/>
  <c r="R135" i="9" a="1"/>
  <c r="R135" i="9" s="1"/>
  <c r="R136" i="9" a="1"/>
  <c r="R136" i="9" s="1"/>
  <c r="R131" i="9" a="1"/>
  <c r="R131" i="9" s="1"/>
  <c r="R132" i="9" a="1"/>
  <c r="R132" i="9" s="1"/>
  <c r="R125" i="9" a="1"/>
  <c r="R125" i="9" s="1"/>
  <c r="R129" i="9" a="1"/>
  <c r="R129" i="9" s="1"/>
  <c r="R134" i="9" a="1"/>
  <c r="R134" i="9" s="1"/>
  <c r="R126" i="9" a="1"/>
  <c r="R126" i="9" s="1"/>
  <c r="R120" i="9" a="1"/>
  <c r="R120" i="9" s="1"/>
  <c r="R130" i="9" a="1"/>
  <c r="R130" i="9" s="1"/>
  <c r="R128" i="9" a="1"/>
  <c r="R128" i="9" s="1"/>
  <c r="R124" i="9" a="1"/>
  <c r="R124" i="9" s="1"/>
  <c r="R121" i="9" a="1"/>
  <c r="R121" i="9" s="1"/>
  <c r="R127" i="9" a="1"/>
  <c r="R127" i="9" s="1"/>
  <c r="R118" i="9" a="1"/>
  <c r="R118" i="9" s="1"/>
  <c r="R122" i="9" a="1"/>
  <c r="R122" i="9" s="1"/>
  <c r="R116" i="9" a="1"/>
  <c r="R116" i="9" s="1"/>
  <c r="R123" i="9" a="1"/>
  <c r="R123" i="9" s="1"/>
  <c r="R114" i="9" a="1"/>
  <c r="R114" i="9" s="1"/>
  <c r="R119" i="9" a="1"/>
  <c r="R119" i="9" s="1"/>
  <c r="R117" i="9" a="1"/>
  <c r="R117" i="9" s="1"/>
  <c r="R111" i="9" a="1"/>
  <c r="R111" i="9" s="1"/>
  <c r="R104" i="9" a="1"/>
  <c r="R104" i="9" s="1"/>
  <c r="R109" i="9" a="1"/>
  <c r="R109" i="9" s="1"/>
  <c r="R102" i="9" a="1"/>
  <c r="R102" i="9" s="1"/>
  <c r="R107" i="9" a="1"/>
  <c r="R107" i="9" s="1"/>
  <c r="R133" i="9" a="1"/>
  <c r="R133" i="9" s="1"/>
  <c r="R112" i="9" a="1"/>
  <c r="R112" i="9" s="1"/>
  <c r="R110" i="9" a="1"/>
  <c r="R110" i="9" s="1"/>
  <c r="R101" i="9" a="1"/>
  <c r="R101" i="9" s="1"/>
  <c r="R93" i="9" a="1"/>
  <c r="R93" i="9" s="1"/>
  <c r="R96" i="9" a="1"/>
  <c r="R96" i="9" s="1"/>
  <c r="R103" i="9" a="1"/>
  <c r="R103" i="9" s="1"/>
  <c r="R94" i="9" a="1"/>
  <c r="R94" i="9" s="1"/>
  <c r="R99" i="9" a="1"/>
  <c r="R99" i="9" s="1"/>
  <c r="R106" i="9" a="1"/>
  <c r="R106" i="9" s="1"/>
  <c r="R92" i="9" a="1"/>
  <c r="R92" i="9" s="1"/>
  <c r="R97" i="9" a="1"/>
  <c r="R97" i="9" s="1"/>
  <c r="R113" i="9" a="1"/>
  <c r="R113" i="9" s="1"/>
  <c r="R80" i="9" a="1"/>
  <c r="R80" i="9" s="1"/>
  <c r="R85" i="9" a="1"/>
  <c r="R85" i="9" s="1"/>
  <c r="R90" i="9" a="1"/>
  <c r="R90" i="9" s="1"/>
  <c r="R115" i="9" a="1"/>
  <c r="R115" i="9" s="1"/>
  <c r="R83" i="9" a="1"/>
  <c r="R83" i="9" s="1"/>
  <c r="R88" i="9" a="1"/>
  <c r="R88" i="9" s="1"/>
  <c r="R81" i="9" a="1"/>
  <c r="R81" i="9" s="1"/>
  <c r="R108" i="9" a="1"/>
  <c r="R108" i="9" s="1"/>
  <c r="R91" i="9" a="1"/>
  <c r="R91" i="9" s="1"/>
  <c r="R86" i="9" a="1"/>
  <c r="R86" i="9" s="1"/>
  <c r="R98" i="9" a="1"/>
  <c r="R98" i="9" s="1"/>
  <c r="R95" i="9" a="1"/>
  <c r="R95" i="9" s="1"/>
  <c r="R84" i="9" a="1"/>
  <c r="R84" i="9" s="1"/>
  <c r="R105" i="9" a="1"/>
  <c r="R105" i="9" s="1"/>
  <c r="R89" i="9" a="1"/>
  <c r="R89" i="9" s="1"/>
  <c r="R87" i="9" a="1"/>
  <c r="R87" i="9" s="1"/>
  <c r="R69" i="9" a="1"/>
  <c r="R69" i="9" s="1"/>
  <c r="R82" i="9" a="1"/>
  <c r="R82" i="9" s="1"/>
  <c r="R74" i="9" a="1"/>
  <c r="R74" i="9" s="1"/>
  <c r="R79" i="9" a="1"/>
  <c r="R79" i="9" s="1"/>
  <c r="R67" i="9" a="1"/>
  <c r="R67" i="9" s="1"/>
  <c r="R72" i="9" a="1"/>
  <c r="R72" i="9" s="1"/>
  <c r="R77" i="9" a="1"/>
  <c r="R77" i="9" s="1"/>
  <c r="R70" i="9" a="1"/>
  <c r="R70" i="9" s="1"/>
  <c r="R75" i="9" a="1"/>
  <c r="R75" i="9" s="1"/>
  <c r="R68" i="9" a="1"/>
  <c r="R68" i="9" s="1"/>
  <c r="R100" i="9" a="1"/>
  <c r="R100" i="9" s="1"/>
  <c r="R73" i="9" a="1"/>
  <c r="R73" i="9" s="1"/>
  <c r="R78" i="9" a="1"/>
  <c r="R78" i="9" s="1"/>
  <c r="R62" i="9" a="1"/>
  <c r="R62" i="9" s="1"/>
  <c r="R50" i="9" a="1"/>
  <c r="R50" i="9" s="1"/>
  <c r="R55" i="9" a="1"/>
  <c r="R55" i="9" s="1"/>
  <c r="R43" i="9" a="1"/>
  <c r="R43" i="9" s="1"/>
  <c r="R60" i="9" a="1"/>
  <c r="R60" i="9" s="1"/>
  <c r="R48" i="9" a="1"/>
  <c r="R48" i="9" s="1"/>
  <c r="R65" i="9" a="1"/>
  <c r="R65" i="9" s="1"/>
  <c r="R53" i="9" a="1"/>
  <c r="R53" i="9" s="1"/>
  <c r="R41" i="9" a="1"/>
  <c r="R41" i="9" s="1"/>
  <c r="R58" i="9" a="1"/>
  <c r="R58" i="9" s="1"/>
  <c r="R46" i="9" a="1"/>
  <c r="R46" i="9" s="1"/>
  <c r="R63" i="9" a="1"/>
  <c r="R63" i="9" s="1"/>
  <c r="R51" i="9" a="1"/>
  <c r="R51" i="9" s="1"/>
  <c r="R39" i="9" a="1"/>
  <c r="R39" i="9" s="1"/>
  <c r="R56" i="9" a="1"/>
  <c r="R56" i="9" s="1"/>
  <c r="R44" i="9" a="1"/>
  <c r="R44" i="9" s="1"/>
  <c r="R61" i="9" a="1"/>
  <c r="R61" i="9" s="1"/>
  <c r="R49" i="9" a="1"/>
  <c r="R49" i="9" s="1"/>
  <c r="R66" i="9" a="1"/>
  <c r="R66" i="9" s="1"/>
  <c r="R54" i="9" a="1"/>
  <c r="R54" i="9" s="1"/>
  <c r="R42" i="9" a="1"/>
  <c r="R42" i="9" s="1"/>
  <c r="R38" i="9" a="1"/>
  <c r="R38" i="9" s="1"/>
  <c r="R26" i="9" a="1"/>
  <c r="R26" i="9" s="1"/>
  <c r="R76" i="9" a="1"/>
  <c r="R76" i="9" s="1"/>
  <c r="R31" i="9" a="1"/>
  <c r="R31" i="9" s="1"/>
  <c r="R19" i="9" a="1"/>
  <c r="R19" i="9" s="1"/>
  <c r="R36" i="9" a="1"/>
  <c r="R36" i="9" s="1"/>
  <c r="R24" i="9" a="1"/>
  <c r="R24" i="9" s="1"/>
  <c r="R64" i="9" a="1"/>
  <c r="R64" i="9" s="1"/>
  <c r="R52" i="9" a="1"/>
  <c r="R52" i="9" s="1"/>
  <c r="R29" i="9" a="1"/>
  <c r="R29" i="9" s="1"/>
  <c r="R71" i="9" a="1"/>
  <c r="R71" i="9" s="1"/>
  <c r="R34" i="9" a="1"/>
  <c r="R34" i="9" s="1"/>
  <c r="R22" i="9" a="1"/>
  <c r="R22" i="9" s="1"/>
  <c r="R27" i="9" a="1"/>
  <c r="R27" i="9" s="1"/>
  <c r="R57" i="9" a="1"/>
  <c r="R57" i="9" s="1"/>
  <c r="R45" i="9" a="1"/>
  <c r="R45" i="9" s="1"/>
  <c r="R40" i="9" a="1"/>
  <c r="R40" i="9" s="1"/>
  <c r="R37" i="9" a="1"/>
  <c r="R37" i="9" s="1"/>
  <c r="R25" i="9" a="1"/>
  <c r="R25" i="9" s="1"/>
  <c r="R30" i="9" a="1"/>
  <c r="R30" i="9" s="1"/>
  <c r="R18" i="9" a="1"/>
  <c r="R18" i="9" s="1"/>
  <c r="R35" i="9" a="1"/>
  <c r="R35" i="9" s="1"/>
  <c r="R21" i="9" a="1"/>
  <c r="R21" i="9" s="1"/>
  <c r="R10" i="9" a="1"/>
  <c r="R10" i="9" s="1"/>
  <c r="R20" i="9" a="1"/>
  <c r="R20" i="9" s="1"/>
  <c r="R15" i="9" a="1"/>
  <c r="R15" i="9" s="1"/>
  <c r="R59" i="9" a="1"/>
  <c r="R59" i="9" s="1"/>
  <c r="R33" i="9" a="1"/>
  <c r="R33" i="9" s="1"/>
  <c r="R8" i="9" a="1"/>
  <c r="R8" i="9" s="1"/>
  <c r="R13" i="9" a="1"/>
  <c r="R13" i="9" s="1"/>
  <c r="R11" i="9" a="1"/>
  <c r="R11" i="9" s="1"/>
  <c r="R47" i="9" a="1"/>
  <c r="R47" i="9" s="1"/>
  <c r="R32" i="9" a="1"/>
  <c r="R32" i="9" s="1"/>
  <c r="R16" i="9" a="1"/>
  <c r="R16" i="9" s="1"/>
  <c r="R23" i="9" a="1"/>
  <c r="R23" i="9" s="1"/>
  <c r="R17" i="9" a="1"/>
  <c r="R17" i="9" s="1"/>
  <c r="R9" i="9" a="1"/>
  <c r="R9" i="9" s="1"/>
  <c r="R14" i="9" a="1"/>
  <c r="R14" i="9" s="1"/>
  <c r="R28" i="9" a="1"/>
  <c r="R28" i="9" s="1"/>
  <c r="AD135" i="9" a="1"/>
  <c r="AD135" i="9" s="1"/>
  <c r="AD136" i="9" a="1"/>
  <c r="AD136" i="9" s="1"/>
  <c r="AD133" i="9" a="1"/>
  <c r="AD133" i="9" s="1"/>
  <c r="AD132" i="9" a="1"/>
  <c r="AD132" i="9" s="1"/>
  <c r="AD134" i="9" a="1"/>
  <c r="AD134" i="9" s="1"/>
  <c r="AD130" i="9" a="1"/>
  <c r="AD130" i="9" s="1"/>
  <c r="AD127" i="9" a="1"/>
  <c r="AD127" i="9" s="1"/>
  <c r="AD128" i="9" a="1"/>
  <c r="AD128" i="9" s="1"/>
  <c r="AD125" i="9" a="1"/>
  <c r="AD125" i="9" s="1"/>
  <c r="AD126" i="9" a="1"/>
  <c r="AD126" i="9" s="1"/>
  <c r="AD120" i="9" a="1"/>
  <c r="AD120" i="9" s="1"/>
  <c r="AD131" i="9" a="1"/>
  <c r="AD131" i="9" s="1"/>
  <c r="AD123" i="9" a="1"/>
  <c r="AD123" i="9" s="1"/>
  <c r="AD121" i="9" a="1"/>
  <c r="AD121" i="9" s="1"/>
  <c r="AD118" i="9" a="1"/>
  <c r="AD118" i="9" s="1"/>
  <c r="AD116" i="9" a="1"/>
  <c r="AD116" i="9" s="1"/>
  <c r="AD122" i="9" a="1"/>
  <c r="AD122" i="9" s="1"/>
  <c r="AD114" i="9" a="1"/>
  <c r="AD114" i="9" s="1"/>
  <c r="AD119" i="9" a="1"/>
  <c r="AD119" i="9" s="1"/>
  <c r="AD117" i="9" a="1"/>
  <c r="AD117" i="9" s="1"/>
  <c r="AD129" i="9" a="1"/>
  <c r="AD129" i="9" s="1"/>
  <c r="AD115" i="9" a="1"/>
  <c r="AD115" i="9" s="1"/>
  <c r="AD111" i="9" a="1"/>
  <c r="AD111" i="9" s="1"/>
  <c r="AD104" i="9" a="1"/>
  <c r="AD104" i="9" s="1"/>
  <c r="AD109" i="9" a="1"/>
  <c r="AD109" i="9" s="1"/>
  <c r="AD102" i="9" a="1"/>
  <c r="AD102" i="9" s="1"/>
  <c r="AD107" i="9" a="1"/>
  <c r="AD107" i="9" s="1"/>
  <c r="AD124" i="9" a="1"/>
  <c r="AD124" i="9" s="1"/>
  <c r="AD110" i="9" a="1"/>
  <c r="AD110" i="9" s="1"/>
  <c r="AD93" i="9" a="1"/>
  <c r="AD93" i="9" s="1"/>
  <c r="AD105" i="9" a="1"/>
  <c r="AD105" i="9" s="1"/>
  <c r="AD96" i="9" a="1"/>
  <c r="AD96" i="9" s="1"/>
  <c r="AD113" i="9" a="1"/>
  <c r="AD113" i="9" s="1"/>
  <c r="AD108" i="9" a="1"/>
  <c r="AD108" i="9" s="1"/>
  <c r="AD94" i="9" a="1"/>
  <c r="AD94" i="9" s="1"/>
  <c r="AD112" i="9" a="1"/>
  <c r="AD112" i="9" s="1"/>
  <c r="AD99" i="9" a="1"/>
  <c r="AD99" i="9" s="1"/>
  <c r="AD92" i="9" a="1"/>
  <c r="AD92" i="9" s="1"/>
  <c r="AD103" i="9" a="1"/>
  <c r="AD103" i="9" s="1"/>
  <c r="AD97" i="9" a="1"/>
  <c r="AD97" i="9" s="1"/>
  <c r="AD101" i="9" a="1"/>
  <c r="AD101" i="9" s="1"/>
  <c r="AD91" i="9" a="1"/>
  <c r="AD91" i="9" s="1"/>
  <c r="AD80" i="9" a="1"/>
  <c r="AD80" i="9" s="1"/>
  <c r="AD98" i="9" a="1"/>
  <c r="AD98" i="9" s="1"/>
  <c r="AD95" i="9" a="1"/>
  <c r="AD95" i="9" s="1"/>
  <c r="AD85" i="9" a="1"/>
  <c r="AD85" i="9" s="1"/>
  <c r="AD106" i="9" a="1"/>
  <c r="AD106" i="9" s="1"/>
  <c r="AD90" i="9" a="1"/>
  <c r="AD90" i="9" s="1"/>
  <c r="AD83" i="9" a="1"/>
  <c r="AD83" i="9" s="1"/>
  <c r="AD88" i="9" a="1"/>
  <c r="AD88" i="9" s="1"/>
  <c r="AD100" i="9" a="1"/>
  <c r="AD100" i="9" s="1"/>
  <c r="AD81" i="9" a="1"/>
  <c r="AD81" i="9" s="1"/>
  <c r="AD86" i="9" a="1"/>
  <c r="AD86" i="9" s="1"/>
  <c r="AD84" i="9" a="1"/>
  <c r="AD84" i="9" s="1"/>
  <c r="AD89" i="9" a="1"/>
  <c r="AD89" i="9" s="1"/>
  <c r="AD69" i="9" a="1"/>
  <c r="AD69" i="9" s="1"/>
  <c r="AD74" i="9" a="1"/>
  <c r="AD74" i="9" s="1"/>
  <c r="AD79" i="9" a="1"/>
  <c r="AD79" i="9" s="1"/>
  <c r="AD67" i="9" a="1"/>
  <c r="AD67" i="9" s="1"/>
  <c r="AD72" i="9" a="1"/>
  <c r="AD72" i="9" s="1"/>
  <c r="AD77" i="9" a="1"/>
  <c r="AD77" i="9" s="1"/>
  <c r="AD70" i="9" a="1"/>
  <c r="AD70" i="9" s="1"/>
  <c r="AD75" i="9" a="1"/>
  <c r="AD75" i="9" s="1"/>
  <c r="AD68" i="9" a="1"/>
  <c r="AD68" i="9" s="1"/>
  <c r="AD87" i="9" a="1"/>
  <c r="AD87" i="9" s="1"/>
  <c r="AD73" i="9" a="1"/>
  <c r="AD73" i="9" s="1"/>
  <c r="AD82" i="9" a="1"/>
  <c r="AD82" i="9" s="1"/>
  <c r="AD78" i="9" a="1"/>
  <c r="AD78" i="9" s="1"/>
  <c r="AD62" i="9" a="1"/>
  <c r="AD62" i="9" s="1"/>
  <c r="AD50" i="9" a="1"/>
  <c r="AD50" i="9" s="1"/>
  <c r="AD55" i="9" a="1"/>
  <c r="AD55" i="9" s="1"/>
  <c r="AD43" i="9" a="1"/>
  <c r="AD43" i="9" s="1"/>
  <c r="AD60" i="9" a="1"/>
  <c r="AD60" i="9" s="1"/>
  <c r="AD48" i="9" a="1"/>
  <c r="AD48" i="9" s="1"/>
  <c r="AD65" i="9" a="1"/>
  <c r="AD65" i="9" s="1"/>
  <c r="AD53" i="9" a="1"/>
  <c r="AD53" i="9" s="1"/>
  <c r="AD41" i="9" a="1"/>
  <c r="AD41" i="9" s="1"/>
  <c r="AD58" i="9" a="1"/>
  <c r="AD58" i="9" s="1"/>
  <c r="AD46" i="9" a="1"/>
  <c r="AD46" i="9" s="1"/>
  <c r="AD63" i="9" a="1"/>
  <c r="AD63" i="9" s="1"/>
  <c r="AD51" i="9" a="1"/>
  <c r="AD51" i="9" s="1"/>
  <c r="AD39" i="9" a="1"/>
  <c r="AD39" i="9" s="1"/>
  <c r="AD76" i="9" a="1"/>
  <c r="AD76" i="9" s="1"/>
  <c r="AD56" i="9" a="1"/>
  <c r="AD56" i="9" s="1"/>
  <c r="AD44" i="9" a="1"/>
  <c r="AD44" i="9" s="1"/>
  <c r="AD71" i="9" a="1"/>
  <c r="AD71" i="9" s="1"/>
  <c r="AD61" i="9" a="1"/>
  <c r="AD61" i="9" s="1"/>
  <c r="AD49" i="9" a="1"/>
  <c r="AD49" i="9" s="1"/>
  <c r="AD66" i="9" a="1"/>
  <c r="AD66" i="9" s="1"/>
  <c r="AD54" i="9" a="1"/>
  <c r="AD54" i="9" s="1"/>
  <c r="AD42" i="9" a="1"/>
  <c r="AD42" i="9" s="1"/>
  <c r="AD38" i="9" a="1"/>
  <c r="AD38" i="9" s="1"/>
  <c r="AD26" i="9" a="1"/>
  <c r="AD26" i="9" s="1"/>
  <c r="AD57" i="9" a="1"/>
  <c r="AD57" i="9" s="1"/>
  <c r="AD45" i="9" a="1"/>
  <c r="AD45" i="9" s="1"/>
  <c r="AD31" i="9" a="1"/>
  <c r="AD31" i="9" s="1"/>
  <c r="AD19" i="9" a="1"/>
  <c r="AD19" i="9" s="1"/>
  <c r="AD36" i="9" a="1"/>
  <c r="AD36" i="9" s="1"/>
  <c r="AD24" i="9" a="1"/>
  <c r="AD24" i="9" s="1"/>
  <c r="AD29" i="9" a="1"/>
  <c r="AD29" i="9" s="1"/>
  <c r="AD34" i="9" a="1"/>
  <c r="AD34" i="9" s="1"/>
  <c r="AD22" i="9" a="1"/>
  <c r="AD22" i="9" s="1"/>
  <c r="AD59" i="9" a="1"/>
  <c r="AD59" i="9" s="1"/>
  <c r="AD47" i="9" a="1"/>
  <c r="AD47" i="9" s="1"/>
  <c r="AD27" i="9" a="1"/>
  <c r="AD27" i="9" s="1"/>
  <c r="AD37" i="9" a="1"/>
  <c r="AD37" i="9" s="1"/>
  <c r="AD25" i="9" a="1"/>
  <c r="AD25" i="9" s="1"/>
  <c r="AD30" i="9" a="1"/>
  <c r="AD30" i="9" s="1"/>
  <c r="AD18" i="9" a="1"/>
  <c r="AD18" i="9" s="1"/>
  <c r="AD64" i="9" a="1"/>
  <c r="AD64" i="9" s="1"/>
  <c r="AD52" i="9" a="1"/>
  <c r="AD52" i="9" s="1"/>
  <c r="AD35" i="9" a="1"/>
  <c r="AD35" i="9" s="1"/>
  <c r="AD16" i="9" a="1"/>
  <c r="AD16" i="9" s="1"/>
  <c r="AD32" i="9" a="1"/>
  <c r="AD32" i="9" s="1"/>
  <c r="AD10" i="9" a="1"/>
  <c r="AD10" i="9" s="1"/>
  <c r="AD21" i="9" a="1"/>
  <c r="AD21" i="9" s="1"/>
  <c r="AD15" i="9" a="1"/>
  <c r="AD15" i="9" s="1"/>
  <c r="AD8" i="9" a="1"/>
  <c r="AD8" i="9" s="1"/>
  <c r="AD20" i="9" a="1"/>
  <c r="AD20" i="9" s="1"/>
  <c r="AD13" i="9" a="1"/>
  <c r="AD13" i="9" s="1"/>
  <c r="AD28" i="9" a="1"/>
  <c r="AD28" i="9" s="1"/>
  <c r="AD40" i="9" a="1"/>
  <c r="AD40" i="9" s="1"/>
  <c r="AD11" i="9" a="1"/>
  <c r="AD11" i="9" s="1"/>
  <c r="AD9" i="9" a="1"/>
  <c r="AD9" i="9" s="1"/>
  <c r="AD33" i="9" a="1"/>
  <c r="AD33" i="9" s="1"/>
  <c r="AD14" i="9" a="1"/>
  <c r="AD14" i="9" s="1"/>
  <c r="AD23" i="9" a="1"/>
  <c r="AD23" i="9" s="1"/>
  <c r="AP135" i="9" a="1"/>
  <c r="AP135" i="9" s="1"/>
  <c r="AP132" i="9" a="1"/>
  <c r="AP132" i="9" s="1"/>
  <c r="AP133" i="9" a="1"/>
  <c r="AP133" i="9" s="1"/>
  <c r="AP134" i="9" a="1"/>
  <c r="AP134" i="9" s="1"/>
  <c r="AP125" i="9" a="1"/>
  <c r="AP125" i="9" s="1"/>
  <c r="AP136" i="9" a="1"/>
  <c r="AP136" i="9" s="1"/>
  <c r="AP127" i="9" a="1"/>
  <c r="AP127" i="9" s="1"/>
  <c r="AP126" i="9" a="1"/>
  <c r="AP126" i="9" s="1"/>
  <c r="AP120" i="9" a="1"/>
  <c r="AP120" i="9" s="1"/>
  <c r="AP130" i="9" a="1"/>
  <c r="AP130" i="9" s="1"/>
  <c r="AP128" i="9" a="1"/>
  <c r="AP128" i="9" s="1"/>
  <c r="AP124" i="9" a="1"/>
  <c r="AP124" i="9" s="1"/>
  <c r="AP121" i="9" a="1"/>
  <c r="AP121" i="9" s="1"/>
  <c r="AP129" i="9" a="1"/>
  <c r="AP129" i="9" s="1"/>
  <c r="AP118" i="9" a="1"/>
  <c r="AP118" i="9" s="1"/>
  <c r="AP116" i="9" a="1"/>
  <c r="AP116" i="9" s="1"/>
  <c r="AP114" i="9" a="1"/>
  <c r="AP114" i="9" s="1"/>
  <c r="AP119" i="9" a="1"/>
  <c r="AP119" i="9" s="1"/>
  <c r="AP131" i="9" a="1"/>
  <c r="AP131" i="9" s="1"/>
  <c r="AP122" i="9" a="1"/>
  <c r="AP122" i="9" s="1"/>
  <c r="AP117" i="9" a="1"/>
  <c r="AP117" i="9" s="1"/>
  <c r="AP123" i="9" a="1"/>
  <c r="AP123" i="9" s="1"/>
  <c r="AP115" i="9" a="1"/>
  <c r="AP115" i="9" s="1"/>
  <c r="AP112" i="9" a="1"/>
  <c r="AP112" i="9" s="1"/>
  <c r="AP111" i="9" a="1"/>
  <c r="AP111" i="9" s="1"/>
  <c r="AP104" i="9" a="1"/>
  <c r="AP104" i="9" s="1"/>
  <c r="AP109" i="9" a="1"/>
  <c r="AP109" i="9" s="1"/>
  <c r="AP102" i="9" a="1"/>
  <c r="AP102" i="9" s="1"/>
  <c r="AP107" i="9" a="1"/>
  <c r="AP107" i="9" s="1"/>
  <c r="AP110" i="9" a="1"/>
  <c r="AP110" i="9" s="1"/>
  <c r="AP103" i="9" a="1"/>
  <c r="AP103" i="9" s="1"/>
  <c r="AP93" i="9" a="1"/>
  <c r="AP93" i="9" s="1"/>
  <c r="AP106" i="9" a="1"/>
  <c r="AP106" i="9" s="1"/>
  <c r="AP96" i="9" a="1"/>
  <c r="AP96" i="9" s="1"/>
  <c r="AP94" i="9" a="1"/>
  <c r="AP94" i="9" s="1"/>
  <c r="AP105" i="9" a="1"/>
  <c r="AP105" i="9" s="1"/>
  <c r="AP99" i="9" a="1"/>
  <c r="AP99" i="9" s="1"/>
  <c r="AP92" i="9" a="1"/>
  <c r="AP92" i="9" s="1"/>
  <c r="AP97" i="9" a="1"/>
  <c r="AP97" i="9" s="1"/>
  <c r="AP108" i="9" a="1"/>
  <c r="AP108" i="9" s="1"/>
  <c r="AP101" i="9" a="1"/>
  <c r="AP101" i="9" s="1"/>
  <c r="AP90" i="9" a="1"/>
  <c r="AP90" i="9" s="1"/>
  <c r="AP80" i="9" a="1"/>
  <c r="AP80" i="9" s="1"/>
  <c r="AP113" i="9" a="1"/>
  <c r="AP113" i="9" s="1"/>
  <c r="AP85" i="9" a="1"/>
  <c r="AP85" i="9" s="1"/>
  <c r="AP83" i="9" a="1"/>
  <c r="AP83" i="9" s="1"/>
  <c r="AP88" i="9" a="1"/>
  <c r="AP88" i="9" s="1"/>
  <c r="AP81" i="9" a="1"/>
  <c r="AP81" i="9" s="1"/>
  <c r="AP91" i="9" a="1"/>
  <c r="AP91" i="9" s="1"/>
  <c r="AP86" i="9" a="1"/>
  <c r="AP86" i="9" s="1"/>
  <c r="AP98" i="9" a="1"/>
  <c r="AP98" i="9" s="1"/>
  <c r="AP95" i="9" a="1"/>
  <c r="AP95" i="9" s="1"/>
  <c r="AP84" i="9" a="1"/>
  <c r="AP84" i="9" s="1"/>
  <c r="AP89" i="9" a="1"/>
  <c r="AP89" i="9" s="1"/>
  <c r="AP69" i="9" a="1"/>
  <c r="AP69" i="9" s="1"/>
  <c r="AP74" i="9" a="1"/>
  <c r="AP74" i="9" s="1"/>
  <c r="AP79" i="9" a="1"/>
  <c r="AP79" i="9" s="1"/>
  <c r="AP67" i="9" a="1"/>
  <c r="AP67" i="9" s="1"/>
  <c r="AP72" i="9" a="1"/>
  <c r="AP72" i="9" s="1"/>
  <c r="AP87" i="9" a="1"/>
  <c r="AP87" i="9" s="1"/>
  <c r="AP77" i="9" a="1"/>
  <c r="AP77" i="9" s="1"/>
  <c r="AP82" i="9" a="1"/>
  <c r="AP82" i="9" s="1"/>
  <c r="AP70" i="9" a="1"/>
  <c r="AP70" i="9" s="1"/>
  <c r="AP100" i="9" a="1"/>
  <c r="AP100" i="9" s="1"/>
  <c r="AP75" i="9" a="1"/>
  <c r="AP75" i="9" s="1"/>
  <c r="AP68" i="9" a="1"/>
  <c r="AP68" i="9" s="1"/>
  <c r="AP73" i="9" a="1"/>
  <c r="AP73" i="9" s="1"/>
  <c r="AP78" i="9" a="1"/>
  <c r="AP78" i="9" s="1"/>
  <c r="AP66" i="9" a="1"/>
  <c r="AP66" i="9" s="1"/>
  <c r="AP62" i="9" a="1"/>
  <c r="AP62" i="9" s="1"/>
  <c r="AP50" i="9" a="1"/>
  <c r="AP50" i="9" s="1"/>
  <c r="AP55" i="9" a="1"/>
  <c r="AP55" i="9" s="1"/>
  <c r="AP43" i="9" a="1"/>
  <c r="AP43" i="9" s="1"/>
  <c r="AP76" i="9" a="1"/>
  <c r="AP76" i="9" s="1"/>
  <c r="AP60" i="9" a="1"/>
  <c r="AP60" i="9" s="1"/>
  <c r="AP48" i="9" a="1"/>
  <c r="AP48" i="9" s="1"/>
  <c r="AP71" i="9" a="1"/>
  <c r="AP71" i="9" s="1"/>
  <c r="AP65" i="9" a="1"/>
  <c r="AP65" i="9" s="1"/>
  <c r="AP53" i="9" a="1"/>
  <c r="AP53" i="9" s="1"/>
  <c r="AP41" i="9" a="1"/>
  <c r="AP41" i="9" s="1"/>
  <c r="AP58" i="9" a="1"/>
  <c r="AP58" i="9" s="1"/>
  <c r="AP46" i="9" a="1"/>
  <c r="AP46" i="9" s="1"/>
  <c r="AP63" i="9" a="1"/>
  <c r="AP63" i="9" s="1"/>
  <c r="AP51" i="9" a="1"/>
  <c r="AP51" i="9" s="1"/>
  <c r="AP39" i="9" a="1"/>
  <c r="AP39" i="9" s="1"/>
  <c r="AP56" i="9" a="1"/>
  <c r="AP56" i="9" s="1"/>
  <c r="AP44" i="9" a="1"/>
  <c r="AP44" i="9" s="1"/>
  <c r="AP61" i="9" a="1"/>
  <c r="AP61" i="9" s="1"/>
  <c r="AP49" i="9" a="1"/>
  <c r="AP49" i="9" s="1"/>
  <c r="AP54" i="9" a="1"/>
  <c r="AP54" i="9" s="1"/>
  <c r="AP42" i="9" a="1"/>
  <c r="AP42" i="9" s="1"/>
  <c r="AP26" i="9" a="1"/>
  <c r="AP26" i="9" s="1"/>
  <c r="AP38" i="9" a="1"/>
  <c r="AP38" i="9" s="1"/>
  <c r="AP31" i="9" a="1"/>
  <c r="AP31" i="9" s="1"/>
  <c r="AP19" i="9" a="1"/>
  <c r="AP19" i="9" s="1"/>
  <c r="AP36" i="9" a="1"/>
  <c r="AP36" i="9" s="1"/>
  <c r="AP24" i="9" a="1"/>
  <c r="AP24" i="9" s="1"/>
  <c r="AP64" i="9" a="1"/>
  <c r="AP64" i="9" s="1"/>
  <c r="AP52" i="9" a="1"/>
  <c r="AP52" i="9" s="1"/>
  <c r="AP40" i="9" a="1"/>
  <c r="AP40" i="9" s="1"/>
  <c r="AP29" i="9" a="1"/>
  <c r="AP29" i="9" s="1"/>
  <c r="AP34" i="9" a="1"/>
  <c r="AP34" i="9" s="1"/>
  <c r="AP22" i="9" a="1"/>
  <c r="AP22" i="9" s="1"/>
  <c r="AP27" i="9" a="1"/>
  <c r="AP27" i="9" s="1"/>
  <c r="AP57" i="9" a="1"/>
  <c r="AP57" i="9" s="1"/>
  <c r="AP45" i="9" a="1"/>
  <c r="AP45" i="9" s="1"/>
  <c r="AP37" i="9" a="1"/>
  <c r="AP37" i="9" s="1"/>
  <c r="AP25" i="9" a="1"/>
  <c r="AP25" i="9" s="1"/>
  <c r="AP30" i="9" a="1"/>
  <c r="AP30" i="9" s="1"/>
  <c r="AP18" i="9" a="1"/>
  <c r="AP18" i="9" s="1"/>
  <c r="AP35" i="9" a="1"/>
  <c r="AP35" i="9" s="1"/>
  <c r="AP23" i="9" a="1"/>
  <c r="AP23" i="9" s="1"/>
  <c r="AP17" i="9" a="1"/>
  <c r="AP17" i="9" s="1"/>
  <c r="AP59" i="9" a="1"/>
  <c r="AP59" i="9" s="1"/>
  <c r="AP10" i="9" a="1"/>
  <c r="AP10" i="9" s="1"/>
  <c r="AP16" i="9" a="1"/>
  <c r="AP16" i="9" s="1"/>
  <c r="AP15" i="9" a="1"/>
  <c r="AP15" i="9" s="1"/>
  <c r="AP33" i="9" a="1"/>
  <c r="AP33" i="9" s="1"/>
  <c r="AP8" i="9" a="1"/>
  <c r="AP8" i="9" s="1"/>
  <c r="AP21" i="9" a="1"/>
  <c r="AP21" i="9" s="1"/>
  <c r="AP13" i="9" a="1"/>
  <c r="AP13" i="9" s="1"/>
  <c r="AP47" i="9" a="1"/>
  <c r="AP47" i="9" s="1"/>
  <c r="AP20" i="9" a="1"/>
  <c r="AP20" i="9" s="1"/>
  <c r="AP11" i="9" a="1"/>
  <c r="AP11" i="9" s="1"/>
  <c r="AP32" i="9" a="1"/>
  <c r="AP32" i="9" s="1"/>
  <c r="AP9" i="9" a="1"/>
  <c r="AP9" i="9" s="1"/>
  <c r="AP14" i="9" a="1"/>
  <c r="AP14" i="9" s="1"/>
  <c r="AP28" i="9" a="1"/>
  <c r="AP28" i="9" s="1"/>
  <c r="BB135" i="9" a="1"/>
  <c r="BB135" i="9" s="1"/>
  <c r="BB132" i="9" a="1"/>
  <c r="BB132" i="9" s="1"/>
  <c r="BB131" i="9" a="1"/>
  <c r="BB131" i="9" s="1"/>
  <c r="BB130" i="9" a="1"/>
  <c r="BB130" i="9" s="1"/>
  <c r="BB127" i="9" a="1"/>
  <c r="BB127" i="9" s="1"/>
  <c r="BB125" i="9" a="1"/>
  <c r="BB125" i="9" s="1"/>
  <c r="BB133" i="9" a="1"/>
  <c r="BB133" i="9" s="1"/>
  <c r="BB134" i="9" a="1"/>
  <c r="BB134" i="9" s="1"/>
  <c r="BB126" i="9" a="1"/>
  <c r="BB126" i="9" s="1"/>
  <c r="BB136" i="9" a="1"/>
  <c r="BB136" i="9" s="1"/>
  <c r="BB129" i="9" a="1"/>
  <c r="BB129" i="9" s="1"/>
  <c r="BB120" i="9" a="1"/>
  <c r="BB120" i="9" s="1"/>
  <c r="BB121" i="9" a="1"/>
  <c r="BB121" i="9" s="1"/>
  <c r="BB128" i="9" a="1"/>
  <c r="BB128" i="9" s="1"/>
  <c r="BB118" i="9" a="1"/>
  <c r="BB118" i="9" s="1"/>
  <c r="BB116" i="9" a="1"/>
  <c r="BB116" i="9" s="1"/>
  <c r="BB124" i="9" a="1"/>
  <c r="BB124" i="9" s="1"/>
  <c r="BB123" i="9" a="1"/>
  <c r="BB123" i="9" s="1"/>
  <c r="BB114" i="9" a="1"/>
  <c r="BB114" i="9" s="1"/>
  <c r="BB117" i="9" a="1"/>
  <c r="BB117" i="9" s="1"/>
  <c r="BB122" i="9" a="1"/>
  <c r="BB122" i="9" s="1"/>
  <c r="BB119" i="9" a="1"/>
  <c r="BB119" i="9" s="1"/>
  <c r="BB101" i="9" a="1"/>
  <c r="BB101" i="9" s="1"/>
  <c r="BB111" i="9" a="1"/>
  <c r="BB111" i="9" s="1"/>
  <c r="BB104" i="9" a="1"/>
  <c r="BB104" i="9" s="1"/>
  <c r="BB115" i="9" a="1"/>
  <c r="BB115" i="9" s="1"/>
  <c r="BB109" i="9" a="1"/>
  <c r="BB109" i="9" s="1"/>
  <c r="BB102" i="9" a="1"/>
  <c r="BB102" i="9" s="1"/>
  <c r="BB112" i="9" a="1"/>
  <c r="BB112" i="9" s="1"/>
  <c r="BB107" i="9" a="1"/>
  <c r="BB107" i="9" s="1"/>
  <c r="BB100" i="9" a="1"/>
  <c r="BB100" i="9" s="1"/>
  <c r="BB110" i="9" a="1"/>
  <c r="BB110" i="9" s="1"/>
  <c r="BB93" i="9" a="1"/>
  <c r="BB93" i="9" s="1"/>
  <c r="BB96" i="9" a="1"/>
  <c r="BB96" i="9" s="1"/>
  <c r="BB103" i="9" a="1"/>
  <c r="BB103" i="9" s="1"/>
  <c r="BB94" i="9" a="1"/>
  <c r="BB94" i="9" s="1"/>
  <c r="BB99" i="9" a="1"/>
  <c r="BB99" i="9" s="1"/>
  <c r="BB113" i="9" a="1"/>
  <c r="BB113" i="9" s="1"/>
  <c r="BB106" i="9" a="1"/>
  <c r="BB106" i="9" s="1"/>
  <c r="BB92" i="9" a="1"/>
  <c r="BB92" i="9" s="1"/>
  <c r="BB97" i="9" a="1"/>
  <c r="BB97" i="9" s="1"/>
  <c r="BB90" i="9" a="1"/>
  <c r="BB90" i="9" s="1"/>
  <c r="BB108" i="9" a="1"/>
  <c r="BB108" i="9" s="1"/>
  <c r="BB91" i="9" a="1"/>
  <c r="BB91" i="9" s="1"/>
  <c r="BB80" i="9" a="1"/>
  <c r="BB80" i="9" s="1"/>
  <c r="BB98" i="9" a="1"/>
  <c r="BB98" i="9" s="1"/>
  <c r="BB95" i="9" a="1"/>
  <c r="BB95" i="9" s="1"/>
  <c r="BB85" i="9" a="1"/>
  <c r="BB85" i="9" s="1"/>
  <c r="BB105" i="9" a="1"/>
  <c r="BB105" i="9" s="1"/>
  <c r="BB83" i="9" a="1"/>
  <c r="BB83" i="9" s="1"/>
  <c r="BB88" i="9" a="1"/>
  <c r="BB88" i="9" s="1"/>
  <c r="BB81" i="9" a="1"/>
  <c r="BB81" i="9" s="1"/>
  <c r="BB86" i="9" a="1"/>
  <c r="BB86" i="9" s="1"/>
  <c r="BB79" i="9" a="1"/>
  <c r="BB79" i="9" s="1"/>
  <c r="BB84" i="9" a="1"/>
  <c r="BB84" i="9" s="1"/>
  <c r="BB89" i="9" a="1"/>
  <c r="BB89" i="9" s="1"/>
  <c r="BB87" i="9" a="1"/>
  <c r="BB87" i="9" s="1"/>
  <c r="BB69" i="9" a="1"/>
  <c r="BB69" i="9" s="1"/>
  <c r="BB82" i="9" a="1"/>
  <c r="BB82" i="9" s="1"/>
  <c r="BB74" i="9" a="1"/>
  <c r="BB74" i="9" s="1"/>
  <c r="BB67" i="9" a="1"/>
  <c r="BB67" i="9" s="1"/>
  <c r="BB72" i="9" a="1"/>
  <c r="BB72" i="9" s="1"/>
  <c r="BB77" i="9" a="1"/>
  <c r="BB77" i="9" s="1"/>
  <c r="BB70" i="9" a="1"/>
  <c r="BB70" i="9" s="1"/>
  <c r="BB75" i="9" a="1"/>
  <c r="BB75" i="9" s="1"/>
  <c r="BB68" i="9" a="1"/>
  <c r="BB68" i="9" s="1"/>
  <c r="BB73" i="9" a="1"/>
  <c r="BB73" i="9" s="1"/>
  <c r="BB78" i="9" a="1"/>
  <c r="BB78" i="9" s="1"/>
  <c r="BB66" i="9" a="1"/>
  <c r="BB66" i="9" s="1"/>
  <c r="BB62" i="9" a="1"/>
  <c r="BB62" i="9" s="1"/>
  <c r="BB50" i="9" a="1"/>
  <c r="BB50" i="9" s="1"/>
  <c r="BB38" i="9" a="1"/>
  <c r="BB38" i="9" s="1"/>
  <c r="BB55" i="9" a="1"/>
  <c r="BB55" i="9" s="1"/>
  <c r="BB43" i="9" a="1"/>
  <c r="BB43" i="9" s="1"/>
  <c r="BB60" i="9" a="1"/>
  <c r="BB60" i="9" s="1"/>
  <c r="BB48" i="9" a="1"/>
  <c r="BB48" i="9" s="1"/>
  <c r="BB65" i="9" a="1"/>
  <c r="BB65" i="9" s="1"/>
  <c r="BB53" i="9" a="1"/>
  <c r="BB53" i="9" s="1"/>
  <c r="BB41" i="9" a="1"/>
  <c r="BB41" i="9" s="1"/>
  <c r="BB58" i="9" a="1"/>
  <c r="BB58" i="9" s="1"/>
  <c r="BB46" i="9" a="1"/>
  <c r="BB46" i="9" s="1"/>
  <c r="BB63" i="9" a="1"/>
  <c r="BB63" i="9" s="1"/>
  <c r="BB51" i="9" a="1"/>
  <c r="BB51" i="9" s="1"/>
  <c r="BB39" i="9" a="1"/>
  <c r="BB39" i="9" s="1"/>
  <c r="BB56" i="9" a="1"/>
  <c r="BB56" i="9" s="1"/>
  <c r="BB44" i="9" a="1"/>
  <c r="BB44" i="9" s="1"/>
  <c r="BB61" i="9" a="1"/>
  <c r="BB61" i="9" s="1"/>
  <c r="BB49" i="9" a="1"/>
  <c r="BB49" i="9" s="1"/>
  <c r="BB54" i="9" a="1"/>
  <c r="BB54" i="9" s="1"/>
  <c r="BB42" i="9" a="1"/>
  <c r="BB42" i="9" s="1"/>
  <c r="BB26" i="9" a="1"/>
  <c r="BB26" i="9" s="1"/>
  <c r="BB71" i="9" a="1"/>
  <c r="BB71" i="9" s="1"/>
  <c r="BB57" i="9" a="1"/>
  <c r="BB57" i="9" s="1"/>
  <c r="BB45" i="9" a="1"/>
  <c r="BB45" i="9" s="1"/>
  <c r="BB31" i="9" a="1"/>
  <c r="BB31" i="9" s="1"/>
  <c r="BB19" i="9" a="1"/>
  <c r="BB19" i="9" s="1"/>
  <c r="BB36" i="9" a="1"/>
  <c r="BB36" i="9" s="1"/>
  <c r="BB24" i="9" a="1"/>
  <c r="BB24" i="9" s="1"/>
  <c r="BB29" i="9" a="1"/>
  <c r="BB29" i="9" s="1"/>
  <c r="BB34" i="9" a="1"/>
  <c r="BB34" i="9" s="1"/>
  <c r="BB22" i="9" a="1"/>
  <c r="BB22" i="9" s="1"/>
  <c r="BB59" i="9" a="1"/>
  <c r="BB59" i="9" s="1"/>
  <c r="BB47" i="9" a="1"/>
  <c r="BB47" i="9" s="1"/>
  <c r="BB27" i="9" a="1"/>
  <c r="BB27" i="9" s="1"/>
  <c r="BB40" i="9" a="1"/>
  <c r="BB40" i="9" s="1"/>
  <c r="BB37" i="9" a="1"/>
  <c r="BB37" i="9" s="1"/>
  <c r="BB25" i="9" a="1"/>
  <c r="BB25" i="9" s="1"/>
  <c r="BB30" i="9" a="1"/>
  <c r="BB30" i="9" s="1"/>
  <c r="BB18" i="9" a="1"/>
  <c r="BB18" i="9" s="1"/>
  <c r="BB64" i="9" a="1"/>
  <c r="BB64" i="9" s="1"/>
  <c r="BB52" i="9" a="1"/>
  <c r="BB52" i="9" s="1"/>
  <c r="BB35" i="9" a="1"/>
  <c r="BB35" i="9" s="1"/>
  <c r="BB32" i="9" a="1"/>
  <c r="BB32" i="9" s="1"/>
  <c r="BB10" i="9" a="1"/>
  <c r="BB10" i="9" s="1"/>
  <c r="BB23" i="9" a="1"/>
  <c r="BB23" i="9" s="1"/>
  <c r="BB17" i="9" a="1"/>
  <c r="BB17" i="9" s="1"/>
  <c r="BB15" i="9" a="1"/>
  <c r="BB15" i="9" s="1"/>
  <c r="BB8" i="9" a="1"/>
  <c r="BB8" i="9" s="1"/>
  <c r="BB76" i="9" a="1"/>
  <c r="BB76" i="9" s="1"/>
  <c r="BB16" i="9" a="1"/>
  <c r="BB16" i="9" s="1"/>
  <c r="BB13" i="9" a="1"/>
  <c r="BB13" i="9" s="1"/>
  <c r="BB28" i="9" a="1"/>
  <c r="BB28" i="9" s="1"/>
  <c r="BB21" i="9" a="1"/>
  <c r="BB21" i="9" s="1"/>
  <c r="BB11" i="9" a="1"/>
  <c r="BB11" i="9" s="1"/>
  <c r="BB20" i="9" a="1"/>
  <c r="BB20" i="9" s="1"/>
  <c r="BB9" i="9" a="1"/>
  <c r="BB9" i="9" s="1"/>
  <c r="BB33" i="9" a="1"/>
  <c r="BB33" i="9" s="1"/>
  <c r="BB14" i="9" a="1"/>
  <c r="BB14" i="9" s="1"/>
  <c r="BN135" i="9" a="1"/>
  <c r="BN135" i="9" s="1"/>
  <c r="BN136" i="9" a="1"/>
  <c r="BN136" i="9" s="1"/>
  <c r="BN134" i="9" a="1"/>
  <c r="BN134" i="9" s="1"/>
  <c r="BN133" i="9" a="1"/>
  <c r="BN133" i="9" s="1"/>
  <c r="BN130" i="9" a="1"/>
  <c r="BN130" i="9" s="1"/>
  <c r="BN129" i="9" a="1"/>
  <c r="BN129" i="9" s="1"/>
  <c r="BN125" i="9" a="1"/>
  <c r="BN125" i="9" s="1"/>
  <c r="BN126" i="9" a="1"/>
  <c r="BN126" i="9" s="1"/>
  <c r="BN128" i="9" a="1"/>
  <c r="BN128" i="9" s="1"/>
  <c r="BN120" i="9" a="1"/>
  <c r="BN120" i="9" s="1"/>
  <c r="BN122" i="9" a="1"/>
  <c r="BN122" i="9" s="1"/>
  <c r="BN132" i="9" a="1"/>
  <c r="BN132" i="9" s="1"/>
  <c r="BN123" i="9" a="1"/>
  <c r="BN123" i="9" s="1"/>
  <c r="BN121" i="9" a="1"/>
  <c r="BN121" i="9" s="1"/>
  <c r="BN119" i="9" a="1"/>
  <c r="BN119" i="9" s="1"/>
  <c r="BN118" i="9" a="1"/>
  <c r="BN118" i="9" s="1"/>
  <c r="BN131" i="9" a="1"/>
  <c r="BN131" i="9" s="1"/>
  <c r="BN116" i="9" a="1"/>
  <c r="BN116" i="9" s="1"/>
  <c r="BN114" i="9" a="1"/>
  <c r="BN114" i="9" s="1"/>
  <c r="BN127" i="9" a="1"/>
  <c r="BN127" i="9" s="1"/>
  <c r="BN117" i="9" a="1"/>
  <c r="BN117" i="9" s="1"/>
  <c r="BN124" i="9" a="1"/>
  <c r="BN124" i="9" s="1"/>
  <c r="BN101" i="9" a="1"/>
  <c r="BN101" i="9" s="1"/>
  <c r="BN111" i="9" a="1"/>
  <c r="BN111" i="9" s="1"/>
  <c r="BN104" i="9" a="1"/>
  <c r="BN104" i="9" s="1"/>
  <c r="BN109" i="9" a="1"/>
  <c r="BN109" i="9" s="1"/>
  <c r="BN102" i="9" a="1"/>
  <c r="BN102" i="9" s="1"/>
  <c r="BN115" i="9" a="1"/>
  <c r="BN115" i="9" s="1"/>
  <c r="BN107" i="9" a="1"/>
  <c r="BN107" i="9" s="1"/>
  <c r="BN100" i="9" a="1"/>
  <c r="BN100" i="9" s="1"/>
  <c r="BN110" i="9" a="1"/>
  <c r="BN110" i="9" s="1"/>
  <c r="BN93" i="9" a="1"/>
  <c r="BN93" i="9" s="1"/>
  <c r="BN105" i="9" a="1"/>
  <c r="BN105" i="9" s="1"/>
  <c r="BN91" i="9" a="1"/>
  <c r="BN91" i="9" s="1"/>
  <c r="BN113" i="9" a="1"/>
  <c r="BN113" i="9" s="1"/>
  <c r="BN96" i="9" a="1"/>
  <c r="BN96" i="9" s="1"/>
  <c r="BN108" i="9" a="1"/>
  <c r="BN108" i="9" s="1"/>
  <c r="BN94" i="9" a="1"/>
  <c r="BN94" i="9" s="1"/>
  <c r="BN99" i="9" a="1"/>
  <c r="BN99" i="9" s="1"/>
  <c r="BN92" i="9" a="1"/>
  <c r="BN92" i="9" s="1"/>
  <c r="BN103" i="9" a="1"/>
  <c r="BN103" i="9" s="1"/>
  <c r="BN97" i="9" a="1"/>
  <c r="BN97" i="9" s="1"/>
  <c r="BN90" i="9" a="1"/>
  <c r="BN90" i="9" s="1"/>
  <c r="BN80" i="9" a="1"/>
  <c r="BN80" i="9" s="1"/>
  <c r="BN85" i="9" a="1"/>
  <c r="BN85" i="9" s="1"/>
  <c r="BN83" i="9" a="1"/>
  <c r="BN83" i="9" s="1"/>
  <c r="BN88" i="9" a="1"/>
  <c r="BN88" i="9" s="1"/>
  <c r="BN81" i="9" a="1"/>
  <c r="BN81" i="9" s="1"/>
  <c r="BN86" i="9" a="1"/>
  <c r="BN86" i="9" s="1"/>
  <c r="BN98" i="9" a="1"/>
  <c r="BN98" i="9" s="1"/>
  <c r="BN95" i="9" a="1"/>
  <c r="BN95" i="9" s="1"/>
  <c r="BN79" i="9" a="1"/>
  <c r="BN79" i="9" s="1"/>
  <c r="BN106" i="9" a="1"/>
  <c r="BN106" i="9" s="1"/>
  <c r="BN84" i="9" a="1"/>
  <c r="BN84" i="9" s="1"/>
  <c r="BN89" i="9" a="1"/>
  <c r="BN89" i="9" s="1"/>
  <c r="BN69" i="9" a="1"/>
  <c r="BN69" i="9" s="1"/>
  <c r="BN74" i="9" a="1"/>
  <c r="BN74" i="9" s="1"/>
  <c r="BN67" i="9" a="1"/>
  <c r="BN67" i="9" s="1"/>
  <c r="BN112" i="9" a="1"/>
  <c r="BN112" i="9" s="1"/>
  <c r="BN72" i="9" a="1"/>
  <c r="BN72" i="9" s="1"/>
  <c r="BN77" i="9" a="1"/>
  <c r="BN77" i="9" s="1"/>
  <c r="BN70" i="9" a="1"/>
  <c r="BN70" i="9" s="1"/>
  <c r="BN75" i="9" a="1"/>
  <c r="BN75" i="9" s="1"/>
  <c r="BN68" i="9" a="1"/>
  <c r="BN68" i="9" s="1"/>
  <c r="BN87" i="9" a="1"/>
  <c r="BN87" i="9" s="1"/>
  <c r="BN73" i="9" a="1"/>
  <c r="BN73" i="9" s="1"/>
  <c r="BN82" i="9" a="1"/>
  <c r="BN82" i="9" s="1"/>
  <c r="BN78" i="9" a="1"/>
  <c r="BN78" i="9" s="1"/>
  <c r="BN66" i="9" a="1"/>
  <c r="BN66" i="9" s="1"/>
  <c r="BN62" i="9" a="1"/>
  <c r="BN62" i="9" s="1"/>
  <c r="BN50" i="9" a="1"/>
  <c r="BN50" i="9" s="1"/>
  <c r="BN38" i="9" a="1"/>
  <c r="BN38" i="9" s="1"/>
  <c r="BN55" i="9" a="1"/>
  <c r="BN55" i="9" s="1"/>
  <c r="BN43" i="9" a="1"/>
  <c r="BN43" i="9" s="1"/>
  <c r="BN60" i="9" a="1"/>
  <c r="BN60" i="9" s="1"/>
  <c r="BN48" i="9" a="1"/>
  <c r="BN48" i="9" s="1"/>
  <c r="BN65" i="9" a="1"/>
  <c r="BN65" i="9" s="1"/>
  <c r="BN53" i="9" a="1"/>
  <c r="BN53" i="9" s="1"/>
  <c r="BN41" i="9" a="1"/>
  <c r="BN41" i="9" s="1"/>
  <c r="BN58" i="9" a="1"/>
  <c r="BN58" i="9" s="1"/>
  <c r="BN46" i="9" a="1"/>
  <c r="BN46" i="9" s="1"/>
  <c r="BN63" i="9" a="1"/>
  <c r="BN63" i="9" s="1"/>
  <c r="BN51" i="9" a="1"/>
  <c r="BN51" i="9" s="1"/>
  <c r="BN39" i="9" a="1"/>
  <c r="BN39" i="9" s="1"/>
  <c r="BN76" i="9" a="1"/>
  <c r="BN76" i="9" s="1"/>
  <c r="BN56" i="9" a="1"/>
  <c r="BN56" i="9" s="1"/>
  <c r="BN44" i="9" a="1"/>
  <c r="BN44" i="9" s="1"/>
  <c r="BN71" i="9" a="1"/>
  <c r="BN71" i="9" s="1"/>
  <c r="BN61" i="9" a="1"/>
  <c r="BN61" i="9" s="1"/>
  <c r="BN49" i="9" a="1"/>
  <c r="BN49" i="9" s="1"/>
  <c r="BN54" i="9" a="1"/>
  <c r="BN54" i="9" s="1"/>
  <c r="BN42" i="9" a="1"/>
  <c r="BN42" i="9" s="1"/>
  <c r="BN26" i="9" a="1"/>
  <c r="BN26" i="9" s="1"/>
  <c r="BN31" i="9" a="1"/>
  <c r="BN31" i="9" s="1"/>
  <c r="BN19" i="9" a="1"/>
  <c r="BN19" i="9" s="1"/>
  <c r="BN36" i="9" a="1"/>
  <c r="BN36" i="9" s="1"/>
  <c r="BN24" i="9" a="1"/>
  <c r="BN24" i="9" s="1"/>
  <c r="BN64" i="9" a="1"/>
  <c r="BN64" i="9" s="1"/>
  <c r="BN52" i="9" a="1"/>
  <c r="BN52" i="9" s="1"/>
  <c r="BN29" i="9" a="1"/>
  <c r="BN29" i="9" s="1"/>
  <c r="BN34" i="9" a="1"/>
  <c r="BN34" i="9" s="1"/>
  <c r="BN22" i="9" a="1"/>
  <c r="BN22" i="9" s="1"/>
  <c r="BN27" i="9" a="1"/>
  <c r="BN27" i="9" s="1"/>
  <c r="BN57" i="9" a="1"/>
  <c r="BN57" i="9" s="1"/>
  <c r="BN45" i="9" a="1"/>
  <c r="BN45" i="9" s="1"/>
  <c r="BN37" i="9" a="1"/>
  <c r="BN37" i="9" s="1"/>
  <c r="BN25" i="9" a="1"/>
  <c r="BN25" i="9" s="1"/>
  <c r="BN30" i="9" a="1"/>
  <c r="BN30" i="9" s="1"/>
  <c r="BN18" i="9" a="1"/>
  <c r="BN18" i="9" s="1"/>
  <c r="BN35" i="9" a="1"/>
  <c r="BN35" i="9" s="1"/>
  <c r="BN40" i="9" a="1"/>
  <c r="BN40" i="9" s="1"/>
  <c r="BN10" i="9" a="1"/>
  <c r="BN10" i="9" s="1"/>
  <c r="BN15" i="9" a="1"/>
  <c r="BN15" i="9" s="1"/>
  <c r="BN47" i="9" a="1"/>
  <c r="BN47" i="9" s="1"/>
  <c r="BN33" i="9" a="1"/>
  <c r="BN33" i="9" s="1"/>
  <c r="BN8" i="9" a="1"/>
  <c r="BN8" i="9" s="1"/>
  <c r="BN23" i="9" a="1"/>
  <c r="BN23" i="9" s="1"/>
  <c r="BN17" i="9" a="1"/>
  <c r="BN17" i="9" s="1"/>
  <c r="BN13" i="9" a="1"/>
  <c r="BN13" i="9" s="1"/>
  <c r="BN16" i="9" a="1"/>
  <c r="BN16" i="9" s="1"/>
  <c r="BN11" i="9" a="1"/>
  <c r="BN11" i="9" s="1"/>
  <c r="BN32" i="9" a="1"/>
  <c r="BN32" i="9" s="1"/>
  <c r="BN21" i="9" a="1"/>
  <c r="BN21" i="9" s="1"/>
  <c r="BN9" i="9" a="1"/>
  <c r="BN9" i="9" s="1"/>
  <c r="BN14" i="9" a="1"/>
  <c r="BN14" i="9" s="1"/>
  <c r="BN20" i="9" a="1"/>
  <c r="BN20" i="9" s="1"/>
  <c r="BN59" i="9" a="1"/>
  <c r="BN59" i="9" s="1"/>
  <c r="BN28" i="9" a="1"/>
  <c r="BN28" i="9" s="1"/>
  <c r="BZ135" i="9" a="1"/>
  <c r="BZ135" i="9" s="1"/>
  <c r="BZ133" i="9" a="1"/>
  <c r="BZ133" i="9" s="1"/>
  <c r="BZ132" i="9" a="1"/>
  <c r="BZ132" i="9" s="1"/>
  <c r="BZ134" i="9" a="1"/>
  <c r="BZ134" i="9" s="1"/>
  <c r="BZ130" i="9" a="1"/>
  <c r="BZ130" i="9" s="1"/>
  <c r="BZ129" i="9" a="1"/>
  <c r="BZ129" i="9" s="1"/>
  <c r="BZ125" i="9" a="1"/>
  <c r="BZ125" i="9" s="1"/>
  <c r="BZ127" i="9" a="1"/>
  <c r="BZ127" i="9" s="1"/>
  <c r="BZ128" i="9" a="1"/>
  <c r="BZ128" i="9" s="1"/>
  <c r="BZ126" i="9" a="1"/>
  <c r="BZ126" i="9" s="1"/>
  <c r="BZ120" i="9" a="1"/>
  <c r="BZ120" i="9" s="1"/>
  <c r="BZ121" i="9" a="1"/>
  <c r="BZ121" i="9" s="1"/>
  <c r="BZ122" i="9" a="1"/>
  <c r="BZ122" i="9" s="1"/>
  <c r="BZ131" i="9" a="1"/>
  <c r="BZ131" i="9" s="1"/>
  <c r="BZ119" i="9" a="1"/>
  <c r="BZ119" i="9" s="1"/>
  <c r="BZ118" i="9" a="1"/>
  <c r="BZ118" i="9" s="1"/>
  <c r="BZ136" i="9" a="1"/>
  <c r="BZ136" i="9" s="1"/>
  <c r="BZ116" i="9" a="1"/>
  <c r="BZ116" i="9" s="1"/>
  <c r="BZ124" i="9" a="1"/>
  <c r="BZ124" i="9" s="1"/>
  <c r="BZ114" i="9" a="1"/>
  <c r="BZ114" i="9" s="1"/>
  <c r="BZ117" i="9" a="1"/>
  <c r="BZ117" i="9" s="1"/>
  <c r="BZ123" i="9" a="1"/>
  <c r="BZ123" i="9" s="1"/>
  <c r="BZ113" i="9" a="1"/>
  <c r="BZ113" i="9" s="1"/>
  <c r="BZ101" i="9" a="1"/>
  <c r="BZ101" i="9" s="1"/>
  <c r="BZ111" i="9" a="1"/>
  <c r="BZ111" i="9" s="1"/>
  <c r="BZ112" i="9" a="1"/>
  <c r="BZ112" i="9" s="1"/>
  <c r="BZ104" i="9" a="1"/>
  <c r="BZ104" i="9" s="1"/>
  <c r="BZ109" i="9" a="1"/>
  <c r="BZ109" i="9" s="1"/>
  <c r="BZ102" i="9" a="1"/>
  <c r="BZ102" i="9" s="1"/>
  <c r="BZ107" i="9" a="1"/>
  <c r="BZ107" i="9" s="1"/>
  <c r="BZ100" i="9" a="1"/>
  <c r="BZ100" i="9" s="1"/>
  <c r="BZ110" i="9" a="1"/>
  <c r="BZ110" i="9" s="1"/>
  <c r="BZ103" i="9" a="1"/>
  <c r="BZ103" i="9" s="1"/>
  <c r="BZ93" i="9" a="1"/>
  <c r="BZ93" i="9" s="1"/>
  <c r="BZ91" i="9" a="1"/>
  <c r="BZ91" i="9" s="1"/>
  <c r="BZ106" i="9" a="1"/>
  <c r="BZ106" i="9" s="1"/>
  <c r="BZ96" i="9" a="1"/>
  <c r="BZ96" i="9" s="1"/>
  <c r="BZ94" i="9" a="1"/>
  <c r="BZ94" i="9" s="1"/>
  <c r="BZ105" i="9" a="1"/>
  <c r="BZ105" i="9" s="1"/>
  <c r="BZ99" i="9" a="1"/>
  <c r="BZ99" i="9" s="1"/>
  <c r="BZ92" i="9" a="1"/>
  <c r="BZ92" i="9" s="1"/>
  <c r="BZ115" i="9" a="1"/>
  <c r="BZ115" i="9" s="1"/>
  <c r="BZ97" i="9" a="1"/>
  <c r="BZ97" i="9" s="1"/>
  <c r="BZ108" i="9" a="1"/>
  <c r="BZ108" i="9" s="1"/>
  <c r="BZ90" i="9" a="1"/>
  <c r="BZ90" i="9" s="1"/>
  <c r="BZ80" i="9" a="1"/>
  <c r="BZ80" i="9" s="1"/>
  <c r="BZ98" i="9" a="1"/>
  <c r="BZ98" i="9" s="1"/>
  <c r="BZ95" i="9" a="1"/>
  <c r="BZ95" i="9" s="1"/>
  <c r="BZ85" i="9" a="1"/>
  <c r="BZ85" i="9" s="1"/>
  <c r="BZ83" i="9" a="1"/>
  <c r="BZ83" i="9" s="1"/>
  <c r="BZ88" i="9" a="1"/>
  <c r="BZ88" i="9" s="1"/>
  <c r="BZ81" i="9" a="1"/>
  <c r="BZ81" i="9" s="1"/>
  <c r="BZ86" i="9" a="1"/>
  <c r="BZ86" i="9" s="1"/>
  <c r="BZ79" i="9" a="1"/>
  <c r="BZ79" i="9" s="1"/>
  <c r="BZ84" i="9" a="1"/>
  <c r="BZ84" i="9" s="1"/>
  <c r="BZ89" i="9" a="1"/>
  <c r="BZ89" i="9" s="1"/>
  <c r="BZ69" i="9" a="1"/>
  <c r="BZ69" i="9" s="1"/>
  <c r="BZ74" i="9" a="1"/>
  <c r="BZ74" i="9" s="1"/>
  <c r="BZ67" i="9" a="1"/>
  <c r="BZ67" i="9" s="1"/>
  <c r="BZ72" i="9" a="1"/>
  <c r="BZ72" i="9" s="1"/>
  <c r="BZ87" i="9" a="1"/>
  <c r="BZ87" i="9" s="1"/>
  <c r="BZ77" i="9" a="1"/>
  <c r="BZ77" i="9" s="1"/>
  <c r="BZ82" i="9" a="1"/>
  <c r="BZ82" i="9" s="1"/>
  <c r="BZ70" i="9" a="1"/>
  <c r="BZ70" i="9" s="1"/>
  <c r="BZ75" i="9" a="1"/>
  <c r="BZ75" i="9" s="1"/>
  <c r="BZ68" i="9" a="1"/>
  <c r="BZ68" i="9" s="1"/>
  <c r="BZ73" i="9" a="1"/>
  <c r="BZ73" i="9" s="1"/>
  <c r="BZ78" i="9" a="1"/>
  <c r="BZ78" i="9" s="1"/>
  <c r="BZ66" i="9" a="1"/>
  <c r="BZ66" i="9" s="1"/>
  <c r="BZ62" i="9" a="1"/>
  <c r="BZ62" i="9" s="1"/>
  <c r="BZ50" i="9" a="1"/>
  <c r="BZ50" i="9" s="1"/>
  <c r="BZ38" i="9" a="1"/>
  <c r="BZ38" i="9" s="1"/>
  <c r="BZ55" i="9" a="1"/>
  <c r="BZ55" i="9" s="1"/>
  <c r="BZ43" i="9" a="1"/>
  <c r="BZ43" i="9" s="1"/>
  <c r="BZ76" i="9" a="1"/>
  <c r="BZ76" i="9" s="1"/>
  <c r="BZ60" i="9" a="1"/>
  <c r="BZ60" i="9" s="1"/>
  <c r="BZ48" i="9" a="1"/>
  <c r="BZ48" i="9" s="1"/>
  <c r="BZ71" i="9" a="1"/>
  <c r="BZ71" i="9" s="1"/>
  <c r="BZ65" i="9" a="1"/>
  <c r="BZ65" i="9" s="1"/>
  <c r="BZ53" i="9" a="1"/>
  <c r="BZ53" i="9" s="1"/>
  <c r="BZ41" i="9" a="1"/>
  <c r="BZ41" i="9" s="1"/>
  <c r="BZ58" i="9" a="1"/>
  <c r="BZ58" i="9" s="1"/>
  <c r="BZ46" i="9" a="1"/>
  <c r="BZ46" i="9" s="1"/>
  <c r="BZ63" i="9" a="1"/>
  <c r="BZ63" i="9" s="1"/>
  <c r="BZ51" i="9" a="1"/>
  <c r="BZ51" i="9" s="1"/>
  <c r="BZ39" i="9" a="1"/>
  <c r="BZ39" i="9" s="1"/>
  <c r="BZ56" i="9" a="1"/>
  <c r="BZ56" i="9" s="1"/>
  <c r="BZ44" i="9" a="1"/>
  <c r="BZ44" i="9" s="1"/>
  <c r="BZ61" i="9" a="1"/>
  <c r="BZ61" i="9" s="1"/>
  <c r="BZ49" i="9" a="1"/>
  <c r="BZ49" i="9" s="1"/>
  <c r="BZ54" i="9" a="1"/>
  <c r="BZ54" i="9" s="1"/>
  <c r="BZ42" i="9" a="1"/>
  <c r="BZ42" i="9" s="1"/>
  <c r="BZ26" i="9" a="1"/>
  <c r="BZ26" i="9" s="1"/>
  <c r="BZ57" i="9" a="1"/>
  <c r="BZ57" i="9" s="1"/>
  <c r="BZ45" i="9" a="1"/>
  <c r="BZ45" i="9" s="1"/>
  <c r="BZ31" i="9" a="1"/>
  <c r="BZ31" i="9" s="1"/>
  <c r="BZ19" i="9" a="1"/>
  <c r="BZ19" i="9" s="1"/>
  <c r="BZ36" i="9" a="1"/>
  <c r="BZ36" i="9" s="1"/>
  <c r="BZ24" i="9" a="1"/>
  <c r="BZ24" i="9" s="1"/>
  <c r="BZ40" i="9" a="1"/>
  <c r="BZ40" i="9" s="1"/>
  <c r="BZ29" i="9" a="1"/>
  <c r="BZ29" i="9" s="1"/>
  <c r="BZ34" i="9" a="1"/>
  <c r="BZ34" i="9" s="1"/>
  <c r="BZ22" i="9" a="1"/>
  <c r="BZ22" i="9" s="1"/>
  <c r="BZ59" i="9" a="1"/>
  <c r="BZ59" i="9" s="1"/>
  <c r="BZ47" i="9" a="1"/>
  <c r="BZ47" i="9" s="1"/>
  <c r="BZ27" i="9" a="1"/>
  <c r="BZ27" i="9" s="1"/>
  <c r="BZ37" i="9" a="1"/>
  <c r="BZ37" i="9" s="1"/>
  <c r="BZ25" i="9" a="1"/>
  <c r="BZ25" i="9" s="1"/>
  <c r="BZ30" i="9" a="1"/>
  <c r="BZ30" i="9" s="1"/>
  <c r="BZ18" i="9" a="1"/>
  <c r="BZ18" i="9" s="1"/>
  <c r="BZ64" i="9" a="1"/>
  <c r="BZ64" i="9" s="1"/>
  <c r="BZ52" i="9" a="1"/>
  <c r="BZ52" i="9" s="1"/>
  <c r="BZ35" i="9" a="1"/>
  <c r="BZ35" i="9" s="1"/>
  <c r="BZ20" i="9" a="1"/>
  <c r="BZ20" i="9" s="1"/>
  <c r="BZ32" i="9" a="1"/>
  <c r="BZ32" i="9" s="1"/>
  <c r="BZ10" i="9" a="1"/>
  <c r="BZ10" i="9" s="1"/>
  <c r="BZ15" i="9" a="1"/>
  <c r="BZ15" i="9" s="1"/>
  <c r="BZ8" i="9" a="1"/>
  <c r="BZ8" i="9" s="1"/>
  <c r="BZ13" i="9" a="1"/>
  <c r="BZ13" i="9" s="1"/>
  <c r="BZ28" i="9" a="1"/>
  <c r="BZ28" i="9" s="1"/>
  <c r="BZ23" i="9" a="1"/>
  <c r="BZ23" i="9" s="1"/>
  <c r="BZ17" i="9" a="1"/>
  <c r="BZ17" i="9" s="1"/>
  <c r="BZ11" i="9" a="1"/>
  <c r="BZ11" i="9" s="1"/>
  <c r="BZ16" i="9" a="1"/>
  <c r="BZ16" i="9" s="1"/>
  <c r="BZ9" i="9" a="1"/>
  <c r="BZ9" i="9" s="1"/>
  <c r="BZ33" i="9" a="1"/>
  <c r="BZ33" i="9" s="1"/>
  <c r="BZ14" i="9" a="1"/>
  <c r="BZ14" i="9" s="1"/>
  <c r="BZ21" i="9" a="1"/>
  <c r="BZ21" i="9" s="1"/>
  <c r="P4" i="9" a="1"/>
  <c r="P4" i="9" s="1"/>
  <c r="AN4" i="9" a="1"/>
  <c r="AN4" i="9" s="1"/>
  <c r="AC6" i="9" a="1"/>
  <c r="AC6" i="9" s="1"/>
  <c r="AL6" i="9" a="1"/>
  <c r="AL6" i="9" s="1"/>
  <c r="R7" i="9" a="1"/>
  <c r="R7" i="9" s="1"/>
  <c r="AB7" i="9" a="1"/>
  <c r="AB7" i="9" s="1"/>
  <c r="AC7" i="2" s="1"/>
  <c r="BB7" i="9" a="1"/>
  <c r="BB7" i="9" s="1"/>
  <c r="BT7" i="9" a="1"/>
  <c r="BT7" i="9" s="1"/>
  <c r="AB9" i="9" a="1"/>
  <c r="AB9" i="9" s="1"/>
  <c r="AC9" i="2" s="1"/>
  <c r="AV12" i="9" a="1"/>
  <c r="AV12" i="9" s="1"/>
  <c r="S133" i="9" a="1"/>
  <c r="S133" i="9" s="1"/>
  <c r="S134" i="9" a="1"/>
  <c r="S134" i="9" s="1"/>
  <c r="S131" i="9" a="1"/>
  <c r="S131" i="9" s="1"/>
  <c r="S132" i="9" a="1"/>
  <c r="S132" i="9" s="1"/>
  <c r="S128" i="9" a="1"/>
  <c r="S128" i="9" s="1"/>
  <c r="S124" i="9" a="1"/>
  <c r="S124" i="9" s="1"/>
  <c r="S136" i="9" a="1"/>
  <c r="S136" i="9" s="1"/>
  <c r="S135" i="9" a="1"/>
  <c r="S135" i="9" s="1"/>
  <c r="S127" i="9" a="1"/>
  <c r="S127" i="9" s="1"/>
  <c r="S129" i="9" a="1"/>
  <c r="S129" i="9" s="1"/>
  <c r="S126" i="9" a="1"/>
  <c r="S126" i="9" s="1"/>
  <c r="S125" i="9" a="1"/>
  <c r="S125" i="9" s="1"/>
  <c r="S122" i="9" a="1"/>
  <c r="S122" i="9" s="1"/>
  <c r="S116" i="9" a="1"/>
  <c r="S116" i="9" s="1"/>
  <c r="S120" i="9" a="1"/>
  <c r="S120" i="9" s="1"/>
  <c r="S114" i="9" a="1"/>
  <c r="S114" i="9" s="1"/>
  <c r="S123" i="9" a="1"/>
  <c r="S123" i="9" s="1"/>
  <c r="S119" i="9" a="1"/>
  <c r="S119" i="9" s="1"/>
  <c r="S121" i="9" a="1"/>
  <c r="S121" i="9" s="1"/>
  <c r="S117" i="9" a="1"/>
  <c r="S117" i="9" s="1"/>
  <c r="S130" i="9" a="1"/>
  <c r="S130" i="9" s="1"/>
  <c r="S115" i="9" a="1"/>
  <c r="S115" i="9" s="1"/>
  <c r="S111" i="9" a="1"/>
  <c r="S111" i="9" s="1"/>
  <c r="S109" i="9" a="1"/>
  <c r="S109" i="9" s="1"/>
  <c r="S102" i="9" a="1"/>
  <c r="S102" i="9" s="1"/>
  <c r="S107" i="9" a="1"/>
  <c r="S107" i="9" s="1"/>
  <c r="S112" i="9" a="1"/>
  <c r="S112" i="9" s="1"/>
  <c r="S105" i="9" a="1"/>
  <c r="S105" i="9" s="1"/>
  <c r="S110" i="9" a="1"/>
  <c r="S110" i="9" s="1"/>
  <c r="S108" i="9" a="1"/>
  <c r="S108" i="9" s="1"/>
  <c r="S104" i="9" a="1"/>
  <c r="S104" i="9" s="1"/>
  <c r="S103" i="9" a="1"/>
  <c r="S103" i="9" s="1"/>
  <c r="S94" i="9" a="1"/>
  <c r="S94" i="9" s="1"/>
  <c r="S99" i="9" a="1"/>
  <c r="S99" i="9" s="1"/>
  <c r="S92" i="9" a="1"/>
  <c r="S92" i="9" s="1"/>
  <c r="S106" i="9" a="1"/>
  <c r="S106" i="9" s="1"/>
  <c r="S97" i="9" a="1"/>
  <c r="S97" i="9" s="1"/>
  <c r="S113" i="9" a="1"/>
  <c r="S113" i="9" s="1"/>
  <c r="S95" i="9" a="1"/>
  <c r="S95" i="9" s="1"/>
  <c r="S100" i="9" a="1"/>
  <c r="S100" i="9" s="1"/>
  <c r="S101" i="9" a="1"/>
  <c r="S101" i="9" s="1"/>
  <c r="S90" i="9" a="1"/>
  <c r="S90" i="9" s="1"/>
  <c r="S93" i="9" a="1"/>
  <c r="S93" i="9" s="1"/>
  <c r="S83" i="9" a="1"/>
  <c r="S83" i="9" s="1"/>
  <c r="S96" i="9" a="1"/>
  <c r="S96" i="9" s="1"/>
  <c r="S88" i="9" a="1"/>
  <c r="S88" i="9" s="1"/>
  <c r="S81" i="9" a="1"/>
  <c r="S81" i="9" s="1"/>
  <c r="S91" i="9" a="1"/>
  <c r="S91" i="9" s="1"/>
  <c r="S86" i="9" a="1"/>
  <c r="S86" i="9" s="1"/>
  <c r="S118" i="9" a="1"/>
  <c r="S118" i="9" s="1"/>
  <c r="S98" i="9" a="1"/>
  <c r="S98" i="9" s="1"/>
  <c r="S84" i="9" a="1"/>
  <c r="S84" i="9" s="1"/>
  <c r="S89" i="9" a="1"/>
  <c r="S89" i="9" s="1"/>
  <c r="S82" i="9" a="1"/>
  <c r="S82" i="9" s="1"/>
  <c r="S87" i="9" a="1"/>
  <c r="S87" i="9" s="1"/>
  <c r="S79" i="9" a="1"/>
  <c r="S79" i="9" s="1"/>
  <c r="S67" i="9" a="1"/>
  <c r="S67" i="9" s="1"/>
  <c r="S72" i="9" a="1"/>
  <c r="S72" i="9" s="1"/>
  <c r="S77" i="9" a="1"/>
  <c r="S77" i="9" s="1"/>
  <c r="S70" i="9" a="1"/>
  <c r="S70" i="9" s="1"/>
  <c r="S75" i="9" a="1"/>
  <c r="S75" i="9" s="1"/>
  <c r="S68" i="9" a="1"/>
  <c r="S68" i="9" s="1"/>
  <c r="S73" i="9" a="1"/>
  <c r="S73" i="9" s="1"/>
  <c r="S78" i="9" a="1"/>
  <c r="S78" i="9" s="1"/>
  <c r="S71" i="9" a="1"/>
  <c r="S71" i="9" s="1"/>
  <c r="S85" i="9" a="1"/>
  <c r="S85" i="9" s="1"/>
  <c r="S80" i="9" a="1"/>
  <c r="S80" i="9" s="1"/>
  <c r="S76" i="9" a="1"/>
  <c r="S76" i="9" s="1"/>
  <c r="S60" i="9" a="1"/>
  <c r="S60" i="9" s="1"/>
  <c r="S48" i="9" a="1"/>
  <c r="S48" i="9" s="1"/>
  <c r="S65" i="9" a="1"/>
  <c r="S65" i="9" s="1"/>
  <c r="S53" i="9" a="1"/>
  <c r="S53" i="9" s="1"/>
  <c r="S41" i="9" a="1"/>
  <c r="S41" i="9" s="1"/>
  <c r="S58" i="9" a="1"/>
  <c r="S58" i="9" s="1"/>
  <c r="S46" i="9" a="1"/>
  <c r="S46" i="9" s="1"/>
  <c r="S63" i="9" a="1"/>
  <c r="S63" i="9" s="1"/>
  <c r="S51" i="9" a="1"/>
  <c r="S51" i="9" s="1"/>
  <c r="S39" i="9" a="1"/>
  <c r="S39" i="9" s="1"/>
  <c r="S56" i="9" a="1"/>
  <c r="S56" i="9" s="1"/>
  <c r="S44" i="9" a="1"/>
  <c r="S44" i="9" s="1"/>
  <c r="S61" i="9" a="1"/>
  <c r="S61" i="9" s="1"/>
  <c r="S49" i="9" a="1"/>
  <c r="S49" i="9" s="1"/>
  <c r="S66" i="9" a="1"/>
  <c r="S66" i="9" s="1"/>
  <c r="S54" i="9" a="1"/>
  <c r="S54" i="9" s="1"/>
  <c r="S42" i="9" a="1"/>
  <c r="S42" i="9" s="1"/>
  <c r="S74" i="9" a="1"/>
  <c r="S74" i="9" s="1"/>
  <c r="S69" i="9" a="1"/>
  <c r="S69" i="9" s="1"/>
  <c r="S59" i="9" a="1"/>
  <c r="S59" i="9" s="1"/>
  <c r="S47" i="9" a="1"/>
  <c r="S47" i="9" s="1"/>
  <c r="S64" i="9" a="1"/>
  <c r="S64" i="9" s="1"/>
  <c r="S52" i="9" a="1"/>
  <c r="S52" i="9" s="1"/>
  <c r="S36" i="9" a="1"/>
  <c r="S36" i="9" s="1"/>
  <c r="S24" i="9" a="1"/>
  <c r="S24" i="9" s="1"/>
  <c r="S29" i="9" a="1"/>
  <c r="S29" i="9" s="1"/>
  <c r="S17" i="9" a="1"/>
  <c r="S17" i="9" s="1"/>
  <c r="S55" i="9" a="1"/>
  <c r="S55" i="9" s="1"/>
  <c r="S43" i="9" a="1"/>
  <c r="S43" i="9" s="1"/>
  <c r="S34" i="9" a="1"/>
  <c r="S34" i="9" s="1"/>
  <c r="S22" i="9" a="1"/>
  <c r="S22" i="9" s="1"/>
  <c r="S32" i="9" a="1"/>
  <c r="S32" i="9" s="1"/>
  <c r="S20" i="9" a="1"/>
  <c r="S20" i="9" s="1"/>
  <c r="S57" i="9" a="1"/>
  <c r="S57" i="9" s="1"/>
  <c r="S45" i="9" a="1"/>
  <c r="S45" i="9" s="1"/>
  <c r="S40" i="9" a="1"/>
  <c r="S40" i="9" s="1"/>
  <c r="S37" i="9" a="1"/>
  <c r="S37" i="9" s="1"/>
  <c r="S25" i="9" a="1"/>
  <c r="S25" i="9" s="1"/>
  <c r="S35" i="9" a="1"/>
  <c r="S35" i="9" s="1"/>
  <c r="S23" i="9" a="1"/>
  <c r="S23" i="9" s="1"/>
  <c r="S28" i="9" a="1"/>
  <c r="S28" i="9" s="1"/>
  <c r="S62" i="9" a="1"/>
  <c r="S62" i="9" s="1"/>
  <c r="S50" i="9" a="1"/>
  <c r="S50" i="9" s="1"/>
  <c r="S33" i="9" a="1"/>
  <c r="S33" i="9" s="1"/>
  <c r="S27" i="9" a="1"/>
  <c r="S27" i="9" s="1"/>
  <c r="S26" i="9" a="1"/>
  <c r="S26" i="9" s="1"/>
  <c r="S15" i="9" a="1"/>
  <c r="S15" i="9" s="1"/>
  <c r="S30" i="9" a="1"/>
  <c r="S30" i="9" s="1"/>
  <c r="S13" i="9" a="1"/>
  <c r="S13" i="9" s="1"/>
  <c r="S19" i="9" a="1"/>
  <c r="S19" i="9" s="1"/>
  <c r="S6" i="9" a="1"/>
  <c r="S6" i="9" s="1"/>
  <c r="S11" i="9" a="1"/>
  <c r="S11" i="9" s="1"/>
  <c r="S38" i="9" a="1"/>
  <c r="S38" i="9" s="1"/>
  <c r="S18" i="9" a="1"/>
  <c r="S18" i="9" s="1"/>
  <c r="S16" i="9" a="1"/>
  <c r="S16" i="9" s="1"/>
  <c r="S9" i="9" a="1"/>
  <c r="S9" i="9" s="1"/>
  <c r="S14" i="9" a="1"/>
  <c r="S14" i="9" s="1"/>
  <c r="S12" i="9" a="1"/>
  <c r="S12" i="9" s="1"/>
  <c r="S31" i="9" a="1"/>
  <c r="S31" i="9" s="1"/>
  <c r="S21" i="9" a="1"/>
  <c r="S21" i="9" s="1"/>
  <c r="AE133" i="9" a="1"/>
  <c r="AE133" i="9" s="1"/>
  <c r="AE132" i="9" a="1"/>
  <c r="AE132" i="9" s="1"/>
  <c r="AE131" i="9" a="1"/>
  <c r="AE131" i="9" s="1"/>
  <c r="AE135" i="9" a="1"/>
  <c r="AE135" i="9" s="1"/>
  <c r="AE124" i="9" a="1"/>
  <c r="AE124" i="9" s="1"/>
  <c r="AE129" i="9" a="1"/>
  <c r="AE129" i="9" s="1"/>
  <c r="AE123" i="9" a="1"/>
  <c r="AE123" i="9" s="1"/>
  <c r="AE121" i="9" a="1"/>
  <c r="AE121" i="9" s="1"/>
  <c r="AE127" i="9" a="1"/>
  <c r="AE127" i="9" s="1"/>
  <c r="AE126" i="9" a="1"/>
  <c r="AE126" i="9" s="1"/>
  <c r="AE125" i="9" a="1"/>
  <c r="AE125" i="9" s="1"/>
  <c r="AE130" i="9" a="1"/>
  <c r="AE130" i="9" s="1"/>
  <c r="AE120" i="9" a="1"/>
  <c r="AE120" i="9" s="1"/>
  <c r="AE116" i="9" a="1"/>
  <c r="AE116" i="9" s="1"/>
  <c r="AE122" i="9" a="1"/>
  <c r="AE122" i="9" s="1"/>
  <c r="AE114" i="9" a="1"/>
  <c r="AE114" i="9" s="1"/>
  <c r="AE119" i="9" a="1"/>
  <c r="AE119" i="9" s="1"/>
  <c r="AE128" i="9" a="1"/>
  <c r="AE128" i="9" s="1"/>
  <c r="AE117" i="9" a="1"/>
  <c r="AE117" i="9" s="1"/>
  <c r="AE136" i="9" a="1"/>
  <c r="AE136" i="9" s="1"/>
  <c r="AE115" i="9" a="1"/>
  <c r="AE115" i="9" s="1"/>
  <c r="AE134" i="9" a="1"/>
  <c r="AE134" i="9" s="1"/>
  <c r="AE111" i="9" a="1"/>
  <c r="AE111" i="9" s="1"/>
  <c r="AE109" i="9" a="1"/>
  <c r="AE109" i="9" s="1"/>
  <c r="AE102" i="9" a="1"/>
  <c r="AE102" i="9" s="1"/>
  <c r="AE107" i="9" a="1"/>
  <c r="AE107" i="9" s="1"/>
  <c r="AE118" i="9" a="1"/>
  <c r="AE118" i="9" s="1"/>
  <c r="AE105" i="9" a="1"/>
  <c r="AE105" i="9" s="1"/>
  <c r="AE110" i="9" a="1"/>
  <c r="AE110" i="9" s="1"/>
  <c r="AE113" i="9" a="1"/>
  <c r="AE113" i="9" s="1"/>
  <c r="AE112" i="9" a="1"/>
  <c r="AE112" i="9" s="1"/>
  <c r="AE108" i="9" a="1"/>
  <c r="AE108" i="9" s="1"/>
  <c r="AE94" i="9" a="1"/>
  <c r="AE94" i="9" s="1"/>
  <c r="AE104" i="9" a="1"/>
  <c r="AE104" i="9" s="1"/>
  <c r="AE99" i="9" a="1"/>
  <c r="AE99" i="9" s="1"/>
  <c r="AE92" i="9" a="1"/>
  <c r="AE92" i="9" s="1"/>
  <c r="AE97" i="9" a="1"/>
  <c r="AE97" i="9" s="1"/>
  <c r="AE103" i="9" a="1"/>
  <c r="AE103" i="9" s="1"/>
  <c r="AE101" i="9" a="1"/>
  <c r="AE101" i="9" s="1"/>
  <c r="AE95" i="9" a="1"/>
  <c r="AE95" i="9" s="1"/>
  <c r="AE100" i="9" a="1"/>
  <c r="AE100" i="9" s="1"/>
  <c r="AE98" i="9" a="1"/>
  <c r="AE98" i="9" s="1"/>
  <c r="AE90" i="9" a="1"/>
  <c r="AE90" i="9" s="1"/>
  <c r="AE106" i="9" a="1"/>
  <c r="AE106" i="9" s="1"/>
  <c r="AE83" i="9" a="1"/>
  <c r="AE83" i="9" s="1"/>
  <c r="AE88" i="9" a="1"/>
  <c r="AE88" i="9" s="1"/>
  <c r="AE81" i="9" a="1"/>
  <c r="AE81" i="9" s="1"/>
  <c r="AE86" i="9" a="1"/>
  <c r="AE86" i="9" s="1"/>
  <c r="AE84" i="9" a="1"/>
  <c r="AE84" i="9" s="1"/>
  <c r="AE93" i="9" a="1"/>
  <c r="AE93" i="9" s="1"/>
  <c r="AE89" i="9" a="1"/>
  <c r="AE89" i="9" s="1"/>
  <c r="AE96" i="9" a="1"/>
  <c r="AE96" i="9" s="1"/>
  <c r="AE82" i="9" a="1"/>
  <c r="AE82" i="9" s="1"/>
  <c r="AE87" i="9" a="1"/>
  <c r="AE87" i="9" s="1"/>
  <c r="AE79" i="9" a="1"/>
  <c r="AE79" i="9" s="1"/>
  <c r="AE67" i="9" a="1"/>
  <c r="AE67" i="9" s="1"/>
  <c r="AE72" i="9" a="1"/>
  <c r="AE72" i="9" s="1"/>
  <c r="AE91" i="9" a="1"/>
  <c r="AE91" i="9" s="1"/>
  <c r="AE77" i="9" a="1"/>
  <c r="AE77" i="9" s="1"/>
  <c r="AE70" i="9" a="1"/>
  <c r="AE70" i="9" s="1"/>
  <c r="AE75" i="9" a="1"/>
  <c r="AE75" i="9" s="1"/>
  <c r="AE85" i="9" a="1"/>
  <c r="AE85" i="9" s="1"/>
  <c r="AE80" i="9" a="1"/>
  <c r="AE80" i="9" s="1"/>
  <c r="AE68" i="9" a="1"/>
  <c r="AE68" i="9" s="1"/>
  <c r="AE73" i="9" a="1"/>
  <c r="AE73" i="9" s="1"/>
  <c r="AE78" i="9" a="1"/>
  <c r="AE78" i="9" s="1"/>
  <c r="AE71" i="9" a="1"/>
  <c r="AE71" i="9" s="1"/>
  <c r="AE76" i="9" a="1"/>
  <c r="AE76" i="9" s="1"/>
  <c r="AE60" i="9" a="1"/>
  <c r="AE60" i="9" s="1"/>
  <c r="AE48" i="9" a="1"/>
  <c r="AE48" i="9" s="1"/>
  <c r="AE65" i="9" a="1"/>
  <c r="AE65" i="9" s="1"/>
  <c r="AE53" i="9" a="1"/>
  <c r="AE53" i="9" s="1"/>
  <c r="AE41" i="9" a="1"/>
  <c r="AE41" i="9" s="1"/>
  <c r="AE58" i="9" a="1"/>
  <c r="AE58" i="9" s="1"/>
  <c r="AE46" i="9" a="1"/>
  <c r="AE46" i="9" s="1"/>
  <c r="AE74" i="9" a="1"/>
  <c r="AE74" i="9" s="1"/>
  <c r="AE69" i="9" a="1"/>
  <c r="AE69" i="9" s="1"/>
  <c r="AE63" i="9" a="1"/>
  <c r="AE63" i="9" s="1"/>
  <c r="AE51" i="9" a="1"/>
  <c r="AE51" i="9" s="1"/>
  <c r="AE39" i="9" a="1"/>
  <c r="AE39" i="9" s="1"/>
  <c r="AE56" i="9" a="1"/>
  <c r="AE56" i="9" s="1"/>
  <c r="AE44" i="9" a="1"/>
  <c r="AE44" i="9" s="1"/>
  <c r="AE61" i="9" a="1"/>
  <c r="AE61" i="9" s="1"/>
  <c r="AE49" i="9" a="1"/>
  <c r="AE49" i="9" s="1"/>
  <c r="AE66" i="9" a="1"/>
  <c r="AE66" i="9" s="1"/>
  <c r="AE54" i="9" a="1"/>
  <c r="AE54" i="9" s="1"/>
  <c r="AE42" i="9" a="1"/>
  <c r="AE42" i="9" s="1"/>
  <c r="AE59" i="9" a="1"/>
  <c r="AE59" i="9" s="1"/>
  <c r="AE47" i="9" a="1"/>
  <c r="AE47" i="9" s="1"/>
  <c r="AE64" i="9" a="1"/>
  <c r="AE64" i="9" s="1"/>
  <c r="AE52" i="9" a="1"/>
  <c r="AE52" i="9" s="1"/>
  <c r="AE36" i="9" a="1"/>
  <c r="AE36" i="9" s="1"/>
  <c r="AE24" i="9" a="1"/>
  <c r="AE24" i="9" s="1"/>
  <c r="AE29" i="9" a="1"/>
  <c r="AE29" i="9" s="1"/>
  <c r="AE17" i="9" a="1"/>
  <c r="AE17" i="9" s="1"/>
  <c r="AE34" i="9" a="1"/>
  <c r="AE34" i="9" s="1"/>
  <c r="AE22" i="9" a="1"/>
  <c r="AE22" i="9" s="1"/>
  <c r="AE62" i="9" a="1"/>
  <c r="AE62" i="9" s="1"/>
  <c r="AE50" i="9" a="1"/>
  <c r="AE50" i="9" s="1"/>
  <c r="AE32" i="9" a="1"/>
  <c r="AE32" i="9" s="1"/>
  <c r="AE20" i="9" a="1"/>
  <c r="AE20" i="9" s="1"/>
  <c r="AE37" i="9" a="1"/>
  <c r="AE37" i="9" s="1"/>
  <c r="AE25" i="9" a="1"/>
  <c r="AE25" i="9" s="1"/>
  <c r="AE35" i="9" a="1"/>
  <c r="AE35" i="9" s="1"/>
  <c r="AE23" i="9" a="1"/>
  <c r="AE23" i="9" s="1"/>
  <c r="AE55" i="9" a="1"/>
  <c r="AE55" i="9" s="1"/>
  <c r="AE43" i="9" a="1"/>
  <c r="AE43" i="9" s="1"/>
  <c r="AE28" i="9" a="1"/>
  <c r="AE28" i="9" s="1"/>
  <c r="AE16" i="9" a="1"/>
  <c r="AE16" i="9" s="1"/>
  <c r="AE40" i="9" a="1"/>
  <c r="AE40" i="9" s="1"/>
  <c r="AE33" i="9" a="1"/>
  <c r="AE33" i="9" s="1"/>
  <c r="AE21" i="9" a="1"/>
  <c r="AE21" i="9" s="1"/>
  <c r="AE15" i="9" a="1"/>
  <c r="AE15" i="9" s="1"/>
  <c r="AE26" i="9" a="1"/>
  <c r="AE26" i="9" s="1"/>
  <c r="AE13" i="9" a="1"/>
  <c r="AE13" i="9" s="1"/>
  <c r="AE57" i="9" a="1"/>
  <c r="AE57" i="9" s="1"/>
  <c r="AE6" i="9" a="1"/>
  <c r="AE6" i="9" s="1"/>
  <c r="AE31" i="9" a="1"/>
  <c r="AE31" i="9" s="1"/>
  <c r="AE27" i="9" a="1"/>
  <c r="AE27" i="9" s="1"/>
  <c r="AE11" i="9" a="1"/>
  <c r="AE11" i="9" s="1"/>
  <c r="AE19" i="9" a="1"/>
  <c r="AE19" i="9" s="1"/>
  <c r="AE9" i="9" a="1"/>
  <c r="AE9" i="9" s="1"/>
  <c r="AE18" i="9" a="1"/>
  <c r="AE18" i="9" s="1"/>
  <c r="AE14" i="9" a="1"/>
  <c r="AE14" i="9" s="1"/>
  <c r="AE30" i="9" a="1"/>
  <c r="AE30" i="9" s="1"/>
  <c r="AE12" i="9" a="1"/>
  <c r="AE12" i="9" s="1"/>
  <c r="AE45" i="9" a="1"/>
  <c r="AE45" i="9" s="1"/>
  <c r="AE38" i="9" a="1"/>
  <c r="AE38" i="9" s="1"/>
  <c r="AQ133" i="9" a="1"/>
  <c r="AQ133" i="9" s="1"/>
  <c r="AQ136" i="9" a="1"/>
  <c r="AQ136" i="9" s="1"/>
  <c r="AQ132" i="9" a="1"/>
  <c r="AQ132" i="9" s="1"/>
  <c r="AQ134" i="9" a="1"/>
  <c r="AQ134" i="9" s="1"/>
  <c r="AQ131" i="9" a="1"/>
  <c r="AQ131" i="9" s="1"/>
  <c r="AQ127" i="9" a="1"/>
  <c r="AQ127" i="9" s="1"/>
  <c r="AQ129" i="9" a="1"/>
  <c r="AQ129" i="9" s="1"/>
  <c r="AQ124" i="9" a="1"/>
  <c r="AQ124" i="9" s="1"/>
  <c r="AQ135" i="9" a="1"/>
  <c r="AQ135" i="9" s="1"/>
  <c r="AQ130" i="9" a="1"/>
  <c r="AQ130" i="9" s="1"/>
  <c r="AQ126" i="9" a="1"/>
  <c r="AQ126" i="9" s="1"/>
  <c r="AQ125" i="9" a="1"/>
  <c r="AQ125" i="9" s="1"/>
  <c r="AQ121" i="9" a="1"/>
  <c r="AQ121" i="9" s="1"/>
  <c r="AQ123" i="9" a="1"/>
  <c r="AQ123" i="9" s="1"/>
  <c r="AQ116" i="9" a="1"/>
  <c r="AQ116" i="9" s="1"/>
  <c r="AQ114" i="9" a="1"/>
  <c r="AQ114" i="9" s="1"/>
  <c r="AQ128" i="9" a="1"/>
  <c r="AQ128" i="9" s="1"/>
  <c r="AQ122" i="9" a="1"/>
  <c r="AQ122" i="9" s="1"/>
  <c r="AQ119" i="9" a="1"/>
  <c r="AQ119" i="9" s="1"/>
  <c r="AQ117" i="9" a="1"/>
  <c r="AQ117" i="9" s="1"/>
  <c r="AQ115" i="9" a="1"/>
  <c r="AQ115" i="9" s="1"/>
  <c r="AQ120" i="9" a="1"/>
  <c r="AQ120" i="9" s="1"/>
  <c r="AQ111" i="9" a="1"/>
  <c r="AQ111" i="9" s="1"/>
  <c r="AQ109" i="9" a="1"/>
  <c r="AQ109" i="9" s="1"/>
  <c r="AQ102" i="9" a="1"/>
  <c r="AQ102" i="9" s="1"/>
  <c r="AQ107" i="9" a="1"/>
  <c r="AQ107" i="9" s="1"/>
  <c r="AQ105" i="9" a="1"/>
  <c r="AQ105" i="9" s="1"/>
  <c r="AQ110" i="9" a="1"/>
  <c r="AQ110" i="9" s="1"/>
  <c r="AQ118" i="9" a="1"/>
  <c r="AQ118" i="9" s="1"/>
  <c r="AQ108" i="9" a="1"/>
  <c r="AQ108" i="9" s="1"/>
  <c r="AQ112" i="9" a="1"/>
  <c r="AQ112" i="9" s="1"/>
  <c r="AQ106" i="9" a="1"/>
  <c r="AQ106" i="9" s="1"/>
  <c r="AQ94" i="9" a="1"/>
  <c r="AQ94" i="9" s="1"/>
  <c r="AQ99" i="9" a="1"/>
  <c r="AQ99" i="9" s="1"/>
  <c r="AQ92" i="9" a="1"/>
  <c r="AQ92" i="9" s="1"/>
  <c r="AQ97" i="9" a="1"/>
  <c r="AQ97" i="9" s="1"/>
  <c r="AQ101" i="9" a="1"/>
  <c r="AQ101" i="9" s="1"/>
  <c r="AQ90" i="9" a="1"/>
  <c r="AQ90" i="9" s="1"/>
  <c r="AQ104" i="9" a="1"/>
  <c r="AQ104" i="9" s="1"/>
  <c r="AQ95" i="9" a="1"/>
  <c r="AQ95" i="9" s="1"/>
  <c r="AQ100" i="9" a="1"/>
  <c r="AQ100" i="9" s="1"/>
  <c r="AQ113" i="9" a="1"/>
  <c r="AQ113" i="9" s="1"/>
  <c r="AQ93" i="9" a="1"/>
  <c r="AQ93" i="9" s="1"/>
  <c r="AQ83" i="9" a="1"/>
  <c r="AQ83" i="9" s="1"/>
  <c r="AQ96" i="9" a="1"/>
  <c r="AQ96" i="9" s="1"/>
  <c r="AQ88" i="9" a="1"/>
  <c r="AQ88" i="9" s="1"/>
  <c r="AQ81" i="9" a="1"/>
  <c r="AQ81" i="9" s="1"/>
  <c r="AQ91" i="9" a="1"/>
  <c r="AQ91" i="9" s="1"/>
  <c r="AQ86" i="9" a="1"/>
  <c r="AQ86" i="9" s="1"/>
  <c r="AQ98" i="9" a="1"/>
  <c r="AQ98" i="9" s="1"/>
  <c r="AQ84" i="9" a="1"/>
  <c r="AQ84" i="9" s="1"/>
  <c r="AQ103" i="9" a="1"/>
  <c r="AQ103" i="9" s="1"/>
  <c r="AQ89" i="9" a="1"/>
  <c r="AQ89" i="9" s="1"/>
  <c r="AQ82" i="9" a="1"/>
  <c r="AQ82" i="9" s="1"/>
  <c r="AQ87" i="9" a="1"/>
  <c r="AQ87" i="9" s="1"/>
  <c r="AQ79" i="9" a="1"/>
  <c r="AQ79" i="9" s="1"/>
  <c r="AQ67" i="9" a="1"/>
  <c r="AQ67" i="9" s="1"/>
  <c r="AQ85" i="9" a="1"/>
  <c r="AQ85" i="9" s="1"/>
  <c r="AQ80" i="9" a="1"/>
  <c r="AQ80" i="9" s="1"/>
  <c r="AQ72" i="9" a="1"/>
  <c r="AQ72" i="9" s="1"/>
  <c r="AQ77" i="9" a="1"/>
  <c r="AQ77" i="9" s="1"/>
  <c r="AQ70" i="9" a="1"/>
  <c r="AQ70" i="9" s="1"/>
  <c r="AQ75" i="9" a="1"/>
  <c r="AQ75" i="9" s="1"/>
  <c r="AQ68" i="9" a="1"/>
  <c r="AQ68" i="9" s="1"/>
  <c r="AQ73" i="9" a="1"/>
  <c r="AQ73" i="9" s="1"/>
  <c r="AQ78" i="9" a="1"/>
  <c r="AQ78" i="9" s="1"/>
  <c r="AQ71" i="9" a="1"/>
  <c r="AQ71" i="9" s="1"/>
  <c r="AQ76" i="9" a="1"/>
  <c r="AQ76" i="9" s="1"/>
  <c r="AQ60" i="9" a="1"/>
  <c r="AQ60" i="9" s="1"/>
  <c r="AQ48" i="9" a="1"/>
  <c r="AQ48" i="9" s="1"/>
  <c r="AQ65" i="9" a="1"/>
  <c r="AQ65" i="9" s="1"/>
  <c r="AQ53" i="9" a="1"/>
  <c r="AQ53" i="9" s="1"/>
  <c r="AQ41" i="9" a="1"/>
  <c r="AQ41" i="9" s="1"/>
  <c r="AQ58" i="9" a="1"/>
  <c r="AQ58" i="9" s="1"/>
  <c r="AQ46" i="9" a="1"/>
  <c r="AQ46" i="9" s="1"/>
  <c r="AQ63" i="9" a="1"/>
  <c r="AQ63" i="9" s="1"/>
  <c r="AQ51" i="9" a="1"/>
  <c r="AQ51" i="9" s="1"/>
  <c r="AQ39" i="9" a="1"/>
  <c r="AQ39" i="9" s="1"/>
  <c r="AQ56" i="9" a="1"/>
  <c r="AQ56" i="9" s="1"/>
  <c r="AQ44" i="9" a="1"/>
  <c r="AQ44" i="9" s="1"/>
  <c r="AQ61" i="9" a="1"/>
  <c r="AQ61" i="9" s="1"/>
  <c r="AQ49" i="9" a="1"/>
  <c r="AQ49" i="9" s="1"/>
  <c r="AQ54" i="9" a="1"/>
  <c r="AQ54" i="9" s="1"/>
  <c r="AQ42" i="9" a="1"/>
  <c r="AQ42" i="9" s="1"/>
  <c r="AQ59" i="9" a="1"/>
  <c r="AQ59" i="9" s="1"/>
  <c r="AQ47" i="9" a="1"/>
  <c r="AQ47" i="9" s="1"/>
  <c r="AQ66" i="9" a="1"/>
  <c r="AQ66" i="9" s="1"/>
  <c r="AQ64" i="9" a="1"/>
  <c r="AQ64" i="9" s="1"/>
  <c r="AQ52" i="9" a="1"/>
  <c r="AQ52" i="9" s="1"/>
  <c r="AQ36" i="9" a="1"/>
  <c r="AQ36" i="9" s="1"/>
  <c r="AQ24" i="9" a="1"/>
  <c r="AQ24" i="9" s="1"/>
  <c r="AQ74" i="9" a="1"/>
  <c r="AQ74" i="9" s="1"/>
  <c r="AQ40" i="9" a="1"/>
  <c r="AQ40" i="9" s="1"/>
  <c r="AQ29" i="9" a="1"/>
  <c r="AQ29" i="9" s="1"/>
  <c r="AQ17" i="9" a="1"/>
  <c r="AQ17" i="9" s="1"/>
  <c r="AQ55" i="9" a="1"/>
  <c r="AQ55" i="9" s="1"/>
  <c r="AQ43" i="9" a="1"/>
  <c r="AQ43" i="9" s="1"/>
  <c r="AQ34" i="9" a="1"/>
  <c r="AQ34" i="9" s="1"/>
  <c r="AQ22" i="9" a="1"/>
  <c r="AQ22" i="9" s="1"/>
  <c r="AQ69" i="9" a="1"/>
  <c r="AQ69" i="9" s="1"/>
  <c r="AQ32" i="9" a="1"/>
  <c r="AQ32" i="9" s="1"/>
  <c r="AQ20" i="9" a="1"/>
  <c r="AQ20" i="9" s="1"/>
  <c r="AQ57" i="9" a="1"/>
  <c r="AQ57" i="9" s="1"/>
  <c r="AQ45" i="9" a="1"/>
  <c r="AQ45" i="9" s="1"/>
  <c r="AQ37" i="9" a="1"/>
  <c r="AQ37" i="9" s="1"/>
  <c r="AQ25" i="9" a="1"/>
  <c r="AQ25" i="9" s="1"/>
  <c r="AQ35" i="9" a="1"/>
  <c r="AQ35" i="9" s="1"/>
  <c r="AQ23" i="9" a="1"/>
  <c r="AQ23" i="9" s="1"/>
  <c r="AQ28" i="9" a="1"/>
  <c r="AQ28" i="9" s="1"/>
  <c r="AQ16" i="9" a="1"/>
  <c r="AQ16" i="9" s="1"/>
  <c r="AQ62" i="9" a="1"/>
  <c r="AQ62" i="9" s="1"/>
  <c r="AQ50" i="9" a="1"/>
  <c r="AQ50" i="9" s="1"/>
  <c r="AQ33" i="9" a="1"/>
  <c r="AQ33" i="9" s="1"/>
  <c r="AQ15" i="9" a="1"/>
  <c r="AQ15" i="9" s="1"/>
  <c r="AQ30" i="9" a="1"/>
  <c r="AQ30" i="9" s="1"/>
  <c r="AQ21" i="9" a="1"/>
  <c r="AQ21" i="9" s="1"/>
  <c r="AQ13" i="9" a="1"/>
  <c r="AQ13" i="9" s="1"/>
  <c r="AQ6" i="9" a="1"/>
  <c r="AQ6" i="9" s="1"/>
  <c r="AQ26" i="9" a="1"/>
  <c r="AQ26" i="9" s="1"/>
  <c r="AQ11" i="9" a="1"/>
  <c r="AQ11" i="9" s="1"/>
  <c r="AQ38" i="9" a="1"/>
  <c r="AQ38" i="9" s="1"/>
  <c r="AQ9" i="9" a="1"/>
  <c r="AQ9" i="9" s="1"/>
  <c r="AQ19" i="9" a="1"/>
  <c r="AQ19" i="9" s="1"/>
  <c r="AQ14" i="9" a="1"/>
  <c r="AQ14" i="9" s="1"/>
  <c r="AQ27" i="9" a="1"/>
  <c r="AQ27" i="9" s="1"/>
  <c r="AQ18" i="9" a="1"/>
  <c r="AQ18" i="9" s="1"/>
  <c r="AQ12" i="9" a="1"/>
  <c r="AQ12" i="9" s="1"/>
  <c r="AQ31" i="9" a="1"/>
  <c r="AQ31" i="9" s="1"/>
  <c r="BC134" i="9" a="1"/>
  <c r="BC134" i="9" s="1"/>
  <c r="BC133" i="9" a="1"/>
  <c r="BC133" i="9" s="1"/>
  <c r="BC131" i="9" a="1"/>
  <c r="BC131" i="9" s="1"/>
  <c r="BC136" i="9" a="1"/>
  <c r="BC136" i="9" s="1"/>
  <c r="BC127" i="9" a="1"/>
  <c r="BC127" i="9" s="1"/>
  <c r="BC132" i="9" a="1"/>
  <c r="BC132" i="9" s="1"/>
  <c r="BC129" i="9" a="1"/>
  <c r="BC129" i="9" s="1"/>
  <c r="BC124" i="9" a="1"/>
  <c r="BC124" i="9" s="1"/>
  <c r="BC128" i="9" a="1"/>
  <c r="BC128" i="9" s="1"/>
  <c r="BC126" i="9" a="1"/>
  <c r="BC126" i="9" s="1"/>
  <c r="BC125" i="9" a="1"/>
  <c r="BC125" i="9" s="1"/>
  <c r="BC121" i="9" a="1"/>
  <c r="BC121" i="9" s="1"/>
  <c r="BC119" i="9" a="1"/>
  <c r="BC119" i="9" s="1"/>
  <c r="BC135" i="9" a="1"/>
  <c r="BC135" i="9" s="1"/>
  <c r="BC130" i="9" a="1"/>
  <c r="BC130" i="9" s="1"/>
  <c r="BC116" i="9" a="1"/>
  <c r="BC116" i="9" s="1"/>
  <c r="BC123" i="9" a="1"/>
  <c r="BC123" i="9" s="1"/>
  <c r="BC114" i="9" a="1"/>
  <c r="BC114" i="9" s="1"/>
  <c r="BC117" i="9" a="1"/>
  <c r="BC117" i="9" s="1"/>
  <c r="BC122" i="9" a="1"/>
  <c r="BC122" i="9" s="1"/>
  <c r="BC115" i="9" a="1"/>
  <c r="BC115" i="9" s="1"/>
  <c r="BC111" i="9" a="1"/>
  <c r="BC111" i="9" s="1"/>
  <c r="BC109" i="9" a="1"/>
  <c r="BC109" i="9" s="1"/>
  <c r="BC102" i="9" a="1"/>
  <c r="BC102" i="9" s="1"/>
  <c r="BC120" i="9" a="1"/>
  <c r="BC120" i="9" s="1"/>
  <c r="BC107" i="9" a="1"/>
  <c r="BC107" i="9" s="1"/>
  <c r="BC112" i="9" a="1"/>
  <c r="BC112" i="9" s="1"/>
  <c r="BC105" i="9" a="1"/>
  <c r="BC105" i="9" s="1"/>
  <c r="BC110" i="9" a="1"/>
  <c r="BC110" i="9" s="1"/>
  <c r="BC108" i="9" a="1"/>
  <c r="BC108" i="9" s="1"/>
  <c r="BC104" i="9" a="1"/>
  <c r="BC104" i="9" s="1"/>
  <c r="BC100" i="9" a="1"/>
  <c r="BC100" i="9" s="1"/>
  <c r="BC103" i="9" a="1"/>
  <c r="BC103" i="9" s="1"/>
  <c r="BC94" i="9" a="1"/>
  <c r="BC94" i="9" s="1"/>
  <c r="BC99" i="9" a="1"/>
  <c r="BC99" i="9" s="1"/>
  <c r="BC118" i="9" a="1"/>
  <c r="BC118" i="9" s="1"/>
  <c r="BC92" i="9" a="1"/>
  <c r="BC92" i="9" s="1"/>
  <c r="BC113" i="9" a="1"/>
  <c r="BC113" i="9" s="1"/>
  <c r="BC106" i="9" a="1"/>
  <c r="BC106" i="9" s="1"/>
  <c r="BC97" i="9" a="1"/>
  <c r="BC97" i="9" s="1"/>
  <c r="BC90" i="9" a="1"/>
  <c r="BC90" i="9" s="1"/>
  <c r="BC101" i="9" a="1"/>
  <c r="BC101" i="9" s="1"/>
  <c r="BC95" i="9" a="1"/>
  <c r="BC95" i="9" s="1"/>
  <c r="BC98" i="9" a="1"/>
  <c r="BC98" i="9" s="1"/>
  <c r="BC83" i="9" a="1"/>
  <c r="BC83" i="9" s="1"/>
  <c r="BC88" i="9" a="1"/>
  <c r="BC88" i="9" s="1"/>
  <c r="BC81" i="9" a="1"/>
  <c r="BC81" i="9" s="1"/>
  <c r="BC86" i="9" a="1"/>
  <c r="BC86" i="9" s="1"/>
  <c r="BC84" i="9" a="1"/>
  <c r="BC84" i="9" s="1"/>
  <c r="BC93" i="9" a="1"/>
  <c r="BC93" i="9" s="1"/>
  <c r="BC89" i="9" a="1"/>
  <c r="BC89" i="9" s="1"/>
  <c r="BC96" i="9" a="1"/>
  <c r="BC96" i="9" s="1"/>
  <c r="BC82" i="9" a="1"/>
  <c r="BC82" i="9" s="1"/>
  <c r="BC87" i="9" a="1"/>
  <c r="BC87" i="9" s="1"/>
  <c r="BC67" i="9" a="1"/>
  <c r="BC67" i="9" s="1"/>
  <c r="BC72" i="9" a="1"/>
  <c r="BC72" i="9" s="1"/>
  <c r="BC77" i="9" a="1"/>
  <c r="BC77" i="9" s="1"/>
  <c r="BC70" i="9" a="1"/>
  <c r="BC70" i="9" s="1"/>
  <c r="BC75" i="9" a="1"/>
  <c r="BC75" i="9" s="1"/>
  <c r="BC79" i="9" a="1"/>
  <c r="BC79" i="9" s="1"/>
  <c r="BC68" i="9" a="1"/>
  <c r="BC68" i="9" s="1"/>
  <c r="BC73" i="9" a="1"/>
  <c r="BC73" i="9" s="1"/>
  <c r="BC78" i="9" a="1"/>
  <c r="BC78" i="9" s="1"/>
  <c r="BC66" i="9" a="1"/>
  <c r="BC66" i="9" s="1"/>
  <c r="BC91" i="9" a="1"/>
  <c r="BC91" i="9" s="1"/>
  <c r="BC71" i="9" a="1"/>
  <c r="BC71" i="9" s="1"/>
  <c r="BC85" i="9" a="1"/>
  <c r="BC85" i="9" s="1"/>
  <c r="BC80" i="9" a="1"/>
  <c r="BC80" i="9" s="1"/>
  <c r="BC76" i="9" a="1"/>
  <c r="BC76" i="9" s="1"/>
  <c r="BC60" i="9" a="1"/>
  <c r="BC60" i="9" s="1"/>
  <c r="BC48" i="9" a="1"/>
  <c r="BC48" i="9" s="1"/>
  <c r="BC65" i="9" a="1"/>
  <c r="BC65" i="9" s="1"/>
  <c r="BC53" i="9" a="1"/>
  <c r="BC53" i="9" s="1"/>
  <c r="BC41" i="9" a="1"/>
  <c r="BC41" i="9" s="1"/>
  <c r="BC58" i="9" a="1"/>
  <c r="BC58" i="9" s="1"/>
  <c r="BC46" i="9" a="1"/>
  <c r="BC46" i="9" s="1"/>
  <c r="BC63" i="9" a="1"/>
  <c r="BC63" i="9" s="1"/>
  <c r="BC51" i="9" a="1"/>
  <c r="BC51" i="9" s="1"/>
  <c r="BC39" i="9" a="1"/>
  <c r="BC39" i="9" s="1"/>
  <c r="BC56" i="9" a="1"/>
  <c r="BC56" i="9" s="1"/>
  <c r="BC44" i="9" a="1"/>
  <c r="BC44" i="9" s="1"/>
  <c r="BC61" i="9" a="1"/>
  <c r="BC61" i="9" s="1"/>
  <c r="BC49" i="9" a="1"/>
  <c r="BC49" i="9" s="1"/>
  <c r="BC54" i="9" a="1"/>
  <c r="BC54" i="9" s="1"/>
  <c r="BC42" i="9" a="1"/>
  <c r="BC42" i="9" s="1"/>
  <c r="BC74" i="9" a="1"/>
  <c r="BC74" i="9" s="1"/>
  <c r="BC69" i="9" a="1"/>
  <c r="BC69" i="9" s="1"/>
  <c r="BC59" i="9" a="1"/>
  <c r="BC59" i="9" s="1"/>
  <c r="BC47" i="9" a="1"/>
  <c r="BC47" i="9" s="1"/>
  <c r="BC64" i="9" a="1"/>
  <c r="BC64" i="9" s="1"/>
  <c r="BC52" i="9" a="1"/>
  <c r="BC52" i="9" s="1"/>
  <c r="BC36" i="9" a="1"/>
  <c r="BC36" i="9" s="1"/>
  <c r="BC24" i="9" a="1"/>
  <c r="BC24" i="9" s="1"/>
  <c r="BC29" i="9" a="1"/>
  <c r="BC29" i="9" s="1"/>
  <c r="BC17" i="9" a="1"/>
  <c r="BC17" i="9" s="1"/>
  <c r="BC34" i="9" a="1"/>
  <c r="BC34" i="9" s="1"/>
  <c r="BC22" i="9" a="1"/>
  <c r="BC22" i="9" s="1"/>
  <c r="BC62" i="9" a="1"/>
  <c r="BC62" i="9" s="1"/>
  <c r="BC50" i="9" a="1"/>
  <c r="BC50" i="9" s="1"/>
  <c r="BC32" i="9" a="1"/>
  <c r="BC32" i="9" s="1"/>
  <c r="BC20" i="9" a="1"/>
  <c r="BC20" i="9" s="1"/>
  <c r="BC40" i="9" a="1"/>
  <c r="BC40" i="9" s="1"/>
  <c r="BC37" i="9" a="1"/>
  <c r="BC37" i="9" s="1"/>
  <c r="BC25" i="9" a="1"/>
  <c r="BC25" i="9" s="1"/>
  <c r="BC35" i="9" a="1"/>
  <c r="BC35" i="9" s="1"/>
  <c r="BC23" i="9" a="1"/>
  <c r="BC23" i="9" s="1"/>
  <c r="BC55" i="9" a="1"/>
  <c r="BC55" i="9" s="1"/>
  <c r="BC43" i="9" a="1"/>
  <c r="BC43" i="9" s="1"/>
  <c r="BC28" i="9" a="1"/>
  <c r="BC28" i="9" s="1"/>
  <c r="BC16" i="9" a="1"/>
  <c r="BC16" i="9" s="1"/>
  <c r="BC33" i="9" a="1"/>
  <c r="BC33" i="9" s="1"/>
  <c r="BC27" i="9" a="1"/>
  <c r="BC27" i="9" s="1"/>
  <c r="BC15" i="9" a="1"/>
  <c r="BC15" i="9" s="1"/>
  <c r="BC57" i="9" a="1"/>
  <c r="BC57" i="9" s="1"/>
  <c r="BC13" i="9" a="1"/>
  <c r="BC13" i="9" s="1"/>
  <c r="BC38" i="9" a="1"/>
  <c r="BC38" i="9" s="1"/>
  <c r="BC6" i="9" a="1"/>
  <c r="BC6" i="9" s="1"/>
  <c r="BC31" i="9" a="1"/>
  <c r="BC31" i="9" s="1"/>
  <c r="BC21" i="9" a="1"/>
  <c r="BC21" i="9" s="1"/>
  <c r="BC11" i="9" a="1"/>
  <c r="BC11" i="9" s="1"/>
  <c r="BC26" i="9" a="1"/>
  <c r="BC26" i="9" s="1"/>
  <c r="BC9" i="9" a="1"/>
  <c r="BC9" i="9" s="1"/>
  <c r="BC14" i="9" a="1"/>
  <c r="BC14" i="9" s="1"/>
  <c r="BC45" i="9" a="1"/>
  <c r="BC45" i="9" s="1"/>
  <c r="BC30" i="9" a="1"/>
  <c r="BC30" i="9" s="1"/>
  <c r="BC19" i="9" a="1"/>
  <c r="BC19" i="9" s="1"/>
  <c r="BC12" i="9" a="1"/>
  <c r="BC12" i="9" s="1"/>
  <c r="BO133" i="9" a="1"/>
  <c r="BO133" i="9" s="1"/>
  <c r="BO132" i="9" a="1"/>
  <c r="BO132" i="9" s="1"/>
  <c r="BO135" i="9" a="1"/>
  <c r="BO135" i="9" s="1"/>
  <c r="BO134" i="9" a="1"/>
  <c r="BO134" i="9" s="1"/>
  <c r="BO131" i="9" a="1"/>
  <c r="BO131" i="9" s="1"/>
  <c r="BO127" i="9" a="1"/>
  <c r="BO127" i="9" s="1"/>
  <c r="BO129" i="9" a="1"/>
  <c r="BO129" i="9" s="1"/>
  <c r="BO128" i="9" a="1"/>
  <c r="BO128" i="9" s="1"/>
  <c r="BO124" i="9" a="1"/>
  <c r="BO124" i="9" s="1"/>
  <c r="BO136" i="9" a="1"/>
  <c r="BO136" i="9" s="1"/>
  <c r="BO122" i="9" a="1"/>
  <c r="BO122" i="9" s="1"/>
  <c r="BO130" i="9" a="1"/>
  <c r="BO130" i="9" s="1"/>
  <c r="BO123" i="9" a="1"/>
  <c r="BO123" i="9" s="1"/>
  <c r="BO121" i="9" a="1"/>
  <c r="BO121" i="9" s="1"/>
  <c r="BO119" i="9" a="1"/>
  <c r="BO119" i="9" s="1"/>
  <c r="BO116" i="9" a="1"/>
  <c r="BO116" i="9" s="1"/>
  <c r="BO114" i="9" a="1"/>
  <c r="BO114" i="9" s="1"/>
  <c r="BO117" i="9" a="1"/>
  <c r="BO117" i="9" s="1"/>
  <c r="BO120" i="9" a="1"/>
  <c r="BO120" i="9" s="1"/>
  <c r="BO115" i="9" a="1"/>
  <c r="BO115" i="9" s="1"/>
  <c r="BO125" i="9" a="1"/>
  <c r="BO125" i="9" s="1"/>
  <c r="BO111" i="9" a="1"/>
  <c r="BO111" i="9" s="1"/>
  <c r="BO109" i="9" a="1"/>
  <c r="BO109" i="9" s="1"/>
  <c r="BO102" i="9" a="1"/>
  <c r="BO102" i="9" s="1"/>
  <c r="BO107" i="9" a="1"/>
  <c r="BO107" i="9" s="1"/>
  <c r="BO118" i="9" a="1"/>
  <c r="BO118" i="9" s="1"/>
  <c r="BO105" i="9" a="1"/>
  <c r="BO105" i="9" s="1"/>
  <c r="BO110" i="9" a="1"/>
  <c r="BO110" i="9" s="1"/>
  <c r="BO126" i="9" a="1"/>
  <c r="BO126" i="9" s="1"/>
  <c r="BO112" i="9" a="1"/>
  <c r="BO112" i="9" s="1"/>
  <c r="BO108" i="9" a="1"/>
  <c r="BO108" i="9" s="1"/>
  <c r="BO101" i="9" a="1"/>
  <c r="BO101" i="9" s="1"/>
  <c r="BO91" i="9" a="1"/>
  <c r="BO91" i="9" s="1"/>
  <c r="BO113" i="9" a="1"/>
  <c r="BO113" i="9" s="1"/>
  <c r="BO94" i="9" a="1"/>
  <c r="BO94" i="9" s="1"/>
  <c r="BO104" i="9" a="1"/>
  <c r="BO104" i="9" s="1"/>
  <c r="BO99" i="9" a="1"/>
  <c r="BO99" i="9" s="1"/>
  <c r="BO92" i="9" a="1"/>
  <c r="BO92" i="9" s="1"/>
  <c r="BO97" i="9" a="1"/>
  <c r="BO97" i="9" s="1"/>
  <c r="BO103" i="9" a="1"/>
  <c r="BO103" i="9" s="1"/>
  <c r="BO90" i="9" a="1"/>
  <c r="BO90" i="9" s="1"/>
  <c r="BO100" i="9" a="1"/>
  <c r="BO100" i="9" s="1"/>
  <c r="BO95" i="9" a="1"/>
  <c r="BO95" i="9" s="1"/>
  <c r="BO93" i="9" a="1"/>
  <c r="BO93" i="9" s="1"/>
  <c r="BO83" i="9" a="1"/>
  <c r="BO83" i="9" s="1"/>
  <c r="BO96" i="9" a="1"/>
  <c r="BO96" i="9" s="1"/>
  <c r="BO88" i="9" a="1"/>
  <c r="BO88" i="9" s="1"/>
  <c r="BO81" i="9" a="1"/>
  <c r="BO81" i="9" s="1"/>
  <c r="BO86" i="9" a="1"/>
  <c r="BO86" i="9" s="1"/>
  <c r="BO79" i="9" a="1"/>
  <c r="BO79" i="9" s="1"/>
  <c r="BO98" i="9" a="1"/>
  <c r="BO98" i="9" s="1"/>
  <c r="BO84" i="9" a="1"/>
  <c r="BO84" i="9" s="1"/>
  <c r="BO106" i="9" a="1"/>
  <c r="BO106" i="9" s="1"/>
  <c r="BO89" i="9" a="1"/>
  <c r="BO89" i="9" s="1"/>
  <c r="BO82" i="9" a="1"/>
  <c r="BO82" i="9" s="1"/>
  <c r="BO87" i="9" a="1"/>
  <c r="BO87" i="9" s="1"/>
  <c r="BO67" i="9" a="1"/>
  <c r="BO67" i="9" s="1"/>
  <c r="BO72" i="9" a="1"/>
  <c r="BO72" i="9" s="1"/>
  <c r="BO77" i="9" a="1"/>
  <c r="BO77" i="9" s="1"/>
  <c r="BO70" i="9" a="1"/>
  <c r="BO70" i="9" s="1"/>
  <c r="BO75" i="9" a="1"/>
  <c r="BO75" i="9" s="1"/>
  <c r="BO85" i="9" a="1"/>
  <c r="BO85" i="9" s="1"/>
  <c r="BO80" i="9" a="1"/>
  <c r="BO80" i="9" s="1"/>
  <c r="BO68" i="9" a="1"/>
  <c r="BO68" i="9" s="1"/>
  <c r="BO73" i="9" a="1"/>
  <c r="BO73" i="9" s="1"/>
  <c r="BO78" i="9" a="1"/>
  <c r="BO78" i="9" s="1"/>
  <c r="BO66" i="9" a="1"/>
  <c r="BO66" i="9" s="1"/>
  <c r="BO71" i="9" a="1"/>
  <c r="BO71" i="9" s="1"/>
  <c r="BO76" i="9" a="1"/>
  <c r="BO76" i="9" s="1"/>
  <c r="BO60" i="9" a="1"/>
  <c r="BO60" i="9" s="1"/>
  <c r="BO48" i="9" a="1"/>
  <c r="BO48" i="9" s="1"/>
  <c r="BO65" i="9" a="1"/>
  <c r="BO65" i="9" s="1"/>
  <c r="BO53" i="9" a="1"/>
  <c r="BO53" i="9" s="1"/>
  <c r="BO41" i="9" a="1"/>
  <c r="BO41" i="9" s="1"/>
  <c r="BO58" i="9" a="1"/>
  <c r="BO58" i="9" s="1"/>
  <c r="BO46" i="9" a="1"/>
  <c r="BO46" i="9" s="1"/>
  <c r="BO74" i="9" a="1"/>
  <c r="BO74" i="9" s="1"/>
  <c r="BO69" i="9" a="1"/>
  <c r="BO69" i="9" s="1"/>
  <c r="BO63" i="9" a="1"/>
  <c r="BO63" i="9" s="1"/>
  <c r="BO51" i="9" a="1"/>
  <c r="BO51" i="9" s="1"/>
  <c r="BO39" i="9" a="1"/>
  <c r="BO39" i="9" s="1"/>
  <c r="BO56" i="9" a="1"/>
  <c r="BO56" i="9" s="1"/>
  <c r="BO44" i="9" a="1"/>
  <c r="BO44" i="9" s="1"/>
  <c r="BO61" i="9" a="1"/>
  <c r="BO61" i="9" s="1"/>
  <c r="BO49" i="9" a="1"/>
  <c r="BO49" i="9" s="1"/>
  <c r="BO54" i="9" a="1"/>
  <c r="BO54" i="9" s="1"/>
  <c r="BO42" i="9" a="1"/>
  <c r="BO42" i="9" s="1"/>
  <c r="BO59" i="9" a="1"/>
  <c r="BO59" i="9" s="1"/>
  <c r="BO47" i="9" a="1"/>
  <c r="BO47" i="9" s="1"/>
  <c r="BO64" i="9" a="1"/>
  <c r="BO64" i="9" s="1"/>
  <c r="BO52" i="9" a="1"/>
  <c r="BO52" i="9" s="1"/>
  <c r="BO36" i="9" a="1"/>
  <c r="BO36" i="9" s="1"/>
  <c r="BO24" i="9" a="1"/>
  <c r="BO24" i="9" s="1"/>
  <c r="BO29" i="9" a="1"/>
  <c r="BO29" i="9" s="1"/>
  <c r="BO17" i="9" a="1"/>
  <c r="BO17" i="9" s="1"/>
  <c r="BO55" i="9" a="1"/>
  <c r="BO55" i="9" s="1"/>
  <c r="BO43" i="9" a="1"/>
  <c r="BO43" i="9" s="1"/>
  <c r="BO34" i="9" a="1"/>
  <c r="BO34" i="9" s="1"/>
  <c r="BO22" i="9" a="1"/>
  <c r="BO22" i="9" s="1"/>
  <c r="BO38" i="9" a="1"/>
  <c r="BO38" i="9" s="1"/>
  <c r="BO32" i="9" a="1"/>
  <c r="BO32" i="9" s="1"/>
  <c r="BO20" i="9" a="1"/>
  <c r="BO20" i="9" s="1"/>
  <c r="BO57" i="9" a="1"/>
  <c r="BO57" i="9" s="1"/>
  <c r="BO45" i="9" a="1"/>
  <c r="BO45" i="9" s="1"/>
  <c r="BO37" i="9" a="1"/>
  <c r="BO37" i="9" s="1"/>
  <c r="BO25" i="9" a="1"/>
  <c r="BO25" i="9" s="1"/>
  <c r="BO35" i="9" a="1"/>
  <c r="BO35" i="9" s="1"/>
  <c r="BO23" i="9" a="1"/>
  <c r="BO23" i="9" s="1"/>
  <c r="BO28" i="9" a="1"/>
  <c r="BO28" i="9" s="1"/>
  <c r="BO16" i="9" a="1"/>
  <c r="BO16" i="9" s="1"/>
  <c r="BO62" i="9" a="1"/>
  <c r="BO62" i="9" s="1"/>
  <c r="BO50" i="9" a="1"/>
  <c r="BO50" i="9" s="1"/>
  <c r="BO40" i="9" a="1"/>
  <c r="BO40" i="9" s="1"/>
  <c r="BO33" i="9" a="1"/>
  <c r="BO33" i="9" s="1"/>
  <c r="BO15" i="9" a="1"/>
  <c r="BO15" i="9" s="1"/>
  <c r="BO18" i="9" a="1"/>
  <c r="BO18" i="9" s="1"/>
  <c r="BO30" i="9" a="1"/>
  <c r="BO30" i="9" s="1"/>
  <c r="BO13" i="9" a="1"/>
  <c r="BO13" i="9" s="1"/>
  <c r="BO6" i="9" a="1"/>
  <c r="BO6" i="9" s="1"/>
  <c r="BO27" i="9" a="1"/>
  <c r="BO27" i="9" s="1"/>
  <c r="BO11" i="9" a="1"/>
  <c r="BO11" i="9" s="1"/>
  <c r="BO21" i="9" a="1"/>
  <c r="BO21" i="9" s="1"/>
  <c r="BO9" i="9" a="1"/>
  <c r="BO9" i="9" s="1"/>
  <c r="BO14" i="9" a="1"/>
  <c r="BO14" i="9" s="1"/>
  <c r="BO26" i="9" a="1"/>
  <c r="BO26" i="9" s="1"/>
  <c r="BO12" i="9" a="1"/>
  <c r="BO12" i="9" s="1"/>
  <c r="BO31" i="9" a="1"/>
  <c r="BO31" i="9" s="1"/>
  <c r="R5" i="9" a="1"/>
  <c r="R5" i="9" s="1"/>
  <c r="Z5" i="9" a="1"/>
  <c r="Z5" i="9" s="1"/>
  <c r="AP5" i="9" a="1"/>
  <c r="AP5" i="9" s="1"/>
  <c r="AX5" i="9" a="1"/>
  <c r="AX5" i="9" s="1"/>
  <c r="BG5" i="9" a="1"/>
  <c r="BG5" i="9" s="1"/>
  <c r="BO5" i="9" a="1"/>
  <c r="BO5" i="9" s="1"/>
  <c r="AD6" i="9" a="1"/>
  <c r="AD6" i="9" s="1"/>
  <c r="AU6" i="9" a="1"/>
  <c r="AU6" i="9" s="1"/>
  <c r="S7" i="9" a="1"/>
  <c r="S7" i="9" s="1"/>
  <c r="BC7" i="9" a="1"/>
  <c r="BC7" i="9" s="1"/>
  <c r="AB10" i="9" a="1"/>
  <c r="AB10" i="9" s="1"/>
  <c r="AZ10" i="9" a="1"/>
  <c r="AZ10" i="9" s="1"/>
  <c r="AB11" i="9" a="1"/>
  <c r="AB11" i="9" s="1"/>
  <c r="AC11" i="2" s="1"/>
  <c r="W14" i="9" a="1"/>
  <c r="W14" i="9" s="1"/>
  <c r="BG14" i="9" a="1"/>
  <c r="BG14" i="9" s="1"/>
  <c r="AL15" i="9" a="1"/>
  <c r="AL15" i="9" s="1"/>
  <c r="BV15" i="9" a="1"/>
  <c r="BV15" i="9" s="1"/>
  <c r="CV27" i="7"/>
  <c r="CV29" i="7"/>
  <c r="CV31" i="7"/>
  <c r="CV33" i="7"/>
  <c r="CV35" i="7"/>
  <c r="CV37" i="7"/>
  <c r="CV39" i="7"/>
  <c r="CV41" i="7"/>
  <c r="CV43" i="7"/>
  <c r="CV45" i="7"/>
  <c r="CV47" i="7"/>
  <c r="CV49" i="7"/>
  <c r="CV51" i="7"/>
  <c r="CV53" i="7"/>
  <c r="CV55" i="7"/>
  <c r="CV57" i="7"/>
  <c r="CV59" i="7"/>
  <c r="CV61" i="7"/>
  <c r="CV63" i="7"/>
  <c r="CV65" i="7"/>
  <c r="CV67" i="7"/>
  <c r="CV69" i="7"/>
  <c r="CV71" i="7"/>
  <c r="CV73" i="7"/>
  <c r="CV75" i="7"/>
  <c r="CV77" i="7"/>
  <c r="CV79" i="7"/>
  <c r="CV81" i="7"/>
  <c r="CV83" i="7"/>
  <c r="CV85" i="7"/>
  <c r="CV87" i="7"/>
  <c r="CV89" i="7"/>
  <c r="CV91" i="7"/>
  <c r="CV93" i="7"/>
  <c r="CV95" i="7"/>
  <c r="CV97" i="7"/>
  <c r="CV99" i="7"/>
  <c r="CV101" i="7"/>
  <c r="CV103" i="7"/>
  <c r="CV105" i="7"/>
  <c r="CV107" i="7"/>
  <c r="CV109" i="7"/>
  <c r="CV111" i="7"/>
  <c r="CV113" i="7"/>
  <c r="CV115" i="7"/>
  <c r="CV117" i="7"/>
  <c r="CV119" i="7"/>
  <c r="CV121" i="7"/>
  <c r="CV123" i="7"/>
  <c r="CV125" i="7"/>
  <c r="CV127" i="7"/>
  <c r="CV129" i="7"/>
  <c r="CV131" i="7"/>
  <c r="CV133" i="7"/>
  <c r="T136" i="9" a="1"/>
  <c r="T136" i="9" s="1"/>
  <c r="T131" i="9" a="1"/>
  <c r="T131" i="9" s="1"/>
  <c r="T135" i="9" a="1"/>
  <c r="T135" i="9" s="1"/>
  <c r="T130" i="9" a="1"/>
  <c r="T130" i="9" s="1"/>
  <c r="T132" i="9" a="1"/>
  <c r="T132" i="9" s="1"/>
  <c r="T134" i="9" a="1"/>
  <c r="T134" i="9" s="1"/>
  <c r="T129" i="9" a="1"/>
  <c r="T129" i="9" s="1"/>
  <c r="T128" i="9" a="1"/>
  <c r="T128" i="9" s="1"/>
  <c r="T133" i="9" a="1"/>
  <c r="T133" i="9" s="1"/>
  <c r="T127" i="9" a="1"/>
  <c r="T127" i="9" s="1"/>
  <c r="T124" i="9" a="1"/>
  <c r="T124" i="9" s="1"/>
  <c r="T126" i="9" a="1"/>
  <c r="T126" i="9" s="1"/>
  <c r="T125" i="9" a="1"/>
  <c r="T125" i="9" s="1"/>
  <c r="T122" i="9" a="1"/>
  <c r="T122" i="9" s="1"/>
  <c r="T120" i="9" a="1"/>
  <c r="T120" i="9" s="1"/>
  <c r="T114" i="9" a="1"/>
  <c r="T114" i="9" s="1"/>
  <c r="T117" i="9" a="1"/>
  <c r="T117" i="9" s="1"/>
  <c r="T121" i="9" a="1"/>
  <c r="T121" i="9" s="1"/>
  <c r="T115" i="9" a="1"/>
  <c r="T115" i="9" s="1"/>
  <c r="T113" i="9" a="1"/>
  <c r="T113" i="9" s="1"/>
  <c r="T118" i="9" a="1"/>
  <c r="T118" i="9" s="1"/>
  <c r="T109" i="9" a="1"/>
  <c r="T109" i="9" s="1"/>
  <c r="T123" i="9" a="1"/>
  <c r="T123" i="9" s="1"/>
  <c r="T107" i="9" a="1"/>
  <c r="T107" i="9" s="1"/>
  <c r="T112" i="9" a="1"/>
  <c r="T112" i="9" s="1"/>
  <c r="T105" i="9" a="1"/>
  <c r="T105" i="9" s="1"/>
  <c r="T110" i="9" a="1"/>
  <c r="T110" i="9" s="1"/>
  <c r="T116" i="9" a="1"/>
  <c r="T116" i="9" s="1"/>
  <c r="T103" i="9" a="1"/>
  <c r="T103" i="9" s="1"/>
  <c r="T108" i="9" a="1"/>
  <c r="T108" i="9" s="1"/>
  <c r="T106" i="9" a="1"/>
  <c r="T106" i="9" s="1"/>
  <c r="T99" i="9" a="1"/>
  <c r="T99" i="9" s="1"/>
  <c r="T92" i="9" a="1"/>
  <c r="T92" i="9" s="1"/>
  <c r="T119" i="9" a="1"/>
  <c r="T119" i="9" s="1"/>
  <c r="T97" i="9" a="1"/>
  <c r="T97" i="9" s="1"/>
  <c r="T102" i="9" a="1"/>
  <c r="T102" i="9" s="1"/>
  <c r="T95" i="9" a="1"/>
  <c r="T95" i="9" s="1"/>
  <c r="T100" i="9" a="1"/>
  <c r="T100" i="9" s="1"/>
  <c r="T93" i="9" a="1"/>
  <c r="T93" i="9" s="1"/>
  <c r="T101" i="9" a="1"/>
  <c r="T101" i="9" s="1"/>
  <c r="T98" i="9" a="1"/>
  <c r="T98" i="9" s="1"/>
  <c r="T88" i="9" a="1"/>
  <c r="T88" i="9" s="1"/>
  <c r="T96" i="9" a="1"/>
  <c r="T96" i="9" s="1"/>
  <c r="T81" i="9" a="1"/>
  <c r="T81" i="9" s="1"/>
  <c r="T91" i="9" a="1"/>
  <c r="T91" i="9" s="1"/>
  <c r="T86" i="9" a="1"/>
  <c r="T86" i="9" s="1"/>
  <c r="T84" i="9" a="1"/>
  <c r="T84" i="9" s="1"/>
  <c r="T104" i="9" a="1"/>
  <c r="T104" i="9" s="1"/>
  <c r="T89" i="9" a="1"/>
  <c r="T89" i="9" s="1"/>
  <c r="T82" i="9" a="1"/>
  <c r="T82" i="9" s="1"/>
  <c r="T87" i="9" a="1"/>
  <c r="T87" i="9" s="1"/>
  <c r="T80" i="9" a="1"/>
  <c r="T80" i="9" s="1"/>
  <c r="T85" i="9" a="1"/>
  <c r="T85" i="9" s="1"/>
  <c r="T77" i="9" a="1"/>
  <c r="T77" i="9" s="1"/>
  <c r="T111" i="9" a="1"/>
  <c r="T111" i="9" s="1"/>
  <c r="T70" i="9" a="1"/>
  <c r="T70" i="9" s="1"/>
  <c r="T75" i="9" a="1"/>
  <c r="T75" i="9" s="1"/>
  <c r="T68" i="9" a="1"/>
  <c r="T68" i="9" s="1"/>
  <c r="T73" i="9" a="1"/>
  <c r="T73" i="9" s="1"/>
  <c r="T78" i="9" a="1"/>
  <c r="T78" i="9" s="1"/>
  <c r="T71" i="9" a="1"/>
  <c r="T71" i="9" s="1"/>
  <c r="T90" i="9" a="1"/>
  <c r="T90" i="9" s="1"/>
  <c r="T83" i="9" a="1"/>
  <c r="T83" i="9" s="1"/>
  <c r="T76" i="9" a="1"/>
  <c r="T76" i="9" s="1"/>
  <c r="T69" i="9" a="1"/>
  <c r="T69" i="9" s="1"/>
  <c r="T94" i="9" a="1"/>
  <c r="T94" i="9" s="1"/>
  <c r="T74" i="9" a="1"/>
  <c r="T74" i="9" s="1"/>
  <c r="T58" i="9" a="1"/>
  <c r="T58" i="9" s="1"/>
  <c r="T46" i="9" a="1"/>
  <c r="T46" i="9" s="1"/>
  <c r="T63" i="9" a="1"/>
  <c r="T63" i="9" s="1"/>
  <c r="T51" i="9" a="1"/>
  <c r="T51" i="9" s="1"/>
  <c r="T39" i="9" a="1"/>
  <c r="T39" i="9" s="1"/>
  <c r="T56" i="9" a="1"/>
  <c r="T56" i="9" s="1"/>
  <c r="T44" i="9" a="1"/>
  <c r="T44" i="9" s="1"/>
  <c r="T61" i="9" a="1"/>
  <c r="T61" i="9" s="1"/>
  <c r="T49" i="9" a="1"/>
  <c r="T49" i="9" s="1"/>
  <c r="T66" i="9" a="1"/>
  <c r="T66" i="9" s="1"/>
  <c r="T54" i="9" a="1"/>
  <c r="T54" i="9" s="1"/>
  <c r="T42" i="9" a="1"/>
  <c r="T42" i="9" s="1"/>
  <c r="T79" i="9" a="1"/>
  <c r="T79" i="9" s="1"/>
  <c r="T72" i="9" a="1"/>
  <c r="T72" i="9" s="1"/>
  <c r="T67" i="9" a="1"/>
  <c r="T67" i="9" s="1"/>
  <c r="T59" i="9" a="1"/>
  <c r="T59" i="9" s="1"/>
  <c r="T47" i="9" a="1"/>
  <c r="T47" i="9" s="1"/>
  <c r="T64" i="9" a="1"/>
  <c r="T64" i="9" s="1"/>
  <c r="T52" i="9" a="1"/>
  <c r="T52" i="9" s="1"/>
  <c r="T40" i="9" a="1"/>
  <c r="T40" i="9" s="1"/>
  <c r="T57" i="9" a="1"/>
  <c r="T57" i="9" s="1"/>
  <c r="T45" i="9" a="1"/>
  <c r="T45" i="9" s="1"/>
  <c r="T62" i="9" a="1"/>
  <c r="T62" i="9" s="1"/>
  <c r="T50" i="9" a="1"/>
  <c r="T50" i="9" s="1"/>
  <c r="T55" i="9" a="1"/>
  <c r="T55" i="9" s="1"/>
  <c r="T43" i="9" a="1"/>
  <c r="T43" i="9" s="1"/>
  <c r="T34" i="9" a="1"/>
  <c r="T34" i="9" s="1"/>
  <c r="T22" i="9" a="1"/>
  <c r="T22" i="9" s="1"/>
  <c r="T27" i="9" a="1"/>
  <c r="T27" i="9" s="1"/>
  <c r="T32" i="9" a="1"/>
  <c r="T32" i="9" s="1"/>
  <c r="T20" i="9" a="1"/>
  <c r="T20" i="9" s="1"/>
  <c r="T41" i="9" a="1"/>
  <c r="T41" i="9" s="1"/>
  <c r="T37" i="9" a="1"/>
  <c r="T37" i="9" s="1"/>
  <c r="T30" i="9" a="1"/>
  <c r="T30" i="9" s="1"/>
  <c r="T18" i="9" a="1"/>
  <c r="T18" i="9" s="1"/>
  <c r="T60" i="9" a="1"/>
  <c r="T60" i="9" s="1"/>
  <c r="T48" i="9" a="1"/>
  <c r="T48" i="9" s="1"/>
  <c r="T35" i="9" a="1"/>
  <c r="T35" i="9" s="1"/>
  <c r="T23" i="9" a="1"/>
  <c r="T23" i="9" s="1"/>
  <c r="T33" i="9" a="1"/>
  <c r="T33" i="9" s="1"/>
  <c r="T21" i="9" a="1"/>
  <c r="T21" i="9" s="1"/>
  <c r="T38" i="9" a="1"/>
  <c r="T38" i="9" s="1"/>
  <c r="T26" i="9" a="1"/>
  <c r="T26" i="9" s="1"/>
  <c r="T31" i="9" a="1"/>
  <c r="T31" i="9" s="1"/>
  <c r="T65" i="9" a="1"/>
  <c r="T65" i="9" s="1"/>
  <c r="T13" i="9" a="1"/>
  <c r="T13" i="9" s="1"/>
  <c r="T36" i="9" a="1"/>
  <c r="T36" i="9" s="1"/>
  <c r="T19" i="9" a="1"/>
  <c r="T19" i="9" s="1"/>
  <c r="T25" i="9" a="1"/>
  <c r="T25" i="9" s="1"/>
  <c r="T11" i="9" a="1"/>
  <c r="T11" i="9" s="1"/>
  <c r="T16" i="9" a="1"/>
  <c r="T16" i="9" s="1"/>
  <c r="T4" i="9" a="1"/>
  <c r="T4" i="9" s="1"/>
  <c r="T53" i="9" a="1"/>
  <c r="T53" i="9" s="1"/>
  <c r="T24" i="9" a="1"/>
  <c r="T24" i="9" s="1"/>
  <c r="T9" i="9" a="1"/>
  <c r="T9" i="9" s="1"/>
  <c r="T14" i="9" a="1"/>
  <c r="T14" i="9" s="1"/>
  <c r="T29" i="9" a="1"/>
  <c r="T29" i="9" s="1"/>
  <c r="T7" i="9" a="1"/>
  <c r="T7" i="9" s="1"/>
  <c r="T17" i="9" a="1"/>
  <c r="T17" i="9" s="1"/>
  <c r="T12" i="9" a="1"/>
  <c r="T12" i="9" s="1"/>
  <c r="T10" i="9" a="1"/>
  <c r="T10" i="9" s="1"/>
  <c r="T28" i="9" a="1"/>
  <c r="T28" i="9" s="1"/>
  <c r="AF136" i="9" a="1"/>
  <c r="AF136" i="9" s="1"/>
  <c r="AF135" i="9" a="1"/>
  <c r="AF135" i="9" s="1"/>
  <c r="AF131" i="9" a="1"/>
  <c r="AF131" i="9" s="1"/>
  <c r="AF134" i="9" a="1"/>
  <c r="AF134" i="9" s="1"/>
  <c r="AF130" i="9" a="1"/>
  <c r="AF130" i="9" s="1"/>
  <c r="AF133" i="9" a="1"/>
  <c r="AF133" i="9" s="1"/>
  <c r="AF127" i="9" a="1"/>
  <c r="AF127" i="9" s="1"/>
  <c r="AF129" i="9" a="1"/>
  <c r="AF129" i="9" s="1"/>
  <c r="AF126" i="9" a="1"/>
  <c r="AF126" i="9" s="1"/>
  <c r="AF125" i="9" a="1"/>
  <c r="AF125" i="9" s="1"/>
  <c r="AF132" i="9" a="1"/>
  <c r="AF132" i="9" s="1"/>
  <c r="AF122" i="9" a="1"/>
  <c r="AF122" i="9" s="1"/>
  <c r="AF128" i="9" a="1"/>
  <c r="AF128" i="9" s="1"/>
  <c r="AF124" i="9" a="1"/>
  <c r="AF124" i="9" s="1"/>
  <c r="AF114" i="9" a="1"/>
  <c r="AF114" i="9" s="1"/>
  <c r="AF117" i="9" a="1"/>
  <c r="AF117" i="9" s="1"/>
  <c r="AF121" i="9" a="1"/>
  <c r="AF121" i="9" s="1"/>
  <c r="AF115" i="9" a="1"/>
  <c r="AF115" i="9" s="1"/>
  <c r="AF123" i="9" a="1"/>
  <c r="AF123" i="9" s="1"/>
  <c r="AF113" i="9" a="1"/>
  <c r="AF113" i="9" s="1"/>
  <c r="AF120" i="9" a="1"/>
  <c r="AF120" i="9" s="1"/>
  <c r="AF109" i="9" a="1"/>
  <c r="AF109" i="9" s="1"/>
  <c r="AF107" i="9" a="1"/>
  <c r="AF107" i="9" s="1"/>
  <c r="AF119" i="9" a="1"/>
  <c r="AF119" i="9" s="1"/>
  <c r="AF118" i="9" a="1"/>
  <c r="AF118" i="9" s="1"/>
  <c r="AF105" i="9" a="1"/>
  <c r="AF105" i="9" s="1"/>
  <c r="AF110" i="9" a="1"/>
  <c r="AF110" i="9" s="1"/>
  <c r="AF103" i="9" a="1"/>
  <c r="AF103" i="9" s="1"/>
  <c r="AF112" i="9" a="1"/>
  <c r="AF112" i="9" s="1"/>
  <c r="AF108" i="9" a="1"/>
  <c r="AF108" i="9" s="1"/>
  <c r="AF106" i="9" a="1"/>
  <c r="AF106" i="9" s="1"/>
  <c r="AF99" i="9" a="1"/>
  <c r="AF99" i="9" s="1"/>
  <c r="AF104" i="9" a="1"/>
  <c r="AF104" i="9" s="1"/>
  <c r="AF92" i="9" a="1"/>
  <c r="AF92" i="9" s="1"/>
  <c r="AF97" i="9" a="1"/>
  <c r="AF97" i="9" s="1"/>
  <c r="AF111" i="9" a="1"/>
  <c r="AF111" i="9" s="1"/>
  <c r="AF101" i="9" a="1"/>
  <c r="AF101" i="9" s="1"/>
  <c r="AF95" i="9" a="1"/>
  <c r="AF95" i="9" s="1"/>
  <c r="AF116" i="9" a="1"/>
  <c r="AF116" i="9" s="1"/>
  <c r="AF100" i="9" a="1"/>
  <c r="AF100" i="9" s="1"/>
  <c r="AF93" i="9" a="1"/>
  <c r="AF93" i="9" s="1"/>
  <c r="AF98" i="9" a="1"/>
  <c r="AF98" i="9" s="1"/>
  <c r="AF88" i="9" a="1"/>
  <c r="AF88" i="9" s="1"/>
  <c r="AF102" i="9" a="1"/>
  <c r="AF102" i="9" s="1"/>
  <c r="AF81" i="9" a="1"/>
  <c r="AF81" i="9" s="1"/>
  <c r="AF86" i="9" a="1"/>
  <c r="AF86" i="9" s="1"/>
  <c r="AF94" i="9" a="1"/>
  <c r="AF94" i="9" s="1"/>
  <c r="AF84" i="9" a="1"/>
  <c r="AF84" i="9" s="1"/>
  <c r="AF89" i="9" a="1"/>
  <c r="AF89" i="9" s="1"/>
  <c r="AF82" i="9" a="1"/>
  <c r="AF82" i="9" s="1"/>
  <c r="AF96" i="9" a="1"/>
  <c r="AF96" i="9" s="1"/>
  <c r="AF87" i="9" a="1"/>
  <c r="AF87" i="9" s="1"/>
  <c r="AF91" i="9" a="1"/>
  <c r="AF91" i="9" s="1"/>
  <c r="AF80" i="9" a="1"/>
  <c r="AF80" i="9" s="1"/>
  <c r="AF85" i="9" a="1"/>
  <c r="AF85" i="9" s="1"/>
  <c r="AF77" i="9" a="1"/>
  <c r="AF77" i="9" s="1"/>
  <c r="AF70" i="9" a="1"/>
  <c r="AF70" i="9" s="1"/>
  <c r="AF75" i="9" a="1"/>
  <c r="AF75" i="9" s="1"/>
  <c r="AF90" i="9" a="1"/>
  <c r="AF90" i="9" s="1"/>
  <c r="AF83" i="9" a="1"/>
  <c r="AF83" i="9" s="1"/>
  <c r="AF68" i="9" a="1"/>
  <c r="AF68" i="9" s="1"/>
  <c r="AF73" i="9" a="1"/>
  <c r="AF73" i="9" s="1"/>
  <c r="AF78" i="9" a="1"/>
  <c r="AF78" i="9" s="1"/>
  <c r="AF71" i="9" a="1"/>
  <c r="AF71" i="9" s="1"/>
  <c r="AF76" i="9" a="1"/>
  <c r="AF76" i="9" s="1"/>
  <c r="AF69" i="9" a="1"/>
  <c r="AF69" i="9" s="1"/>
  <c r="AF74" i="9" a="1"/>
  <c r="AF74" i="9" s="1"/>
  <c r="AF58" i="9" a="1"/>
  <c r="AF58" i="9" s="1"/>
  <c r="AF46" i="9" a="1"/>
  <c r="AF46" i="9" s="1"/>
  <c r="AF79" i="9" a="1"/>
  <c r="AF79" i="9" s="1"/>
  <c r="AF72" i="9" a="1"/>
  <c r="AF72" i="9" s="1"/>
  <c r="AF67" i="9" a="1"/>
  <c r="AF67" i="9" s="1"/>
  <c r="AF63" i="9" a="1"/>
  <c r="AF63" i="9" s="1"/>
  <c r="AF51" i="9" a="1"/>
  <c r="AF51" i="9" s="1"/>
  <c r="AF39" i="9" a="1"/>
  <c r="AF39" i="9" s="1"/>
  <c r="AF56" i="9" a="1"/>
  <c r="AF56" i="9" s="1"/>
  <c r="AF44" i="9" a="1"/>
  <c r="AF44" i="9" s="1"/>
  <c r="AF61" i="9" a="1"/>
  <c r="AF61" i="9" s="1"/>
  <c r="AF49" i="9" a="1"/>
  <c r="AF49" i="9" s="1"/>
  <c r="AF66" i="9" a="1"/>
  <c r="AF66" i="9" s="1"/>
  <c r="AF54" i="9" a="1"/>
  <c r="AF54" i="9" s="1"/>
  <c r="AF42" i="9" a="1"/>
  <c r="AF42" i="9" s="1"/>
  <c r="AF59" i="9" a="1"/>
  <c r="AF59" i="9" s="1"/>
  <c r="AF47" i="9" a="1"/>
  <c r="AF47" i="9" s="1"/>
  <c r="AF64" i="9" a="1"/>
  <c r="AF64" i="9" s="1"/>
  <c r="AF52" i="9" a="1"/>
  <c r="AF52" i="9" s="1"/>
  <c r="AF40" i="9" a="1"/>
  <c r="AF40" i="9" s="1"/>
  <c r="AF57" i="9" a="1"/>
  <c r="AF57" i="9" s="1"/>
  <c r="AF45" i="9" a="1"/>
  <c r="AF45" i="9" s="1"/>
  <c r="AF62" i="9" a="1"/>
  <c r="AF62" i="9" s="1"/>
  <c r="AF50" i="9" a="1"/>
  <c r="AF50" i="9" s="1"/>
  <c r="AF34" i="9" a="1"/>
  <c r="AF34" i="9" s="1"/>
  <c r="AF22" i="9" a="1"/>
  <c r="AF22" i="9" s="1"/>
  <c r="AF27" i="9" a="1"/>
  <c r="AF27" i="9" s="1"/>
  <c r="AF32" i="9" a="1"/>
  <c r="AF32" i="9" s="1"/>
  <c r="AF20" i="9" a="1"/>
  <c r="AF20" i="9" s="1"/>
  <c r="AF37" i="9" a="1"/>
  <c r="AF37" i="9" s="1"/>
  <c r="AF65" i="9" a="1"/>
  <c r="AF65" i="9" s="1"/>
  <c r="AF53" i="9" a="1"/>
  <c r="AF53" i="9" s="1"/>
  <c r="AF30" i="9" a="1"/>
  <c r="AF30" i="9" s="1"/>
  <c r="AF18" i="9" a="1"/>
  <c r="AF18" i="9" s="1"/>
  <c r="AF35" i="9" a="1"/>
  <c r="AF35" i="9" s="1"/>
  <c r="AF23" i="9" a="1"/>
  <c r="AF23" i="9" s="1"/>
  <c r="AF55" i="9" a="1"/>
  <c r="AF55" i="9" s="1"/>
  <c r="AF41" i="9" a="1"/>
  <c r="AF41" i="9" s="1"/>
  <c r="AF33" i="9" a="1"/>
  <c r="AF33" i="9" s="1"/>
  <c r="AF21" i="9" a="1"/>
  <c r="AF21" i="9" s="1"/>
  <c r="AF38" i="9" a="1"/>
  <c r="AF38" i="9" s="1"/>
  <c r="AF26" i="9" a="1"/>
  <c r="AF26" i="9" s="1"/>
  <c r="AF31" i="9" a="1"/>
  <c r="AF31" i="9" s="1"/>
  <c r="AF29" i="9" a="1"/>
  <c r="AF29" i="9" s="1"/>
  <c r="AF13" i="9" a="1"/>
  <c r="AF13" i="9" s="1"/>
  <c r="AF60" i="9" a="1"/>
  <c r="AF60" i="9" s="1"/>
  <c r="AF11" i="9" a="1"/>
  <c r="AF11" i="9" s="1"/>
  <c r="AF19" i="9" a="1"/>
  <c r="AF19" i="9" s="1"/>
  <c r="AF4" i="9" a="1"/>
  <c r="AF4" i="9" s="1"/>
  <c r="AF28" i="9" a="1"/>
  <c r="AF28" i="9" s="1"/>
  <c r="AF25" i="9" a="1"/>
  <c r="AF25" i="9" s="1"/>
  <c r="AF9" i="9" a="1"/>
  <c r="AF9" i="9" s="1"/>
  <c r="AF43" i="9" a="1"/>
  <c r="AF43" i="9" s="1"/>
  <c r="AF14" i="9" a="1"/>
  <c r="AF14" i="9" s="1"/>
  <c r="AF48" i="9" a="1"/>
  <c r="AF48" i="9" s="1"/>
  <c r="AF24" i="9" a="1"/>
  <c r="AF24" i="9" s="1"/>
  <c r="AF7" i="9" a="1"/>
  <c r="AF7" i="9" s="1"/>
  <c r="AF36" i="9" a="1"/>
  <c r="AF36" i="9" s="1"/>
  <c r="AF12" i="9" a="1"/>
  <c r="AF12" i="9" s="1"/>
  <c r="AF17" i="9" a="1"/>
  <c r="AF17" i="9" s="1"/>
  <c r="AF10" i="9" a="1"/>
  <c r="AF10" i="9" s="1"/>
  <c r="AR136" i="9" a="1"/>
  <c r="AR136" i="9" s="1"/>
  <c r="AR131" i="9" a="1"/>
  <c r="AR131" i="9" s="1"/>
  <c r="AR133" i="9" a="1"/>
  <c r="AR133" i="9" s="1"/>
  <c r="AR127" i="9" a="1"/>
  <c r="AR127" i="9" s="1"/>
  <c r="AR130" i="9" a="1"/>
  <c r="AR130" i="9" s="1"/>
  <c r="AR129" i="9" a="1"/>
  <c r="AR129" i="9" s="1"/>
  <c r="AR135" i="9" a="1"/>
  <c r="AR135" i="9" s="1"/>
  <c r="AR128" i="9" a="1"/>
  <c r="AR128" i="9" s="1"/>
  <c r="AR126" i="9" a="1"/>
  <c r="AR126" i="9" s="1"/>
  <c r="AR125" i="9" a="1"/>
  <c r="AR125" i="9" s="1"/>
  <c r="AR124" i="9" a="1"/>
  <c r="AR124" i="9" s="1"/>
  <c r="AR123" i="9" a="1"/>
  <c r="AR123" i="9" s="1"/>
  <c r="AR122" i="9" a="1"/>
  <c r="AR122" i="9" s="1"/>
  <c r="AR114" i="9" a="1"/>
  <c r="AR114" i="9" s="1"/>
  <c r="AR119" i="9" a="1"/>
  <c r="AR119" i="9" s="1"/>
  <c r="AR117" i="9" a="1"/>
  <c r="AR117" i="9" s="1"/>
  <c r="AR115" i="9" a="1"/>
  <c r="AR115" i="9" s="1"/>
  <c r="AR134" i="9" a="1"/>
  <c r="AR134" i="9" s="1"/>
  <c r="AR121" i="9" a="1"/>
  <c r="AR121" i="9" s="1"/>
  <c r="AR113" i="9" a="1"/>
  <c r="AR113" i="9" s="1"/>
  <c r="AR109" i="9" a="1"/>
  <c r="AR109" i="9" s="1"/>
  <c r="AR116" i="9" a="1"/>
  <c r="AR116" i="9" s="1"/>
  <c r="AR107" i="9" a="1"/>
  <c r="AR107" i="9" s="1"/>
  <c r="AR132" i="9" a="1"/>
  <c r="AR132" i="9" s="1"/>
  <c r="AR105" i="9" a="1"/>
  <c r="AR105" i="9" s="1"/>
  <c r="AR110" i="9" a="1"/>
  <c r="AR110" i="9" s="1"/>
  <c r="AR103" i="9" a="1"/>
  <c r="AR103" i="9" s="1"/>
  <c r="AR120" i="9" a="1"/>
  <c r="AR120" i="9" s="1"/>
  <c r="AR108" i="9" a="1"/>
  <c r="AR108" i="9" s="1"/>
  <c r="AR118" i="9" a="1"/>
  <c r="AR118" i="9" s="1"/>
  <c r="AR106" i="9" a="1"/>
  <c r="AR106" i="9" s="1"/>
  <c r="AR102" i="9" a="1"/>
  <c r="AR102" i="9" s="1"/>
  <c r="AR99" i="9" a="1"/>
  <c r="AR99" i="9" s="1"/>
  <c r="AR92" i="9" a="1"/>
  <c r="AR92" i="9" s="1"/>
  <c r="AR97" i="9" a="1"/>
  <c r="AR97" i="9" s="1"/>
  <c r="AR101" i="9" a="1"/>
  <c r="AR101" i="9" s="1"/>
  <c r="AR95" i="9" a="1"/>
  <c r="AR95" i="9" s="1"/>
  <c r="AR104" i="9" a="1"/>
  <c r="AR104" i="9" s="1"/>
  <c r="AR100" i="9" a="1"/>
  <c r="AR100" i="9" s="1"/>
  <c r="AR93" i="9" a="1"/>
  <c r="AR93" i="9" s="1"/>
  <c r="AR111" i="9" a="1"/>
  <c r="AR111" i="9" s="1"/>
  <c r="AR98" i="9" a="1"/>
  <c r="AR98" i="9" s="1"/>
  <c r="AR88" i="9" a="1"/>
  <c r="AR88" i="9" s="1"/>
  <c r="AR96" i="9" a="1"/>
  <c r="AR96" i="9" s="1"/>
  <c r="AR81" i="9" a="1"/>
  <c r="AR81" i="9" s="1"/>
  <c r="AR112" i="9" a="1"/>
  <c r="AR112" i="9" s="1"/>
  <c r="AR91" i="9" a="1"/>
  <c r="AR91" i="9" s="1"/>
  <c r="AR90" i="9" a="1"/>
  <c r="AR90" i="9" s="1"/>
  <c r="AR86" i="9" a="1"/>
  <c r="AR86" i="9" s="1"/>
  <c r="AR84" i="9" a="1"/>
  <c r="AR84" i="9" s="1"/>
  <c r="AR89" i="9" a="1"/>
  <c r="AR89" i="9" s="1"/>
  <c r="AR82" i="9" a="1"/>
  <c r="AR82" i="9" s="1"/>
  <c r="AR87" i="9" a="1"/>
  <c r="AR87" i="9" s="1"/>
  <c r="AR80" i="9" a="1"/>
  <c r="AR80" i="9" s="1"/>
  <c r="AR85" i="9" a="1"/>
  <c r="AR85" i="9" s="1"/>
  <c r="AR77" i="9" a="1"/>
  <c r="AR77" i="9" s="1"/>
  <c r="AR70" i="9" a="1"/>
  <c r="AR70" i="9" s="1"/>
  <c r="AR75" i="9" a="1"/>
  <c r="AR75" i="9" s="1"/>
  <c r="AR68" i="9" a="1"/>
  <c r="AR68" i="9" s="1"/>
  <c r="AR73" i="9" a="1"/>
  <c r="AR73" i="9" s="1"/>
  <c r="AR78" i="9" a="1"/>
  <c r="AR78" i="9" s="1"/>
  <c r="AR71" i="9" a="1"/>
  <c r="AR71" i="9" s="1"/>
  <c r="AR94" i="9" a="1"/>
  <c r="AR94" i="9" s="1"/>
  <c r="AR76" i="9" a="1"/>
  <c r="AR76" i="9" s="1"/>
  <c r="AR69" i="9" a="1"/>
  <c r="AR69" i="9" s="1"/>
  <c r="AR74" i="9" a="1"/>
  <c r="AR74" i="9" s="1"/>
  <c r="AR58" i="9" a="1"/>
  <c r="AR58" i="9" s="1"/>
  <c r="AR46" i="9" a="1"/>
  <c r="AR46" i="9" s="1"/>
  <c r="AR63" i="9" a="1"/>
  <c r="AR63" i="9" s="1"/>
  <c r="AR51" i="9" a="1"/>
  <c r="AR51" i="9" s="1"/>
  <c r="AR39" i="9" a="1"/>
  <c r="AR39" i="9" s="1"/>
  <c r="AR56" i="9" a="1"/>
  <c r="AR56" i="9" s="1"/>
  <c r="AR44" i="9" a="1"/>
  <c r="AR44" i="9" s="1"/>
  <c r="AR61" i="9" a="1"/>
  <c r="AR61" i="9" s="1"/>
  <c r="AR49" i="9" a="1"/>
  <c r="AR49" i="9" s="1"/>
  <c r="AR54" i="9" a="1"/>
  <c r="AR54" i="9" s="1"/>
  <c r="AR42" i="9" a="1"/>
  <c r="AR42" i="9" s="1"/>
  <c r="AR59" i="9" a="1"/>
  <c r="AR59" i="9" s="1"/>
  <c r="AR47" i="9" a="1"/>
  <c r="AR47" i="9" s="1"/>
  <c r="AR66" i="9" a="1"/>
  <c r="AR66" i="9" s="1"/>
  <c r="AR64" i="9" a="1"/>
  <c r="AR64" i="9" s="1"/>
  <c r="AR52" i="9" a="1"/>
  <c r="AR52" i="9" s="1"/>
  <c r="AR40" i="9" a="1"/>
  <c r="AR40" i="9" s="1"/>
  <c r="AR57" i="9" a="1"/>
  <c r="AR57" i="9" s="1"/>
  <c r="AR45" i="9" a="1"/>
  <c r="AR45" i="9" s="1"/>
  <c r="AR62" i="9" a="1"/>
  <c r="AR62" i="9" s="1"/>
  <c r="AR50" i="9" a="1"/>
  <c r="AR50" i="9" s="1"/>
  <c r="AR55" i="9" a="1"/>
  <c r="AR55" i="9" s="1"/>
  <c r="AR43" i="9" a="1"/>
  <c r="AR43" i="9" s="1"/>
  <c r="AR34" i="9" a="1"/>
  <c r="AR34" i="9" s="1"/>
  <c r="AR22" i="9" a="1"/>
  <c r="AR22" i="9" s="1"/>
  <c r="AR72" i="9" a="1"/>
  <c r="AR72" i="9" s="1"/>
  <c r="AR27" i="9" a="1"/>
  <c r="AR27" i="9" s="1"/>
  <c r="AR32" i="9" a="1"/>
  <c r="AR32" i="9" s="1"/>
  <c r="AR20" i="9" a="1"/>
  <c r="AR20" i="9" s="1"/>
  <c r="AR83" i="9" a="1"/>
  <c r="AR83" i="9" s="1"/>
  <c r="AR67" i="9" a="1"/>
  <c r="AR67" i="9" s="1"/>
  <c r="AR37" i="9" a="1"/>
  <c r="AR37" i="9" s="1"/>
  <c r="AR30" i="9" a="1"/>
  <c r="AR30" i="9" s="1"/>
  <c r="AR18" i="9" a="1"/>
  <c r="AR18" i="9" s="1"/>
  <c r="AR60" i="9" a="1"/>
  <c r="AR60" i="9" s="1"/>
  <c r="AR48" i="9" a="1"/>
  <c r="AR48" i="9" s="1"/>
  <c r="AR35" i="9" a="1"/>
  <c r="AR35" i="9" s="1"/>
  <c r="AR23" i="9" a="1"/>
  <c r="AR23" i="9" s="1"/>
  <c r="AR33" i="9" a="1"/>
  <c r="AR33" i="9" s="1"/>
  <c r="AR21" i="9" a="1"/>
  <c r="AR21" i="9" s="1"/>
  <c r="AR26" i="9" a="1"/>
  <c r="AR26" i="9" s="1"/>
  <c r="AR79" i="9" a="1"/>
  <c r="AR79" i="9" s="1"/>
  <c r="AR38" i="9" a="1"/>
  <c r="AR38" i="9" s="1"/>
  <c r="AR31" i="9" a="1"/>
  <c r="AR31" i="9" s="1"/>
  <c r="AR16" i="9" a="1"/>
  <c r="AR16" i="9" s="1"/>
  <c r="AR13" i="9" a="1"/>
  <c r="AR13" i="9" s="1"/>
  <c r="AR36" i="9" a="1"/>
  <c r="AR36" i="9" s="1"/>
  <c r="AR53" i="9" a="1"/>
  <c r="AR53" i="9" s="1"/>
  <c r="AR11" i="9" a="1"/>
  <c r="AR11" i="9" s="1"/>
  <c r="AR4" i="9" a="1"/>
  <c r="AR4" i="9" s="1"/>
  <c r="AR9" i="9" a="1"/>
  <c r="AR9" i="9" s="1"/>
  <c r="AR19" i="9" a="1"/>
  <c r="AR19" i="9" s="1"/>
  <c r="AR14" i="9" a="1"/>
  <c r="AR14" i="9" s="1"/>
  <c r="AR29" i="9" a="1"/>
  <c r="AR29" i="9" s="1"/>
  <c r="AR25" i="9" a="1"/>
  <c r="AR25" i="9" s="1"/>
  <c r="AR7" i="9" a="1"/>
  <c r="AR7" i="9" s="1"/>
  <c r="AR12" i="9" a="1"/>
  <c r="AR12" i="9" s="1"/>
  <c r="AR24" i="9" a="1"/>
  <c r="AR24" i="9" s="1"/>
  <c r="AR10" i="9" a="1"/>
  <c r="AR10" i="9" s="1"/>
  <c r="AR65" i="9" a="1"/>
  <c r="AR65" i="9" s="1"/>
  <c r="AR41" i="9" a="1"/>
  <c r="AR41" i="9" s="1"/>
  <c r="AR28" i="9" a="1"/>
  <c r="AR28" i="9" s="1"/>
  <c r="BD136" i="9" a="1"/>
  <c r="BD136" i="9" s="1"/>
  <c r="BD131" i="9" a="1"/>
  <c r="BD131" i="9" s="1"/>
  <c r="BD127" i="9" a="1"/>
  <c r="BD127" i="9" s="1"/>
  <c r="BD133" i="9" a="1"/>
  <c r="BD133" i="9" s="1"/>
  <c r="BD135" i="9" a="1"/>
  <c r="BD135" i="9" s="1"/>
  <c r="BD134" i="9" a="1"/>
  <c r="BD134" i="9" s="1"/>
  <c r="BD132" i="9" a="1"/>
  <c r="BD132" i="9" s="1"/>
  <c r="BD129" i="9" a="1"/>
  <c r="BD129" i="9" s="1"/>
  <c r="BD128" i="9" a="1"/>
  <c r="BD128" i="9" s="1"/>
  <c r="BD122" i="9" a="1"/>
  <c r="BD122" i="9" s="1"/>
  <c r="BD124" i="9" a="1"/>
  <c r="BD124" i="9" s="1"/>
  <c r="BD130" i="9" a="1"/>
  <c r="BD130" i="9" s="1"/>
  <c r="BD123" i="9" a="1"/>
  <c r="BD123" i="9" s="1"/>
  <c r="BD114" i="9" a="1"/>
  <c r="BD114" i="9" s="1"/>
  <c r="BD125" i="9" a="1"/>
  <c r="BD125" i="9" s="1"/>
  <c r="BD126" i="9" a="1"/>
  <c r="BD126" i="9" s="1"/>
  <c r="BD117" i="9" a="1"/>
  <c r="BD117" i="9" s="1"/>
  <c r="BD115" i="9" a="1"/>
  <c r="BD115" i="9" s="1"/>
  <c r="BD120" i="9" a="1"/>
  <c r="BD120" i="9" s="1"/>
  <c r="BD119" i="9" a="1"/>
  <c r="BD119" i="9" s="1"/>
  <c r="BD113" i="9" a="1"/>
  <c r="BD113" i="9" s="1"/>
  <c r="BD121" i="9" a="1"/>
  <c r="BD121" i="9" s="1"/>
  <c r="BD118" i="9" a="1"/>
  <c r="BD118" i="9" s="1"/>
  <c r="BD109" i="9" a="1"/>
  <c r="BD109" i="9" s="1"/>
  <c r="BD107" i="9" a="1"/>
  <c r="BD107" i="9" s="1"/>
  <c r="BD112" i="9" a="1"/>
  <c r="BD112" i="9" s="1"/>
  <c r="BD105" i="9" a="1"/>
  <c r="BD105" i="9" s="1"/>
  <c r="BD110" i="9" a="1"/>
  <c r="BD110" i="9" s="1"/>
  <c r="BD116" i="9" a="1"/>
  <c r="BD116" i="9" s="1"/>
  <c r="BD103" i="9" a="1"/>
  <c r="BD103" i="9" s="1"/>
  <c r="BD108" i="9" a="1"/>
  <c r="BD108" i="9" s="1"/>
  <c r="BD106" i="9" a="1"/>
  <c r="BD106" i="9" s="1"/>
  <c r="BD100" i="9" a="1"/>
  <c r="BD100" i="9" s="1"/>
  <c r="BD99" i="9" a="1"/>
  <c r="BD99" i="9" s="1"/>
  <c r="BD92" i="9" a="1"/>
  <c r="BD92" i="9" s="1"/>
  <c r="BD97" i="9" a="1"/>
  <c r="BD97" i="9" s="1"/>
  <c r="BD102" i="9" a="1"/>
  <c r="BD102" i="9" s="1"/>
  <c r="BD95" i="9" a="1"/>
  <c r="BD95" i="9" s="1"/>
  <c r="BD101" i="9" a="1"/>
  <c r="BD101" i="9" s="1"/>
  <c r="BD93" i="9" a="1"/>
  <c r="BD93" i="9" s="1"/>
  <c r="BD98" i="9" a="1"/>
  <c r="BD98" i="9" s="1"/>
  <c r="BD88" i="9" a="1"/>
  <c r="BD88" i="9" s="1"/>
  <c r="BD81" i="9" a="1"/>
  <c r="BD81" i="9" s="1"/>
  <c r="BD86" i="9" a="1"/>
  <c r="BD86" i="9" s="1"/>
  <c r="BD94" i="9" a="1"/>
  <c r="BD94" i="9" s="1"/>
  <c r="BD84" i="9" a="1"/>
  <c r="BD84" i="9" s="1"/>
  <c r="BD111" i="9" a="1"/>
  <c r="BD111" i="9" s="1"/>
  <c r="BD89" i="9" a="1"/>
  <c r="BD89" i="9" s="1"/>
  <c r="BD82" i="9" a="1"/>
  <c r="BD82" i="9" s="1"/>
  <c r="BD96" i="9" a="1"/>
  <c r="BD96" i="9" s="1"/>
  <c r="BD87" i="9" a="1"/>
  <c r="BD87" i="9" s="1"/>
  <c r="BD91" i="9" a="1"/>
  <c r="BD91" i="9" s="1"/>
  <c r="BD90" i="9" a="1"/>
  <c r="BD90" i="9" s="1"/>
  <c r="BD80" i="9" a="1"/>
  <c r="BD80" i="9" s="1"/>
  <c r="BD85" i="9" a="1"/>
  <c r="BD85" i="9" s="1"/>
  <c r="BD77" i="9" a="1"/>
  <c r="BD77" i="9" s="1"/>
  <c r="BD70" i="9" a="1"/>
  <c r="BD70" i="9" s="1"/>
  <c r="BD75" i="9" a="1"/>
  <c r="BD75" i="9" s="1"/>
  <c r="BD79" i="9" a="1"/>
  <c r="BD79" i="9" s="1"/>
  <c r="BD68" i="9" a="1"/>
  <c r="BD68" i="9" s="1"/>
  <c r="BD104" i="9" a="1"/>
  <c r="BD104" i="9" s="1"/>
  <c r="BD73" i="9" a="1"/>
  <c r="BD73" i="9" s="1"/>
  <c r="BD78" i="9" a="1"/>
  <c r="BD78" i="9" s="1"/>
  <c r="BD71" i="9" a="1"/>
  <c r="BD71" i="9" s="1"/>
  <c r="BD83" i="9" a="1"/>
  <c r="BD83" i="9" s="1"/>
  <c r="BD76" i="9" a="1"/>
  <c r="BD76" i="9" s="1"/>
  <c r="BD69" i="9" a="1"/>
  <c r="BD69" i="9" s="1"/>
  <c r="BD74" i="9" a="1"/>
  <c r="BD74" i="9" s="1"/>
  <c r="BD58" i="9" a="1"/>
  <c r="BD58" i="9" s="1"/>
  <c r="BD46" i="9" a="1"/>
  <c r="BD46" i="9" s="1"/>
  <c r="BD66" i="9" a="1"/>
  <c r="BD66" i="9" s="1"/>
  <c r="BD63" i="9" a="1"/>
  <c r="BD63" i="9" s="1"/>
  <c r="BD51" i="9" a="1"/>
  <c r="BD51" i="9" s="1"/>
  <c r="BD39" i="9" a="1"/>
  <c r="BD39" i="9" s="1"/>
  <c r="BD56" i="9" a="1"/>
  <c r="BD56" i="9" s="1"/>
  <c r="BD44" i="9" a="1"/>
  <c r="BD44" i="9" s="1"/>
  <c r="BD61" i="9" a="1"/>
  <c r="BD61" i="9" s="1"/>
  <c r="BD49" i="9" a="1"/>
  <c r="BD49" i="9" s="1"/>
  <c r="BD54" i="9" a="1"/>
  <c r="BD54" i="9" s="1"/>
  <c r="BD42" i="9" a="1"/>
  <c r="BD42" i="9" s="1"/>
  <c r="BD72" i="9" a="1"/>
  <c r="BD72" i="9" s="1"/>
  <c r="BD67" i="9" a="1"/>
  <c r="BD67" i="9" s="1"/>
  <c r="BD59" i="9" a="1"/>
  <c r="BD59" i="9" s="1"/>
  <c r="BD47" i="9" a="1"/>
  <c r="BD47" i="9" s="1"/>
  <c r="BD64" i="9" a="1"/>
  <c r="BD64" i="9" s="1"/>
  <c r="BD52" i="9" a="1"/>
  <c r="BD52" i="9" s="1"/>
  <c r="BD40" i="9" a="1"/>
  <c r="BD40" i="9" s="1"/>
  <c r="BD57" i="9" a="1"/>
  <c r="BD57" i="9" s="1"/>
  <c r="BD45" i="9" a="1"/>
  <c r="BD45" i="9" s="1"/>
  <c r="BD62" i="9" a="1"/>
  <c r="BD62" i="9" s="1"/>
  <c r="BD50" i="9" a="1"/>
  <c r="BD50" i="9" s="1"/>
  <c r="BD34" i="9" a="1"/>
  <c r="BD34" i="9" s="1"/>
  <c r="BD22" i="9" a="1"/>
  <c r="BD22" i="9" s="1"/>
  <c r="BD27" i="9" a="1"/>
  <c r="BD27" i="9" s="1"/>
  <c r="BD32" i="9" a="1"/>
  <c r="BD32" i="9" s="1"/>
  <c r="BD20" i="9" a="1"/>
  <c r="BD20" i="9" s="1"/>
  <c r="BD37" i="9" a="1"/>
  <c r="BD37" i="9" s="1"/>
  <c r="BD65" i="9" a="1"/>
  <c r="BD65" i="9" s="1"/>
  <c r="BD53" i="9" a="1"/>
  <c r="BD53" i="9" s="1"/>
  <c r="BD41" i="9" a="1"/>
  <c r="BD41" i="9" s="1"/>
  <c r="BD30" i="9" a="1"/>
  <c r="BD30" i="9" s="1"/>
  <c r="BD18" i="9" a="1"/>
  <c r="BD18" i="9" s="1"/>
  <c r="BD35" i="9" a="1"/>
  <c r="BD35" i="9" s="1"/>
  <c r="BD23" i="9" a="1"/>
  <c r="BD23" i="9" s="1"/>
  <c r="BD55" i="9" a="1"/>
  <c r="BD55" i="9" s="1"/>
  <c r="BD33" i="9" a="1"/>
  <c r="BD33" i="9" s="1"/>
  <c r="BD21" i="9" a="1"/>
  <c r="BD21" i="9" s="1"/>
  <c r="BD26" i="9" a="1"/>
  <c r="BD26" i="9" s="1"/>
  <c r="BD38" i="9" a="1"/>
  <c r="BD38" i="9" s="1"/>
  <c r="BD31" i="9" a="1"/>
  <c r="BD31" i="9" s="1"/>
  <c r="BD60" i="9" a="1"/>
  <c r="BD60" i="9" s="1"/>
  <c r="BD29" i="9" a="1"/>
  <c r="BD29" i="9" s="1"/>
  <c r="BD13" i="9" a="1"/>
  <c r="BD13" i="9" s="1"/>
  <c r="BD17" i="9" a="1"/>
  <c r="BD17" i="9" s="1"/>
  <c r="BD43" i="9" a="1"/>
  <c r="BD43" i="9" s="1"/>
  <c r="BD16" i="9" a="1"/>
  <c r="BD16" i="9" s="1"/>
  <c r="BD11" i="9" a="1"/>
  <c r="BD11" i="9" s="1"/>
  <c r="BD4" i="9" a="1"/>
  <c r="BD4" i="9" s="1"/>
  <c r="BD48" i="9" a="1"/>
  <c r="BD48" i="9" s="1"/>
  <c r="BD28" i="9" a="1"/>
  <c r="BD28" i="9" s="1"/>
  <c r="BD9" i="9" a="1"/>
  <c r="BD9" i="9" s="1"/>
  <c r="BD14" i="9" a="1"/>
  <c r="BD14" i="9" s="1"/>
  <c r="BD7" i="9" a="1"/>
  <c r="BD7" i="9" s="1"/>
  <c r="BD36" i="9" a="1"/>
  <c r="BD36" i="9" s="1"/>
  <c r="BD19" i="9" a="1"/>
  <c r="BD19" i="9" s="1"/>
  <c r="BD12" i="9" a="1"/>
  <c r="BD12" i="9" s="1"/>
  <c r="BD25" i="9" a="1"/>
  <c r="BD25" i="9" s="1"/>
  <c r="BD10" i="9" a="1"/>
  <c r="BD10" i="9" s="1"/>
  <c r="BD24" i="9" a="1"/>
  <c r="BD24" i="9" s="1"/>
  <c r="BP136" i="9" a="1"/>
  <c r="BP136" i="9" s="1"/>
  <c r="BP131" i="9" a="1"/>
  <c r="BP131" i="9" s="1"/>
  <c r="BP128" i="9" a="1"/>
  <c r="BP128" i="9" s="1"/>
  <c r="BP134" i="9" a="1"/>
  <c r="BP134" i="9" s="1"/>
  <c r="BP127" i="9" a="1"/>
  <c r="BP127" i="9" s="1"/>
  <c r="BP132" i="9" a="1"/>
  <c r="BP132" i="9" s="1"/>
  <c r="BP129" i="9" a="1"/>
  <c r="BP129" i="9" s="1"/>
  <c r="BP135" i="9" a="1"/>
  <c r="BP135" i="9" s="1"/>
  <c r="BP122" i="9" a="1"/>
  <c r="BP122" i="9" s="1"/>
  <c r="BP126" i="9" a="1"/>
  <c r="BP126" i="9" s="1"/>
  <c r="BP125" i="9" a="1"/>
  <c r="BP125" i="9" s="1"/>
  <c r="BP114" i="9" a="1"/>
  <c r="BP114" i="9" s="1"/>
  <c r="BP117" i="9" a="1"/>
  <c r="BP117" i="9" s="1"/>
  <c r="BP120" i="9" a="1"/>
  <c r="BP120" i="9" s="1"/>
  <c r="BP123" i="9" a="1"/>
  <c r="BP123" i="9" s="1"/>
  <c r="BP115" i="9" a="1"/>
  <c r="BP115" i="9" s="1"/>
  <c r="BP133" i="9" a="1"/>
  <c r="BP133" i="9" s="1"/>
  <c r="BP113" i="9" a="1"/>
  <c r="BP113" i="9" s="1"/>
  <c r="BP124" i="9" a="1"/>
  <c r="BP124" i="9" s="1"/>
  <c r="BP130" i="9" a="1"/>
  <c r="BP130" i="9" s="1"/>
  <c r="BP109" i="9" a="1"/>
  <c r="BP109" i="9" s="1"/>
  <c r="BP121" i="9" a="1"/>
  <c r="BP121" i="9" s="1"/>
  <c r="BP107" i="9" a="1"/>
  <c r="BP107" i="9" s="1"/>
  <c r="BP118" i="9" a="1"/>
  <c r="BP118" i="9" s="1"/>
  <c r="BP105" i="9" a="1"/>
  <c r="BP105" i="9" s="1"/>
  <c r="BP119" i="9" a="1"/>
  <c r="BP119" i="9" s="1"/>
  <c r="BP110" i="9" a="1"/>
  <c r="BP110" i="9" s="1"/>
  <c r="BP103" i="9" a="1"/>
  <c r="BP103" i="9" s="1"/>
  <c r="BP112" i="9" a="1"/>
  <c r="BP112" i="9" s="1"/>
  <c r="BP108" i="9" a="1"/>
  <c r="BP108" i="9" s="1"/>
  <c r="BP106" i="9" a="1"/>
  <c r="BP106" i="9" s="1"/>
  <c r="BP99" i="9" a="1"/>
  <c r="BP99" i="9" s="1"/>
  <c r="BP104" i="9" a="1"/>
  <c r="BP104" i="9" s="1"/>
  <c r="BP92" i="9" a="1"/>
  <c r="BP92" i="9" s="1"/>
  <c r="BP97" i="9" a="1"/>
  <c r="BP97" i="9" s="1"/>
  <c r="BP111" i="9" a="1"/>
  <c r="BP111" i="9" s="1"/>
  <c r="BP100" i="9" a="1"/>
  <c r="BP100" i="9" s="1"/>
  <c r="BP95" i="9" a="1"/>
  <c r="BP95" i="9" s="1"/>
  <c r="BP93" i="9" a="1"/>
  <c r="BP93" i="9" s="1"/>
  <c r="BP98" i="9" a="1"/>
  <c r="BP98" i="9" s="1"/>
  <c r="BP88" i="9" a="1"/>
  <c r="BP88" i="9" s="1"/>
  <c r="BP101" i="9" a="1"/>
  <c r="BP101" i="9" s="1"/>
  <c r="BP96" i="9" a="1"/>
  <c r="BP96" i="9" s="1"/>
  <c r="BP81" i="9" a="1"/>
  <c r="BP81" i="9" s="1"/>
  <c r="BP90" i="9" a="1"/>
  <c r="BP90" i="9" s="1"/>
  <c r="BP86" i="9" a="1"/>
  <c r="BP86" i="9" s="1"/>
  <c r="BP79" i="9" a="1"/>
  <c r="BP79" i="9" s="1"/>
  <c r="BP84" i="9" a="1"/>
  <c r="BP84" i="9" s="1"/>
  <c r="BP89" i="9" a="1"/>
  <c r="BP89" i="9" s="1"/>
  <c r="BP82" i="9" a="1"/>
  <c r="BP82" i="9" s="1"/>
  <c r="BP102" i="9" a="1"/>
  <c r="BP102" i="9" s="1"/>
  <c r="BP87" i="9" a="1"/>
  <c r="BP87" i="9" s="1"/>
  <c r="BP80" i="9" a="1"/>
  <c r="BP80" i="9" s="1"/>
  <c r="BP91" i="9" a="1"/>
  <c r="BP91" i="9" s="1"/>
  <c r="BP85" i="9" a="1"/>
  <c r="BP85" i="9" s="1"/>
  <c r="BP77" i="9" a="1"/>
  <c r="BP77" i="9" s="1"/>
  <c r="BP70" i="9" a="1"/>
  <c r="BP70" i="9" s="1"/>
  <c r="BP75" i="9" a="1"/>
  <c r="BP75" i="9" s="1"/>
  <c r="BP83" i="9" a="1"/>
  <c r="BP83" i="9" s="1"/>
  <c r="BP68" i="9" a="1"/>
  <c r="BP68" i="9" s="1"/>
  <c r="BP73" i="9" a="1"/>
  <c r="BP73" i="9" s="1"/>
  <c r="BP94" i="9" a="1"/>
  <c r="BP94" i="9" s="1"/>
  <c r="BP78" i="9" a="1"/>
  <c r="BP78" i="9" s="1"/>
  <c r="BP66" i="9" a="1"/>
  <c r="BP66" i="9" s="1"/>
  <c r="BP116" i="9" a="1"/>
  <c r="BP116" i="9" s="1"/>
  <c r="BP71" i="9" a="1"/>
  <c r="BP71" i="9" s="1"/>
  <c r="BP76" i="9" a="1"/>
  <c r="BP76" i="9" s="1"/>
  <c r="BP69" i="9" a="1"/>
  <c r="BP69" i="9" s="1"/>
  <c r="BP74" i="9" a="1"/>
  <c r="BP74" i="9" s="1"/>
  <c r="BP58" i="9" a="1"/>
  <c r="BP58" i="9" s="1"/>
  <c r="BP46" i="9" a="1"/>
  <c r="BP46" i="9" s="1"/>
  <c r="BP72" i="9" a="1"/>
  <c r="BP72" i="9" s="1"/>
  <c r="BP67" i="9" a="1"/>
  <c r="BP67" i="9" s="1"/>
  <c r="BP63" i="9" a="1"/>
  <c r="BP63" i="9" s="1"/>
  <c r="BP51" i="9" a="1"/>
  <c r="BP51" i="9" s="1"/>
  <c r="BP39" i="9" a="1"/>
  <c r="BP39" i="9" s="1"/>
  <c r="BP56" i="9" a="1"/>
  <c r="BP56" i="9" s="1"/>
  <c r="BP44" i="9" a="1"/>
  <c r="BP44" i="9" s="1"/>
  <c r="BP61" i="9" a="1"/>
  <c r="BP61" i="9" s="1"/>
  <c r="BP49" i="9" a="1"/>
  <c r="BP49" i="9" s="1"/>
  <c r="BP54" i="9" a="1"/>
  <c r="BP54" i="9" s="1"/>
  <c r="BP42" i="9" a="1"/>
  <c r="BP42" i="9" s="1"/>
  <c r="BP59" i="9" a="1"/>
  <c r="BP59" i="9" s="1"/>
  <c r="BP47" i="9" a="1"/>
  <c r="BP47" i="9" s="1"/>
  <c r="BP64" i="9" a="1"/>
  <c r="BP64" i="9" s="1"/>
  <c r="BP52" i="9" a="1"/>
  <c r="BP52" i="9" s="1"/>
  <c r="BP40" i="9" a="1"/>
  <c r="BP40" i="9" s="1"/>
  <c r="BP57" i="9" a="1"/>
  <c r="BP57" i="9" s="1"/>
  <c r="BP45" i="9" a="1"/>
  <c r="BP45" i="9" s="1"/>
  <c r="BP62" i="9" a="1"/>
  <c r="BP62" i="9" s="1"/>
  <c r="BP50" i="9" a="1"/>
  <c r="BP50" i="9" s="1"/>
  <c r="BP55" i="9" a="1"/>
  <c r="BP55" i="9" s="1"/>
  <c r="BP43" i="9" a="1"/>
  <c r="BP43" i="9" s="1"/>
  <c r="BP34" i="9" a="1"/>
  <c r="BP34" i="9" s="1"/>
  <c r="BP22" i="9" a="1"/>
  <c r="BP22" i="9" s="1"/>
  <c r="BP38" i="9" a="1"/>
  <c r="BP38" i="9" s="1"/>
  <c r="BP27" i="9" a="1"/>
  <c r="BP27" i="9" s="1"/>
  <c r="BP32" i="9" a="1"/>
  <c r="BP32" i="9" s="1"/>
  <c r="BP20" i="9" a="1"/>
  <c r="BP20" i="9" s="1"/>
  <c r="BP37" i="9" a="1"/>
  <c r="BP37" i="9" s="1"/>
  <c r="BP30" i="9" a="1"/>
  <c r="BP30" i="9" s="1"/>
  <c r="BP18" i="9" a="1"/>
  <c r="BP18" i="9" s="1"/>
  <c r="BP60" i="9" a="1"/>
  <c r="BP60" i="9" s="1"/>
  <c r="BP48" i="9" a="1"/>
  <c r="BP48" i="9" s="1"/>
  <c r="BP35" i="9" a="1"/>
  <c r="BP35" i="9" s="1"/>
  <c r="BP23" i="9" a="1"/>
  <c r="BP23" i="9" s="1"/>
  <c r="BP33" i="9" a="1"/>
  <c r="BP33" i="9" s="1"/>
  <c r="BP21" i="9" a="1"/>
  <c r="BP21" i="9" s="1"/>
  <c r="BP26" i="9" a="1"/>
  <c r="BP26" i="9" s="1"/>
  <c r="BP31" i="9" a="1"/>
  <c r="BP31" i="9" s="1"/>
  <c r="BP53" i="9" a="1"/>
  <c r="BP53" i="9" s="1"/>
  <c r="BP24" i="9" a="1"/>
  <c r="BP24" i="9" s="1"/>
  <c r="BP13" i="9" a="1"/>
  <c r="BP13" i="9" s="1"/>
  <c r="BP36" i="9" a="1"/>
  <c r="BP36" i="9" s="1"/>
  <c r="BP11" i="9" a="1"/>
  <c r="BP11" i="9" s="1"/>
  <c r="BP17" i="9" a="1"/>
  <c r="BP17" i="9" s="1"/>
  <c r="BP4" i="9" a="1"/>
  <c r="BP4" i="9" s="1"/>
  <c r="BP16" i="9" a="1"/>
  <c r="BP16" i="9" s="1"/>
  <c r="BP9" i="9" a="1"/>
  <c r="BP9" i="9" s="1"/>
  <c r="BP14" i="9" a="1"/>
  <c r="BP14" i="9" s="1"/>
  <c r="BP41" i="9" a="1"/>
  <c r="BP41" i="9" s="1"/>
  <c r="BP29" i="9" a="1"/>
  <c r="BP29" i="9" s="1"/>
  <c r="BP7" i="9" a="1"/>
  <c r="BP7" i="9" s="1"/>
  <c r="BP12" i="9" a="1"/>
  <c r="BP12" i="9" s="1"/>
  <c r="BP65" i="9" a="1"/>
  <c r="BP65" i="9" s="1"/>
  <c r="BP19" i="9" a="1"/>
  <c r="BP19" i="9" s="1"/>
  <c r="BP10" i="9" a="1"/>
  <c r="BP10" i="9" s="1"/>
  <c r="BP28" i="9" a="1"/>
  <c r="BP28" i="9" s="1"/>
  <c r="BP25" i="9" a="1"/>
  <c r="BP25" i="9" s="1"/>
  <c r="AI5" i="9" a="1"/>
  <c r="AI5" i="9" s="1"/>
  <c r="BP5" i="9" a="1"/>
  <c r="BP5" i="9" s="1"/>
  <c r="BY5" i="9" a="1"/>
  <c r="BY5" i="9" s="1"/>
  <c r="N6" i="9" a="1"/>
  <c r="N6" i="9" s="1"/>
  <c r="AM6" i="9" a="1"/>
  <c r="AM6" i="9" s="1"/>
  <c r="AV6" i="9" a="1"/>
  <c r="AV6" i="9" s="1"/>
  <c r="AC7" i="9" a="1"/>
  <c r="AC7" i="9" s="1"/>
  <c r="AU7" i="9" a="1"/>
  <c r="AU7" i="9" s="1"/>
  <c r="BM7" i="9" a="1"/>
  <c r="BM7" i="9" s="1"/>
  <c r="W8" i="9" a="1"/>
  <c r="W8" i="9" s="1"/>
  <c r="AI8" i="9" a="1"/>
  <c r="AI8" i="9" s="1"/>
  <c r="AU8" i="9" a="1"/>
  <c r="AU8" i="9" s="1"/>
  <c r="BG8" i="9" a="1"/>
  <c r="BG8" i="9" s="1"/>
  <c r="BS8" i="9" a="1"/>
  <c r="BS8" i="9" s="1"/>
  <c r="AC9" i="9" a="1"/>
  <c r="AC9" i="9" s="1"/>
  <c r="AU9" i="9" a="1"/>
  <c r="AU9" i="9" s="1"/>
  <c r="BM9" i="9" a="1"/>
  <c r="BM9" i="9" s="1"/>
  <c r="AE10" i="9" a="1"/>
  <c r="AE10" i="9" s="1"/>
  <c r="BC10" i="9" a="1"/>
  <c r="BC10" i="9" s="1"/>
  <c r="R12" i="9" a="1"/>
  <c r="R12" i="9" s="1"/>
  <c r="BB12" i="9" a="1"/>
  <c r="BB12" i="9" s="1"/>
  <c r="AF16" i="9" a="1"/>
  <c r="AF16" i="9" s="1"/>
  <c r="BX61" i="9" a="1"/>
  <c r="BX61" i="9" s="1"/>
  <c r="AW74" i="9" a="1"/>
  <c r="AW74" i="9" s="1"/>
  <c r="V129" i="9" a="1"/>
  <c r="V129" i="9" s="1"/>
  <c r="V132" i="9" a="1"/>
  <c r="V132" i="9" s="1"/>
  <c r="V131" i="9" a="1"/>
  <c r="V131" i="9" s="1"/>
  <c r="V133" i="9" a="1"/>
  <c r="V133" i="9" s="1"/>
  <c r="V128" i="9" a="1"/>
  <c r="V128" i="9" s="1"/>
  <c r="V130" i="9" a="1"/>
  <c r="V130" i="9" s="1"/>
  <c r="V136" i="9" a="1"/>
  <c r="V136" i="9" s="1"/>
  <c r="V125" i="9" a="1"/>
  <c r="V125" i="9" s="1"/>
  <c r="V127" i="9" a="1"/>
  <c r="V127" i="9" s="1"/>
  <c r="V126" i="9" a="1"/>
  <c r="V126" i="9" s="1"/>
  <c r="V122" i="9" a="1"/>
  <c r="V122" i="9" s="1"/>
  <c r="V135" i="9" a="1"/>
  <c r="V135" i="9" s="1"/>
  <c r="V134" i="9" a="1"/>
  <c r="V134" i="9" s="1"/>
  <c r="V123" i="9" a="1"/>
  <c r="V123" i="9" s="1"/>
  <c r="V113" i="9" a="1"/>
  <c r="V113" i="9" s="1"/>
  <c r="V118" i="9" a="1"/>
  <c r="V118" i="9" s="1"/>
  <c r="V116" i="9" a="1"/>
  <c r="V116" i="9" s="1"/>
  <c r="V124" i="9" a="1"/>
  <c r="V124" i="9" s="1"/>
  <c r="V119" i="9" a="1"/>
  <c r="V119" i="9" s="1"/>
  <c r="V121" i="9" a="1"/>
  <c r="V121" i="9" s="1"/>
  <c r="V105" i="9" a="1"/>
  <c r="V105" i="9" s="1"/>
  <c r="V120" i="9" a="1"/>
  <c r="V120" i="9" s="1"/>
  <c r="V103" i="9" a="1"/>
  <c r="V103" i="9" s="1"/>
  <c r="V108" i="9" a="1"/>
  <c r="V108" i="9" s="1"/>
  <c r="V117" i="9" a="1"/>
  <c r="V117" i="9" s="1"/>
  <c r="V106" i="9" a="1"/>
  <c r="V106" i="9" s="1"/>
  <c r="V111" i="9" a="1"/>
  <c r="V111" i="9" s="1"/>
  <c r="V114" i="9" a="1"/>
  <c r="V114" i="9" s="1"/>
  <c r="V104" i="9" a="1"/>
  <c r="V104" i="9" s="1"/>
  <c r="V102" i="9" a="1"/>
  <c r="V102" i="9" s="1"/>
  <c r="V115" i="9" a="1"/>
  <c r="V115" i="9" s="1"/>
  <c r="V97" i="9" a="1"/>
  <c r="V97" i="9" s="1"/>
  <c r="V95" i="9" a="1"/>
  <c r="V95" i="9" s="1"/>
  <c r="V100" i="9" a="1"/>
  <c r="V100" i="9" s="1"/>
  <c r="V93" i="9" a="1"/>
  <c r="V93" i="9" s="1"/>
  <c r="V110" i="9" a="1"/>
  <c r="V110" i="9" s="1"/>
  <c r="V98" i="9" a="1"/>
  <c r="V98" i="9" s="1"/>
  <c r="V109" i="9" a="1"/>
  <c r="V109" i="9" s="1"/>
  <c r="V101" i="9" a="1"/>
  <c r="V101" i="9" s="1"/>
  <c r="V96" i="9" a="1"/>
  <c r="V96" i="9" s="1"/>
  <c r="V94" i="9" a="1"/>
  <c r="V94" i="9" s="1"/>
  <c r="V99" i="9" a="1"/>
  <c r="V99" i="9" s="1"/>
  <c r="V84" i="9" a="1"/>
  <c r="V84" i="9" s="1"/>
  <c r="V91" i="9" a="1"/>
  <c r="V91" i="9" s="1"/>
  <c r="V89" i="9" a="1"/>
  <c r="V89" i="9" s="1"/>
  <c r="V82" i="9" a="1"/>
  <c r="V82" i="9" s="1"/>
  <c r="V87" i="9" a="1"/>
  <c r="V87" i="9" s="1"/>
  <c r="V80" i="9" a="1"/>
  <c r="V80" i="9" s="1"/>
  <c r="V112" i="9" a="1"/>
  <c r="V112" i="9" s="1"/>
  <c r="V92" i="9" a="1"/>
  <c r="V92" i="9" s="1"/>
  <c r="V85" i="9" a="1"/>
  <c r="V85" i="9" s="1"/>
  <c r="V90" i="9" a="1"/>
  <c r="V90" i="9" s="1"/>
  <c r="V83" i="9" a="1"/>
  <c r="V83" i="9" s="1"/>
  <c r="V88" i="9" a="1"/>
  <c r="V88" i="9" s="1"/>
  <c r="V81" i="9" a="1"/>
  <c r="V81" i="9" s="1"/>
  <c r="V73" i="9" a="1"/>
  <c r="V73" i="9" s="1"/>
  <c r="V107" i="9" a="1"/>
  <c r="V107" i="9" s="1"/>
  <c r="V78" i="9" a="1"/>
  <c r="V78" i="9" s="1"/>
  <c r="V71" i="9" a="1"/>
  <c r="V71" i="9" s="1"/>
  <c r="V86" i="9" a="1"/>
  <c r="V86" i="9" s="1"/>
  <c r="V76" i="9" a="1"/>
  <c r="V76" i="9" s="1"/>
  <c r="V69" i="9" a="1"/>
  <c r="V69" i="9" s="1"/>
  <c r="V74" i="9" a="1"/>
  <c r="V74" i="9" s="1"/>
  <c r="V79" i="9" a="1"/>
  <c r="V79" i="9" s="1"/>
  <c r="V67" i="9" a="1"/>
  <c r="V67" i="9" s="1"/>
  <c r="V72" i="9" a="1"/>
  <c r="V72" i="9" s="1"/>
  <c r="V77" i="9" a="1"/>
  <c r="V77" i="9" s="1"/>
  <c r="V70" i="9" a="1"/>
  <c r="V70" i="9" s="1"/>
  <c r="V66" i="9" a="1"/>
  <c r="V66" i="9" s="1"/>
  <c r="V54" i="9" a="1"/>
  <c r="V54" i="9" s="1"/>
  <c r="V42" i="9" a="1"/>
  <c r="V42" i="9" s="1"/>
  <c r="V75" i="9" a="1"/>
  <c r="V75" i="9" s="1"/>
  <c r="V68" i="9" a="1"/>
  <c r="V68" i="9" s="1"/>
  <c r="V59" i="9" a="1"/>
  <c r="V59" i="9" s="1"/>
  <c r="V47" i="9" a="1"/>
  <c r="V47" i="9" s="1"/>
  <c r="V64" i="9" a="1"/>
  <c r="V64" i="9" s="1"/>
  <c r="V52" i="9" a="1"/>
  <c r="V52" i="9" s="1"/>
  <c r="V40" i="9" a="1"/>
  <c r="V40" i="9" s="1"/>
  <c r="V57" i="9" a="1"/>
  <c r="V57" i="9" s="1"/>
  <c r="V45" i="9" a="1"/>
  <c r="V45" i="9" s="1"/>
  <c r="V62" i="9" a="1"/>
  <c r="V62" i="9" s="1"/>
  <c r="V50" i="9" a="1"/>
  <c r="V50" i="9" s="1"/>
  <c r="V55" i="9" a="1"/>
  <c r="V55" i="9" s="1"/>
  <c r="V43" i="9" a="1"/>
  <c r="V43" i="9" s="1"/>
  <c r="V60" i="9" a="1"/>
  <c r="V60" i="9" s="1"/>
  <c r="V48" i="9" a="1"/>
  <c r="V48" i="9" s="1"/>
  <c r="V65" i="9" a="1"/>
  <c r="V65" i="9" s="1"/>
  <c r="V53" i="9" a="1"/>
  <c r="V53" i="9" s="1"/>
  <c r="V41" i="9" a="1"/>
  <c r="V41" i="9" s="1"/>
  <c r="V58" i="9" a="1"/>
  <c r="V58" i="9" s="1"/>
  <c r="V46" i="9" a="1"/>
  <c r="V46" i="9" s="1"/>
  <c r="V30" i="9" a="1"/>
  <c r="V30" i="9" s="1"/>
  <c r="V18" i="9" a="1"/>
  <c r="V18" i="9" s="1"/>
  <c r="V35" i="9" a="1"/>
  <c r="V35" i="9" s="1"/>
  <c r="V23" i="9" a="1"/>
  <c r="V23" i="9" s="1"/>
  <c r="V61" i="9" a="1"/>
  <c r="V61" i="9" s="1"/>
  <c r="V49" i="9" a="1"/>
  <c r="V49" i="9" s="1"/>
  <c r="V28" i="9" a="1"/>
  <c r="V28" i="9" s="1"/>
  <c r="V33" i="9" a="1"/>
  <c r="V33" i="9" s="1"/>
  <c r="V63" i="9" a="1"/>
  <c r="V63" i="9" s="1"/>
  <c r="V51" i="9" a="1"/>
  <c r="V51" i="9" s="1"/>
  <c r="V38" i="9" a="1"/>
  <c r="V38" i="9" s="1"/>
  <c r="V26" i="9" a="1"/>
  <c r="V26" i="9" s="1"/>
  <c r="V31" i="9" a="1"/>
  <c r="V31" i="9" s="1"/>
  <c r="V19" i="9" a="1"/>
  <c r="V19" i="9" s="1"/>
  <c r="V39" i="9" a="1"/>
  <c r="V39" i="9" s="1"/>
  <c r="V29" i="9" a="1"/>
  <c r="V29" i="9" s="1"/>
  <c r="V17" i="9" a="1"/>
  <c r="V17" i="9" s="1"/>
  <c r="V34" i="9" a="1"/>
  <c r="V34" i="9" s="1"/>
  <c r="V22" i="9" a="1"/>
  <c r="V22" i="9" s="1"/>
  <c r="V56" i="9" a="1"/>
  <c r="V56" i="9" s="1"/>
  <c r="V44" i="9" a="1"/>
  <c r="V44" i="9" s="1"/>
  <c r="V27" i="9" a="1"/>
  <c r="V27" i="9" s="1"/>
  <c r="AH131" i="9" a="1"/>
  <c r="AH131" i="9" s="1"/>
  <c r="AH129" i="9" a="1"/>
  <c r="AH129" i="9" s="1"/>
  <c r="AH134" i="9" a="1"/>
  <c r="AH134" i="9" s="1"/>
  <c r="AH130" i="9" a="1"/>
  <c r="AH130" i="9" s="1"/>
  <c r="AH132" i="9" a="1"/>
  <c r="AH132" i="9" s="1"/>
  <c r="AH128" i="9" a="1"/>
  <c r="AH128" i="9" s="1"/>
  <c r="AH136" i="9" a="1"/>
  <c r="AH136" i="9" s="1"/>
  <c r="AH135" i="9" a="1"/>
  <c r="AH135" i="9" s="1"/>
  <c r="AH125" i="9" a="1"/>
  <c r="AH125" i="9" s="1"/>
  <c r="AH127" i="9" a="1"/>
  <c r="AH127" i="9" s="1"/>
  <c r="AH133" i="9" a="1"/>
  <c r="AH133" i="9" s="1"/>
  <c r="AH126" i="9" a="1"/>
  <c r="AH126" i="9" s="1"/>
  <c r="AH122" i="9" a="1"/>
  <c r="AH122" i="9" s="1"/>
  <c r="AH124" i="9" a="1"/>
  <c r="AH124" i="9" s="1"/>
  <c r="AH121" i="9" a="1"/>
  <c r="AH121" i="9" s="1"/>
  <c r="AH123" i="9" a="1"/>
  <c r="AH123" i="9" s="1"/>
  <c r="AH113" i="9" a="1"/>
  <c r="AH113" i="9" s="1"/>
  <c r="AH118" i="9" a="1"/>
  <c r="AH118" i="9" s="1"/>
  <c r="AH116" i="9" a="1"/>
  <c r="AH116" i="9" s="1"/>
  <c r="AH120" i="9" a="1"/>
  <c r="AH120" i="9" s="1"/>
  <c r="AH119" i="9" a="1"/>
  <c r="AH119" i="9" s="1"/>
  <c r="AH105" i="9" a="1"/>
  <c r="AH105" i="9" s="1"/>
  <c r="AH103" i="9" a="1"/>
  <c r="AH103" i="9" s="1"/>
  <c r="AH112" i="9" a="1"/>
  <c r="AH112" i="9" s="1"/>
  <c r="AH108" i="9" a="1"/>
  <c r="AH108" i="9" s="1"/>
  <c r="AH101" i="9" a="1"/>
  <c r="AH101" i="9" s="1"/>
  <c r="AH106" i="9" a="1"/>
  <c r="AH106" i="9" s="1"/>
  <c r="AH111" i="9" a="1"/>
  <c r="AH111" i="9" s="1"/>
  <c r="AH104" i="9" a="1"/>
  <c r="AH104" i="9" s="1"/>
  <c r="AH117" i="9" a="1"/>
  <c r="AH117" i="9" s="1"/>
  <c r="AH114" i="9" a="1"/>
  <c r="AH114" i="9" s="1"/>
  <c r="AH102" i="9" a="1"/>
  <c r="AH102" i="9" s="1"/>
  <c r="AH97" i="9" a="1"/>
  <c r="AH97" i="9" s="1"/>
  <c r="AH95" i="9" a="1"/>
  <c r="AH95" i="9" s="1"/>
  <c r="AH100" i="9" a="1"/>
  <c r="AH100" i="9" s="1"/>
  <c r="AH93" i="9" a="1"/>
  <c r="AH93" i="9" s="1"/>
  <c r="AH107" i="9" a="1"/>
  <c r="AH107" i="9" s="1"/>
  <c r="AH98" i="9" a="1"/>
  <c r="AH98" i="9" s="1"/>
  <c r="AH96" i="9" a="1"/>
  <c r="AH96" i="9" s="1"/>
  <c r="AH115" i="9" a="1"/>
  <c r="AH115" i="9" s="1"/>
  <c r="AH110" i="9" a="1"/>
  <c r="AH110" i="9" s="1"/>
  <c r="AH94" i="9" a="1"/>
  <c r="AH94" i="9" s="1"/>
  <c r="AH84" i="9" a="1"/>
  <c r="AH84" i="9" s="1"/>
  <c r="AH89" i="9" a="1"/>
  <c r="AH89" i="9" s="1"/>
  <c r="AH82" i="9" a="1"/>
  <c r="AH82" i="9" s="1"/>
  <c r="AH87" i="9" a="1"/>
  <c r="AH87" i="9" s="1"/>
  <c r="AH80" i="9" a="1"/>
  <c r="AH80" i="9" s="1"/>
  <c r="AH85" i="9" a="1"/>
  <c r="AH85" i="9" s="1"/>
  <c r="AH109" i="9" a="1"/>
  <c r="AH109" i="9" s="1"/>
  <c r="AH99" i="9" a="1"/>
  <c r="AH99" i="9" s="1"/>
  <c r="AH90" i="9" a="1"/>
  <c r="AH90" i="9" s="1"/>
  <c r="AH91" i="9" a="1"/>
  <c r="AH91" i="9" s="1"/>
  <c r="AH83" i="9" a="1"/>
  <c r="AH83" i="9" s="1"/>
  <c r="AH88" i="9" a="1"/>
  <c r="AH88" i="9" s="1"/>
  <c r="AH81" i="9" a="1"/>
  <c r="AH81" i="9" s="1"/>
  <c r="AH73" i="9" a="1"/>
  <c r="AH73" i="9" s="1"/>
  <c r="AH78" i="9" a="1"/>
  <c r="AH78" i="9" s="1"/>
  <c r="AH71" i="9" a="1"/>
  <c r="AH71" i="9" s="1"/>
  <c r="AH76" i="9" a="1"/>
  <c r="AH76" i="9" s="1"/>
  <c r="AH69" i="9" a="1"/>
  <c r="AH69" i="9" s="1"/>
  <c r="AH74" i="9" a="1"/>
  <c r="AH74" i="9" s="1"/>
  <c r="AH79" i="9" a="1"/>
  <c r="AH79" i="9" s="1"/>
  <c r="AH67" i="9" a="1"/>
  <c r="AH67" i="9" s="1"/>
  <c r="AH72" i="9" a="1"/>
  <c r="AH72" i="9" s="1"/>
  <c r="AH77" i="9" a="1"/>
  <c r="AH77" i="9" s="1"/>
  <c r="AH70" i="9" a="1"/>
  <c r="AH70" i="9" s="1"/>
  <c r="AH66" i="9" a="1"/>
  <c r="AH66" i="9" s="1"/>
  <c r="AH54" i="9" a="1"/>
  <c r="AH54" i="9" s="1"/>
  <c r="AH42" i="9" a="1"/>
  <c r="AH42" i="9" s="1"/>
  <c r="AH92" i="9" a="1"/>
  <c r="AH92" i="9" s="1"/>
  <c r="AH59" i="9" a="1"/>
  <c r="AH59" i="9" s="1"/>
  <c r="AH47" i="9" a="1"/>
  <c r="AH47" i="9" s="1"/>
  <c r="AH64" i="9" a="1"/>
  <c r="AH64" i="9" s="1"/>
  <c r="AH52" i="9" a="1"/>
  <c r="AH52" i="9" s="1"/>
  <c r="AH40" i="9" a="1"/>
  <c r="AH40" i="9" s="1"/>
  <c r="AH86" i="9" a="1"/>
  <c r="AH86" i="9" s="1"/>
  <c r="AH57" i="9" a="1"/>
  <c r="AH57" i="9" s="1"/>
  <c r="AH45" i="9" a="1"/>
  <c r="AH45" i="9" s="1"/>
  <c r="AH62" i="9" a="1"/>
  <c r="AH62" i="9" s="1"/>
  <c r="AH50" i="9" a="1"/>
  <c r="AH50" i="9" s="1"/>
  <c r="AH55" i="9" a="1"/>
  <c r="AH55" i="9" s="1"/>
  <c r="AH43" i="9" a="1"/>
  <c r="AH43" i="9" s="1"/>
  <c r="AH60" i="9" a="1"/>
  <c r="AH60" i="9" s="1"/>
  <c r="AH48" i="9" a="1"/>
  <c r="AH48" i="9" s="1"/>
  <c r="AH65" i="9" a="1"/>
  <c r="AH65" i="9" s="1"/>
  <c r="AH53" i="9" a="1"/>
  <c r="AH53" i="9" s="1"/>
  <c r="AH41" i="9" a="1"/>
  <c r="AH41" i="9" s="1"/>
  <c r="AH58" i="9" a="1"/>
  <c r="AH58" i="9" s="1"/>
  <c r="AH46" i="9" a="1"/>
  <c r="AH46" i="9" s="1"/>
  <c r="AH30" i="9" a="1"/>
  <c r="AH30" i="9" s="1"/>
  <c r="AH18" i="9" a="1"/>
  <c r="AH18" i="9" s="1"/>
  <c r="AH75" i="9" a="1"/>
  <c r="AH75" i="9" s="1"/>
  <c r="AH35" i="9" a="1"/>
  <c r="AH35" i="9" s="1"/>
  <c r="AH23" i="9" a="1"/>
  <c r="AH23" i="9" s="1"/>
  <c r="AH28" i="9" a="1"/>
  <c r="AH28" i="9" s="1"/>
  <c r="AH16" i="9" a="1"/>
  <c r="AH16" i="9" s="1"/>
  <c r="AH56" i="9" a="1"/>
  <c r="AH56" i="9" s="1"/>
  <c r="AH44" i="9" a="1"/>
  <c r="AH44" i="9" s="1"/>
  <c r="AH33" i="9" a="1"/>
  <c r="AH33" i="9" s="1"/>
  <c r="AH68" i="9" a="1"/>
  <c r="AH68" i="9" s="1"/>
  <c r="AH38" i="9" a="1"/>
  <c r="AH38" i="9" s="1"/>
  <c r="AH26" i="9" a="1"/>
  <c r="AH26" i="9" s="1"/>
  <c r="AH31" i="9" a="1"/>
  <c r="AH31" i="9" s="1"/>
  <c r="AH19" i="9" a="1"/>
  <c r="AH19" i="9" s="1"/>
  <c r="AH29" i="9" a="1"/>
  <c r="AH29" i="9" s="1"/>
  <c r="AH17" i="9" a="1"/>
  <c r="AH17" i="9" s="1"/>
  <c r="AH61" i="9" a="1"/>
  <c r="AH61" i="9" s="1"/>
  <c r="AH49" i="9" a="1"/>
  <c r="AH49" i="9" s="1"/>
  <c r="AH34" i="9" a="1"/>
  <c r="AH34" i="9" s="1"/>
  <c r="AH22" i="9" a="1"/>
  <c r="AH22" i="9" s="1"/>
  <c r="AH27" i="9" a="1"/>
  <c r="AH27" i="9" s="1"/>
  <c r="AT129" i="9" a="1"/>
  <c r="AT129" i="9" s="1"/>
  <c r="AT130" i="9" a="1"/>
  <c r="AT130" i="9" s="1"/>
  <c r="AT136" i="9" a="1"/>
  <c r="AT136" i="9" s="1"/>
  <c r="AT135" i="9" a="1"/>
  <c r="AT135" i="9" s="1"/>
  <c r="AT131" i="9" a="1"/>
  <c r="AT131" i="9" s="1"/>
  <c r="AT128" i="9" a="1"/>
  <c r="AT128" i="9" s="1"/>
  <c r="AT134" i="9" a="1"/>
  <c r="AT134" i="9" s="1"/>
  <c r="AT127" i="9" a="1"/>
  <c r="AT127" i="9" s="1"/>
  <c r="AT125" i="9" a="1"/>
  <c r="AT125" i="9" s="1"/>
  <c r="AT122" i="9" a="1"/>
  <c r="AT122" i="9" s="1"/>
  <c r="AT133" i="9" a="1"/>
  <c r="AT133" i="9" s="1"/>
  <c r="AT113" i="9" a="1"/>
  <c r="AT113" i="9" s="1"/>
  <c r="AT121" i="9" a="1"/>
  <c r="AT121" i="9" s="1"/>
  <c r="AT118" i="9" a="1"/>
  <c r="AT118" i="9" s="1"/>
  <c r="AT116" i="9" a="1"/>
  <c r="AT116" i="9" s="1"/>
  <c r="AT126" i="9" a="1"/>
  <c r="AT126" i="9" s="1"/>
  <c r="AT124" i="9" a="1"/>
  <c r="AT124" i="9" s="1"/>
  <c r="AT120" i="9" a="1"/>
  <c r="AT120" i="9" s="1"/>
  <c r="AT123" i="9" a="1"/>
  <c r="AT123" i="9" s="1"/>
  <c r="AT117" i="9" a="1"/>
  <c r="AT117" i="9" s="1"/>
  <c r="AT115" i="9" a="1"/>
  <c r="AT115" i="9" s="1"/>
  <c r="AT105" i="9" a="1"/>
  <c r="AT105" i="9" s="1"/>
  <c r="AT103" i="9" a="1"/>
  <c r="AT103" i="9" s="1"/>
  <c r="AT132" i="9" a="1"/>
  <c r="AT132" i="9" s="1"/>
  <c r="AT108" i="9" a="1"/>
  <c r="AT108" i="9" s="1"/>
  <c r="AT101" i="9" a="1"/>
  <c r="AT101" i="9" s="1"/>
  <c r="AT119" i="9" a="1"/>
  <c r="AT119" i="9" s="1"/>
  <c r="AT106" i="9" a="1"/>
  <c r="AT106" i="9" s="1"/>
  <c r="AT111" i="9" a="1"/>
  <c r="AT111" i="9" s="1"/>
  <c r="AT112" i="9" a="1"/>
  <c r="AT112" i="9" s="1"/>
  <c r="AT104" i="9" a="1"/>
  <c r="AT104" i="9" s="1"/>
  <c r="AT102" i="9" a="1"/>
  <c r="AT102" i="9" s="1"/>
  <c r="AT97" i="9" a="1"/>
  <c r="AT97" i="9" s="1"/>
  <c r="AT109" i="9" a="1"/>
  <c r="AT109" i="9" s="1"/>
  <c r="AT95" i="9" a="1"/>
  <c r="AT95" i="9" s="1"/>
  <c r="AT100" i="9" a="1"/>
  <c r="AT100" i="9" s="1"/>
  <c r="AT93" i="9" a="1"/>
  <c r="AT93" i="9" s="1"/>
  <c r="AT98" i="9" a="1"/>
  <c r="AT98" i="9" s="1"/>
  <c r="AT96" i="9" a="1"/>
  <c r="AT96" i="9" s="1"/>
  <c r="AT114" i="9" a="1"/>
  <c r="AT114" i="9" s="1"/>
  <c r="AT107" i="9" a="1"/>
  <c r="AT107" i="9" s="1"/>
  <c r="AT94" i="9" a="1"/>
  <c r="AT94" i="9" s="1"/>
  <c r="AT110" i="9" a="1"/>
  <c r="AT110" i="9" s="1"/>
  <c r="AT99" i="9" a="1"/>
  <c r="AT99" i="9" s="1"/>
  <c r="AT84" i="9" a="1"/>
  <c r="AT84" i="9" s="1"/>
  <c r="AT91" i="9" a="1"/>
  <c r="AT91" i="9" s="1"/>
  <c r="AT89" i="9" a="1"/>
  <c r="AT89" i="9" s="1"/>
  <c r="AT82" i="9" a="1"/>
  <c r="AT82" i="9" s="1"/>
  <c r="AT87" i="9" a="1"/>
  <c r="AT87" i="9" s="1"/>
  <c r="AT80" i="9" a="1"/>
  <c r="AT80" i="9" s="1"/>
  <c r="AT92" i="9" a="1"/>
  <c r="AT92" i="9" s="1"/>
  <c r="AT85" i="9" a="1"/>
  <c r="AT85" i="9" s="1"/>
  <c r="AT83" i="9" a="1"/>
  <c r="AT83" i="9" s="1"/>
  <c r="AT88" i="9" a="1"/>
  <c r="AT88" i="9" s="1"/>
  <c r="AT81" i="9" a="1"/>
  <c r="AT81" i="9" s="1"/>
  <c r="AT73" i="9" a="1"/>
  <c r="AT73" i="9" s="1"/>
  <c r="AT78" i="9" a="1"/>
  <c r="AT78" i="9" s="1"/>
  <c r="AT71" i="9" a="1"/>
  <c r="AT71" i="9" s="1"/>
  <c r="AT76" i="9" a="1"/>
  <c r="AT76" i="9" s="1"/>
  <c r="AT69" i="9" a="1"/>
  <c r="AT69" i="9" s="1"/>
  <c r="AT74" i="9" a="1"/>
  <c r="AT74" i="9" s="1"/>
  <c r="AT79" i="9" a="1"/>
  <c r="AT79" i="9" s="1"/>
  <c r="AT67" i="9" a="1"/>
  <c r="AT67" i="9" s="1"/>
  <c r="AT86" i="9" a="1"/>
  <c r="AT86" i="9" s="1"/>
  <c r="AT72" i="9" a="1"/>
  <c r="AT72" i="9" s="1"/>
  <c r="AT77" i="9" a="1"/>
  <c r="AT77" i="9" s="1"/>
  <c r="AT70" i="9" a="1"/>
  <c r="AT70" i="9" s="1"/>
  <c r="AT54" i="9" a="1"/>
  <c r="AT54" i="9" s="1"/>
  <c r="AT42" i="9" a="1"/>
  <c r="AT42" i="9" s="1"/>
  <c r="AT59" i="9" a="1"/>
  <c r="AT59" i="9" s="1"/>
  <c r="AT47" i="9" a="1"/>
  <c r="AT47" i="9" s="1"/>
  <c r="AT66" i="9" a="1"/>
  <c r="AT66" i="9" s="1"/>
  <c r="AT64" i="9" a="1"/>
  <c r="AT64" i="9" s="1"/>
  <c r="AT52" i="9" a="1"/>
  <c r="AT52" i="9" s="1"/>
  <c r="AT40" i="9" a="1"/>
  <c r="AT40" i="9" s="1"/>
  <c r="AT57" i="9" a="1"/>
  <c r="AT57" i="9" s="1"/>
  <c r="AT45" i="9" a="1"/>
  <c r="AT45" i="9" s="1"/>
  <c r="AT62" i="9" a="1"/>
  <c r="AT62" i="9" s="1"/>
  <c r="AT50" i="9" a="1"/>
  <c r="AT50" i="9" s="1"/>
  <c r="AT75" i="9" a="1"/>
  <c r="AT75" i="9" s="1"/>
  <c r="AT68" i="9" a="1"/>
  <c r="AT68" i="9" s="1"/>
  <c r="AT55" i="9" a="1"/>
  <c r="AT55" i="9" s="1"/>
  <c r="AT43" i="9" a="1"/>
  <c r="AT43" i="9" s="1"/>
  <c r="AT60" i="9" a="1"/>
  <c r="AT60" i="9" s="1"/>
  <c r="AT48" i="9" a="1"/>
  <c r="AT48" i="9" s="1"/>
  <c r="AT90" i="9" a="1"/>
  <c r="AT90" i="9" s="1"/>
  <c r="AT65" i="9" a="1"/>
  <c r="AT65" i="9" s="1"/>
  <c r="AT53" i="9" a="1"/>
  <c r="AT53" i="9" s="1"/>
  <c r="AT41" i="9" a="1"/>
  <c r="AT41" i="9" s="1"/>
  <c r="AT58" i="9" a="1"/>
  <c r="AT58" i="9" s="1"/>
  <c r="AT46" i="9" a="1"/>
  <c r="AT46" i="9" s="1"/>
  <c r="AT30" i="9" a="1"/>
  <c r="AT30" i="9" s="1"/>
  <c r="AT18" i="9" a="1"/>
  <c r="AT18" i="9" s="1"/>
  <c r="AT35" i="9" a="1"/>
  <c r="AT35" i="9" s="1"/>
  <c r="AT23" i="9" a="1"/>
  <c r="AT23" i="9" s="1"/>
  <c r="AT61" i="9" a="1"/>
  <c r="AT61" i="9" s="1"/>
  <c r="AT49" i="9" a="1"/>
  <c r="AT49" i="9" s="1"/>
  <c r="AT28" i="9" a="1"/>
  <c r="AT28" i="9" s="1"/>
  <c r="AT16" i="9" a="1"/>
  <c r="AT16" i="9" s="1"/>
  <c r="AT39" i="9" a="1"/>
  <c r="AT39" i="9" s="1"/>
  <c r="AT33" i="9" a="1"/>
  <c r="AT33" i="9" s="1"/>
  <c r="AT63" i="9" a="1"/>
  <c r="AT63" i="9" s="1"/>
  <c r="AT51" i="9" a="1"/>
  <c r="AT51" i="9" s="1"/>
  <c r="AT26" i="9" a="1"/>
  <c r="AT26" i="9" s="1"/>
  <c r="AT31" i="9" a="1"/>
  <c r="AT31" i="9" s="1"/>
  <c r="AT19" i="9" a="1"/>
  <c r="AT19" i="9" s="1"/>
  <c r="AT29" i="9" a="1"/>
  <c r="AT29" i="9" s="1"/>
  <c r="AT17" i="9" a="1"/>
  <c r="AT17" i="9" s="1"/>
  <c r="AT34" i="9" a="1"/>
  <c r="AT34" i="9" s="1"/>
  <c r="AT22" i="9" a="1"/>
  <c r="AT22" i="9" s="1"/>
  <c r="AT56" i="9" a="1"/>
  <c r="AT56" i="9" s="1"/>
  <c r="AT44" i="9" a="1"/>
  <c r="AT44" i="9" s="1"/>
  <c r="AT27" i="9" a="1"/>
  <c r="AT27" i="9" s="1"/>
  <c r="BF134" i="9" a="1"/>
  <c r="BF134" i="9" s="1"/>
  <c r="BF129" i="9" a="1"/>
  <c r="BF129" i="9" s="1"/>
  <c r="BF136" i="9" a="1"/>
  <c r="BF136" i="9" s="1"/>
  <c r="BF133" i="9" a="1"/>
  <c r="BF133" i="9" s="1"/>
  <c r="BF128" i="9" a="1"/>
  <c r="BF128" i="9" s="1"/>
  <c r="BF130" i="9" a="1"/>
  <c r="BF130" i="9" s="1"/>
  <c r="BF124" i="9" a="1"/>
  <c r="BF124" i="9" s="1"/>
  <c r="BF125" i="9" a="1"/>
  <c r="BF125" i="9" s="1"/>
  <c r="BF131" i="9" a="1"/>
  <c r="BF131" i="9" s="1"/>
  <c r="BF122" i="9" a="1"/>
  <c r="BF122" i="9" s="1"/>
  <c r="BF135" i="9" a="1"/>
  <c r="BF135" i="9" s="1"/>
  <c r="BF127" i="9" a="1"/>
  <c r="BF127" i="9" s="1"/>
  <c r="BF123" i="9" a="1"/>
  <c r="BF123" i="9" s="1"/>
  <c r="BF132" i="9" a="1"/>
  <c r="BF132" i="9" s="1"/>
  <c r="BF126" i="9" a="1"/>
  <c r="BF126" i="9" s="1"/>
  <c r="BF119" i="9" a="1"/>
  <c r="BF119" i="9" s="1"/>
  <c r="BF113" i="9" a="1"/>
  <c r="BF113" i="9" s="1"/>
  <c r="BF118" i="9" a="1"/>
  <c r="BF118" i="9" s="1"/>
  <c r="BF120" i="9" a="1"/>
  <c r="BF120" i="9" s="1"/>
  <c r="BF121" i="9" a="1"/>
  <c r="BF121" i="9" s="1"/>
  <c r="BF116" i="9" a="1"/>
  <c r="BF116" i="9" s="1"/>
  <c r="BF105" i="9" a="1"/>
  <c r="BF105" i="9" s="1"/>
  <c r="BF115" i="9" a="1"/>
  <c r="BF115" i="9" s="1"/>
  <c r="BF103" i="9" a="1"/>
  <c r="BF103" i="9" s="1"/>
  <c r="BF108" i="9" a="1"/>
  <c r="BF108" i="9" s="1"/>
  <c r="BF117" i="9" a="1"/>
  <c r="BF117" i="9" s="1"/>
  <c r="BF101" i="9" a="1"/>
  <c r="BF101" i="9" s="1"/>
  <c r="BF106" i="9" a="1"/>
  <c r="BF106" i="9" s="1"/>
  <c r="BF111" i="9" a="1"/>
  <c r="BF111" i="9" s="1"/>
  <c r="BF104" i="9" a="1"/>
  <c r="BF104" i="9" s="1"/>
  <c r="BF102" i="9" a="1"/>
  <c r="BF102" i="9" s="1"/>
  <c r="BF97" i="9" a="1"/>
  <c r="BF97" i="9" s="1"/>
  <c r="BF95" i="9" a="1"/>
  <c r="BF95" i="9" s="1"/>
  <c r="BF112" i="9" a="1"/>
  <c r="BF112" i="9" s="1"/>
  <c r="BF93" i="9" a="1"/>
  <c r="BF93" i="9" s="1"/>
  <c r="BF114" i="9" a="1"/>
  <c r="BF114" i="9" s="1"/>
  <c r="BF110" i="9" a="1"/>
  <c r="BF110" i="9" s="1"/>
  <c r="BF98" i="9" a="1"/>
  <c r="BF98" i="9" s="1"/>
  <c r="BF109" i="9" a="1"/>
  <c r="BF109" i="9" s="1"/>
  <c r="BF96" i="9" a="1"/>
  <c r="BF96" i="9" s="1"/>
  <c r="BF100" i="9" a="1"/>
  <c r="BF100" i="9" s="1"/>
  <c r="BF94" i="9" a="1"/>
  <c r="BF94" i="9" s="1"/>
  <c r="BF84" i="9" a="1"/>
  <c r="BF84" i="9" s="1"/>
  <c r="BF89" i="9" a="1"/>
  <c r="BF89" i="9" s="1"/>
  <c r="BF82" i="9" a="1"/>
  <c r="BF82" i="9" s="1"/>
  <c r="BF87" i="9" a="1"/>
  <c r="BF87" i="9" s="1"/>
  <c r="BF90" i="9" a="1"/>
  <c r="BF90" i="9" s="1"/>
  <c r="BF80" i="9" a="1"/>
  <c r="BF80" i="9" s="1"/>
  <c r="BF107" i="9" a="1"/>
  <c r="BF107" i="9" s="1"/>
  <c r="BF85" i="9" a="1"/>
  <c r="BF85" i="9" s="1"/>
  <c r="BF99" i="9" a="1"/>
  <c r="BF99" i="9" s="1"/>
  <c r="BF91" i="9" a="1"/>
  <c r="BF91" i="9" s="1"/>
  <c r="BF83" i="9" a="1"/>
  <c r="BF83" i="9" s="1"/>
  <c r="BF88" i="9" a="1"/>
  <c r="BF88" i="9" s="1"/>
  <c r="BF81" i="9" a="1"/>
  <c r="BF81" i="9" s="1"/>
  <c r="BF73" i="9" a="1"/>
  <c r="BF73" i="9" s="1"/>
  <c r="BF78" i="9" a="1"/>
  <c r="BF78" i="9" s="1"/>
  <c r="BF66" i="9" a="1"/>
  <c r="BF66" i="9" s="1"/>
  <c r="BF71" i="9" a="1"/>
  <c r="BF71" i="9" s="1"/>
  <c r="BF86" i="9" a="1"/>
  <c r="BF86" i="9" s="1"/>
  <c r="BF76" i="9" a="1"/>
  <c r="BF76" i="9" s="1"/>
  <c r="BF69" i="9" a="1"/>
  <c r="BF69" i="9" s="1"/>
  <c r="BF74" i="9" a="1"/>
  <c r="BF74" i="9" s="1"/>
  <c r="BF67" i="9" a="1"/>
  <c r="BF67" i="9" s="1"/>
  <c r="BF72" i="9" a="1"/>
  <c r="BF72" i="9" s="1"/>
  <c r="BF92" i="9" a="1"/>
  <c r="BF92" i="9" s="1"/>
  <c r="BF77" i="9" a="1"/>
  <c r="BF77" i="9" s="1"/>
  <c r="BF70" i="9" a="1"/>
  <c r="BF70" i="9" s="1"/>
  <c r="BF54" i="9" a="1"/>
  <c r="BF54" i="9" s="1"/>
  <c r="BF42" i="9" a="1"/>
  <c r="BF42" i="9" s="1"/>
  <c r="BF75" i="9" a="1"/>
  <c r="BF75" i="9" s="1"/>
  <c r="BF68" i="9" a="1"/>
  <c r="BF68" i="9" s="1"/>
  <c r="BF59" i="9" a="1"/>
  <c r="BF59" i="9" s="1"/>
  <c r="BF47" i="9" a="1"/>
  <c r="BF47" i="9" s="1"/>
  <c r="BF64" i="9" a="1"/>
  <c r="BF64" i="9" s="1"/>
  <c r="BF52" i="9" a="1"/>
  <c r="BF52" i="9" s="1"/>
  <c r="BF40" i="9" a="1"/>
  <c r="BF40" i="9" s="1"/>
  <c r="BF57" i="9" a="1"/>
  <c r="BF57" i="9" s="1"/>
  <c r="BF45" i="9" a="1"/>
  <c r="BF45" i="9" s="1"/>
  <c r="BF62" i="9" a="1"/>
  <c r="BF62" i="9" s="1"/>
  <c r="BF50" i="9" a="1"/>
  <c r="BF50" i="9" s="1"/>
  <c r="BF38" i="9" a="1"/>
  <c r="BF38" i="9" s="1"/>
  <c r="BF55" i="9" a="1"/>
  <c r="BF55" i="9" s="1"/>
  <c r="BF43" i="9" a="1"/>
  <c r="BF43" i="9" s="1"/>
  <c r="BF79" i="9" a="1"/>
  <c r="BF79" i="9" s="1"/>
  <c r="BF60" i="9" a="1"/>
  <c r="BF60" i="9" s="1"/>
  <c r="BF48" i="9" a="1"/>
  <c r="BF48" i="9" s="1"/>
  <c r="BF65" i="9" a="1"/>
  <c r="BF65" i="9" s="1"/>
  <c r="BF53" i="9" a="1"/>
  <c r="BF53" i="9" s="1"/>
  <c r="BF41" i="9" a="1"/>
  <c r="BF41" i="9" s="1"/>
  <c r="BF58" i="9" a="1"/>
  <c r="BF58" i="9" s="1"/>
  <c r="BF46" i="9" a="1"/>
  <c r="BF46" i="9" s="1"/>
  <c r="BF30" i="9" a="1"/>
  <c r="BF30" i="9" s="1"/>
  <c r="BF18" i="9" a="1"/>
  <c r="BF18" i="9" s="1"/>
  <c r="BF35" i="9" a="1"/>
  <c r="BF35" i="9" s="1"/>
  <c r="BF23" i="9" a="1"/>
  <c r="BF23" i="9" s="1"/>
  <c r="BF28" i="9" a="1"/>
  <c r="BF28" i="9" s="1"/>
  <c r="BF16" i="9" a="1"/>
  <c r="BF16" i="9" s="1"/>
  <c r="BF56" i="9" a="1"/>
  <c r="BF56" i="9" s="1"/>
  <c r="BF44" i="9" a="1"/>
  <c r="BF44" i="9" s="1"/>
  <c r="BF33" i="9" a="1"/>
  <c r="BF33" i="9" s="1"/>
  <c r="BF26" i="9" a="1"/>
  <c r="BF26" i="9" s="1"/>
  <c r="BF31" i="9" a="1"/>
  <c r="BF31" i="9" s="1"/>
  <c r="BF19" i="9" a="1"/>
  <c r="BF19" i="9" s="1"/>
  <c r="BF39" i="9" a="1"/>
  <c r="BF39" i="9" s="1"/>
  <c r="BF29" i="9" a="1"/>
  <c r="BF29" i="9" s="1"/>
  <c r="BF17" i="9" a="1"/>
  <c r="BF17" i="9" s="1"/>
  <c r="BF61" i="9" a="1"/>
  <c r="BF61" i="9" s="1"/>
  <c r="BF49" i="9" a="1"/>
  <c r="BF49" i="9" s="1"/>
  <c r="BF34" i="9" a="1"/>
  <c r="BF34" i="9" s="1"/>
  <c r="BF22" i="9" a="1"/>
  <c r="BF22" i="9" s="1"/>
  <c r="BF27" i="9" a="1"/>
  <c r="BF27" i="9" s="1"/>
  <c r="BR134" i="9" a="1"/>
  <c r="BR134" i="9" s="1"/>
  <c r="BR135" i="9" a="1"/>
  <c r="BR135" i="9" s="1"/>
  <c r="BR129" i="9" a="1"/>
  <c r="BR129" i="9" s="1"/>
  <c r="BR133" i="9" a="1"/>
  <c r="BR133" i="9" s="1"/>
  <c r="BR128" i="9" a="1"/>
  <c r="BR128" i="9" s="1"/>
  <c r="BR124" i="9" a="1"/>
  <c r="BR124" i="9" s="1"/>
  <c r="BR132" i="9" a="1"/>
  <c r="BR132" i="9" s="1"/>
  <c r="BR125" i="9" a="1"/>
  <c r="BR125" i="9" s="1"/>
  <c r="BR130" i="9" a="1"/>
  <c r="BR130" i="9" s="1"/>
  <c r="BR126" i="9" a="1"/>
  <c r="BR126" i="9" s="1"/>
  <c r="BR131" i="9" a="1"/>
  <c r="BR131" i="9" s="1"/>
  <c r="BR123" i="9" a="1"/>
  <c r="BR123" i="9" s="1"/>
  <c r="BR127" i="9" a="1"/>
  <c r="BR127" i="9" s="1"/>
  <c r="BR120" i="9" a="1"/>
  <c r="BR120" i="9" s="1"/>
  <c r="BR113" i="9" a="1"/>
  <c r="BR113" i="9" s="1"/>
  <c r="BR136" i="9" a="1"/>
  <c r="BR136" i="9" s="1"/>
  <c r="BR118" i="9" a="1"/>
  <c r="BR118" i="9" s="1"/>
  <c r="BR116" i="9" a="1"/>
  <c r="BR116" i="9" s="1"/>
  <c r="BR119" i="9" a="1"/>
  <c r="BR119" i="9" s="1"/>
  <c r="BR122" i="9" a="1"/>
  <c r="BR122" i="9" s="1"/>
  <c r="BR105" i="9" a="1"/>
  <c r="BR105" i="9" s="1"/>
  <c r="BR103" i="9" a="1"/>
  <c r="BR103" i="9" s="1"/>
  <c r="BR114" i="9" a="1"/>
  <c r="BR114" i="9" s="1"/>
  <c r="BR112" i="9" a="1"/>
  <c r="BR112" i="9" s="1"/>
  <c r="BR108" i="9" a="1"/>
  <c r="BR108" i="9" s="1"/>
  <c r="BR115" i="9" a="1"/>
  <c r="BR115" i="9" s="1"/>
  <c r="BR101" i="9" a="1"/>
  <c r="BR101" i="9" s="1"/>
  <c r="BR106" i="9" a="1"/>
  <c r="BR106" i="9" s="1"/>
  <c r="BR111" i="9" a="1"/>
  <c r="BR111" i="9" s="1"/>
  <c r="BR104" i="9" a="1"/>
  <c r="BR104" i="9" s="1"/>
  <c r="BR117" i="9" a="1"/>
  <c r="BR117" i="9" s="1"/>
  <c r="BR102" i="9" a="1"/>
  <c r="BR102" i="9" s="1"/>
  <c r="BR97" i="9" a="1"/>
  <c r="BR97" i="9" s="1"/>
  <c r="BR100" i="9" a="1"/>
  <c r="BR100" i="9" s="1"/>
  <c r="BR95" i="9" a="1"/>
  <c r="BR95" i="9" s="1"/>
  <c r="BR93" i="9" a="1"/>
  <c r="BR93" i="9" s="1"/>
  <c r="BR107" i="9" a="1"/>
  <c r="BR107" i="9" s="1"/>
  <c r="BR98" i="9" a="1"/>
  <c r="BR98" i="9" s="1"/>
  <c r="BR91" i="9" a="1"/>
  <c r="BR91" i="9" s="1"/>
  <c r="BR96" i="9" a="1"/>
  <c r="BR96" i="9" s="1"/>
  <c r="BR121" i="9" a="1"/>
  <c r="BR121" i="9" s="1"/>
  <c r="BR110" i="9" a="1"/>
  <c r="BR110" i="9" s="1"/>
  <c r="BR94" i="9" a="1"/>
  <c r="BR94" i="9" s="1"/>
  <c r="BR109" i="9" a="1"/>
  <c r="BR109" i="9" s="1"/>
  <c r="BR99" i="9" a="1"/>
  <c r="BR99" i="9" s="1"/>
  <c r="BR84" i="9" a="1"/>
  <c r="BR84" i="9" s="1"/>
  <c r="BR89" i="9" a="1"/>
  <c r="BR89" i="9" s="1"/>
  <c r="BR82" i="9" a="1"/>
  <c r="BR82" i="9" s="1"/>
  <c r="BR87" i="9" a="1"/>
  <c r="BR87" i="9" s="1"/>
  <c r="BR80" i="9" a="1"/>
  <c r="BR80" i="9" s="1"/>
  <c r="BR92" i="9" a="1"/>
  <c r="BR92" i="9" s="1"/>
  <c r="BR85" i="9" a="1"/>
  <c r="BR85" i="9" s="1"/>
  <c r="BR83" i="9" a="1"/>
  <c r="BR83" i="9" s="1"/>
  <c r="BR88" i="9" a="1"/>
  <c r="BR88" i="9" s="1"/>
  <c r="BR81" i="9" a="1"/>
  <c r="BR81" i="9" s="1"/>
  <c r="BR79" i="9" a="1"/>
  <c r="BR79" i="9" s="1"/>
  <c r="BR73" i="9" a="1"/>
  <c r="BR73" i="9" s="1"/>
  <c r="BR78" i="9" a="1"/>
  <c r="BR78" i="9" s="1"/>
  <c r="BR66" i="9" a="1"/>
  <c r="BR66" i="9" s="1"/>
  <c r="BR71" i="9" a="1"/>
  <c r="BR71" i="9" s="1"/>
  <c r="BR76" i="9" a="1"/>
  <c r="BR76" i="9" s="1"/>
  <c r="BR69" i="9" a="1"/>
  <c r="BR69" i="9" s="1"/>
  <c r="BR90" i="9" a="1"/>
  <c r="BR90" i="9" s="1"/>
  <c r="BR74" i="9" a="1"/>
  <c r="BR74" i="9" s="1"/>
  <c r="BR67" i="9" a="1"/>
  <c r="BR67" i="9" s="1"/>
  <c r="BR72" i="9" a="1"/>
  <c r="BR72" i="9" s="1"/>
  <c r="BR77" i="9" a="1"/>
  <c r="BR77" i="9" s="1"/>
  <c r="BR70" i="9" a="1"/>
  <c r="BR70" i="9" s="1"/>
  <c r="BR54" i="9" a="1"/>
  <c r="BR54" i="9" s="1"/>
  <c r="BR42" i="9" a="1"/>
  <c r="BR42" i="9" s="1"/>
  <c r="BR86" i="9" a="1"/>
  <c r="BR86" i="9" s="1"/>
  <c r="BR59" i="9" a="1"/>
  <c r="BR59" i="9" s="1"/>
  <c r="BR47" i="9" a="1"/>
  <c r="BR47" i="9" s="1"/>
  <c r="BR64" i="9" a="1"/>
  <c r="BR64" i="9" s="1"/>
  <c r="BR52" i="9" a="1"/>
  <c r="BR52" i="9" s="1"/>
  <c r="BR40" i="9" a="1"/>
  <c r="BR40" i="9" s="1"/>
  <c r="BR57" i="9" a="1"/>
  <c r="BR57" i="9" s="1"/>
  <c r="BR45" i="9" a="1"/>
  <c r="BR45" i="9" s="1"/>
  <c r="BR62" i="9" a="1"/>
  <c r="BR62" i="9" s="1"/>
  <c r="BR50" i="9" a="1"/>
  <c r="BR50" i="9" s="1"/>
  <c r="BR38" i="9" a="1"/>
  <c r="BR38" i="9" s="1"/>
  <c r="BR55" i="9" a="1"/>
  <c r="BR55" i="9" s="1"/>
  <c r="BR43" i="9" a="1"/>
  <c r="BR43" i="9" s="1"/>
  <c r="BR60" i="9" a="1"/>
  <c r="BR60" i="9" s="1"/>
  <c r="BR48" i="9" a="1"/>
  <c r="BR48" i="9" s="1"/>
  <c r="BR65" i="9" a="1"/>
  <c r="BR65" i="9" s="1"/>
  <c r="BR53" i="9" a="1"/>
  <c r="BR53" i="9" s="1"/>
  <c r="BR41" i="9" a="1"/>
  <c r="BR41" i="9" s="1"/>
  <c r="BR58" i="9" a="1"/>
  <c r="BR58" i="9" s="1"/>
  <c r="BR46" i="9" a="1"/>
  <c r="BR46" i="9" s="1"/>
  <c r="BR30" i="9" a="1"/>
  <c r="BR30" i="9" s="1"/>
  <c r="BR18" i="9" a="1"/>
  <c r="BR18" i="9" s="1"/>
  <c r="BR68" i="9" a="1"/>
  <c r="BR68" i="9" s="1"/>
  <c r="BR35" i="9" a="1"/>
  <c r="BR35" i="9" s="1"/>
  <c r="BR23" i="9" a="1"/>
  <c r="BR23" i="9" s="1"/>
  <c r="BR61" i="9" a="1"/>
  <c r="BR61" i="9" s="1"/>
  <c r="BR49" i="9" a="1"/>
  <c r="BR49" i="9" s="1"/>
  <c r="BR28" i="9" a="1"/>
  <c r="BR28" i="9" s="1"/>
  <c r="BR16" i="9" a="1"/>
  <c r="BR16" i="9" s="1"/>
  <c r="BR33" i="9" a="1"/>
  <c r="BR33" i="9" s="1"/>
  <c r="BR63" i="9" a="1"/>
  <c r="BR63" i="9" s="1"/>
  <c r="BR51" i="9" a="1"/>
  <c r="BR51" i="9" s="1"/>
  <c r="BR26" i="9" a="1"/>
  <c r="BR26" i="9" s="1"/>
  <c r="BR31" i="9" a="1"/>
  <c r="BR31" i="9" s="1"/>
  <c r="BR19" i="9" a="1"/>
  <c r="BR19" i="9" s="1"/>
  <c r="BR29" i="9" a="1"/>
  <c r="BR29" i="9" s="1"/>
  <c r="BR17" i="9" a="1"/>
  <c r="BR17" i="9" s="1"/>
  <c r="BR34" i="9" a="1"/>
  <c r="BR34" i="9" s="1"/>
  <c r="BR22" i="9" a="1"/>
  <c r="BR22" i="9" s="1"/>
  <c r="BR56" i="9" a="1"/>
  <c r="BR56" i="9" s="1"/>
  <c r="BR44" i="9" a="1"/>
  <c r="BR44" i="9" s="1"/>
  <c r="BR27" i="9" a="1"/>
  <c r="BR27" i="9" s="1"/>
  <c r="V6" i="9" a="1"/>
  <c r="V6" i="9" s="1"/>
  <c r="AH6" i="9" a="1"/>
  <c r="AH6" i="9" s="1"/>
  <c r="AT6" i="9" a="1"/>
  <c r="AT6" i="9" s="1"/>
  <c r="BF6" i="9" a="1"/>
  <c r="BF6" i="9" s="1"/>
  <c r="BL6" i="9" a="1"/>
  <c r="BL6" i="9" s="1"/>
  <c r="BR6" i="9" a="1"/>
  <c r="BR6" i="9" s="1"/>
  <c r="BX6" i="9" a="1"/>
  <c r="BX6" i="9" s="1"/>
  <c r="M12" i="9" a="1"/>
  <c r="M12" i="9" s="1"/>
  <c r="Y12" i="9" a="1"/>
  <c r="Y12" i="9" s="1"/>
  <c r="AK12" i="9" a="1"/>
  <c r="AK12" i="9" s="1"/>
  <c r="AW12" i="9" a="1"/>
  <c r="AW12" i="9" s="1"/>
  <c r="BI12" i="9" a="1"/>
  <c r="BI12" i="9" s="1"/>
  <c r="BU12" i="9" a="1"/>
  <c r="BU12" i="9" s="1"/>
  <c r="AW21" i="9" a="1"/>
  <c r="AW21" i="9" s="1"/>
  <c r="BL21" i="9" a="1"/>
  <c r="BL21" i="9" s="1"/>
  <c r="BR25" i="9" a="1"/>
  <c r="BR25" i="9" s="1"/>
  <c r="AK26" i="9" a="1"/>
  <c r="AK26" i="9" s="1"/>
  <c r="BX36" i="9" a="1"/>
  <c r="BX36" i="9" s="1"/>
  <c r="V37" i="9" a="1"/>
  <c r="V37" i="9" s="1"/>
  <c r="AT37" i="9" a="1"/>
  <c r="AT37" i="9" s="1"/>
  <c r="BR37" i="9" a="1"/>
  <c r="BR37" i="9" s="1"/>
  <c r="V13" i="9" a="1"/>
  <c r="V13" i="9" s="1"/>
  <c r="AH13" i="9" a="1"/>
  <c r="AH13" i="9" s="1"/>
  <c r="AT13" i="9" a="1"/>
  <c r="AT13" i="9" s="1"/>
  <c r="BF13" i="9" a="1"/>
  <c r="BF13" i="9" s="1"/>
  <c r="BL13" i="9" a="1"/>
  <c r="BL13" i="9" s="1"/>
  <c r="BR13" i="9" a="1"/>
  <c r="BR13" i="9" s="1"/>
  <c r="BX13" i="9" a="1"/>
  <c r="BX13" i="9" s="1"/>
  <c r="BU18" i="9" a="1"/>
  <c r="BU18" i="9" s="1"/>
  <c r="M19" i="9" a="1"/>
  <c r="M19" i="9" s="1"/>
  <c r="V21" i="9" a="1"/>
  <c r="V21" i="9" s="1"/>
  <c r="BF24" i="9" a="1"/>
  <c r="BF24" i="9" s="1"/>
  <c r="Y27" i="9" a="1"/>
  <c r="Y27" i="9" s="1"/>
  <c r="BI27" i="9" a="1"/>
  <c r="BI27" i="9" s="1"/>
  <c r="BL32" i="9" a="1"/>
  <c r="BL32" i="9" s="1"/>
  <c r="M38" i="9" a="1"/>
  <c r="M38" i="9" s="1"/>
  <c r="AK38" i="9" a="1"/>
  <c r="AK38" i="9" s="1"/>
  <c r="BX44" i="9" a="1"/>
  <c r="BX44" i="9" s="1"/>
  <c r="BX8" i="9" a="1"/>
  <c r="BX8" i="9" s="1"/>
  <c r="Y14" i="9" a="1"/>
  <c r="Y14" i="9" s="1"/>
  <c r="AK14" i="9" a="1"/>
  <c r="AK14" i="9" s="1"/>
  <c r="AW14" i="9" a="1"/>
  <c r="AW14" i="9" s="1"/>
  <c r="BU14" i="9" a="1"/>
  <c r="BU14" i="9" s="1"/>
  <c r="BR20" i="9" a="1"/>
  <c r="BR20" i="9" s="1"/>
  <c r="BF25" i="9" a="1"/>
  <c r="BF25" i="9" s="1"/>
  <c r="Y26" i="9" a="1"/>
  <c r="Y26" i="9" s="1"/>
  <c r="Y31" i="9" a="1"/>
  <c r="Y31" i="9" s="1"/>
  <c r="M133" i="9" a="1"/>
  <c r="M133" i="9" s="1"/>
  <c r="M134" i="9" a="1"/>
  <c r="M134" i="9" s="1"/>
  <c r="M132" i="9" a="1"/>
  <c r="M132" i="9" s="1"/>
  <c r="M136" i="9" a="1"/>
  <c r="M136" i="9" s="1"/>
  <c r="M129" i="9" a="1"/>
  <c r="M129" i="9" s="1"/>
  <c r="M135" i="9" a="1"/>
  <c r="M135" i="9" s="1"/>
  <c r="M124" i="9" a="1"/>
  <c r="M124" i="9" s="1"/>
  <c r="M131" i="9" a="1"/>
  <c r="M131" i="9" s="1"/>
  <c r="M127" i="9" a="1"/>
  <c r="M127" i="9" s="1"/>
  <c r="M130" i="9" a="1"/>
  <c r="M130" i="9" s="1"/>
  <c r="M128" i="9" a="1"/>
  <c r="M128" i="9" s="1"/>
  <c r="M116" i="9" a="1"/>
  <c r="M116" i="9" s="1"/>
  <c r="M114" i="9" a="1"/>
  <c r="M114" i="9" s="1"/>
  <c r="M119" i="9" a="1"/>
  <c r="M119" i="9" s="1"/>
  <c r="M122" i="9" a="1"/>
  <c r="M122" i="9" s="1"/>
  <c r="M117" i="9" a="1"/>
  <c r="M117" i="9" s="1"/>
  <c r="M123" i="9" a="1"/>
  <c r="M123" i="9" s="1"/>
  <c r="M115" i="9" a="1"/>
  <c r="M115" i="9" s="1"/>
  <c r="M125" i="9" a="1"/>
  <c r="M125" i="9" s="1"/>
  <c r="M126" i="9" a="1"/>
  <c r="M126" i="9" s="1"/>
  <c r="M120" i="9" a="1"/>
  <c r="M120" i="9" s="1"/>
  <c r="M111" i="9" a="1"/>
  <c r="M111" i="9" s="1"/>
  <c r="M121" i="9" a="1"/>
  <c r="M121" i="9" s="1"/>
  <c r="M109" i="9" a="1"/>
  <c r="M109" i="9" s="1"/>
  <c r="M102" i="9" a="1"/>
  <c r="M102" i="9" s="1"/>
  <c r="M107" i="9" a="1"/>
  <c r="M107" i="9" s="1"/>
  <c r="M118" i="9" a="1"/>
  <c r="M118" i="9" s="1"/>
  <c r="M112" i="9" a="1"/>
  <c r="M112" i="9" s="1"/>
  <c r="M113" i="9" a="1"/>
  <c r="M113" i="9" s="1"/>
  <c r="M105" i="9" a="1"/>
  <c r="M105" i="9" s="1"/>
  <c r="M110" i="9" a="1"/>
  <c r="M110" i="9" s="1"/>
  <c r="M108" i="9" a="1"/>
  <c r="M108" i="9" s="1"/>
  <c r="M94" i="9" a="1"/>
  <c r="M94" i="9" s="1"/>
  <c r="M104" i="9" a="1"/>
  <c r="M104" i="9" s="1"/>
  <c r="M99" i="9" a="1"/>
  <c r="M99" i="9" s="1"/>
  <c r="M92" i="9" a="1"/>
  <c r="M92" i="9" s="1"/>
  <c r="M101" i="9" a="1"/>
  <c r="M101" i="9" s="1"/>
  <c r="M97" i="9" a="1"/>
  <c r="M97" i="9" s="1"/>
  <c r="M103" i="9" a="1"/>
  <c r="M103" i="9" s="1"/>
  <c r="M95" i="9" a="1"/>
  <c r="M95" i="9" s="1"/>
  <c r="M100" i="9" a="1"/>
  <c r="M100" i="9" s="1"/>
  <c r="M90" i="9" a="1"/>
  <c r="M90" i="9" s="1"/>
  <c r="M91" i="9" a="1"/>
  <c r="M91" i="9" s="1"/>
  <c r="M83" i="9" a="1"/>
  <c r="M83" i="9" s="1"/>
  <c r="M88" i="9" a="1"/>
  <c r="M88" i="9" s="1"/>
  <c r="M81" i="9" a="1"/>
  <c r="M81" i="9" s="1"/>
  <c r="M106" i="9" a="1"/>
  <c r="M106" i="9" s="1"/>
  <c r="M93" i="9" a="1"/>
  <c r="M93" i="9" s="1"/>
  <c r="M86" i="9" a="1"/>
  <c r="M86" i="9" s="1"/>
  <c r="M96" i="9" a="1"/>
  <c r="M96" i="9" s="1"/>
  <c r="M84" i="9" a="1"/>
  <c r="M84" i="9" s="1"/>
  <c r="M89" i="9" a="1"/>
  <c r="M89" i="9" s="1"/>
  <c r="M82" i="9" a="1"/>
  <c r="M82" i="9" s="1"/>
  <c r="M98" i="9" a="1"/>
  <c r="M98" i="9" s="1"/>
  <c r="M87" i="9" a="1"/>
  <c r="M87" i="9" s="1"/>
  <c r="M79" i="9" a="1"/>
  <c r="M79" i="9" s="1"/>
  <c r="M67" i="9" a="1"/>
  <c r="M67" i="9" s="1"/>
  <c r="M72" i="9" a="1"/>
  <c r="M72" i="9" s="1"/>
  <c r="M77" i="9" a="1"/>
  <c r="M77" i="9" s="1"/>
  <c r="M70" i="9" a="1"/>
  <c r="M70" i="9" s="1"/>
  <c r="M75" i="9" a="1"/>
  <c r="M75" i="9" s="1"/>
  <c r="M68" i="9" a="1"/>
  <c r="M68" i="9" s="1"/>
  <c r="M73" i="9" a="1"/>
  <c r="M73" i="9" s="1"/>
  <c r="M78" i="9" a="1"/>
  <c r="M78" i="9" s="1"/>
  <c r="M71" i="9" a="1"/>
  <c r="M71" i="9" s="1"/>
  <c r="M76" i="9" a="1"/>
  <c r="M76" i="9" s="1"/>
  <c r="M60" i="9" a="1"/>
  <c r="M60" i="9" s="1"/>
  <c r="M48" i="9" a="1"/>
  <c r="M48" i="9" s="1"/>
  <c r="M65" i="9" a="1"/>
  <c r="M65" i="9" s="1"/>
  <c r="M53" i="9" a="1"/>
  <c r="M53" i="9" s="1"/>
  <c r="M41" i="9" a="1"/>
  <c r="M41" i="9" s="1"/>
  <c r="M85" i="9" a="1"/>
  <c r="M85" i="9" s="1"/>
  <c r="M58" i="9" a="1"/>
  <c r="M58" i="9" s="1"/>
  <c r="M46" i="9" a="1"/>
  <c r="M46" i="9" s="1"/>
  <c r="M63" i="9" a="1"/>
  <c r="M63" i="9" s="1"/>
  <c r="M51" i="9" a="1"/>
  <c r="M51" i="9" s="1"/>
  <c r="M39" i="9" a="1"/>
  <c r="M39" i="9" s="1"/>
  <c r="M56" i="9" a="1"/>
  <c r="M56" i="9" s="1"/>
  <c r="M44" i="9" a="1"/>
  <c r="M44" i="9" s="1"/>
  <c r="M61" i="9" a="1"/>
  <c r="M61" i="9" s="1"/>
  <c r="M49" i="9" a="1"/>
  <c r="M49" i="9" s="1"/>
  <c r="M66" i="9" a="1"/>
  <c r="M66" i="9" s="1"/>
  <c r="M54" i="9" a="1"/>
  <c r="M54" i="9" s="1"/>
  <c r="M42" i="9" a="1"/>
  <c r="M42" i="9" s="1"/>
  <c r="M80" i="9" a="1"/>
  <c r="M80" i="9" s="1"/>
  <c r="M59" i="9" a="1"/>
  <c r="M59" i="9" s="1"/>
  <c r="M47" i="9" a="1"/>
  <c r="M47" i="9" s="1"/>
  <c r="M64" i="9" a="1"/>
  <c r="M64" i="9" s="1"/>
  <c r="M52" i="9" a="1"/>
  <c r="M52" i="9" s="1"/>
  <c r="M62" i="9" a="1"/>
  <c r="M62" i="9" s="1"/>
  <c r="M50" i="9" a="1"/>
  <c r="M50" i="9" s="1"/>
  <c r="M36" i="9" a="1"/>
  <c r="M36" i="9" s="1"/>
  <c r="M24" i="9" a="1"/>
  <c r="M24" i="9" s="1"/>
  <c r="M29" i="9" a="1"/>
  <c r="M29" i="9" s="1"/>
  <c r="M17" i="9" a="1"/>
  <c r="M17" i="9" s="1"/>
  <c r="M74" i="9" a="1"/>
  <c r="M74" i="9" s="1"/>
  <c r="M34" i="9" a="1"/>
  <c r="M34" i="9" s="1"/>
  <c r="M22" i="9" a="1"/>
  <c r="M22" i="9" s="1"/>
  <c r="M69" i="9" a="1"/>
  <c r="M69" i="9" s="1"/>
  <c r="M32" i="9" a="1"/>
  <c r="M32" i="9" s="1"/>
  <c r="M20" i="9" a="1"/>
  <c r="M20" i="9" s="1"/>
  <c r="M55" i="9" a="1"/>
  <c r="M55" i="9" s="1"/>
  <c r="M43" i="9" a="1"/>
  <c r="M43" i="9" s="1"/>
  <c r="M37" i="9" a="1"/>
  <c r="M37" i="9" s="1"/>
  <c r="M25" i="9" a="1"/>
  <c r="M25" i="9" s="1"/>
  <c r="M35" i="9" a="1"/>
  <c r="M35" i="9" s="1"/>
  <c r="M23" i="9" a="1"/>
  <c r="M23" i="9" s="1"/>
  <c r="M57" i="9" a="1"/>
  <c r="M57" i="9" s="1"/>
  <c r="M45" i="9" a="1"/>
  <c r="M45" i="9" s="1"/>
  <c r="M28" i="9" a="1"/>
  <c r="M28" i="9" s="1"/>
  <c r="M40" i="9" a="1"/>
  <c r="M40" i="9" s="1"/>
  <c r="M33" i="9" a="1"/>
  <c r="M33" i="9" s="1"/>
  <c r="Y133" i="9" a="1"/>
  <c r="Y133" i="9" s="1"/>
  <c r="Y130" i="9" a="1"/>
  <c r="Y130" i="9" s="1"/>
  <c r="Y136" i="9" a="1"/>
  <c r="Y136" i="9" s="1"/>
  <c r="Y131" i="9" a="1"/>
  <c r="Y131" i="9" s="1"/>
  <c r="Y135" i="9" a="1"/>
  <c r="Y135" i="9" s="1"/>
  <c r="Y134" i="9" a="1"/>
  <c r="Y134" i="9" s="1"/>
  <c r="Y132" i="9" a="1"/>
  <c r="Y132" i="9" s="1"/>
  <c r="Y128" i="9" a="1"/>
  <c r="Y128" i="9" s="1"/>
  <c r="Y124" i="9" a="1"/>
  <c r="Y124" i="9" s="1"/>
  <c r="Y129" i="9" a="1"/>
  <c r="Y129" i="9" s="1"/>
  <c r="Y116" i="9" a="1"/>
  <c r="Y116" i="9" s="1"/>
  <c r="Y114" i="9" a="1"/>
  <c r="Y114" i="9" s="1"/>
  <c r="Y125" i="9" a="1"/>
  <c r="Y125" i="9" s="1"/>
  <c r="Y119" i="9" a="1"/>
  <c r="Y119" i="9" s="1"/>
  <c r="Y127" i="9" a="1"/>
  <c r="Y127" i="9" s="1"/>
  <c r="Y126" i="9" a="1"/>
  <c r="Y126" i="9" s="1"/>
  <c r="Y117" i="9" a="1"/>
  <c r="Y117" i="9" s="1"/>
  <c r="Y122" i="9" a="1"/>
  <c r="Y122" i="9" s="1"/>
  <c r="Y120" i="9" a="1"/>
  <c r="Y120" i="9" s="1"/>
  <c r="Y115" i="9" a="1"/>
  <c r="Y115" i="9" s="1"/>
  <c r="Y111" i="9" a="1"/>
  <c r="Y111" i="9" s="1"/>
  <c r="Y109" i="9" a="1"/>
  <c r="Y109" i="9" s="1"/>
  <c r="Y102" i="9" a="1"/>
  <c r="Y102" i="9" s="1"/>
  <c r="Y113" i="9" a="1"/>
  <c r="Y113" i="9" s="1"/>
  <c r="Y107" i="9" a="1"/>
  <c r="Y107" i="9" s="1"/>
  <c r="Y105" i="9" a="1"/>
  <c r="Y105" i="9" s="1"/>
  <c r="Y112" i="9" a="1"/>
  <c r="Y112" i="9" s="1"/>
  <c r="Y110" i="9" a="1"/>
  <c r="Y110" i="9" s="1"/>
  <c r="Y118" i="9" a="1"/>
  <c r="Y118" i="9" s="1"/>
  <c r="Y108" i="9" a="1"/>
  <c r="Y108" i="9" s="1"/>
  <c r="Y123" i="9" a="1"/>
  <c r="Y123" i="9" s="1"/>
  <c r="Y106" i="9" a="1"/>
  <c r="Y106" i="9" s="1"/>
  <c r="Y101" i="9" a="1"/>
  <c r="Y101" i="9" s="1"/>
  <c r="Y94" i="9" a="1"/>
  <c r="Y94" i="9" s="1"/>
  <c r="Y99" i="9" a="1"/>
  <c r="Y99" i="9" s="1"/>
  <c r="Y92" i="9" a="1"/>
  <c r="Y92" i="9" s="1"/>
  <c r="Y97" i="9" a="1"/>
  <c r="Y97" i="9" s="1"/>
  <c r="Y104" i="9" a="1"/>
  <c r="Y104" i="9" s="1"/>
  <c r="Y95" i="9" a="1"/>
  <c r="Y95" i="9" s="1"/>
  <c r="Y100" i="9" a="1"/>
  <c r="Y100" i="9" s="1"/>
  <c r="Y90" i="9" a="1"/>
  <c r="Y90" i="9" s="1"/>
  <c r="Y83" i="9" a="1"/>
  <c r="Y83" i="9" s="1"/>
  <c r="Y88" i="9" a="1"/>
  <c r="Y88" i="9" s="1"/>
  <c r="Y98" i="9" a="1"/>
  <c r="Y98" i="9" s="1"/>
  <c r="Y81" i="9" a="1"/>
  <c r="Y81" i="9" s="1"/>
  <c r="Y86" i="9" a="1"/>
  <c r="Y86" i="9" s="1"/>
  <c r="Y84" i="9" a="1"/>
  <c r="Y84" i="9" s="1"/>
  <c r="Y91" i="9" a="1"/>
  <c r="Y91" i="9" s="1"/>
  <c r="Y89" i="9" a="1"/>
  <c r="Y89" i="9" s="1"/>
  <c r="Y82" i="9" a="1"/>
  <c r="Y82" i="9" s="1"/>
  <c r="Y87" i="9" a="1"/>
  <c r="Y87" i="9" s="1"/>
  <c r="Y103" i="9" a="1"/>
  <c r="Y103" i="9" s="1"/>
  <c r="Y79" i="9" a="1"/>
  <c r="Y79" i="9" s="1"/>
  <c r="Y67" i="9" a="1"/>
  <c r="Y67" i="9" s="1"/>
  <c r="Y72" i="9" a="1"/>
  <c r="Y72" i="9" s="1"/>
  <c r="Y77" i="9" a="1"/>
  <c r="Y77" i="9" s="1"/>
  <c r="Y70" i="9" a="1"/>
  <c r="Y70" i="9" s="1"/>
  <c r="Y75" i="9" a="1"/>
  <c r="Y75" i="9" s="1"/>
  <c r="Y68" i="9" a="1"/>
  <c r="Y68" i="9" s="1"/>
  <c r="Y121" i="9" a="1"/>
  <c r="Y121" i="9" s="1"/>
  <c r="Y73" i="9" a="1"/>
  <c r="Y73" i="9" s="1"/>
  <c r="Y85" i="9" a="1"/>
  <c r="Y85" i="9" s="1"/>
  <c r="Y80" i="9" a="1"/>
  <c r="Y80" i="9" s="1"/>
  <c r="Y78" i="9" a="1"/>
  <c r="Y78" i="9" s="1"/>
  <c r="Y71" i="9" a="1"/>
  <c r="Y71" i="9" s="1"/>
  <c r="Y76" i="9" a="1"/>
  <c r="Y76" i="9" s="1"/>
  <c r="Y60" i="9" a="1"/>
  <c r="Y60" i="9" s="1"/>
  <c r="Y48" i="9" a="1"/>
  <c r="Y48" i="9" s="1"/>
  <c r="Y65" i="9" a="1"/>
  <c r="Y65" i="9" s="1"/>
  <c r="Y53" i="9" a="1"/>
  <c r="Y53" i="9" s="1"/>
  <c r="Y41" i="9" a="1"/>
  <c r="Y41" i="9" s="1"/>
  <c r="Y58" i="9" a="1"/>
  <c r="Y58" i="9" s="1"/>
  <c r="Y46" i="9" a="1"/>
  <c r="Y46" i="9" s="1"/>
  <c r="Y63" i="9" a="1"/>
  <c r="Y63" i="9" s="1"/>
  <c r="Y51" i="9" a="1"/>
  <c r="Y51" i="9" s="1"/>
  <c r="Y39" i="9" a="1"/>
  <c r="Y39" i="9" s="1"/>
  <c r="Y93" i="9" a="1"/>
  <c r="Y93" i="9" s="1"/>
  <c r="Y56" i="9" a="1"/>
  <c r="Y56" i="9" s="1"/>
  <c r="Y44" i="9" a="1"/>
  <c r="Y44" i="9" s="1"/>
  <c r="Y96" i="9" a="1"/>
  <c r="Y96" i="9" s="1"/>
  <c r="Y74" i="9" a="1"/>
  <c r="Y74" i="9" s="1"/>
  <c r="Y69" i="9" a="1"/>
  <c r="Y69" i="9" s="1"/>
  <c r="Y61" i="9" a="1"/>
  <c r="Y61" i="9" s="1"/>
  <c r="Y49" i="9" a="1"/>
  <c r="Y49" i="9" s="1"/>
  <c r="Y66" i="9" a="1"/>
  <c r="Y66" i="9" s="1"/>
  <c r="Y54" i="9" a="1"/>
  <c r="Y54" i="9" s="1"/>
  <c r="Y42" i="9" a="1"/>
  <c r="Y42" i="9" s="1"/>
  <c r="Y59" i="9" a="1"/>
  <c r="Y59" i="9" s="1"/>
  <c r="Y47" i="9" a="1"/>
  <c r="Y47" i="9" s="1"/>
  <c r="Y64" i="9" a="1"/>
  <c r="Y64" i="9" s="1"/>
  <c r="Y52" i="9" a="1"/>
  <c r="Y52" i="9" s="1"/>
  <c r="Y36" i="9" a="1"/>
  <c r="Y36" i="9" s="1"/>
  <c r="Y24" i="9" a="1"/>
  <c r="Y24" i="9" s="1"/>
  <c r="Y40" i="9" a="1"/>
  <c r="Y40" i="9" s="1"/>
  <c r="Y29" i="9" a="1"/>
  <c r="Y29" i="9" s="1"/>
  <c r="Y17" i="9" a="1"/>
  <c r="Y17" i="9" s="1"/>
  <c r="Y57" i="9" a="1"/>
  <c r="Y57" i="9" s="1"/>
  <c r="Y45" i="9" a="1"/>
  <c r="Y45" i="9" s="1"/>
  <c r="Y34" i="9" a="1"/>
  <c r="Y34" i="9" s="1"/>
  <c r="Y22" i="9" a="1"/>
  <c r="Y22" i="9" s="1"/>
  <c r="Y32" i="9" a="1"/>
  <c r="Y32" i="9" s="1"/>
  <c r="Y20" i="9" a="1"/>
  <c r="Y20" i="9" s="1"/>
  <c r="Y37" i="9" a="1"/>
  <c r="Y37" i="9" s="1"/>
  <c r="Y25" i="9" a="1"/>
  <c r="Y25" i="9" s="1"/>
  <c r="Y62" i="9" a="1"/>
  <c r="Y62" i="9" s="1"/>
  <c r="Y50" i="9" a="1"/>
  <c r="Y50" i="9" s="1"/>
  <c r="Y35" i="9" a="1"/>
  <c r="Y35" i="9" s="1"/>
  <c r="Y23" i="9" a="1"/>
  <c r="Y23" i="9" s="1"/>
  <c r="Y28" i="9" a="1"/>
  <c r="Y28" i="9" s="1"/>
  <c r="Y33" i="9" a="1"/>
  <c r="Y33" i="9" s="1"/>
  <c r="AK136" i="9" a="1"/>
  <c r="AK136" i="9" s="1"/>
  <c r="AK133" i="9" a="1"/>
  <c r="AK133" i="9" s="1"/>
  <c r="AK135" i="9" a="1"/>
  <c r="AK135" i="9" s="1"/>
  <c r="AK129" i="9" a="1"/>
  <c r="AK129" i="9" s="1"/>
  <c r="AK134" i="9" a="1"/>
  <c r="AK134" i="9" s="1"/>
  <c r="AK130" i="9" a="1"/>
  <c r="AK130" i="9" s="1"/>
  <c r="AK127" i="9" a="1"/>
  <c r="AK127" i="9" s="1"/>
  <c r="AK132" i="9" a="1"/>
  <c r="AK132" i="9" s="1"/>
  <c r="AK124" i="9" a="1"/>
  <c r="AK124" i="9" s="1"/>
  <c r="AK131" i="9" a="1"/>
  <c r="AK131" i="9" s="1"/>
  <c r="AK121" i="9" a="1"/>
  <c r="AK121" i="9" s="1"/>
  <c r="AK128" i="9" a="1"/>
  <c r="AK128" i="9" s="1"/>
  <c r="AK123" i="9" a="1"/>
  <c r="AK123" i="9" s="1"/>
  <c r="AK116" i="9" a="1"/>
  <c r="AK116" i="9" s="1"/>
  <c r="AK114" i="9" a="1"/>
  <c r="AK114" i="9" s="1"/>
  <c r="AK119" i="9" a="1"/>
  <c r="AK119" i="9" s="1"/>
  <c r="AK120" i="9" a="1"/>
  <c r="AK120" i="9" s="1"/>
  <c r="AK117" i="9" a="1"/>
  <c r="AK117" i="9" s="1"/>
  <c r="AK115" i="9" a="1"/>
  <c r="AK115" i="9" s="1"/>
  <c r="AK125" i="9" a="1"/>
  <c r="AK125" i="9" s="1"/>
  <c r="AK122" i="9" a="1"/>
  <c r="AK122" i="9" s="1"/>
  <c r="AK126" i="9" a="1"/>
  <c r="AK126" i="9" s="1"/>
  <c r="AK111" i="9" a="1"/>
  <c r="AK111" i="9" s="1"/>
  <c r="AK113" i="9" a="1"/>
  <c r="AK113" i="9" s="1"/>
  <c r="AK109" i="9" a="1"/>
  <c r="AK109" i="9" s="1"/>
  <c r="AK102" i="9" a="1"/>
  <c r="AK102" i="9" s="1"/>
  <c r="AK107" i="9" a="1"/>
  <c r="AK107" i="9" s="1"/>
  <c r="AK105" i="9" a="1"/>
  <c r="AK105" i="9" s="1"/>
  <c r="AK110" i="9" a="1"/>
  <c r="AK110" i="9" s="1"/>
  <c r="AK108" i="9" a="1"/>
  <c r="AK108" i="9" s="1"/>
  <c r="AK104" i="9" a="1"/>
  <c r="AK104" i="9" s="1"/>
  <c r="AK112" i="9" a="1"/>
  <c r="AK112" i="9" s="1"/>
  <c r="AK103" i="9" a="1"/>
  <c r="AK103" i="9" s="1"/>
  <c r="AK94" i="9" a="1"/>
  <c r="AK94" i="9" s="1"/>
  <c r="AK99" i="9" a="1"/>
  <c r="AK99" i="9" s="1"/>
  <c r="AK92" i="9" a="1"/>
  <c r="AK92" i="9" s="1"/>
  <c r="AK106" i="9" a="1"/>
  <c r="AK106" i="9" s="1"/>
  <c r="AK97" i="9" a="1"/>
  <c r="AK97" i="9" s="1"/>
  <c r="AK118" i="9" a="1"/>
  <c r="AK118" i="9" s="1"/>
  <c r="AK95" i="9" a="1"/>
  <c r="AK95" i="9" s="1"/>
  <c r="AK100" i="9" a="1"/>
  <c r="AK100" i="9" s="1"/>
  <c r="AK91" i="9" a="1"/>
  <c r="AK91" i="9" s="1"/>
  <c r="AK90" i="9" a="1"/>
  <c r="AK90" i="9" s="1"/>
  <c r="AK83" i="9" a="1"/>
  <c r="AK83" i="9" s="1"/>
  <c r="AK88" i="9" a="1"/>
  <c r="AK88" i="9" s="1"/>
  <c r="AK81" i="9" a="1"/>
  <c r="AK81" i="9" s="1"/>
  <c r="AK93" i="9" a="1"/>
  <c r="AK93" i="9" s="1"/>
  <c r="AK86" i="9" a="1"/>
  <c r="AK86" i="9" s="1"/>
  <c r="AK96" i="9" a="1"/>
  <c r="AK96" i="9" s="1"/>
  <c r="AK84" i="9" a="1"/>
  <c r="AK84" i="9" s="1"/>
  <c r="AK89" i="9" a="1"/>
  <c r="AK89" i="9" s="1"/>
  <c r="AK101" i="9" a="1"/>
  <c r="AK101" i="9" s="1"/>
  <c r="AK82" i="9" a="1"/>
  <c r="AK82" i="9" s="1"/>
  <c r="AK98" i="9" a="1"/>
  <c r="AK98" i="9" s="1"/>
  <c r="AK87" i="9" a="1"/>
  <c r="AK87" i="9" s="1"/>
  <c r="AK79" i="9" a="1"/>
  <c r="AK79" i="9" s="1"/>
  <c r="AK67" i="9" a="1"/>
  <c r="AK67" i="9" s="1"/>
  <c r="AK72" i="9" a="1"/>
  <c r="AK72" i="9" s="1"/>
  <c r="AK77" i="9" a="1"/>
  <c r="AK77" i="9" s="1"/>
  <c r="AK85" i="9" a="1"/>
  <c r="AK85" i="9" s="1"/>
  <c r="AK80" i="9" a="1"/>
  <c r="AK80" i="9" s="1"/>
  <c r="AK70" i="9" a="1"/>
  <c r="AK70" i="9" s="1"/>
  <c r="AK75" i="9" a="1"/>
  <c r="AK75" i="9" s="1"/>
  <c r="AK68" i="9" a="1"/>
  <c r="AK68" i="9" s="1"/>
  <c r="AK73" i="9" a="1"/>
  <c r="AK73" i="9" s="1"/>
  <c r="AK78" i="9" a="1"/>
  <c r="AK78" i="9" s="1"/>
  <c r="AK71" i="9" a="1"/>
  <c r="AK71" i="9" s="1"/>
  <c r="AK76" i="9" a="1"/>
  <c r="AK76" i="9" s="1"/>
  <c r="AK60" i="9" a="1"/>
  <c r="AK60" i="9" s="1"/>
  <c r="AK48" i="9" a="1"/>
  <c r="AK48" i="9" s="1"/>
  <c r="AK74" i="9" a="1"/>
  <c r="AK74" i="9" s="1"/>
  <c r="AK69" i="9" a="1"/>
  <c r="AK69" i="9" s="1"/>
  <c r="AK65" i="9" a="1"/>
  <c r="AK65" i="9" s="1"/>
  <c r="AK53" i="9" a="1"/>
  <c r="AK53" i="9" s="1"/>
  <c r="AK41" i="9" a="1"/>
  <c r="AK41" i="9" s="1"/>
  <c r="AK58" i="9" a="1"/>
  <c r="AK58" i="9" s="1"/>
  <c r="AK46" i="9" a="1"/>
  <c r="AK46" i="9" s="1"/>
  <c r="AK63" i="9" a="1"/>
  <c r="AK63" i="9" s="1"/>
  <c r="AK51" i="9" a="1"/>
  <c r="AK51" i="9" s="1"/>
  <c r="AK39" i="9" a="1"/>
  <c r="AK39" i="9" s="1"/>
  <c r="AK56" i="9" a="1"/>
  <c r="AK56" i="9" s="1"/>
  <c r="AK44" i="9" a="1"/>
  <c r="AK44" i="9" s="1"/>
  <c r="AK61" i="9" a="1"/>
  <c r="AK61" i="9" s="1"/>
  <c r="AK49" i="9" a="1"/>
  <c r="AK49" i="9" s="1"/>
  <c r="AK66" i="9" a="1"/>
  <c r="AK66" i="9" s="1"/>
  <c r="AK54" i="9" a="1"/>
  <c r="AK54" i="9" s="1"/>
  <c r="AK42" i="9" a="1"/>
  <c r="AK42" i="9" s="1"/>
  <c r="AK59" i="9" a="1"/>
  <c r="AK59" i="9" s="1"/>
  <c r="AK47" i="9" a="1"/>
  <c r="AK47" i="9" s="1"/>
  <c r="AK64" i="9" a="1"/>
  <c r="AK64" i="9" s="1"/>
  <c r="AK52" i="9" a="1"/>
  <c r="AK52" i="9" s="1"/>
  <c r="AK62" i="9" a="1"/>
  <c r="AK62" i="9" s="1"/>
  <c r="AK50" i="9" a="1"/>
  <c r="AK50" i="9" s="1"/>
  <c r="AK36" i="9" a="1"/>
  <c r="AK36" i="9" s="1"/>
  <c r="AK24" i="9" a="1"/>
  <c r="AK24" i="9" s="1"/>
  <c r="AK29" i="9" a="1"/>
  <c r="AK29" i="9" s="1"/>
  <c r="AK17" i="9" a="1"/>
  <c r="AK17" i="9" s="1"/>
  <c r="AK34" i="9" a="1"/>
  <c r="AK34" i="9" s="1"/>
  <c r="AK22" i="9" a="1"/>
  <c r="AK22" i="9" s="1"/>
  <c r="AK32" i="9" a="1"/>
  <c r="AK32" i="9" s="1"/>
  <c r="AK20" i="9" a="1"/>
  <c r="AK20" i="9" s="1"/>
  <c r="AK55" i="9" a="1"/>
  <c r="AK55" i="9" s="1"/>
  <c r="AK43" i="9" a="1"/>
  <c r="AK43" i="9" s="1"/>
  <c r="AK40" i="9" a="1"/>
  <c r="AK40" i="9" s="1"/>
  <c r="AK37" i="9" a="1"/>
  <c r="AK37" i="9" s="1"/>
  <c r="AK25" i="9" a="1"/>
  <c r="AK25" i="9" s="1"/>
  <c r="AK35" i="9" a="1"/>
  <c r="AK35" i="9" s="1"/>
  <c r="AK23" i="9" a="1"/>
  <c r="AK23" i="9" s="1"/>
  <c r="AK57" i="9" a="1"/>
  <c r="AK57" i="9" s="1"/>
  <c r="AK45" i="9" a="1"/>
  <c r="AK45" i="9" s="1"/>
  <c r="AK28" i="9" a="1"/>
  <c r="AK28" i="9" s="1"/>
  <c r="AK16" i="9" a="1"/>
  <c r="AK16" i="9" s="1"/>
  <c r="AK33" i="9" a="1"/>
  <c r="AK33" i="9" s="1"/>
  <c r="AW133" i="9" a="1"/>
  <c r="AW133" i="9" s="1"/>
  <c r="AW134" i="9" a="1"/>
  <c r="AW134" i="9" s="1"/>
  <c r="AW135" i="9" a="1"/>
  <c r="AW135" i="9" s="1"/>
  <c r="AW127" i="9" a="1"/>
  <c r="AW127" i="9" s="1"/>
  <c r="AW128" i="9" a="1"/>
  <c r="AW128" i="9" s="1"/>
  <c r="AW132" i="9" a="1"/>
  <c r="AW132" i="9" s="1"/>
  <c r="AW124" i="9" a="1"/>
  <c r="AW124" i="9" s="1"/>
  <c r="AW129" i="9" a="1"/>
  <c r="AW129" i="9" s="1"/>
  <c r="AW121" i="9" a="1"/>
  <c r="AW121" i="9" s="1"/>
  <c r="AW136" i="9" a="1"/>
  <c r="AW136" i="9" s="1"/>
  <c r="AW119" i="9" a="1"/>
  <c r="AW119" i="9" s="1"/>
  <c r="AW131" i="9" a="1"/>
  <c r="AW131" i="9" s="1"/>
  <c r="AW126" i="9" a="1"/>
  <c r="AW126" i="9" s="1"/>
  <c r="AW125" i="9" a="1"/>
  <c r="AW125" i="9" s="1"/>
  <c r="AW130" i="9" a="1"/>
  <c r="AW130" i="9" s="1"/>
  <c r="AW116" i="9" a="1"/>
  <c r="AW116" i="9" s="1"/>
  <c r="AW114" i="9" a="1"/>
  <c r="AW114" i="9" s="1"/>
  <c r="AW120" i="9" a="1"/>
  <c r="AW120" i="9" s="1"/>
  <c r="AW123" i="9" a="1"/>
  <c r="AW123" i="9" s="1"/>
  <c r="AW117" i="9" a="1"/>
  <c r="AW117" i="9" s="1"/>
  <c r="AW115" i="9" a="1"/>
  <c r="AW115" i="9" s="1"/>
  <c r="AW122" i="9" a="1"/>
  <c r="AW122" i="9" s="1"/>
  <c r="AW111" i="9" a="1"/>
  <c r="AW111" i="9" s="1"/>
  <c r="AW113" i="9" a="1"/>
  <c r="AW113" i="9" s="1"/>
  <c r="AW109" i="9" a="1"/>
  <c r="AW109" i="9" s="1"/>
  <c r="AW112" i="9" a="1"/>
  <c r="AW112" i="9" s="1"/>
  <c r="AW102" i="9" a="1"/>
  <c r="AW102" i="9" s="1"/>
  <c r="AW107" i="9" a="1"/>
  <c r="AW107" i="9" s="1"/>
  <c r="AW118" i="9" a="1"/>
  <c r="AW118" i="9" s="1"/>
  <c r="AW105" i="9" a="1"/>
  <c r="AW105" i="9" s="1"/>
  <c r="AW110" i="9" a="1"/>
  <c r="AW110" i="9" s="1"/>
  <c r="AW108" i="9" a="1"/>
  <c r="AW108" i="9" s="1"/>
  <c r="AW94" i="9" a="1"/>
  <c r="AW94" i="9" s="1"/>
  <c r="AW104" i="9" a="1"/>
  <c r="AW104" i="9" s="1"/>
  <c r="AW99" i="9" a="1"/>
  <c r="AW99" i="9" s="1"/>
  <c r="AW92" i="9" a="1"/>
  <c r="AW92" i="9" s="1"/>
  <c r="AW97" i="9" a="1"/>
  <c r="AW97" i="9" s="1"/>
  <c r="AW103" i="9" a="1"/>
  <c r="AW103" i="9" s="1"/>
  <c r="AW90" i="9" a="1"/>
  <c r="AW90" i="9" s="1"/>
  <c r="AW95" i="9" a="1"/>
  <c r="AW95" i="9" s="1"/>
  <c r="AW83" i="9" a="1"/>
  <c r="AW83" i="9" s="1"/>
  <c r="AW88" i="9" a="1"/>
  <c r="AW88" i="9" s="1"/>
  <c r="AW98" i="9" a="1"/>
  <c r="AW98" i="9" s="1"/>
  <c r="AW81" i="9" a="1"/>
  <c r="AW81" i="9" s="1"/>
  <c r="AW86" i="9" a="1"/>
  <c r="AW86" i="9" s="1"/>
  <c r="AW101" i="9" a="1"/>
  <c r="AW101" i="9" s="1"/>
  <c r="AW84" i="9" a="1"/>
  <c r="AW84" i="9" s="1"/>
  <c r="AW91" i="9" a="1"/>
  <c r="AW91" i="9" s="1"/>
  <c r="AW89" i="9" a="1"/>
  <c r="AW89" i="9" s="1"/>
  <c r="AW100" i="9" a="1"/>
  <c r="AW100" i="9" s="1"/>
  <c r="AW82" i="9" a="1"/>
  <c r="AW82" i="9" s="1"/>
  <c r="AW87" i="9" a="1"/>
  <c r="AW87" i="9" s="1"/>
  <c r="AW67" i="9" a="1"/>
  <c r="AW67" i="9" s="1"/>
  <c r="AW72" i="9" a="1"/>
  <c r="AW72" i="9" s="1"/>
  <c r="AW79" i="9" a="1"/>
  <c r="AW79" i="9" s="1"/>
  <c r="AW77" i="9" a="1"/>
  <c r="AW77" i="9" s="1"/>
  <c r="AW70" i="9" a="1"/>
  <c r="AW70" i="9" s="1"/>
  <c r="AW75" i="9" a="1"/>
  <c r="AW75" i="9" s="1"/>
  <c r="AW68" i="9" a="1"/>
  <c r="AW68" i="9" s="1"/>
  <c r="AW73" i="9" a="1"/>
  <c r="AW73" i="9" s="1"/>
  <c r="AW78" i="9" a="1"/>
  <c r="AW78" i="9" s="1"/>
  <c r="AW66" i="9" a="1"/>
  <c r="AW66" i="9" s="1"/>
  <c r="AW96" i="9" a="1"/>
  <c r="AW96" i="9" s="1"/>
  <c r="AW93" i="9" a="1"/>
  <c r="AW93" i="9" s="1"/>
  <c r="AW71" i="9" a="1"/>
  <c r="AW71" i="9" s="1"/>
  <c r="AW106" i="9" a="1"/>
  <c r="AW106" i="9" s="1"/>
  <c r="AW76" i="9" a="1"/>
  <c r="AW76" i="9" s="1"/>
  <c r="AW85" i="9" a="1"/>
  <c r="AW85" i="9" s="1"/>
  <c r="AW60" i="9" a="1"/>
  <c r="AW60" i="9" s="1"/>
  <c r="AW48" i="9" a="1"/>
  <c r="AW48" i="9" s="1"/>
  <c r="AW65" i="9" a="1"/>
  <c r="AW65" i="9" s="1"/>
  <c r="AW53" i="9" a="1"/>
  <c r="AW53" i="9" s="1"/>
  <c r="AW41" i="9" a="1"/>
  <c r="AW41" i="9" s="1"/>
  <c r="AW58" i="9" a="1"/>
  <c r="AW58" i="9" s="1"/>
  <c r="AW46" i="9" a="1"/>
  <c r="AW46" i="9" s="1"/>
  <c r="AW63" i="9" a="1"/>
  <c r="AW63" i="9" s="1"/>
  <c r="AW51" i="9" a="1"/>
  <c r="AW51" i="9" s="1"/>
  <c r="AW39" i="9" a="1"/>
  <c r="AW39" i="9" s="1"/>
  <c r="AW56" i="9" a="1"/>
  <c r="AW56" i="9" s="1"/>
  <c r="AW44" i="9" a="1"/>
  <c r="AW44" i="9" s="1"/>
  <c r="AW80" i="9" a="1"/>
  <c r="AW80" i="9" s="1"/>
  <c r="AW61" i="9" a="1"/>
  <c r="AW61" i="9" s="1"/>
  <c r="AW49" i="9" a="1"/>
  <c r="AW49" i="9" s="1"/>
  <c r="AW54" i="9" a="1"/>
  <c r="AW54" i="9" s="1"/>
  <c r="AW42" i="9" a="1"/>
  <c r="AW42" i="9" s="1"/>
  <c r="AW59" i="9" a="1"/>
  <c r="AW59" i="9" s="1"/>
  <c r="AW47" i="9" a="1"/>
  <c r="AW47" i="9" s="1"/>
  <c r="AW64" i="9" a="1"/>
  <c r="AW64" i="9" s="1"/>
  <c r="AW52" i="9" a="1"/>
  <c r="AW52" i="9" s="1"/>
  <c r="AW36" i="9" a="1"/>
  <c r="AW36" i="9" s="1"/>
  <c r="AW24" i="9" a="1"/>
  <c r="AW24" i="9" s="1"/>
  <c r="AW69" i="9" a="1"/>
  <c r="AW69" i="9" s="1"/>
  <c r="AW29" i="9" a="1"/>
  <c r="AW29" i="9" s="1"/>
  <c r="AW17" i="9" a="1"/>
  <c r="AW17" i="9" s="1"/>
  <c r="AW57" i="9" a="1"/>
  <c r="AW57" i="9" s="1"/>
  <c r="AW45" i="9" a="1"/>
  <c r="AW45" i="9" s="1"/>
  <c r="AW34" i="9" a="1"/>
  <c r="AW34" i="9" s="1"/>
  <c r="AW22" i="9" a="1"/>
  <c r="AW22" i="9" s="1"/>
  <c r="AW38" i="9" a="1"/>
  <c r="AW38" i="9" s="1"/>
  <c r="AW32" i="9" a="1"/>
  <c r="AW32" i="9" s="1"/>
  <c r="AW20" i="9" a="1"/>
  <c r="AW20" i="9" s="1"/>
  <c r="AW37" i="9" a="1"/>
  <c r="AW37" i="9" s="1"/>
  <c r="AW25" i="9" a="1"/>
  <c r="AW25" i="9" s="1"/>
  <c r="AW62" i="9" a="1"/>
  <c r="AW62" i="9" s="1"/>
  <c r="AW50" i="9" a="1"/>
  <c r="AW50" i="9" s="1"/>
  <c r="AW35" i="9" a="1"/>
  <c r="AW35" i="9" s="1"/>
  <c r="AW23" i="9" a="1"/>
  <c r="AW23" i="9" s="1"/>
  <c r="AW28" i="9" a="1"/>
  <c r="AW28" i="9" s="1"/>
  <c r="AW16" i="9" a="1"/>
  <c r="AW16" i="9" s="1"/>
  <c r="AW40" i="9" a="1"/>
  <c r="AW40" i="9" s="1"/>
  <c r="AW33" i="9" a="1"/>
  <c r="AW33" i="9" s="1"/>
  <c r="BI133" i="9" a="1"/>
  <c r="BI133" i="9" s="1"/>
  <c r="BI129" i="9" a="1"/>
  <c r="BI129" i="9" s="1"/>
  <c r="BI131" i="9" a="1"/>
  <c r="BI131" i="9" s="1"/>
  <c r="BI127" i="9" a="1"/>
  <c r="BI127" i="9" s="1"/>
  <c r="BI128" i="9" a="1"/>
  <c r="BI128" i="9" s="1"/>
  <c r="BI136" i="9" a="1"/>
  <c r="BI136" i="9" s="1"/>
  <c r="BI130" i="9" a="1"/>
  <c r="BI130" i="9" s="1"/>
  <c r="BI135" i="9" a="1"/>
  <c r="BI135" i="9" s="1"/>
  <c r="BI124" i="9" a="1"/>
  <c r="BI124" i="9" s="1"/>
  <c r="BI121" i="9" a="1"/>
  <c r="BI121" i="9" s="1"/>
  <c r="BI126" i="9" a="1"/>
  <c r="BI126" i="9" s="1"/>
  <c r="BI125" i="9" a="1"/>
  <c r="BI125" i="9" s="1"/>
  <c r="BI119" i="9" a="1"/>
  <c r="BI119" i="9" s="1"/>
  <c r="BI134" i="9" a="1"/>
  <c r="BI134" i="9" s="1"/>
  <c r="BI132" i="9" a="1"/>
  <c r="BI132" i="9" s="1"/>
  <c r="BI116" i="9" a="1"/>
  <c r="BI116" i="9" s="1"/>
  <c r="BI114" i="9" a="1"/>
  <c r="BI114" i="9" s="1"/>
  <c r="BI122" i="9" a="1"/>
  <c r="BI122" i="9" s="1"/>
  <c r="BI117" i="9" a="1"/>
  <c r="BI117" i="9" s="1"/>
  <c r="BI115" i="9" a="1"/>
  <c r="BI115" i="9" s="1"/>
  <c r="BI123" i="9" a="1"/>
  <c r="BI123" i="9" s="1"/>
  <c r="BI111" i="9" a="1"/>
  <c r="BI111" i="9" s="1"/>
  <c r="BI113" i="9" a="1"/>
  <c r="BI113" i="9" s="1"/>
  <c r="BI109" i="9" a="1"/>
  <c r="BI109" i="9" s="1"/>
  <c r="BI120" i="9" a="1"/>
  <c r="BI120" i="9" s="1"/>
  <c r="BI102" i="9" a="1"/>
  <c r="BI102" i="9" s="1"/>
  <c r="BI107" i="9" a="1"/>
  <c r="BI107" i="9" s="1"/>
  <c r="BI105" i="9" a="1"/>
  <c r="BI105" i="9" s="1"/>
  <c r="BI112" i="9" a="1"/>
  <c r="BI112" i="9" s="1"/>
  <c r="BI110" i="9" a="1"/>
  <c r="BI110" i="9" s="1"/>
  <c r="BI118" i="9" a="1"/>
  <c r="BI118" i="9" s="1"/>
  <c r="BI108" i="9" a="1"/>
  <c r="BI108" i="9" s="1"/>
  <c r="BI91" i="9" a="1"/>
  <c r="BI91" i="9" s="1"/>
  <c r="BI106" i="9" a="1"/>
  <c r="BI106" i="9" s="1"/>
  <c r="BI94" i="9" a="1"/>
  <c r="BI94" i="9" s="1"/>
  <c r="BI101" i="9" a="1"/>
  <c r="BI101" i="9" s="1"/>
  <c r="BI99" i="9" a="1"/>
  <c r="BI99" i="9" s="1"/>
  <c r="BI100" i="9" a="1"/>
  <c r="BI100" i="9" s="1"/>
  <c r="BI92" i="9" a="1"/>
  <c r="BI92" i="9" s="1"/>
  <c r="BI97" i="9" a="1"/>
  <c r="BI97" i="9" s="1"/>
  <c r="BI90" i="9" a="1"/>
  <c r="BI90" i="9" s="1"/>
  <c r="BI104" i="9" a="1"/>
  <c r="BI104" i="9" s="1"/>
  <c r="BI95" i="9" a="1"/>
  <c r="BI95" i="9" s="1"/>
  <c r="BI83" i="9" a="1"/>
  <c r="BI83" i="9" s="1"/>
  <c r="BI88" i="9" a="1"/>
  <c r="BI88" i="9" s="1"/>
  <c r="BI81" i="9" a="1"/>
  <c r="BI81" i="9" s="1"/>
  <c r="BI103" i="9" a="1"/>
  <c r="BI103" i="9" s="1"/>
  <c r="BI93" i="9" a="1"/>
  <c r="BI93" i="9" s="1"/>
  <c r="BI86" i="9" a="1"/>
  <c r="BI86" i="9" s="1"/>
  <c r="BI96" i="9" a="1"/>
  <c r="BI96" i="9" s="1"/>
  <c r="BI79" i="9" a="1"/>
  <c r="BI79" i="9" s="1"/>
  <c r="BI84" i="9" a="1"/>
  <c r="BI84" i="9" s="1"/>
  <c r="BI89" i="9" a="1"/>
  <c r="BI89" i="9" s="1"/>
  <c r="BI82" i="9" a="1"/>
  <c r="BI82" i="9" s="1"/>
  <c r="BI98" i="9" a="1"/>
  <c r="BI98" i="9" s="1"/>
  <c r="BI87" i="9" a="1"/>
  <c r="BI87" i="9" s="1"/>
  <c r="BI67" i="9" a="1"/>
  <c r="BI67" i="9" s="1"/>
  <c r="BI72" i="9" a="1"/>
  <c r="BI72" i="9" s="1"/>
  <c r="BI77" i="9" a="1"/>
  <c r="BI77" i="9" s="1"/>
  <c r="BI70" i="9" a="1"/>
  <c r="BI70" i="9" s="1"/>
  <c r="BI75" i="9" a="1"/>
  <c r="BI75" i="9" s="1"/>
  <c r="BI68" i="9" a="1"/>
  <c r="BI68" i="9" s="1"/>
  <c r="BI73" i="9" a="1"/>
  <c r="BI73" i="9" s="1"/>
  <c r="BI85" i="9" a="1"/>
  <c r="BI85" i="9" s="1"/>
  <c r="BI80" i="9" a="1"/>
  <c r="BI80" i="9" s="1"/>
  <c r="BI78" i="9" a="1"/>
  <c r="BI78" i="9" s="1"/>
  <c r="BI66" i="9" a="1"/>
  <c r="BI66" i="9" s="1"/>
  <c r="BI71" i="9" a="1"/>
  <c r="BI71" i="9" s="1"/>
  <c r="BI76" i="9" a="1"/>
  <c r="BI76" i="9" s="1"/>
  <c r="BI60" i="9" a="1"/>
  <c r="BI60" i="9" s="1"/>
  <c r="BI48" i="9" a="1"/>
  <c r="BI48" i="9" s="1"/>
  <c r="BI65" i="9" a="1"/>
  <c r="BI65" i="9" s="1"/>
  <c r="BI53" i="9" a="1"/>
  <c r="BI53" i="9" s="1"/>
  <c r="BI41" i="9" a="1"/>
  <c r="BI41" i="9" s="1"/>
  <c r="BI58" i="9" a="1"/>
  <c r="BI58" i="9" s="1"/>
  <c r="BI46" i="9" a="1"/>
  <c r="BI46" i="9" s="1"/>
  <c r="BI63" i="9" a="1"/>
  <c r="BI63" i="9" s="1"/>
  <c r="BI51" i="9" a="1"/>
  <c r="BI51" i="9" s="1"/>
  <c r="BI39" i="9" a="1"/>
  <c r="BI39" i="9" s="1"/>
  <c r="BI56" i="9" a="1"/>
  <c r="BI56" i="9" s="1"/>
  <c r="BI44" i="9" a="1"/>
  <c r="BI44" i="9" s="1"/>
  <c r="BI74" i="9" a="1"/>
  <c r="BI74" i="9" s="1"/>
  <c r="BI69" i="9" a="1"/>
  <c r="BI69" i="9" s="1"/>
  <c r="BI61" i="9" a="1"/>
  <c r="BI61" i="9" s="1"/>
  <c r="BI49" i="9" a="1"/>
  <c r="BI49" i="9" s="1"/>
  <c r="BI54" i="9" a="1"/>
  <c r="BI54" i="9" s="1"/>
  <c r="BI42" i="9" a="1"/>
  <c r="BI42" i="9" s="1"/>
  <c r="BI59" i="9" a="1"/>
  <c r="BI59" i="9" s="1"/>
  <c r="BI47" i="9" a="1"/>
  <c r="BI47" i="9" s="1"/>
  <c r="BI64" i="9" a="1"/>
  <c r="BI64" i="9" s="1"/>
  <c r="BI52" i="9" a="1"/>
  <c r="BI52" i="9" s="1"/>
  <c r="BI62" i="9" a="1"/>
  <c r="BI62" i="9" s="1"/>
  <c r="BI50" i="9" a="1"/>
  <c r="BI50" i="9" s="1"/>
  <c r="BI36" i="9" a="1"/>
  <c r="BI36" i="9" s="1"/>
  <c r="BI24" i="9" a="1"/>
  <c r="BI24" i="9" s="1"/>
  <c r="BI40" i="9" a="1"/>
  <c r="BI40" i="9" s="1"/>
  <c r="BI29" i="9" a="1"/>
  <c r="BI29" i="9" s="1"/>
  <c r="BI17" i="9" a="1"/>
  <c r="BI17" i="9" s="1"/>
  <c r="BI34" i="9" a="1"/>
  <c r="BI34" i="9" s="1"/>
  <c r="BI22" i="9" a="1"/>
  <c r="BI22" i="9" s="1"/>
  <c r="BI32" i="9" a="1"/>
  <c r="BI32" i="9" s="1"/>
  <c r="BI20" i="9" a="1"/>
  <c r="BI20" i="9" s="1"/>
  <c r="BI55" i="9" a="1"/>
  <c r="BI55" i="9" s="1"/>
  <c r="BI43" i="9" a="1"/>
  <c r="BI43" i="9" s="1"/>
  <c r="BI37" i="9" a="1"/>
  <c r="BI37" i="9" s="1"/>
  <c r="BI25" i="9" a="1"/>
  <c r="BI25" i="9" s="1"/>
  <c r="BI38" i="9" a="1"/>
  <c r="BI38" i="9" s="1"/>
  <c r="BI35" i="9" a="1"/>
  <c r="BI35" i="9" s="1"/>
  <c r="BI23" i="9" a="1"/>
  <c r="BI23" i="9" s="1"/>
  <c r="BI57" i="9" a="1"/>
  <c r="BI57" i="9" s="1"/>
  <c r="BI45" i="9" a="1"/>
  <c r="BI45" i="9" s="1"/>
  <c r="BI28" i="9" a="1"/>
  <c r="BI28" i="9" s="1"/>
  <c r="BI16" i="9" a="1"/>
  <c r="BI16" i="9" s="1"/>
  <c r="BI33" i="9" a="1"/>
  <c r="BI33" i="9" s="1"/>
  <c r="BU136" i="9" a="1"/>
  <c r="BU136" i="9" s="1"/>
  <c r="BU133" i="9" a="1"/>
  <c r="BU133" i="9" s="1"/>
  <c r="BU131" i="9" a="1"/>
  <c r="BU131" i="9" s="1"/>
  <c r="BU134" i="9" a="1"/>
  <c r="BU134" i="9" s="1"/>
  <c r="BU132" i="9" a="1"/>
  <c r="BU132" i="9" s="1"/>
  <c r="BU129" i="9" a="1"/>
  <c r="BU129" i="9" s="1"/>
  <c r="BU130" i="9" a="1"/>
  <c r="BU130" i="9" s="1"/>
  <c r="BU127" i="9" a="1"/>
  <c r="BU127" i="9" s="1"/>
  <c r="BU124" i="9" a="1"/>
  <c r="BU124" i="9" s="1"/>
  <c r="BU135" i="9" a="1"/>
  <c r="BU135" i="9" s="1"/>
  <c r="BU122" i="9" a="1"/>
  <c r="BU122" i="9" s="1"/>
  <c r="BU126" i="9" a="1"/>
  <c r="BU126" i="9" s="1"/>
  <c r="BU125" i="9" a="1"/>
  <c r="BU125" i="9" s="1"/>
  <c r="BU121" i="9" a="1"/>
  <c r="BU121" i="9" s="1"/>
  <c r="BU123" i="9" a="1"/>
  <c r="BU123" i="9" s="1"/>
  <c r="BU119" i="9" a="1"/>
  <c r="BU119" i="9" s="1"/>
  <c r="BU116" i="9" a="1"/>
  <c r="BU116" i="9" s="1"/>
  <c r="BU114" i="9" a="1"/>
  <c r="BU114" i="9" s="1"/>
  <c r="BU112" i="9" a="1"/>
  <c r="BU112" i="9" s="1"/>
  <c r="BU117" i="9" a="1"/>
  <c r="BU117" i="9" s="1"/>
  <c r="BU115" i="9" a="1"/>
  <c r="BU115" i="9" s="1"/>
  <c r="BU128" i="9" a="1"/>
  <c r="BU128" i="9" s="1"/>
  <c r="BU111" i="9" a="1"/>
  <c r="BU111" i="9" s="1"/>
  <c r="BU109" i="9" a="1"/>
  <c r="BU109" i="9" s="1"/>
  <c r="BU113" i="9" a="1"/>
  <c r="BU113" i="9" s="1"/>
  <c r="BU102" i="9" a="1"/>
  <c r="BU102" i="9" s="1"/>
  <c r="BU107" i="9" a="1"/>
  <c r="BU107" i="9" s="1"/>
  <c r="BU105" i="9" a="1"/>
  <c r="BU105" i="9" s="1"/>
  <c r="BU110" i="9" a="1"/>
  <c r="BU110" i="9" s="1"/>
  <c r="BU108" i="9" a="1"/>
  <c r="BU108" i="9" s="1"/>
  <c r="BU104" i="9" a="1"/>
  <c r="BU104" i="9" s="1"/>
  <c r="BU91" i="9" a="1"/>
  <c r="BU91" i="9" s="1"/>
  <c r="BU118" i="9" a="1"/>
  <c r="BU118" i="9" s="1"/>
  <c r="BU103" i="9" a="1"/>
  <c r="BU103" i="9" s="1"/>
  <c r="BU94" i="9" a="1"/>
  <c r="BU94" i="9" s="1"/>
  <c r="BU99" i="9" a="1"/>
  <c r="BU99" i="9" s="1"/>
  <c r="BU92" i="9" a="1"/>
  <c r="BU92" i="9" s="1"/>
  <c r="BU106" i="9" a="1"/>
  <c r="BU106" i="9" s="1"/>
  <c r="BU97" i="9" a="1"/>
  <c r="BU97" i="9" s="1"/>
  <c r="BU90" i="9" a="1"/>
  <c r="BU90" i="9" s="1"/>
  <c r="BU120" i="9" a="1"/>
  <c r="BU120" i="9" s="1"/>
  <c r="BU101" i="9" a="1"/>
  <c r="BU101" i="9" s="1"/>
  <c r="BU95" i="9" a="1"/>
  <c r="BU95" i="9" s="1"/>
  <c r="BU83" i="9" a="1"/>
  <c r="BU83" i="9" s="1"/>
  <c r="BU88" i="9" a="1"/>
  <c r="BU88" i="9" s="1"/>
  <c r="BU98" i="9" a="1"/>
  <c r="BU98" i="9" s="1"/>
  <c r="BU81" i="9" a="1"/>
  <c r="BU81" i="9" s="1"/>
  <c r="BU86" i="9" a="1"/>
  <c r="BU86" i="9" s="1"/>
  <c r="BU79" i="9" a="1"/>
  <c r="BU79" i="9" s="1"/>
  <c r="BU84" i="9" a="1"/>
  <c r="BU84" i="9" s="1"/>
  <c r="BU89" i="9" a="1"/>
  <c r="BU89" i="9" s="1"/>
  <c r="BU82" i="9" a="1"/>
  <c r="BU82" i="9" s="1"/>
  <c r="BU87" i="9" a="1"/>
  <c r="BU87" i="9" s="1"/>
  <c r="BU67" i="9" a="1"/>
  <c r="BU67" i="9" s="1"/>
  <c r="BU72" i="9" a="1"/>
  <c r="BU72" i="9" s="1"/>
  <c r="BU77" i="9" a="1"/>
  <c r="BU77" i="9" s="1"/>
  <c r="BU85" i="9" a="1"/>
  <c r="BU85" i="9" s="1"/>
  <c r="BU80" i="9" a="1"/>
  <c r="BU80" i="9" s="1"/>
  <c r="BU70" i="9" a="1"/>
  <c r="BU70" i="9" s="1"/>
  <c r="BU100" i="9" a="1"/>
  <c r="BU100" i="9" s="1"/>
  <c r="BU75" i="9" a="1"/>
  <c r="BU75" i="9" s="1"/>
  <c r="BU68" i="9" a="1"/>
  <c r="BU68" i="9" s="1"/>
  <c r="BU96" i="9" a="1"/>
  <c r="BU96" i="9" s="1"/>
  <c r="BU93" i="9" a="1"/>
  <c r="BU93" i="9" s="1"/>
  <c r="BU73" i="9" a="1"/>
  <c r="BU73" i="9" s="1"/>
  <c r="BU78" i="9" a="1"/>
  <c r="BU78" i="9" s="1"/>
  <c r="BU66" i="9" a="1"/>
  <c r="BU66" i="9" s="1"/>
  <c r="BU71" i="9" a="1"/>
  <c r="BU71" i="9" s="1"/>
  <c r="BU76" i="9" a="1"/>
  <c r="BU76" i="9" s="1"/>
  <c r="BU60" i="9" a="1"/>
  <c r="BU60" i="9" s="1"/>
  <c r="BU48" i="9" a="1"/>
  <c r="BU48" i="9" s="1"/>
  <c r="BU74" i="9" a="1"/>
  <c r="BU74" i="9" s="1"/>
  <c r="BU69" i="9" a="1"/>
  <c r="BU69" i="9" s="1"/>
  <c r="BU65" i="9" a="1"/>
  <c r="BU65" i="9" s="1"/>
  <c r="BU53" i="9" a="1"/>
  <c r="BU53" i="9" s="1"/>
  <c r="BU41" i="9" a="1"/>
  <c r="BU41" i="9" s="1"/>
  <c r="BU58" i="9" a="1"/>
  <c r="BU58" i="9" s="1"/>
  <c r="BU46" i="9" a="1"/>
  <c r="BU46" i="9" s="1"/>
  <c r="BU63" i="9" a="1"/>
  <c r="BU63" i="9" s="1"/>
  <c r="BU51" i="9" a="1"/>
  <c r="BU51" i="9" s="1"/>
  <c r="BU39" i="9" a="1"/>
  <c r="BU39" i="9" s="1"/>
  <c r="BU56" i="9" a="1"/>
  <c r="BU56" i="9" s="1"/>
  <c r="BU44" i="9" a="1"/>
  <c r="BU44" i="9" s="1"/>
  <c r="BU61" i="9" a="1"/>
  <c r="BU61" i="9" s="1"/>
  <c r="BU49" i="9" a="1"/>
  <c r="BU49" i="9" s="1"/>
  <c r="BU54" i="9" a="1"/>
  <c r="BU54" i="9" s="1"/>
  <c r="BU42" i="9" a="1"/>
  <c r="BU42" i="9" s="1"/>
  <c r="BU59" i="9" a="1"/>
  <c r="BU59" i="9" s="1"/>
  <c r="BU47" i="9" a="1"/>
  <c r="BU47" i="9" s="1"/>
  <c r="BU64" i="9" a="1"/>
  <c r="BU64" i="9" s="1"/>
  <c r="BU52" i="9" a="1"/>
  <c r="BU52" i="9" s="1"/>
  <c r="BU36" i="9" a="1"/>
  <c r="BU36" i="9" s="1"/>
  <c r="BU24" i="9" a="1"/>
  <c r="BU24" i="9" s="1"/>
  <c r="BU29" i="9" a="1"/>
  <c r="BU29" i="9" s="1"/>
  <c r="BU17" i="9" a="1"/>
  <c r="BU17" i="9" s="1"/>
  <c r="BU57" i="9" a="1"/>
  <c r="BU57" i="9" s="1"/>
  <c r="BU45" i="9" a="1"/>
  <c r="BU45" i="9" s="1"/>
  <c r="BU34" i="9" a="1"/>
  <c r="BU34" i="9" s="1"/>
  <c r="BU22" i="9" a="1"/>
  <c r="BU22" i="9" s="1"/>
  <c r="BU32" i="9" a="1"/>
  <c r="BU32" i="9" s="1"/>
  <c r="BU20" i="9" a="1"/>
  <c r="BU20" i="9" s="1"/>
  <c r="BU40" i="9" a="1"/>
  <c r="BU40" i="9" s="1"/>
  <c r="BU37" i="9" a="1"/>
  <c r="BU37" i="9" s="1"/>
  <c r="BU25" i="9" a="1"/>
  <c r="BU25" i="9" s="1"/>
  <c r="BU62" i="9" a="1"/>
  <c r="BU62" i="9" s="1"/>
  <c r="BU50" i="9" a="1"/>
  <c r="BU50" i="9" s="1"/>
  <c r="BU35" i="9" a="1"/>
  <c r="BU35" i="9" s="1"/>
  <c r="BU23" i="9" a="1"/>
  <c r="BU23" i="9" s="1"/>
  <c r="BU28" i="9" a="1"/>
  <c r="BU28" i="9" s="1"/>
  <c r="BU16" i="9" a="1"/>
  <c r="BU16" i="9" s="1"/>
  <c r="BU33" i="9" a="1"/>
  <c r="BU33" i="9" s="1"/>
  <c r="M9" i="9" a="1"/>
  <c r="M9" i="9" s="1"/>
  <c r="Y9" i="9" a="1"/>
  <c r="Y9" i="9" s="1"/>
  <c r="AK9" i="9" a="1"/>
  <c r="AK9" i="9" s="1"/>
  <c r="AW9" i="9" a="1"/>
  <c r="AW9" i="9" s="1"/>
  <c r="BI9" i="9" a="1"/>
  <c r="BI9" i="9" s="1"/>
  <c r="BU9" i="9" a="1"/>
  <c r="BU9" i="9" s="1"/>
  <c r="V15" i="9" a="1"/>
  <c r="V15" i="9" s="1"/>
  <c r="AH15" i="9" a="1"/>
  <c r="AH15" i="9" s="1"/>
  <c r="AT15" i="9" a="1"/>
  <c r="AT15" i="9" s="1"/>
  <c r="BF15" i="9" a="1"/>
  <c r="BF15" i="9" s="1"/>
  <c r="BL15" i="9" a="1"/>
  <c r="BL15" i="9" s="1"/>
  <c r="BR15" i="9" a="1"/>
  <c r="BR15" i="9" s="1"/>
  <c r="BX15" i="9" a="1"/>
  <c r="BX15" i="9" s="1"/>
  <c r="BI18" i="9" a="1"/>
  <c r="BI18" i="9" s="1"/>
  <c r="BU19" i="9" a="1"/>
  <c r="BU19" i="9" s="1"/>
  <c r="AT24" i="9" a="1"/>
  <c r="AT24" i="9" s="1"/>
  <c r="AH36" i="9" a="1"/>
  <c r="AH36" i="9" s="1"/>
  <c r="BF36" i="9" a="1"/>
  <c r="BF36" i="9" s="1"/>
  <c r="BX37" i="9" a="1"/>
  <c r="BX37" i="9" s="1"/>
  <c r="BR39" i="9" a="1"/>
  <c r="BR39" i="9" s="1"/>
  <c r="BX10" i="9" a="1"/>
  <c r="BX10" i="9" s="1"/>
  <c r="M16" i="9" a="1"/>
  <c r="M16" i="9" s="1"/>
  <c r="Y16" i="9" a="1"/>
  <c r="Y16" i="9" s="1"/>
  <c r="BF20" i="9" a="1"/>
  <c r="BF20" i="9" s="1"/>
  <c r="Y21" i="9" a="1"/>
  <c r="Y21" i="9" s="1"/>
  <c r="BX24" i="9" a="1"/>
  <c r="BX24" i="9" s="1"/>
  <c r="AT25" i="9" a="1"/>
  <c r="AT25" i="9" s="1"/>
  <c r="M26" i="9" a="1"/>
  <c r="M26" i="9" s="1"/>
  <c r="M30" i="9" a="1"/>
  <c r="M30" i="9" s="1"/>
  <c r="AK30" i="9" a="1"/>
  <c r="AK30" i="9" s="1"/>
  <c r="BI30" i="9" a="1"/>
  <c r="BI30" i="9" s="1"/>
  <c r="V32" i="9" a="1"/>
  <c r="V32" i="9" s="1"/>
  <c r="AT32" i="9" a="1"/>
  <c r="AT32" i="9" s="1"/>
  <c r="BR32" i="9" a="1"/>
  <c r="BR32" i="9" s="1"/>
  <c r="Y55" i="9" a="1"/>
  <c r="Y55" i="9" s="1"/>
  <c r="BX5" i="9" a="1"/>
  <c r="BX5" i="9" s="1"/>
  <c r="M11" i="9" a="1"/>
  <c r="M11" i="9" s="1"/>
  <c r="Y11" i="9" a="1"/>
  <c r="Y11" i="9" s="1"/>
  <c r="AK11" i="9" a="1"/>
  <c r="AK11" i="9" s="1"/>
  <c r="AW11" i="9" a="1"/>
  <c r="AW11" i="9" s="1"/>
  <c r="BI11" i="9" a="1"/>
  <c r="BI11" i="9" s="1"/>
  <c r="BU11" i="9" a="1"/>
  <c r="BU11" i="9" s="1"/>
  <c r="AW18" i="9" a="1"/>
  <c r="AW18" i="9" s="1"/>
  <c r="BI19" i="9" a="1"/>
  <c r="BI19" i="9" s="1"/>
  <c r="BR21" i="9" a="1"/>
  <c r="BR21" i="9" s="1"/>
  <c r="AH24" i="9" a="1"/>
  <c r="AH24" i="9" s="1"/>
  <c r="M27" i="9" a="1"/>
  <c r="M27" i="9" s="1"/>
  <c r="AW27" i="9" a="1"/>
  <c r="AW27" i="9" s="1"/>
  <c r="AT38" i="9" a="1"/>
  <c r="AT38" i="9" s="1"/>
  <c r="AW43" i="9" a="1"/>
  <c r="AW43" i="9" s="1"/>
  <c r="AH51" i="9" a="1"/>
  <c r="AH51" i="9" s="1"/>
  <c r="BL136" i="9" a="1"/>
  <c r="BL136" i="9" s="1"/>
  <c r="BL134" i="9" a="1"/>
  <c r="BL134" i="9" s="1"/>
  <c r="BL132" i="9" a="1"/>
  <c r="BL132" i="9" s="1"/>
  <c r="BL130" i="9" a="1"/>
  <c r="BL130" i="9" s="1"/>
  <c r="BL129" i="9" a="1"/>
  <c r="BL129" i="9" s="1"/>
  <c r="BL128" i="9" a="1"/>
  <c r="BL128" i="9" s="1"/>
  <c r="BL133" i="9" a="1"/>
  <c r="BL133" i="9" s="1"/>
  <c r="BL127" i="9" a="1"/>
  <c r="BL127" i="9" s="1"/>
  <c r="BL124" i="9" a="1"/>
  <c r="BL124" i="9" s="1"/>
  <c r="BL131" i="9" a="1"/>
  <c r="BL131" i="9" s="1"/>
  <c r="BL135" i="9" a="1"/>
  <c r="BL135" i="9" s="1"/>
  <c r="BL125" i="9" a="1"/>
  <c r="BL125" i="9" s="1"/>
  <c r="BL122" i="9" a="1"/>
  <c r="BL122" i="9" s="1"/>
  <c r="BL123" i="9" a="1"/>
  <c r="BL123" i="9" s="1"/>
  <c r="BL113" i="9" a="1"/>
  <c r="BL113" i="9" s="1"/>
  <c r="BL119" i="9" a="1"/>
  <c r="BL119" i="9" s="1"/>
  <c r="BL118" i="9" a="1"/>
  <c r="BL118" i="9" s="1"/>
  <c r="BL116" i="9" a="1"/>
  <c r="BL116" i="9" s="1"/>
  <c r="BL120" i="9" a="1"/>
  <c r="BL120" i="9" s="1"/>
  <c r="BL117" i="9" a="1"/>
  <c r="BL117" i="9" s="1"/>
  <c r="BL105" i="9" a="1"/>
  <c r="BL105" i="9" s="1"/>
  <c r="BL103" i="9" a="1"/>
  <c r="BL103" i="9" s="1"/>
  <c r="BL121" i="9" a="1"/>
  <c r="BL121" i="9" s="1"/>
  <c r="BL108" i="9" a="1"/>
  <c r="BL108" i="9" s="1"/>
  <c r="BL101" i="9" a="1"/>
  <c r="BL101" i="9" s="1"/>
  <c r="BL106" i="9" a="1"/>
  <c r="BL106" i="9" s="1"/>
  <c r="BL111" i="9" a="1"/>
  <c r="BL111" i="9" s="1"/>
  <c r="BL104" i="9" a="1"/>
  <c r="BL104" i="9" s="1"/>
  <c r="BL126" i="9" a="1"/>
  <c r="BL126" i="9" s="1"/>
  <c r="BL115" i="9" a="1"/>
  <c r="BL115" i="9" s="1"/>
  <c r="BL102" i="9" a="1"/>
  <c r="BL102" i="9" s="1"/>
  <c r="BL112" i="9" a="1"/>
  <c r="BL112" i="9" s="1"/>
  <c r="BL97" i="9" a="1"/>
  <c r="BL97" i="9" s="1"/>
  <c r="BL114" i="9" a="1"/>
  <c r="BL114" i="9" s="1"/>
  <c r="BL109" i="9" a="1"/>
  <c r="BL109" i="9" s="1"/>
  <c r="BL95" i="9" a="1"/>
  <c r="BL95" i="9" s="1"/>
  <c r="BL93" i="9" a="1"/>
  <c r="BL93" i="9" s="1"/>
  <c r="BL98" i="9" a="1"/>
  <c r="BL98" i="9" s="1"/>
  <c r="BL91" i="9" a="1"/>
  <c r="BL91" i="9" s="1"/>
  <c r="BL96" i="9" a="1"/>
  <c r="BL96" i="9" s="1"/>
  <c r="BL107" i="9" a="1"/>
  <c r="BL107" i="9" s="1"/>
  <c r="BL94" i="9" a="1"/>
  <c r="BL94" i="9" s="1"/>
  <c r="BL84" i="9" a="1"/>
  <c r="BL84" i="9" s="1"/>
  <c r="BL89" i="9" a="1"/>
  <c r="BL89" i="9" s="1"/>
  <c r="BL100" i="9" a="1"/>
  <c r="BL100" i="9" s="1"/>
  <c r="BL82" i="9" a="1"/>
  <c r="BL82" i="9" s="1"/>
  <c r="BL99" i="9" a="1"/>
  <c r="BL99" i="9" s="1"/>
  <c r="BL87" i="9" a="1"/>
  <c r="BL87" i="9" s="1"/>
  <c r="BL80" i="9" a="1"/>
  <c r="BL80" i="9" s="1"/>
  <c r="BL85" i="9" a="1"/>
  <c r="BL85" i="9" s="1"/>
  <c r="BL90" i="9" a="1"/>
  <c r="BL90" i="9" s="1"/>
  <c r="BL83" i="9" a="1"/>
  <c r="BL83" i="9" s="1"/>
  <c r="BL92" i="9" a="1"/>
  <c r="BL92" i="9" s="1"/>
  <c r="BL88" i="9" a="1"/>
  <c r="BL88" i="9" s="1"/>
  <c r="BL110" i="9" a="1"/>
  <c r="BL110" i="9" s="1"/>
  <c r="BL81" i="9" a="1"/>
  <c r="BL81" i="9" s="1"/>
  <c r="BL73" i="9" a="1"/>
  <c r="BL73" i="9" s="1"/>
  <c r="BL86" i="9" a="1"/>
  <c r="BL86" i="9" s="1"/>
  <c r="BL78" i="9" a="1"/>
  <c r="BL78" i="9" s="1"/>
  <c r="BL66" i="9" a="1"/>
  <c r="BL66" i="9" s="1"/>
  <c r="BL71" i="9" a="1"/>
  <c r="BL71" i="9" s="1"/>
  <c r="BL76" i="9" a="1"/>
  <c r="BL76" i="9" s="1"/>
  <c r="BL69" i="9" a="1"/>
  <c r="BL69" i="9" s="1"/>
  <c r="BL79" i="9" a="1"/>
  <c r="BL79" i="9" s="1"/>
  <c r="BL74" i="9" a="1"/>
  <c r="BL74" i="9" s="1"/>
  <c r="BL67" i="9" a="1"/>
  <c r="BL67" i="9" s="1"/>
  <c r="BL72" i="9" a="1"/>
  <c r="BL72" i="9" s="1"/>
  <c r="BL77" i="9" a="1"/>
  <c r="BL77" i="9" s="1"/>
  <c r="BL70" i="9" a="1"/>
  <c r="BL70" i="9" s="1"/>
  <c r="BL54" i="9" a="1"/>
  <c r="BL54" i="9" s="1"/>
  <c r="BL42" i="9" a="1"/>
  <c r="BL42" i="9" s="1"/>
  <c r="BL59" i="9" a="1"/>
  <c r="BL59" i="9" s="1"/>
  <c r="BL47" i="9" a="1"/>
  <c r="BL47" i="9" s="1"/>
  <c r="BL64" i="9" a="1"/>
  <c r="BL64" i="9" s="1"/>
  <c r="BL52" i="9" a="1"/>
  <c r="BL52" i="9" s="1"/>
  <c r="BL40" i="9" a="1"/>
  <c r="BL40" i="9" s="1"/>
  <c r="BL57" i="9" a="1"/>
  <c r="BL57" i="9" s="1"/>
  <c r="BL45" i="9" a="1"/>
  <c r="BL45" i="9" s="1"/>
  <c r="BL62" i="9" a="1"/>
  <c r="BL62" i="9" s="1"/>
  <c r="BL50" i="9" a="1"/>
  <c r="BL50" i="9" s="1"/>
  <c r="BL38" i="9" a="1"/>
  <c r="BL38" i="9" s="1"/>
  <c r="BL55" i="9" a="1"/>
  <c r="BL55" i="9" s="1"/>
  <c r="BL43" i="9" a="1"/>
  <c r="BL43" i="9" s="1"/>
  <c r="BL60" i="9" a="1"/>
  <c r="BL60" i="9" s="1"/>
  <c r="BL48" i="9" a="1"/>
  <c r="BL48" i="9" s="1"/>
  <c r="BL65" i="9" a="1"/>
  <c r="BL65" i="9" s="1"/>
  <c r="BL53" i="9" a="1"/>
  <c r="BL53" i="9" s="1"/>
  <c r="BL41" i="9" a="1"/>
  <c r="BL41" i="9" s="1"/>
  <c r="BL58" i="9" a="1"/>
  <c r="BL58" i="9" s="1"/>
  <c r="BL46" i="9" a="1"/>
  <c r="BL46" i="9" s="1"/>
  <c r="BL75" i="9" a="1"/>
  <c r="BL75" i="9" s="1"/>
  <c r="BL56" i="9" a="1"/>
  <c r="BL56" i="9" s="1"/>
  <c r="BL44" i="9" a="1"/>
  <c r="BL44" i="9" s="1"/>
  <c r="BL30" i="9" a="1"/>
  <c r="BL30" i="9" s="1"/>
  <c r="BL18" i="9" a="1"/>
  <c r="BL18" i="9" s="1"/>
  <c r="BL35" i="9" a="1"/>
  <c r="BL35" i="9" s="1"/>
  <c r="BL23" i="9" a="1"/>
  <c r="BL23" i="9" s="1"/>
  <c r="BL28" i="9" a="1"/>
  <c r="BL28" i="9" s="1"/>
  <c r="BL16" i="9" a="1"/>
  <c r="BL16" i="9" s="1"/>
  <c r="BL68" i="9" a="1"/>
  <c r="BL68" i="9" s="1"/>
  <c r="BL39" i="9" a="1"/>
  <c r="BL39" i="9" s="1"/>
  <c r="BL33" i="9" a="1"/>
  <c r="BL33" i="9" s="1"/>
  <c r="BL26" i="9" a="1"/>
  <c r="BL26" i="9" s="1"/>
  <c r="BL61" i="9" a="1"/>
  <c r="BL61" i="9" s="1"/>
  <c r="BL49" i="9" a="1"/>
  <c r="BL49" i="9" s="1"/>
  <c r="BL31" i="9" a="1"/>
  <c r="BL31" i="9" s="1"/>
  <c r="BL19" i="9" a="1"/>
  <c r="BL19" i="9" s="1"/>
  <c r="BL63" i="9" a="1"/>
  <c r="BL63" i="9" s="1"/>
  <c r="BL51" i="9" a="1"/>
  <c r="BL51" i="9" s="1"/>
  <c r="BL29" i="9" a="1"/>
  <c r="BL29" i="9" s="1"/>
  <c r="BL17" i="9" a="1"/>
  <c r="BL17" i="9" s="1"/>
  <c r="BL34" i="9" a="1"/>
  <c r="BL34" i="9" s="1"/>
  <c r="BL22" i="9" a="1"/>
  <c r="BL22" i="9" s="1"/>
  <c r="BL27" i="9" a="1"/>
  <c r="BL27" i="9" s="1"/>
  <c r="BX133" i="9" a="1"/>
  <c r="BX133" i="9" s="1"/>
  <c r="BX129" i="9" a="1"/>
  <c r="BX129" i="9" s="1"/>
  <c r="BX136" i="9" a="1"/>
  <c r="BX136" i="9" s="1"/>
  <c r="BX135" i="9" a="1"/>
  <c r="BX135" i="9" s="1"/>
  <c r="BX132" i="9" a="1"/>
  <c r="BX132" i="9" s="1"/>
  <c r="BX124" i="9" a="1"/>
  <c r="BX124" i="9" s="1"/>
  <c r="BX134" i="9" a="1"/>
  <c r="BX134" i="9" s="1"/>
  <c r="BX130" i="9" a="1"/>
  <c r="BX130" i="9" s="1"/>
  <c r="BX131" i="9" a="1"/>
  <c r="BX131" i="9" s="1"/>
  <c r="BX125" i="9" a="1"/>
  <c r="BX125" i="9" s="1"/>
  <c r="BX128" i="9" a="1"/>
  <c r="BX128" i="9" s="1"/>
  <c r="BX127" i="9" a="1"/>
  <c r="BX127" i="9" s="1"/>
  <c r="BX120" i="9" a="1"/>
  <c r="BX120" i="9" s="1"/>
  <c r="BX121" i="9" a="1"/>
  <c r="BX121" i="9" s="1"/>
  <c r="BX113" i="9" a="1"/>
  <c r="BX113" i="9" s="1"/>
  <c r="BX118" i="9" a="1"/>
  <c r="BX118" i="9" s="1"/>
  <c r="BX122" i="9" a="1"/>
  <c r="BX122" i="9" s="1"/>
  <c r="BX116" i="9" a="1"/>
  <c r="BX116" i="9" s="1"/>
  <c r="BX126" i="9" a="1"/>
  <c r="BX126" i="9" s="1"/>
  <c r="BX119" i="9" a="1"/>
  <c r="BX119" i="9" s="1"/>
  <c r="BX105" i="9" a="1"/>
  <c r="BX105" i="9" s="1"/>
  <c r="BX103" i="9" a="1"/>
  <c r="BX103" i="9" s="1"/>
  <c r="BX108" i="9" a="1"/>
  <c r="BX108" i="9" s="1"/>
  <c r="BX117" i="9" a="1"/>
  <c r="BX117" i="9" s="1"/>
  <c r="BX101" i="9" a="1"/>
  <c r="BX101" i="9" s="1"/>
  <c r="BX106" i="9" a="1"/>
  <c r="BX106" i="9" s="1"/>
  <c r="BX112" i="9" a="1"/>
  <c r="BX112" i="9" s="1"/>
  <c r="BX111" i="9" a="1"/>
  <c r="BX111" i="9" s="1"/>
  <c r="BX123" i="9" a="1"/>
  <c r="BX123" i="9" s="1"/>
  <c r="BX104" i="9" a="1"/>
  <c r="BX104" i="9" s="1"/>
  <c r="BX102" i="9" a="1"/>
  <c r="BX102" i="9" s="1"/>
  <c r="BX97" i="9" a="1"/>
  <c r="BX97" i="9" s="1"/>
  <c r="BX95" i="9" a="1"/>
  <c r="BX95" i="9" s="1"/>
  <c r="BX93" i="9" a="1"/>
  <c r="BX93" i="9" s="1"/>
  <c r="BX110" i="9" a="1"/>
  <c r="BX110" i="9" s="1"/>
  <c r="BX100" i="9" a="1"/>
  <c r="BX100" i="9" s="1"/>
  <c r="BX98" i="9" a="1"/>
  <c r="BX98" i="9" s="1"/>
  <c r="BX109" i="9" a="1"/>
  <c r="BX109" i="9" s="1"/>
  <c r="BX91" i="9" a="1"/>
  <c r="BX91" i="9" s="1"/>
  <c r="BX96" i="9" a="1"/>
  <c r="BX96" i="9" s="1"/>
  <c r="BX94" i="9" a="1"/>
  <c r="BX94" i="9" s="1"/>
  <c r="BX84" i="9" a="1"/>
  <c r="BX84" i="9" s="1"/>
  <c r="BX90" i="9" a="1"/>
  <c r="BX90" i="9" s="1"/>
  <c r="BX89" i="9" a="1"/>
  <c r="BX89" i="9" s="1"/>
  <c r="BX107" i="9" a="1"/>
  <c r="BX107" i="9" s="1"/>
  <c r="BX92" i="9" a="1"/>
  <c r="BX92" i="9" s="1"/>
  <c r="BX82" i="9" a="1"/>
  <c r="BX82" i="9" s="1"/>
  <c r="BX87" i="9" a="1"/>
  <c r="BX87" i="9" s="1"/>
  <c r="BX80" i="9" a="1"/>
  <c r="BX80" i="9" s="1"/>
  <c r="BX85" i="9" a="1"/>
  <c r="BX85" i="9" s="1"/>
  <c r="BX83" i="9" a="1"/>
  <c r="BX83" i="9" s="1"/>
  <c r="BX88" i="9" a="1"/>
  <c r="BX88" i="9" s="1"/>
  <c r="BX99" i="9" a="1"/>
  <c r="BX99" i="9" s="1"/>
  <c r="BX81" i="9" a="1"/>
  <c r="BX81" i="9" s="1"/>
  <c r="BX73" i="9" a="1"/>
  <c r="BX73" i="9" s="1"/>
  <c r="BX78" i="9" a="1"/>
  <c r="BX78" i="9" s="1"/>
  <c r="BX66" i="9" a="1"/>
  <c r="BX66" i="9" s="1"/>
  <c r="BX115" i="9" a="1"/>
  <c r="BX115" i="9" s="1"/>
  <c r="BX71" i="9" a="1"/>
  <c r="BX71" i="9" s="1"/>
  <c r="BX76" i="9" a="1"/>
  <c r="BX76" i="9" s="1"/>
  <c r="BX69" i="9" a="1"/>
  <c r="BX69" i="9" s="1"/>
  <c r="BX74" i="9" a="1"/>
  <c r="BX74" i="9" s="1"/>
  <c r="BX67" i="9" a="1"/>
  <c r="BX67" i="9" s="1"/>
  <c r="BX72" i="9" a="1"/>
  <c r="BX72" i="9" s="1"/>
  <c r="BX77" i="9" a="1"/>
  <c r="BX77" i="9" s="1"/>
  <c r="BX86" i="9" a="1"/>
  <c r="BX86" i="9" s="1"/>
  <c r="BX79" i="9" a="1"/>
  <c r="BX79" i="9" s="1"/>
  <c r="BX70" i="9" a="1"/>
  <c r="BX70" i="9" s="1"/>
  <c r="BX54" i="9" a="1"/>
  <c r="BX54" i="9" s="1"/>
  <c r="BX42" i="9" a="1"/>
  <c r="BX42" i="9" s="1"/>
  <c r="BX59" i="9" a="1"/>
  <c r="BX59" i="9" s="1"/>
  <c r="BX47" i="9" a="1"/>
  <c r="BX47" i="9" s="1"/>
  <c r="BX64" i="9" a="1"/>
  <c r="BX64" i="9" s="1"/>
  <c r="BX52" i="9" a="1"/>
  <c r="BX52" i="9" s="1"/>
  <c r="BX40" i="9" a="1"/>
  <c r="BX40" i="9" s="1"/>
  <c r="BX57" i="9" a="1"/>
  <c r="BX57" i="9" s="1"/>
  <c r="BX45" i="9" a="1"/>
  <c r="BX45" i="9" s="1"/>
  <c r="BX62" i="9" a="1"/>
  <c r="BX62" i="9" s="1"/>
  <c r="BX50" i="9" a="1"/>
  <c r="BX50" i="9" s="1"/>
  <c r="BX38" i="9" a="1"/>
  <c r="BX38" i="9" s="1"/>
  <c r="BX55" i="9" a="1"/>
  <c r="BX55" i="9" s="1"/>
  <c r="BX43" i="9" a="1"/>
  <c r="BX43" i="9" s="1"/>
  <c r="BX60" i="9" a="1"/>
  <c r="BX60" i="9" s="1"/>
  <c r="BX48" i="9" a="1"/>
  <c r="BX48" i="9" s="1"/>
  <c r="BX114" i="9" a="1"/>
  <c r="BX114" i="9" s="1"/>
  <c r="BX75" i="9" a="1"/>
  <c r="BX75" i="9" s="1"/>
  <c r="BX68" i="9" a="1"/>
  <c r="BX68" i="9" s="1"/>
  <c r="BX65" i="9" a="1"/>
  <c r="BX65" i="9" s="1"/>
  <c r="BX53" i="9" a="1"/>
  <c r="BX53" i="9" s="1"/>
  <c r="BX41" i="9" a="1"/>
  <c r="BX41" i="9" s="1"/>
  <c r="BX58" i="9" a="1"/>
  <c r="BX58" i="9" s="1"/>
  <c r="BX46" i="9" a="1"/>
  <c r="BX46" i="9" s="1"/>
  <c r="BX30" i="9" a="1"/>
  <c r="BX30" i="9" s="1"/>
  <c r="BX18" i="9" a="1"/>
  <c r="BX18" i="9" s="1"/>
  <c r="BX63" i="9" a="1"/>
  <c r="BX63" i="9" s="1"/>
  <c r="BX51" i="9" a="1"/>
  <c r="BX51" i="9" s="1"/>
  <c r="BX35" i="9" a="1"/>
  <c r="BX35" i="9" s="1"/>
  <c r="BX23" i="9" a="1"/>
  <c r="BX23" i="9" s="1"/>
  <c r="BX28" i="9" a="1"/>
  <c r="BX28" i="9" s="1"/>
  <c r="BX16" i="9" a="1"/>
  <c r="BX16" i="9" s="1"/>
  <c r="BX33" i="9" a="1"/>
  <c r="BX33" i="9" s="1"/>
  <c r="BX26" i="9" a="1"/>
  <c r="BX26" i="9" s="1"/>
  <c r="BX31" i="9" a="1"/>
  <c r="BX31" i="9" s="1"/>
  <c r="BX19" i="9" a="1"/>
  <c r="BX19" i="9" s="1"/>
  <c r="BX56" i="9" a="1"/>
  <c r="BX56" i="9" s="1"/>
  <c r="BX39" i="9" a="1"/>
  <c r="BX39" i="9" s="1"/>
  <c r="BX29" i="9" a="1"/>
  <c r="BX29" i="9" s="1"/>
  <c r="BX17" i="9" a="1"/>
  <c r="BX17" i="9" s="1"/>
  <c r="BX34" i="9" a="1"/>
  <c r="BX34" i="9" s="1"/>
  <c r="BX22" i="9" a="1"/>
  <c r="BX22" i="9" s="1"/>
  <c r="BX27" i="9" a="1"/>
  <c r="BX27" i="9" s="1"/>
  <c r="V12" i="9" a="1"/>
  <c r="V12" i="9" s="1"/>
  <c r="AH12" i="9" a="1"/>
  <c r="AH12" i="9" s="1"/>
  <c r="AT12" i="9" a="1"/>
  <c r="AT12" i="9" s="1"/>
  <c r="BF12" i="9" a="1"/>
  <c r="BF12" i="9" s="1"/>
  <c r="BL12" i="9" a="1"/>
  <c r="BL12" i="9" s="1"/>
  <c r="BR12" i="9" a="1"/>
  <c r="BR12" i="9" s="1"/>
  <c r="BX12" i="9" a="1"/>
  <c r="BX12" i="9" s="1"/>
  <c r="AT20" i="9" a="1"/>
  <c r="AT20" i="9" s="1"/>
  <c r="M21" i="9" a="1"/>
  <c r="M21" i="9" s="1"/>
  <c r="BL24" i="9" a="1"/>
  <c r="BL24" i="9" s="1"/>
  <c r="AH25" i="9" a="1"/>
  <c r="AH25" i="9" s="1"/>
  <c r="BU26" i="9" a="1"/>
  <c r="BU26" i="9" s="1"/>
  <c r="BL36" i="9" a="1"/>
  <c r="BL36" i="9" s="1"/>
  <c r="AH37" i="9" a="1"/>
  <c r="AH37" i="9" s="1"/>
  <c r="BF37" i="9" a="1"/>
  <c r="BF37" i="9" s="1"/>
  <c r="BX49" i="9" a="1"/>
  <c r="BX49" i="9" s="1"/>
  <c r="AW55" i="9" a="1"/>
  <c r="AW55" i="9" s="1"/>
  <c r="BX7" i="9" a="1"/>
  <c r="BX7" i="9" s="1"/>
  <c r="M13" i="9" a="1"/>
  <c r="M13" i="9" s="1"/>
  <c r="Y13" i="9" a="1"/>
  <c r="Y13" i="9" s="1"/>
  <c r="AK13" i="9" a="1"/>
  <c r="AK13" i="9" s="1"/>
  <c r="AW13" i="9" a="1"/>
  <c r="AW13" i="9" s="1"/>
  <c r="BI13" i="9" a="1"/>
  <c r="BI13" i="9" s="1"/>
  <c r="BU13" i="9" a="1"/>
  <c r="BU13" i="9" s="1"/>
  <c r="AK18" i="9" a="1"/>
  <c r="AK18" i="9" s="1"/>
  <c r="AW19" i="9" a="1"/>
  <c r="AW19" i="9" s="1"/>
  <c r="BX20" i="9" a="1"/>
  <c r="BX20" i="9" s="1"/>
  <c r="BF21" i="9" a="1"/>
  <c r="BF21" i="9" s="1"/>
  <c r="V24" i="9" a="1"/>
  <c r="V24" i="9" s="1"/>
  <c r="BL25" i="9" a="1"/>
  <c r="BL25" i="9" s="1"/>
  <c r="BX32" i="9" a="1"/>
  <c r="BX32" i="9" s="1"/>
  <c r="Y38" i="9" a="1"/>
  <c r="Y38" i="9" s="1"/>
  <c r="BF51" i="9" a="1"/>
  <c r="BF51" i="9" s="1"/>
  <c r="V14" i="9" a="1"/>
  <c r="V14" i="9" s="1"/>
  <c r="AH14" i="9" a="1"/>
  <c r="AH14" i="9" s="1"/>
  <c r="AT14" i="9" a="1"/>
  <c r="AT14" i="9" s="1"/>
  <c r="BF14" i="9" a="1"/>
  <c r="BF14" i="9" s="1"/>
  <c r="BL14" i="9" a="1"/>
  <c r="BL14" i="9" s="1"/>
  <c r="BR14" i="9" a="1"/>
  <c r="BR14" i="9" s="1"/>
  <c r="BX14" i="9" a="1"/>
  <c r="BX14" i="9" s="1"/>
  <c r="AH20" i="9" a="1"/>
  <c r="AH20" i="9" s="1"/>
  <c r="BU21" i="9" a="1"/>
  <c r="BU21" i="9" s="1"/>
  <c r="V25" i="9" a="1"/>
  <c r="V25" i="9" s="1"/>
  <c r="BI26" i="9" a="1"/>
  <c r="BI26" i="9" s="1"/>
  <c r="M31" i="9" a="1"/>
  <c r="M31" i="9" s="1"/>
  <c r="AK31" i="9" a="1"/>
  <c r="AK31" i="9" s="1"/>
  <c r="BI31" i="9" a="1"/>
  <c r="BI31" i="9" s="1"/>
  <c r="BU43" i="9" a="1"/>
  <c r="BU43" i="9" s="1"/>
  <c r="BU55" i="9" a="1"/>
  <c r="BU55" i="9" s="1"/>
  <c r="BR75" i="9" a="1"/>
  <c r="BR75" i="9" s="1"/>
  <c r="BX9" i="9" a="1"/>
  <c r="BX9" i="9" s="1"/>
  <c r="M15" i="9" a="1"/>
  <c r="M15" i="9" s="1"/>
  <c r="Y15" i="9" a="1"/>
  <c r="Y15" i="9" s="1"/>
  <c r="AK15" i="9" a="1"/>
  <c r="AK15" i="9" s="1"/>
  <c r="AW15" i="9" a="1"/>
  <c r="AW15" i="9" s="1"/>
  <c r="BI15" i="9" a="1"/>
  <c r="BI15" i="9" s="1"/>
  <c r="BU15" i="9" a="1"/>
  <c r="BU15" i="9" s="1"/>
  <c r="Y18" i="9" a="1"/>
  <c r="Y18" i="9" s="1"/>
  <c r="AK19" i="9" a="1"/>
  <c r="AK19" i="9" s="1"/>
  <c r="BL20" i="9" a="1"/>
  <c r="BL20" i="9" s="1"/>
  <c r="AT21" i="9" a="1"/>
  <c r="AT21" i="9" s="1"/>
  <c r="AK27" i="9" a="1"/>
  <c r="AK27" i="9" s="1"/>
  <c r="BU27" i="9" a="1"/>
  <c r="BU27" i="9" s="1"/>
  <c r="V36" i="9" a="1"/>
  <c r="V36" i="9" s="1"/>
  <c r="AT36" i="9" a="1"/>
  <c r="AT36" i="9" s="1"/>
  <c r="BR36" i="9" a="1"/>
  <c r="BR36" i="9" s="1"/>
  <c r="BL37" i="9" a="1"/>
  <c r="BL37" i="9" s="1"/>
  <c r="BU38" i="9" a="1"/>
  <c r="BU38" i="9" s="1"/>
  <c r="AH39" i="9" a="1"/>
  <c r="AH39" i="9" s="1"/>
  <c r="AH63" i="9" a="1"/>
  <c r="AH63" i="9" s="1"/>
  <c r="K33" i="14"/>
  <c r="K36" i="14"/>
  <c r="J36" i="14" s="1"/>
  <c r="N36" i="14" s="1"/>
  <c r="N39" i="14" s="1"/>
  <c r="K35" i="14"/>
  <c r="J35" i="14" s="1"/>
  <c r="K34" i="14"/>
  <c r="J34" i="14" s="1"/>
  <c r="M34" i="14" s="1"/>
  <c r="M39" i="14" s="1"/>
  <c r="M27" i="14"/>
  <c r="M87" i="12"/>
  <c r="M96" i="12"/>
  <c r="I7" i="14"/>
  <c r="J6" i="14"/>
  <c r="D6" i="14"/>
  <c r="J48" i="1" l="1"/>
  <c r="B58" i="1"/>
  <c r="AF35" i="5"/>
  <c r="AF17" i="5"/>
  <c r="AF73" i="5"/>
  <c r="AF53" i="5"/>
  <c r="AF52" i="5"/>
  <c r="AF76" i="5"/>
  <c r="AF87" i="5"/>
  <c r="AF95" i="5"/>
  <c r="AF114" i="5"/>
  <c r="AF123" i="5"/>
  <c r="S23" i="7"/>
  <c r="S25" i="7"/>
  <c r="S39" i="7"/>
  <c r="S63" i="7"/>
  <c r="S87" i="7"/>
  <c r="S111" i="7"/>
  <c r="S135" i="7"/>
  <c r="S42" i="7"/>
  <c r="S66" i="7"/>
  <c r="S90" i="7"/>
  <c r="S114" i="7"/>
  <c r="DC10" i="7"/>
  <c r="DC33" i="7"/>
  <c r="DC57" i="7"/>
  <c r="DC81" i="7"/>
  <c r="DC105" i="7"/>
  <c r="DC129" i="7"/>
  <c r="DC40" i="7"/>
  <c r="DC64" i="7"/>
  <c r="DC88" i="7"/>
  <c r="DC112" i="7"/>
  <c r="DC136" i="7"/>
  <c r="D7" i="14"/>
  <c r="F6" i="14"/>
  <c r="E6" i="14" s="1"/>
  <c r="AF9" i="5"/>
  <c r="AF78" i="5"/>
  <c r="AF12" i="5"/>
  <c r="AF29" i="5"/>
  <c r="AF16" i="5"/>
  <c r="AF65" i="5"/>
  <c r="AF64" i="5"/>
  <c r="AF71" i="5"/>
  <c r="AF82" i="5"/>
  <c r="AF110" i="5"/>
  <c r="AF116" i="5"/>
  <c r="AF135" i="5"/>
  <c r="AC70" i="2"/>
  <c r="AC8" i="2"/>
  <c r="P5" i="7"/>
  <c r="P59" i="7"/>
  <c r="P83" i="7"/>
  <c r="P107" i="7"/>
  <c r="P131" i="7"/>
  <c r="P39" i="7"/>
  <c r="P19" i="7"/>
  <c r="P50" i="7"/>
  <c r="P74" i="7"/>
  <c r="P98" i="7"/>
  <c r="P122" i="7"/>
  <c r="S28" i="7"/>
  <c r="S6" i="7"/>
  <c r="S41" i="7"/>
  <c r="S65" i="7"/>
  <c r="S89" i="7"/>
  <c r="S113" i="7"/>
  <c r="S9" i="7"/>
  <c r="S44" i="7"/>
  <c r="S68" i="7"/>
  <c r="S92" i="7"/>
  <c r="S116" i="7"/>
  <c r="DC30" i="7"/>
  <c r="DC35" i="7"/>
  <c r="DC59" i="7"/>
  <c r="DC83" i="7"/>
  <c r="DC107" i="7"/>
  <c r="DC131" i="7"/>
  <c r="DC42" i="7"/>
  <c r="DC66" i="7"/>
  <c r="DC90" i="7"/>
  <c r="DC114" i="7"/>
  <c r="DC8" i="7"/>
  <c r="H37" i="1"/>
  <c r="I8" i="14"/>
  <c r="J7" i="14"/>
  <c r="AF18" i="5"/>
  <c r="AF23" i="5"/>
  <c r="AF36" i="5"/>
  <c r="AF44" i="5"/>
  <c r="AF60" i="5"/>
  <c r="AF75" i="5"/>
  <c r="AF81" i="5"/>
  <c r="AF99" i="5"/>
  <c r="AF109" i="5"/>
  <c r="AF121" i="5"/>
  <c r="AF136" i="5"/>
  <c r="AC88" i="2"/>
  <c r="AC94" i="2"/>
  <c r="AC118" i="2"/>
  <c r="P37" i="7"/>
  <c r="P63" i="7"/>
  <c r="P87" i="7"/>
  <c r="P111" i="7"/>
  <c r="P135" i="7"/>
  <c r="P4" i="7"/>
  <c r="P30" i="7"/>
  <c r="P54" i="7"/>
  <c r="P78" i="7"/>
  <c r="P102" i="7"/>
  <c r="P126" i="7"/>
  <c r="S19" i="7"/>
  <c r="S14" i="7"/>
  <c r="S45" i="7"/>
  <c r="S69" i="7"/>
  <c r="S93" i="7"/>
  <c r="S117" i="7"/>
  <c r="S4" i="7"/>
  <c r="S48" i="7"/>
  <c r="S72" i="7"/>
  <c r="S96" i="7"/>
  <c r="S120" i="7"/>
  <c r="DC11" i="7"/>
  <c r="DC12" i="7"/>
  <c r="DC39" i="7"/>
  <c r="DC63" i="7"/>
  <c r="DC87" i="7"/>
  <c r="DC111" i="7"/>
  <c r="DC135" i="7"/>
  <c r="DC46" i="7"/>
  <c r="DC70" i="7"/>
  <c r="DC94" i="7"/>
  <c r="DC118" i="7"/>
  <c r="AF30" i="5"/>
  <c r="AF37" i="5"/>
  <c r="AF31" i="5"/>
  <c r="AF56" i="5"/>
  <c r="AF43" i="5"/>
  <c r="AF70" i="5"/>
  <c r="AF88" i="5"/>
  <c r="AF107" i="5"/>
  <c r="AF104" i="5"/>
  <c r="AF125" i="5"/>
  <c r="AF130" i="5"/>
  <c r="AC46" i="2"/>
  <c r="S8" i="7"/>
  <c r="S16" i="7"/>
  <c r="S47" i="7"/>
  <c r="S71" i="7"/>
  <c r="S95" i="7"/>
  <c r="S119" i="7"/>
  <c r="S11" i="7"/>
  <c r="S50" i="7"/>
  <c r="S74" i="7"/>
  <c r="S98" i="7"/>
  <c r="S122" i="7"/>
  <c r="D85" i="1"/>
  <c r="F67" i="1"/>
  <c r="DC23" i="7"/>
  <c r="DC14" i="7"/>
  <c r="DC41" i="7"/>
  <c r="DC65" i="7"/>
  <c r="DC89" i="7"/>
  <c r="DC113" i="7"/>
  <c r="DC9" i="7"/>
  <c r="DC48" i="7"/>
  <c r="DC72" i="7"/>
  <c r="DC96" i="7"/>
  <c r="DC120" i="7"/>
  <c r="AF8" i="5"/>
  <c r="AF14" i="5"/>
  <c r="AF5" i="5"/>
  <c r="AF11" i="5"/>
  <c r="AF49" i="5"/>
  <c r="AF26" i="5"/>
  <c r="AF39" i="5"/>
  <c r="AF55" i="5"/>
  <c r="AF77" i="5"/>
  <c r="AF100" i="5"/>
  <c r="AF94" i="5"/>
  <c r="AF111" i="5"/>
  <c r="AF127" i="5"/>
  <c r="AF133" i="5"/>
  <c r="AC58" i="2"/>
  <c r="AC40" i="2"/>
  <c r="AC112" i="2"/>
  <c r="AC106" i="2"/>
  <c r="AC136" i="2"/>
  <c r="P43" i="7"/>
  <c r="P67" i="7"/>
  <c r="P91" i="7"/>
  <c r="P115" i="7"/>
  <c r="P29" i="7"/>
  <c r="P22" i="7"/>
  <c r="P34" i="7"/>
  <c r="P58" i="7"/>
  <c r="P82" i="7"/>
  <c r="P106" i="7"/>
  <c r="P130" i="7"/>
  <c r="S5" i="7"/>
  <c r="S18" i="7"/>
  <c r="S49" i="7"/>
  <c r="S73" i="7"/>
  <c r="S97" i="7"/>
  <c r="S121" i="7"/>
  <c r="S22" i="7"/>
  <c r="S52" i="7"/>
  <c r="S76" i="7"/>
  <c r="S100" i="7"/>
  <c r="S124" i="7"/>
  <c r="DC28" i="7"/>
  <c r="DC16" i="7"/>
  <c r="DC43" i="7"/>
  <c r="DC67" i="7"/>
  <c r="DC91" i="7"/>
  <c r="DC115" i="7"/>
  <c r="DC20" i="7"/>
  <c r="DC50" i="7"/>
  <c r="DC74" i="7"/>
  <c r="DC98" i="7"/>
  <c r="DC122" i="7"/>
  <c r="H42" i="1"/>
  <c r="E37" i="1"/>
  <c r="AF13" i="5"/>
  <c r="AF61" i="5"/>
  <c r="AF38" i="5"/>
  <c r="AF51" i="5"/>
  <c r="AF50" i="5"/>
  <c r="AF101" i="5"/>
  <c r="AF83" i="5"/>
  <c r="AF112" i="5"/>
  <c r="AF106" i="5"/>
  <c r="AF132" i="5"/>
  <c r="AF134" i="5"/>
  <c r="AC52" i="2"/>
  <c r="S10" i="7"/>
  <c r="S27" i="7"/>
  <c r="S51" i="7"/>
  <c r="S75" i="7"/>
  <c r="S99" i="7"/>
  <c r="S123" i="7"/>
  <c r="S24" i="7"/>
  <c r="S54" i="7"/>
  <c r="S78" i="7"/>
  <c r="S102" i="7"/>
  <c r="S126" i="7"/>
  <c r="DC34" i="7"/>
  <c r="DC25" i="7"/>
  <c r="DC45" i="7"/>
  <c r="DC69" i="7"/>
  <c r="DC93" i="7"/>
  <c r="DC117" i="7"/>
  <c r="DC4" i="7"/>
  <c r="DC52" i="7"/>
  <c r="DC76" i="7"/>
  <c r="DC100" i="7"/>
  <c r="DC124" i="7"/>
  <c r="E38" i="1"/>
  <c r="AF6" i="5"/>
  <c r="AF19" i="5"/>
  <c r="AF20" i="5"/>
  <c r="AF42" i="5"/>
  <c r="AF63" i="5"/>
  <c r="AF62" i="5"/>
  <c r="AF72" i="5"/>
  <c r="AF97" i="5"/>
  <c r="AF108" i="5"/>
  <c r="AF115" i="5"/>
  <c r="AF126" i="5"/>
  <c r="AF131" i="5"/>
  <c r="AC22" i="2"/>
  <c r="AC64" i="2"/>
  <c r="AW134" i="3"/>
  <c r="AW131" i="3"/>
  <c r="AW128" i="3"/>
  <c r="AW125" i="3"/>
  <c r="AW122" i="3"/>
  <c r="AW119" i="3"/>
  <c r="AW116" i="3"/>
  <c r="AW113" i="3"/>
  <c r="AW110" i="3"/>
  <c r="AW107" i="3"/>
  <c r="AW104" i="3"/>
  <c r="AW101" i="3"/>
  <c r="AW98" i="3"/>
  <c r="AW95" i="3"/>
  <c r="AW92" i="3"/>
  <c r="AW89" i="3"/>
  <c r="AW86" i="3"/>
  <c r="AW83" i="3"/>
  <c r="AW80" i="3"/>
  <c r="AW77" i="3"/>
  <c r="AW74" i="3"/>
  <c r="AW71" i="3"/>
  <c r="AW68" i="3"/>
  <c r="AW65" i="3"/>
  <c r="AW62" i="3"/>
  <c r="AW59" i="3"/>
  <c r="AW56" i="3"/>
  <c r="AW53" i="3"/>
  <c r="AW50" i="3"/>
  <c r="AW47" i="3"/>
  <c r="AW44" i="3"/>
  <c r="AW41" i="3"/>
  <c r="AW38" i="3"/>
  <c r="AW35" i="3"/>
  <c r="AW32" i="3"/>
  <c r="AW29" i="3"/>
  <c r="AW26" i="3"/>
  <c r="AW23" i="3"/>
  <c r="AW20" i="3"/>
  <c r="AW17" i="3"/>
  <c r="AW14" i="3"/>
  <c r="AW11" i="3"/>
  <c r="AW8" i="3"/>
  <c r="AW5" i="3"/>
  <c r="AW136" i="3"/>
  <c r="AW133" i="3"/>
  <c r="AW130" i="3"/>
  <c r="AW127" i="3"/>
  <c r="AW124" i="3"/>
  <c r="AW121" i="3"/>
  <c r="AW118" i="3"/>
  <c r="AW115" i="3"/>
  <c r="AW112" i="3"/>
  <c r="AW109" i="3"/>
  <c r="AW106" i="3"/>
  <c r="AW103" i="3"/>
  <c r="AW100" i="3"/>
  <c r="AW97" i="3"/>
  <c r="AW94" i="3"/>
  <c r="AW91" i="3"/>
  <c r="AW88" i="3"/>
  <c r="AW85" i="3"/>
  <c r="AW82" i="3"/>
  <c r="AW79" i="3"/>
  <c r="AW76" i="3"/>
  <c r="AW73" i="3"/>
  <c r="AW70" i="3"/>
  <c r="AW67" i="3"/>
  <c r="AW64" i="3"/>
  <c r="AW61" i="3"/>
  <c r="AW58" i="3"/>
  <c r="AW55" i="3"/>
  <c r="AW52" i="3"/>
  <c r="AW49" i="3"/>
  <c r="AW46" i="3"/>
  <c r="AW43" i="3"/>
  <c r="AW40" i="3"/>
  <c r="AW37" i="3"/>
  <c r="AW34" i="3"/>
  <c r="AW31" i="3"/>
  <c r="AW28" i="3"/>
  <c r="AW25" i="3"/>
  <c r="AW22" i="3"/>
  <c r="AW19" i="3"/>
  <c r="AW16" i="3"/>
  <c r="AW13" i="3"/>
  <c r="AW10" i="3"/>
  <c r="AW7" i="3"/>
  <c r="AW4" i="3"/>
  <c r="AW135" i="3"/>
  <c r="AW132" i="3"/>
  <c r="AW129" i="3"/>
  <c r="AW126" i="3"/>
  <c r="AW123" i="3"/>
  <c r="AW120" i="3"/>
  <c r="AW117" i="3"/>
  <c r="AW114" i="3"/>
  <c r="AW111" i="3"/>
  <c r="AW108" i="3"/>
  <c r="AW105" i="3"/>
  <c r="AW102" i="3"/>
  <c r="AW99" i="3"/>
  <c r="AW96" i="3"/>
  <c r="AW93" i="3"/>
  <c r="AW90" i="3"/>
  <c r="AW87" i="3"/>
  <c r="AW84" i="3"/>
  <c r="AW81" i="3"/>
  <c r="AW78" i="3"/>
  <c r="AW75" i="3"/>
  <c r="AW72" i="3"/>
  <c r="AW69" i="3"/>
  <c r="AW66" i="3"/>
  <c r="AW63" i="3"/>
  <c r="AW60" i="3"/>
  <c r="AW57" i="3"/>
  <c r="AW54" i="3"/>
  <c r="AW51" i="3"/>
  <c r="AW48" i="3"/>
  <c r="AW45" i="3"/>
  <c r="AW42" i="3"/>
  <c r="AW39" i="3"/>
  <c r="AW36" i="3"/>
  <c r="AW33" i="3"/>
  <c r="AW30" i="3"/>
  <c r="AW27" i="3"/>
  <c r="AW24" i="3"/>
  <c r="AW21" i="3"/>
  <c r="AW18" i="3"/>
  <c r="AW15" i="3"/>
  <c r="AW12" i="3"/>
  <c r="AW9" i="3"/>
  <c r="AW6" i="3"/>
  <c r="S32" i="7"/>
  <c r="S29" i="7"/>
  <c r="S53" i="7"/>
  <c r="S77" i="7"/>
  <c r="S101" i="7"/>
  <c r="S125" i="7"/>
  <c r="S13" i="7"/>
  <c r="S56" i="7"/>
  <c r="S80" i="7"/>
  <c r="S104" i="7"/>
  <c r="S128" i="7"/>
  <c r="DC21" i="7"/>
  <c r="DC7" i="7"/>
  <c r="DC47" i="7"/>
  <c r="DC71" i="7"/>
  <c r="DC95" i="7"/>
  <c r="DC119" i="7"/>
  <c r="DC22" i="7"/>
  <c r="DC54" i="7"/>
  <c r="DC78" i="7"/>
  <c r="DC102" i="7"/>
  <c r="DC126" i="7"/>
  <c r="AF25" i="5"/>
  <c r="AF32" i="5"/>
  <c r="AF54" i="5"/>
  <c r="AF89" i="5"/>
  <c r="AF45" i="5"/>
  <c r="AF67" i="5"/>
  <c r="AF90" i="5"/>
  <c r="AF96" i="5"/>
  <c r="AF103" i="5"/>
  <c r="AF120" i="5"/>
  <c r="AC34" i="2"/>
  <c r="AC16" i="2"/>
  <c r="AC76" i="2"/>
  <c r="S38" i="7"/>
  <c r="S31" i="7"/>
  <c r="S55" i="7"/>
  <c r="S79" i="7"/>
  <c r="S103" i="7"/>
  <c r="S127" i="7"/>
  <c r="S15" i="7"/>
  <c r="S58" i="7"/>
  <c r="S82" i="7"/>
  <c r="S106" i="7"/>
  <c r="S130" i="7"/>
  <c r="DC24" i="7"/>
  <c r="DC18" i="7"/>
  <c r="DC49" i="7"/>
  <c r="DC73" i="7"/>
  <c r="DC97" i="7"/>
  <c r="DC121" i="7"/>
  <c r="DC6" i="7"/>
  <c r="DC56" i="7"/>
  <c r="DC80" i="7"/>
  <c r="DC104" i="7"/>
  <c r="DC128" i="7"/>
  <c r="AF7" i="5"/>
  <c r="AF34" i="5"/>
  <c r="AF27" i="5"/>
  <c r="AF66" i="5"/>
  <c r="AF46" i="5"/>
  <c r="AF57" i="5"/>
  <c r="AF79" i="5"/>
  <c r="AF85" i="5"/>
  <c r="AF98" i="5"/>
  <c r="AF113" i="5"/>
  <c r="AF122" i="5"/>
  <c r="AC28" i="2"/>
  <c r="AC100" i="2"/>
  <c r="AV134" i="3"/>
  <c r="AV131" i="3"/>
  <c r="AV128" i="3"/>
  <c r="AV125" i="3"/>
  <c r="AV122" i="3"/>
  <c r="AV119" i="3"/>
  <c r="AV116" i="3"/>
  <c r="AV113" i="3"/>
  <c r="AV110" i="3"/>
  <c r="AV107" i="3"/>
  <c r="AV104" i="3"/>
  <c r="AV101" i="3"/>
  <c r="AV98" i="3"/>
  <c r="AV95" i="3"/>
  <c r="AV92" i="3"/>
  <c r="AV89" i="3"/>
  <c r="AV86" i="3"/>
  <c r="AV83" i="3"/>
  <c r="AV80" i="3"/>
  <c r="AV77" i="3"/>
  <c r="AV74" i="3"/>
  <c r="AV71" i="3"/>
  <c r="AV68" i="3"/>
  <c r="AV65" i="3"/>
  <c r="AV62" i="3"/>
  <c r="AV59" i="3"/>
  <c r="AV56" i="3"/>
  <c r="AV53" i="3"/>
  <c r="AV50" i="3"/>
  <c r="AV47" i="3"/>
  <c r="AV44" i="3"/>
  <c r="AV41" i="3"/>
  <c r="AV38" i="3"/>
  <c r="AV35" i="3"/>
  <c r="AV32" i="3"/>
  <c r="AV29" i="3"/>
  <c r="AV26" i="3"/>
  <c r="AV23" i="3"/>
  <c r="AV20" i="3"/>
  <c r="AV17" i="3"/>
  <c r="AV14" i="3"/>
  <c r="AV11" i="3"/>
  <c r="AV8" i="3"/>
  <c r="AV5" i="3"/>
  <c r="AV136" i="3"/>
  <c r="AV133" i="3"/>
  <c r="AV130" i="3"/>
  <c r="AV127" i="3"/>
  <c r="AV124" i="3"/>
  <c r="AV121" i="3"/>
  <c r="AV118" i="3"/>
  <c r="AV115" i="3"/>
  <c r="AV112" i="3"/>
  <c r="AV109" i="3"/>
  <c r="AV106" i="3"/>
  <c r="AV103" i="3"/>
  <c r="AV100" i="3"/>
  <c r="AV97" i="3"/>
  <c r="AV94" i="3"/>
  <c r="AV91" i="3"/>
  <c r="AV88" i="3"/>
  <c r="AV85" i="3"/>
  <c r="AV82" i="3"/>
  <c r="AV79" i="3"/>
  <c r="AV76" i="3"/>
  <c r="AV73" i="3"/>
  <c r="AV70" i="3"/>
  <c r="AV67" i="3"/>
  <c r="AV64" i="3"/>
  <c r="AV61" i="3"/>
  <c r="AV58" i="3"/>
  <c r="AV55" i="3"/>
  <c r="AV52" i="3"/>
  <c r="AV49" i="3"/>
  <c r="AV46" i="3"/>
  <c r="AV43" i="3"/>
  <c r="AV40" i="3"/>
  <c r="AV37" i="3"/>
  <c r="AV34" i="3"/>
  <c r="AV31" i="3"/>
  <c r="AV28" i="3"/>
  <c r="AV25" i="3"/>
  <c r="AV22" i="3"/>
  <c r="AV19" i="3"/>
  <c r="AV16" i="3"/>
  <c r="AV13" i="3"/>
  <c r="AV10" i="3"/>
  <c r="AV7" i="3"/>
  <c r="AV4" i="3"/>
  <c r="AV135" i="3"/>
  <c r="AV132" i="3"/>
  <c r="AV129" i="3"/>
  <c r="AV126" i="3"/>
  <c r="AV123" i="3"/>
  <c r="AV120" i="3"/>
  <c r="AV117" i="3"/>
  <c r="AV114" i="3"/>
  <c r="AV111" i="3"/>
  <c r="AV108" i="3"/>
  <c r="AV105" i="3"/>
  <c r="AV102" i="3"/>
  <c r="AV99" i="3"/>
  <c r="AV96" i="3"/>
  <c r="AV93" i="3"/>
  <c r="AV90" i="3"/>
  <c r="AV87" i="3"/>
  <c r="AV84" i="3"/>
  <c r="AV81" i="3"/>
  <c r="AV78" i="3"/>
  <c r="AV75" i="3"/>
  <c r="AV72" i="3"/>
  <c r="AV69" i="3"/>
  <c r="AV66" i="3"/>
  <c r="AV63" i="3"/>
  <c r="AV60" i="3"/>
  <c r="AV57" i="3"/>
  <c r="AV54" i="3"/>
  <c r="AV51" i="3"/>
  <c r="AV48" i="3"/>
  <c r="AV45" i="3"/>
  <c r="AV42" i="3"/>
  <c r="AV39" i="3"/>
  <c r="AV36" i="3"/>
  <c r="AV33" i="3"/>
  <c r="AV30" i="3"/>
  <c r="AV27" i="3"/>
  <c r="AV24" i="3"/>
  <c r="AV21" i="3"/>
  <c r="AV18" i="3"/>
  <c r="AV15" i="3"/>
  <c r="AV12" i="3"/>
  <c r="AV9" i="3"/>
  <c r="AV6" i="3"/>
  <c r="S12" i="7"/>
  <c r="S33" i="7"/>
  <c r="S57" i="7"/>
  <c r="S81" i="7"/>
  <c r="S105" i="7"/>
  <c r="S129" i="7"/>
  <c r="S17" i="7"/>
  <c r="S60" i="7"/>
  <c r="S84" i="7"/>
  <c r="S108" i="7"/>
  <c r="S132" i="7"/>
  <c r="DC26" i="7"/>
  <c r="DC27" i="7"/>
  <c r="DC51" i="7"/>
  <c r="DC75" i="7"/>
  <c r="DC99" i="7"/>
  <c r="DC123" i="7"/>
  <c r="DC13" i="7"/>
  <c r="DC58" i="7"/>
  <c r="DC82" i="7"/>
  <c r="DC106" i="7"/>
  <c r="DC130" i="7"/>
  <c r="AF15" i="5"/>
  <c r="AF47" i="5"/>
  <c r="AF21" i="5"/>
  <c r="AF58" i="5"/>
  <c r="AF84" i="5"/>
  <c r="AF74" i="5"/>
  <c r="AF80" i="5"/>
  <c r="AF105" i="5"/>
  <c r="AF117" i="5"/>
  <c r="AF124" i="5"/>
  <c r="S30" i="7"/>
  <c r="S35" i="7"/>
  <c r="S59" i="7"/>
  <c r="S83" i="7"/>
  <c r="S107" i="7"/>
  <c r="S131" i="7"/>
  <c r="S26" i="7"/>
  <c r="S62" i="7"/>
  <c r="S86" i="7"/>
  <c r="S110" i="7"/>
  <c r="S134" i="7"/>
  <c r="DC32" i="7"/>
  <c r="DC29" i="7"/>
  <c r="DC53" i="7"/>
  <c r="DC77" i="7"/>
  <c r="DC101" i="7"/>
  <c r="DC125" i="7"/>
  <c r="DC15" i="7"/>
  <c r="DC60" i="7"/>
  <c r="DC84" i="7"/>
  <c r="DC108" i="7"/>
  <c r="DC132" i="7"/>
  <c r="AC10" i="2"/>
  <c r="AF10" i="5"/>
  <c r="AF59" i="5"/>
  <c r="AF33" i="5"/>
  <c r="AF41" i="5"/>
  <c r="AF40" i="5"/>
  <c r="AF69" i="5"/>
  <c r="AF91" i="5"/>
  <c r="AF93" i="5"/>
  <c r="AF119" i="5"/>
  <c r="AF129" i="5"/>
  <c r="AC82" i="2"/>
  <c r="AC124" i="2"/>
  <c r="P55" i="7"/>
  <c r="P79" i="7"/>
  <c r="P103" i="7"/>
  <c r="P127" i="7"/>
  <c r="P23" i="7"/>
  <c r="P26" i="7"/>
  <c r="P46" i="7"/>
  <c r="P70" i="7"/>
  <c r="P94" i="7"/>
  <c r="P118" i="7"/>
  <c r="P12" i="7"/>
  <c r="S21" i="7"/>
  <c r="S36" i="7"/>
  <c r="S37" i="7"/>
  <c r="S61" i="7"/>
  <c r="S85" i="7"/>
  <c r="S109" i="7"/>
  <c r="S133" i="7"/>
  <c r="S40" i="7"/>
  <c r="S64" i="7"/>
  <c r="S88" i="7"/>
  <c r="S112" i="7"/>
  <c r="F40" i="1"/>
  <c r="H36" i="1"/>
  <c r="H40" i="1" s="1"/>
  <c r="DC38" i="7"/>
  <c r="DC31" i="7"/>
  <c r="DC55" i="7"/>
  <c r="DC79" i="7"/>
  <c r="DC103" i="7"/>
  <c r="DC127" i="7"/>
  <c r="DC17" i="7"/>
  <c r="DC62" i="7"/>
  <c r="DC86" i="7"/>
  <c r="DC110" i="7"/>
  <c r="I49" i="1" l="1"/>
  <c r="F43" i="1"/>
  <c r="F7" i="14"/>
  <c r="E7" i="14" s="1"/>
  <c r="D8" i="14"/>
  <c r="B57" i="1"/>
  <c r="J49" i="1"/>
  <c r="H43" i="1"/>
  <c r="D79" i="1"/>
  <c r="C24" i="1" s="1"/>
  <c r="F38" i="1" s="1"/>
  <c r="H38" i="1" s="1"/>
  <c r="D78" i="1"/>
  <c r="D77" i="1"/>
  <c r="C25" i="1" s="1"/>
  <c r="F39" i="1" s="1"/>
  <c r="H39" i="1" s="1"/>
  <c r="C77" i="1"/>
  <c r="B25" i="1" s="1"/>
  <c r="C39" i="1" s="1"/>
  <c r="E39" i="1" s="1"/>
  <c r="D76" i="1"/>
  <c r="D81" i="1"/>
  <c r="J8" i="14"/>
  <c r="I9" i="14"/>
  <c r="I10" i="14" l="1"/>
  <c r="J9" i="14"/>
  <c r="D9" i="14"/>
  <c r="F8" i="14"/>
  <c r="E8" i="14" s="1"/>
  <c r="F9" i="14" l="1"/>
  <c r="E9" i="14" s="1"/>
  <c r="D10" i="14"/>
  <c r="J10" i="14"/>
  <c r="I11" i="14"/>
  <c r="I12" i="14" l="1"/>
  <c r="J11" i="14"/>
  <c r="D11" i="14"/>
  <c r="F10" i="14"/>
  <c r="E10" i="14" s="1"/>
  <c r="F11" i="14" l="1"/>
  <c r="E11" i="14" s="1"/>
  <c r="D12" i="14"/>
  <c r="J12" i="14"/>
  <c r="I13" i="14"/>
  <c r="I14" i="14" l="1"/>
  <c r="J13" i="14"/>
  <c r="D13" i="14"/>
  <c r="F12" i="14"/>
  <c r="E12" i="14" s="1"/>
  <c r="D14" i="14" l="1"/>
  <c r="F13" i="14"/>
  <c r="E13" i="14" s="1"/>
  <c r="J14" i="14"/>
  <c r="I15" i="14"/>
  <c r="I16" i="14" l="1"/>
  <c r="J15" i="14"/>
  <c r="D15" i="14"/>
  <c r="F14" i="14"/>
  <c r="E14" i="14" s="1"/>
  <c r="D16" i="14" l="1"/>
  <c r="F15" i="14"/>
  <c r="E15" i="14" s="1"/>
  <c r="J16" i="14"/>
  <c r="I17" i="14"/>
  <c r="J17" i="14" s="1"/>
  <c r="D17" i="14" l="1"/>
  <c r="F17" i="14" s="1"/>
  <c r="E17" i="14" s="1"/>
  <c r="F16" i="14"/>
  <c r="E16"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J8" authorId="0" shapeId="0" xr:uid="{00000000-0006-0000-0000-000001000000}">
      <text>
        <r>
          <rPr>
            <b/>
            <sz val="8"/>
            <color indexed="81"/>
            <rFont val="Arial"/>
            <family val="2"/>
          </rPr>
          <t>First set of changes applied. Not tested for bugs yet.</t>
        </r>
      </text>
    </comment>
    <comment ref="B18" authorId="0" shapeId="0" xr:uid="{00000000-0006-0000-0000-000002000000}">
      <text>
        <r>
          <rPr>
            <b/>
            <sz val="8"/>
            <color indexed="81"/>
            <rFont val="Arial"/>
            <family val="2"/>
          </rPr>
          <t>Only use this if you start after the round begins.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3" authorId="0" shapeId="0" xr:uid="{00000000-0006-0000-0200-000001000000}">
      <text>
        <r>
          <rPr>
            <b/>
            <sz val="8"/>
            <color indexed="81"/>
            <rFont val="Arial"/>
            <family val="2"/>
          </rPr>
          <t>Taking these bonusses can only be done once per day before 11.59 PM SERVER TIME. But you can just cheat and take plat bonus every hour if you really want 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L16" authorId="0" shapeId="0" xr:uid="{00000000-0006-0000-0400-000001000000}">
      <text>
        <r>
          <rPr>
            <b/>
            <sz val="8"/>
            <color indexed="81"/>
            <rFont val="Arial"/>
            <family val="2"/>
          </rPr>
          <t>Use this area to save values, in order to determine if a change you make results in better values. (Tip: You can make custom formula's to compare different stats)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L1" authorId="0" shapeId="0" xr:uid="{00000000-0006-0000-0500-000001000000}">
      <text>
        <r>
          <rPr>
            <b/>
            <sz val="8"/>
            <color indexed="81"/>
            <rFont val="Arial"/>
            <family val="2"/>
          </rPr>
          <t>see below for an example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O1" authorId="0" shapeId="0" xr:uid="{00000000-0006-0000-0900-000001000000}">
      <text>
        <r>
          <rPr>
            <b/>
            <sz val="8"/>
            <color indexed="81"/>
            <rFont val="Arial"/>
            <family val="2"/>
          </rPr>
          <t>Note: In the Resource column, type the resource which you want to invest In the Part column, type which castle part you want to improve. Make sure your spelling is correct.</t>
        </r>
      </text>
    </comment>
    <comment ref="M3" authorId="0" shapeId="0" xr:uid="{00000000-0006-0000-0900-000002000000}">
      <text>
        <r>
          <rPr>
            <sz val="8"/>
            <color indexed="81"/>
            <rFont val="Arial"/>
            <family val="2"/>
          </rPr>
          <t xml:space="preserve">"1" means you have to login "0" means you can sleep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I4" authorId="0" shapeId="0" xr:uid="{00000000-0006-0000-0C00-000001000000}">
      <text>
        <r>
          <rPr>
            <b/>
            <sz val="8"/>
            <color indexed="81"/>
            <rFont val="Arial"/>
            <family val="2"/>
          </rPr>
          <t>Don't think they are accurate anymore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B3" authorId="0" shapeId="0" xr:uid="{00000000-0006-0000-0D00-000001000000}">
      <text>
        <r>
          <rPr>
            <b/>
            <sz val="8"/>
            <color indexed="81"/>
            <rFont val="Arial"/>
            <family val="2"/>
          </rPr>
          <t>works less accurate as size increases</t>
        </r>
      </text>
    </comment>
  </commentList>
</comments>
</file>

<file path=xl/sharedStrings.xml><?xml version="1.0" encoding="utf-8"?>
<sst xmlns="http://schemas.openxmlformats.org/spreadsheetml/2006/main" count="3019" uniqueCount="1131">
  <si>
    <t>Hour</t>
    <phoneticPr fontId="1"/>
  </si>
  <si>
    <t>Land</t>
    <phoneticPr fontId="1"/>
  </si>
  <si>
    <t>Platinum</t>
    <phoneticPr fontId="1"/>
  </si>
  <si>
    <t>Ore</t>
    <phoneticPr fontId="1"/>
  </si>
  <si>
    <t>Gems</t>
    <phoneticPr fontId="1"/>
  </si>
  <si>
    <t>Food</t>
    <phoneticPr fontId="1"/>
  </si>
  <si>
    <t>Plat/hr</t>
    <phoneticPr fontId="1"/>
  </si>
  <si>
    <t>Lumber</t>
    <phoneticPr fontId="1"/>
  </si>
  <si>
    <t>Lumber/hr</t>
    <phoneticPr fontId="1"/>
  </si>
  <si>
    <t>Food/hr</t>
    <phoneticPr fontId="1"/>
  </si>
  <si>
    <t>Ore/hr</t>
    <phoneticPr fontId="1"/>
  </si>
  <si>
    <t>Gems/hr</t>
    <phoneticPr fontId="1"/>
  </si>
  <si>
    <t>Mana</t>
    <phoneticPr fontId="1"/>
  </si>
  <si>
    <t>Mana/hr</t>
    <phoneticPr fontId="1"/>
  </si>
  <si>
    <t>Food decay</t>
    <phoneticPr fontId="1"/>
  </si>
  <si>
    <t>Mana drain</t>
    <phoneticPr fontId="1"/>
  </si>
  <si>
    <t>Lumber rot</t>
    <phoneticPr fontId="1"/>
  </si>
  <si>
    <t>Status</t>
    <phoneticPr fontId="1"/>
  </si>
  <si>
    <t>Changes</t>
    <phoneticPr fontId="1"/>
  </si>
  <si>
    <t>Factors</t>
    <phoneticPr fontId="1"/>
  </si>
  <si>
    <t>Food eaten</t>
    <phoneticPr fontId="1"/>
  </si>
  <si>
    <t>Peasants</t>
    <phoneticPr fontId="1"/>
  </si>
  <si>
    <t>Military</t>
    <phoneticPr fontId="1"/>
  </si>
  <si>
    <t>Population</t>
    <phoneticPr fontId="1"/>
  </si>
  <si>
    <t>Draftees</t>
    <phoneticPr fontId="1"/>
  </si>
  <si>
    <t>Spies</t>
    <phoneticPr fontId="1"/>
  </si>
  <si>
    <t>Wizards</t>
    <phoneticPr fontId="1"/>
  </si>
  <si>
    <t>Archmages</t>
    <phoneticPr fontId="1"/>
  </si>
  <si>
    <t>Race</t>
    <phoneticPr fontId="1"/>
  </si>
  <si>
    <t>Troll</t>
    <phoneticPr fontId="1"/>
  </si>
  <si>
    <t>Evil</t>
    <phoneticPr fontId="1"/>
  </si>
  <si>
    <t>Offense</t>
    <phoneticPr fontId="1"/>
  </si>
  <si>
    <t>Defense</t>
    <phoneticPr fontId="1"/>
  </si>
  <si>
    <t>Cost</t>
    <phoneticPr fontId="1"/>
  </si>
  <si>
    <t>Name</t>
    <phoneticPr fontId="1"/>
  </si>
  <si>
    <t>Alignment</t>
    <phoneticPr fontId="1"/>
  </si>
  <si>
    <t>Identification</t>
    <phoneticPr fontId="1"/>
  </si>
  <si>
    <t>Bonuses</t>
    <phoneticPr fontId="1"/>
  </si>
  <si>
    <t>Military Units</t>
    <phoneticPr fontId="1"/>
  </si>
  <si>
    <t>Brute</t>
    <phoneticPr fontId="1"/>
  </si>
  <si>
    <t>Ogre</t>
    <phoneticPr fontId="1"/>
  </si>
  <si>
    <t>Basher</t>
    <phoneticPr fontId="1"/>
  </si>
  <si>
    <t>Smasher</t>
    <phoneticPr fontId="1"/>
  </si>
  <si>
    <t>Production Constants</t>
    <phoneticPr fontId="1"/>
  </si>
  <si>
    <t>Alchemy</t>
    <phoneticPr fontId="1"/>
  </si>
  <si>
    <t>Lumberyard</t>
    <phoneticPr fontId="1"/>
  </si>
  <si>
    <t>Dock</t>
    <phoneticPr fontId="1"/>
  </si>
  <si>
    <t>Oremine</t>
    <phoneticPr fontId="1"/>
  </si>
  <si>
    <t>Diamondmine</t>
    <phoneticPr fontId="1"/>
  </si>
  <si>
    <t>Building</t>
    <phoneticPr fontId="1"/>
  </si>
  <si>
    <t>Boats/hr</t>
    <phoneticPr fontId="1"/>
  </si>
  <si>
    <t>Farm</t>
    <phoneticPr fontId="1"/>
  </si>
  <si>
    <t>Tower</t>
    <phoneticPr fontId="1"/>
  </si>
  <si>
    <t>Buildings</t>
    <phoneticPr fontId="1"/>
  </si>
  <si>
    <t>Barren</t>
    <phoneticPr fontId="1"/>
  </si>
  <si>
    <t>Plains</t>
    <phoneticPr fontId="1"/>
  </si>
  <si>
    <t>Construct</t>
    <phoneticPr fontId="1"/>
  </si>
  <si>
    <t>Plat/acre</t>
    <phoneticPr fontId="1"/>
  </si>
  <si>
    <t>Forest</t>
    <phoneticPr fontId="1"/>
  </si>
  <si>
    <t>Hills</t>
    <phoneticPr fontId="1"/>
  </si>
  <si>
    <t>Swamp</t>
    <phoneticPr fontId="1"/>
  </si>
  <si>
    <t>Caverns</t>
    <phoneticPr fontId="1"/>
  </si>
  <si>
    <t>Water</t>
    <phoneticPr fontId="1"/>
  </si>
  <si>
    <t>Ly</t>
    <phoneticPr fontId="1"/>
  </si>
  <si>
    <t>OM</t>
    <phoneticPr fontId="1"/>
  </si>
  <si>
    <t>GN</t>
    <phoneticPr fontId="1"/>
  </si>
  <si>
    <t>Fac</t>
    <phoneticPr fontId="1"/>
  </si>
  <si>
    <t>GT</t>
    <phoneticPr fontId="1"/>
  </si>
  <si>
    <t>Mas</t>
    <phoneticPr fontId="1"/>
  </si>
  <si>
    <t>Smi</t>
    <phoneticPr fontId="1"/>
  </si>
  <si>
    <t>Far</t>
    <phoneticPr fontId="1"/>
  </si>
  <si>
    <t>Alc</t>
    <phoneticPr fontId="1"/>
  </si>
  <si>
    <t>Hom</t>
    <phoneticPr fontId="1"/>
  </si>
  <si>
    <t>Spy</t>
    <phoneticPr fontId="1"/>
  </si>
  <si>
    <t>Tow</t>
    <phoneticPr fontId="1"/>
  </si>
  <si>
    <t>DM</t>
    <phoneticPr fontId="1"/>
  </si>
  <si>
    <t>Doc</t>
    <phoneticPr fontId="1"/>
  </si>
  <si>
    <t>Resources</t>
    <phoneticPr fontId="1"/>
  </si>
  <si>
    <t>Starting Resources</t>
    <phoneticPr fontId="1"/>
  </si>
  <si>
    <t>Starting Barren Land</t>
    <phoneticPr fontId="1"/>
  </si>
  <si>
    <t>Starting Buildings</t>
    <phoneticPr fontId="1"/>
  </si>
  <si>
    <t xml:space="preserve">Lumber  </t>
    <phoneticPr fontId="1"/>
  </si>
  <si>
    <t>Boats</t>
    <phoneticPr fontId="1"/>
  </si>
  <si>
    <t>Starting Population</t>
    <phoneticPr fontId="1"/>
  </si>
  <si>
    <t>Destroy</t>
    <phoneticPr fontId="1"/>
  </si>
  <si>
    <t>Raw production</t>
    <phoneticPr fontId="1"/>
  </si>
  <si>
    <t>Growth Factors</t>
    <phoneticPr fontId="1"/>
  </si>
  <si>
    <t>Food Consumption</t>
    <phoneticPr fontId="1"/>
  </si>
  <si>
    <t>Food/person</t>
    <phoneticPr fontId="1"/>
  </si>
  <si>
    <t>Human</t>
    <phoneticPr fontId="1"/>
  </si>
  <si>
    <t>Nomad</t>
    <phoneticPr fontId="1"/>
  </si>
  <si>
    <t>Dwarf</t>
    <phoneticPr fontId="1"/>
  </si>
  <si>
    <t>Wood Elf</t>
    <phoneticPr fontId="1"/>
  </si>
  <si>
    <t>Halfling</t>
    <phoneticPr fontId="1"/>
  </si>
  <si>
    <t>Gnome</t>
    <phoneticPr fontId="1"/>
  </si>
  <si>
    <t>Merfolk</t>
    <phoneticPr fontId="1"/>
  </si>
  <si>
    <t>Sylvan</t>
    <phoneticPr fontId="1"/>
  </si>
  <si>
    <t>Goblin</t>
    <phoneticPr fontId="1"/>
  </si>
  <si>
    <t>Good</t>
    <phoneticPr fontId="1"/>
  </si>
  <si>
    <t>Dark Elf</t>
    <phoneticPr fontId="1"/>
  </si>
  <si>
    <t>Spirit</t>
    <phoneticPr fontId="1"/>
  </si>
  <si>
    <t>Lycanthrope</t>
    <phoneticPr fontId="1"/>
  </si>
  <si>
    <t>Kobold</t>
    <phoneticPr fontId="1"/>
  </si>
  <si>
    <t>Lizardfolk</t>
    <phoneticPr fontId="1"/>
  </si>
  <si>
    <t>Pop growth</t>
    <phoneticPr fontId="1"/>
  </si>
  <si>
    <t>Plat prod</t>
    <phoneticPr fontId="1"/>
  </si>
  <si>
    <t>Food prod</t>
    <phoneticPr fontId="1"/>
  </si>
  <si>
    <t>Lumber prod</t>
    <phoneticPr fontId="1"/>
  </si>
  <si>
    <t>Mana prod</t>
    <phoneticPr fontId="1"/>
  </si>
  <si>
    <t>Ore prod</t>
    <phoneticPr fontId="1"/>
  </si>
  <si>
    <t>Gem prod</t>
    <phoneticPr fontId="1"/>
  </si>
  <si>
    <t>Food cons</t>
    <phoneticPr fontId="1"/>
  </si>
  <si>
    <t>Spearman</t>
    <phoneticPr fontId="1"/>
  </si>
  <si>
    <t>Archer</t>
    <phoneticPr fontId="1"/>
  </si>
  <si>
    <t>Knight</t>
    <phoneticPr fontId="1"/>
  </si>
  <si>
    <t>Cavalry</t>
    <phoneticPr fontId="1"/>
  </si>
  <si>
    <t>Crossbowman</t>
    <phoneticPr fontId="1"/>
  </si>
  <si>
    <t>Blademaster</t>
    <phoneticPr fontId="1"/>
  </si>
  <si>
    <t>Soldier</t>
    <phoneticPr fontId="1"/>
  </si>
  <si>
    <t>Miner</t>
    <phoneticPr fontId="1"/>
  </si>
  <si>
    <t>Cleric</t>
    <phoneticPr fontId="1"/>
  </si>
  <si>
    <t>Warrior</t>
    <phoneticPr fontId="1"/>
  </si>
  <si>
    <t>Ranger</t>
    <phoneticPr fontId="1"/>
  </si>
  <si>
    <t>Longbowman</t>
    <phoneticPr fontId="1"/>
  </si>
  <si>
    <t>Mystic</t>
    <phoneticPr fontId="1"/>
  </si>
  <si>
    <t>Druid</t>
    <phoneticPr fontId="1"/>
  </si>
  <si>
    <t>Slinger</t>
    <phoneticPr fontId="1"/>
  </si>
  <si>
    <t>Defender</t>
    <phoneticPr fontId="1"/>
  </si>
  <si>
    <t>Staff Master</t>
    <phoneticPr fontId="1"/>
  </si>
  <si>
    <t>Master Thief</t>
    <phoneticPr fontId="1"/>
  </si>
  <si>
    <t>Suicide Squad</t>
    <phoneticPr fontId="1"/>
  </si>
  <si>
    <t>Tinker</t>
    <phoneticPr fontId="1"/>
  </si>
  <si>
    <t>Rockapult</t>
    <phoneticPr fontId="1"/>
  </si>
  <si>
    <t>Juggernaut</t>
    <phoneticPr fontId="1"/>
  </si>
  <si>
    <t>Kraken</t>
    <phoneticPr fontId="1"/>
  </si>
  <si>
    <t>Sirens</t>
    <phoneticPr fontId="1"/>
  </si>
  <si>
    <t>Leviathan</t>
    <phoneticPr fontId="1"/>
  </si>
  <si>
    <t>Satyr</t>
    <phoneticPr fontId="1"/>
  </si>
  <si>
    <t>Sprite</t>
    <phoneticPr fontId="1"/>
  </si>
  <si>
    <t>Dryad</t>
    <phoneticPr fontId="1"/>
  </si>
  <si>
    <t>Centaur</t>
    <phoneticPr fontId="1"/>
  </si>
  <si>
    <t>Raider</t>
    <phoneticPr fontId="1"/>
  </si>
  <si>
    <t>Shaman</t>
    <phoneticPr fontId="1"/>
  </si>
  <si>
    <t>Orc</t>
    <phoneticPr fontId="1"/>
  </si>
  <si>
    <t>Wolf Rider</t>
    <phoneticPr fontId="1"/>
  </si>
  <si>
    <t>Swordsman</t>
    <phoneticPr fontId="1"/>
  </si>
  <si>
    <t>Gargoyle</t>
    <phoneticPr fontId="1"/>
  </si>
  <si>
    <t>Adept</t>
    <phoneticPr fontId="1"/>
  </si>
  <si>
    <t>Spirit Warrior</t>
    <phoneticPr fontId="1"/>
  </si>
  <si>
    <t>Ghoul</t>
    <phoneticPr fontId="1"/>
  </si>
  <si>
    <t>Banshee</t>
    <phoneticPr fontId="1"/>
  </si>
  <si>
    <t>Scavenger</t>
    <phoneticPr fontId="1"/>
  </si>
  <si>
    <t>Ratman</t>
    <phoneticPr fontId="1"/>
  </si>
  <si>
    <t>Werewolf</t>
    <phoneticPr fontId="1"/>
  </si>
  <si>
    <t>Garou</t>
    <phoneticPr fontId="1"/>
  </si>
  <si>
    <t>Underling</t>
    <phoneticPr fontId="1"/>
  </si>
  <si>
    <t>Overlord</t>
    <phoneticPr fontId="1"/>
  </si>
  <si>
    <t>Reptile</t>
    <phoneticPr fontId="1"/>
  </si>
  <si>
    <t>Serpent</t>
    <phoneticPr fontId="1"/>
  </si>
  <si>
    <t>Chameleon</t>
    <phoneticPr fontId="1"/>
  </si>
  <si>
    <t>Lizardman</t>
    <phoneticPr fontId="1"/>
  </si>
  <si>
    <t>Platinum prod</t>
    <phoneticPr fontId="1"/>
  </si>
  <si>
    <t>Spy strength</t>
    <phoneticPr fontId="1"/>
  </si>
  <si>
    <t>Wizard strength</t>
    <phoneticPr fontId="1"/>
  </si>
  <si>
    <t>Max population</t>
    <phoneticPr fontId="1"/>
  </si>
  <si>
    <t>Production Bonuses</t>
    <phoneticPr fontId="1"/>
  </si>
  <si>
    <t>Tax</t>
    <phoneticPr fontId="1"/>
  </si>
  <si>
    <t>Plat/person</t>
    <phoneticPr fontId="1"/>
  </si>
  <si>
    <t>Growth</t>
    <phoneticPr fontId="1"/>
  </si>
  <si>
    <t>Housing</t>
    <phoneticPr fontId="1"/>
  </si>
  <si>
    <t>Non-Home</t>
    <phoneticPr fontId="1"/>
  </si>
  <si>
    <t>Home</t>
    <phoneticPr fontId="1"/>
  </si>
  <si>
    <t>Max pop</t>
    <phoneticPr fontId="1"/>
  </si>
  <si>
    <t>Population bonuses</t>
    <phoneticPr fontId="1"/>
  </si>
  <si>
    <t>Net Peasant</t>
    <phoneticPr fontId="1"/>
  </si>
  <si>
    <t>Raw max</t>
    <phoneticPr fontId="1"/>
  </si>
  <si>
    <t>Explore</t>
    <phoneticPr fontId="1"/>
  </si>
  <si>
    <t>Mountains</t>
    <phoneticPr fontId="1"/>
  </si>
  <si>
    <t>Draftees/acre</t>
    <phoneticPr fontId="1"/>
  </si>
  <si>
    <t>Draftrate</t>
    <phoneticPr fontId="1"/>
  </si>
  <si>
    <t>Set</t>
    <phoneticPr fontId="1"/>
  </si>
  <si>
    <t>Train</t>
    <phoneticPr fontId="1"/>
  </si>
  <si>
    <t>Wizard</t>
    <phoneticPr fontId="1"/>
  </si>
  <si>
    <t>Archmage</t>
    <phoneticPr fontId="1"/>
  </si>
  <si>
    <t>Smithies</t>
    <phoneticPr fontId="1"/>
  </si>
  <si>
    <t>Expenses</t>
    <phoneticPr fontId="1"/>
  </si>
  <si>
    <t>Release</t>
    <phoneticPr fontId="1"/>
  </si>
  <si>
    <t>Total</t>
    <phoneticPr fontId="1"/>
  </si>
  <si>
    <t>Military%</t>
    <phoneticPr fontId="1"/>
  </si>
  <si>
    <t>Raw</t>
    <phoneticPr fontId="1"/>
  </si>
  <si>
    <t>Facs</t>
    <phoneticPr fontId="1"/>
  </si>
  <si>
    <t>Rezone</t>
    <phoneticPr fontId="1"/>
  </si>
  <si>
    <t>RawCost</t>
    <phoneticPr fontId="1"/>
  </si>
  <si>
    <t>Recources</t>
    <phoneticPr fontId="1"/>
  </si>
  <si>
    <t>Ok?</t>
    <phoneticPr fontId="1"/>
  </si>
  <si>
    <t>Wiz str</t>
    <phoneticPr fontId="1"/>
  </si>
  <si>
    <t>Cast</t>
    <phoneticPr fontId="1"/>
  </si>
  <si>
    <t>Gaia's Watch</t>
    <phoneticPr fontId="1"/>
  </si>
  <si>
    <t>Mining Strength</t>
    <phoneticPr fontId="1"/>
  </si>
  <si>
    <t>Ares Call</t>
    <phoneticPr fontId="1"/>
  </si>
  <si>
    <t>Midas Touch</t>
    <phoneticPr fontId="1"/>
  </si>
  <si>
    <t>Harmony</t>
    <phoneticPr fontId="1"/>
  </si>
  <si>
    <t>Spell</t>
    <phoneticPr fontId="1"/>
  </si>
  <si>
    <t>* Landsize</t>
    <phoneticPr fontId="1"/>
  </si>
  <si>
    <t>Ares' Call</t>
    <phoneticPr fontId="1"/>
  </si>
  <si>
    <t>Midas' Touch</t>
    <phoneticPr fontId="1"/>
  </si>
  <si>
    <t>Active Spells</t>
    <phoneticPr fontId="1"/>
  </si>
  <si>
    <t>Bonus</t>
    <phoneticPr fontId="1"/>
  </si>
  <si>
    <t>Popgrowth</t>
    <phoneticPr fontId="1"/>
  </si>
  <si>
    <t>Science</t>
    <phoneticPr fontId="1"/>
  </si>
  <si>
    <t>Invested points</t>
    <phoneticPr fontId="1"/>
  </si>
  <si>
    <t>Keep</t>
    <phoneticPr fontId="1"/>
  </si>
  <si>
    <t>Towers</t>
    <phoneticPr fontId="1"/>
  </si>
  <si>
    <t>Forges</t>
    <phoneticPr fontId="1"/>
  </si>
  <si>
    <t>Walls</t>
    <phoneticPr fontId="1"/>
  </si>
  <si>
    <t>Irrigation</t>
    <phoneticPr fontId="1"/>
  </si>
  <si>
    <t>Invest</t>
    <phoneticPr fontId="1"/>
  </si>
  <si>
    <t>Amount</t>
    <phoneticPr fontId="1"/>
  </si>
  <si>
    <t>Investing</t>
    <phoneticPr fontId="1"/>
  </si>
  <si>
    <t>Points to Science</t>
    <phoneticPr fontId="1"/>
  </si>
  <si>
    <t>Points to Keep</t>
    <phoneticPr fontId="1"/>
  </si>
  <si>
    <t>Points to Towers</t>
    <phoneticPr fontId="1"/>
  </si>
  <si>
    <t>Points to Forges</t>
    <phoneticPr fontId="1"/>
  </si>
  <si>
    <t>Points to Walls</t>
    <phoneticPr fontId="1"/>
  </si>
  <si>
    <t>Points to Irrigation</t>
    <phoneticPr fontId="1"/>
  </si>
  <si>
    <t>Employed</t>
    <phoneticPr fontId="1"/>
  </si>
  <si>
    <t>Raw Birth</t>
    <phoneticPr fontId="1"/>
  </si>
  <si>
    <t>Net max</t>
    <phoneticPr fontId="1"/>
  </si>
  <si>
    <t>Modded</t>
    <phoneticPr fontId="1"/>
  </si>
  <si>
    <t>Take</t>
    <phoneticPr fontId="1"/>
  </si>
  <si>
    <t>OOP</t>
    <phoneticPr fontId="1"/>
  </si>
  <si>
    <t>Networth</t>
    <phoneticPr fontId="1"/>
  </si>
  <si>
    <t>WG's</t>
    <phoneticPr fontId="1"/>
  </si>
  <si>
    <t>Modded Birth</t>
    <phoneticPr fontId="1"/>
  </si>
  <si>
    <t>Waves</t>
    <phoneticPr fontId="1"/>
  </si>
  <si>
    <t>Grabs</t>
    <phoneticPr fontId="1"/>
  </si>
  <si>
    <t>Opponent</t>
    <phoneticPr fontId="1"/>
  </si>
  <si>
    <t>Grab%</t>
    <phoneticPr fontId="1"/>
  </si>
  <si>
    <t>Land Gain</t>
    <phoneticPr fontId="1"/>
  </si>
  <si>
    <t>Min. networth*</t>
    <phoneticPr fontId="1"/>
  </si>
  <si>
    <t>Troops</t>
    <phoneticPr fontId="1"/>
  </si>
  <si>
    <t>estimation of</t>
    <phoneticPr fontId="1"/>
  </si>
  <si>
    <t>land grabs</t>
    <phoneticPr fontId="1"/>
  </si>
  <si>
    <t>Cavern</t>
    <phoneticPr fontId="1"/>
  </si>
  <si>
    <t>Plain</t>
    <phoneticPr fontId="1"/>
  </si>
  <si>
    <t>Hill</t>
    <phoneticPr fontId="1"/>
  </si>
  <si>
    <t>Mountain</t>
    <phoneticPr fontId="1"/>
  </si>
  <si>
    <t>(Replaces Mining Strength)</t>
    <phoneticPr fontId="1"/>
  </si>
  <si>
    <t>Net production</t>
    <phoneticPr fontId="1"/>
  </si>
  <si>
    <t>+ 1 wizard</t>
    <phoneticPr fontId="1"/>
  </si>
  <si>
    <t>OPA</t>
    <phoneticPr fontId="1"/>
  </si>
  <si>
    <t>DPA</t>
    <phoneticPr fontId="1"/>
  </si>
  <si>
    <t>SPA</t>
    <phoneticPr fontId="1"/>
  </si>
  <si>
    <t>Acres</t>
    <phoneticPr fontId="1"/>
  </si>
  <si>
    <t>WPA</t>
    <phoneticPr fontId="1"/>
  </si>
  <si>
    <t>Ratios</t>
    <phoneticPr fontId="1"/>
  </si>
  <si>
    <t>Type</t>
    <phoneticPr fontId="1"/>
  </si>
  <si>
    <t>Stats</t>
    <phoneticPr fontId="1"/>
  </si>
  <si>
    <t>Home Land</t>
    <phoneticPr fontId="1"/>
  </si>
  <si>
    <t>(Replaces Ares' Call)</t>
    <phoneticPr fontId="1"/>
  </si>
  <si>
    <t>Plat/acre*</t>
    <phoneticPr fontId="1"/>
  </si>
  <si>
    <t>Warsong (Sylvan)</t>
    <phoneticPr fontId="1"/>
  </si>
  <si>
    <t>Frenzy (Halfling)</t>
    <phoneticPr fontId="1"/>
  </si>
  <si>
    <t>Frenzy</t>
    <phoneticPr fontId="1"/>
  </si>
  <si>
    <t>Miner's Sight</t>
    <phoneticPr fontId="1"/>
  </si>
  <si>
    <t>Employment</t>
    <phoneticPr fontId="1"/>
  </si>
  <si>
    <t>OP</t>
    <phoneticPr fontId="1"/>
  </si>
  <si>
    <t>DP</t>
    <phoneticPr fontId="1"/>
  </si>
  <si>
    <t>Boats will carry</t>
    <phoneticPr fontId="1"/>
  </si>
  <si>
    <t>Carry</t>
    <phoneticPr fontId="1"/>
  </si>
  <si>
    <t>peasants</t>
    <phoneticPr fontId="1"/>
  </si>
  <si>
    <t>Barren*</t>
    <phoneticPr fontId="1"/>
  </si>
  <si>
    <t>*Note: Barren Land for Halflings, Dwarves, Goblins, Kobolds and Gnomes house 10 people, while the other race's Barren Land house only 5.</t>
    <phoneticPr fontId="1"/>
  </si>
  <si>
    <t>Manacost</t>
    <phoneticPr fontId="1"/>
  </si>
  <si>
    <t>Drafees</t>
    <phoneticPr fontId="1"/>
  </si>
  <si>
    <t>incoming land</t>
    <phoneticPr fontId="1"/>
  </si>
  <si>
    <t>incoming buildings</t>
    <phoneticPr fontId="1"/>
  </si>
  <si>
    <t>Plat Expense</t>
    <phoneticPr fontId="1"/>
  </si>
  <si>
    <t>Category</t>
    <phoneticPr fontId="1"/>
  </si>
  <si>
    <t>Construction</t>
    <phoneticPr fontId="1"/>
  </si>
  <si>
    <t>Exploration</t>
    <phoneticPr fontId="1"/>
  </si>
  <si>
    <t>Improvements</t>
    <phoneticPr fontId="1"/>
  </si>
  <si>
    <t>Info</t>
    <phoneticPr fontId="1"/>
  </si>
  <si>
    <t>Races</t>
    <phoneticPr fontId="1"/>
  </si>
  <si>
    <t>EG Range</t>
    <phoneticPr fontId="1"/>
  </si>
  <si>
    <t>RG Range</t>
    <phoneticPr fontId="1"/>
  </si>
  <si>
    <t>Attacker</t>
    <phoneticPr fontId="1"/>
  </si>
  <si>
    <t>Target</t>
    <phoneticPr fontId="1"/>
  </si>
  <si>
    <t>Special Bonuses</t>
    <phoneticPr fontId="1"/>
  </si>
  <si>
    <t>Land related</t>
    <phoneticPr fontId="1"/>
  </si>
  <si>
    <t>Unit related</t>
    <phoneticPr fontId="1"/>
  </si>
  <si>
    <t>race</t>
    <phoneticPr fontId="1"/>
  </si>
  <si>
    <t>unit</t>
    <phoneticPr fontId="1"/>
  </si>
  <si>
    <t>defense</t>
    <phoneticPr fontId="1"/>
  </si>
  <si>
    <t>offense</t>
    <phoneticPr fontId="1"/>
  </si>
  <si>
    <t>Total Land (ex homes)</t>
    <phoneticPr fontId="1"/>
  </si>
  <si>
    <t>Homes</t>
    <phoneticPr fontId="1"/>
  </si>
  <si>
    <t>WG</t>
    <phoneticPr fontId="1"/>
  </si>
  <si>
    <t>Special race bonuses</t>
    <phoneticPr fontId="1"/>
  </si>
  <si>
    <t>Gaia's Blessing</t>
    <phoneticPr fontId="1"/>
  </si>
  <si>
    <t>Explore Draftee Cost</t>
    <phoneticPr fontId="1"/>
  </si>
  <si>
    <t>Some stats to keep track of</t>
    <phoneticPr fontId="1"/>
  </si>
  <si>
    <t>Total acres</t>
    <phoneticPr fontId="1"/>
  </si>
  <si>
    <t>Max Acres</t>
    <phoneticPr fontId="1"/>
  </si>
  <si>
    <t>Rezone*</t>
    <phoneticPr fontId="1"/>
  </si>
  <si>
    <t>Rezones 10 acres of mountain into forest</t>
    <phoneticPr fontId="1"/>
  </si>
  <si>
    <t>*e.g.:</t>
    <phoneticPr fontId="1"/>
  </si>
  <si>
    <t>Login</t>
    <phoneticPr fontId="1"/>
  </si>
  <si>
    <t>Logins</t>
    <phoneticPr fontId="1"/>
  </si>
  <si>
    <t>algorithm</t>
    <phoneticPr fontId="1"/>
  </si>
  <si>
    <t>Servertime</t>
    <phoneticPr fontId="1"/>
  </si>
  <si>
    <t>Time</t>
    <phoneticPr fontId="1"/>
  </si>
  <si>
    <t>Special bonus networth</t>
    <phoneticPr fontId="1"/>
  </si>
  <si>
    <t>Jobs</t>
    <phoneticPr fontId="1"/>
  </si>
  <si>
    <t>Resource</t>
    <phoneticPr fontId="1"/>
  </si>
  <si>
    <t>Part</t>
    <phoneticPr fontId="1"/>
  </si>
  <si>
    <t>Current Hour</t>
    <phoneticPr fontId="1"/>
  </si>
  <si>
    <t>Time:</t>
    <phoneticPr fontId="1"/>
  </si>
  <si>
    <t>Login?</t>
    <phoneticPr fontId="1"/>
  </si>
  <si>
    <t>Unit Names</t>
    <phoneticPr fontId="1"/>
  </si>
  <si>
    <t>TimeZone</t>
    <phoneticPr fontId="1"/>
  </si>
  <si>
    <t>Today</t>
    <phoneticPr fontId="1"/>
  </si>
  <si>
    <t>Plat Bonus</t>
    <phoneticPr fontId="1"/>
  </si>
  <si>
    <t>Date&amp;Time</t>
    <phoneticPr fontId="1"/>
  </si>
  <si>
    <t>Hour 1:</t>
    <phoneticPr fontId="1"/>
  </si>
  <si>
    <t>Pop</t>
    <phoneticPr fontId="1"/>
  </si>
  <si>
    <t>Guard</t>
    <phoneticPr fontId="1"/>
  </si>
  <si>
    <t>Set Guard</t>
    <phoneticPr fontId="1"/>
  </si>
  <si>
    <t>Beasts</t>
    <phoneticPr fontId="1"/>
  </si>
  <si>
    <t>Overlords</t>
    <phoneticPr fontId="1"/>
  </si>
  <si>
    <t>Icekin</t>
    <phoneticPr fontId="1"/>
  </si>
  <si>
    <t>Ice Beast</t>
    <phoneticPr fontId="1"/>
  </si>
  <si>
    <t>Snow Witch</t>
    <phoneticPr fontId="1"/>
  </si>
  <si>
    <t>Frost Mage</t>
    <phoneticPr fontId="1"/>
  </si>
  <si>
    <t>Ice Elemental</t>
    <phoneticPr fontId="1"/>
  </si>
  <si>
    <t>Blizzard</t>
    <phoneticPr fontId="1"/>
  </si>
  <si>
    <t>Howling</t>
    <phoneticPr fontId="1"/>
  </si>
  <si>
    <t>(replaces Ares' Call)</t>
    <phoneticPr fontId="1"/>
  </si>
  <si>
    <t>Fire Spirit</t>
    <phoneticPr fontId="1"/>
  </si>
  <si>
    <t>Flamewolf</t>
    <phoneticPr fontId="1"/>
  </si>
  <si>
    <t>Phoenix</t>
    <phoneticPr fontId="1"/>
  </si>
  <si>
    <t>Salamander</t>
    <phoneticPr fontId="1"/>
  </si>
  <si>
    <t>Alchemists Flame</t>
    <phoneticPr fontId="1"/>
  </si>
  <si>
    <t>platinum per alchemy</t>
    <phoneticPr fontId="1"/>
  </si>
  <si>
    <t>Firewalker</t>
    <phoneticPr fontId="1"/>
  </si>
  <si>
    <t>Barracks</t>
    <phoneticPr fontId="1"/>
  </si>
  <si>
    <t>troops</t>
    <phoneticPr fontId="1"/>
  </si>
  <si>
    <t>(don’t count as raw pop but as modded pop)</t>
    <phoneticPr fontId="1"/>
  </si>
  <si>
    <t>Hav</t>
    <phoneticPr fontId="1"/>
  </si>
  <si>
    <t>Forest Haven</t>
    <phoneticPr fontId="1"/>
  </si>
  <si>
    <t>Bar</t>
    <phoneticPr fontId="1"/>
  </si>
  <si>
    <t>Tem</t>
    <phoneticPr fontId="1"/>
  </si>
  <si>
    <t>Prestige</t>
    <phoneticPr fontId="1"/>
  </si>
  <si>
    <t>Shr</t>
    <phoneticPr fontId="1"/>
  </si>
  <si>
    <t>FH's</t>
    <phoneticPr fontId="1"/>
  </si>
  <si>
    <t xml:space="preserve"> </t>
    <phoneticPr fontId="1"/>
  </si>
  <si>
    <t>Hobgoblin</t>
    <phoneticPr fontId="1"/>
  </si>
  <si>
    <t>Savage</t>
    <phoneticPr fontId="1"/>
  </si>
  <si>
    <t>Bone Breaker</t>
    <phoneticPr fontId="1"/>
  </si>
  <si>
    <t>barren</t>
    <phoneticPr fontId="1"/>
  </si>
  <si>
    <t>incoming</t>
    <phoneticPr fontId="1"/>
  </si>
  <si>
    <t>waves:</t>
    <phoneticPr fontId="1"/>
  </si>
  <si>
    <t>Sylvan / Goblin / Orc</t>
    <phoneticPr fontId="1"/>
  </si>
  <si>
    <t>time</t>
    <phoneticPr fontId="1"/>
  </si>
  <si>
    <t>Popul.</t>
    <phoneticPr fontId="1"/>
  </si>
  <si>
    <t>Employm.</t>
    <phoneticPr fontId="1"/>
  </si>
  <si>
    <t>Draftees 61</t>
    <phoneticPr fontId="1"/>
  </si>
  <si>
    <t>acres OOP</t>
    <phoneticPr fontId="1"/>
  </si>
  <si>
    <t>Income OOP</t>
    <phoneticPr fontId="1"/>
  </si>
  <si>
    <t>Plat 63</t>
    <phoneticPr fontId="1"/>
  </si>
  <si>
    <t>Old:</t>
    <phoneticPr fontId="1"/>
  </si>
  <si>
    <t>Sch</t>
    <phoneticPr fontId="1"/>
  </si>
  <si>
    <t>Techpoints</t>
    <phoneticPr fontId="1"/>
  </si>
  <si>
    <t>Required</t>
    <phoneticPr fontId="1"/>
  </si>
  <si>
    <t>Rough</t>
    <phoneticPr fontId="1"/>
  </si>
  <si>
    <t>Voodoo Magi</t>
    <phoneticPr fontId="1"/>
  </si>
  <si>
    <t>Number of Logins</t>
    <phoneticPr fontId="1"/>
  </si>
  <si>
    <t>OOP Results</t>
    <phoneticPr fontId="1"/>
  </si>
  <si>
    <t>Haven dp</t>
    <phoneticPr fontId="1"/>
  </si>
  <si>
    <t>Homeland:</t>
    <phoneticPr fontId="1"/>
  </si>
  <si>
    <t>Alignment:</t>
    <phoneticPr fontId="1"/>
  </si>
  <si>
    <t>old info</t>
    <phoneticPr fontId="1"/>
  </si>
  <si>
    <t>actual info</t>
    <phoneticPr fontId="1"/>
  </si>
  <si>
    <t>Relative</t>
    <phoneticPr fontId="1"/>
  </si>
  <si>
    <t>Without Training</t>
    <phoneticPr fontId="1"/>
  </si>
  <si>
    <t>Production</t>
    <phoneticPr fontId="1"/>
  </si>
  <si>
    <t>Master of Frugality</t>
    <phoneticPr fontId="1"/>
  </si>
  <si>
    <t>Fruits of Labor</t>
    <phoneticPr fontId="1"/>
  </si>
  <si>
    <t>Urban Mastery</t>
    <phoneticPr fontId="1"/>
  </si>
  <si>
    <t>Treasure Hunt</t>
    <phoneticPr fontId="1"/>
  </si>
  <si>
    <t>Conqueror's Crafts</t>
    <phoneticPr fontId="1"/>
  </si>
  <si>
    <t>Enchanted Lands</t>
    <phoneticPr fontId="1"/>
  </si>
  <si>
    <t>Tactical Battle</t>
    <phoneticPr fontId="1"/>
  </si>
  <si>
    <t>Magical Weaponry</t>
    <phoneticPr fontId="1"/>
  </si>
  <si>
    <t>Dark Artistry</t>
    <phoneticPr fontId="1"/>
  </si>
  <si>
    <t>Techs</t>
    <phoneticPr fontId="1"/>
  </si>
  <si>
    <t>food</t>
    <phoneticPr fontId="1"/>
  </si>
  <si>
    <t>gems</t>
    <phoneticPr fontId="1"/>
  </si>
  <si>
    <t>plat</t>
    <phoneticPr fontId="1"/>
  </si>
  <si>
    <t>explore cost</t>
    <phoneticPr fontId="1"/>
  </si>
  <si>
    <t>drafteecost</t>
    <phoneticPr fontId="1"/>
  </si>
  <si>
    <t>construction cost</t>
    <phoneticPr fontId="1"/>
  </si>
  <si>
    <t>rezoning cost</t>
    <phoneticPr fontId="1"/>
  </si>
  <si>
    <t>population</t>
    <phoneticPr fontId="1"/>
  </si>
  <si>
    <t>offensive casualties</t>
    <phoneticPr fontId="1"/>
  </si>
  <si>
    <t>defensive casualties</t>
    <phoneticPr fontId="1"/>
  </si>
  <si>
    <t>spylosses</t>
    <phoneticPr fontId="1"/>
  </si>
  <si>
    <t>spycost</t>
    <phoneticPr fontId="1"/>
  </si>
  <si>
    <t>spystr regen</t>
    <phoneticPr fontId="1"/>
  </si>
  <si>
    <t>manacost</t>
    <phoneticPr fontId="1"/>
  </si>
  <si>
    <t>wizard cost</t>
    <phoneticPr fontId="1"/>
  </si>
  <si>
    <t>wizardstr regen</t>
    <phoneticPr fontId="1"/>
  </si>
  <si>
    <t>training costs</t>
    <phoneticPr fontId="1"/>
  </si>
  <si>
    <t>lumber/ore</t>
    <phoneticPr fontId="1"/>
  </si>
  <si>
    <t>constr/rez cost</t>
    <phoneticPr fontId="1"/>
  </si>
  <si>
    <t>mana</t>
    <phoneticPr fontId="1"/>
  </si>
  <si>
    <t>casulaties</t>
    <phoneticPr fontId="1"/>
  </si>
  <si>
    <t>wizardstr</t>
    <phoneticPr fontId="1"/>
  </si>
  <si>
    <t>regen</t>
    <phoneticPr fontId="1"/>
  </si>
  <si>
    <t>Forest Havens</t>
    <phoneticPr fontId="1"/>
  </si>
  <si>
    <t>Draftee dp</t>
    <phoneticPr fontId="1"/>
  </si>
  <si>
    <t>National Bank</t>
    <phoneticPr fontId="1"/>
  </si>
  <si>
    <t>Imp</t>
    <phoneticPr fontId="1"/>
  </si>
  <si>
    <t>Fiend</t>
    <phoneticPr fontId="1"/>
  </si>
  <si>
    <t>Nightshade</t>
    <phoneticPr fontId="1"/>
  </si>
  <si>
    <t>Lich</t>
    <phoneticPr fontId="1"/>
  </si>
  <si>
    <t>Nightfall</t>
    <phoneticPr fontId="1"/>
  </si>
  <si>
    <t>Issues:</t>
    <phoneticPr fontId="1"/>
  </si>
  <si>
    <t>Assumptions:</t>
    <phoneticPr fontId="1"/>
  </si>
  <si>
    <t>The explore cost function assumes you first explore, then take daily land bonus, when applicable.</t>
    <phoneticPr fontId="1"/>
  </si>
  <si>
    <t>land</t>
    <phoneticPr fontId="1"/>
  </si>
  <si>
    <t>spies</t>
    <phoneticPr fontId="1"/>
  </si>
  <si>
    <t>dp mods</t>
    <phoneticPr fontId="1"/>
  </si>
  <si>
    <t>number</t>
    <phoneticPr fontId="1"/>
  </si>
  <si>
    <t>nw</t>
    <phoneticPr fontId="1"/>
  </si>
  <si>
    <t>dp</t>
    <phoneticPr fontId="1"/>
  </si>
  <si>
    <t>New:</t>
    <phoneticPr fontId="1"/>
  </si>
  <si>
    <t>max</t>
    <phoneticPr fontId="1"/>
  </si>
  <si>
    <t>% cost red</t>
    <phoneticPr fontId="1"/>
  </si>
  <si>
    <t>Invest bonus</t>
    <phoneticPr fontId="1"/>
  </si>
  <si>
    <t>*Min. networth = all land built, no military.</t>
    <phoneticPr fontId="1"/>
  </si>
  <si>
    <t>Late dom creation: +resources per day</t>
    <phoneticPr fontId="1"/>
  </si>
  <si>
    <t>def specs</t>
    <phoneticPr fontId="1"/>
  </si>
  <si>
    <t>draftees</t>
    <phoneticPr fontId="1"/>
  </si>
  <si>
    <t>opmods</t>
    <phoneticPr fontId="1"/>
  </si>
  <si>
    <t>spy+wiz</t>
    <phoneticPr fontId="1"/>
  </si>
  <si>
    <t>op</t>
    <phoneticPr fontId="1"/>
  </si>
  <si>
    <t>Also, the sim assumes you dont cheat. That is: take platbonus twice a day, expend more plat than you have, etc.</t>
    <phoneticPr fontId="1"/>
  </si>
  <si>
    <t>Start of the round</t>
    <phoneticPr fontId="1"/>
  </si>
  <si>
    <t>The sim assumes your construction minus 20 land occurs before you take the landbonus.</t>
    <phoneticPr fontId="1"/>
  </si>
  <si>
    <t>Getting started</t>
    <phoneticPr fontId="1"/>
  </si>
  <si>
    <t>Welcome</t>
    <phoneticPr fontId="1"/>
  </si>
  <si>
    <t>Destroying factories and building the acres the same hour does not use the right cost. It assumes old factory percentage for construction, people may want to destroy and rebuild them a few at a time.</t>
    <phoneticPr fontId="1"/>
  </si>
  <si>
    <t>Masonries</t>
    <phoneticPr fontId="1"/>
  </si>
  <si>
    <t>Factories</t>
    <phoneticPr fontId="1"/>
  </si>
  <si>
    <t>% building red</t>
    <phoneticPr fontId="1"/>
  </si>
  <si>
    <t>% rezone red</t>
    <phoneticPr fontId="1"/>
  </si>
  <si>
    <t>Imps</t>
    <phoneticPr fontId="1"/>
  </si>
  <si>
    <t>Maxima</t>
    <phoneticPr fontId="1"/>
  </si>
  <si>
    <t>Walls/Forges</t>
    <phoneticPr fontId="1"/>
  </si>
  <si>
    <t>Irrigation/Towers</t>
    <phoneticPr fontId="1"/>
  </si>
  <si>
    <t>Modifier</t>
    <phoneticPr fontId="1"/>
  </si>
  <si>
    <t>Variable Unit Powers</t>
    <phoneticPr fontId="1"/>
  </si>
  <si>
    <t>Frostmage</t>
    <phoneticPr fontId="1"/>
  </si>
  <si>
    <t>Max</t>
    <phoneticPr fontId="1"/>
  </si>
  <si>
    <t>* raw WPA</t>
    <phoneticPr fontId="1"/>
  </si>
  <si>
    <t>* prestige</t>
    <phoneticPr fontId="1"/>
  </si>
  <si>
    <t>1 /</t>
    <phoneticPr fontId="1"/>
  </si>
  <si>
    <t>forest</t>
    <phoneticPr fontId="1"/>
  </si>
  <si>
    <t>mountain</t>
    <phoneticPr fontId="1"/>
  </si>
  <si>
    <t>Minimum Cost</t>
    <phoneticPr fontId="1"/>
  </si>
  <si>
    <t>per acre</t>
    <phoneticPr fontId="1"/>
  </si>
  <si>
    <t>Draft</t>
    <phoneticPr fontId="1"/>
  </si>
  <si>
    <t>Raw Defense</t>
    <phoneticPr fontId="1"/>
  </si>
  <si>
    <t>Mod Defense</t>
    <phoneticPr fontId="1"/>
  </si>
  <si>
    <t>Non Draft</t>
    <phoneticPr fontId="1"/>
  </si>
  <si>
    <t>Wizard Guilds</t>
    <phoneticPr fontId="1"/>
  </si>
  <si>
    <t>WGs</t>
    <phoneticPr fontId="1"/>
  </si>
  <si>
    <t>additional</t>
    <phoneticPr fontId="1"/>
  </si>
  <si>
    <t>Non-HomeRax</t>
    <phoneticPr fontId="1"/>
  </si>
  <si>
    <t>FHs</t>
    <phoneticPr fontId="1"/>
  </si>
  <si>
    <t>DP per peas</t>
    <phoneticPr fontId="1"/>
  </si>
  <si>
    <t>% spy cost red</t>
    <phoneticPr fontId="1"/>
  </si>
  <si>
    <t>% wiz cost red</t>
    <phoneticPr fontId="1"/>
  </si>
  <si>
    <t>% spell cost red</t>
    <phoneticPr fontId="1"/>
  </si>
  <si>
    <t>% imp bonus</t>
    <phoneticPr fontId="1"/>
  </si>
  <si>
    <t>Race Bonuses</t>
    <phoneticPr fontId="1"/>
  </si>
  <si>
    <t>Rezone Cost</t>
    <phoneticPr fontId="1"/>
  </si>
  <si>
    <t>Construction Cost</t>
    <phoneticPr fontId="1"/>
  </si>
  <si>
    <t>Troop Costs</t>
    <phoneticPr fontId="1"/>
  </si>
  <si>
    <t>OP Plat</t>
    <phoneticPr fontId="1"/>
  </si>
  <si>
    <t>OP Ore</t>
    <phoneticPr fontId="1"/>
  </si>
  <si>
    <t>DP Plat</t>
    <phoneticPr fontId="1"/>
  </si>
  <si>
    <t>DP Ore</t>
    <phoneticPr fontId="1"/>
  </si>
  <si>
    <t>E1 Plat</t>
    <phoneticPr fontId="1"/>
  </si>
  <si>
    <t>E1 Ore</t>
    <phoneticPr fontId="1"/>
  </si>
  <si>
    <t>E2 Plat</t>
    <phoneticPr fontId="1"/>
  </si>
  <si>
    <t>E2 Ore</t>
    <phoneticPr fontId="1"/>
  </si>
  <si>
    <t>swamp</t>
    <phoneticPr fontId="1"/>
  </si>
  <si>
    <t>Nox</t>
    <phoneticPr fontId="1"/>
  </si>
  <si>
    <t>Starting days late</t>
    <phoneticPr fontId="1"/>
  </si>
  <si>
    <t>Other</t>
    <phoneticPr fontId="1"/>
  </si>
  <si>
    <t>Useless spell</t>
    <phoneticPr fontId="1"/>
  </si>
  <si>
    <t>Start prestige</t>
    <phoneticPr fontId="1"/>
  </si>
  <si>
    <t>food bonus</t>
    <phoneticPr fontId="1"/>
  </si>
  <si>
    <t>pop multiplier</t>
    <phoneticPr fontId="1"/>
  </si>
  <si>
    <t>offense bonus</t>
    <phoneticPr fontId="1"/>
  </si>
  <si>
    <t>parameter</t>
    <phoneticPr fontId="1"/>
  </si>
  <si>
    <t>Wg</t>
    <phoneticPr fontId="1"/>
  </si>
  <si>
    <t>Land-DB</t>
    <phoneticPr fontId="1"/>
  </si>
  <si>
    <t>% dp bonus</t>
    <phoneticPr fontId="1"/>
  </si>
  <si>
    <t>% op bonus</t>
    <phoneticPr fontId="1"/>
  </si>
  <si>
    <t>Raw cost per acre</t>
    <phoneticPr fontId="1"/>
  </si>
  <si>
    <t>Total Cost</t>
    <phoneticPr fontId="1"/>
  </si>
  <si>
    <t>-DB</t>
    <phoneticPr fontId="1"/>
  </si>
  <si>
    <t>Cost per acre -DB</t>
    <phoneticPr fontId="1"/>
  </si>
  <si>
    <t>Cost per acre DB</t>
    <phoneticPr fontId="1"/>
  </si>
  <si>
    <t>DB</t>
    <phoneticPr fontId="1"/>
  </si>
  <si>
    <t>build -db</t>
    <phoneticPr fontId="1"/>
  </si>
  <si>
    <t>build db</t>
    <phoneticPr fontId="1"/>
  </si>
  <si>
    <t>base</t>
    <phoneticPr fontId="1"/>
  </si>
  <si>
    <t>elite1 op</t>
    <phoneticPr fontId="1"/>
  </si>
  <si>
    <t>elite1 dp</t>
    <phoneticPr fontId="1"/>
  </si>
  <si>
    <t>elite2 dp</t>
    <phoneticPr fontId="1"/>
  </si>
  <si>
    <t>elite2 op</t>
    <phoneticPr fontId="1"/>
  </si>
  <si>
    <t>Research</t>
    <phoneticPr fontId="1"/>
  </si>
  <si>
    <t>(0=UTC)</t>
    <phoneticPr fontId="1"/>
  </si>
  <si>
    <t>Harbor</t>
    <phoneticPr fontId="1"/>
  </si>
  <si>
    <t>Mechanical Genius</t>
    <phoneticPr fontId="1"/>
  </si>
  <si>
    <t>Miner's Sight (Dwarf)</t>
    <phoneticPr fontId="1"/>
  </si>
  <si>
    <t>Mechanical Genius (Gnome)</t>
    <phoneticPr fontId="1"/>
  </si>
  <si>
    <t>Rezone cost reduction</t>
    <phoneticPr fontId="1"/>
  </si>
  <si>
    <t>New Food Production</t>
    <phoneticPr fontId="1"/>
  </si>
  <si>
    <t>Farms</t>
    <phoneticPr fontId="1"/>
  </si>
  <si>
    <t>Docks</t>
    <phoneticPr fontId="1"/>
  </si>
  <si>
    <t>ForestHaven</t>
    <phoneticPr fontId="1"/>
  </si>
  <si>
    <t>Dwarf/Gnome</t>
    <phoneticPr fontId="1"/>
  </si>
  <si>
    <t>1-1</t>
    <phoneticPr fontId="1"/>
  </si>
  <si>
    <t>+2.5% food production</t>
    <phoneticPr fontId="1"/>
  </si>
  <si>
    <t>1-2</t>
    <phoneticPr fontId="1"/>
  </si>
  <si>
    <t>1-3</t>
    <phoneticPr fontId="1"/>
  </si>
  <si>
    <t>+5% lumber production</t>
    <phoneticPr fontId="1"/>
  </si>
  <si>
    <t>1-4</t>
    <phoneticPr fontId="1"/>
  </si>
  <si>
    <t>+7.5% food production, -7.5% fireball damage</t>
    <phoneticPr fontId="1"/>
  </si>
  <si>
    <t>1-5</t>
    <phoneticPr fontId="1"/>
  </si>
  <si>
    <t>1-6</t>
    <phoneticPr fontId="1"/>
  </si>
  <si>
    <t>1-7</t>
    <phoneticPr fontId="1"/>
  </si>
  <si>
    <t>1-8</t>
    <phoneticPr fontId="1"/>
  </si>
  <si>
    <t>1-9</t>
    <phoneticPr fontId="1"/>
  </si>
  <si>
    <t>-2.5% food consumption</t>
    <phoneticPr fontId="1"/>
  </si>
  <si>
    <t>1-10</t>
    <phoneticPr fontId="1"/>
  </si>
  <si>
    <t>-10% spell cost</t>
    <phoneticPr fontId="1"/>
  </si>
  <si>
    <t>1-11</t>
    <phoneticPr fontId="1"/>
  </si>
  <si>
    <t>2-1</t>
    <phoneticPr fontId="1"/>
  </si>
  <si>
    <t>2-2</t>
    <phoneticPr fontId="1"/>
  </si>
  <si>
    <t>2-3</t>
    <phoneticPr fontId="1"/>
  </si>
  <si>
    <t>-5% construction platinum cost</t>
    <phoneticPr fontId="1"/>
  </si>
  <si>
    <t>2-4</t>
    <phoneticPr fontId="1"/>
  </si>
  <si>
    <t>2-5</t>
    <phoneticPr fontId="1"/>
  </si>
  <si>
    <t>2-6</t>
    <phoneticPr fontId="1"/>
  </si>
  <si>
    <t>+5% lumber production, +5% ore production</t>
    <phoneticPr fontId="1"/>
  </si>
  <si>
    <t>2-7</t>
    <phoneticPr fontId="1"/>
  </si>
  <si>
    <t>+1.5% max population</t>
    <phoneticPr fontId="1"/>
  </si>
  <si>
    <t>2-8</t>
    <phoneticPr fontId="1"/>
  </si>
  <si>
    <t>2-9</t>
    <phoneticPr fontId="1"/>
  </si>
  <si>
    <t>2-10</t>
    <phoneticPr fontId="1"/>
  </si>
  <si>
    <t>-2.5% construction platinum cost</t>
    <phoneticPr fontId="1"/>
  </si>
  <si>
    <t>3-1</t>
    <phoneticPr fontId="1"/>
  </si>
  <si>
    <t>+5% ore production</t>
    <phoneticPr fontId="1"/>
  </si>
  <si>
    <t>3-2</t>
    <phoneticPr fontId="1"/>
  </si>
  <si>
    <t>+2.5% gem production</t>
    <phoneticPr fontId="1"/>
  </si>
  <si>
    <t>3-3</t>
    <phoneticPr fontId="1"/>
  </si>
  <si>
    <t>3-4</t>
    <phoneticPr fontId="1"/>
  </si>
  <si>
    <t>3-5</t>
    <phoneticPr fontId="1"/>
  </si>
  <si>
    <t>3-6</t>
    <phoneticPr fontId="1"/>
  </si>
  <si>
    <t>3-7</t>
    <phoneticPr fontId="1"/>
  </si>
  <si>
    <t>3-8</t>
    <phoneticPr fontId="1"/>
  </si>
  <si>
    <t>-50% morale loss from exploring</t>
    <phoneticPr fontId="1"/>
  </si>
  <si>
    <t>3-9</t>
    <phoneticPr fontId="1"/>
  </si>
  <si>
    <t>-5% spy cost, -15% wizard cost</t>
    <phoneticPr fontId="1"/>
  </si>
  <si>
    <t>4-1</t>
    <phoneticPr fontId="1"/>
  </si>
  <si>
    <t>4-2</t>
    <phoneticPr fontId="1"/>
  </si>
  <si>
    <t>4-3</t>
    <phoneticPr fontId="1"/>
  </si>
  <si>
    <t>4-4</t>
    <phoneticPr fontId="1"/>
  </si>
  <si>
    <t>4-5</t>
    <phoneticPr fontId="1"/>
  </si>
  <si>
    <t>4-6</t>
    <phoneticPr fontId="1"/>
  </si>
  <si>
    <t>-20% assassinate/disband damage</t>
    <phoneticPr fontId="1"/>
  </si>
  <si>
    <t>4-7</t>
    <phoneticPr fontId="1"/>
  </si>
  <si>
    <t>4-8</t>
    <phoneticPr fontId="1"/>
  </si>
  <si>
    <t>5-1</t>
    <phoneticPr fontId="1"/>
  </si>
  <si>
    <t>5-2</t>
    <phoneticPr fontId="1"/>
  </si>
  <si>
    <t>5-3</t>
    <phoneticPr fontId="1"/>
  </si>
  <si>
    <t>5-4</t>
    <phoneticPr fontId="1"/>
  </si>
  <si>
    <t>5-5</t>
    <phoneticPr fontId="1"/>
  </si>
  <si>
    <t>5-6</t>
    <phoneticPr fontId="1"/>
  </si>
  <si>
    <t>5-7</t>
    <phoneticPr fontId="1"/>
  </si>
  <si>
    <t>6-1</t>
    <phoneticPr fontId="1"/>
  </si>
  <si>
    <t>6-2</t>
    <phoneticPr fontId="1"/>
  </si>
  <si>
    <t>+2.5% gem production, -5% self spell cost</t>
    <phoneticPr fontId="1"/>
  </si>
  <si>
    <t>6-3</t>
    <phoneticPr fontId="1"/>
  </si>
  <si>
    <t>6-4</t>
    <phoneticPr fontId="1"/>
  </si>
  <si>
    <t>-12.5% rezone cost</t>
    <phoneticPr fontId="1"/>
  </si>
  <si>
    <t>6-5</t>
    <phoneticPr fontId="1"/>
  </si>
  <si>
    <t>6-6</t>
    <phoneticPr fontId="1"/>
  </si>
  <si>
    <t>7-1</t>
    <phoneticPr fontId="1"/>
  </si>
  <si>
    <t>+30% investment bonus to harbor/towers</t>
    <phoneticPr fontId="1"/>
  </si>
  <si>
    <t>7-2</t>
    <phoneticPr fontId="1"/>
  </si>
  <si>
    <t>+5% prestige gains</t>
    <phoneticPr fontId="1"/>
  </si>
  <si>
    <t>7-3</t>
    <phoneticPr fontId="1"/>
  </si>
  <si>
    <t>7-4</t>
    <phoneticPr fontId="1"/>
  </si>
  <si>
    <t>7-5</t>
    <phoneticPr fontId="1"/>
  </si>
  <si>
    <t>+2 population per barren acre, -2.5% food consumption</t>
    <phoneticPr fontId="1"/>
  </si>
  <si>
    <t>8-1</t>
    <phoneticPr fontId="1"/>
  </si>
  <si>
    <t>8-2</t>
    <phoneticPr fontId="1"/>
  </si>
  <si>
    <t>-7.5% casualties</t>
    <phoneticPr fontId="1"/>
  </si>
  <si>
    <t>8-3</t>
    <phoneticPr fontId="1"/>
  </si>
  <si>
    <t>+2 barracks housing</t>
    <phoneticPr fontId="1"/>
  </si>
  <si>
    <t>8-4</t>
    <phoneticPr fontId="1"/>
  </si>
  <si>
    <t>9-1</t>
    <phoneticPr fontId="1"/>
  </si>
  <si>
    <t>-15% spy cost, -5% wizard cost</t>
    <phoneticPr fontId="1"/>
  </si>
  <si>
    <t>9-2</t>
    <phoneticPr fontId="1"/>
  </si>
  <si>
    <t>9-3</t>
    <phoneticPr fontId="1"/>
  </si>
  <si>
    <t>10-1</t>
    <phoneticPr fontId="1"/>
  </si>
  <si>
    <t>-7.5% rezone cost</t>
    <phoneticPr fontId="1"/>
  </si>
  <si>
    <t>10-2</t>
    <phoneticPr fontId="1"/>
  </si>
  <si>
    <t>11-1</t>
    <phoneticPr fontId="1"/>
  </si>
  <si>
    <t>-5% casualties</t>
    <phoneticPr fontId="1"/>
  </si>
  <si>
    <t>New Techs</t>
    <phoneticPr fontId="1"/>
  </si>
  <si>
    <t>Fool's Gold affects lumber and ore</t>
    <phoneticPr fontId="1"/>
  </si>
  <si>
    <t xml:space="preserve"> +2.5% offense, +7.5% wizard strength</t>
    <phoneticPr fontId="1"/>
  </si>
  <si>
    <t xml:space="preserve"> -1% guard platinum penalty</t>
    <phoneticPr fontId="1"/>
  </si>
  <si>
    <t xml:space="preserve"> +2.5% offense</t>
    <phoneticPr fontId="1"/>
  </si>
  <si>
    <t xml:space="preserve"> food production</t>
    <phoneticPr fontId="1"/>
  </si>
  <si>
    <t xml:space="preserve"> mana production</t>
    <phoneticPr fontId="1"/>
  </si>
  <si>
    <t xml:space="preserve"> lumber production</t>
    <phoneticPr fontId="1"/>
  </si>
  <si>
    <t xml:space="preserve"> platinum production</t>
    <phoneticPr fontId="1"/>
  </si>
  <si>
    <t xml:space="preserve"> military training cost</t>
    <phoneticPr fontId="1"/>
  </si>
  <si>
    <t xml:space="preserve"> explore platinum cost</t>
    <phoneticPr fontId="1"/>
  </si>
  <si>
    <t xml:space="preserve"> spy losses</t>
    <phoneticPr fontId="1"/>
  </si>
  <si>
    <t xml:space="preserve"> food consumption</t>
    <phoneticPr fontId="1"/>
  </si>
  <si>
    <t xml:space="preserve"> spell cost</t>
    <phoneticPr fontId="1"/>
  </si>
  <si>
    <t xml:space="preserve"> food decay, lumber rot, mana drain</t>
    <phoneticPr fontId="1"/>
  </si>
  <si>
    <t xml:space="preserve"> exchange rates</t>
    <phoneticPr fontId="1"/>
  </si>
  <si>
    <t xml:space="preserve"> construction platinum cost</t>
    <phoneticPr fontId="1"/>
  </si>
  <si>
    <t xml:space="preserve"> theft losses</t>
    <phoneticPr fontId="1"/>
  </si>
  <si>
    <t xml:space="preserve"> max population, -12.5</t>
    <phoneticPr fontId="1"/>
  </si>
  <si>
    <t xml:space="preserve"> ore production</t>
    <phoneticPr fontId="1"/>
  </si>
  <si>
    <t xml:space="preserve"> max population</t>
    <phoneticPr fontId="1"/>
  </si>
  <si>
    <t xml:space="preserve"> gem production</t>
    <phoneticPr fontId="1"/>
  </si>
  <si>
    <t xml:space="preserve"> lumber production, 5</t>
    <phoneticPr fontId="1"/>
  </si>
  <si>
    <t xml:space="preserve"> refund when destroying buildings</t>
    <phoneticPr fontId="1"/>
  </si>
  <si>
    <t xml:space="preserve"> wizard power</t>
    <phoneticPr fontId="1"/>
  </si>
  <si>
    <t xml:space="preserve"> morale loss from exploring</t>
    <phoneticPr fontId="1"/>
  </si>
  <si>
    <t xml:space="preserve"> wizard cost</t>
    <phoneticPr fontId="1"/>
  </si>
  <si>
    <t xml:space="preserve"> boat production</t>
    <phoneticPr fontId="1"/>
  </si>
  <si>
    <t xml:space="preserve"> assassinate/disband damage</t>
    <phoneticPr fontId="1"/>
  </si>
  <si>
    <t xml:space="preserve"> construction lumber cost</t>
    <phoneticPr fontId="1"/>
  </si>
  <si>
    <t xml:space="preserve"> lightning bolt damage</t>
    <phoneticPr fontId="1"/>
  </si>
  <si>
    <t xml:space="preserve"> wizard strength</t>
    <phoneticPr fontId="1"/>
  </si>
  <si>
    <t xml:space="preserve"> guard platinum penalty</t>
    <phoneticPr fontId="1"/>
  </si>
  <si>
    <t xml:space="preserve"> self spell cost</t>
    <phoneticPr fontId="1"/>
  </si>
  <si>
    <t xml:space="preserve"> rezone cost</t>
    <phoneticPr fontId="1"/>
  </si>
  <si>
    <t xml:space="preserve"> casualties</t>
    <phoneticPr fontId="1"/>
  </si>
  <si>
    <t xml:space="preserve"> investment bonus to harbor/towers</t>
    <phoneticPr fontId="1"/>
  </si>
  <si>
    <t xml:space="preserve"> prestige gains</t>
    <phoneticPr fontId="1"/>
  </si>
  <si>
    <t xml:space="preserve"> offense</t>
    <phoneticPr fontId="1"/>
  </si>
  <si>
    <t xml:space="preserve"> population growth</t>
    <phoneticPr fontId="1"/>
  </si>
  <si>
    <t xml:space="preserve"> racial spell cost</t>
    <phoneticPr fontId="1"/>
  </si>
  <si>
    <t xml:space="preserve"> resource theft, spy losses</t>
    <phoneticPr fontId="1"/>
  </si>
  <si>
    <t>explore draftee cost</t>
    <phoneticPr fontId="1"/>
  </si>
  <si>
    <t xml:space="preserve"> lumber production, ore production</t>
    <phoneticPr fontId="1"/>
  </si>
  <si>
    <t>wiz/spy regen</t>
    <phoneticPr fontId="1"/>
  </si>
  <si>
    <t>wiz regen</t>
    <phoneticPr fontId="1"/>
  </si>
  <si>
    <t xml:space="preserve"> lumber rot</t>
    <phoneticPr fontId="1"/>
  </si>
  <si>
    <t xml:space="preserve"> prestige gain</t>
    <phoneticPr fontId="1"/>
  </si>
  <si>
    <t xml:space="preserve"> spy cost</t>
    <phoneticPr fontId="1"/>
  </si>
  <si>
    <t>extra boat capacity</t>
    <phoneticPr fontId="1"/>
  </si>
  <si>
    <t>barren pop</t>
    <phoneticPr fontId="1"/>
  </si>
  <si>
    <t>spy regen</t>
    <phoneticPr fontId="1"/>
  </si>
  <si>
    <t>extra barracks housing</t>
    <phoneticPr fontId="1"/>
  </si>
  <si>
    <t>Tech</t>
    <phoneticPr fontId="1"/>
  </si>
  <si>
    <t>Granaries</t>
    <phoneticPr fontId="1"/>
  </si>
  <si>
    <t>Planar Emissaries</t>
    <phoneticPr fontId="1"/>
  </si>
  <si>
    <t>Green Thumb</t>
    <phoneticPr fontId="1"/>
  </si>
  <si>
    <t>Aquaponics</t>
    <phoneticPr fontId="1"/>
  </si>
  <si>
    <t>Midas's Bargain</t>
    <phoneticPr fontId="1"/>
  </si>
  <si>
    <t>Master of Efficiency</t>
    <phoneticPr fontId="1"/>
  </si>
  <si>
    <t>Explorer's Instinct</t>
    <phoneticPr fontId="1"/>
  </si>
  <si>
    <t>Sneaky Spies</t>
    <phoneticPr fontId="1"/>
  </si>
  <si>
    <t>Frugal Foragers</t>
    <phoneticPr fontId="1"/>
  </si>
  <si>
    <t>Mana Pools</t>
    <phoneticPr fontId="1"/>
  </si>
  <si>
    <t>Surplus Management</t>
    <phoneticPr fontId="1"/>
  </si>
  <si>
    <t>Banker's Friend</t>
    <phoneticPr fontId="1"/>
  </si>
  <si>
    <t>Prefabrication</t>
    <phoneticPr fontId="1"/>
  </si>
  <si>
    <t>Miser's Grasp</t>
    <phoneticPr fontId="1"/>
  </si>
  <si>
    <t>Sleeper Agents</t>
    <phoneticPr fontId="1"/>
  </si>
  <si>
    <t>Industrial Machinery</t>
    <phoneticPr fontId="1"/>
  </si>
  <si>
    <t>Pastoral Planner</t>
    <phoneticPr fontId="1"/>
  </si>
  <si>
    <t>Preservationist</t>
    <phoneticPr fontId="1"/>
  </si>
  <si>
    <t>Explorer's Intuition</t>
    <phoneticPr fontId="1"/>
  </si>
  <si>
    <t>Architect's Touch</t>
    <phoneticPr fontId="1"/>
  </si>
  <si>
    <t>Miner's Spirit</t>
    <phoneticPr fontId="1"/>
  </si>
  <si>
    <t>Ancient Mines</t>
    <phoneticPr fontId="1"/>
  </si>
  <si>
    <t>Urg Smash Technique</t>
    <phoneticPr fontId="1"/>
  </si>
  <si>
    <t>Dark Pact</t>
    <phoneticPr fontId="1"/>
  </si>
  <si>
    <t>Explorer's Guile</t>
    <phoneticPr fontId="1"/>
  </si>
  <si>
    <t>Fearless Adventurers</t>
    <phoneticPr fontId="1"/>
  </si>
  <si>
    <t>Arcane Bloodlines</t>
    <phoneticPr fontId="1"/>
  </si>
  <si>
    <t>Shipwright's Ingenuity</t>
    <phoneticPr fontId="1"/>
  </si>
  <si>
    <t>Trick of the Light</t>
    <phoneticPr fontId="1"/>
  </si>
  <si>
    <t>Opulence</t>
    <phoneticPr fontId="1"/>
  </si>
  <si>
    <t>Midas's Fountain</t>
    <phoneticPr fontId="1"/>
  </si>
  <si>
    <t>Night Watch</t>
    <phoneticPr fontId="1"/>
  </si>
  <si>
    <t>Architect's Flourish</t>
    <phoneticPr fontId="1"/>
  </si>
  <si>
    <t>Wizard Nexus</t>
    <phoneticPr fontId="1"/>
  </si>
  <si>
    <t>Lumberjack's Devotion</t>
    <phoneticPr fontId="1"/>
  </si>
  <si>
    <t>Weather Manipulation</t>
    <phoneticPr fontId="1"/>
  </si>
  <si>
    <t>Master of Resources</t>
    <phoneticPr fontId="1"/>
  </si>
  <si>
    <t>Avatar of Ares</t>
    <phoneticPr fontId="1"/>
  </si>
  <si>
    <t>Master of Discipline</t>
    <phoneticPr fontId="1"/>
  </si>
  <si>
    <t>Visionary Expansionist</t>
    <phoneticPr fontId="1"/>
  </si>
  <si>
    <t>Ross' Benevolence</t>
    <phoneticPr fontId="1"/>
  </si>
  <si>
    <t>Urban Planner</t>
    <phoneticPr fontId="1"/>
  </si>
  <si>
    <t>Jeweller's Delight</t>
    <phoneticPr fontId="1"/>
  </si>
  <si>
    <t>Surveyor's Sense</t>
    <phoneticPr fontId="1"/>
  </si>
  <si>
    <t>Siege Weaponry</t>
    <phoneticPr fontId="1"/>
  </si>
  <si>
    <t>Survivalist Mentality</t>
    <phoneticPr fontId="1"/>
  </si>
  <si>
    <t>Reinforced Bulwarks</t>
    <phoneticPr fontId="1"/>
  </si>
  <si>
    <t>Military Culture</t>
    <phoneticPr fontId="1"/>
  </si>
  <si>
    <t>Ares' Favor</t>
    <phoneticPr fontId="1"/>
  </si>
  <si>
    <t>Rations</t>
    <phoneticPr fontId="1"/>
  </si>
  <si>
    <t>Spy Network</t>
    <phoneticPr fontId="1"/>
  </si>
  <si>
    <t>Battle Commanders</t>
    <phoneticPr fontId="1"/>
  </si>
  <si>
    <t>Bunk Beds</t>
    <phoneticPr fontId="1"/>
  </si>
  <si>
    <t>Public Baths</t>
    <phoneticPr fontId="1"/>
  </si>
  <si>
    <t>Centralized Intelligence</t>
    <phoneticPr fontId="1"/>
  </si>
  <si>
    <t>Carpenter's Knowhow</t>
    <phoneticPr fontId="1"/>
  </si>
  <si>
    <t>Ancestral Knowledge</t>
    <phoneticPr fontId="1"/>
  </si>
  <si>
    <t>Surveyor's Insight</t>
    <phoneticPr fontId="1"/>
  </si>
  <si>
    <t>Battle Tactics</t>
    <phoneticPr fontId="1"/>
  </si>
  <si>
    <t>+10% wonder damage from all sources</t>
    <phoneticPr fontId="1"/>
  </si>
  <si>
    <t>-10% construction lumber cost</t>
    <phoneticPr fontId="1"/>
  </si>
  <si>
    <t>-15% food decay, lumber rot, mana drain</t>
    <phoneticPr fontId="1"/>
  </si>
  <si>
    <t>-2.5% explore platinum cost, -1 explore draftee cost</t>
    <phoneticPr fontId="1"/>
  </si>
  <si>
    <t>-7.5% explore platinum cost, -2 explore draftee cost</t>
    <phoneticPr fontId="1"/>
  </si>
  <si>
    <t>-1 hour duration on non-war blackop spells</t>
    <phoneticPr fontId="1"/>
  </si>
  <si>
    <t>+7.5% prestige gain, -5% casualties</t>
    <phoneticPr fontId="1"/>
  </si>
  <si>
    <t>+0.75% max population, -7.5% casualties</t>
    <phoneticPr fontId="1"/>
  </si>
  <si>
    <t>Prestige bonus on Food Production is 60% more effective</t>
    <phoneticPr fontId="1"/>
  </si>
  <si>
    <t>-10% food decay, lumber rot, mana drain</t>
    <phoneticPr fontId="1"/>
  </si>
  <si>
    <t xml:space="preserve"> +15% exchange rates</t>
    <phoneticPr fontId="1"/>
  </si>
  <si>
    <t>wonder damage</t>
    <phoneticPr fontId="1"/>
  </si>
  <si>
    <t>construction lumber cost</t>
    <phoneticPr fontId="1"/>
  </si>
  <si>
    <t>constr plat cost</t>
    <phoneticPr fontId="1"/>
  </si>
  <si>
    <t>hour duration on non-war blackops</t>
    <phoneticPr fontId="1"/>
  </si>
  <si>
    <t>max pop</t>
    <phoneticPr fontId="1"/>
  </si>
  <si>
    <t>bonus prestige on food prod</t>
    <phoneticPr fontId="1"/>
  </si>
  <si>
    <t>Secondary Resource</t>
    <phoneticPr fontId="1"/>
  </si>
  <si>
    <t>+12.5% boat production</t>
    <phoneticPr fontId="1"/>
  </si>
  <si>
    <t xml:space="preserve"> +30% population growth</t>
    <phoneticPr fontId="1"/>
  </si>
  <si>
    <t xml:space="preserve"> -25% racial spell cost</t>
    <phoneticPr fontId="1"/>
  </si>
  <si>
    <t>Max Explore</t>
    <phoneticPr fontId="1"/>
  </si>
  <si>
    <t>Homeland_Type</t>
    <phoneticPr fontId="1"/>
  </si>
  <si>
    <t>Unitname</t>
    <phoneticPr fontId="1"/>
  </si>
  <si>
    <t>OffensePwr</t>
    <phoneticPr fontId="1"/>
  </si>
  <si>
    <t>DefensePwr</t>
    <phoneticPr fontId="1"/>
  </si>
  <si>
    <t>Platcost</t>
    <phoneticPr fontId="1"/>
  </si>
  <si>
    <t>Orecost</t>
    <phoneticPr fontId="1"/>
  </si>
  <si>
    <t>NA</t>
    <phoneticPr fontId="1"/>
  </si>
  <si>
    <t>Unit 1</t>
    <phoneticPr fontId="1"/>
  </si>
  <si>
    <t>Unit 2</t>
    <phoneticPr fontId="1"/>
  </si>
  <si>
    <t>Unit 3</t>
    <phoneticPr fontId="1"/>
  </si>
  <si>
    <t>Unit 4</t>
    <phoneticPr fontId="1"/>
  </si>
  <si>
    <t>.</t>
    <phoneticPr fontId="1"/>
  </si>
  <si>
    <t>..</t>
    <phoneticPr fontId="1"/>
  </si>
  <si>
    <t>…</t>
    <phoneticPr fontId="1"/>
  </si>
  <si>
    <t>....</t>
    <phoneticPr fontId="1"/>
  </si>
  <si>
    <t>Draftees22</t>
    <phoneticPr fontId="1"/>
  </si>
  <si>
    <t>Column31</t>
    <phoneticPr fontId="1"/>
  </si>
  <si>
    <t>Column36</t>
    <phoneticPr fontId="1"/>
  </si>
  <si>
    <t>Column37</t>
    <phoneticPr fontId="1"/>
  </si>
  <si>
    <t>Column38</t>
    <phoneticPr fontId="1"/>
  </si>
  <si>
    <t>Column46</t>
    <phoneticPr fontId="1"/>
  </si>
  <si>
    <t>Column48</t>
    <phoneticPr fontId="1"/>
  </si>
  <si>
    <t>Train Unit 1</t>
    <phoneticPr fontId="1"/>
  </si>
  <si>
    <t>Train Unit 2</t>
    <phoneticPr fontId="1"/>
  </si>
  <si>
    <t>Train Unit 3</t>
    <phoneticPr fontId="1"/>
  </si>
  <si>
    <t>Train Unit 4</t>
    <phoneticPr fontId="1"/>
  </si>
  <si>
    <t>Train Spies</t>
    <phoneticPr fontId="1"/>
  </si>
  <si>
    <t>Train Wiz</t>
    <phoneticPr fontId="1"/>
  </si>
  <si>
    <t>….</t>
    <phoneticPr fontId="1"/>
  </si>
  <si>
    <t>…..</t>
    <phoneticPr fontId="1"/>
  </si>
  <si>
    <t>…...</t>
    <phoneticPr fontId="1"/>
  </si>
  <si>
    <t>Release Draft</t>
    <phoneticPr fontId="1"/>
  </si>
  <si>
    <t>Release Unit 1</t>
    <phoneticPr fontId="1"/>
  </si>
  <si>
    <t>Release Unit 2</t>
    <phoneticPr fontId="1"/>
  </si>
  <si>
    <t>Release Unit 3</t>
    <phoneticPr fontId="1"/>
  </si>
  <si>
    <t>Release Unit 4</t>
    <phoneticPr fontId="1"/>
  </si>
  <si>
    <t>Release Spies</t>
    <phoneticPr fontId="1"/>
  </si>
  <si>
    <t>Release Wizards</t>
    <phoneticPr fontId="1"/>
  </si>
  <si>
    <t>Mods_Off</t>
    <phoneticPr fontId="1"/>
  </si>
  <si>
    <t>Mods_Def</t>
    <phoneticPr fontId="1"/>
  </si>
  <si>
    <t>Plat Cost</t>
    <phoneticPr fontId="1"/>
  </si>
  <si>
    <t>Ch_Plain</t>
    <phoneticPr fontId="1"/>
  </si>
  <si>
    <t>Ch_Forest</t>
    <phoneticPr fontId="1"/>
  </si>
  <si>
    <t>Ch_Mountain</t>
    <phoneticPr fontId="1"/>
  </si>
  <si>
    <t>Ch_Hill</t>
    <phoneticPr fontId="1"/>
  </si>
  <si>
    <t>Ch_Swamp</t>
    <phoneticPr fontId="1"/>
  </si>
  <si>
    <t>Ch_Cavern</t>
    <phoneticPr fontId="1"/>
  </si>
  <si>
    <t>Ch_Water</t>
    <phoneticPr fontId="1"/>
  </si>
  <si>
    <t>Homeland</t>
    <phoneticPr fontId="1"/>
  </si>
  <si>
    <t>CPA Platinum -DB</t>
    <phoneticPr fontId="1"/>
  </si>
  <si>
    <t>CPA Lumber -DB</t>
    <phoneticPr fontId="1"/>
  </si>
  <si>
    <t>CPA Platinum DB</t>
    <phoneticPr fontId="1"/>
  </si>
  <si>
    <t>CPA Lumber DB</t>
    <phoneticPr fontId="1"/>
  </si>
  <si>
    <t>Facs -DB</t>
    <phoneticPr fontId="1"/>
  </si>
  <si>
    <t>Facs DB</t>
    <phoneticPr fontId="1"/>
  </si>
  <si>
    <t xml:space="preserve">RCPA Platinum </t>
    <phoneticPr fontId="1"/>
  </si>
  <si>
    <t>RCPA Lumber</t>
    <phoneticPr fontId="1"/>
  </si>
  <si>
    <t>Tot Hom</t>
    <phoneticPr fontId="1"/>
  </si>
  <si>
    <t>Tot Alc</t>
    <phoneticPr fontId="1"/>
  </si>
  <si>
    <t>Tot Farm</t>
    <phoneticPr fontId="1"/>
  </si>
  <si>
    <t>Tot Smi</t>
    <phoneticPr fontId="1"/>
  </si>
  <si>
    <t>Tot Mas</t>
    <phoneticPr fontId="1"/>
  </si>
  <si>
    <t>Tot Ly</t>
    <phoneticPr fontId="1"/>
  </si>
  <si>
    <t>Tot Hav</t>
    <phoneticPr fontId="1"/>
  </si>
  <si>
    <t>Tot OM</t>
    <phoneticPr fontId="1"/>
  </si>
  <si>
    <t>Tot GN</t>
    <phoneticPr fontId="1"/>
  </si>
  <si>
    <t>Tot Fac</t>
    <phoneticPr fontId="1"/>
  </si>
  <si>
    <t>Tot GT</t>
    <phoneticPr fontId="1"/>
  </si>
  <si>
    <t>Tot Bar</t>
    <phoneticPr fontId="1"/>
  </si>
  <si>
    <t>Tot Shr</t>
    <phoneticPr fontId="1"/>
  </si>
  <si>
    <t>Tot Tow</t>
    <phoneticPr fontId="1"/>
  </si>
  <si>
    <t>Tot Tem</t>
    <phoneticPr fontId="1"/>
  </si>
  <si>
    <t>Tot WG</t>
    <phoneticPr fontId="1"/>
  </si>
  <si>
    <t>Tot DM</t>
    <phoneticPr fontId="1"/>
  </si>
  <si>
    <t>Tot Sch</t>
    <phoneticPr fontId="1"/>
  </si>
  <si>
    <t>Tot Doc</t>
    <phoneticPr fontId="1"/>
  </si>
  <si>
    <t>Raw Plat/hr</t>
    <phoneticPr fontId="1"/>
  </si>
  <si>
    <t>Raw Food/hr</t>
    <phoneticPr fontId="1"/>
  </si>
  <si>
    <t>Raw Lumber/hr</t>
    <phoneticPr fontId="1"/>
  </si>
  <si>
    <t>Raw Mana/hr</t>
    <phoneticPr fontId="1"/>
  </si>
  <si>
    <t>Raw Ore/hr</t>
    <phoneticPr fontId="1"/>
  </si>
  <si>
    <t>Raw Gems/hr</t>
    <phoneticPr fontId="1"/>
  </si>
  <si>
    <t>Bonus Plat/hr</t>
    <phoneticPr fontId="1"/>
  </si>
  <si>
    <t>Bonus Food/hr</t>
    <phoneticPr fontId="1"/>
  </si>
  <si>
    <t>Bonus Lumber/hr</t>
    <phoneticPr fontId="1"/>
  </si>
  <si>
    <t>Bonus Mana/hr</t>
    <phoneticPr fontId="1"/>
  </si>
  <si>
    <t>Bonux Ore/hr</t>
    <phoneticPr fontId="1"/>
  </si>
  <si>
    <t>Bonus Gems/hr</t>
    <phoneticPr fontId="1"/>
  </si>
  <si>
    <t>Expenses Platinum</t>
    <phoneticPr fontId="1"/>
  </si>
  <si>
    <t>Expenses Lumber</t>
    <phoneticPr fontId="1"/>
  </si>
  <si>
    <t>Expenses Mana</t>
    <phoneticPr fontId="1"/>
  </si>
  <si>
    <t>Expenses Ore</t>
    <phoneticPr fontId="1"/>
  </si>
  <si>
    <t>Expenses Gems</t>
    <phoneticPr fontId="1"/>
  </si>
  <si>
    <t>Hour (2)</t>
    <phoneticPr fontId="1"/>
  </si>
  <si>
    <t>Bank Plat</t>
    <phoneticPr fontId="1"/>
  </si>
  <si>
    <t>Bank Lumber</t>
    <phoneticPr fontId="1"/>
  </si>
  <si>
    <t>Bank Ore</t>
    <phoneticPr fontId="1"/>
  </si>
  <si>
    <t>Bank Gems</t>
    <phoneticPr fontId="1"/>
  </si>
  <si>
    <t>Time (2)</t>
    <phoneticPr fontId="1"/>
  </si>
  <si>
    <t>Stats Platinum</t>
    <phoneticPr fontId="1"/>
  </si>
  <si>
    <t>Stats Food</t>
    <phoneticPr fontId="1"/>
  </si>
  <si>
    <t>Stats Lumber</t>
    <phoneticPr fontId="1"/>
  </si>
  <si>
    <t>Stats Mana</t>
    <phoneticPr fontId="1"/>
  </si>
  <si>
    <t>Stats Ore</t>
    <phoneticPr fontId="1"/>
  </si>
  <si>
    <t>…....</t>
    <phoneticPr fontId="1"/>
  </si>
  <si>
    <t>….....</t>
    <phoneticPr fontId="1"/>
  </si>
  <si>
    <t>Draftees (2)</t>
    <phoneticPr fontId="1"/>
  </si>
  <si>
    <t>Non Draft (mod)</t>
    <phoneticPr fontId="1"/>
  </si>
  <si>
    <t>Draft (mod)</t>
    <phoneticPr fontId="1"/>
  </si>
  <si>
    <t>Total Plain</t>
    <phoneticPr fontId="1"/>
  </si>
  <si>
    <t>Total Forest</t>
    <phoneticPr fontId="1"/>
  </si>
  <si>
    <t>Total Mountain</t>
    <phoneticPr fontId="1"/>
  </si>
  <si>
    <t>Total Hill</t>
    <phoneticPr fontId="1"/>
  </si>
  <si>
    <t>Total Swamp</t>
    <phoneticPr fontId="1"/>
  </si>
  <si>
    <t>Total Cavern</t>
    <phoneticPr fontId="1"/>
  </si>
  <si>
    <t>Total Water</t>
    <phoneticPr fontId="1"/>
  </si>
  <si>
    <t>Column2</t>
    <phoneticPr fontId="1"/>
  </si>
  <si>
    <t>Column3</t>
    <phoneticPr fontId="1"/>
  </si>
  <si>
    <t>Column4</t>
    <phoneticPr fontId="1"/>
  </si>
  <si>
    <t>Platinum (2)</t>
    <phoneticPr fontId="1"/>
  </si>
  <si>
    <t>Land (2)</t>
    <phoneticPr fontId="1"/>
  </si>
  <si>
    <t>Land Bonus</t>
    <phoneticPr fontId="1"/>
  </si>
  <si>
    <t>Druid bonus</t>
    <phoneticPr fontId="1"/>
  </si>
  <si>
    <t>Wood Elf bonus</t>
    <phoneticPr fontId="1"/>
  </si>
  <si>
    <t>Dryad bonus</t>
    <phoneticPr fontId="1"/>
  </si>
  <si>
    <t>Sylvan bonus</t>
    <phoneticPr fontId="1"/>
  </si>
  <si>
    <t>Rockapult bonus</t>
    <phoneticPr fontId="1"/>
  </si>
  <si>
    <t>Gnome bonus</t>
    <phoneticPr fontId="1"/>
  </si>
  <si>
    <t>Adept bonus</t>
    <phoneticPr fontId="1"/>
  </si>
  <si>
    <t>Dark Elf bonus</t>
    <phoneticPr fontId="1"/>
  </si>
  <si>
    <t>Frost Mage bonus</t>
    <phoneticPr fontId="1"/>
  </si>
  <si>
    <t>Ice Elemental bonus</t>
    <phoneticPr fontId="1"/>
  </si>
  <si>
    <t>Icekin bonus</t>
    <phoneticPr fontId="1"/>
  </si>
  <si>
    <t>Networth (2)</t>
    <phoneticPr fontId="1"/>
  </si>
  <si>
    <t>Raw (2)</t>
    <phoneticPr fontId="1"/>
  </si>
  <si>
    <t>Modded (2)</t>
    <phoneticPr fontId="1"/>
  </si>
  <si>
    <t>Spie cost</t>
    <phoneticPr fontId="1"/>
  </si>
  <si>
    <t>Wizzies cost</t>
    <phoneticPr fontId="1"/>
  </si>
  <si>
    <t>AMs cost</t>
    <phoneticPr fontId="1"/>
  </si>
  <si>
    <t>…2</t>
    <phoneticPr fontId="1"/>
  </si>
  <si>
    <t>Platinum cost</t>
    <phoneticPr fontId="1"/>
  </si>
  <si>
    <t>Dest Alc</t>
    <phoneticPr fontId="1"/>
  </si>
  <si>
    <t>Dest Farm</t>
    <phoneticPr fontId="1"/>
  </si>
  <si>
    <t>Dest Smi</t>
    <phoneticPr fontId="1"/>
  </si>
  <si>
    <t>Dest Mas</t>
    <phoneticPr fontId="1"/>
  </si>
  <si>
    <t>Dest Ly</t>
    <phoneticPr fontId="1"/>
  </si>
  <si>
    <t>Dest Hav</t>
    <phoneticPr fontId="1"/>
  </si>
  <si>
    <t>Dest OM</t>
    <phoneticPr fontId="1"/>
  </si>
  <si>
    <t>Dest GN</t>
    <phoneticPr fontId="1"/>
  </si>
  <si>
    <t>Dest Fac</t>
    <phoneticPr fontId="1"/>
  </si>
  <si>
    <t>Dest GT</t>
    <phoneticPr fontId="1"/>
  </si>
  <si>
    <t>Dest Bar</t>
    <phoneticPr fontId="1"/>
  </si>
  <si>
    <t>Dest Shr</t>
    <phoneticPr fontId="1"/>
  </si>
  <si>
    <t>Dest Tow</t>
    <phoneticPr fontId="1"/>
  </si>
  <si>
    <t>Dest Tem</t>
    <phoneticPr fontId="1"/>
  </si>
  <si>
    <t>Dest WG</t>
    <phoneticPr fontId="1"/>
  </si>
  <si>
    <t>Dest DM</t>
    <phoneticPr fontId="1"/>
  </si>
  <si>
    <t>Dest Sch</t>
    <phoneticPr fontId="1"/>
  </si>
  <si>
    <t>Dest Doc</t>
    <phoneticPr fontId="1"/>
  </si>
  <si>
    <t>Mana cost</t>
    <phoneticPr fontId="1"/>
  </si>
  <si>
    <t>Wiz str cost</t>
    <phoneticPr fontId="1"/>
  </si>
  <si>
    <t>Active Gaia's Watch</t>
    <phoneticPr fontId="1"/>
  </si>
  <si>
    <t>Active Mining Strength</t>
    <phoneticPr fontId="1"/>
  </si>
  <si>
    <t>Active Ares Call</t>
    <phoneticPr fontId="1"/>
  </si>
  <si>
    <t>Active Midas Touch</t>
    <phoneticPr fontId="1"/>
  </si>
  <si>
    <t>Active Harmony</t>
    <phoneticPr fontId="1"/>
  </si>
  <si>
    <t>Active Warsong / Killing Rage / Bloodrage</t>
    <phoneticPr fontId="1"/>
  </si>
  <si>
    <t>Active Nightfall</t>
    <phoneticPr fontId="1"/>
  </si>
  <si>
    <t>Active Miner's Sight</t>
    <phoneticPr fontId="1"/>
  </si>
  <si>
    <t>Active Mechanical Genius</t>
    <phoneticPr fontId="1"/>
  </si>
  <si>
    <t>Active Frenzy</t>
    <phoneticPr fontId="1"/>
  </si>
  <si>
    <t>Active Gaia's Blessing</t>
    <phoneticPr fontId="1"/>
  </si>
  <si>
    <t>Active Howling</t>
    <phoneticPr fontId="1"/>
  </si>
  <si>
    <t>Active Alchemists Flame</t>
    <phoneticPr fontId="1"/>
  </si>
  <si>
    <t>Number</t>
    <phoneticPr fontId="1"/>
  </si>
  <si>
    <t>Sum of tech</t>
    <phoneticPr fontId="1"/>
  </si>
  <si>
    <t>Σ Keep</t>
    <phoneticPr fontId="1"/>
  </si>
  <si>
    <t>Σ Forges</t>
    <phoneticPr fontId="1"/>
  </si>
  <si>
    <t>Σ Walls</t>
    <phoneticPr fontId="1"/>
  </si>
  <si>
    <t>P1</t>
    <phoneticPr fontId="1"/>
  </si>
  <si>
    <t>L1</t>
    <phoneticPr fontId="1"/>
  </si>
  <si>
    <t>O1</t>
    <phoneticPr fontId="1"/>
  </si>
  <si>
    <t>G1</t>
    <phoneticPr fontId="1"/>
  </si>
  <si>
    <t>P2</t>
    <phoneticPr fontId="1"/>
  </si>
  <si>
    <t>L2</t>
    <phoneticPr fontId="1"/>
  </si>
  <si>
    <t>O2</t>
    <phoneticPr fontId="1"/>
  </si>
  <si>
    <t>G2</t>
    <phoneticPr fontId="1"/>
  </si>
  <si>
    <t>P3</t>
    <phoneticPr fontId="1"/>
  </si>
  <si>
    <t>L3</t>
    <phoneticPr fontId="1"/>
  </si>
  <si>
    <t>O3</t>
    <phoneticPr fontId="1"/>
  </si>
  <si>
    <t>G3</t>
    <phoneticPr fontId="1"/>
  </si>
  <si>
    <t>P4</t>
    <phoneticPr fontId="1"/>
  </si>
  <si>
    <t>L4</t>
    <phoneticPr fontId="1"/>
  </si>
  <si>
    <t>O4</t>
    <phoneticPr fontId="1"/>
  </si>
  <si>
    <t>G4</t>
    <phoneticPr fontId="1"/>
  </si>
  <si>
    <t>P5</t>
    <phoneticPr fontId="1"/>
  </si>
  <si>
    <t>L5</t>
    <phoneticPr fontId="1"/>
  </si>
  <si>
    <t>O5</t>
    <phoneticPr fontId="1"/>
  </si>
  <si>
    <t>G5</t>
    <phoneticPr fontId="1"/>
  </si>
  <si>
    <t>P6</t>
    <phoneticPr fontId="1"/>
  </si>
  <si>
    <t>L6</t>
    <phoneticPr fontId="1"/>
  </si>
  <si>
    <t>O6</t>
    <phoneticPr fontId="1"/>
  </si>
  <si>
    <t>G6</t>
    <phoneticPr fontId="1"/>
  </si>
  <si>
    <t>P7</t>
    <phoneticPr fontId="1"/>
  </si>
  <si>
    <t>L7</t>
    <phoneticPr fontId="1"/>
  </si>
  <si>
    <t>O7</t>
    <phoneticPr fontId="1"/>
  </si>
  <si>
    <t>G7</t>
    <phoneticPr fontId="1"/>
  </si>
  <si>
    <t>Land (3)</t>
    <phoneticPr fontId="1"/>
  </si>
  <si>
    <t>Resource 2</t>
    <phoneticPr fontId="1"/>
  </si>
  <si>
    <t>Amount 2</t>
    <phoneticPr fontId="1"/>
  </si>
  <si>
    <t>Part 2</t>
    <phoneticPr fontId="1"/>
  </si>
  <si>
    <t>Resource 3</t>
    <phoneticPr fontId="1"/>
  </si>
  <si>
    <t>Amount 3</t>
    <phoneticPr fontId="1"/>
  </si>
  <si>
    <t>Part 3</t>
    <phoneticPr fontId="1"/>
  </si>
  <si>
    <t>Login (2)</t>
    <phoneticPr fontId="1"/>
  </si>
  <si>
    <t>Real time</t>
    <phoneticPr fontId="1"/>
  </si>
  <si>
    <t>Tech name</t>
    <phoneticPr fontId="1"/>
  </si>
  <si>
    <t>Gains</t>
    <phoneticPr fontId="1"/>
  </si>
  <si>
    <t>For relations in technologies see diagram below:</t>
    <phoneticPr fontId="1"/>
  </si>
  <si>
    <t xml:space="preserve">    </t>
    <phoneticPr fontId="1"/>
  </si>
  <si>
    <t xml:space="preserve">Homes: </t>
    <phoneticPr fontId="1"/>
  </si>
  <si>
    <t xml:space="preserve">Farms: </t>
    <phoneticPr fontId="1"/>
  </si>
  <si>
    <t xml:space="preserve">Shrines: </t>
    <phoneticPr fontId="1"/>
  </si>
  <si>
    <t xml:space="preserve">Factories: </t>
    <phoneticPr fontId="1"/>
  </si>
  <si>
    <t xml:space="preserve">Smithies: </t>
    <phoneticPr fontId="1"/>
  </si>
  <si>
    <t xml:space="preserve">Ore Mines: </t>
    <phoneticPr fontId="1"/>
  </si>
  <si>
    <t xml:space="preserve">Diamond Mines: </t>
    <phoneticPr fontId="1"/>
  </si>
  <si>
    <t xml:space="preserve">Schools: </t>
    <phoneticPr fontId="1"/>
  </si>
  <si>
    <t xml:space="preserve">Alchemies: </t>
    <phoneticPr fontId="1"/>
  </si>
  <si>
    <t xml:space="preserve">Lumberyards: </t>
    <phoneticPr fontId="1"/>
  </si>
  <si>
    <t xml:space="preserve">Towers: </t>
    <phoneticPr fontId="1"/>
  </si>
  <si>
    <t xml:space="preserve">Docks: </t>
    <phoneticPr fontId="1"/>
  </si>
  <si>
    <t xml:space="preserve">Masonries: </t>
    <phoneticPr fontId="1"/>
  </si>
  <si>
    <t xml:space="preserve">Gryphon Nests: </t>
    <phoneticPr fontId="1"/>
  </si>
  <si>
    <t>Barracks :</t>
    <phoneticPr fontId="1"/>
  </si>
  <si>
    <t xml:space="preserve">Guard Towers: </t>
    <phoneticPr fontId="1"/>
  </si>
  <si>
    <t xml:space="preserve">Wizard Guilds: </t>
    <phoneticPr fontId="1"/>
  </si>
  <si>
    <t xml:space="preserve">Temples: </t>
    <phoneticPr fontId="1"/>
  </si>
  <si>
    <t xml:space="preserve">Forest Havens: </t>
    <phoneticPr fontId="1"/>
  </si>
  <si>
    <t xml:space="preserve">Barren Land: </t>
    <phoneticPr fontId="1"/>
  </si>
  <si>
    <t xml:space="preserve">Incoming Buildings: </t>
    <phoneticPr fontId="1"/>
  </si>
  <si>
    <t>Abbr</t>
    <phoneticPr fontId="1"/>
  </si>
  <si>
    <t>Incoming</t>
    <phoneticPr fontId="1"/>
  </si>
  <si>
    <t>Percent</t>
    <phoneticPr fontId="1"/>
  </si>
  <si>
    <t>Hour first tech is activated</t>
    <phoneticPr fontId="1"/>
  </si>
  <si>
    <t>Activate @ hour</t>
    <phoneticPr fontId="1"/>
  </si>
  <si>
    <t>→</t>
    <phoneticPr fontId="1"/>
  </si>
  <si>
    <t>Secondary recource</t>
    <phoneticPr fontId="1"/>
  </si>
  <si>
    <t>Sec. rec. Cost</t>
    <phoneticPr fontId="1"/>
  </si>
  <si>
    <t>Druid (dp)</t>
    <phoneticPr fontId="1"/>
  </si>
  <si>
    <t>Druid (op)</t>
    <phoneticPr fontId="1"/>
  </si>
  <si>
    <t>Mystic bonus</t>
    <phoneticPr fontId="1"/>
  </si>
  <si>
    <t>DP Bonus</t>
    <phoneticPr fontId="1"/>
  </si>
  <si>
    <t>DP Mod</t>
    <phoneticPr fontId="1"/>
  </si>
  <si>
    <t>OP Mod</t>
    <phoneticPr fontId="1"/>
  </si>
  <si>
    <t xml:space="preserve">   </t>
    <phoneticPr fontId="1"/>
  </si>
  <si>
    <t xml:space="preserve"> Draftees</t>
    <phoneticPr fontId="1"/>
  </si>
  <si>
    <t>Dest Hom</t>
    <phoneticPr fontId="1"/>
  </si>
  <si>
    <t>Plains Explore</t>
    <phoneticPr fontId="1"/>
  </si>
  <si>
    <t>Forest Explore</t>
    <phoneticPr fontId="1"/>
  </si>
  <si>
    <t>Mountain Explore</t>
    <phoneticPr fontId="1"/>
  </si>
  <si>
    <t>Hill Explore</t>
    <phoneticPr fontId="1"/>
  </si>
  <si>
    <t>Swamp Explore</t>
    <phoneticPr fontId="1"/>
  </si>
  <si>
    <t>Cavern Explore</t>
    <phoneticPr fontId="1"/>
  </si>
  <si>
    <t>Water Explore</t>
    <phoneticPr fontId="1"/>
  </si>
  <si>
    <t>Mountn</t>
    <phoneticPr fontId="1"/>
  </si>
  <si>
    <t>Plains Rezone</t>
    <phoneticPr fontId="1"/>
  </si>
  <si>
    <t>Forest Rezone</t>
    <phoneticPr fontId="1"/>
  </si>
  <si>
    <t>Mountain Rezone</t>
    <phoneticPr fontId="1"/>
  </si>
  <si>
    <t>Hill Rezone</t>
    <phoneticPr fontId="1"/>
  </si>
  <si>
    <t>Swamp Rezone</t>
    <phoneticPr fontId="1"/>
  </si>
  <si>
    <t>Cavern Rezone</t>
    <phoneticPr fontId="1"/>
  </si>
  <si>
    <t>Water Rezone</t>
    <phoneticPr fontId="1"/>
  </si>
  <si>
    <t>Draft Growth</t>
    <phoneticPr fontId="1"/>
  </si>
  <si>
    <t>Total Plat Cost</t>
    <phoneticPr fontId="1"/>
  </si>
  <si>
    <t>Total Lum Cost</t>
    <phoneticPr fontId="1"/>
  </si>
  <si>
    <t>Σ Science</t>
    <phoneticPr fontId="1"/>
  </si>
  <si>
    <t>…......</t>
    <phoneticPr fontId="1"/>
  </si>
  <si>
    <t>….......</t>
    <phoneticPr fontId="1"/>
  </si>
  <si>
    <t>…........</t>
    <phoneticPr fontId="1"/>
  </si>
  <si>
    <t>…........2</t>
    <phoneticPr fontId="1"/>
  </si>
  <si>
    <t>…..........</t>
    <phoneticPr fontId="1"/>
  </si>
  <si>
    <t>Go to the construction sheettab by press the Construction tab on the bottom of the screen. Don't be alarmed by all the numbers, everything will become clear shortly. Above you can see columns, and on your left you see the rownumbers. Click on cell P4. Now fill in 40 and press enter. Now you have modified the sim to construct 40 alchemies on hour one. The row below the number you just entered belongs to hour 2. Try out some stuff for yourself now. Good luck.</t>
    <phoneticPr fontId="1"/>
  </si>
  <si>
    <t>Acknowledgements</t>
    <phoneticPr fontId="1"/>
  </si>
  <si>
    <t>Exp Draft Cost</t>
    <phoneticPr fontId="1"/>
  </si>
  <si>
    <t xml:space="preserve">Hour </t>
    <phoneticPr fontId="1"/>
  </si>
  <si>
    <t xml:space="preserve">Hour  </t>
    <phoneticPr fontId="1"/>
  </si>
  <si>
    <t xml:space="preserve">Time </t>
    <phoneticPr fontId="1"/>
  </si>
  <si>
    <t xml:space="preserve">  </t>
    <phoneticPr fontId="1"/>
  </si>
  <si>
    <t>Investments</t>
    <phoneticPr fontId="1"/>
  </si>
  <si>
    <t>Global Caps</t>
    <phoneticPr fontId="1"/>
  </si>
  <si>
    <t>+10% resource theft, -15% spy losses</t>
    <phoneticPr fontId="1"/>
  </si>
  <si>
    <t>+1% max population, -7.5% spy losses</t>
    <phoneticPr fontId="1"/>
  </si>
  <si>
    <t>+1.25 wizard refresh rate</t>
    <phoneticPr fontId="1"/>
  </si>
  <si>
    <t>-1.75% military training cost</t>
    <phoneticPr fontId="1"/>
  </si>
  <si>
    <t>+2.5% gem production, +7.5% ore production</t>
    <phoneticPr fontId="1"/>
  </si>
  <si>
    <t>+2 raw mana production per tower for each war declaration</t>
    <phoneticPr fontId="1"/>
  </si>
  <si>
    <t>+2.5% food production, -12.5% lightning bolt damage</t>
    <phoneticPr fontId="1"/>
  </si>
  <si>
    <t>+1 spy/wizard strength regen</t>
    <phoneticPr fontId="1"/>
  </si>
  <si>
    <t>+1.25 spy refresh rate</t>
    <phoneticPr fontId="1"/>
  </si>
  <si>
    <t>Menace</t>
    <phoneticPr fontId="1"/>
  </si>
  <si>
    <t>Reforestation</t>
    <phoneticPr fontId="1"/>
  </si>
  <si>
    <t>Anti-Magic Sigils</t>
    <phoneticPr fontId="1"/>
  </si>
  <si>
    <t>Wavehack's Expertise</t>
    <phoneticPr fontId="1"/>
  </si>
  <si>
    <t>Field Surgery</t>
    <phoneticPr fontId="1"/>
  </si>
  <si>
    <t>Tributary System</t>
    <phoneticPr fontId="1"/>
  </si>
  <si>
    <t xml:space="preserve"> food production, -12.5</t>
    <phoneticPr fontId="1"/>
  </si>
  <si>
    <t>Select the tech by typing in column F (Select tech). Type in the hour at which you want to manage that tech.</t>
    <phoneticPr fontId="1"/>
  </si>
  <si>
    <t>Schools</t>
    <phoneticPr fontId="1"/>
  </si>
  <si>
    <t>RP/school%</t>
    <phoneticPr fontId="1"/>
  </si>
  <si>
    <t>Explore Cost</t>
    <phoneticPr fontId="1"/>
  </si>
  <si>
    <t>Spellblade</t>
    <phoneticPr fontId="1"/>
  </si>
  <si>
    <t>Geist</t>
    <phoneticPr fontId="1"/>
  </si>
  <si>
    <t>Phantom Knight</t>
    <phoneticPr fontId="1"/>
  </si>
  <si>
    <t>Spectral Warrior</t>
    <phoneticPr fontId="1"/>
  </si>
  <si>
    <t>Adept-DP</t>
    <phoneticPr fontId="1"/>
  </si>
  <si>
    <t>Lancer</t>
    <phoneticPr fontId="1"/>
  </si>
  <si>
    <t>Horse Archer</t>
    <phoneticPr fontId="1"/>
  </si>
  <si>
    <t>Disclaimer: The Spellblade costs 10 gems/unit. This cost is not included in the sim.</t>
    <phoneticPr fontId="1"/>
  </si>
  <si>
    <t>Favorable Terrain</t>
    <phoneticPr fontId="1"/>
  </si>
  <si>
    <t>Active Favorable Terrain</t>
    <phoneticPr fontId="1"/>
  </si>
  <si>
    <t>Offense (max)</t>
    <phoneticPr fontId="1"/>
  </si>
  <si>
    <t>Favorable Terrain Bonus</t>
    <phoneticPr fontId="1"/>
  </si>
  <si>
    <r>
      <t xml:space="preserve">Hello and welcome to the OpenDominion Excel Simulator. Start by selecting your desired race from the dropdown menu in cell B14. On all the sheets you'll see </t>
    </r>
    <r>
      <rPr>
        <sz val="10"/>
        <color theme="9" tint="-0.249977111117893"/>
        <rFont val="Arial"/>
        <family val="2"/>
      </rPr>
      <t>orange</t>
    </r>
    <r>
      <rPr>
        <sz val="10"/>
        <color indexed="8"/>
        <rFont val="Arial"/>
        <family val="2"/>
      </rPr>
      <t xml:space="preserve"> boxes like the ones below. Try filling in some numbers and see how things change. Some sheets have off-colored highlighted rows between orange sections; this is just for highlighting purposes and can be interacted with all the same.</t>
    </r>
    <r>
      <rPr>
        <b/>
        <sz val="10"/>
        <color rgb="FF000000"/>
        <rFont val="Arial"/>
        <family val="2"/>
      </rPr>
      <t xml:space="preserve"> In general, do NOT mess with non-orange cells</t>
    </r>
    <r>
      <rPr>
        <sz val="10"/>
        <color indexed="8"/>
        <rFont val="Arial"/>
        <family val="2"/>
      </rPr>
      <t>. Make sure to check out all the sheets in the workbook. Row 4 represents hour 1, row 5 is hour 2, etc. When you want to "take" or "cast" something, like a daily bonus or spell, fill in a "1" in the appropriate field. Remember that for copy/pasting you'll want to use special paste-formulas or paste-values to not break the many interactions between cells. Happy simming! -Yami</t>
    </r>
    <phoneticPr fontId="1"/>
  </si>
  <si>
    <t>Goblin / Orc/Hum</t>
    <phoneticPr fontId="1"/>
  </si>
  <si>
    <t>Killing Rage / Bloodrage / Crusade</t>
    <phoneticPr fontId="1"/>
  </si>
  <si>
    <t>Alchemist Frost</t>
    <phoneticPr fontId="1"/>
  </si>
  <si>
    <t>Train AM</t>
    <phoneticPr fontId="1"/>
  </si>
  <si>
    <t>Train AS</t>
    <phoneticPr fontId="1"/>
  </si>
  <si>
    <t>Archspies</t>
    <phoneticPr fontId="1"/>
  </si>
  <si>
    <t>Release AS</t>
    <phoneticPr fontId="1"/>
  </si>
  <si>
    <t>Release AM</t>
    <phoneticPr fontId="1"/>
  </si>
  <si>
    <t>ASs Cost</t>
    <phoneticPr fontId="1"/>
  </si>
  <si>
    <t>Archspy</t>
    <phoneticPr fontId="1"/>
  </si>
  <si>
    <t xml:space="preserve"> + 1 spy</t>
    <phoneticPr fontId="1"/>
  </si>
  <si>
    <t>Active Alch Frost</t>
    <phoneticPr fontId="1"/>
  </si>
  <si>
    <t>raw mana prod, +1.5 per war dec (max 5)</t>
    <phoneticPr fontId="1"/>
  </si>
  <si>
    <t>def spy power</t>
    <phoneticPr fontId="1"/>
  </si>
  <si>
    <t>-10% construction platinum cost</t>
    <phoneticPr fontId="1"/>
  </si>
  <si>
    <t>+10% mana production. +5% wizard power</t>
    <phoneticPr fontId="1"/>
  </si>
  <si>
    <t>-5% construction platinum cost, -2.5% explore platinum cost</t>
    <phoneticPr fontId="1"/>
  </si>
  <si>
    <t>-20% lumber rot, -10% construction lumber cost, +2 population from barren land</t>
    <phoneticPr fontId="1"/>
  </si>
  <si>
    <t>+2% platinum production</t>
    <phoneticPr fontId="1"/>
  </si>
  <si>
    <t>+4% platinum production</t>
    <phoneticPr fontId="1"/>
  </si>
  <si>
    <t>-20% theft losses, +10% defensive spy power</t>
    <phoneticPr fontId="1"/>
  </si>
  <si>
    <t>+5% mana production</t>
    <phoneticPr fontId="1"/>
  </si>
  <si>
    <t xml:space="preserve"> +7.5% lumber production, 25% discounted construction of destroyed acres</t>
    <phoneticPr fontId="1"/>
  </si>
  <si>
    <t>-5% construction platinum cost, -10% construction lumber cost, +3 boat capacity</t>
    <phoneticPr fontId="1"/>
  </si>
  <si>
    <t>Necromancer</t>
    <phoneticPr fontId="1"/>
  </si>
  <si>
    <t>Tunneler</t>
    <phoneticPr fontId="1"/>
  </si>
  <si>
    <t>Taskmaster</t>
    <phoneticPr fontId="1"/>
  </si>
  <si>
    <t>FrostMage</t>
    <phoneticPr fontId="1"/>
  </si>
  <si>
    <t>Merman</t>
    <phoneticPr fontId="1"/>
  </si>
  <si>
    <t>Voodoo Mage</t>
    <phoneticPr fontId="1"/>
  </si>
  <si>
    <r>
      <rPr>
        <b/>
        <sz val="10"/>
        <rFont val="Arial"/>
        <family val="2"/>
      </rPr>
      <t>Blackreign</t>
    </r>
    <r>
      <rPr>
        <sz val="10"/>
        <rFont val="Arial"/>
        <family val="2"/>
      </rPr>
      <t xml:space="preserve"> - The original creator of this sheet we all know and love
</t>
    </r>
    <r>
      <rPr>
        <b/>
        <sz val="10"/>
        <rFont val="Arial"/>
        <family val="2"/>
      </rPr>
      <t>Mickles</t>
    </r>
    <r>
      <rPr>
        <sz val="10"/>
        <rFont val="Arial"/>
        <family val="2"/>
      </rPr>
      <t xml:space="preserve"> - For adding LOG gen and allowing us to export strats without copying the entire workbook
</t>
    </r>
    <r>
      <rPr>
        <b/>
        <sz val="10"/>
        <rFont val="Arial"/>
        <family val="2"/>
      </rPr>
      <t xml:space="preserve">Thing Fish - </t>
    </r>
    <r>
      <rPr>
        <sz val="10"/>
        <rFont val="Arial"/>
        <family val="2"/>
      </rPr>
      <t>For taking the time to bring the excel sim into the 21st century with a complete conversion to tables</t>
    </r>
    <r>
      <rPr>
        <b/>
        <sz val="10"/>
        <rFont val="Arial"/>
        <family val="2"/>
      </rPr>
      <t xml:space="preserve">
AgFx &amp; Tidnab - </t>
    </r>
    <r>
      <rPr>
        <sz val="10"/>
        <rFont val="Arial"/>
        <family val="2"/>
      </rPr>
      <t>For adding Mac compatibility</t>
    </r>
    <phoneticPr fontId="1"/>
  </si>
  <si>
    <t>Bonus Jobs</t>
    <phoneticPr fontId="1"/>
  </si>
  <si>
    <t>+1% max population</t>
    <phoneticPr fontId="1"/>
  </si>
  <si>
    <t>OD Round 39.5 - Undying Test Rd.</t>
    <phoneticPr fontId="1"/>
  </si>
  <si>
    <t>Undead - Vampire mode</t>
    <phoneticPr fontId="1"/>
  </si>
  <si>
    <t>Undead - Zombie mode</t>
    <phoneticPr fontId="1"/>
  </si>
  <si>
    <t>Dire Bat</t>
    <phoneticPr fontId="1"/>
  </si>
  <si>
    <t>Progeny</t>
    <phoneticPr fontId="1"/>
  </si>
  <si>
    <t>Vampire</t>
    <phoneticPr fontId="1"/>
  </si>
  <si>
    <t>Zombie</t>
    <phoneticPr fontId="1"/>
  </si>
  <si>
    <t>Crypt Lord</t>
    <phoneticPr fontId="1"/>
  </si>
  <si>
    <t>Abomination</t>
    <phoneticPr fontId="1"/>
  </si>
  <si>
    <t>Spires</t>
    <phoneticPr fontId="1"/>
  </si>
  <si>
    <t>Σ Spires</t>
    <phoneticPr fontId="1"/>
  </si>
  <si>
    <t>Σ Harbor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</si>
</sst>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 0\ \→;;"/>
    <numFmt numFmtId="165" formatCode="m/d;@"/>
    <numFmt numFmtId="166" formatCode="dddd"/>
    <numFmt numFmtId="167" formatCode="0.0"/>
    <numFmt numFmtId="168" formatCode="0.0%"/>
    <numFmt numFmtId="169" formatCode="00000"/>
    <numFmt numFmtId="170" formatCode="h:mm;@"/>
    <numFmt numFmtId="171" formatCode="0;;"/>
    <numFmt numFmtId="172" formatCode="_-* #,##0_-;_-* #,##0\-;_-* &quot;-&quot;??_-;_-@_-"/>
    <numFmt numFmtId="173" formatCode=";;;"/>
    <numFmt numFmtId="174" formatCode="0.000"/>
    <numFmt numFmtId="175" formatCode="mm/dd/yy"/>
  </numFmts>
  <fonts count="35" x14ac:knownFonts="1">
    <font>
      <sz val="10"/>
      <name val="Arial"/>
    </font>
    <font>
      <sz val="10"/>
      <color theme="1"/>
      <name val="Arial"/>
      <family val="2"/>
    </font>
    <font>
      <sz val="10"/>
      <color theme="1"/>
      <name val="Arial"/>
      <family val="2"/>
    </font>
    <font>
      <sz val="10"/>
      <color theme="1"/>
      <name val="Arial"/>
      <family val="2"/>
    </font>
    <font>
      <sz val="10"/>
      <name val="Arial"/>
      <family val="2"/>
    </font>
    <font>
      <sz val="10"/>
      <name val="Arial"/>
      <family val="2"/>
    </font>
    <font>
      <b/>
      <sz val="10"/>
      <name val="Arial"/>
      <family val="2"/>
    </font>
    <font>
      <b/>
      <sz val="11"/>
      <name val="Calibri"/>
      <family val="2"/>
      <scheme val="minor"/>
    </font>
    <font>
      <sz val="11"/>
      <name val="Calibri"/>
      <family val="2"/>
      <scheme val="minor"/>
    </font>
    <font>
      <sz val="12"/>
      <name val="Calibri"/>
      <family val="2"/>
      <scheme val="minor"/>
    </font>
    <font>
      <b/>
      <sz val="10"/>
      <color theme="0"/>
      <name val="Arial"/>
      <family val="2"/>
    </font>
    <font>
      <sz val="10"/>
      <color theme="0"/>
      <name val="Arial"/>
      <family val="2"/>
    </font>
    <font>
      <b/>
      <sz val="12"/>
      <name val="Arial"/>
      <family val="2"/>
    </font>
    <font>
      <b/>
      <sz val="12"/>
      <color indexed="8"/>
      <name val="Arial"/>
      <family val="2"/>
    </font>
    <font>
      <sz val="10"/>
      <color indexed="8"/>
      <name val="Arial"/>
      <family val="2"/>
    </font>
    <font>
      <b/>
      <u/>
      <sz val="10"/>
      <name val="Arial"/>
      <family val="2"/>
    </font>
    <font>
      <sz val="10"/>
      <color indexed="9"/>
      <name val="Arial"/>
      <family val="2"/>
    </font>
    <font>
      <sz val="10"/>
      <color indexed="22"/>
      <name val="Arial"/>
      <family val="2"/>
    </font>
    <font>
      <b/>
      <sz val="10"/>
      <color theme="5" tint="-0.249977111117893"/>
      <name val="Arial"/>
      <family val="2"/>
    </font>
    <font>
      <b/>
      <sz val="10"/>
      <color indexed="22"/>
      <name val="Arial"/>
      <family val="2"/>
    </font>
    <font>
      <i/>
      <u/>
      <sz val="10"/>
      <color indexed="22"/>
      <name val="Arial"/>
      <family val="2"/>
    </font>
    <font>
      <u/>
      <sz val="10"/>
      <color indexed="22"/>
      <name val="Arial"/>
      <family val="2"/>
    </font>
    <font>
      <sz val="10"/>
      <color theme="0" tint="-0.34998626667073579"/>
      <name val="Arial"/>
      <family val="2"/>
    </font>
    <font>
      <b/>
      <sz val="18"/>
      <color indexed="8"/>
      <name val="Arial"/>
      <family val="2"/>
    </font>
    <font>
      <sz val="10"/>
      <color rgb="FFFF0000"/>
      <name val="Arial"/>
      <family val="2"/>
    </font>
    <font>
      <b/>
      <i/>
      <sz val="10"/>
      <name val="Arial"/>
      <family val="2"/>
    </font>
    <font>
      <u/>
      <sz val="10"/>
      <name val="Arial"/>
      <family val="2"/>
    </font>
    <font>
      <i/>
      <sz val="10"/>
      <name val="Arial"/>
      <family val="2"/>
    </font>
    <font>
      <b/>
      <i/>
      <strike/>
      <sz val="10"/>
      <name val="Arial"/>
      <family val="2"/>
    </font>
    <font>
      <b/>
      <strike/>
      <sz val="10"/>
      <name val="Arial"/>
      <family val="2"/>
    </font>
    <font>
      <sz val="10"/>
      <color theme="9" tint="-0.249977111117893"/>
      <name val="Arial"/>
      <family val="2"/>
    </font>
    <font>
      <b/>
      <sz val="10"/>
      <color rgb="FF000000"/>
      <name val="Arial"/>
      <family val="2"/>
    </font>
    <font>
      <sz val="10"/>
      <color theme="0" tint="-0.249977111117893"/>
      <name val="Arial"/>
      <family val="2"/>
    </font>
    <font>
      <b/>
      <sz val="8"/>
      <color indexed="81"/>
      <name val="Arial"/>
      <family val="2"/>
    </font>
    <font>
      <sz val="8"/>
      <color indexed="81"/>
      <name val="Arial"/>
      <family val="2"/>
    </font>
  </fonts>
  <fills count="37">
    <fill>
      <patternFill patternType="none"/>
    </fill>
    <fill>
      <patternFill patternType="gray125"/>
    </fill>
    <fill>
      <patternFill patternType="solid">
        <fgColor indexed="42"/>
        <bgColor indexed="64"/>
      </patternFill>
    </fill>
    <fill>
      <patternFill patternType="solid">
        <fgColor indexed="17"/>
        <bgColor indexed="64"/>
      </patternFill>
    </fill>
    <fill>
      <patternFill patternType="solid">
        <fgColor indexed="22"/>
        <bgColor indexed="64"/>
      </patternFill>
    </fill>
    <fill>
      <patternFill patternType="solid">
        <fgColor indexed="60"/>
        <bgColor indexed="64"/>
      </patternFill>
    </fill>
    <fill>
      <patternFill patternType="solid">
        <fgColor indexed="21"/>
        <bgColor indexed="64"/>
      </patternFill>
    </fill>
    <fill>
      <patternFill patternType="solid">
        <fgColor indexed="45"/>
        <bgColor indexed="64"/>
      </patternFill>
    </fill>
    <fill>
      <patternFill patternType="solid">
        <fgColor indexed="40"/>
        <bgColor indexed="64"/>
      </patternFill>
    </fill>
    <fill>
      <patternFill patternType="solid">
        <fgColor indexed="43"/>
        <bgColor indexed="64"/>
      </patternFill>
    </fill>
    <fill>
      <patternFill patternType="solid">
        <fgColor indexed="47"/>
        <bgColor indexed="64"/>
      </patternFill>
    </fill>
    <fill>
      <patternFill patternType="solid">
        <fgColor indexed="11"/>
        <bgColor indexed="64"/>
      </patternFill>
    </fill>
    <fill>
      <patternFill patternType="solid">
        <fgColor indexed="9"/>
        <bgColor indexed="64"/>
      </patternFill>
    </fill>
    <fill>
      <patternFill patternType="solid">
        <fgColor rgb="FFFFCC99"/>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theme="0" tint="-0.249977111117893"/>
        <bgColor indexed="64"/>
      </patternFill>
    </fill>
    <fill>
      <patternFill patternType="solid">
        <fgColor theme="1"/>
        <bgColor indexed="64"/>
      </patternFill>
    </fill>
    <fill>
      <patternFill patternType="solid">
        <fgColor theme="0" tint="-0.34998626667073579"/>
        <bgColor indexed="64"/>
      </patternFill>
    </fill>
    <fill>
      <patternFill patternType="solid">
        <fgColor rgb="FF00B050"/>
        <bgColor indexed="64"/>
      </patternFill>
    </fill>
    <fill>
      <patternFill patternType="solid">
        <fgColor rgb="FFFFC00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1" tint="0.24994659260841701"/>
        <bgColor indexed="64"/>
      </patternFill>
    </fill>
    <fill>
      <patternFill patternType="solid">
        <fgColor theme="1" tint="4.9989318521683403E-2"/>
        <bgColor indexed="64"/>
      </patternFill>
    </fill>
    <fill>
      <patternFill patternType="solid">
        <fgColor rgb="FF00FF00"/>
        <bgColor indexed="64"/>
      </patternFill>
    </fill>
    <fill>
      <patternFill patternType="solid">
        <fgColor rgb="FFD9D9D9"/>
        <bgColor indexed="64"/>
      </patternFill>
    </fill>
    <fill>
      <patternFill patternType="solid">
        <fgColor rgb="FFC0C0C0"/>
        <bgColor indexed="64"/>
      </patternFill>
    </fill>
    <fill>
      <patternFill patternType="solid">
        <fgColor rgb="FFA83800"/>
        <bgColor indexed="64"/>
      </patternFill>
    </fill>
    <fill>
      <patternFill patternType="solid">
        <fgColor rgb="FF008080"/>
        <bgColor indexed="64"/>
      </patternFill>
    </fill>
  </fills>
  <borders count="51">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ck">
        <color indexed="64"/>
      </bottom>
      <diagonal/>
    </border>
    <border>
      <left style="thin">
        <color indexed="64"/>
      </left>
      <right/>
      <top/>
      <bottom style="thick">
        <color indexed="64"/>
      </bottom>
      <diagonal/>
    </border>
    <border>
      <left/>
      <right/>
      <top/>
      <bottom style="thick">
        <color indexed="64"/>
      </bottom>
      <diagonal/>
    </border>
    <border>
      <left style="medium">
        <color indexed="64"/>
      </left>
      <right/>
      <top/>
      <bottom/>
      <diagonal/>
    </border>
    <border>
      <left style="thin">
        <color indexed="64"/>
      </left>
      <right style="thin">
        <color indexed="64"/>
      </right>
      <top style="thin">
        <color indexed="64"/>
      </top>
      <bottom/>
      <diagonal/>
    </border>
    <border>
      <left/>
      <right/>
      <top style="medium">
        <color indexed="64"/>
      </top>
      <bottom/>
      <diagonal/>
    </border>
    <border>
      <left style="thick">
        <color indexed="64"/>
      </left>
      <right/>
      <top/>
      <bottom/>
      <diagonal/>
    </border>
    <border>
      <left style="thick">
        <color indexed="64"/>
      </left>
      <right/>
      <top/>
      <bottom style="thin">
        <color indexed="64"/>
      </bottom>
      <diagonal/>
    </border>
    <border>
      <left style="thick">
        <color indexed="64"/>
      </left>
      <right/>
      <top style="thin">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style="thick">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ck">
        <color indexed="64"/>
      </top>
      <bottom/>
      <diagonal/>
    </border>
    <border>
      <left style="thin">
        <color indexed="64"/>
      </left>
      <right style="thin">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ck">
        <color indexed="64"/>
      </left>
      <right/>
      <top style="medium">
        <color indexed="64"/>
      </top>
      <bottom/>
      <diagonal/>
    </border>
    <border>
      <left style="medium">
        <color indexed="64"/>
      </left>
      <right/>
      <top style="thick">
        <color indexed="64"/>
      </top>
      <bottom/>
      <diagonal/>
    </border>
    <border>
      <left/>
      <right style="medium">
        <color indexed="64"/>
      </right>
      <top style="thick">
        <color indexed="64"/>
      </top>
      <bottom/>
      <diagonal/>
    </border>
    <border>
      <left style="thin">
        <color theme="0"/>
      </left>
      <right style="thin">
        <color theme="0"/>
      </right>
      <top/>
      <bottom/>
      <diagonal/>
    </border>
    <border>
      <left style="medium">
        <color theme="0"/>
      </left>
      <right style="thin">
        <color theme="0"/>
      </right>
      <top/>
      <bottom/>
      <diagonal/>
    </border>
    <border>
      <left style="thin">
        <color indexed="64"/>
      </left>
      <right style="thin">
        <color theme="0"/>
      </right>
      <top/>
      <bottom/>
      <diagonal/>
    </border>
    <border>
      <left style="thin">
        <color theme="0"/>
      </left>
      <right style="thin">
        <color indexed="64"/>
      </right>
      <top/>
      <bottom/>
      <diagonal/>
    </border>
    <border>
      <left style="thin">
        <color indexed="64"/>
      </left>
      <right style="thin">
        <color theme="0"/>
      </right>
      <top style="thin">
        <color indexed="64"/>
      </top>
      <bottom/>
      <diagonal/>
    </border>
    <border>
      <left style="thin">
        <color indexed="64"/>
      </left>
      <right style="thin">
        <color theme="0"/>
      </right>
      <top/>
      <bottom style="thin">
        <color indexed="64"/>
      </bottom>
      <diagonal/>
    </border>
    <border>
      <left style="thin">
        <color theme="0"/>
      </left>
      <right style="thin">
        <color indexed="64"/>
      </right>
      <top/>
      <bottom style="thin">
        <color indexed="64"/>
      </bottom>
      <diagonal/>
    </border>
    <border>
      <left style="thin">
        <color theme="0"/>
      </left>
      <right style="thin">
        <color indexed="64"/>
      </right>
      <top style="thin">
        <color indexed="64"/>
      </top>
      <bottom/>
      <diagonal/>
    </border>
  </borders>
  <cellStyleXfs count="1">
    <xf numFmtId="0" fontId="0" fillId="0" borderId="0"/>
  </cellStyleXfs>
  <cellXfs count="458">
    <xf numFmtId="0" fontId="0" fillId="0" borderId="0" xfId="0"/>
    <xf numFmtId="0" fontId="4" fillId="0" borderId="3" xfId="0" applyFont="1" applyBorder="1"/>
    <xf numFmtId="0" fontId="4" fillId="0" borderId="1" xfId="0" applyFont="1" applyBorder="1"/>
    <xf numFmtId="0" fontId="4" fillId="0" borderId="0" xfId="0" applyFont="1"/>
    <xf numFmtId="3" fontId="0" fillId="0" borderId="0" xfId="0" applyNumberFormat="1"/>
    <xf numFmtId="9" fontId="0" fillId="0" borderId="0" xfId="0" applyNumberFormat="1"/>
    <xf numFmtId="0" fontId="0" fillId="0" borderId="2" xfId="0" applyBorder="1"/>
    <xf numFmtId="0" fontId="0" fillId="0" borderId="3" xfId="0" applyBorder="1"/>
    <xf numFmtId="0" fontId="6" fillId="0" borderId="0" xfId="0" applyFont="1"/>
    <xf numFmtId="0" fontId="0" fillId="0" borderId="0" xfId="0" applyAlignment="1">
      <alignment horizontal="right"/>
    </xf>
    <xf numFmtId="0" fontId="0" fillId="0" borderId="5" xfId="0" applyBorder="1"/>
    <xf numFmtId="0" fontId="0" fillId="0" borderId="6" xfId="0" applyBorder="1"/>
    <xf numFmtId="0" fontId="0" fillId="0" borderId="8" xfId="0" applyBorder="1"/>
    <xf numFmtId="0" fontId="0" fillId="0" borderId="10" xfId="0" applyBorder="1"/>
    <xf numFmtId="0" fontId="0" fillId="0" borderId="9" xfId="0" applyBorder="1"/>
    <xf numFmtId="0" fontId="0" fillId="0" borderId="11" xfId="0" applyBorder="1"/>
    <xf numFmtId="1" fontId="0" fillId="0" borderId="5" xfId="0" applyNumberFormat="1" applyBorder="1"/>
    <xf numFmtId="0" fontId="6" fillId="0" borderId="8" xfId="0" applyFont="1" applyBorder="1"/>
    <xf numFmtId="168" fontId="0" fillId="0" borderId="0" xfId="0" applyNumberFormat="1"/>
    <xf numFmtId="0" fontId="0" fillId="0" borderId="5" xfId="0" applyBorder="1" applyAlignment="1">
      <alignment horizontal="left"/>
    </xf>
    <xf numFmtId="0" fontId="0" fillId="0" borderId="19" xfId="0" applyBorder="1"/>
    <xf numFmtId="0" fontId="6" fillId="0" borderId="5" xfId="0" applyFont="1" applyBorder="1"/>
    <xf numFmtId="0" fontId="0" fillId="0" borderId="20" xfId="0" applyBorder="1"/>
    <xf numFmtId="0" fontId="0" fillId="0" borderId="21" xfId="0" applyBorder="1"/>
    <xf numFmtId="0" fontId="0" fillId="0" borderId="22" xfId="0" applyBorder="1"/>
    <xf numFmtId="0" fontId="0" fillId="10" borderId="24" xfId="0" applyFill="1" applyBorder="1"/>
    <xf numFmtId="9" fontId="0" fillId="10" borderId="25" xfId="0" applyNumberFormat="1" applyFill="1" applyBorder="1"/>
    <xf numFmtId="0" fontId="0" fillId="10" borderId="27" xfId="0" applyFill="1" applyBorder="1"/>
    <xf numFmtId="0" fontId="0" fillId="10" borderId="28" xfId="0" applyFill="1" applyBorder="1"/>
    <xf numFmtId="0" fontId="0" fillId="10" borderId="29" xfId="0" applyFill="1" applyBorder="1"/>
    <xf numFmtId="3" fontId="0" fillId="10" borderId="25" xfId="0" applyNumberFormat="1" applyFill="1" applyBorder="1"/>
    <xf numFmtId="0" fontId="6" fillId="0" borderId="0" xfId="0" applyFont="1" applyAlignment="1">
      <alignment horizontal="center"/>
    </xf>
    <xf numFmtId="3" fontId="0" fillId="10" borderId="35" xfId="0" applyNumberFormat="1" applyFill="1" applyBorder="1"/>
    <xf numFmtId="0" fontId="0" fillId="10" borderId="34" xfId="0" applyFill="1" applyBorder="1"/>
    <xf numFmtId="0" fontId="0" fillId="10" borderId="30" xfId="0" applyFill="1" applyBorder="1"/>
    <xf numFmtId="9" fontId="0" fillId="10" borderId="35" xfId="0" applyNumberFormat="1" applyFill="1" applyBorder="1"/>
    <xf numFmtId="10" fontId="0" fillId="10" borderId="35" xfId="0" applyNumberFormat="1" applyFill="1" applyBorder="1"/>
    <xf numFmtId="3" fontId="6" fillId="0" borderId="0" xfId="0" applyNumberFormat="1" applyFont="1"/>
    <xf numFmtId="9" fontId="0" fillId="10" borderId="30" xfId="0" applyNumberFormat="1" applyFill="1" applyBorder="1"/>
    <xf numFmtId="3" fontId="5" fillId="0" borderId="0" xfId="0" applyNumberFormat="1" applyFont="1"/>
    <xf numFmtId="167" fontId="0" fillId="0" borderId="0" xfId="0" applyNumberFormat="1"/>
    <xf numFmtId="0" fontId="8" fillId="0" borderId="0" xfId="0" applyFont="1"/>
    <xf numFmtId="0" fontId="7" fillId="0" borderId="0" xfId="0" applyFont="1"/>
    <xf numFmtId="49" fontId="9" fillId="0" borderId="0" xfId="0" applyNumberFormat="1" applyFont="1" applyAlignment="1">
      <alignment horizontal="left" vertical="top"/>
    </xf>
    <xf numFmtId="10" fontId="8" fillId="0" borderId="0" xfId="0" applyNumberFormat="1" applyFont="1"/>
    <xf numFmtId="0" fontId="4" fillId="12" borderId="0" xfId="0" applyFont="1" applyFill="1"/>
    <xf numFmtId="3" fontId="4" fillId="12" borderId="0" xfId="0" applyNumberFormat="1" applyFont="1" applyFill="1"/>
    <xf numFmtId="0" fontId="6" fillId="0" borderId="3" xfId="0" applyFont="1" applyBorder="1"/>
    <xf numFmtId="0" fontId="16" fillId="0" borderId="3" xfId="0" applyFont="1" applyBorder="1" applyProtection="1">
      <protection hidden="1"/>
    </xf>
    <xf numFmtId="0" fontId="4" fillId="12" borderId="5" xfId="0" applyFont="1" applyFill="1" applyBorder="1"/>
    <xf numFmtId="0" fontId="6" fillId="12" borderId="0" xfId="0" applyFont="1" applyFill="1"/>
    <xf numFmtId="0" fontId="4" fillId="12" borderId="6" xfId="0" applyFont="1" applyFill="1" applyBorder="1"/>
    <xf numFmtId="0" fontId="4" fillId="12" borderId="2" xfId="0" applyFont="1" applyFill="1" applyBorder="1"/>
    <xf numFmtId="20" fontId="4" fillId="0" borderId="0" xfId="0" applyNumberFormat="1" applyFont="1" applyAlignment="1">
      <alignment horizontal="center"/>
    </xf>
    <xf numFmtId="9" fontId="4" fillId="0" borderId="0" xfId="0" applyNumberFormat="1" applyFont="1" applyProtection="1">
      <protection hidden="1"/>
    </xf>
    <xf numFmtId="14" fontId="4" fillId="0" borderId="37" xfId="0" applyNumberFormat="1" applyFont="1" applyBorder="1" applyAlignment="1">
      <alignment horizontal="center"/>
    </xf>
    <xf numFmtId="14" fontId="4" fillId="12" borderId="0" xfId="0" applyNumberFormat="1" applyFont="1" applyFill="1"/>
    <xf numFmtId="0" fontId="4" fillId="0" borderId="0" xfId="0" applyFont="1" applyAlignment="1">
      <alignment horizontal="center"/>
    </xf>
    <xf numFmtId="0" fontId="4" fillId="0" borderId="26" xfId="0" applyFont="1" applyBorder="1"/>
    <xf numFmtId="0" fontId="17" fillId="12" borderId="6" xfId="0" applyFont="1" applyFill="1" applyBorder="1"/>
    <xf numFmtId="0" fontId="6" fillId="0" borderId="0" xfId="0" applyFont="1" applyAlignment="1">
      <alignment horizontal="left"/>
    </xf>
    <xf numFmtId="3" fontId="4" fillId="0" borderId="0" xfId="0" applyNumberFormat="1" applyFont="1" applyAlignment="1">
      <alignment horizontal="center"/>
    </xf>
    <xf numFmtId="169" fontId="4" fillId="0" borderId="0" xfId="0" applyNumberFormat="1" applyFont="1" applyProtection="1">
      <protection hidden="1"/>
    </xf>
    <xf numFmtId="169" fontId="4" fillId="12" borderId="0" xfId="0" applyNumberFormat="1" applyFont="1" applyFill="1" applyProtection="1">
      <protection hidden="1"/>
    </xf>
    <xf numFmtId="3" fontId="4" fillId="12" borderId="0" xfId="0" applyNumberFormat="1" applyFont="1" applyFill="1" applyAlignment="1">
      <alignment horizontal="right"/>
    </xf>
    <xf numFmtId="169" fontId="4" fillId="12" borderId="3" xfId="0" applyNumberFormat="1" applyFont="1" applyFill="1" applyBorder="1" applyProtection="1">
      <protection hidden="1"/>
    </xf>
    <xf numFmtId="0" fontId="4" fillId="12" borderId="3" xfId="0" applyFont="1" applyFill="1" applyBorder="1"/>
    <xf numFmtId="3" fontId="4" fillId="12" borderId="3" xfId="0" applyNumberFormat="1" applyFont="1" applyFill="1" applyBorder="1" applyAlignment="1">
      <alignment horizontal="right"/>
    </xf>
    <xf numFmtId="0" fontId="4" fillId="12" borderId="11" xfId="0" applyFont="1" applyFill="1" applyBorder="1"/>
    <xf numFmtId="0" fontId="17" fillId="12" borderId="11" xfId="0" applyFont="1" applyFill="1" applyBorder="1"/>
    <xf numFmtId="0" fontId="6" fillId="0" borderId="10" xfId="0" applyFont="1" applyBorder="1" applyAlignment="1">
      <alignment horizontal="center"/>
    </xf>
    <xf numFmtId="0" fontId="4" fillId="0" borderId="3" xfId="0" applyFont="1" applyBorder="1" applyAlignment="1">
      <alignment horizontal="center"/>
    </xf>
    <xf numFmtId="0" fontId="4" fillId="0" borderId="11" xfId="0" applyFont="1" applyBorder="1" applyAlignment="1">
      <alignment horizontal="center"/>
    </xf>
    <xf numFmtId="0" fontId="18" fillId="0" borderId="10" xfId="0" applyFont="1" applyBorder="1" applyAlignment="1">
      <alignment horizontal="left"/>
    </xf>
    <xf numFmtId="0" fontId="4" fillId="12" borderId="9" xfId="0" applyFont="1" applyFill="1" applyBorder="1"/>
    <xf numFmtId="0" fontId="4" fillId="0" borderId="2" xfId="0" applyFont="1" applyBorder="1"/>
    <xf numFmtId="0" fontId="4" fillId="0" borderId="9" xfId="0" applyFont="1" applyBorder="1" applyAlignment="1">
      <alignment horizontal="left"/>
    </xf>
    <xf numFmtId="0" fontId="4" fillId="0" borderId="8" xfId="0" applyFont="1" applyBorder="1" applyAlignment="1">
      <alignment horizontal="left"/>
    </xf>
    <xf numFmtId="0" fontId="4" fillId="0" borderId="2" xfId="0" applyFont="1" applyBorder="1" applyAlignment="1">
      <alignment horizontal="left"/>
    </xf>
    <xf numFmtId="0" fontId="4" fillId="0" borderId="4" xfId="0" applyFont="1" applyBorder="1" applyAlignment="1">
      <alignment horizontal="left"/>
    </xf>
    <xf numFmtId="0" fontId="17" fillId="12" borderId="0" xfId="0" applyFont="1" applyFill="1"/>
    <xf numFmtId="3" fontId="4" fillId="0" borderId="9" xfId="0" applyNumberFormat="1" applyFont="1" applyBorder="1"/>
    <xf numFmtId="3" fontId="4" fillId="0" borderId="8" xfId="0" applyNumberFormat="1" applyFont="1" applyBorder="1"/>
    <xf numFmtId="10" fontId="4" fillId="0" borderId="2" xfId="0" applyNumberFormat="1" applyFont="1" applyBorder="1" applyAlignment="1">
      <alignment horizontal="center" vertical="center"/>
    </xf>
    <xf numFmtId="3" fontId="4" fillId="0" borderId="2" xfId="0" applyNumberFormat="1" applyFont="1" applyBorder="1"/>
    <xf numFmtId="0" fontId="4" fillId="0" borderId="5" xfId="0" applyFont="1" applyBorder="1" applyAlignment="1">
      <alignment horizontal="left"/>
    </xf>
    <xf numFmtId="169" fontId="4" fillId="0" borderId="0" xfId="0" applyNumberFormat="1" applyFont="1"/>
    <xf numFmtId="3" fontId="4" fillId="0" borderId="6" xfId="0" applyNumberFormat="1" applyFont="1" applyBorder="1"/>
    <xf numFmtId="3" fontId="4" fillId="0" borderId="5" xfId="0" applyNumberFormat="1" applyFont="1" applyBorder="1"/>
    <xf numFmtId="0" fontId="4" fillId="0" borderId="0" xfId="0" applyFont="1" applyAlignment="1">
      <alignment horizontal="center" vertical="center"/>
    </xf>
    <xf numFmtId="3" fontId="4" fillId="0" borderId="15" xfId="0" applyNumberFormat="1" applyFont="1" applyBorder="1"/>
    <xf numFmtId="3" fontId="4" fillId="0" borderId="14" xfId="0" applyNumberFormat="1" applyFont="1" applyBorder="1"/>
    <xf numFmtId="3" fontId="4" fillId="0" borderId="16" xfId="0" applyNumberFormat="1" applyFont="1" applyBorder="1"/>
    <xf numFmtId="169" fontId="4" fillId="0" borderId="2" xfId="0" applyNumberFormat="1" applyFont="1" applyBorder="1"/>
    <xf numFmtId="3" fontId="6" fillId="0" borderId="5" xfId="0" applyNumberFormat="1" applyFont="1" applyBorder="1"/>
    <xf numFmtId="3" fontId="6" fillId="0" borderId="6" xfId="0" applyNumberFormat="1" applyFont="1" applyBorder="1"/>
    <xf numFmtId="0" fontId="4" fillId="0" borderId="5" xfId="0" applyFont="1" applyBorder="1"/>
    <xf numFmtId="0" fontId="4" fillId="0" borderId="6" xfId="0" applyFont="1" applyBorder="1"/>
    <xf numFmtId="0" fontId="4" fillId="0" borderId="15" xfId="0" applyFont="1" applyBorder="1"/>
    <xf numFmtId="0" fontId="4" fillId="0" borderId="14" xfId="0" applyFont="1" applyBorder="1"/>
    <xf numFmtId="49" fontId="3" fillId="15" borderId="47" xfId="0" applyNumberFormat="1" applyFont="1" applyFill="1" applyBorder="1"/>
    <xf numFmtId="9" fontId="6" fillId="0" borderId="3" xfId="0" applyNumberFormat="1" applyFont="1" applyBorder="1"/>
    <xf numFmtId="0" fontId="4" fillId="0" borderId="5" xfId="0" applyFont="1" applyBorder="1" applyAlignment="1">
      <alignment horizontal="center"/>
    </xf>
    <xf numFmtId="49" fontId="4" fillId="0" borderId="0" xfId="0" applyNumberFormat="1" applyFont="1"/>
    <xf numFmtId="168" fontId="4" fillId="0" borderId="0" xfId="0" applyNumberFormat="1" applyFont="1"/>
    <xf numFmtId="2" fontId="4" fillId="0" borderId="0" xfId="0" applyNumberFormat="1" applyFont="1" applyAlignment="1">
      <alignment horizontal="center"/>
    </xf>
    <xf numFmtId="49" fontId="3" fillId="14" borderId="48" xfId="0" applyNumberFormat="1" applyFont="1" applyFill="1" applyBorder="1"/>
    <xf numFmtId="0" fontId="10" fillId="30" borderId="0" xfId="0" applyFont="1" applyFill="1"/>
    <xf numFmtId="49" fontId="3" fillId="14" borderId="44" xfId="0" applyNumberFormat="1" applyFont="1" applyFill="1" applyBorder="1"/>
    <xf numFmtId="49" fontId="3" fillId="15" borderId="44" xfId="0" applyNumberFormat="1" applyFont="1" applyFill="1" applyBorder="1"/>
    <xf numFmtId="0" fontId="4" fillId="0" borderId="0" xfId="0" applyFont="1" applyAlignment="1">
      <alignment horizontal="left"/>
    </xf>
    <xf numFmtId="0" fontId="4" fillId="12" borderId="0" xfId="0" applyFont="1" applyFill="1" applyAlignment="1">
      <alignment horizontal="center"/>
    </xf>
    <xf numFmtId="3" fontId="4" fillId="0" borderId="3" xfId="0" applyNumberFormat="1" applyFont="1" applyBorder="1"/>
    <xf numFmtId="168" fontId="4" fillId="0" borderId="3" xfId="0" applyNumberFormat="1" applyFont="1" applyBorder="1"/>
    <xf numFmtId="0" fontId="11" fillId="31" borderId="10" xfId="0" applyFont="1" applyFill="1" applyBorder="1"/>
    <xf numFmtId="3" fontId="11" fillId="31" borderId="3" xfId="0" applyNumberFormat="1" applyFont="1" applyFill="1" applyBorder="1"/>
    <xf numFmtId="168" fontId="6" fillId="0" borderId="0" xfId="0" applyNumberFormat="1" applyFont="1"/>
    <xf numFmtId="0" fontId="17" fillId="0" borderId="0" xfId="0" applyFont="1"/>
    <xf numFmtId="0" fontId="20" fillId="0" borderId="0" xfId="0" applyFont="1"/>
    <xf numFmtId="0" fontId="17" fillId="0" borderId="0" xfId="0" applyFont="1" applyAlignment="1">
      <alignment horizontal="center"/>
    </xf>
    <xf numFmtId="0" fontId="21" fillId="0" borderId="0" xfId="0" applyFont="1"/>
    <xf numFmtId="2" fontId="17" fillId="0" borderId="0" xfId="0" applyNumberFormat="1" applyFont="1"/>
    <xf numFmtId="0" fontId="22" fillId="0" borderId="0" xfId="0" applyFont="1"/>
    <xf numFmtId="49" fontId="4" fillId="13" borderId="34" xfId="0" applyNumberFormat="1" applyFont="1" applyFill="1" applyBorder="1" applyAlignment="1">
      <alignment horizontal="center"/>
    </xf>
    <xf numFmtId="14" fontId="4" fillId="13" borderId="25" xfId="0" applyNumberFormat="1" applyFont="1" applyFill="1" applyBorder="1" applyAlignment="1">
      <alignment horizontal="center"/>
    </xf>
    <xf numFmtId="1" fontId="4" fillId="13" borderId="30" xfId="0" applyNumberFormat="1" applyFont="1" applyFill="1" applyBorder="1" applyAlignment="1">
      <alignment horizontal="center"/>
    </xf>
    <xf numFmtId="1" fontId="4" fillId="13" borderId="35" xfId="0" applyNumberFormat="1" applyFont="1" applyFill="1" applyBorder="1" applyAlignment="1">
      <alignment horizontal="center"/>
    </xf>
    <xf numFmtId="49" fontId="4" fillId="0" borderId="0" xfId="0" applyNumberFormat="1" applyFont="1" applyAlignment="1">
      <alignment horizontal="center"/>
    </xf>
    <xf numFmtId="49" fontId="6" fillId="0" borderId="0" xfId="0" applyNumberFormat="1" applyFont="1" applyAlignment="1">
      <alignment horizontal="center" vertical="top" wrapText="1"/>
    </xf>
    <xf numFmtId="49" fontId="4" fillId="0" borderId="0" xfId="0" applyNumberFormat="1" applyFont="1" applyAlignment="1">
      <alignment horizontal="center" wrapText="1"/>
    </xf>
    <xf numFmtId="0" fontId="4" fillId="16" borderId="0" xfId="0" applyFont="1" applyFill="1" applyAlignment="1">
      <alignment horizontal="center"/>
    </xf>
    <xf numFmtId="20" fontId="4" fillId="16" borderId="0" xfId="0" applyNumberFormat="1" applyFont="1" applyFill="1" applyAlignment="1">
      <alignment horizontal="center"/>
    </xf>
    <xf numFmtId="10" fontId="4" fillId="0" borderId="0" xfId="0" applyNumberFormat="1" applyFont="1"/>
    <xf numFmtId="3" fontId="4" fillId="16" borderId="0" xfId="0" applyNumberFormat="1" applyFont="1" applyFill="1"/>
    <xf numFmtId="0" fontId="4" fillId="16" borderId="0" xfId="0" applyFont="1" applyFill="1"/>
    <xf numFmtId="9" fontId="4" fillId="0" borderId="0" xfId="0" applyNumberFormat="1" applyFont="1"/>
    <xf numFmtId="0" fontId="6" fillId="16" borderId="0" xfId="0" applyFont="1" applyFill="1" applyAlignment="1">
      <alignment horizontal="center"/>
    </xf>
    <xf numFmtId="20" fontId="6" fillId="16" borderId="0" xfId="0" applyNumberFormat="1" applyFont="1" applyFill="1" applyAlignment="1">
      <alignment horizontal="center"/>
    </xf>
    <xf numFmtId="10" fontId="6" fillId="0" borderId="0" xfId="0" applyNumberFormat="1" applyFont="1"/>
    <xf numFmtId="3" fontId="6" fillId="0" borderId="0" xfId="0" applyNumberFormat="1" applyFont="1" applyAlignment="1">
      <alignment horizontal="center"/>
    </xf>
    <xf numFmtId="0" fontId="6" fillId="16" borderId="0" xfId="0" applyFont="1" applyFill="1"/>
    <xf numFmtId="9" fontId="6" fillId="0" borderId="0" xfId="0" applyNumberFormat="1" applyFont="1"/>
    <xf numFmtId="49" fontId="6" fillId="0" borderId="0" xfId="0" applyNumberFormat="1" applyFont="1" applyAlignment="1">
      <alignment horizontal="center" vertical="top"/>
    </xf>
    <xf numFmtId="20" fontId="4" fillId="16" borderId="0" xfId="0" applyNumberFormat="1" applyFont="1" applyFill="1"/>
    <xf numFmtId="3" fontId="4" fillId="13" borderId="0" xfId="0" applyNumberFormat="1" applyFont="1" applyFill="1" applyAlignment="1">
      <alignment horizontal="center"/>
    </xf>
    <xf numFmtId="4" fontId="4" fillId="0" borderId="0" xfId="0" applyNumberFormat="1" applyFont="1"/>
    <xf numFmtId="3" fontId="4" fillId="13" borderId="0" xfId="0" applyNumberFormat="1" applyFont="1" applyFill="1"/>
    <xf numFmtId="20" fontId="4" fillId="0" borderId="0" xfId="0" applyNumberFormat="1" applyFont="1"/>
    <xf numFmtId="20" fontId="6" fillId="16" borderId="0" xfId="0" applyNumberFormat="1" applyFont="1" applyFill="1"/>
    <xf numFmtId="3" fontId="6" fillId="13" borderId="0" xfId="0" applyNumberFormat="1" applyFont="1" applyFill="1" applyAlignment="1">
      <alignment horizontal="center"/>
    </xf>
    <xf numFmtId="3" fontId="6" fillId="16" borderId="0" xfId="0" applyNumberFormat="1" applyFont="1" applyFill="1"/>
    <xf numFmtId="4" fontId="6" fillId="0" borderId="0" xfId="0" applyNumberFormat="1" applyFont="1"/>
    <xf numFmtId="3" fontId="6" fillId="13" borderId="0" xfId="0" applyNumberFormat="1" applyFont="1" applyFill="1"/>
    <xf numFmtId="20" fontId="6" fillId="0" borderId="0" xfId="0" applyNumberFormat="1" applyFont="1"/>
    <xf numFmtId="0" fontId="4" fillId="0" borderId="0" xfId="0" applyFont="1" applyAlignment="1">
      <alignment horizontal="left" vertical="top"/>
    </xf>
    <xf numFmtId="18" fontId="4" fillId="0" borderId="0" xfId="0" applyNumberFormat="1" applyFont="1"/>
    <xf numFmtId="49" fontId="6" fillId="0" borderId="5" xfId="0" applyNumberFormat="1" applyFont="1" applyBorder="1" applyAlignment="1">
      <alignment horizontal="center" vertical="top" wrapText="1"/>
    </xf>
    <xf numFmtId="49" fontId="6" fillId="0" borderId="0" xfId="0" applyNumberFormat="1" applyFont="1" applyAlignment="1">
      <alignment horizontal="left" vertical="top" wrapText="1"/>
    </xf>
    <xf numFmtId="49" fontId="6" fillId="0" borderId="6" xfId="0" applyNumberFormat="1" applyFont="1" applyBorder="1" applyAlignment="1">
      <alignment horizontal="center" vertical="top" wrapText="1"/>
    </xf>
    <xf numFmtId="0" fontId="6" fillId="0" borderId="0" xfId="0" applyFont="1" applyAlignment="1">
      <alignment horizontal="right"/>
    </xf>
    <xf numFmtId="0" fontId="4" fillId="29" borderId="0" xfId="0" applyFont="1" applyFill="1" applyAlignment="1">
      <alignment horizontal="center"/>
    </xf>
    <xf numFmtId="3" fontId="4" fillId="0" borderId="0" xfId="0" applyNumberFormat="1" applyFont="1" applyAlignment="1">
      <alignment horizontal="right"/>
    </xf>
    <xf numFmtId="0" fontId="4" fillId="0" borderId="0" xfId="0" applyFont="1" applyAlignment="1">
      <alignment horizontal="right"/>
    </xf>
    <xf numFmtId="20" fontId="4" fillId="18" borderId="0" xfId="0" applyNumberFormat="1" applyFont="1" applyFill="1"/>
    <xf numFmtId="0" fontId="4" fillId="13" borderId="0" xfId="0" applyFont="1" applyFill="1"/>
    <xf numFmtId="3" fontId="4" fillId="25" borderId="0" xfId="0" applyNumberFormat="1" applyFont="1" applyFill="1" applyAlignment="1">
      <alignment horizontal="center"/>
    </xf>
    <xf numFmtId="3" fontId="4" fillId="19" borderId="0" xfId="0" applyNumberFormat="1" applyFont="1" applyFill="1" applyAlignment="1">
      <alignment horizontal="center"/>
    </xf>
    <xf numFmtId="3" fontId="4" fillId="20" borderId="0" xfId="0" applyNumberFormat="1" applyFont="1" applyFill="1" applyAlignment="1">
      <alignment horizontal="center"/>
    </xf>
    <xf numFmtId="3" fontId="4" fillId="23" borderId="0" xfId="0" applyNumberFormat="1" applyFont="1" applyFill="1" applyAlignment="1">
      <alignment horizontal="center"/>
    </xf>
    <xf numFmtId="3" fontId="4" fillId="22" borderId="0" xfId="0" applyNumberFormat="1" applyFont="1" applyFill="1" applyAlignment="1">
      <alignment horizontal="center"/>
    </xf>
    <xf numFmtId="3" fontId="4" fillId="21" borderId="0" xfId="0" applyNumberFormat="1" applyFont="1" applyFill="1" applyAlignment="1">
      <alignment horizontal="center"/>
    </xf>
    <xf numFmtId="3" fontId="4" fillId="24" borderId="0" xfId="0" applyNumberFormat="1" applyFont="1" applyFill="1" applyAlignment="1">
      <alignment horizontal="center"/>
    </xf>
    <xf numFmtId="0" fontId="4" fillId="9" borderId="0" xfId="0" applyFont="1" applyFill="1" applyAlignment="1">
      <alignment horizontal="center"/>
    </xf>
    <xf numFmtId="0" fontId="4" fillId="24" borderId="0" xfId="0" applyFont="1" applyFill="1" applyAlignment="1">
      <alignment horizontal="center"/>
    </xf>
    <xf numFmtId="0" fontId="4" fillId="19" borderId="0" xfId="0" applyFont="1" applyFill="1" applyAlignment="1">
      <alignment horizontal="center"/>
    </xf>
    <xf numFmtId="0" fontId="4" fillId="22" borderId="0" xfId="0" applyFont="1" applyFill="1" applyAlignment="1">
      <alignment horizontal="center"/>
    </xf>
    <xf numFmtId="0" fontId="4" fillId="21" borderId="0" xfId="0" applyFont="1" applyFill="1" applyAlignment="1">
      <alignment horizontal="center"/>
    </xf>
    <xf numFmtId="0" fontId="6" fillId="29" borderId="0" xfId="0" applyFont="1" applyFill="1" applyAlignment="1">
      <alignment horizontal="center"/>
    </xf>
    <xf numFmtId="3" fontId="6" fillId="11" borderId="0" xfId="0" applyNumberFormat="1" applyFont="1" applyFill="1" applyAlignment="1">
      <alignment horizontal="right"/>
    </xf>
    <xf numFmtId="0" fontId="6" fillId="11" borderId="0" xfId="0" applyFont="1" applyFill="1" applyAlignment="1">
      <alignment horizontal="right"/>
    </xf>
    <xf numFmtId="20" fontId="6" fillId="18" borderId="0" xfId="0" applyNumberFormat="1" applyFont="1" applyFill="1"/>
    <xf numFmtId="3" fontId="6" fillId="11" borderId="0" xfId="0" applyNumberFormat="1" applyFont="1" applyFill="1" applyAlignment="1">
      <alignment horizontal="center"/>
    </xf>
    <xf numFmtId="3" fontId="6" fillId="24" borderId="0" xfId="0" applyNumberFormat="1" applyFont="1" applyFill="1" applyAlignment="1">
      <alignment horizontal="center"/>
    </xf>
    <xf numFmtId="3" fontId="6" fillId="19" borderId="0" xfId="0" applyNumberFormat="1" applyFont="1" applyFill="1" applyAlignment="1">
      <alignment horizontal="center"/>
    </xf>
    <xf numFmtId="3" fontId="6" fillId="20" borderId="0" xfId="0" applyNumberFormat="1" applyFont="1" applyFill="1" applyAlignment="1">
      <alignment horizontal="center"/>
    </xf>
    <xf numFmtId="3" fontId="6" fillId="23" borderId="0" xfId="0" applyNumberFormat="1" applyFont="1" applyFill="1" applyAlignment="1">
      <alignment horizontal="center"/>
    </xf>
    <xf numFmtId="3" fontId="6" fillId="22" borderId="0" xfId="0" applyNumberFormat="1" applyFont="1" applyFill="1" applyAlignment="1">
      <alignment horizontal="center"/>
    </xf>
    <xf numFmtId="3" fontId="6" fillId="21" borderId="0" xfId="0" applyNumberFormat="1" applyFont="1" applyFill="1" applyAlignment="1">
      <alignment horizontal="center"/>
    </xf>
    <xf numFmtId="0" fontId="6" fillId="13" borderId="0" xfId="0" applyFont="1" applyFill="1"/>
    <xf numFmtId="20" fontId="4" fillId="11" borderId="0" xfId="0" applyNumberFormat="1" applyFont="1" applyFill="1" applyAlignment="1">
      <alignment horizontal="center"/>
    </xf>
    <xf numFmtId="10" fontId="6" fillId="11" borderId="0" xfId="0" applyNumberFormat="1" applyFont="1" applyFill="1"/>
    <xf numFmtId="3" fontId="6" fillId="11" borderId="0" xfId="0" applyNumberFormat="1" applyFont="1" applyFill="1"/>
    <xf numFmtId="0" fontId="6" fillId="11" borderId="0" xfId="0" applyFont="1" applyFill="1"/>
    <xf numFmtId="0" fontId="6" fillId="11" borderId="0" xfId="0" applyFont="1" applyFill="1" applyAlignment="1">
      <alignment horizontal="center"/>
    </xf>
    <xf numFmtId="0" fontId="6" fillId="24" borderId="0" xfId="0" applyFont="1" applyFill="1" applyAlignment="1">
      <alignment horizontal="center"/>
    </xf>
    <xf numFmtId="0" fontId="6" fillId="19" borderId="0" xfId="0" applyFont="1" applyFill="1" applyAlignment="1">
      <alignment horizontal="center"/>
    </xf>
    <xf numFmtId="0" fontId="6" fillId="22" borderId="0" xfId="0" applyFont="1" applyFill="1" applyAlignment="1">
      <alignment horizontal="center"/>
    </xf>
    <xf numFmtId="0" fontId="6" fillId="21" borderId="0" xfId="0" applyFont="1" applyFill="1" applyAlignment="1">
      <alignment horizontal="center"/>
    </xf>
    <xf numFmtId="20" fontId="6" fillId="11" borderId="0" xfId="0" applyNumberFormat="1" applyFont="1" applyFill="1"/>
    <xf numFmtId="3" fontId="6" fillId="25" borderId="0" xfId="0" applyNumberFormat="1" applyFont="1" applyFill="1" applyAlignment="1">
      <alignment horizontal="center"/>
    </xf>
    <xf numFmtId="0" fontId="6" fillId="27" borderId="0" xfId="0" applyFont="1" applyFill="1"/>
    <xf numFmtId="0" fontId="25" fillId="27" borderId="0" xfId="0" applyFont="1" applyFill="1" applyAlignment="1">
      <alignment horizontal="center"/>
    </xf>
    <xf numFmtId="0" fontId="4" fillId="27" borderId="0" xfId="0" applyFont="1" applyFill="1"/>
    <xf numFmtId="49" fontId="6" fillId="27" borderId="0" xfId="0" applyNumberFormat="1" applyFont="1" applyFill="1" applyAlignment="1">
      <alignment horizontal="center" vertical="top"/>
    </xf>
    <xf numFmtId="49" fontId="25" fillId="0" borderId="0" xfId="0" applyNumberFormat="1" applyFont="1" applyAlignment="1">
      <alignment horizontal="center" vertical="top" wrapText="1"/>
    </xf>
    <xf numFmtId="49" fontId="6" fillId="0" borderId="0" xfId="0" applyNumberFormat="1" applyFont="1" applyAlignment="1">
      <alignment vertical="top" wrapText="1"/>
    </xf>
    <xf numFmtId="3" fontId="4" fillId="29" borderId="0" xfId="0" applyNumberFormat="1" applyFont="1" applyFill="1" applyAlignment="1">
      <alignment horizontal="center"/>
    </xf>
    <xf numFmtId="0" fontId="4" fillId="18" borderId="0" xfId="0" applyFont="1" applyFill="1"/>
    <xf numFmtId="3" fontId="4" fillId="26" borderId="0" xfId="0" applyNumberFormat="1" applyFont="1" applyFill="1" applyAlignment="1">
      <alignment horizontal="center"/>
    </xf>
    <xf numFmtId="10" fontId="4" fillId="0" borderId="0" xfId="0" applyNumberFormat="1" applyFont="1" applyAlignment="1">
      <alignment horizontal="center"/>
    </xf>
    <xf numFmtId="0" fontId="4" fillId="13" borderId="0" xfId="0" applyFont="1" applyFill="1" applyAlignment="1">
      <alignment horizontal="center"/>
    </xf>
    <xf numFmtId="3" fontId="4" fillId="27" borderId="0" xfId="0" applyNumberFormat="1" applyFont="1" applyFill="1"/>
    <xf numFmtId="0" fontId="4" fillId="18" borderId="13" xfId="0" applyFont="1" applyFill="1" applyBorder="1"/>
    <xf numFmtId="0" fontId="4" fillId="28" borderId="13" xfId="0" applyFont="1" applyFill="1" applyBorder="1"/>
    <xf numFmtId="3" fontId="4" fillId="28" borderId="13" xfId="0" applyNumberFormat="1" applyFont="1" applyFill="1" applyBorder="1"/>
    <xf numFmtId="0" fontId="4" fillId="14" borderId="13" xfId="0" applyFont="1" applyFill="1" applyBorder="1"/>
    <xf numFmtId="3" fontId="4" fillId="14" borderId="13" xfId="0" applyNumberFormat="1" applyFont="1" applyFill="1" applyBorder="1"/>
    <xf numFmtId="1" fontId="4" fillId="27" borderId="0" xfId="0" applyNumberFormat="1" applyFont="1" applyFill="1"/>
    <xf numFmtId="0" fontId="26" fillId="27" borderId="0" xfId="0" applyFont="1" applyFill="1" applyAlignment="1">
      <alignment horizontal="right"/>
    </xf>
    <xf numFmtId="0" fontId="26" fillId="27" borderId="0" xfId="0" applyFont="1" applyFill="1" applyAlignment="1">
      <alignment horizontal="center" vertical="center"/>
    </xf>
    <xf numFmtId="0" fontId="26" fillId="27" borderId="0" xfId="0" applyFont="1" applyFill="1" applyAlignment="1">
      <alignment horizontal="center"/>
    </xf>
    <xf numFmtId="3" fontId="6" fillId="29" borderId="0" xfId="0" applyNumberFormat="1" applyFont="1" applyFill="1" applyAlignment="1">
      <alignment horizontal="center"/>
    </xf>
    <xf numFmtId="0" fontId="6" fillId="18" borderId="0" xfId="0" applyFont="1" applyFill="1"/>
    <xf numFmtId="3" fontId="6" fillId="26" borderId="0" xfId="0" applyNumberFormat="1" applyFont="1" applyFill="1" applyAlignment="1">
      <alignment horizontal="center"/>
    </xf>
    <xf numFmtId="10" fontId="6" fillId="11" borderId="0" xfId="0" applyNumberFormat="1" applyFont="1" applyFill="1" applyAlignment="1">
      <alignment horizontal="center"/>
    </xf>
    <xf numFmtId="0" fontId="6" fillId="13" borderId="0" xfId="0" applyFont="1" applyFill="1" applyAlignment="1">
      <alignment horizontal="center"/>
    </xf>
    <xf numFmtId="0" fontId="6" fillId="32" borderId="0" xfId="0" applyFont="1" applyFill="1"/>
    <xf numFmtId="20" fontId="4" fillId="29" borderId="0" xfId="0" applyNumberFormat="1" applyFont="1" applyFill="1"/>
    <xf numFmtId="20" fontId="6" fillId="29" borderId="0" xfId="0" applyNumberFormat="1" applyFont="1" applyFill="1"/>
    <xf numFmtId="0" fontId="4" fillId="10" borderId="0" xfId="0" applyFont="1" applyFill="1"/>
    <xf numFmtId="49" fontId="27" fillId="0" borderId="0" xfId="0" applyNumberFormat="1" applyFont="1" applyAlignment="1">
      <alignment horizontal="center"/>
    </xf>
    <xf numFmtId="49" fontId="6" fillId="0" borderId="0" xfId="0" applyNumberFormat="1" applyFont="1" applyAlignment="1">
      <alignment horizontal="center"/>
    </xf>
    <xf numFmtId="0" fontId="25" fillId="0" borderId="0" xfId="0" applyFont="1" applyAlignment="1">
      <alignment horizontal="center"/>
    </xf>
    <xf numFmtId="0" fontId="6" fillId="0" borderId="0" xfId="0" applyFont="1" applyAlignment="1">
      <alignment horizontal="center" vertical="top" wrapText="1"/>
    </xf>
    <xf numFmtId="172" fontId="6" fillId="0" borderId="0" xfId="0" applyNumberFormat="1" applyFont="1" applyAlignment="1">
      <alignment horizontal="center" vertical="top" wrapText="1"/>
    </xf>
    <xf numFmtId="49" fontId="6" fillId="17" borderId="0" xfId="0" applyNumberFormat="1" applyFont="1" applyFill="1" applyAlignment="1">
      <alignment horizontal="center" vertical="top" wrapText="1"/>
    </xf>
    <xf numFmtId="3" fontId="4" fillId="16" borderId="0" xfId="0" applyNumberFormat="1" applyFont="1" applyFill="1" applyAlignment="1">
      <alignment horizontal="center"/>
    </xf>
    <xf numFmtId="1" fontId="4" fillId="0" borderId="0" xfId="0" applyNumberFormat="1" applyFont="1"/>
    <xf numFmtId="10" fontId="4" fillId="0" borderId="0" xfId="0" applyNumberFormat="1" applyFont="1" applyAlignment="1">
      <alignment horizontal="right"/>
    </xf>
    <xf numFmtId="172" fontId="4" fillId="0" borderId="0" xfId="0" applyNumberFormat="1" applyFont="1"/>
    <xf numFmtId="9" fontId="4" fillId="13" borderId="0" xfId="0" applyNumberFormat="1" applyFont="1" applyFill="1"/>
    <xf numFmtId="2" fontId="4" fillId="0" borderId="0" xfId="0" applyNumberFormat="1" applyFont="1"/>
    <xf numFmtId="0" fontId="4" fillId="14" borderId="0" xfId="0" applyFont="1" applyFill="1"/>
    <xf numFmtId="3" fontId="4" fillId="14" borderId="0" xfId="0" applyNumberFormat="1" applyFont="1" applyFill="1"/>
    <xf numFmtId="174" fontId="4" fillId="0" borderId="0" xfId="0" applyNumberFormat="1" applyFont="1"/>
    <xf numFmtId="3" fontId="6" fillId="16" borderId="0" xfId="0" applyNumberFormat="1" applyFont="1" applyFill="1" applyAlignment="1">
      <alignment horizontal="center"/>
    </xf>
    <xf numFmtId="1" fontId="6" fillId="11" borderId="0" xfId="0" applyNumberFormat="1" applyFont="1" applyFill="1"/>
    <xf numFmtId="10" fontId="6" fillId="11" borderId="0" xfId="0" applyNumberFormat="1" applyFont="1" applyFill="1" applyAlignment="1">
      <alignment horizontal="right"/>
    </xf>
    <xf numFmtId="172" fontId="6" fillId="11" borderId="0" xfId="0" applyNumberFormat="1" applyFont="1" applyFill="1"/>
    <xf numFmtId="9" fontId="6" fillId="13" borderId="0" xfId="0" applyNumberFormat="1" applyFont="1" applyFill="1"/>
    <xf numFmtId="9" fontId="6" fillId="11" borderId="0" xfId="0" applyNumberFormat="1" applyFont="1" applyFill="1"/>
    <xf numFmtId="2" fontId="6" fillId="11" borderId="0" xfId="0" applyNumberFormat="1" applyFont="1" applyFill="1"/>
    <xf numFmtId="0" fontId="6" fillId="14" borderId="0" xfId="0" applyFont="1" applyFill="1"/>
    <xf numFmtId="4" fontId="6" fillId="11" borderId="0" xfId="0" applyNumberFormat="1" applyFont="1" applyFill="1"/>
    <xf numFmtId="3" fontId="6" fillId="14" borderId="0" xfId="0" applyNumberFormat="1" applyFont="1" applyFill="1"/>
    <xf numFmtId="174" fontId="6" fillId="11" borderId="0" xfId="0" applyNumberFormat="1" applyFont="1" applyFill="1"/>
    <xf numFmtId="0" fontId="28" fillId="0" borderId="0" xfId="0" applyFont="1" applyAlignment="1">
      <alignment horizontal="center"/>
    </xf>
    <xf numFmtId="49" fontId="29" fillId="0" borderId="0" xfId="0" applyNumberFormat="1" applyFont="1" applyAlignment="1">
      <alignment horizontal="center" vertical="top" wrapText="1"/>
    </xf>
    <xf numFmtId="49" fontId="4" fillId="0" borderId="0" xfId="0" applyNumberFormat="1" applyFont="1" applyAlignment="1">
      <alignment horizontal="center" vertical="top"/>
    </xf>
    <xf numFmtId="0" fontId="24" fillId="0" borderId="0" xfId="0" applyFont="1" applyAlignment="1">
      <alignment horizontal="center"/>
    </xf>
    <xf numFmtId="0" fontId="27" fillId="0" borderId="0" xfId="0" applyFont="1" applyAlignment="1">
      <alignment horizontal="center"/>
    </xf>
    <xf numFmtId="0" fontId="6" fillId="0" borderId="0" xfId="0" applyFont="1" applyAlignment="1">
      <alignment vertical="top" wrapText="1"/>
    </xf>
    <xf numFmtId="0" fontId="4" fillId="16" borderId="0" xfId="0" applyFont="1" applyFill="1" applyAlignment="1">
      <alignment horizontal="center" vertical="center"/>
    </xf>
    <xf numFmtId="0" fontId="4" fillId="16" borderId="0" xfId="0" applyFont="1" applyFill="1" applyAlignment="1">
      <alignment vertical="center"/>
    </xf>
    <xf numFmtId="3" fontId="4" fillId="0" borderId="0" xfId="0" applyNumberFormat="1" applyFont="1" applyAlignment="1">
      <alignment vertical="center"/>
    </xf>
    <xf numFmtId="3" fontId="4" fillId="16" borderId="0" xfId="0" applyNumberFormat="1" applyFont="1" applyFill="1" applyAlignment="1">
      <alignment vertical="center"/>
    </xf>
    <xf numFmtId="0" fontId="4" fillId="13" borderId="0" xfId="0" applyFont="1" applyFill="1" applyAlignment="1" applyProtection="1">
      <alignment horizontal="center" vertical="center"/>
      <protection locked="0"/>
    </xf>
    <xf numFmtId="49" fontId="4" fillId="27" borderId="0" xfId="0" applyNumberFormat="1" applyFont="1" applyFill="1" applyAlignment="1">
      <alignment vertical="center"/>
    </xf>
    <xf numFmtId="0" fontId="4" fillId="27" borderId="0" xfId="0" applyFont="1" applyFill="1" applyAlignment="1">
      <alignment vertical="center"/>
    </xf>
    <xf numFmtId="0" fontId="4" fillId="0" borderId="0" xfId="0" applyFont="1" applyAlignment="1">
      <alignment vertical="center"/>
    </xf>
    <xf numFmtId="171" fontId="4" fillId="0" borderId="0" xfId="0" applyNumberFormat="1" applyFont="1" applyAlignment="1">
      <alignment horizontal="center" vertical="center"/>
    </xf>
    <xf numFmtId="0" fontId="4" fillId="16" borderId="0" xfId="0" applyFont="1" applyFill="1" applyAlignment="1" applyProtection="1">
      <alignment horizontal="center" vertical="center"/>
      <protection locked="0"/>
    </xf>
    <xf numFmtId="49" fontId="4" fillId="16" borderId="0" xfId="0" applyNumberFormat="1" applyFont="1" applyFill="1" applyAlignment="1">
      <alignment vertical="center"/>
    </xf>
    <xf numFmtId="3" fontId="4" fillId="27" borderId="0" xfId="0" applyNumberFormat="1" applyFont="1" applyFill="1" applyAlignment="1">
      <alignment vertical="center"/>
    </xf>
    <xf numFmtId="0" fontId="4" fillId="27" borderId="0" xfId="0" applyFont="1" applyFill="1" applyAlignment="1" applyProtection="1">
      <alignment horizontal="center" vertical="center"/>
      <protection locked="0"/>
    </xf>
    <xf numFmtId="0" fontId="12" fillId="0" borderId="0" xfId="0" applyFont="1" applyAlignment="1">
      <alignment horizontal="center"/>
    </xf>
    <xf numFmtId="20" fontId="4" fillId="29" borderId="0" xfId="0" applyNumberFormat="1" applyFont="1" applyFill="1" applyAlignment="1">
      <alignment horizontal="center"/>
    </xf>
    <xf numFmtId="49" fontId="4" fillId="13" borderId="0" xfId="0" applyNumberFormat="1" applyFont="1" applyFill="1" applyAlignment="1">
      <alignment horizontal="center"/>
    </xf>
    <xf numFmtId="164" fontId="4" fillId="13" borderId="0" xfId="0" applyNumberFormat="1" applyFont="1" applyFill="1" applyAlignment="1">
      <alignment horizontal="center"/>
    </xf>
    <xf numFmtId="3" fontId="25" fillId="0" borderId="0" xfId="0" applyNumberFormat="1" applyFont="1" applyAlignment="1">
      <alignment horizontal="center"/>
    </xf>
    <xf numFmtId="20" fontId="25" fillId="0" borderId="0" xfId="0" applyNumberFormat="1" applyFont="1" applyAlignment="1">
      <alignment horizontal="right"/>
    </xf>
    <xf numFmtId="170" fontId="25" fillId="0" borderId="0" xfId="0" applyNumberFormat="1" applyFont="1" applyAlignment="1">
      <alignment horizontal="right"/>
    </xf>
    <xf numFmtId="165" fontId="4" fillId="0" borderId="0" xfId="0" applyNumberFormat="1" applyFont="1" applyAlignment="1">
      <alignment horizontal="right"/>
    </xf>
    <xf numFmtId="165" fontId="4" fillId="0" borderId="0" xfId="0" applyNumberFormat="1" applyFont="1"/>
    <xf numFmtId="20" fontId="4" fillId="0" borderId="0" xfId="0" applyNumberFormat="1" applyFont="1" applyAlignment="1">
      <alignment horizontal="right"/>
    </xf>
    <xf numFmtId="170" fontId="4" fillId="0" borderId="0" xfId="0" applyNumberFormat="1" applyFont="1" applyAlignment="1">
      <alignment horizontal="right"/>
    </xf>
    <xf numFmtId="14" fontId="4" fillId="0" borderId="0" xfId="0" applyNumberFormat="1" applyFont="1"/>
    <xf numFmtId="175" fontId="4" fillId="0" borderId="0" xfId="0" applyNumberFormat="1" applyFont="1"/>
    <xf numFmtId="166" fontId="4" fillId="0" borderId="0" xfId="0" applyNumberFormat="1" applyFont="1" applyAlignment="1">
      <alignment horizontal="center"/>
    </xf>
    <xf numFmtId="20" fontId="6" fillId="29" borderId="0" xfId="0" applyNumberFormat="1" applyFont="1" applyFill="1" applyAlignment="1">
      <alignment horizontal="center"/>
    </xf>
    <xf numFmtId="49" fontId="6" fillId="13" borderId="0" xfId="0" applyNumberFormat="1" applyFont="1" applyFill="1" applyAlignment="1">
      <alignment horizontal="center"/>
    </xf>
    <xf numFmtId="164" fontId="6" fillId="13" borderId="0" xfId="0" applyNumberFormat="1" applyFont="1" applyFill="1" applyAlignment="1">
      <alignment horizontal="center"/>
    </xf>
    <xf numFmtId="20" fontId="6" fillId="11" borderId="0" xfId="0" applyNumberFormat="1" applyFont="1" applyFill="1" applyAlignment="1">
      <alignment horizontal="right"/>
    </xf>
    <xf numFmtId="170" fontId="6" fillId="11" borderId="0" xfId="0" applyNumberFormat="1" applyFont="1" applyFill="1" applyAlignment="1">
      <alignment horizontal="right"/>
    </xf>
    <xf numFmtId="0" fontId="6" fillId="0" borderId="20" xfId="0" applyFont="1" applyBorder="1"/>
    <xf numFmtId="0" fontId="4" fillId="0" borderId="20" xfId="0" applyFont="1" applyBorder="1"/>
    <xf numFmtId="1" fontId="4" fillId="0" borderId="0" xfId="0" applyNumberFormat="1" applyFont="1" applyAlignment="1">
      <alignment horizontal="right"/>
    </xf>
    <xf numFmtId="9" fontId="4" fillId="0" borderId="0" xfId="0" applyNumberFormat="1" applyFont="1" applyAlignment="1">
      <alignment horizontal="right"/>
    </xf>
    <xf numFmtId="0" fontId="4" fillId="2" borderId="0" xfId="0" applyFont="1" applyFill="1"/>
    <xf numFmtId="0" fontId="4" fillId="3" borderId="0" xfId="0" applyFont="1" applyFill="1"/>
    <xf numFmtId="0" fontId="4" fillId="4" borderId="0" xfId="0" applyFont="1" applyFill="1"/>
    <xf numFmtId="49" fontId="4" fillId="5" borderId="0" xfId="0" applyNumberFormat="1" applyFont="1" applyFill="1" applyAlignment="1">
      <alignment horizontal="center"/>
    </xf>
    <xf numFmtId="0" fontId="4" fillId="5" borderId="0" xfId="0" applyFont="1" applyFill="1"/>
    <xf numFmtId="0" fontId="4" fillId="6" borderId="0" xfId="0" applyFont="1" applyFill="1"/>
    <xf numFmtId="0" fontId="4" fillId="7" borderId="0" xfId="0" applyFont="1" applyFill="1"/>
    <xf numFmtId="0" fontId="4" fillId="8" borderId="0" xfId="0" applyFont="1" applyFill="1"/>
    <xf numFmtId="0" fontId="4" fillId="2" borderId="20" xfId="0" applyFont="1" applyFill="1" applyBorder="1"/>
    <xf numFmtId="49" fontId="4" fillId="0" borderId="20" xfId="0" applyNumberFormat="1" applyFont="1" applyBorder="1"/>
    <xf numFmtId="168" fontId="4" fillId="0" borderId="0" xfId="0" applyNumberFormat="1" applyFont="1" applyAlignment="1">
      <alignment horizontal="right"/>
    </xf>
    <xf numFmtId="0" fontId="6" fillId="0" borderId="0" xfId="0" applyFont="1" applyAlignment="1">
      <alignment vertical="center"/>
    </xf>
    <xf numFmtId="0" fontId="6" fillId="0" borderId="0" xfId="0" applyFont="1" applyAlignment="1">
      <alignment horizontal="center" vertical="center"/>
    </xf>
    <xf numFmtId="9" fontId="6" fillId="0" borderId="0" xfId="0" applyNumberFormat="1" applyFont="1" applyAlignment="1">
      <alignment vertical="center"/>
    </xf>
    <xf numFmtId="9" fontId="4" fillId="0" borderId="0" xfId="0" applyNumberFormat="1" applyFont="1" applyAlignment="1">
      <alignment vertical="center"/>
    </xf>
    <xf numFmtId="0" fontId="6" fillId="0" borderId="0" xfId="0" applyFont="1" applyAlignment="1">
      <alignment horizontal="right" vertical="center"/>
    </xf>
    <xf numFmtId="0" fontId="4" fillId="0" borderId="6" xfId="0" applyFont="1" applyBorder="1" applyAlignment="1">
      <alignment vertical="center"/>
    </xf>
    <xf numFmtId="0" fontId="4" fillId="0" borderId="5" xfId="0" applyFont="1" applyBorder="1" applyAlignment="1">
      <alignment vertical="center"/>
    </xf>
    <xf numFmtId="168" fontId="4" fillId="0" borderId="0" xfId="0" applyNumberFormat="1" applyFont="1" applyAlignment="1">
      <alignment horizontal="center" vertical="center"/>
    </xf>
    <xf numFmtId="9" fontId="4" fillId="0" borderId="0" xfId="0" applyNumberFormat="1" applyFont="1" applyAlignment="1">
      <alignment horizontal="center" vertical="center"/>
    </xf>
    <xf numFmtId="0" fontId="4" fillId="0" borderId="6" xfId="0" applyFont="1" applyBorder="1" applyAlignment="1">
      <alignment horizontal="center" vertical="center"/>
    </xf>
    <xf numFmtId="0" fontId="4" fillId="0" borderId="2" xfId="0" applyFont="1" applyBorder="1" applyAlignment="1">
      <alignment vertical="center"/>
    </xf>
    <xf numFmtId="0" fontId="4" fillId="0" borderId="10" xfId="0" applyFont="1" applyBorder="1" applyAlignment="1">
      <alignment vertical="center"/>
    </xf>
    <xf numFmtId="0" fontId="4" fillId="0" borderId="3" xfId="0" applyFont="1" applyBorder="1" applyAlignment="1">
      <alignment horizontal="center" vertical="center"/>
    </xf>
    <xf numFmtId="0" fontId="4" fillId="0" borderId="3" xfId="0" applyFont="1" applyBorder="1" applyAlignment="1">
      <alignment vertical="center"/>
    </xf>
    <xf numFmtId="168" fontId="4" fillId="0" borderId="3" xfId="0" applyNumberFormat="1" applyFont="1" applyBorder="1" applyAlignment="1">
      <alignment horizontal="center" vertical="center"/>
    </xf>
    <xf numFmtId="9" fontId="4" fillId="0" borderId="3" xfId="0" applyNumberFormat="1" applyFont="1" applyBorder="1" applyAlignment="1">
      <alignment horizontal="center" vertical="center"/>
    </xf>
    <xf numFmtId="0" fontId="4" fillId="0" borderId="11" xfId="0" applyFont="1" applyBorder="1" applyAlignment="1">
      <alignment horizontal="center" vertical="center"/>
    </xf>
    <xf numFmtId="0" fontId="4" fillId="0" borderId="9" xfId="0" applyFont="1" applyBorder="1" applyAlignment="1">
      <alignment vertical="center"/>
    </xf>
    <xf numFmtId="0" fontId="4" fillId="0" borderId="8" xfId="0" applyFont="1" applyBorder="1" applyAlignment="1">
      <alignment vertical="center"/>
    </xf>
    <xf numFmtId="0" fontId="4" fillId="0" borderId="2" xfId="0" applyFont="1" applyBorder="1" applyAlignment="1">
      <alignment horizontal="center" vertical="center"/>
    </xf>
    <xf numFmtId="168" fontId="4" fillId="0" borderId="2" xfId="0" applyNumberFormat="1" applyFont="1" applyBorder="1" applyAlignment="1">
      <alignment horizontal="center" vertical="center"/>
    </xf>
    <xf numFmtId="9" fontId="4" fillId="0" borderId="2" xfId="0" applyNumberFormat="1" applyFont="1" applyBorder="1" applyAlignment="1">
      <alignment horizontal="center" vertical="center"/>
    </xf>
    <xf numFmtId="0" fontId="4" fillId="0" borderId="11" xfId="0" applyFont="1" applyBorder="1" applyAlignment="1">
      <alignment vertical="center"/>
    </xf>
    <xf numFmtId="0" fontId="4" fillId="0" borderId="18" xfId="0" applyFont="1" applyBorder="1" applyAlignment="1">
      <alignment vertical="center"/>
    </xf>
    <xf numFmtId="0" fontId="4" fillId="0" borderId="7" xfId="0" applyFont="1" applyBorder="1" applyAlignment="1">
      <alignment vertical="center"/>
    </xf>
    <xf numFmtId="0" fontId="4" fillId="0" borderId="12" xfId="0" applyFont="1" applyBorder="1" applyAlignment="1">
      <alignment vertical="center"/>
    </xf>
    <xf numFmtId="9" fontId="4" fillId="0" borderId="6" xfId="0" applyNumberFormat="1" applyFont="1" applyBorder="1" applyAlignment="1">
      <alignment horizontal="center" vertical="center"/>
    </xf>
    <xf numFmtId="0" fontId="4" fillId="0" borderId="20" xfId="0" applyFont="1" applyBorder="1" applyAlignment="1">
      <alignment vertical="center"/>
    </xf>
    <xf numFmtId="49" fontId="4" fillId="0" borderId="3" xfId="0" applyNumberFormat="1" applyFont="1" applyBorder="1"/>
    <xf numFmtId="0" fontId="4" fillId="33" borderId="0" xfId="0" applyFont="1" applyFill="1" applyAlignment="1">
      <alignment horizontal="center"/>
    </xf>
    <xf numFmtId="3" fontId="4" fillId="33" borderId="0" xfId="0" applyNumberFormat="1" applyFont="1" applyFill="1" applyAlignment="1">
      <alignment horizontal="center"/>
    </xf>
    <xf numFmtId="3" fontId="6" fillId="33" borderId="0" xfId="0" applyNumberFormat="1" applyFont="1" applyFill="1" applyAlignment="1">
      <alignment horizontal="center"/>
    </xf>
    <xf numFmtId="3" fontId="4" fillId="34" borderId="0" xfId="0" applyNumberFormat="1" applyFont="1" applyFill="1" applyAlignment="1">
      <alignment horizontal="center"/>
    </xf>
    <xf numFmtId="3" fontId="6" fillId="34" borderId="0" xfId="0" applyNumberFormat="1" applyFont="1" applyFill="1" applyAlignment="1">
      <alignment horizontal="center"/>
    </xf>
    <xf numFmtId="0" fontId="4" fillId="34" borderId="0" xfId="0" applyFont="1" applyFill="1" applyAlignment="1">
      <alignment horizontal="center"/>
    </xf>
    <xf numFmtId="0" fontId="6" fillId="34" borderId="0" xfId="0" applyFont="1" applyFill="1" applyAlignment="1">
      <alignment horizontal="center"/>
    </xf>
    <xf numFmtId="3" fontId="4" fillId="35" borderId="0" xfId="0" applyNumberFormat="1" applyFont="1" applyFill="1" applyAlignment="1">
      <alignment horizontal="center"/>
    </xf>
    <xf numFmtId="3" fontId="6" fillId="35" borderId="0" xfId="0" applyNumberFormat="1" applyFont="1" applyFill="1" applyAlignment="1">
      <alignment horizontal="center"/>
    </xf>
    <xf numFmtId="0" fontId="4" fillId="35" borderId="0" xfId="0" applyFont="1" applyFill="1" applyAlignment="1">
      <alignment horizontal="center"/>
    </xf>
    <xf numFmtId="0" fontId="6" fillId="35" borderId="0" xfId="0" applyFont="1" applyFill="1" applyAlignment="1">
      <alignment horizontal="center"/>
    </xf>
    <xf numFmtId="3" fontId="4" fillId="36" borderId="0" xfId="0" applyNumberFormat="1" applyFont="1" applyFill="1" applyAlignment="1">
      <alignment horizontal="center"/>
    </xf>
    <xf numFmtId="3" fontId="6" fillId="36" borderId="0" xfId="0" applyNumberFormat="1" applyFont="1" applyFill="1" applyAlignment="1">
      <alignment horizontal="center"/>
    </xf>
    <xf numFmtId="0" fontId="4" fillId="36" borderId="0" xfId="0" applyFont="1" applyFill="1" applyAlignment="1">
      <alignment horizontal="center"/>
    </xf>
    <xf numFmtId="0" fontId="6" fillId="36" borderId="0" xfId="0" applyFont="1" applyFill="1" applyAlignment="1">
      <alignment horizontal="center"/>
    </xf>
    <xf numFmtId="0" fontId="26" fillId="27" borderId="8" xfId="0" applyFont="1" applyFill="1" applyBorder="1" applyAlignment="1">
      <alignment horizontal="right"/>
    </xf>
    <xf numFmtId="0" fontId="26" fillId="27" borderId="9" xfId="0" applyFont="1" applyFill="1" applyBorder="1" applyAlignment="1">
      <alignment horizontal="center" vertical="center"/>
    </xf>
    <xf numFmtId="0" fontId="4" fillId="27" borderId="5" xfId="0" applyFont="1" applyFill="1" applyBorder="1"/>
    <xf numFmtId="0" fontId="4" fillId="27" borderId="6" xfId="0" applyFont="1" applyFill="1" applyBorder="1"/>
    <xf numFmtId="0" fontId="4" fillId="27" borderId="10" xfId="0" applyFont="1" applyFill="1" applyBorder="1"/>
    <xf numFmtId="0" fontId="4" fillId="27" borderId="11" xfId="0" applyFont="1" applyFill="1" applyBorder="1"/>
    <xf numFmtId="173" fontId="4" fillId="0" borderId="0" xfId="0" applyNumberFormat="1" applyFont="1" applyAlignment="1">
      <alignment horizontal="center" vertical="center"/>
    </xf>
    <xf numFmtId="3" fontId="2" fillId="15" borderId="43" xfId="0" applyNumberFormat="1" applyFont="1" applyFill="1" applyBorder="1"/>
    <xf numFmtId="3" fontId="2" fillId="24" borderId="43" xfId="0" applyNumberFormat="1" applyFont="1" applyFill="1" applyBorder="1" applyAlignment="1">
      <alignment horizontal="center"/>
    </xf>
    <xf numFmtId="3" fontId="2" fillId="19" borderId="43" xfId="0" applyNumberFormat="1" applyFont="1" applyFill="1" applyBorder="1" applyAlignment="1">
      <alignment horizontal="center"/>
    </xf>
    <xf numFmtId="3" fontId="2" fillId="34" borderId="43" xfId="0" applyNumberFormat="1" applyFont="1" applyFill="1" applyBorder="1" applyAlignment="1">
      <alignment horizontal="center"/>
    </xf>
    <xf numFmtId="3" fontId="2" fillId="35" borderId="43" xfId="0" applyNumberFormat="1" applyFont="1" applyFill="1" applyBorder="1" applyAlignment="1">
      <alignment horizontal="center"/>
    </xf>
    <xf numFmtId="3" fontId="2" fillId="36" borderId="43" xfId="0" applyNumberFormat="1" applyFont="1" applyFill="1" applyBorder="1" applyAlignment="1">
      <alignment horizontal="center"/>
    </xf>
    <xf numFmtId="3" fontId="2" fillId="22" borderId="43" xfId="0" applyNumberFormat="1" applyFont="1" applyFill="1" applyBorder="1" applyAlignment="1">
      <alignment horizontal="center"/>
    </xf>
    <xf numFmtId="3" fontId="2" fillId="21" borderId="43" xfId="0" applyNumberFormat="1" applyFont="1" applyFill="1" applyBorder="1" applyAlignment="1">
      <alignment horizontal="center"/>
    </xf>
    <xf numFmtId="0" fontId="2" fillId="15" borderId="43" xfId="0" applyFont="1" applyFill="1" applyBorder="1"/>
    <xf numFmtId="0" fontId="2" fillId="9" borderId="43" xfId="0" applyFont="1" applyFill="1" applyBorder="1" applyAlignment="1">
      <alignment horizontal="center"/>
    </xf>
    <xf numFmtId="0" fontId="2" fillId="24" borderId="43" xfId="0" applyFont="1" applyFill="1" applyBorder="1" applyAlignment="1">
      <alignment horizontal="center"/>
    </xf>
    <xf numFmtId="0" fontId="2" fillId="19" borderId="43" xfId="0" applyFont="1" applyFill="1" applyBorder="1" applyAlignment="1">
      <alignment horizontal="center"/>
    </xf>
    <xf numFmtId="0" fontId="2" fillId="34" borderId="43" xfId="0" applyFont="1" applyFill="1" applyBorder="1" applyAlignment="1">
      <alignment horizontal="center"/>
    </xf>
    <xf numFmtId="0" fontId="2" fillId="35" borderId="43" xfId="0" applyFont="1" applyFill="1" applyBorder="1" applyAlignment="1">
      <alignment horizontal="center"/>
    </xf>
    <xf numFmtId="0" fontId="2" fillId="36" borderId="43" xfId="0" applyFont="1" applyFill="1" applyBorder="1" applyAlignment="1">
      <alignment horizontal="center"/>
    </xf>
    <xf numFmtId="0" fontId="2" fillId="22" borderId="43" xfId="0" applyFont="1" applyFill="1" applyBorder="1" applyAlignment="1">
      <alignment horizontal="center"/>
    </xf>
    <xf numFmtId="0" fontId="2" fillId="21" borderId="43" xfId="0" applyFont="1" applyFill="1" applyBorder="1" applyAlignment="1">
      <alignment horizontal="center"/>
    </xf>
    <xf numFmtId="0" fontId="2" fillId="15" borderId="0" xfId="0" applyFont="1" applyFill="1"/>
    <xf numFmtId="3" fontId="2" fillId="15" borderId="0" xfId="0" applyNumberFormat="1" applyFont="1" applyFill="1"/>
    <xf numFmtId="9" fontId="2" fillId="15" borderId="43" xfId="0" applyNumberFormat="1" applyFont="1" applyFill="1" applyBorder="1"/>
    <xf numFmtId="0" fontId="2" fillId="15" borderId="43" xfId="0" applyFont="1" applyFill="1" applyBorder="1" applyAlignment="1">
      <alignment horizontal="center"/>
    </xf>
    <xf numFmtId="3" fontId="11" fillId="30" borderId="0" xfId="0" applyNumberFormat="1" applyFont="1" applyFill="1"/>
    <xf numFmtId="3" fontId="3" fillId="14" borderId="43" xfId="0" applyNumberFormat="1" applyFont="1" applyFill="1" applyBorder="1"/>
    <xf numFmtId="3" fontId="3" fillId="15" borderId="50" xfId="0" applyNumberFormat="1" applyFont="1" applyFill="1" applyBorder="1"/>
    <xf numFmtId="3" fontId="3" fillId="14" borderId="49" xfId="0" applyNumberFormat="1" applyFont="1" applyFill="1" applyBorder="1"/>
    <xf numFmtId="49" fontId="6" fillId="0" borderId="23" xfId="0" applyNumberFormat="1" applyFont="1" applyBorder="1" applyAlignment="1">
      <alignment horizontal="center" vertical="top" wrapText="1"/>
    </xf>
    <xf numFmtId="0" fontId="4" fillId="13" borderId="23" xfId="0" applyFont="1" applyFill="1" applyBorder="1" applyAlignment="1">
      <alignment horizontal="center"/>
    </xf>
    <xf numFmtId="0" fontId="6" fillId="13" borderId="23" xfId="0" applyFont="1" applyFill="1" applyBorder="1" applyAlignment="1">
      <alignment horizontal="center"/>
    </xf>
    <xf numFmtId="10" fontId="0" fillId="0" borderId="0" xfId="0" applyNumberFormat="1"/>
    <xf numFmtId="0" fontId="6" fillId="0" borderId="0" xfId="0" applyFont="1" applyAlignment="1">
      <alignment horizontal="center" vertical="center" textRotation="90"/>
    </xf>
    <xf numFmtId="9" fontId="4" fillId="0" borderId="3" xfId="0" applyNumberFormat="1" applyFont="1" applyBorder="1" applyProtection="1">
      <protection hidden="1"/>
    </xf>
    <xf numFmtId="49" fontId="6" fillId="0" borderId="33" xfId="0" applyNumberFormat="1" applyFont="1" applyBorder="1" applyAlignment="1">
      <alignment horizontal="center" vertical="top" wrapText="1"/>
    </xf>
    <xf numFmtId="0" fontId="4" fillId="15" borderId="0" xfId="0" applyFont="1" applyFill="1" applyAlignment="1">
      <alignment horizontal="center"/>
    </xf>
    <xf numFmtId="0" fontId="32" fillId="0" borderId="0" xfId="0" applyFont="1"/>
    <xf numFmtId="0" fontId="4" fillId="0" borderId="0" xfId="0" applyFont="1" applyProtection="1">
      <protection hidden="1"/>
    </xf>
    <xf numFmtId="3" fontId="3" fillId="14" borderId="46" xfId="0" applyNumberFormat="1" applyFont="1" applyFill="1" applyBorder="1"/>
    <xf numFmtId="49" fontId="3" fillId="15" borderId="45" xfId="0" applyNumberFormat="1" applyFont="1" applyFill="1" applyBorder="1"/>
    <xf numFmtId="3" fontId="3" fillId="15" borderId="46" xfId="0" applyNumberFormat="1" applyFont="1" applyFill="1" applyBorder="1"/>
    <xf numFmtId="49" fontId="1" fillId="14" borderId="45" xfId="0" applyNumberFormat="1" applyFont="1" applyFill="1" applyBorder="1"/>
    <xf numFmtId="168" fontId="4" fillId="0" borderId="6" xfId="0" applyNumberFormat="1" applyFont="1" applyBorder="1" applyAlignment="1">
      <alignment horizontal="center" vertical="center"/>
    </xf>
    <xf numFmtId="0" fontId="19" fillId="0" borderId="0" xfId="0" applyFont="1"/>
    <xf numFmtId="0" fontId="17" fillId="0" borderId="0" xfId="0" applyFont="1"/>
    <xf numFmtId="0" fontId="4" fillId="12" borderId="0" xfId="0" applyFont="1" applyFill="1"/>
    <xf numFmtId="0" fontId="4" fillId="12" borderId="0" xfId="0" applyFont="1" applyFill="1" applyAlignment="1">
      <alignment wrapText="1"/>
    </xf>
    <xf numFmtId="0" fontId="4" fillId="0" borderId="0" xfId="0" applyFont="1" applyAlignment="1">
      <alignment wrapText="1"/>
    </xf>
    <xf numFmtId="0" fontId="4" fillId="0" borderId="0" xfId="0" applyFont="1"/>
    <xf numFmtId="0" fontId="4" fillId="12" borderId="0" xfId="0" applyFont="1" applyFill="1" applyAlignment="1">
      <alignment vertical="top" wrapText="1"/>
    </xf>
    <xf numFmtId="0" fontId="4" fillId="0" borderId="0" xfId="0" applyFont="1" applyAlignment="1">
      <alignment vertical="top" wrapText="1"/>
    </xf>
    <xf numFmtId="0" fontId="12" fillId="2" borderId="0" xfId="0" applyFont="1" applyFill="1" applyAlignment="1">
      <alignment horizontal="center"/>
    </xf>
    <xf numFmtId="0" fontId="12" fillId="2" borderId="23" xfId="0" applyFont="1" applyFill="1" applyBorder="1" applyAlignment="1">
      <alignment horizontal="center"/>
    </xf>
    <xf numFmtId="0" fontId="13" fillId="2" borderId="40" xfId="0" applyFont="1" applyFill="1" applyBorder="1" applyAlignment="1">
      <alignment horizontal="center" vertical="top"/>
    </xf>
    <xf numFmtId="0" fontId="13" fillId="2" borderId="19" xfId="0" applyFont="1" applyFill="1" applyBorder="1" applyAlignment="1">
      <alignment horizontal="center" vertical="top"/>
    </xf>
    <xf numFmtId="0" fontId="13" fillId="2" borderId="29" xfId="0" applyFont="1" applyFill="1" applyBorder="1" applyAlignment="1">
      <alignment horizontal="center" vertical="top"/>
    </xf>
    <xf numFmtId="0" fontId="4" fillId="2" borderId="20" xfId="0" applyFont="1" applyFill="1" applyBorder="1" applyAlignment="1">
      <alignment horizontal="left" vertical="justify" wrapText="1"/>
    </xf>
    <xf numFmtId="0" fontId="4" fillId="2" borderId="0" xfId="0" applyFont="1" applyFill="1" applyAlignment="1">
      <alignment horizontal="left" vertical="justify" wrapText="1"/>
    </xf>
    <xf numFmtId="0" fontId="6" fillId="12" borderId="41" xfId="0" applyFont="1" applyFill="1" applyBorder="1"/>
    <xf numFmtId="0" fontId="4" fillId="12" borderId="36" xfId="0" applyFont="1" applyFill="1" applyBorder="1"/>
    <xf numFmtId="0" fontId="4" fillId="12" borderId="42" xfId="0" applyFont="1" applyFill="1" applyBorder="1"/>
    <xf numFmtId="0" fontId="23" fillId="0" borderId="28" xfId="0" applyFont="1" applyBorder="1" applyAlignment="1">
      <alignment horizontal="center" vertical="center" wrapText="1"/>
    </xf>
    <xf numFmtId="0" fontId="23" fillId="0" borderId="19" xfId="0" applyFont="1" applyBorder="1" applyAlignment="1">
      <alignment horizontal="center" vertical="center" wrapText="1"/>
    </xf>
    <xf numFmtId="0" fontId="23" fillId="0" borderId="29"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0" xfId="0" applyFont="1" applyAlignment="1">
      <alignment horizontal="center" vertical="center" wrapText="1"/>
    </xf>
    <xf numFmtId="0" fontId="23" fillId="0" borderId="23" xfId="0" applyFont="1" applyBorder="1" applyAlignment="1">
      <alignment horizontal="center" vertical="center" wrapText="1"/>
    </xf>
    <xf numFmtId="0" fontId="23" fillId="0" borderId="38" xfId="0" applyFont="1" applyBorder="1" applyAlignment="1">
      <alignment horizontal="center" vertical="center" wrapText="1"/>
    </xf>
    <xf numFmtId="0" fontId="23" fillId="0" borderId="33" xfId="0" applyFont="1" applyBorder="1" applyAlignment="1">
      <alignment horizontal="center" vertical="center" wrapText="1"/>
    </xf>
    <xf numFmtId="0" fontId="23" fillId="0" borderId="39" xfId="0" applyFont="1" applyBorder="1" applyAlignment="1">
      <alignment horizontal="center" vertical="center" wrapText="1"/>
    </xf>
    <xf numFmtId="0" fontId="15" fillId="12" borderId="0" xfId="0" applyFont="1" applyFill="1"/>
    <xf numFmtId="0" fontId="4" fillId="0" borderId="3" xfId="0" applyFont="1" applyBorder="1"/>
    <xf numFmtId="0" fontId="4" fillId="0" borderId="1" xfId="0" applyFont="1" applyBorder="1"/>
    <xf numFmtId="0" fontId="4" fillId="12" borderId="17" xfId="0" applyFont="1" applyFill="1" applyBorder="1" applyAlignment="1">
      <alignment vertical="center" wrapText="1"/>
    </xf>
    <xf numFmtId="0" fontId="4" fillId="12" borderId="0" xfId="0" applyFont="1" applyFill="1" applyAlignment="1">
      <alignment vertical="center" wrapText="1"/>
    </xf>
    <xf numFmtId="0" fontId="4" fillId="12" borderId="23" xfId="0" applyFont="1" applyFill="1" applyBorder="1" applyAlignment="1">
      <alignment vertical="center" wrapText="1"/>
    </xf>
    <xf numFmtId="0" fontId="4" fillId="12" borderId="17" xfId="0" applyFont="1" applyFill="1" applyBorder="1" applyAlignment="1">
      <alignment vertical="center"/>
    </xf>
    <xf numFmtId="0" fontId="4" fillId="12" borderId="0" xfId="0" applyFont="1" applyFill="1" applyAlignment="1">
      <alignment vertical="center"/>
    </xf>
    <xf numFmtId="0" fontId="4" fillId="12" borderId="23" xfId="0" applyFont="1" applyFill="1" applyBorder="1" applyAlignment="1">
      <alignment vertical="center"/>
    </xf>
    <xf numFmtId="0" fontId="4" fillId="12" borderId="38" xfId="0" applyFont="1" applyFill="1" applyBorder="1" applyAlignment="1">
      <alignment vertical="center"/>
    </xf>
    <xf numFmtId="0" fontId="4" fillId="12" borderId="33" xfId="0" applyFont="1" applyFill="1" applyBorder="1" applyAlignment="1">
      <alignment vertical="center"/>
    </xf>
    <xf numFmtId="0" fontId="4" fillId="12" borderId="39" xfId="0" applyFont="1" applyFill="1" applyBorder="1" applyAlignment="1">
      <alignment vertical="center"/>
    </xf>
    <xf numFmtId="0" fontId="15" fillId="12" borderId="31" xfId="0" applyFont="1" applyFill="1" applyBorder="1"/>
    <xf numFmtId="0" fontId="4" fillId="0" borderId="19" xfId="0" applyFont="1" applyBorder="1"/>
    <xf numFmtId="0" fontId="4" fillId="0" borderId="31" xfId="0" applyFont="1" applyBorder="1"/>
    <xf numFmtId="0" fontId="14" fillId="2" borderId="20" xfId="0" applyFont="1" applyFill="1" applyBorder="1" applyAlignment="1">
      <alignment vertical="center" wrapText="1"/>
    </xf>
    <xf numFmtId="0" fontId="14" fillId="2" borderId="0" xfId="0" applyFont="1" applyFill="1" applyAlignment="1">
      <alignment vertical="center" wrapText="1"/>
    </xf>
    <xf numFmtId="0" fontId="14" fillId="2" borderId="23" xfId="0" applyFont="1" applyFill="1" applyBorder="1" applyAlignment="1">
      <alignment vertical="center" wrapText="1"/>
    </xf>
    <xf numFmtId="0" fontId="14" fillId="2" borderId="32" xfId="0" applyFont="1" applyFill="1" applyBorder="1" applyAlignment="1">
      <alignment vertical="center" wrapText="1"/>
    </xf>
    <xf numFmtId="0" fontId="14" fillId="2" borderId="33" xfId="0" applyFont="1" applyFill="1" applyBorder="1" applyAlignment="1">
      <alignment vertical="center" wrapText="1"/>
    </xf>
    <xf numFmtId="0" fontId="14" fillId="2" borderId="39" xfId="0" applyFont="1" applyFill="1" applyBorder="1" applyAlignment="1">
      <alignment vertical="center" wrapText="1"/>
    </xf>
    <xf numFmtId="0" fontId="6" fillId="0" borderId="0" xfId="0" applyFont="1" applyAlignment="1">
      <alignment horizontal="left"/>
    </xf>
    <xf numFmtId="0" fontId="6" fillId="0" borderId="0" xfId="0" applyFont="1" applyAlignment="1">
      <alignment horizontal="center"/>
    </xf>
    <xf numFmtId="0" fontId="4" fillId="0" borderId="0" xfId="0" applyFont="1" applyAlignment="1">
      <alignment horizontal="center"/>
    </xf>
    <xf numFmtId="0" fontId="6" fillId="0" borderId="0" xfId="0" applyFont="1"/>
    <xf numFmtId="0" fontId="25" fillId="0" borderId="0" xfId="0" applyFont="1" applyAlignment="1">
      <alignment horizontal="center"/>
    </xf>
    <xf numFmtId="0" fontId="4" fillId="0" borderId="0" xfId="0" applyFont="1" applyAlignment="1">
      <alignment horizontal="left"/>
    </xf>
    <xf numFmtId="49" fontId="6" fillId="0" borderId="0" xfId="0" applyNumberFormat="1" applyFont="1" applyAlignment="1">
      <alignment horizontal="center"/>
    </xf>
    <xf numFmtId="0" fontId="25" fillId="0" borderId="0" xfId="0" applyFont="1" applyAlignment="1">
      <alignment horizontal="center" wrapText="1"/>
    </xf>
    <xf numFmtId="0" fontId="0" fillId="0" borderId="3" xfId="0" applyBorder="1"/>
    <xf numFmtId="0" fontId="0" fillId="0" borderId="11" xfId="0" applyBorder="1"/>
  </cellXfs>
  <cellStyles count="1">
    <cellStyle name="Standaard" xfId="0" builtinId="0"/>
  </cellStyles>
  <dxfs count="88">
    <dxf>
      <fill>
        <patternFill>
          <bgColor indexed="10"/>
        </patternFill>
      </fill>
    </dxf>
    <dxf>
      <fill>
        <patternFill>
          <bgColor indexed="29"/>
        </patternFill>
      </fill>
    </dxf>
    <dxf>
      <font>
        <color indexed="11"/>
      </font>
    </dxf>
    <dxf>
      <font>
        <color indexed="9"/>
      </font>
    </dxf>
    <dxf>
      <font>
        <color indexed="10"/>
      </font>
      <fill>
        <patternFill>
          <bgColor indexed="10"/>
        </patternFill>
      </fill>
    </dxf>
    <dxf>
      <fill>
        <patternFill>
          <bgColor indexed="29"/>
        </patternFill>
      </fill>
    </dxf>
    <dxf>
      <font>
        <b/>
        <color indexed="9"/>
      </font>
      <fill>
        <patternFill>
          <bgColor indexed="10"/>
        </patternFill>
      </fill>
    </dxf>
    <dxf>
      <fill>
        <patternFill>
          <bgColor rgb="FFFF8080"/>
        </patternFill>
      </fill>
    </dxf>
    <dxf>
      <fill>
        <patternFill>
          <bgColor indexed="29"/>
        </patternFill>
      </fill>
    </dxf>
    <dxf>
      <fill>
        <patternFill>
          <bgColor theme="0" tint="-0.24994659260841701"/>
        </patternFill>
      </fill>
      <border>
        <left/>
        <right/>
        <top/>
        <bottom style="thin">
          <color auto="1"/>
        </bottom>
      </border>
    </dxf>
    <dxf>
      <fill>
        <patternFill>
          <bgColor rgb="FF00FF00"/>
        </patternFill>
      </fill>
      <border>
        <left style="dashDot">
          <color auto="1"/>
        </left>
        <right style="dashDot">
          <color auto="1"/>
        </right>
        <top style="dashDot">
          <color auto="1"/>
        </top>
        <bottom style="dashDot">
          <color auto="1"/>
        </bottom>
      </border>
    </dxf>
    <dxf>
      <font>
        <b/>
        <color indexed="9"/>
      </font>
      <fill>
        <patternFill>
          <bgColor indexed="10"/>
        </patternFill>
      </fill>
    </dxf>
    <dxf>
      <font>
        <b/>
        <color indexed="9"/>
      </font>
      <fill>
        <patternFill>
          <bgColor indexed="10"/>
        </patternFill>
      </fill>
    </dxf>
    <dxf>
      <font>
        <b/>
        <color indexed="9"/>
      </font>
      <fill>
        <patternFill>
          <bgColor indexed="10"/>
        </patternFill>
      </fill>
    </dxf>
    <dxf>
      <fill>
        <patternFill>
          <bgColor theme="9" tint="0.39994506668294322"/>
        </patternFill>
      </fill>
    </dxf>
    <dxf>
      <fill>
        <patternFill>
          <bgColor indexed="29"/>
        </patternFill>
      </fill>
    </dxf>
    <dxf>
      <fill>
        <patternFill>
          <bgColor rgb="FFA6A6A6"/>
        </patternFill>
      </fill>
      <border>
        <left/>
        <right/>
        <top/>
        <bottom style="thin">
          <color auto="1"/>
        </bottom>
      </border>
    </dxf>
    <dxf>
      <fill>
        <patternFill>
          <bgColor rgb="FF00FF00"/>
        </patternFill>
      </fill>
      <border>
        <left style="dashDot">
          <color theme="6" tint="-0.499984740745262"/>
        </left>
        <right style="dashDot">
          <color theme="6" tint="-0.499984740745262"/>
        </right>
        <top style="dashDot">
          <color theme="6" tint="-0.499984740745262"/>
        </top>
        <bottom style="dashDot">
          <color theme="6" tint="-0.499984740745262"/>
        </bottom>
      </border>
    </dxf>
    <dxf>
      <font>
        <b/>
        <color indexed="9"/>
      </font>
      <fill>
        <patternFill>
          <bgColor indexed="10"/>
        </patternFill>
      </fill>
    </dxf>
    <dxf>
      <font>
        <b/>
        <color indexed="9"/>
      </font>
      <fill>
        <patternFill>
          <bgColor indexed="10"/>
        </patternFill>
      </fill>
    </dxf>
    <dxf>
      <fill>
        <patternFill>
          <bgColor rgb="FFFF8080"/>
        </patternFill>
      </fill>
    </dxf>
    <dxf>
      <fill>
        <patternFill>
          <bgColor rgb="FFFF8080"/>
        </patternFill>
      </fill>
    </dxf>
    <dxf>
      <fill>
        <patternFill>
          <bgColor indexed="29"/>
        </patternFill>
      </fill>
    </dxf>
    <dxf>
      <font>
        <b/>
        <color indexed="9"/>
      </font>
      <fill>
        <patternFill>
          <bgColor indexed="10"/>
        </patternFill>
      </fill>
    </dxf>
    <dxf>
      <fill>
        <patternFill>
          <bgColor rgb="FF00FF00"/>
        </patternFill>
      </fill>
      <border>
        <left style="dashDot">
          <color theme="6" tint="-0.499984740745262"/>
        </left>
        <right style="dashDot">
          <color theme="6" tint="-0.499984740745262"/>
        </right>
        <top style="dashDot">
          <color theme="6" tint="-0.499984740745262"/>
        </top>
        <bottom style="dashDot">
          <color theme="6" tint="-0.499984740745262"/>
        </bottom>
      </border>
    </dxf>
    <dxf>
      <font>
        <b/>
        <color indexed="9"/>
      </font>
      <fill>
        <patternFill>
          <bgColor indexed="10"/>
        </patternFill>
      </fill>
    </dxf>
    <dxf>
      <font>
        <b/>
        <color indexed="9"/>
      </font>
      <fill>
        <patternFill>
          <bgColor indexed="10"/>
        </patternFill>
      </fill>
    </dxf>
    <dxf>
      <fill>
        <patternFill>
          <bgColor theme="5" tint="0.59996337778862885"/>
        </patternFill>
      </fill>
    </dxf>
    <dxf>
      <font>
        <color indexed="11"/>
      </font>
    </dxf>
    <dxf>
      <font>
        <color theme="0"/>
      </font>
      <fill>
        <patternFill>
          <bgColor rgb="FFFF0000"/>
        </patternFill>
      </fill>
    </dxf>
    <dxf>
      <fill>
        <patternFill>
          <bgColor indexed="29"/>
        </patternFill>
      </fill>
    </dxf>
    <dxf>
      <font>
        <b/>
        <color indexed="9"/>
      </font>
      <fill>
        <patternFill>
          <bgColor indexed="10"/>
        </patternFill>
      </fill>
    </dxf>
    <dxf>
      <fill>
        <patternFill>
          <bgColor rgb="FFA6A6A6"/>
        </patternFill>
      </fill>
      <border>
        <left/>
        <right/>
        <top/>
        <bottom style="thin">
          <color auto="1"/>
        </bottom>
      </border>
    </dxf>
    <dxf>
      <fill>
        <patternFill>
          <bgColor rgb="FF00FF00"/>
        </patternFill>
      </fill>
      <border>
        <left style="dashDot">
          <color theme="6" tint="-0.499984740745262"/>
        </left>
        <right style="dashDot">
          <color theme="6" tint="-0.499984740745262"/>
        </right>
        <top style="dashDot">
          <color theme="6" tint="-0.499984740745262"/>
        </top>
        <bottom style="dashDot">
          <color theme="6" tint="-0.499984740745262"/>
        </bottom>
      </border>
    </dxf>
    <dxf>
      <font>
        <b/>
        <color indexed="9"/>
      </font>
      <fill>
        <patternFill>
          <bgColor indexed="10"/>
        </patternFill>
      </fill>
    </dxf>
    <dxf>
      <font>
        <b/>
        <color indexed="9"/>
      </font>
      <fill>
        <patternFill>
          <bgColor indexed="10"/>
        </patternFill>
      </fill>
    </dxf>
    <dxf>
      <fill>
        <patternFill>
          <bgColor indexed="29"/>
        </patternFill>
      </fill>
    </dxf>
    <dxf>
      <fill>
        <patternFill>
          <bgColor rgb="FFA6A6A6"/>
        </patternFill>
      </fill>
      <border>
        <left/>
        <right/>
        <top/>
        <bottom style="thin">
          <color auto="1"/>
        </bottom>
      </border>
    </dxf>
    <dxf>
      <fill>
        <patternFill>
          <bgColor rgb="FF00FF00"/>
        </patternFill>
      </fill>
      <border>
        <left style="dashDot">
          <color auto="1"/>
        </left>
        <right style="dashDot">
          <color auto="1"/>
        </right>
        <top style="dashDot">
          <color auto="1"/>
        </top>
        <bottom style="dashDot">
          <color auto="1"/>
        </bottom>
      </border>
    </dxf>
    <dxf>
      <fill>
        <patternFill>
          <bgColor theme="0" tint="-0.34998626667073579"/>
        </patternFill>
      </fill>
      <border>
        <left/>
        <right/>
        <top/>
        <bottom style="thin">
          <color auto="1"/>
        </bottom>
      </border>
    </dxf>
    <dxf>
      <fill>
        <patternFill>
          <bgColor rgb="FF00FF00"/>
        </patternFill>
      </fill>
      <border>
        <left style="dashDot">
          <color theme="6" tint="-0.499984740745262"/>
        </left>
        <right style="dashDot">
          <color theme="6" tint="-0.499984740745262"/>
        </right>
        <top style="dashDot">
          <color theme="6" tint="-0.499984740745262"/>
        </top>
        <bottom style="dashDot">
          <color theme="6" tint="-0.499984740745262"/>
        </bottom>
      </border>
    </dxf>
    <dxf>
      <font>
        <b/>
        <color indexed="9"/>
      </font>
      <fill>
        <patternFill>
          <bgColor indexed="10"/>
        </patternFill>
      </fill>
    </dxf>
    <dxf>
      <font>
        <b/>
        <color indexed="9"/>
      </font>
      <fill>
        <patternFill>
          <bgColor indexed="10"/>
        </patternFill>
      </fill>
    </dxf>
    <dxf>
      <font>
        <b/>
        <color indexed="9"/>
      </font>
      <fill>
        <patternFill>
          <bgColor indexed="10"/>
        </patternFill>
      </fill>
    </dxf>
    <dxf>
      <font>
        <color indexed="50"/>
      </font>
    </dxf>
    <dxf>
      <font>
        <color indexed="10"/>
      </font>
      <fill>
        <patternFill patternType="none">
          <bgColor indexed="65"/>
        </patternFill>
      </fill>
    </dxf>
    <dxf>
      <font>
        <b/>
        <color indexed="9"/>
      </font>
      <fill>
        <patternFill>
          <bgColor indexed="10"/>
        </patternFill>
      </fill>
    </dxf>
    <dxf>
      <fill>
        <patternFill>
          <bgColor indexed="29"/>
        </patternFill>
      </fill>
    </dxf>
    <dxf>
      <fill>
        <patternFill>
          <bgColor rgb="FFA6A6A6"/>
        </patternFill>
      </fill>
      <border>
        <left/>
        <right/>
        <top/>
        <bottom style="thin">
          <color auto="1"/>
        </bottom>
      </border>
    </dxf>
    <dxf>
      <fill>
        <patternFill>
          <bgColor rgb="FF00FF00"/>
        </patternFill>
      </fill>
      <border>
        <left style="dashDot">
          <color auto="1"/>
        </left>
        <right style="dashDot">
          <color auto="1"/>
        </right>
        <top style="dashDot">
          <color auto="1"/>
        </top>
        <bottom style="dashDot">
          <color auto="1"/>
        </bottom>
      </border>
    </dxf>
    <dxf>
      <fill>
        <patternFill>
          <bgColor indexed="29"/>
        </patternFill>
      </fill>
    </dxf>
    <dxf>
      <font>
        <b/>
        <color indexed="9"/>
      </font>
      <fill>
        <patternFill>
          <bgColor indexed="10"/>
        </patternFill>
      </fill>
    </dxf>
    <dxf>
      <fill>
        <patternFill>
          <bgColor rgb="FFA6A6A6"/>
        </patternFill>
      </fill>
      <border>
        <left/>
        <right/>
        <top/>
        <bottom style="thin">
          <color auto="1"/>
        </bottom>
      </border>
    </dxf>
    <dxf>
      <fill>
        <patternFill>
          <bgColor rgb="FF00FF00"/>
        </patternFill>
      </fill>
      <border>
        <left style="dashDot">
          <color auto="1"/>
        </left>
        <right style="dashDot">
          <color auto="1"/>
        </right>
        <top style="dashDot">
          <color auto="1"/>
        </top>
        <bottom style="dashDot">
          <color auto="1"/>
        </bottom>
      </border>
    </dxf>
    <dxf>
      <font>
        <b/>
        <color indexed="9"/>
      </font>
      <fill>
        <patternFill>
          <bgColor indexed="10"/>
        </patternFill>
      </fill>
    </dxf>
    <dxf>
      <fill>
        <patternFill>
          <bgColor rgb="FFA6A6A6"/>
        </patternFill>
      </fill>
      <border>
        <left/>
        <right/>
        <top/>
        <bottom style="thin">
          <color auto="1"/>
        </bottom>
      </border>
    </dxf>
    <dxf>
      <fill>
        <patternFill>
          <bgColor rgb="FF00FF00"/>
        </patternFill>
      </fill>
      <border>
        <left style="dashDot">
          <color auto="1"/>
        </left>
        <right style="dashDot">
          <color auto="1"/>
        </right>
        <top style="dashDot">
          <color auto="1"/>
        </top>
        <bottom style="dashDot">
          <color auto="1"/>
        </bottom>
      </border>
    </dxf>
    <dxf>
      <font>
        <b/>
        <color indexed="9"/>
      </font>
      <fill>
        <patternFill>
          <bgColor indexed="10"/>
        </patternFill>
      </fill>
    </dxf>
    <dxf>
      <font>
        <b/>
        <color indexed="9"/>
      </font>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8080"/>
        </patternFill>
      </fill>
    </dxf>
    <dxf>
      <font>
        <b/>
        <color indexed="9"/>
      </font>
      <fill>
        <patternFill>
          <bgColor indexed="10"/>
        </patternFill>
      </fill>
    </dxf>
    <dxf>
      <fill>
        <patternFill>
          <bgColor theme="0" tint="-0.34998626667073579"/>
        </patternFill>
      </fill>
      <border>
        <left/>
        <right/>
        <top/>
        <bottom style="thin">
          <color auto="1"/>
        </bottom>
      </border>
    </dxf>
    <dxf>
      <fill>
        <patternFill>
          <bgColor rgb="FF00FF00"/>
        </patternFill>
      </fill>
      <border>
        <left style="dashDot">
          <color theme="6" tint="-0.499984740745262"/>
        </left>
        <right style="dashDot">
          <color theme="6" tint="-0.499984740745262"/>
        </right>
        <top style="dashDot">
          <color theme="6" tint="-0.499984740745262"/>
        </top>
        <bottom style="dashDot">
          <color theme="6" tint="-0.499984740745262"/>
        </bottom>
      </border>
    </dxf>
    <dxf>
      <fill>
        <patternFill>
          <bgColor indexed="29"/>
        </patternFill>
      </fill>
    </dxf>
    <dxf>
      <fill>
        <patternFill>
          <bgColor indexed="10"/>
        </patternFill>
      </fill>
    </dxf>
    <dxf>
      <font>
        <b/>
        <color indexed="9"/>
      </font>
      <fill>
        <patternFill>
          <bgColor indexed="10"/>
        </patternFill>
      </fill>
    </dxf>
    <dxf>
      <font>
        <b/>
        <color indexed="9"/>
      </font>
      <fill>
        <patternFill>
          <bgColor indexed="10"/>
        </patternFill>
      </fill>
    </dxf>
    <dxf>
      <font>
        <b/>
        <color indexed="9"/>
      </font>
      <fill>
        <patternFill>
          <bgColor indexed="10"/>
        </patternFill>
      </fill>
    </dxf>
    <dxf>
      <fill>
        <patternFill>
          <bgColor indexed="29"/>
        </patternFill>
      </fill>
    </dxf>
    <dxf>
      <fill>
        <patternFill>
          <bgColor rgb="FFFF8080"/>
        </patternFill>
      </fill>
    </dxf>
    <dxf>
      <fill>
        <patternFill>
          <bgColor theme="3" tint="0.79998168889431442"/>
        </patternFill>
      </fill>
      <border>
        <left/>
        <right/>
        <top/>
        <bottom style="thin">
          <color auto="1"/>
        </bottom>
      </border>
    </dxf>
    <dxf>
      <fill>
        <patternFill>
          <bgColor rgb="FF00FF00"/>
        </patternFill>
      </fill>
      <border>
        <left style="dashDot">
          <color theme="6" tint="-0.499984740745262"/>
        </left>
        <right style="dashDot">
          <color theme="6" tint="-0.499984740745262"/>
        </right>
        <top style="dashDot">
          <color theme="6" tint="-0.499984740745262"/>
        </top>
        <bottom style="dashDot">
          <color theme="6" tint="-0.499984740745262"/>
        </bottom>
      </border>
    </dxf>
    <dxf>
      <font>
        <b/>
        <color indexed="9"/>
      </font>
      <fill>
        <patternFill>
          <bgColor indexed="10"/>
        </patternFill>
      </fill>
    </dxf>
    <dxf>
      <font>
        <b/>
        <color indexed="9"/>
      </font>
      <fill>
        <patternFill>
          <bgColor indexed="10"/>
        </patternFill>
      </fill>
    </dxf>
    <dxf>
      <fill>
        <patternFill>
          <bgColor indexed="29"/>
        </patternFill>
      </fill>
    </dxf>
    <dxf>
      <fill>
        <patternFill>
          <bgColor rgb="FFFF8080"/>
        </patternFill>
      </fill>
    </dxf>
    <dxf>
      <fill>
        <patternFill>
          <bgColor rgb="FFA6A6A6"/>
        </patternFill>
      </fill>
      <border>
        <left/>
        <right/>
        <top/>
        <bottom style="thin">
          <color auto="1"/>
        </bottom>
      </border>
    </dxf>
    <dxf>
      <fill>
        <patternFill>
          <bgColor rgb="FF00FF00"/>
        </patternFill>
      </fill>
      <border>
        <left style="dashDot">
          <color auto="1"/>
        </left>
        <right style="dashDot">
          <color auto="1"/>
        </right>
        <top style="dashDot">
          <color auto="1"/>
        </top>
        <bottom style="dashDot">
          <color auto="1"/>
        </bottom>
      </border>
    </dxf>
    <dxf>
      <font>
        <b/>
        <color indexed="9"/>
      </font>
      <fill>
        <patternFill>
          <bgColor indexed="10"/>
        </patternFill>
      </fill>
    </dxf>
    <dxf>
      <font>
        <color theme="0" tint="-4.9989318521683403E-2"/>
      </font>
    </dxf>
    <dxf>
      <font>
        <b/>
        <color indexed="10"/>
      </font>
      <fill>
        <patternFill>
          <bgColor indexed="13"/>
        </patternFill>
      </fill>
    </dxf>
    <dxf>
      <font>
        <color theme="0" tint="-0.14996795556505021"/>
      </font>
    </dxf>
    <dxf>
      <font>
        <b/>
        <i/>
        <strike val="0"/>
        <color indexed="13"/>
      </font>
      <fill>
        <patternFill>
          <bgColor indexed="10"/>
        </patternFill>
      </fill>
    </dxf>
    <dxf>
      <font>
        <color theme="0"/>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285750</xdr:colOff>
      <xdr:row>14</xdr:row>
      <xdr:rowOff>171450</xdr:rowOff>
    </xdr:from>
    <xdr:to>
      <xdr:col>6</xdr:col>
      <xdr:colOff>527050</xdr:colOff>
      <xdr:row>16</xdr:row>
      <xdr:rowOff>127000</xdr:rowOff>
    </xdr:to>
    <xdr:sp macro="" textlink="">
      <xdr:nvSpPr>
        <xdr:cNvPr id="3088" name="Button 16" hidden="1">
          <a:extLst>
            <a:ext uri="{FF2B5EF4-FFF2-40B4-BE49-F238E27FC236}">
              <a16:creationId xmlns:a16="http://schemas.microsoft.com/office/drawing/2014/main" id="{00000000-0008-0000-0000-0000100C0000}"/>
            </a:ext>
          </a:extLst>
        </xdr:cNvPr>
        <xdr:cNvSpPr/>
      </xdr:nvSpPr>
      <xdr:spPr>
        <a:xfrm>
          <a:off x="0" y="0"/>
          <a:ext cx="0" cy="0"/>
        </a:xfrm>
        <a:prstGeom prst="rect">
          <a:avLst/>
        </a:prstGeom>
        <a:noFill/>
        <a:ln w="9525">
          <a:tailEnd/>
        </a:ln>
      </xdr:spPr>
      <xdr:txBody>
        <a:bodyPr vertOverflow="clip" wrap="square" lIns="36576" tIns="27432" rIns="36576" bIns="27432" anchor="ctr"/>
        <a:lstStyle/>
        <a:p>
          <a:pPr algn="ctr" rtl="0">
            <a:defRPr sz="1000"/>
          </a:pPr>
          <a:r>
            <a:rPr lang="nl-NL" sz="1000" b="0" i="0" strike="noStrike">
              <a:solidFill>
                <a:srgbClr val="000000"/>
              </a:solidFill>
              <a:latin typeface="Arial"/>
            </a:rPr>
            <a:t>Clear sim</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19050</xdr:colOff>
      <xdr:row>82</xdr:row>
      <xdr:rowOff>78440</xdr:rowOff>
    </xdr:from>
    <xdr:to>
      <xdr:col>9</xdr:col>
      <xdr:colOff>55261</xdr:colOff>
      <xdr:row>125</xdr:row>
      <xdr:rowOff>24092</xdr:rowOff>
    </xdr:to>
    <xdr:pic>
      <xdr:nvPicPr>
        <xdr:cNvPr id="35032" name="Picture 1">
          <a:extLst>
            <a:ext uri="{FF2B5EF4-FFF2-40B4-BE49-F238E27FC236}">
              <a16:creationId xmlns:a16="http://schemas.microsoft.com/office/drawing/2014/main" id="{00000000-0008-0000-0800-0000D88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3705225" y="16099490"/>
          <a:ext cx="6789436" cy="6691593"/>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7" displayName="Table17" ref="H54:J57" totalsRowShown="0">
  <autoFilter ref="H54:J57" xr:uid="{00000000-0009-0000-0100-000001000000}"/>
  <tableColumns count="3">
    <tableColumn id="1" xr3:uid="{00000000-0010-0000-0000-000001000000}" name="Hour"/>
    <tableColumn id="2" xr3:uid="{00000000-0010-0000-0000-000002000000}" name="Amount"/>
    <tableColumn id="3" xr3:uid="{00000000-0010-0000-0000-000003000000}" name="Without Training"/>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9" displayName="Table19" ref="D46:F69" totalsRowShown="0">
  <autoFilter ref="D46:F69" xr:uid="{00000000-0009-0000-0100-000002000000}"/>
  <tableColumns count="3">
    <tableColumn id="1" xr3:uid="{00000000-0010-0000-0100-000001000000}" name="Acres"/>
    <tableColumn id="2" xr3:uid="{00000000-0010-0000-0100-000002000000}" name=" "/>
    <tableColumn id="3" xr3:uid="{00000000-0010-0000-0100-000003000000}" name="   "/>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1" displayName="Table21" ref="D14:E18" totalsRowShown="0">
  <autoFilter ref="D14:E18" xr:uid="{00000000-0009-0000-0100-000003000000}"/>
  <tableColumns count="2">
    <tableColumn id="1" xr3:uid="{00000000-0010-0000-0200-000001000000}" name="Date&amp;amp;amp;Time"/>
    <tableColumn id="2" xr3:uid="{00000000-0010-0000-0200-000002000000}" name="."/>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3" displayName="Table13" ref="A34:I43" totalsRowShown="0">
  <autoFilter ref="A34:I43" xr:uid="{00000000-0009-0000-0100-000004000000}"/>
  <tableColumns count="9">
    <tableColumn id="1" xr3:uid="{00000000-0010-0000-0300-000001000000}" name="Military"/>
    <tableColumn id="2" xr3:uid="{00000000-0010-0000-0300-000002000000}" name=" "/>
    <tableColumn id="3" xr3:uid="{00000000-0010-0000-0300-000003000000}" name="Offense"/>
    <tableColumn id="4" xr3:uid="{00000000-0010-0000-0300-000004000000}" name="Bonus"/>
    <tableColumn id="5" xr3:uid="{00000000-0010-0000-0300-000005000000}" name="OP Mod"/>
    <tableColumn id="6" xr3:uid="{00000000-0010-0000-0300-000006000000}" name="Defense"/>
    <tableColumn id="7" xr3:uid="{00000000-0010-0000-0300-000007000000}" name="DP Bonus"/>
    <tableColumn id="8" xr3:uid="{00000000-0010-0000-0300-000008000000}" name="DP Mod"/>
    <tableColumn id="9" xr3:uid="{00000000-0010-0000-0300-000009000000}" name="."/>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6" displayName="Table16" ref="H47:J51" totalsRowShown="0">
  <autoFilter ref="H47:J51" xr:uid="{00000000-0009-0000-0100-000005000000}"/>
  <tableColumns count="3">
    <tableColumn id="1" xr3:uid="{00000000-0010-0000-0400-000001000000}" name="Type"/>
    <tableColumn id="2" xr3:uid="{00000000-0010-0000-0400-000002000000}" name="Raw"/>
    <tableColumn id="3" xr3:uid="{00000000-0010-0000-0400-000003000000}" name="Modded"/>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blRaces" displayName="TblRaces" ref="A4:AA92" totalsRowShown="0">
  <autoFilter ref="A4:AA92" xr:uid="{00000000-0009-0000-0100-000006000000}"/>
  <tableColumns count="27">
    <tableColumn id="1" xr3:uid="{00000000-0010-0000-0500-000001000000}" name="Race"/>
    <tableColumn id="2" xr3:uid="{00000000-0010-0000-0500-000002000000}" name="Alignment"/>
    <tableColumn id="3" xr3:uid="{00000000-0010-0000-0500-000003000000}" name="Homeland_Type"/>
    <tableColumn id="4" xr3:uid="{00000000-0010-0000-0500-000004000000}" name="Unitname"/>
    <tableColumn id="5" xr3:uid="{00000000-0010-0000-0500-000005000000}" name="OffensePwr"/>
    <tableColumn id="6" xr3:uid="{00000000-0010-0000-0500-000006000000}" name="DefensePwr"/>
    <tableColumn id="7" xr3:uid="{00000000-0010-0000-0500-000007000000}" name="Platcost"/>
    <tableColumn id="8" xr3:uid="{00000000-0010-0000-0500-000008000000}" name="Orecost"/>
    <tableColumn id="9" xr3:uid="{00000000-0010-0000-0500-000009000000}" name="Networth"/>
    <tableColumn id="10" xr3:uid="{00000000-0010-0000-0500-00000A000000}" name="Max population"/>
    <tableColumn id="11" xr3:uid="{00000000-0010-0000-0500-00000B000000}" name="Pop growth"/>
    <tableColumn id="12" xr3:uid="{00000000-0010-0000-0500-00000C000000}" name="Platinum prod"/>
    <tableColumn id="13" xr3:uid="{00000000-0010-0000-0500-00000D000000}" name="Food prod"/>
    <tableColumn id="14" xr3:uid="{00000000-0010-0000-0500-00000E000000}" name="Lumber prod"/>
    <tableColumn id="15" xr3:uid="{00000000-0010-0000-0500-00000F000000}" name="Mana prod"/>
    <tableColumn id="16" xr3:uid="{00000000-0010-0000-0500-000010000000}" name="Ore prod"/>
    <tableColumn id="17" xr3:uid="{00000000-0010-0000-0500-000011000000}" name="Gem prod"/>
    <tableColumn id="18" xr3:uid="{00000000-0010-0000-0500-000012000000}" name="Food cons"/>
    <tableColumn id="19" xr3:uid="{00000000-0010-0000-0500-000013000000}" name="Defense"/>
    <tableColumn id="20" xr3:uid="{00000000-0010-0000-0500-000014000000}" name="Offense"/>
    <tableColumn id="21" xr3:uid="{00000000-0010-0000-0500-000015000000}" name="Spy strength"/>
    <tableColumn id="22" xr3:uid="{00000000-0010-0000-0500-000016000000}" name="Wizard strength"/>
    <tableColumn id="23" xr3:uid="{00000000-0010-0000-0500-000017000000}" name="Invest bonus"/>
    <tableColumn id="24" xr3:uid="{00000000-0010-0000-0500-000018000000}" name="Rezone Cost"/>
    <tableColumn id="25" xr3:uid="{00000000-0010-0000-0500-000019000000}" name="Construction Cost"/>
    <tableColumn id="26" xr3:uid="{00000000-0010-0000-0500-00001A000000}" name="Research"/>
    <tableColumn id="27" xr3:uid="{00000000-0010-0000-0500-00001B000000}" name="Explore Cost"/>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2" displayName="Table2" ref="D94:D100" totalsRowShown="0">
  <autoFilter ref="D94:D100" xr:uid="{00000000-0009-0000-0100-000007000000}"/>
  <tableColumns count="1">
    <tableColumn id="1" xr3:uid="{00000000-0010-0000-0600-000001000000}" name="waves:"/>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satMod val="300000"/>
                <a:tint val="50000"/>
              </a:schemeClr>
            </a:gs>
            <a:gs pos="35000">
              <a:schemeClr val="phClr">
                <a:satMod val="300000"/>
                <a:tint val="37000"/>
              </a:schemeClr>
            </a:gs>
            <a:gs pos="100000">
              <a:schemeClr val="phClr">
                <a:satMod val="350000"/>
                <a:tint val="15000"/>
              </a:schemeClr>
            </a:gs>
          </a:gsLst>
          <a:lin ang="16200000" scaled="1"/>
        </a:gradFill>
        <a:gradFill rotWithShape="1">
          <a:gsLst>
            <a:gs pos="0">
              <a:schemeClr val="phClr">
                <a:satMod val="130000"/>
                <a:shade val="51000"/>
              </a:schemeClr>
            </a:gs>
            <a:gs pos="80000">
              <a:schemeClr val="phClr">
                <a:satMod val="130000"/>
                <a:shade val="93000"/>
              </a:schemeClr>
            </a:gs>
            <a:gs pos="100000">
              <a:schemeClr val="phClr">
                <a:satMod val="135000"/>
                <a:shade val="94000"/>
              </a:schemeClr>
            </a:gs>
          </a:gsLst>
          <a:lin ang="16200000" scaled="0"/>
        </a:gradFill>
      </a:fillStyleLst>
      <a:lnStyleLst>
        <a:ln w="9525" cap="flat" cmpd="sng" algn="ctr">
          <a:solidFill>
            <a:schemeClr val="phClr">
              <a:satMod val="105000"/>
              <a:shade val="9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satMod val="350000"/>
                <a:tint val="40000"/>
              </a:schemeClr>
            </a:gs>
            <a:gs pos="40000">
              <a:schemeClr val="phClr">
                <a:satMod val="350000"/>
                <a:shade val="99000"/>
                <a:tint val="45000"/>
              </a:schemeClr>
            </a:gs>
            <a:gs pos="100000">
              <a:schemeClr val="phClr">
                <a:satMod val="255000"/>
                <a:shade val="20000"/>
              </a:schemeClr>
            </a:gs>
          </a:gsLst>
        </a:gradFill>
        <a:gradFill rotWithShape="1">
          <a:gsLst>
            <a:gs pos="0">
              <a:schemeClr val="phClr">
                <a:satMod val="300000"/>
                <a:tint val="80000"/>
              </a:schemeClr>
            </a:gs>
            <a:gs pos="100000">
              <a:schemeClr val="phClr">
                <a:satMod val="200000"/>
                <a:shade val="30000"/>
              </a:schemeClr>
            </a:gs>
          </a:gsLs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table" Target="../tables/table1.xm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12.bin"/><Relationship Id="rId5" Type="http://schemas.openxmlformats.org/officeDocument/2006/relationships/comments" Target="../comments6.xml"/><Relationship Id="rId4"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O93"/>
  <sheetViews>
    <sheetView zoomScale="85" zoomScaleNormal="85" workbookViewId="0">
      <selection activeCell="B14" sqref="B14"/>
    </sheetView>
  </sheetViews>
  <sheetFormatPr defaultColWidth="9.1796875" defaultRowHeight="12.5" x14ac:dyDescent="0.25"/>
  <cols>
    <col min="1" max="1" width="18" style="3" customWidth="1"/>
    <col min="2" max="2" width="13.81640625" style="3" bestFit="1" customWidth="1"/>
    <col min="3" max="3" width="11.26953125" style="3" customWidth="1"/>
    <col min="4" max="4" width="14" style="3" customWidth="1"/>
    <col min="5" max="5" width="11.7265625" style="3" customWidth="1"/>
    <col min="6" max="6" width="12.7265625" style="3" customWidth="1"/>
    <col min="7" max="7" width="11.7265625" style="3" customWidth="1"/>
    <col min="8" max="10" width="16.26953125" style="3" customWidth="1"/>
    <col min="11" max="11" width="5.54296875" style="3" bestFit="1" customWidth="1"/>
    <col min="12" max="12" width="12.26953125" style="3" bestFit="1" customWidth="1"/>
    <col min="13" max="13" width="7.81640625" style="3" bestFit="1" customWidth="1"/>
    <col min="14" max="14" width="12.453125" style="3" bestFit="1" customWidth="1"/>
    <col min="15" max="15" width="9.81640625" style="3" customWidth="1"/>
    <col min="16" max="16" width="9.1796875" style="3" customWidth="1"/>
    <col min="17" max="16384" width="9.1796875" style="3"/>
  </cols>
  <sheetData>
    <row r="1" spans="1:15" s="45" customFormat="1" ht="18.75" customHeight="1" x14ac:dyDescent="0.35">
      <c r="A1" s="408" t="s">
        <v>451</v>
      </c>
      <c r="B1" s="408"/>
      <c r="C1" s="408"/>
      <c r="D1" s="408"/>
      <c r="E1" s="408"/>
      <c r="F1" s="408"/>
      <c r="G1" s="408"/>
      <c r="H1" s="408"/>
      <c r="I1" s="408"/>
      <c r="J1" s="408"/>
      <c r="K1" s="408"/>
      <c r="L1" s="409"/>
      <c r="M1" s="415" t="s">
        <v>1045</v>
      </c>
      <c r="N1" s="416"/>
      <c r="O1" s="417"/>
    </row>
    <row r="2" spans="1:15" s="45" customFormat="1" ht="12.75" customHeight="1" x14ac:dyDescent="0.25">
      <c r="A2" s="442" t="s">
        <v>1085</v>
      </c>
      <c r="B2" s="443"/>
      <c r="C2" s="443"/>
      <c r="D2" s="443"/>
      <c r="E2" s="443"/>
      <c r="F2" s="443"/>
      <c r="G2" s="443"/>
      <c r="H2" s="443"/>
      <c r="I2" s="443"/>
      <c r="J2" s="443"/>
      <c r="K2" s="443"/>
      <c r="L2" s="444"/>
      <c r="M2" s="430" t="s">
        <v>1116</v>
      </c>
      <c r="N2" s="431"/>
      <c r="O2" s="432"/>
    </row>
    <row r="3" spans="1:15" s="45" customFormat="1" x14ac:dyDescent="0.25">
      <c r="A3" s="442"/>
      <c r="B3" s="443"/>
      <c r="C3" s="443"/>
      <c r="D3" s="443"/>
      <c r="E3" s="443"/>
      <c r="F3" s="443"/>
      <c r="G3" s="443"/>
      <c r="H3" s="443"/>
      <c r="I3" s="443"/>
      <c r="J3" s="443"/>
      <c r="K3" s="443"/>
      <c r="L3" s="444"/>
      <c r="M3" s="430"/>
      <c r="N3" s="431"/>
      <c r="O3" s="432"/>
    </row>
    <row r="4" spans="1:15" s="45" customFormat="1" x14ac:dyDescent="0.25">
      <c r="A4" s="442"/>
      <c r="B4" s="443"/>
      <c r="C4" s="443"/>
      <c r="D4" s="443"/>
      <c r="E4" s="443"/>
      <c r="F4" s="443"/>
      <c r="G4" s="443"/>
      <c r="H4" s="443"/>
      <c r="I4" s="443"/>
      <c r="J4" s="443"/>
      <c r="K4" s="443"/>
      <c r="L4" s="444"/>
      <c r="M4" s="430"/>
      <c r="N4" s="431"/>
      <c r="O4" s="432"/>
    </row>
    <row r="5" spans="1:15" s="45" customFormat="1" x14ac:dyDescent="0.25">
      <c r="A5" s="442"/>
      <c r="B5" s="443"/>
      <c r="C5" s="443"/>
      <c r="D5" s="443"/>
      <c r="E5" s="443"/>
      <c r="F5" s="443"/>
      <c r="G5" s="443"/>
      <c r="H5" s="443"/>
      <c r="I5" s="443"/>
      <c r="J5" s="443"/>
      <c r="K5" s="443"/>
      <c r="L5" s="444"/>
      <c r="M5" s="430"/>
      <c r="N5" s="431"/>
      <c r="O5" s="432"/>
    </row>
    <row r="6" spans="1:15" s="45" customFormat="1" x14ac:dyDescent="0.25">
      <c r="A6" s="442"/>
      <c r="B6" s="443"/>
      <c r="C6" s="443"/>
      <c r="D6" s="443"/>
      <c r="E6" s="443"/>
      <c r="F6" s="443"/>
      <c r="G6" s="443"/>
      <c r="H6" s="443"/>
      <c r="I6" s="443"/>
      <c r="J6" s="443"/>
      <c r="K6" s="443"/>
      <c r="L6" s="444"/>
      <c r="M6" s="430"/>
      <c r="N6" s="431"/>
      <c r="O6" s="432"/>
    </row>
    <row r="7" spans="1:15" s="45" customFormat="1" ht="13" thickBot="1" x14ac:dyDescent="0.3">
      <c r="A7" s="445"/>
      <c r="B7" s="446"/>
      <c r="C7" s="446"/>
      <c r="D7" s="446"/>
      <c r="E7" s="446"/>
      <c r="F7" s="446"/>
      <c r="G7" s="446"/>
      <c r="H7" s="446"/>
      <c r="I7" s="446"/>
      <c r="J7" s="446"/>
      <c r="K7" s="446"/>
      <c r="L7" s="447"/>
      <c r="M7" s="430"/>
      <c r="N7" s="431"/>
      <c r="O7" s="432"/>
    </row>
    <row r="8" spans="1:15" s="45" customFormat="1" ht="15.5" x14ac:dyDescent="0.25">
      <c r="A8" s="410" t="s">
        <v>450</v>
      </c>
      <c r="B8" s="411"/>
      <c r="C8" s="411"/>
      <c r="D8" s="411"/>
      <c r="E8" s="411"/>
      <c r="F8" s="411"/>
      <c r="G8" s="411"/>
      <c r="H8" s="411"/>
      <c r="I8" s="412"/>
      <c r="J8" s="418" t="s">
        <v>1119</v>
      </c>
      <c r="K8" s="419"/>
      <c r="L8" s="420"/>
      <c r="M8" s="433"/>
      <c r="N8" s="434"/>
      <c r="O8" s="435"/>
    </row>
    <row r="9" spans="1:15" s="45" customFormat="1" ht="12.75" customHeight="1" x14ac:dyDescent="0.25">
      <c r="A9" s="413" t="s">
        <v>1044</v>
      </c>
      <c r="B9" s="414"/>
      <c r="C9" s="414"/>
      <c r="D9" s="414"/>
      <c r="E9" s="414"/>
      <c r="F9" s="414"/>
      <c r="G9" s="414"/>
      <c r="H9" s="414"/>
      <c r="I9" s="414"/>
      <c r="J9" s="421"/>
      <c r="K9" s="422"/>
      <c r="L9" s="423"/>
      <c r="M9" s="433"/>
      <c r="N9" s="434"/>
      <c r="O9" s="435"/>
    </row>
    <row r="10" spans="1:15" s="45" customFormat="1" ht="12.75" customHeight="1" x14ac:dyDescent="0.25">
      <c r="A10" s="413"/>
      <c r="B10" s="414"/>
      <c r="C10" s="414"/>
      <c r="D10" s="414"/>
      <c r="E10" s="414"/>
      <c r="F10" s="414"/>
      <c r="G10" s="414"/>
      <c r="H10" s="414"/>
      <c r="I10" s="414"/>
      <c r="J10" s="421"/>
      <c r="K10" s="422"/>
      <c r="L10" s="423"/>
      <c r="M10" s="433"/>
      <c r="N10" s="434"/>
      <c r="O10" s="435"/>
    </row>
    <row r="11" spans="1:15" s="45" customFormat="1" ht="12.75" customHeight="1" x14ac:dyDescent="0.25">
      <c r="A11" s="413"/>
      <c r="B11" s="414"/>
      <c r="C11" s="414"/>
      <c r="D11" s="414"/>
      <c r="E11" s="414"/>
      <c r="F11" s="414"/>
      <c r="G11" s="414"/>
      <c r="H11" s="414"/>
      <c r="I11" s="414"/>
      <c r="J11" s="421"/>
      <c r="K11" s="422"/>
      <c r="L11" s="423"/>
      <c r="M11" s="433"/>
      <c r="N11" s="434"/>
      <c r="O11" s="435"/>
    </row>
    <row r="12" spans="1:15" s="45" customFormat="1" ht="28.5" customHeight="1" thickBot="1" x14ac:dyDescent="0.3">
      <c r="A12" s="413"/>
      <c r="B12" s="414"/>
      <c r="C12" s="414"/>
      <c r="D12" s="414"/>
      <c r="E12" s="414"/>
      <c r="F12" s="414"/>
      <c r="G12" s="414"/>
      <c r="H12" s="414"/>
      <c r="I12" s="414"/>
      <c r="J12" s="424"/>
      <c r="K12" s="425"/>
      <c r="L12" s="426"/>
      <c r="M12" s="436"/>
      <c r="N12" s="437"/>
      <c r="O12" s="438"/>
    </row>
    <row r="13" spans="1:15" s="45" customFormat="1" ht="25.5" customHeight="1" thickBot="1" x14ac:dyDescent="0.35">
      <c r="A13" s="439" t="s">
        <v>257</v>
      </c>
      <c r="B13" s="440"/>
      <c r="C13" s="441"/>
      <c r="D13" s="441"/>
      <c r="E13" s="441"/>
      <c r="F13" s="441"/>
      <c r="G13" s="441"/>
      <c r="H13" s="441"/>
      <c r="I13" s="441"/>
      <c r="J13" s="441"/>
      <c r="K13" s="441"/>
      <c r="L13" s="441"/>
      <c r="M13" s="441"/>
      <c r="N13" s="441"/>
      <c r="O13" s="441"/>
    </row>
    <row r="14" spans="1:15" s="52" customFormat="1" ht="12.75" customHeight="1" x14ac:dyDescent="0.3">
      <c r="A14" s="3" t="s">
        <v>28</v>
      </c>
      <c r="B14" s="123" t="s">
        <v>89</v>
      </c>
      <c r="C14" s="46"/>
      <c r="D14" s="47" t="s">
        <v>323</v>
      </c>
      <c r="E14" s="47" t="s">
        <v>773</v>
      </c>
      <c r="F14" s="45"/>
      <c r="G14" s="45"/>
      <c r="H14" s="47" t="s">
        <v>486</v>
      </c>
      <c r="I14" s="48" t="s">
        <v>207</v>
      </c>
      <c r="J14" s="49"/>
      <c r="K14" s="50"/>
      <c r="L14" s="45"/>
      <c r="M14" s="45"/>
      <c r="N14" s="45"/>
      <c r="O14" s="51"/>
    </row>
    <row r="15" spans="1:15" s="45" customFormat="1" ht="12.75" customHeight="1" x14ac:dyDescent="0.3">
      <c r="A15" s="3" t="s">
        <v>448</v>
      </c>
      <c r="B15" s="124">
        <v>45431</v>
      </c>
      <c r="D15" s="3" t="s">
        <v>324</v>
      </c>
      <c r="E15" s="53">
        <f>B15+(1+B16-1)/24+B18-0/24</f>
        <v>45431</v>
      </c>
      <c r="H15" s="3" t="s">
        <v>164</v>
      </c>
      <c r="I15" s="54" t="e">
        <f>INDEX(TblRaces[[Max population]:[Explore Cost]],MATCH(race,TblRaces[Race],0),MATCH(#REF!,TblRaces[[#Headers],[Max population]:[Explore Cost]],0))</f>
        <v>#REF!</v>
      </c>
      <c r="K15" s="50" t="s">
        <v>427</v>
      </c>
      <c r="O15" s="51"/>
    </row>
    <row r="16" spans="1:15" s="45" customFormat="1" ht="12.75" customHeight="1" thickBot="1" x14ac:dyDescent="0.3">
      <c r="A16" s="3" t="s">
        <v>320</v>
      </c>
      <c r="B16" s="125">
        <v>0</v>
      </c>
      <c r="C16" s="45" t="s">
        <v>526</v>
      </c>
      <c r="D16" s="3" t="s">
        <v>317</v>
      </c>
      <c r="E16" s="53">
        <f ca="1">NOW()</f>
        <v>45449.959819560187</v>
      </c>
      <c r="H16" s="3" t="s">
        <v>104</v>
      </c>
      <c r="I16" s="54" t="e">
        <f>INDEX(TblRaces[[Max population]:[Explore Cost]],MATCH(race,TblRaces[Race],0),MATCH(#REF!,TblRaces[[#Headers],[Max population]:[Explore Cost]],0))</f>
        <v>#REF!</v>
      </c>
      <c r="K16" s="406" t="s">
        <v>452</v>
      </c>
      <c r="L16" s="405"/>
      <c r="M16" s="405"/>
      <c r="N16" s="405"/>
      <c r="O16" s="51"/>
    </row>
    <row r="17" spans="1:15" s="45" customFormat="1" ht="12.75" customHeight="1" thickBot="1" x14ac:dyDescent="0.3">
      <c r="A17" s="3" t="s">
        <v>321</v>
      </c>
      <c r="B17" s="55">
        <f ca="1">TODAY()</f>
        <v>45449</v>
      </c>
      <c r="C17" s="56"/>
      <c r="D17" s="3" t="s">
        <v>316</v>
      </c>
      <c r="E17" s="57" t="e">
        <f>0+#REF!</f>
        <v>#REF!</v>
      </c>
      <c r="H17" s="3" t="s">
        <v>161</v>
      </c>
      <c r="I17" s="54" t="e">
        <f>INDEX(TblRaces[[Max population]:[Explore Cost]],MATCH(race,TblRaces[Race],0),MATCH(#REF!,TblRaces[[#Headers],[Max population]:[Explore Cost]],0))</f>
        <v>#REF!</v>
      </c>
      <c r="J17" s="49"/>
      <c r="K17" s="405"/>
      <c r="L17" s="405"/>
      <c r="M17" s="405"/>
      <c r="N17" s="405"/>
      <c r="O17" s="51"/>
    </row>
    <row r="18" spans="1:15" s="45" customFormat="1" ht="12.75" customHeight="1" thickBot="1" x14ac:dyDescent="0.3">
      <c r="A18" s="58" t="s">
        <v>500</v>
      </c>
      <c r="B18" s="126">
        <v>0</v>
      </c>
      <c r="C18" s="56"/>
      <c r="D18" s="3" t="s">
        <v>318</v>
      </c>
      <c r="E18" s="57" t="e">
        <f ca="1">IF(INDIRECT("Imps!L"&amp;TEXT(E17+3,0)),"Yes","Nope")</f>
        <v>#REF!</v>
      </c>
      <c r="H18" s="3" t="s">
        <v>106</v>
      </c>
      <c r="I18" s="54" t="e">
        <f>INDEX(TblRaces[[Max population]:[Explore Cost]],MATCH(race,TblRaces[Race],0),MATCH(#REF!,TblRaces[[#Headers],[Max population]:[Explore Cost]],0))</f>
        <v>#REF!</v>
      </c>
      <c r="J18" s="49"/>
      <c r="K18" s="405"/>
      <c r="L18" s="405"/>
      <c r="M18" s="405"/>
      <c r="N18" s="405"/>
      <c r="O18" s="51"/>
    </row>
    <row r="19" spans="1:15" s="45" customFormat="1" x14ac:dyDescent="0.25">
      <c r="H19" s="3" t="s">
        <v>107</v>
      </c>
      <c r="I19" s="54" t="e">
        <f>INDEX(TblRaces[[Max population]:[Explore Cost]],MATCH(race,TblRaces[Race],0),MATCH(#REF!,TblRaces[[#Headers],[Max population]:[Explore Cost]],0))</f>
        <v>#REF!</v>
      </c>
      <c r="J19" s="49"/>
      <c r="K19" s="405"/>
      <c r="L19" s="405"/>
      <c r="M19" s="405"/>
      <c r="N19" s="405"/>
      <c r="O19" s="59"/>
    </row>
    <row r="20" spans="1:15" s="45" customFormat="1" x14ac:dyDescent="0.25">
      <c r="H20" s="3" t="s">
        <v>108</v>
      </c>
      <c r="I20" s="54" t="e">
        <f>INDEX(TblRaces[[Max population]:[Explore Cost]],MATCH(race,TblRaces[Race],0),MATCH(#REF!,TblRaces[[#Headers],[Max population]:[Explore Cost]],0))</f>
        <v>#REF!</v>
      </c>
      <c r="J20" s="49"/>
      <c r="K20" s="405"/>
      <c r="L20" s="405"/>
      <c r="M20" s="405"/>
      <c r="N20" s="405"/>
      <c r="O20" s="59"/>
    </row>
    <row r="21" spans="1:15" s="45" customFormat="1" ht="13" x14ac:dyDescent="0.3">
      <c r="A21" s="8" t="s">
        <v>319</v>
      </c>
      <c r="B21" s="60" t="s">
        <v>31</v>
      </c>
      <c r="C21" s="60" t="s">
        <v>32</v>
      </c>
      <c r="D21" s="60" t="s">
        <v>2</v>
      </c>
      <c r="E21" s="60" t="s">
        <v>3</v>
      </c>
      <c r="F21" s="60" t="s">
        <v>231</v>
      </c>
      <c r="H21" s="3" t="s">
        <v>109</v>
      </c>
      <c r="I21" s="54" t="e">
        <f>INDEX(TblRaces[[Max population]:[Explore Cost]],MATCH(race,TblRaces[Race],0),MATCH(#REF!,TblRaces[[#Headers],[Max population]:[Explore Cost]],0))</f>
        <v>#REF!</v>
      </c>
      <c r="J21" s="49"/>
      <c r="K21" s="405"/>
      <c r="L21" s="405"/>
      <c r="M21" s="405"/>
      <c r="N21" s="405"/>
      <c r="O21" s="59"/>
    </row>
    <row r="22" spans="1:15" s="45" customFormat="1" ht="13" x14ac:dyDescent="0.3">
      <c r="A22" s="3" t="str">
        <f>INDEX(TblRaces[],MATCH(race,TblRaces[Race],0),4)</f>
        <v>Spearman</v>
      </c>
      <c r="B22" s="61" t="e">
        <f>_xlfn.IFNA(INDEX(TblRaces[],MATCH(#REF!,TblRaces[Unitname],0),5),"")</f>
        <v>#REF!</v>
      </c>
      <c r="C22" s="61" t="e">
        <f>_xlfn.IFNA(INDEX(TblRaces[],MATCH(#REF!,TblRaces[Unitname],0),6),"")</f>
        <v>#REF!</v>
      </c>
      <c r="D22" s="61" t="e">
        <f>_xlfn.IFNA(INDEX(TblRaces[],MATCH(#REF!,TblRaces[Unitname],0),7),"")</f>
        <v>#REF!</v>
      </c>
      <c r="E22" s="57" t="e">
        <f>_xlfn.IFNA(INDEX(TblRaces[],MATCH(#REF!,TblRaces[Unitname],0),8),"")</f>
        <v>#REF!</v>
      </c>
      <c r="F22" s="57" t="e">
        <f>_xlfn.IFNA(INDEX(TblRaces[],MATCH(#REF!,TblRaces[Unitname],0),9),"")</f>
        <v>#REF!</v>
      </c>
      <c r="H22" s="3" t="s">
        <v>110</v>
      </c>
      <c r="I22" s="54" t="e">
        <f>INDEX(TblRaces[[Max population]:[Explore Cost]],MATCH(race,TblRaces[Race],0),MATCH(#REF!,TblRaces[[#Headers],[Max population]:[Explore Cost]],0))</f>
        <v>#REF!</v>
      </c>
      <c r="J22" s="49"/>
      <c r="K22" s="50"/>
      <c r="O22" s="59"/>
    </row>
    <row r="23" spans="1:15" s="45" customFormat="1" x14ac:dyDescent="0.25">
      <c r="A23" s="62" t="str">
        <f>INDEX(TblRaces[],MATCH(race,TblRaces[Race],0)+1,4)</f>
        <v>Archer</v>
      </c>
      <c r="B23" s="61" t="e">
        <f>_xlfn.IFNA(INDEX(TblRaces[],MATCH(#REF!,TblRaces[Unitname],0),5),"")</f>
        <v>#REF!</v>
      </c>
      <c r="C23" s="61" t="e">
        <f>_xlfn.IFNA(INDEX(TblRaces[],MATCH(#REF!,TblRaces[Unitname],0),6),"")</f>
        <v>#REF!</v>
      </c>
      <c r="D23" s="61" t="e">
        <f>_xlfn.IFNA(INDEX(TblRaces[],MATCH(#REF!,TblRaces[Unitname],0),7),"")</f>
        <v>#REF!</v>
      </c>
      <c r="E23" s="57" t="e">
        <f>_xlfn.IFNA(INDEX(TblRaces[],MATCH(#REF!,TblRaces[Unitname],0),8),"")</f>
        <v>#REF!</v>
      </c>
      <c r="F23" s="57" t="e">
        <f>_xlfn.IFNA(INDEX(TblRaces[],MATCH(#REF!,TblRaces[Unitname],0),9),"")</f>
        <v>#REF!</v>
      </c>
      <c r="H23" s="3" t="s">
        <v>111</v>
      </c>
      <c r="I23" s="54" t="e">
        <f>INDEX(TblRaces[[Max population]:[Explore Cost]],MATCH(race,TblRaces[Race],0),MATCH(#REF!,TblRaces[[#Headers],[Max population]:[Explore Cost]],0))</f>
        <v>#REF!</v>
      </c>
      <c r="J23" s="49"/>
      <c r="K23" s="406"/>
      <c r="L23" s="406"/>
      <c r="M23" s="406"/>
      <c r="N23" s="406"/>
      <c r="O23" s="59"/>
    </row>
    <row r="24" spans="1:15" s="45" customFormat="1" x14ac:dyDescent="0.25">
      <c r="A24" s="62" t="str">
        <f>INDEX(TblRaces[],MATCH(race,TblRaces[Race],0)+2,4)</f>
        <v>Knight</v>
      </c>
      <c r="B24" s="61" t="e">
        <f ca="1">_xlfn.IFNA(INDEX(TblRaces[],MATCH(#REF!,TblRaces[Unitname],0),5),"")+E80*C80</f>
        <v>#REF!</v>
      </c>
      <c r="C24" s="61" t="e">
        <f ca="1">_xlfn.IFNA(INDEX(TblRaces[],MATCH(#REF!,TblRaces[Unitname],0),6),"")+E83*D83+E85*D85+E81*D81+E80*D80+E79*D79+E78*D78+E76*D76</f>
        <v>#REF!</v>
      </c>
      <c r="D24" s="61" t="e">
        <f>_xlfn.IFNA(INDEX(TblRaces[],MATCH(#REF!,TblRaces[Unitname],0),7),"")</f>
        <v>#REF!</v>
      </c>
      <c r="E24" s="57" t="e">
        <f>_xlfn.IFNA(INDEX(TblRaces[],MATCH(#REF!,TblRaces[Unitname],0),8),"")</f>
        <v>#REF!</v>
      </c>
      <c r="F24" s="57" t="e">
        <f>_xlfn.IFNA(INDEX(TblRaces[],MATCH(#REF!,TblRaces[Unitname],0),9),"")</f>
        <v>#REF!</v>
      </c>
      <c r="H24" s="3" t="s">
        <v>32</v>
      </c>
      <c r="I24" s="54" t="e">
        <f>INDEX(TblRaces[[Max population]:[Explore Cost]],MATCH(race,TblRaces[Race],0),MATCH(#REF!,TblRaces[[#Headers],[Max population]:[Explore Cost]],0))</f>
        <v>#REF!</v>
      </c>
      <c r="J24" s="49"/>
      <c r="K24" s="406"/>
      <c r="L24" s="406"/>
      <c r="M24" s="406"/>
      <c r="N24" s="406"/>
      <c r="O24" s="59"/>
    </row>
    <row r="25" spans="1:15" s="45" customFormat="1" x14ac:dyDescent="0.25">
      <c r="A25" s="62" t="str">
        <f>INDEX(TblRaces[],MATCH(race,TblRaces[Race],0)+3,4)</f>
        <v>Cavalry</v>
      </c>
      <c r="B25" s="61" t="e">
        <f ca="1">_xlfn.IFNA(INDEX(TblRaces[],MATCH(#REF!,TblRaces[Unitname],0),5),"")+E76*C77+E81*C82+E84*C84</f>
        <v>#REF!</v>
      </c>
      <c r="C25" s="61" t="e">
        <f>_xlfn.IFNA(INDEX(TblRaces[],MATCH(#REF!,TblRaces[Unitname],0),6),"")+E76*D77</f>
        <v>#REF!</v>
      </c>
      <c r="D25" s="61" t="e">
        <f>_xlfn.IFNA(INDEX(TblRaces[],MATCH(#REF!,TblRaces[Unitname],0),7),"")</f>
        <v>#REF!</v>
      </c>
      <c r="E25" s="57" t="e">
        <f>_xlfn.IFNA(INDEX(TblRaces[],MATCH(#REF!,TblRaces[Unitname],0),8),"")</f>
        <v>#REF!</v>
      </c>
      <c r="F25" s="57" t="e">
        <f>_xlfn.IFNA(INDEX(TblRaces[],MATCH(#REF!,TblRaces[Unitname],0),9),"")</f>
        <v>#REF!</v>
      </c>
      <c r="H25" s="3" t="s">
        <v>31</v>
      </c>
      <c r="I25" s="54" t="e">
        <f>INDEX(TblRaces[[Max population]:[Explore Cost]],MATCH(race,TblRaces[Race],0),MATCH(#REF!,TblRaces[[#Headers],[Max population]:[Explore Cost]],0))</f>
        <v>#REF!</v>
      </c>
      <c r="J25" s="49"/>
      <c r="K25" s="406"/>
      <c r="L25" s="406"/>
      <c r="M25" s="406"/>
      <c r="N25" s="406"/>
      <c r="O25" s="59"/>
    </row>
    <row r="26" spans="1:15" s="45" customFormat="1" x14ac:dyDescent="0.25">
      <c r="A26" s="62" t="s">
        <v>73</v>
      </c>
      <c r="B26" s="61" t="e">
        <f>_xlfn.IFNA(INDEX(TblRaces[],MATCH(#REF!,TblRaces[Unitname],0),5),"")</f>
        <v>#REF!</v>
      </c>
      <c r="C26" s="61" t="e">
        <f>_xlfn.IFNA(INDEX(TblRaces[],MATCH(#REF!,TblRaces[Unitname],0),6),"")</f>
        <v>#REF!</v>
      </c>
      <c r="D26" s="61" t="e">
        <f>_xlfn.IFNA(INDEX(TblRaces[],MATCH(#REF!,TblRaces[Unitname],0),7),"")</f>
        <v>#REF!</v>
      </c>
      <c r="E26" s="57" t="e">
        <f>_xlfn.IFNA(INDEX(TblRaces[],MATCH(#REF!,TblRaces[Unitname],0),8),"")</f>
        <v>#REF!</v>
      </c>
      <c r="F26" s="57">
        <v>5</v>
      </c>
      <c r="H26" s="3" t="s">
        <v>162</v>
      </c>
      <c r="I26" s="54" t="e">
        <f>INDEX(TblRaces[[Max population]:[Explore Cost]],MATCH(race,TblRaces[Race],0),MATCH(#REF!,TblRaces[[#Headers],[Max population]:[Explore Cost]],0))</f>
        <v>#REF!</v>
      </c>
      <c r="K26" s="406"/>
      <c r="L26" s="406"/>
      <c r="M26" s="406"/>
      <c r="N26" s="406"/>
      <c r="O26" s="59"/>
    </row>
    <row r="27" spans="1:15" s="45" customFormat="1" x14ac:dyDescent="0.25">
      <c r="A27" s="394" t="s">
        <v>1095</v>
      </c>
      <c r="B27" s="61" t="e">
        <f>_xlfn.IFNA(INDEX(TblRaces[],MATCH(#REF!,TblRaces[Unitname],0),5),"")</f>
        <v>#REF!</v>
      </c>
      <c r="C27" s="61" t="e">
        <f>_xlfn.IFNA(INDEX(TblRaces[],MATCH(#REF!,TblRaces[Unitname],0),6),"")</f>
        <v>#REF!</v>
      </c>
      <c r="D27" s="61" t="e">
        <f>_xlfn.IFNA(INDEX(TblRaces[],MATCH(#REF!,TblRaces[Unitname],0),7),"")</f>
        <v>#REF!</v>
      </c>
      <c r="E27" s="57" t="e">
        <f>_xlfn.IFNA(INDEX(TblRaces[],MATCH(#REF!,TblRaces[Unitname],0),8),"")</f>
        <v>#REF!</v>
      </c>
      <c r="F27" s="57">
        <v>5</v>
      </c>
      <c r="H27" s="3" t="s">
        <v>163</v>
      </c>
      <c r="I27" s="54" t="e">
        <f>INDEX(TblRaces[[Max population]:[Explore Cost]],MATCH(race,TblRaces[Race],0),MATCH(#REF!,TblRaces[[#Headers],[Max population]:[Explore Cost]],0))</f>
        <v>#REF!</v>
      </c>
      <c r="K27" s="406"/>
      <c r="L27" s="406"/>
      <c r="M27" s="406"/>
      <c r="N27" s="406"/>
      <c r="O27" s="59"/>
    </row>
    <row r="28" spans="1:15" s="45" customFormat="1" x14ac:dyDescent="0.25">
      <c r="A28" s="62" t="s">
        <v>182</v>
      </c>
      <c r="B28" s="61" t="e">
        <f>_xlfn.IFNA(INDEX(TblRaces[],MATCH(#REF!,TblRaces[Unitname],0),5),"")</f>
        <v>#REF!</v>
      </c>
      <c r="C28" s="61" t="e">
        <f>_xlfn.IFNA(INDEX(TblRaces[],MATCH(#REF!,TblRaces[Unitname],0),6),"")</f>
        <v>#REF!</v>
      </c>
      <c r="D28" s="61" t="e">
        <f>_xlfn.IFNA(INDEX(TblRaces[],MATCH(#REF!,TblRaces[Unitname],0),7),"")</f>
        <v>#REF!</v>
      </c>
      <c r="E28" s="57" t="e">
        <f>_xlfn.IFNA(INDEX(TblRaces[],MATCH(#REF!,TblRaces[Unitname],0),8),"")</f>
        <v>#REF!</v>
      </c>
      <c r="F28" s="57">
        <v>5</v>
      </c>
      <c r="H28" s="3" t="s">
        <v>439</v>
      </c>
      <c r="I28" s="54" t="e">
        <f>INDEX(TblRaces[[Max population]:[Explore Cost]],MATCH(race,TblRaces[Race],0),MATCH(#REF!,TblRaces[[#Headers],[Max population]:[Explore Cost]],0))</f>
        <v>#REF!</v>
      </c>
      <c r="O28" s="59"/>
    </row>
    <row r="29" spans="1:15" s="45" customFormat="1" x14ac:dyDescent="0.25">
      <c r="A29" s="62" t="s">
        <v>183</v>
      </c>
      <c r="B29" s="61" t="e">
        <f>_xlfn.IFNA(INDEX(TblRaces[],MATCH(#REF!,TblRaces[Unitname],0),5),"")</f>
        <v>#REF!</v>
      </c>
      <c r="C29" s="61" t="e">
        <f>_xlfn.IFNA(INDEX(TblRaces[],MATCH(#REF!,TblRaces[Unitname],0),6),"")</f>
        <v>#REF!</v>
      </c>
      <c r="D29" s="61" t="e">
        <f>_xlfn.IFNA(INDEX(TblRaces[],MATCH(#REF!,TblRaces[Unitname],0),7),"")</f>
        <v>#REF!</v>
      </c>
      <c r="E29" s="57" t="e">
        <f>_xlfn.IFNA(INDEX(TblRaces[],MATCH(#REF!,TblRaces[Unitname],0),8),"")</f>
        <v>#REF!</v>
      </c>
      <c r="F29" s="57">
        <v>5</v>
      </c>
      <c r="H29" s="3" t="s">
        <v>487</v>
      </c>
      <c r="I29" s="54" t="e">
        <f>INDEX(TblRaces[[Max population]:[Explore Cost]],MATCH(race,TblRaces[Race],0),MATCH(#REF!,TblRaces[[#Headers],[Max population]:[Explore Cost]],0))</f>
        <v>#REF!</v>
      </c>
      <c r="O29" s="59"/>
    </row>
    <row r="30" spans="1:15" s="45" customFormat="1" x14ac:dyDescent="0.25">
      <c r="A30" s="63" t="s">
        <v>1080</v>
      </c>
      <c r="D30" s="64"/>
      <c r="G30" s="51"/>
      <c r="H30" s="3" t="s">
        <v>488</v>
      </c>
      <c r="I30" s="54" t="e">
        <f>INDEX(TblRaces[[Max population]:[Explore Cost]],MATCH(race,TblRaces[Race],0),MATCH(#REF!,TblRaces[[#Headers],[Max population]:[Explore Cost]],0))</f>
        <v>#REF!</v>
      </c>
      <c r="O30" s="59"/>
    </row>
    <row r="31" spans="1:15" s="45" customFormat="1" x14ac:dyDescent="0.25">
      <c r="A31" s="63"/>
      <c r="D31" s="64"/>
      <c r="G31" s="51"/>
      <c r="H31" s="3" t="s">
        <v>525</v>
      </c>
      <c r="I31" s="54" t="e">
        <f>INDEX(TblRaces[[Max population]:[Explore Cost]],MATCH(race,TblRaces[Race],0),MATCH(#REF!,TblRaces[[#Headers],[Max population]:[Explore Cost]],0))</f>
        <v>#REF!</v>
      </c>
      <c r="O31" s="59"/>
    </row>
    <row r="32" spans="1:15" s="45" customFormat="1" x14ac:dyDescent="0.25">
      <c r="A32" s="65"/>
      <c r="B32" s="66"/>
      <c r="C32" s="66"/>
      <c r="D32" s="67"/>
      <c r="E32" s="66"/>
      <c r="F32" s="66"/>
      <c r="G32" s="66"/>
      <c r="H32" s="1" t="s">
        <v>1072</v>
      </c>
      <c r="I32" s="390" t="e">
        <f>INDEX(TblRaces[[Max population]:[Explore Cost]],MATCH(race,TblRaces[Race],0),MATCH(#REF!,TblRaces[[#Headers],[Max population]:[Explore Cost]],0))</f>
        <v>#REF!</v>
      </c>
      <c r="J32" s="66"/>
      <c r="O32" s="69"/>
    </row>
    <row r="33" spans="1:15" s="2" customFormat="1" ht="29.25" customHeight="1" x14ac:dyDescent="0.3">
      <c r="A33" s="427" t="s">
        <v>377</v>
      </c>
      <c r="B33" s="405"/>
      <c r="C33" s="405"/>
      <c r="D33" s="405"/>
      <c r="E33" s="405"/>
      <c r="F33" s="405"/>
      <c r="G33" s="405"/>
      <c r="H33" s="405"/>
      <c r="I33" s="405"/>
      <c r="J33" s="428"/>
      <c r="K33" s="429"/>
      <c r="L33" s="429"/>
      <c r="M33" s="429"/>
      <c r="N33" s="429"/>
      <c r="O33" s="429"/>
    </row>
    <row r="34" spans="1:15" ht="13" x14ac:dyDescent="0.3">
      <c r="A34" s="8" t="s">
        <v>22</v>
      </c>
      <c r="B34" s="3" t="s">
        <v>355</v>
      </c>
      <c r="C34" s="70" t="s">
        <v>31</v>
      </c>
      <c r="D34" s="71" t="s">
        <v>207</v>
      </c>
      <c r="E34" s="72" t="s">
        <v>1016</v>
      </c>
      <c r="F34" s="70" t="s">
        <v>32</v>
      </c>
      <c r="G34" s="71" t="s">
        <v>1014</v>
      </c>
      <c r="H34" s="71" t="s">
        <v>1015</v>
      </c>
      <c r="I34" s="73" t="s">
        <v>773</v>
      </c>
      <c r="J34" s="45"/>
      <c r="K34" s="45"/>
      <c r="L34" s="45"/>
      <c r="M34" s="45"/>
      <c r="N34" s="45"/>
      <c r="O34" s="74"/>
    </row>
    <row r="35" spans="1:15" ht="13" x14ac:dyDescent="0.3">
      <c r="A35" s="75" t="s">
        <v>34</v>
      </c>
      <c r="B35" s="76" t="s">
        <v>217</v>
      </c>
      <c r="C35" s="77" t="s">
        <v>189</v>
      </c>
      <c r="D35" s="78" t="s">
        <v>207</v>
      </c>
      <c r="E35" s="76" t="s">
        <v>228</v>
      </c>
      <c r="F35" s="78" t="s">
        <v>189</v>
      </c>
      <c r="G35" s="78" t="s">
        <v>207</v>
      </c>
      <c r="H35" s="78" t="s">
        <v>228</v>
      </c>
      <c r="I35" s="79" t="s">
        <v>34</v>
      </c>
      <c r="J35" s="45"/>
      <c r="K35" s="50" t="s">
        <v>428</v>
      </c>
      <c r="L35" s="45"/>
      <c r="M35" s="45"/>
      <c r="N35" s="80"/>
      <c r="O35" s="51"/>
    </row>
    <row r="36" spans="1:15" x14ac:dyDescent="0.25">
      <c r="A36" s="75" t="str">
        <f>spec_op_name</f>
        <v>Spearman</v>
      </c>
      <c r="B36" s="81" t="e">
        <f ca="1">Military!E$76</f>
        <v>#REF!</v>
      </c>
      <c r="C36" s="82" t="e">
        <f ca="1">B36*B22</f>
        <v>#REF!</v>
      </c>
      <c r="D36" s="83" t="e">
        <f>Military!Q76</f>
        <v>#REF!</v>
      </c>
      <c r="E36" s="81" t="e">
        <f ca="1">C36*(1+$D$36)</f>
        <v>#REF!</v>
      </c>
      <c r="F36" s="84" t="e">
        <f ca="1">B36*C22</f>
        <v>#REF!</v>
      </c>
      <c r="G36" s="83" t="e">
        <f>Military!U76</f>
        <v>#REF!</v>
      </c>
      <c r="H36" s="84" t="e">
        <f ca="1">F36*(1+$G$36)</f>
        <v>#REF!</v>
      </c>
      <c r="I36" s="85" t="str">
        <f>A36</f>
        <v>Spearman</v>
      </c>
      <c r="J36" s="45"/>
      <c r="K36" s="403" t="s">
        <v>429</v>
      </c>
      <c r="L36" s="404"/>
      <c r="M36" s="404"/>
      <c r="N36" s="404"/>
      <c r="O36" s="51"/>
    </row>
    <row r="37" spans="1:15" x14ac:dyDescent="0.25">
      <c r="A37" s="86" t="str">
        <f>spec_dp_name</f>
        <v>Archer</v>
      </c>
      <c r="B37" s="87" t="e">
        <f ca="1">Military!F$76</f>
        <v>#REF!</v>
      </c>
      <c r="C37" s="88" t="e">
        <f ca="1">B37*B23</f>
        <v>#REF!</v>
      </c>
      <c r="D37" s="89"/>
      <c r="E37" s="87" t="e">
        <f ca="1">C37*(1+$D$36)</f>
        <v>#REF!</v>
      </c>
      <c r="F37" s="39" t="e">
        <f ca="1">B37*C23</f>
        <v>#REF!</v>
      </c>
      <c r="G37" s="89"/>
      <c r="H37" s="39" t="e">
        <f ca="1">F37*(1+$G$36)</f>
        <v>#REF!</v>
      </c>
      <c r="I37" s="85" t="str">
        <f>A37</f>
        <v>Archer</v>
      </c>
      <c r="J37" s="45"/>
      <c r="K37" s="404"/>
      <c r="L37" s="404"/>
      <c r="M37" s="404"/>
      <c r="N37" s="404"/>
      <c r="O37" s="51"/>
    </row>
    <row r="38" spans="1:15" x14ac:dyDescent="0.25">
      <c r="A38" s="86" t="str">
        <f>elite1_name</f>
        <v>Knight</v>
      </c>
      <c r="B38" s="87" t="e">
        <f ca="1">Military!G$76</f>
        <v>#REF!</v>
      </c>
      <c r="C38" s="88" t="e">
        <f ca="1">B38*B24</f>
        <v>#REF!</v>
      </c>
      <c r="D38" s="89"/>
      <c r="E38" s="87" t="e">
        <f ca="1">C38*(1+$D$36)</f>
        <v>#REF!</v>
      </c>
      <c r="F38" s="39" t="e">
        <f ca="1">B38*C24+E88*D88</f>
        <v>#REF!</v>
      </c>
      <c r="G38" s="89"/>
      <c r="H38" s="39" t="e">
        <f ca="1">F38*(1+$G$36)</f>
        <v>#REF!</v>
      </c>
      <c r="I38" s="85" t="str">
        <f>A38</f>
        <v>Knight</v>
      </c>
      <c r="J38" s="45"/>
      <c r="K38" s="404"/>
      <c r="L38" s="404"/>
      <c r="M38" s="404"/>
      <c r="N38" s="404"/>
      <c r="O38" s="51"/>
    </row>
    <row r="39" spans="1:15" ht="13" thickBot="1" x14ac:dyDescent="0.3">
      <c r="A39" s="86" t="str">
        <f>elite2_name</f>
        <v>Cavalry</v>
      </c>
      <c r="B39" s="87" t="e">
        <f ca="1">Military!H$76</f>
        <v>#REF!</v>
      </c>
      <c r="C39" s="90" t="e">
        <f ca="1">B39*B25+E88*C89</f>
        <v>#REF!</v>
      </c>
      <c r="D39" s="89"/>
      <c r="E39" s="91" t="e">
        <f ca="1">C39*(1+$D$36)</f>
        <v>#REF!</v>
      </c>
      <c r="F39" s="92" t="e">
        <f ca="1">B39*C25</f>
        <v>#REF!</v>
      </c>
      <c r="G39" s="89"/>
      <c r="H39" s="92" t="e">
        <f ca="1">F39*(1+$G$36)</f>
        <v>#REF!</v>
      </c>
      <c r="I39" s="85" t="str">
        <f>A39</f>
        <v>Cavalry</v>
      </c>
      <c r="J39" s="45"/>
      <c r="K39" s="406" t="s">
        <v>449</v>
      </c>
      <c r="L39" s="407"/>
      <c r="M39" s="407"/>
      <c r="N39" s="407"/>
      <c r="O39" s="51"/>
    </row>
    <row r="40" spans="1:15" ht="13" x14ac:dyDescent="0.3">
      <c r="A40" s="93"/>
      <c r="B40" s="81"/>
      <c r="C40" s="94" t="e">
        <f ca="1">SUM(C36:C39)</f>
        <v>#REF!</v>
      </c>
      <c r="E40" s="95" t="e">
        <f ca="1">SUM(E36:E39)</f>
        <v>#REF!</v>
      </c>
      <c r="F40" s="37" t="e">
        <f ca="1">SUM(F36:F39)</f>
        <v>#REF!</v>
      </c>
      <c r="H40" s="37" t="e">
        <f ca="1">SUM(H36:H39)</f>
        <v>#REF!</v>
      </c>
      <c r="I40" s="77"/>
      <c r="J40" s="45"/>
      <c r="K40" s="407"/>
      <c r="L40" s="407"/>
      <c r="M40" s="407"/>
      <c r="N40" s="407"/>
      <c r="O40" s="51"/>
    </row>
    <row r="41" spans="1:15" x14ac:dyDescent="0.25">
      <c r="A41" s="96" t="s">
        <v>24</v>
      </c>
      <c r="B41" s="39" t="e">
        <f ca="1">F41</f>
        <v>#REF!</v>
      </c>
      <c r="C41" s="96"/>
      <c r="E41" s="97"/>
      <c r="F41" s="39" t="e">
        <f ca="1">Military!AA76</f>
        <v>#REF!</v>
      </c>
      <c r="H41" s="39" t="e">
        <f ca="1">F41*(1+$G$36)</f>
        <v>#REF!</v>
      </c>
      <c r="I41" s="85" t="s">
        <v>420</v>
      </c>
      <c r="J41" s="45"/>
      <c r="K41" s="403" t="s">
        <v>447</v>
      </c>
      <c r="L41" s="404"/>
      <c r="M41" s="404"/>
      <c r="N41" s="404"/>
      <c r="O41" s="51"/>
    </row>
    <row r="42" spans="1:15" ht="13" thickBot="1" x14ac:dyDescent="0.3">
      <c r="A42" s="96" t="s">
        <v>419</v>
      </c>
      <c r="B42" s="3" t="e">
        <f ca="1">E54</f>
        <v>#REF!</v>
      </c>
      <c r="C42" s="96"/>
      <c r="E42" s="97"/>
      <c r="F42" s="98" t="e">
        <f ca="1">MIN(Population!C76/2,Constants!B14*20*Construction!BE76)</f>
        <v>#REF!</v>
      </c>
      <c r="H42" s="99" t="e">
        <f ca="1">F42*(1+$G$36)</f>
        <v>#REF!</v>
      </c>
      <c r="I42" s="85" t="s">
        <v>378</v>
      </c>
      <c r="J42" s="45"/>
      <c r="K42" s="404"/>
      <c r="L42" s="404"/>
      <c r="M42" s="404"/>
      <c r="N42" s="404"/>
      <c r="O42" s="51"/>
    </row>
    <row r="43" spans="1:15" ht="13" x14ac:dyDescent="0.3">
      <c r="C43" s="96"/>
      <c r="E43" s="97"/>
      <c r="F43" s="37" t="e">
        <f ca="1">F41+F40+F42</f>
        <v>#REF!</v>
      </c>
      <c r="H43" s="95" t="e">
        <f ca="1">H41+H40+H42</f>
        <v>#REF!</v>
      </c>
      <c r="I43" s="85"/>
      <c r="J43" s="45"/>
      <c r="K43" s="405"/>
      <c r="L43" s="405"/>
      <c r="M43" s="405"/>
      <c r="N43" s="405"/>
      <c r="O43" s="51"/>
    </row>
    <row r="44" spans="1:15" x14ac:dyDescent="0.25">
      <c r="A44" s="45"/>
      <c r="B44" s="45"/>
      <c r="C44" s="45"/>
      <c r="D44" s="402"/>
      <c r="E44" s="402"/>
      <c r="F44" s="402"/>
      <c r="G44" s="402"/>
      <c r="H44" s="402"/>
      <c r="I44" s="45"/>
      <c r="J44" s="45"/>
      <c r="K44" s="45"/>
      <c r="L44" s="45"/>
      <c r="M44" s="45"/>
      <c r="N44" s="45"/>
      <c r="O44" s="51"/>
    </row>
    <row r="45" spans="1:15" x14ac:dyDescent="0.25">
      <c r="A45" s="100" t="str">
        <f>A26</f>
        <v>Spy</v>
      </c>
      <c r="B45" s="383" t="e">
        <f ca="1">Military!I76</f>
        <v>#REF!</v>
      </c>
      <c r="D45" s="45"/>
      <c r="E45" s="45"/>
      <c r="F45" s="45"/>
      <c r="G45" s="45"/>
      <c r="I45" s="45"/>
      <c r="J45" s="45"/>
      <c r="K45" s="45"/>
      <c r="L45" s="45"/>
      <c r="M45" s="45"/>
      <c r="N45" s="45"/>
      <c r="O45" s="51"/>
    </row>
    <row r="46" spans="1:15" ht="13" x14ac:dyDescent="0.3">
      <c r="A46" s="398" t="s">
        <v>1095</v>
      </c>
      <c r="B46" s="395" t="e">
        <f ca="1">Military!J76</f>
        <v>#REF!</v>
      </c>
      <c r="C46" s="45"/>
      <c r="D46" s="8" t="s">
        <v>253</v>
      </c>
      <c r="E46" s="57" t="s">
        <v>355</v>
      </c>
      <c r="F46" s="3" t="s">
        <v>1017</v>
      </c>
      <c r="G46" s="45"/>
      <c r="H46" s="50" t="s">
        <v>255</v>
      </c>
      <c r="I46" s="45"/>
      <c r="J46" s="45"/>
      <c r="K46" s="45"/>
      <c r="L46" s="45"/>
      <c r="M46" s="45"/>
      <c r="N46" s="45"/>
      <c r="O46" s="51"/>
    </row>
    <row r="47" spans="1:15" ht="13" x14ac:dyDescent="0.3">
      <c r="A47" s="396" t="str">
        <f>A28</f>
        <v>Wizard</v>
      </c>
      <c r="B47" s="397" t="e">
        <f ca="1">Military!K76</f>
        <v>#REF!</v>
      </c>
      <c r="C47" s="45"/>
      <c r="D47" s="47" t="s">
        <v>1</v>
      </c>
      <c r="E47" s="47" t="e">
        <f>Construction!BT76</f>
        <v>#REF!</v>
      </c>
      <c r="F47" s="101">
        <v>1</v>
      </c>
      <c r="G47" s="45"/>
      <c r="H47" s="3" t="s">
        <v>256</v>
      </c>
      <c r="I47" s="102" t="s">
        <v>189</v>
      </c>
      <c r="J47" s="57" t="s">
        <v>228</v>
      </c>
      <c r="K47" s="45"/>
      <c r="L47" s="45"/>
      <c r="M47" s="45"/>
      <c r="N47" s="45"/>
      <c r="O47" s="51"/>
    </row>
    <row r="48" spans="1:15" x14ac:dyDescent="0.25">
      <c r="A48" s="106" t="str">
        <f>A29</f>
        <v>Archmage</v>
      </c>
      <c r="B48" s="384" t="e">
        <f ca="1">Military!L76</f>
        <v>#REF!</v>
      </c>
      <c r="C48" s="45"/>
      <c r="D48" s="103" t="str">
        <f>Construction!AY3</f>
        <v>Tot Hom</v>
      </c>
      <c r="E48" s="39" t="e">
        <f ca="1">Construction!AY76</f>
        <v>#REF!</v>
      </c>
      <c r="F48" s="104" t="e">
        <f ca="1">E48/$E$47</f>
        <v>#REF!</v>
      </c>
      <c r="G48" s="45"/>
      <c r="H48" s="3" t="s">
        <v>250</v>
      </c>
      <c r="I48" s="105" t="e">
        <f ca="1">C40/E47</f>
        <v>#REF!</v>
      </c>
      <c r="J48" s="105" t="e">
        <f ca="1">E40/E47</f>
        <v>#REF!</v>
      </c>
      <c r="K48" s="45"/>
      <c r="L48" s="45"/>
      <c r="M48" s="45"/>
      <c r="N48" s="45"/>
      <c r="O48" s="51"/>
    </row>
    <row r="49" spans="1:15" x14ac:dyDescent="0.25">
      <c r="A49" s="45"/>
      <c r="B49" s="45"/>
      <c r="C49" s="45"/>
      <c r="D49" s="103" t="str">
        <f>Construction!AZ3</f>
        <v>Tot Alc</v>
      </c>
      <c r="E49" s="3" t="e">
        <f ca="1">Construction!AZ76</f>
        <v>#REF!</v>
      </c>
      <c r="F49" s="104" t="e">
        <f ca="1">E49/$E$47</f>
        <v>#REF!</v>
      </c>
      <c r="G49" s="45"/>
      <c r="H49" s="3" t="s">
        <v>251</v>
      </c>
      <c r="I49" s="105" t="e">
        <f ca="1">F40/E47</f>
        <v>#REF!</v>
      </c>
      <c r="J49" s="105" t="e">
        <f ca="1">H40/E47</f>
        <v>#REF!</v>
      </c>
      <c r="K49" s="45"/>
      <c r="L49" s="45"/>
      <c r="M49" s="45"/>
      <c r="N49" s="45"/>
      <c r="O49" s="51"/>
    </row>
    <row r="50" spans="1:15" x14ac:dyDescent="0.25">
      <c r="A50" s="100" t="s">
        <v>268</v>
      </c>
      <c r="B50" s="383" t="e">
        <f ca="1">Production!N76*(boat_size + tech_6_3_3*Techs!BH76)</f>
        <v>#REF!</v>
      </c>
      <c r="C50" s="45"/>
      <c r="D50" s="103" t="str">
        <f>Construction!BA3</f>
        <v>Tot Farm</v>
      </c>
      <c r="E50" s="3" t="e">
        <f ca="1">Construction!BA76</f>
        <v>#REF!</v>
      </c>
      <c r="F50" s="104" t="e">
        <f ca="1">E50/$E$47</f>
        <v>#REF!</v>
      </c>
      <c r="G50" s="45"/>
      <c r="H50" s="3" t="s">
        <v>252</v>
      </c>
      <c r="I50" s="105" t="e">
        <f ca="1">(B45 + B46*2 + B38*D90*E90 + B38*D91*E91)/E47</f>
        <v>#REF!</v>
      </c>
      <c r="J50" s="105" t="e">
        <f ca="1">I50*(1+I26)</f>
        <v>#REF!</v>
      </c>
      <c r="K50" s="45"/>
      <c r="L50" s="45"/>
      <c r="M50" s="45"/>
      <c r="N50" s="45"/>
      <c r="O50" s="51"/>
    </row>
    <row r="51" spans="1:15" x14ac:dyDescent="0.25">
      <c r="A51" s="106" t="s">
        <v>376</v>
      </c>
      <c r="B51" s="384">
        <f>SUM(Imps!M4:'Imps'!M76)</f>
        <v>0</v>
      </c>
      <c r="C51" s="45"/>
      <c r="D51" s="103" t="str">
        <f>Construction!BB3</f>
        <v>Tot Smi</v>
      </c>
      <c r="E51" s="3" t="e">
        <f ca="1">Construction!BB76</f>
        <v>#REF!</v>
      </c>
      <c r="F51" s="104" t="e">
        <f t="shared" ref="F51:F66" ca="1" si="0">E51/$E$47</f>
        <v>#REF!</v>
      </c>
      <c r="G51" s="45"/>
      <c r="H51" s="3" t="s">
        <v>254</v>
      </c>
      <c r="I51" s="105" t="e">
        <f ca="1">(B48*2+B47 + B38*D92*E92 + B38*D93*E93)/E47</f>
        <v>#REF!</v>
      </c>
      <c r="J51" s="105" t="e">
        <f ca="1">I51*(1+I27+Constants!O58*Techs!AL76)</f>
        <v>#REF!</v>
      </c>
      <c r="K51" s="45"/>
      <c r="L51" s="45"/>
      <c r="M51" s="45"/>
      <c r="N51" s="45"/>
      <c r="O51" s="51"/>
    </row>
    <row r="52" spans="1:15" x14ac:dyDescent="0.25">
      <c r="C52" s="45"/>
      <c r="D52" s="103" t="str">
        <f>Construction!BC3</f>
        <v>Tot Mas</v>
      </c>
      <c r="E52" s="3" t="e">
        <f ca="1">Construction!BC76</f>
        <v>#REF!</v>
      </c>
      <c r="F52" s="104" t="e">
        <f t="shared" ca="1" si="0"/>
        <v>#REF!</v>
      </c>
      <c r="G52" s="45"/>
      <c r="H52" s="45"/>
      <c r="I52" s="45"/>
      <c r="J52" s="45"/>
      <c r="K52" s="45"/>
      <c r="L52" s="45"/>
      <c r="M52" s="45"/>
      <c r="N52" s="45"/>
      <c r="O52" s="51"/>
    </row>
    <row r="53" spans="1:15" ht="13" x14ac:dyDescent="0.3">
      <c r="A53" s="107" t="s">
        <v>1</v>
      </c>
      <c r="B53" s="381" t="e">
        <f>E47</f>
        <v>#REF!</v>
      </c>
      <c r="C53" s="45"/>
      <c r="D53" s="103" t="str">
        <f>Construction!BD3</f>
        <v>Tot Ly</v>
      </c>
      <c r="E53" s="3" t="e">
        <f ca="1">Construction!BD76</f>
        <v>#REF!</v>
      </c>
      <c r="F53" s="104" t="e">
        <f t="shared" ca="1" si="0"/>
        <v>#REF!</v>
      </c>
      <c r="G53" s="45"/>
      <c r="H53" s="50" t="s">
        <v>2</v>
      </c>
      <c r="I53" s="45"/>
      <c r="J53" s="45"/>
      <c r="K53" s="45"/>
      <c r="L53" s="45"/>
      <c r="M53" s="45"/>
      <c r="N53" s="45"/>
      <c r="O53" s="51"/>
    </row>
    <row r="54" spans="1:15" x14ac:dyDescent="0.25">
      <c r="A54" s="108" t="s">
        <v>21</v>
      </c>
      <c r="B54" s="382" t="e">
        <f ca="1">Population!C76</f>
        <v>#REF!</v>
      </c>
      <c r="C54" s="45"/>
      <c r="D54" s="103" t="str">
        <f>Construction!BE3</f>
        <v>Tot Hav</v>
      </c>
      <c r="E54" s="3" t="e">
        <f ca="1">Construction!BE76</f>
        <v>#REF!</v>
      </c>
      <c r="F54" s="104" t="e">
        <f t="shared" ca="1" si="0"/>
        <v>#REF!</v>
      </c>
      <c r="G54" s="45"/>
      <c r="H54" s="3" t="s">
        <v>0</v>
      </c>
      <c r="I54" s="96" t="s">
        <v>217</v>
      </c>
      <c r="J54" s="3" t="s">
        <v>384</v>
      </c>
      <c r="K54" s="45"/>
      <c r="L54" s="45"/>
      <c r="M54" s="45"/>
      <c r="N54" s="45"/>
      <c r="O54" s="51"/>
    </row>
    <row r="55" spans="1:15" x14ac:dyDescent="0.25">
      <c r="A55" s="109" t="s">
        <v>24</v>
      </c>
      <c r="B55" s="360" t="e">
        <f ca="1">B41</f>
        <v>#REF!</v>
      </c>
      <c r="C55" s="45"/>
      <c r="D55" s="103" t="str">
        <f>Construction!BF3</f>
        <v>Tot OM</v>
      </c>
      <c r="E55" s="3" t="e">
        <f ca="1">Construction!BF76</f>
        <v>#REF!</v>
      </c>
      <c r="F55" s="104" t="e">
        <f t="shared" ca="1" si="0"/>
        <v>#REF!</v>
      </c>
      <c r="G55" s="45"/>
      <c r="H55" s="110">
        <v>61</v>
      </c>
      <c r="I55" s="61" t="e">
        <f ca="1">Production!H64</f>
        <v>#REF!</v>
      </c>
      <c r="J55" s="61" t="e">
        <f ca="1">Production!H64+SUM(Military!AR4:AR64)</f>
        <v>#REF!</v>
      </c>
      <c r="K55" s="45"/>
      <c r="L55" s="45"/>
      <c r="M55" s="45"/>
      <c r="N55" s="45"/>
      <c r="O55" s="51"/>
    </row>
    <row r="56" spans="1:15" x14ac:dyDescent="0.25">
      <c r="A56" s="108" t="s">
        <v>231</v>
      </c>
      <c r="B56" s="382" t="e">
        <f>Production!G76</f>
        <v>#REF!</v>
      </c>
      <c r="C56" s="45"/>
      <c r="D56" s="103" t="str">
        <f>Construction!BG3</f>
        <v>Tot GN</v>
      </c>
      <c r="E56" s="3" t="e">
        <f ca="1">Construction!BG76</f>
        <v>#REF!</v>
      </c>
      <c r="F56" s="104" t="e">
        <f t="shared" ca="1" si="0"/>
        <v>#REF!</v>
      </c>
      <c r="G56" s="45"/>
      <c r="H56" s="110">
        <v>64</v>
      </c>
      <c r="I56" s="61" t="e">
        <f ca="1">Production!H67</f>
        <v>#REF!</v>
      </c>
      <c r="J56" s="61" t="e">
        <f ca="1">Production!H67+SUM(Military!AR5:AR67)</f>
        <v>#REF!</v>
      </c>
      <c r="K56" s="111"/>
      <c r="L56" s="45"/>
      <c r="M56" s="45"/>
      <c r="N56" s="45"/>
      <c r="O56" s="51"/>
    </row>
    <row r="57" spans="1:15" x14ac:dyDescent="0.25">
      <c r="A57" s="109" t="s">
        <v>267</v>
      </c>
      <c r="B57" s="360" t="e">
        <f ca="1">H40</f>
        <v>#REF!</v>
      </c>
      <c r="C57" s="45"/>
      <c r="D57" s="103" t="str">
        <f>Construction!BJ3</f>
        <v>Tot Bar</v>
      </c>
      <c r="E57" s="3" t="e">
        <f ca="1">Construction!BJ76</f>
        <v>#REF!</v>
      </c>
      <c r="F57" s="104" t="e">
        <f t="shared" ca="1" si="0"/>
        <v>#REF!</v>
      </c>
      <c r="G57" s="45"/>
      <c r="H57" s="110" t="s">
        <v>230</v>
      </c>
      <c r="I57" s="61" t="e">
        <f ca="1">Production!H76</f>
        <v>#REF!</v>
      </c>
      <c r="J57" s="61" t="e">
        <f ca="1">Production!H76+SUM(Military!AR4:AR76)</f>
        <v>#REF!</v>
      </c>
      <c r="K57" s="111"/>
      <c r="L57" s="45"/>
      <c r="M57" s="45"/>
      <c r="N57" s="45"/>
      <c r="O57" s="51"/>
    </row>
    <row r="58" spans="1:15" x14ac:dyDescent="0.25">
      <c r="A58" s="108" t="s">
        <v>266</v>
      </c>
      <c r="B58" s="382" t="e">
        <f ca="1">E40</f>
        <v>#REF!</v>
      </c>
      <c r="C58" s="45"/>
      <c r="D58" s="103" t="str">
        <f>Construction!BH3</f>
        <v>Tot Fac</v>
      </c>
      <c r="E58" s="3" t="e">
        <f ca="1">Construction!BH76</f>
        <v>#REF!</v>
      </c>
      <c r="F58" s="104" t="e">
        <f t="shared" ca="1" si="0"/>
        <v>#REF!</v>
      </c>
      <c r="G58" s="45"/>
      <c r="H58" s="45"/>
      <c r="I58" s="45"/>
      <c r="J58" s="45"/>
      <c r="K58" s="111"/>
      <c r="L58" s="45"/>
      <c r="M58" s="45"/>
      <c r="N58" s="45"/>
      <c r="O58" s="51"/>
    </row>
    <row r="59" spans="1:15" ht="13" x14ac:dyDescent="0.3">
      <c r="A59" s="109" t="s">
        <v>6</v>
      </c>
      <c r="B59" s="360" t="e">
        <f>Production!S76</f>
        <v>#REF!</v>
      </c>
      <c r="C59" s="45"/>
      <c r="D59" s="103" t="str">
        <f>Construction!BI3</f>
        <v>Tot GT</v>
      </c>
      <c r="E59" s="3" t="e">
        <f ca="1">Construction!BI76</f>
        <v>#REF!</v>
      </c>
      <c r="F59" s="104" t="e">
        <f t="shared" ca="1" si="0"/>
        <v>#REF!</v>
      </c>
      <c r="G59" s="45"/>
      <c r="H59" s="50" t="s">
        <v>277</v>
      </c>
      <c r="I59" s="45"/>
      <c r="J59" s="45"/>
      <c r="K59" s="45"/>
      <c r="L59" s="45"/>
      <c r="M59" s="45"/>
      <c r="N59" s="45"/>
      <c r="O59" s="51"/>
    </row>
    <row r="60" spans="1:15" x14ac:dyDescent="0.25">
      <c r="A60" s="108" t="s">
        <v>2</v>
      </c>
      <c r="B60" s="382" t="e">
        <f ca="1">Production!H$76</f>
        <v>#REF!</v>
      </c>
      <c r="C60" s="45"/>
      <c r="D60" s="103" t="str">
        <f>Construction!BK3</f>
        <v>Tot Shr</v>
      </c>
      <c r="E60" s="3" t="e">
        <f ca="1">Construction!BK76</f>
        <v>#REF!</v>
      </c>
      <c r="F60" s="104" t="e">
        <f t="shared" ca="1" si="0"/>
        <v>#REF!</v>
      </c>
      <c r="G60" s="45"/>
      <c r="H60" s="3" t="s">
        <v>278</v>
      </c>
      <c r="I60" s="88" t="s">
        <v>217</v>
      </c>
      <c r="J60" s="104" t="s">
        <v>383</v>
      </c>
      <c r="K60" s="45"/>
      <c r="L60" s="45"/>
      <c r="M60" s="45"/>
      <c r="N60" s="45"/>
      <c r="O60" s="51"/>
    </row>
    <row r="61" spans="1:15" x14ac:dyDescent="0.25">
      <c r="A61" s="109" t="s">
        <v>5</v>
      </c>
      <c r="B61" s="360" t="e">
        <f ca="1">Production!I$76</f>
        <v>#REF!</v>
      </c>
      <c r="C61" s="45"/>
      <c r="D61" s="103" t="str">
        <f>Construction!BL3</f>
        <v>Tot Tow</v>
      </c>
      <c r="E61" s="3" t="e">
        <f ca="1">Construction!BL76</f>
        <v>#REF!</v>
      </c>
      <c r="F61" s="104" t="e">
        <f t="shared" ca="1" si="0"/>
        <v>#REF!</v>
      </c>
      <c r="G61" s="45"/>
      <c r="H61" s="3" t="s">
        <v>279</v>
      </c>
      <c r="I61" s="39" t="e">
        <f>SUM(Construction!AQ4:AQ76)</f>
        <v>#REF!</v>
      </c>
      <c r="J61" s="104">
        <f>IFERROR(#REF!/#REF!,0)</f>
        <v>0</v>
      </c>
      <c r="K61" s="45"/>
      <c r="L61" s="45"/>
      <c r="M61" s="45"/>
      <c r="N61" s="45"/>
      <c r="O61" s="51"/>
    </row>
    <row r="62" spans="1:15" x14ac:dyDescent="0.25">
      <c r="A62" s="108" t="s">
        <v>7</v>
      </c>
      <c r="B62" s="382" t="e">
        <f ca="1">Production!J$76</f>
        <v>#REF!</v>
      </c>
      <c r="C62" s="45"/>
      <c r="D62" s="103" t="str">
        <f>Construction!BM3</f>
        <v>Tot Tem</v>
      </c>
      <c r="E62" s="3" t="e">
        <f ca="1">Construction!BM76</f>
        <v>#REF!</v>
      </c>
      <c r="F62" s="104" t="e">
        <f t="shared" ca="1" si="0"/>
        <v>#REF!</v>
      </c>
      <c r="G62" s="45"/>
      <c r="H62" s="3" t="s">
        <v>280</v>
      </c>
      <c r="I62" s="39" t="e">
        <f>SUM(Explore!AH4:AH76)</f>
        <v>#REF!</v>
      </c>
      <c r="J62" s="104">
        <f>IFERROR(#REF!/#REF!,0)</f>
        <v>0</v>
      </c>
      <c r="K62" s="45"/>
      <c r="L62" s="45"/>
      <c r="M62" s="45"/>
      <c r="N62" s="45"/>
      <c r="O62" s="51"/>
    </row>
    <row r="63" spans="1:15" x14ac:dyDescent="0.25">
      <c r="A63" s="109" t="s">
        <v>12</v>
      </c>
      <c r="B63" s="360" t="e">
        <f ca="1">Production!K$76</f>
        <v>#REF!</v>
      </c>
      <c r="C63" s="45"/>
      <c r="D63" s="103" t="str">
        <f>Construction!BN3</f>
        <v>Tot WG</v>
      </c>
      <c r="E63" s="3" t="e">
        <f ca="1">Construction!BN76</f>
        <v>#REF!</v>
      </c>
      <c r="F63" s="104" t="e">
        <f t="shared" ca="1" si="0"/>
        <v>#REF!</v>
      </c>
      <c r="G63" s="45"/>
      <c r="H63" s="3" t="s">
        <v>22</v>
      </c>
      <c r="I63" s="39" t="e">
        <f>SUM(Military!AR4:AR76)</f>
        <v>#REF!</v>
      </c>
      <c r="J63" s="104">
        <f>IFERROR(#REF!/#REF!,0)</f>
        <v>0</v>
      </c>
      <c r="K63" s="45"/>
      <c r="L63" s="45"/>
      <c r="M63" s="45"/>
      <c r="N63" s="45"/>
      <c r="O63" s="51"/>
    </row>
    <row r="64" spans="1:15" x14ac:dyDescent="0.25">
      <c r="A64" s="108" t="s">
        <v>3</v>
      </c>
      <c r="B64" s="382" t="e">
        <f ca="1">Production!L$76</f>
        <v>#REF!</v>
      </c>
      <c r="C64" s="45"/>
      <c r="D64" s="103" t="str">
        <f>Construction!BO3</f>
        <v>Tot DM</v>
      </c>
      <c r="E64" s="3" t="e">
        <f ca="1">Construction!BO76</f>
        <v>#REF!</v>
      </c>
      <c r="F64" s="104" t="e">
        <f t="shared" ca="1" si="0"/>
        <v>#REF!</v>
      </c>
      <c r="G64" s="45"/>
      <c r="H64" s="3" t="s">
        <v>191</v>
      </c>
      <c r="I64" s="39" t="e">
        <f>SUM(Rezone!Y4:Y76)</f>
        <v>#REF!</v>
      </c>
      <c r="J64" s="104">
        <f>IFERROR(#REF!/#REF!,0)</f>
        <v>0</v>
      </c>
      <c r="K64" s="45"/>
      <c r="L64" s="45"/>
      <c r="M64" s="45"/>
      <c r="N64" s="45"/>
      <c r="O64" s="51"/>
    </row>
    <row r="65" spans="1:15" x14ac:dyDescent="0.25">
      <c r="A65" s="109" t="s">
        <v>4</v>
      </c>
      <c r="B65" s="360" t="e">
        <f ca="1">Production!M$76</f>
        <v>#REF!</v>
      </c>
      <c r="C65" s="45"/>
      <c r="D65" s="103" t="str">
        <f>Construction!BP3</f>
        <v>Tot Sch</v>
      </c>
      <c r="E65" s="3" t="e">
        <f ca="1">Construction!BP76</f>
        <v>#REF!</v>
      </c>
      <c r="F65" s="104" t="e">
        <f t="shared" ca="1" si="0"/>
        <v>#REF!</v>
      </c>
      <c r="G65" s="45"/>
      <c r="H65" s="3" t="s">
        <v>281</v>
      </c>
      <c r="I65" s="39" t="e">
        <f>SUM(Imps!AM4:AM76)</f>
        <v>#REF!</v>
      </c>
      <c r="J65" s="104">
        <f>IFERROR(#REF!/#REF!,0)</f>
        <v>0</v>
      </c>
      <c r="K65" s="45"/>
      <c r="L65" s="45"/>
      <c r="M65" s="45"/>
      <c r="N65" s="45"/>
      <c r="O65" s="51"/>
    </row>
    <row r="66" spans="1:15" x14ac:dyDescent="0.25">
      <c r="A66" s="108" t="s">
        <v>82</v>
      </c>
      <c r="B66" s="382" t="e">
        <f ca="1">Production!N$76</f>
        <v>#REF!</v>
      </c>
      <c r="C66" s="45"/>
      <c r="D66" s="337" t="str">
        <f>Construction!BQ3</f>
        <v>Tot Doc</v>
      </c>
      <c r="E66" s="1" t="e">
        <f ca="1">Construction!BQ76</f>
        <v>#REF!</v>
      </c>
      <c r="F66" s="113" t="e">
        <f t="shared" ca="1" si="0"/>
        <v>#REF!</v>
      </c>
      <c r="G66" s="45"/>
      <c r="H66" s="3" t="s">
        <v>187</v>
      </c>
      <c r="I66" s="39" t="e">
        <f>SUBTOTAL(109,#REF!)</f>
        <v>#REF!</v>
      </c>
      <c r="J66" s="135">
        <f>1</f>
        <v>1</v>
      </c>
      <c r="K66" s="45"/>
      <c r="L66" s="45"/>
      <c r="M66" s="45"/>
      <c r="N66" s="45"/>
      <c r="O66" s="51"/>
    </row>
    <row r="67" spans="1:15" x14ac:dyDescent="0.25">
      <c r="A67" s="109" t="s">
        <v>275</v>
      </c>
      <c r="B67" s="360">
        <f>SUM(Explore!T65:Z76)+SUM(Explore!S77:S87)*15</f>
        <v>0</v>
      </c>
      <c r="C67" s="45"/>
      <c r="D67" s="1" t="str">
        <f>B70</f>
        <v>Plain</v>
      </c>
      <c r="E67" s="112" t="e">
        <f>Construction!DG76</f>
        <v>#REF!</v>
      </c>
      <c r="F67" s="113" t="e">
        <f>E67/E47</f>
        <v>#REF!</v>
      </c>
      <c r="G67" s="45"/>
      <c r="I67" s="45"/>
      <c r="K67" s="45"/>
      <c r="L67" s="45"/>
      <c r="M67" s="45"/>
      <c r="N67" s="45"/>
      <c r="O67" s="51"/>
    </row>
    <row r="68" spans="1:15" ht="13" x14ac:dyDescent="0.3">
      <c r="A68" s="108" t="s">
        <v>276</v>
      </c>
      <c r="B68" s="382">
        <f>Construction!D76</f>
        <v>0</v>
      </c>
      <c r="C68" s="45"/>
      <c r="D68" s="8" t="s">
        <v>359</v>
      </c>
      <c r="E68" s="37" t="e">
        <f ca="1">E47-SUM(E48:E66)-B68</f>
        <v>#REF!</v>
      </c>
      <c r="F68" s="116" t="e">
        <f ca="1">E68/E47</f>
        <v>#REF!</v>
      </c>
      <c r="G68" s="45"/>
      <c r="H68" s="45"/>
      <c r="I68" s="45"/>
      <c r="J68" s="45"/>
      <c r="K68" s="45"/>
      <c r="L68" s="45"/>
      <c r="M68" s="45"/>
      <c r="N68" s="45"/>
      <c r="O68" s="51"/>
    </row>
    <row r="69" spans="1:15" ht="13" x14ac:dyDescent="0.3">
      <c r="A69" s="114" t="s">
        <v>380</v>
      </c>
      <c r="B69" s="115" t="str">
        <f>VLOOKUP($B$14,Races!$A$4:$B$116,2,FALSE)</f>
        <v>Good</v>
      </c>
      <c r="C69" s="45"/>
      <c r="D69" s="8" t="s">
        <v>360</v>
      </c>
      <c r="E69" s="37">
        <f>B68</f>
        <v>0</v>
      </c>
      <c r="F69" s="8" t="e">
        <f>E69/E47</f>
        <v>#REF!</v>
      </c>
      <c r="G69" s="45"/>
      <c r="H69" s="45"/>
      <c r="I69" s="45"/>
      <c r="J69" s="45"/>
      <c r="K69" s="45"/>
      <c r="L69" s="45"/>
      <c r="M69" s="45"/>
      <c r="N69" s="45"/>
      <c r="O69" s="51"/>
    </row>
    <row r="70" spans="1:15" x14ac:dyDescent="0.25">
      <c r="A70" s="114" t="s">
        <v>379</v>
      </c>
      <c r="B70" s="115" t="str">
        <f>VLOOKUP($B$14,Races!$A$4:$C$116,3,FALSE)</f>
        <v>Plain</v>
      </c>
      <c r="C70" s="45"/>
      <c r="D70" s="45"/>
      <c r="E70" s="45"/>
      <c r="F70" s="45"/>
      <c r="G70" s="45"/>
      <c r="H70" s="45"/>
      <c r="I70" s="45"/>
      <c r="J70" s="45"/>
      <c r="K70" s="45"/>
      <c r="L70" s="45"/>
      <c r="M70" s="45"/>
      <c r="N70" s="45"/>
      <c r="O70" s="51"/>
    </row>
    <row r="71" spans="1:15" x14ac:dyDescent="0.25">
      <c r="A71" s="45"/>
      <c r="B71" s="45"/>
      <c r="C71" s="45"/>
      <c r="D71" s="45"/>
      <c r="E71" s="45"/>
      <c r="F71" s="45"/>
      <c r="G71" s="45"/>
      <c r="H71" s="45"/>
      <c r="I71" s="45"/>
      <c r="J71" s="45"/>
      <c r="K71" s="45"/>
      <c r="L71" s="45"/>
      <c r="M71" s="45"/>
      <c r="N71" s="45"/>
      <c r="O71" s="51"/>
    </row>
    <row r="72" spans="1:15" x14ac:dyDescent="0.25">
      <c r="A72" s="45"/>
      <c r="B72" s="45"/>
      <c r="C72" s="66"/>
      <c r="D72" s="66"/>
      <c r="E72" s="66"/>
      <c r="F72" s="66"/>
      <c r="G72" s="66"/>
      <c r="H72" s="66"/>
      <c r="I72" s="66"/>
      <c r="J72" s="66"/>
      <c r="K72" s="66"/>
      <c r="L72" s="66"/>
      <c r="M72" s="66"/>
      <c r="N72" s="66"/>
      <c r="O72" s="68"/>
    </row>
    <row r="73" spans="1:15" ht="13" x14ac:dyDescent="0.3">
      <c r="A73" s="400" t="s">
        <v>288</v>
      </c>
      <c r="B73" s="401"/>
      <c r="C73" s="117"/>
      <c r="D73" s="117"/>
      <c r="E73" s="117"/>
    </row>
    <row r="74" spans="1:15" ht="13" x14ac:dyDescent="0.3">
      <c r="A74" s="118" t="s">
        <v>289</v>
      </c>
      <c r="B74" s="119"/>
      <c r="C74" s="117"/>
      <c r="D74" s="117"/>
      <c r="E74" s="119"/>
    </row>
    <row r="75" spans="1:15" x14ac:dyDescent="0.25">
      <c r="A75" s="120" t="s">
        <v>291</v>
      </c>
      <c r="B75" s="120" t="s">
        <v>292</v>
      </c>
      <c r="C75" s="120" t="s">
        <v>294</v>
      </c>
      <c r="D75" s="120" t="s">
        <v>293</v>
      </c>
      <c r="E75" s="117"/>
    </row>
    <row r="76" spans="1:15" x14ac:dyDescent="0.25">
      <c r="A76" s="117" t="s">
        <v>92</v>
      </c>
      <c r="B76" s="117" t="s">
        <v>124</v>
      </c>
      <c r="C76" s="121"/>
      <c r="D76" s="121" t="e">
        <f>IF(Constants!F115="none",$F$67/Constants!C115,MIN(Constants!F115,$F$67/Constants!C115))</f>
        <v>#REF!</v>
      </c>
      <c r="E76" s="117" t="b">
        <f>$B$14=A76</f>
        <v>0</v>
      </c>
    </row>
    <row r="77" spans="1:15" x14ac:dyDescent="0.25">
      <c r="A77" s="117"/>
      <c r="B77" s="117" t="s">
        <v>125</v>
      </c>
      <c r="C77" s="121" t="e">
        <f>IF(Constants!F116="none",$F$67/Constants!C116,MIN(Constants!F116,$F$67/Constants!C116))</f>
        <v>#REF!</v>
      </c>
      <c r="D77" s="121" t="e">
        <f>IF(Constants!F117="none",$F$67/Constants!C117,MIN(Constants!F117,$F$67/Constants!C117))</f>
        <v>#REF!</v>
      </c>
      <c r="E77" s="117"/>
    </row>
    <row r="78" spans="1:15" x14ac:dyDescent="0.25">
      <c r="A78" s="117" t="s">
        <v>96</v>
      </c>
      <c r="B78" s="117" t="s">
        <v>139</v>
      </c>
      <c r="C78" s="121"/>
      <c r="D78" s="121" t="e">
        <f>MIN(Constants!F118,$F$67/Constants!C118)</f>
        <v>#REF!</v>
      </c>
      <c r="E78" s="117" t="b">
        <f>$B$14=A78</f>
        <v>0</v>
      </c>
    </row>
    <row r="79" spans="1:15" x14ac:dyDescent="0.25">
      <c r="A79" s="117" t="s">
        <v>94</v>
      </c>
      <c r="B79" s="117" t="s">
        <v>132</v>
      </c>
      <c r="C79" s="121"/>
      <c r="D79" s="121" t="e">
        <f>MIN(Constants!F119,$F$67/Constants!C119)</f>
        <v>#REF!</v>
      </c>
      <c r="E79" s="117" t="b">
        <f>$B$14=A79</f>
        <v>0</v>
      </c>
    </row>
    <row r="80" spans="1:15" x14ac:dyDescent="0.25">
      <c r="A80" s="117" t="s">
        <v>99</v>
      </c>
      <c r="B80" s="117" t="s">
        <v>147</v>
      </c>
      <c r="C80" s="121" t="e">
        <f ca="1">MIN(Constants!F120,F63/Constants!C120)</f>
        <v>#REF!</v>
      </c>
      <c r="D80" s="121" t="e">
        <f ca="1">MIN(Constants!F121,F63/Constants!C121)</f>
        <v>#REF!</v>
      </c>
      <c r="E80" s="117" t="b">
        <f>$B$14=A80</f>
        <v>0</v>
      </c>
    </row>
    <row r="81" spans="1:5" x14ac:dyDescent="0.25">
      <c r="A81" s="117" t="s">
        <v>330</v>
      </c>
      <c r="B81" s="117" t="s">
        <v>333</v>
      </c>
      <c r="C81" s="117"/>
      <c r="D81" s="121" t="e">
        <f>MIN(Constants!F122,F67/Constants!C122)</f>
        <v>#REF!</v>
      </c>
      <c r="E81" s="117" t="b">
        <f>$B$14=A81</f>
        <v>0</v>
      </c>
    </row>
    <row r="82" spans="1:5" x14ac:dyDescent="0.25">
      <c r="A82" s="117"/>
      <c r="B82" s="117" t="s">
        <v>334</v>
      </c>
      <c r="C82" s="117" t="e">
        <f ca="1">MIN(Constants!F123,I51*Constants!C123)</f>
        <v>#REF!</v>
      </c>
      <c r="D82" s="117"/>
      <c r="E82" s="117"/>
    </row>
    <row r="83" spans="1:5" x14ac:dyDescent="0.25">
      <c r="A83" s="117" t="s">
        <v>143</v>
      </c>
      <c r="B83" s="117" t="s">
        <v>375</v>
      </c>
      <c r="C83" s="117"/>
      <c r="D83" s="121">
        <f>MIN(Constants!F124,250/Constants!C124)</f>
        <v>0</v>
      </c>
      <c r="E83" s="117" t="b">
        <f>$B$14=A83</f>
        <v>0</v>
      </c>
    </row>
    <row r="84" spans="1:5" x14ac:dyDescent="0.25">
      <c r="A84" s="117" t="s">
        <v>143</v>
      </c>
      <c r="B84" s="117" t="s">
        <v>358</v>
      </c>
      <c r="C84" s="122">
        <f>MIN(bone_breaker_cap,250/bone_breaker_bonus)</f>
        <v>0.83333333333333337</v>
      </c>
      <c r="E84" s="117" t="b">
        <f>$B$14=A84</f>
        <v>0</v>
      </c>
    </row>
    <row r="85" spans="1:5" x14ac:dyDescent="0.25">
      <c r="A85" s="117" t="s">
        <v>499</v>
      </c>
      <c r="B85" s="117" t="s">
        <v>424</v>
      </c>
      <c r="C85" s="117"/>
      <c r="D85" s="121" t="e">
        <f>MIN(nox_nightshade_cap,E67/E47/nox_nightshade_swamp_bonus)</f>
        <v>#REF!</v>
      </c>
      <c r="E85" s="117" t="b">
        <f>$B$14=A85</f>
        <v>0</v>
      </c>
    </row>
    <row r="86" spans="1:5" x14ac:dyDescent="0.25">
      <c r="A86" s="117"/>
      <c r="B86" s="117"/>
      <c r="C86" s="117"/>
      <c r="D86" s="121"/>
      <c r="E86" s="117"/>
    </row>
    <row r="87" spans="1:5" ht="13" x14ac:dyDescent="0.3">
      <c r="A87" s="118" t="s">
        <v>290</v>
      </c>
      <c r="B87" s="117"/>
      <c r="C87" s="117"/>
      <c r="D87" s="117"/>
      <c r="E87" s="117"/>
    </row>
    <row r="88" spans="1:5" x14ac:dyDescent="0.25">
      <c r="A88" s="117" t="s">
        <v>102</v>
      </c>
      <c r="B88" s="117" t="s">
        <v>328</v>
      </c>
      <c r="C88" s="117"/>
      <c r="D88" s="117" t="e">
        <f ca="1">MIN(B38,B37)*2</f>
        <v>#REF!</v>
      </c>
      <c r="E88" s="117" t="b">
        <f>$B$14=A88</f>
        <v>0</v>
      </c>
    </row>
    <row r="89" spans="1:5" x14ac:dyDescent="0.25">
      <c r="A89" s="117"/>
      <c r="B89" s="117" t="s">
        <v>329</v>
      </c>
      <c r="C89" s="117" t="e">
        <f ca="1">MIN(B39,B36)*2</f>
        <v>#REF!</v>
      </c>
      <c r="D89" s="117"/>
      <c r="E89" s="117"/>
    </row>
    <row r="90" spans="1:5" x14ac:dyDescent="0.25">
      <c r="A90" s="117" t="s">
        <v>93</v>
      </c>
      <c r="B90" s="117" t="s">
        <v>129</v>
      </c>
      <c r="C90" s="393">
        <v>0.2</v>
      </c>
      <c r="D90" s="393">
        <f>1/3</f>
        <v>0.33333333333333331</v>
      </c>
      <c r="E90" s="117" t="b">
        <f t="shared" ref="E90:E93" si="1">$B$14=A90</f>
        <v>0</v>
      </c>
    </row>
    <row r="91" spans="1:5" x14ac:dyDescent="0.25">
      <c r="A91" s="117" t="s">
        <v>103</v>
      </c>
      <c r="B91" s="117" t="s">
        <v>159</v>
      </c>
      <c r="C91" s="393">
        <v>0.2</v>
      </c>
      <c r="D91" s="393">
        <v>0.2</v>
      </c>
      <c r="E91" s="117" t="b">
        <f t="shared" si="1"/>
        <v>0</v>
      </c>
    </row>
    <row r="92" spans="1:5" x14ac:dyDescent="0.25">
      <c r="A92" s="117" t="s">
        <v>96</v>
      </c>
      <c r="B92" s="117" t="s">
        <v>139</v>
      </c>
      <c r="C92" s="393">
        <v>0.2</v>
      </c>
      <c r="D92" s="393">
        <v>0.25</v>
      </c>
      <c r="E92" s="117" t="b">
        <f t="shared" si="1"/>
        <v>0</v>
      </c>
    </row>
    <row r="93" spans="1:5" x14ac:dyDescent="0.25">
      <c r="A93" s="117" t="s">
        <v>99</v>
      </c>
      <c r="B93" s="117" t="s">
        <v>147</v>
      </c>
      <c r="C93" s="393">
        <v>0.25</v>
      </c>
      <c r="D93" s="393">
        <v>0.2</v>
      </c>
      <c r="E93" s="117" t="b">
        <f t="shared" si="1"/>
        <v>0</v>
      </c>
    </row>
  </sheetData>
  <mergeCells count="16">
    <mergeCell ref="A33:O33"/>
    <mergeCell ref="M2:O12"/>
    <mergeCell ref="A13:O13"/>
    <mergeCell ref="K23:N27"/>
    <mergeCell ref="A2:L7"/>
    <mergeCell ref="A1:L1"/>
    <mergeCell ref="A8:I8"/>
    <mergeCell ref="A9:I12"/>
    <mergeCell ref="K16:N21"/>
    <mergeCell ref="M1:O1"/>
    <mergeCell ref="J8:L12"/>
    <mergeCell ref="A73:B73"/>
    <mergeCell ref="D44:H44"/>
    <mergeCell ref="K36:N38"/>
    <mergeCell ref="K41:N43"/>
    <mergeCell ref="K39:N40"/>
  </mergeCells>
  <phoneticPr fontId="1"/>
  <conditionalFormatting sqref="A30">
    <cfRule type="expression" dxfId="87" priority="1">
      <formula>$B$14&lt;&gt;"Dark Elf"</formula>
    </cfRule>
    <cfRule type="expression" priority="2">
      <formula>$B$14="Dark Elf"</formula>
    </cfRule>
  </conditionalFormatting>
  <conditionalFormatting sqref="D44">
    <cfRule type="expression" dxfId="86" priority="3" stopIfTrue="1">
      <formula>$D$44&lt;&gt;""</formula>
    </cfRule>
  </conditionalFormatting>
  <conditionalFormatting sqref="E17">
    <cfRule type="cellIs" dxfId="85" priority="6" stopIfTrue="1" operator="lessThan">
      <formula>1</formula>
    </cfRule>
  </conditionalFormatting>
  <conditionalFormatting sqref="E18">
    <cfRule type="cellIs" dxfId="84" priority="4" stopIfTrue="1" operator="equal">
      <formula>"""Yes"""</formula>
    </cfRule>
    <cfRule type="expression" dxfId="83" priority="5" stopIfTrue="1">
      <formula>ISERROR(E18)</formula>
    </cfRule>
  </conditionalFormatting>
  <dataValidations count="1">
    <dataValidation type="list" allowBlank="1" showInputMessage="1" showErrorMessage="1" sqref="B14" xr:uid="{00000000-0002-0000-0000-000000000000}">
      <formula1>races</formula1>
    </dataValidation>
  </dataValidations>
  <pageMargins left="0.75" right="0.75" top="1" bottom="1" header="0.5" footer="0.5"/>
  <pageSetup paperSize="9" orientation="portrait" horizontalDpi="300" verticalDpi="300" r:id="rId1"/>
  <drawing r:id="rId2"/>
  <legacyDrawing r:id="rId3"/>
  <tableParts count="5">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34998626667073579"/>
  </sheetPr>
  <dimension ref="A1:AD1270"/>
  <sheetViews>
    <sheetView zoomScale="85" zoomScaleNormal="85" workbookViewId="0">
      <pane ySplit="2" topLeftCell="A3" activePane="bottomLeft" state="frozenSplit"/>
      <selection activeCell="A75" sqref="A75"/>
      <selection pane="bottomLeft" activeCell="A4" sqref="A4"/>
    </sheetView>
  </sheetViews>
  <sheetFormatPr defaultColWidth="9.1796875" defaultRowHeight="12.5" x14ac:dyDescent="0.25"/>
  <cols>
    <col min="1" max="1" width="8.54296875" style="57" customWidth="1"/>
    <col min="2" max="2" width="8.54296875" style="3" customWidth="1"/>
    <col min="3" max="3" width="11.7265625" style="3" customWidth="1"/>
    <col min="4" max="4" width="9.81640625" style="3" customWidth="1"/>
    <col min="5" max="5" width="11.1796875" style="3" customWidth="1"/>
    <col min="6" max="6" width="7.7265625" style="3" customWidth="1"/>
    <col min="7" max="7" width="11.453125" style="3" customWidth="1"/>
    <col min="8" max="8" width="12.26953125" style="3" customWidth="1"/>
    <col min="9" max="9" width="14.81640625" style="3" customWidth="1"/>
    <col min="10" max="10" width="9.7265625" style="3" customWidth="1"/>
    <col min="11" max="11" width="2.81640625" style="3" customWidth="1"/>
    <col min="12" max="19" width="11.26953125" style="3" customWidth="1"/>
    <col min="20" max="20" width="2.81640625" style="3" customWidth="1"/>
    <col min="21" max="21" width="10.54296875" style="3" customWidth="1"/>
    <col min="22" max="22" width="11.453125" style="3" customWidth="1"/>
    <col min="23" max="26" width="15.26953125" style="3" customWidth="1"/>
    <col min="27" max="27" width="2.81640625" style="3" customWidth="1"/>
    <col min="28" max="28" width="10.1796875" style="3" customWidth="1"/>
    <col min="29" max="29" width="10.81640625" style="3" customWidth="1"/>
    <col min="30" max="30" width="9.1796875" style="3" customWidth="1"/>
    <col min="31" max="16384" width="9.1796875" style="3"/>
  </cols>
  <sheetData>
    <row r="1" spans="1:30" s="8" customFormat="1" ht="13" x14ac:dyDescent="0.3">
      <c r="A1" s="31"/>
      <c r="C1" s="449" t="s">
        <v>23</v>
      </c>
      <c r="D1" s="449"/>
      <c r="E1" s="449"/>
      <c r="F1" s="449"/>
      <c r="G1" s="449"/>
      <c r="H1" s="449"/>
      <c r="I1" s="449"/>
      <c r="J1" s="31"/>
      <c r="K1" s="31"/>
      <c r="L1" s="449" t="s">
        <v>22</v>
      </c>
      <c r="M1" s="449"/>
      <c r="N1" s="449"/>
      <c r="O1" s="449"/>
      <c r="P1" s="449"/>
      <c r="Q1" s="449"/>
      <c r="R1" s="449"/>
      <c r="S1" s="449"/>
      <c r="U1" s="449" t="s">
        <v>164</v>
      </c>
      <c r="V1" s="450"/>
      <c r="W1" s="449" t="s">
        <v>168</v>
      </c>
      <c r="X1" s="449"/>
      <c r="Y1" s="449"/>
      <c r="Z1" s="449"/>
      <c r="AA1" s="449" t="s">
        <v>173</v>
      </c>
      <c r="AB1" s="450"/>
      <c r="AC1" s="450"/>
      <c r="AD1" s="450"/>
    </row>
    <row r="2" spans="1:30" s="127" customFormat="1" x14ac:dyDescent="0.25">
      <c r="M2" s="127" t="str">
        <f>Overview!$A$22</f>
        <v>Spearman</v>
      </c>
      <c r="N2" s="127" t="str">
        <f>Overview!$A$23</f>
        <v>Archer</v>
      </c>
      <c r="O2" s="127" t="str">
        <f>Overview!$A$24</f>
        <v>Knight</v>
      </c>
      <c r="P2" s="127" t="str">
        <f>Overview!$A$25</f>
        <v>Cavalry</v>
      </c>
      <c r="Q2" s="127" t="s">
        <v>25</v>
      </c>
      <c r="R2" s="127" t="s">
        <v>26</v>
      </c>
      <c r="S2" s="127" t="s">
        <v>27</v>
      </c>
    </row>
    <row r="3" spans="1:30" s="129" customFormat="1" ht="15" customHeight="1" x14ac:dyDescent="0.25">
      <c r="A3" s="128" t="s">
        <v>0</v>
      </c>
      <c r="B3" s="128" t="s">
        <v>311</v>
      </c>
      <c r="C3" s="128" t="s">
        <v>21</v>
      </c>
      <c r="D3" s="128" t="s">
        <v>22</v>
      </c>
      <c r="E3" s="128" t="s">
        <v>24</v>
      </c>
      <c r="F3" s="128" t="s">
        <v>187</v>
      </c>
      <c r="G3" s="128" t="s">
        <v>188</v>
      </c>
      <c r="H3" s="128" t="s">
        <v>225</v>
      </c>
      <c r="I3" s="128" t="s">
        <v>265</v>
      </c>
      <c r="J3" s="128" t="s">
        <v>313</v>
      </c>
      <c r="K3" s="128" t="s">
        <v>773</v>
      </c>
      <c r="L3" s="128" t="s">
        <v>1018</v>
      </c>
      <c r="M3" s="128" t="s">
        <v>769</v>
      </c>
      <c r="N3" s="128" t="s">
        <v>770</v>
      </c>
      <c r="O3" s="128" t="s">
        <v>771</v>
      </c>
      <c r="P3" s="128" t="s">
        <v>772</v>
      </c>
      <c r="Q3" s="128" t="s">
        <v>25</v>
      </c>
      <c r="R3" s="128" t="s">
        <v>26</v>
      </c>
      <c r="S3" s="128" t="s">
        <v>183</v>
      </c>
      <c r="T3" s="128" t="s">
        <v>774</v>
      </c>
      <c r="U3" s="128" t="s">
        <v>227</v>
      </c>
      <c r="V3" s="128" t="s">
        <v>175</v>
      </c>
      <c r="W3" s="128" t="s">
        <v>174</v>
      </c>
      <c r="X3" s="128" t="s">
        <v>233</v>
      </c>
      <c r="Y3" s="128" t="s">
        <v>226</v>
      </c>
      <c r="Z3" s="128" t="s">
        <v>1035</v>
      </c>
      <c r="AA3" s="128" t="s">
        <v>776</v>
      </c>
      <c r="AB3" s="128" t="s">
        <v>168</v>
      </c>
      <c r="AC3" s="128" t="s">
        <v>172</v>
      </c>
    </row>
    <row r="4" spans="1:30" x14ac:dyDescent="0.25">
      <c r="A4" s="130" t="e">
        <f>#REF!</f>
        <v>#REF!</v>
      </c>
      <c r="B4" s="131" t="e">
        <f>#REF!</f>
        <v>#REF!</v>
      </c>
      <c r="C4" s="360" t="e">
        <f>start_peasants+#REF!+MIN(13,days_late)*days_late_peasants</f>
        <v>#REF!</v>
      </c>
      <c r="D4" s="39" t="e">
        <f>#REF!</f>
        <v>#REF!</v>
      </c>
      <c r="E4" s="39" t="e">
        <f>#REF!</f>
        <v>#REF!</v>
      </c>
      <c r="F4" s="39" t="e">
        <f>#REF!+#REF!</f>
        <v>#REF!</v>
      </c>
      <c r="G4" s="132" t="e">
        <f>#REF!/#REF!</f>
        <v>#REF!</v>
      </c>
      <c r="H4" s="39" t="e">
        <f>MIN(#REF!,#REF!)</f>
        <v>#REF!</v>
      </c>
      <c r="I4" s="132" t="e">
        <f ca="1">MIN(OFFSET(#REF!,1,0)/#REF!,1)</f>
        <v>#REF!</v>
      </c>
      <c r="J4" s="39" t="e">
        <f>SUM(#REF!,#REF!,#REF!,#REF!)*building_employment +#REF!* bonus_jobs_facts</f>
        <v>#REF!</v>
      </c>
      <c r="K4" s="133"/>
      <c r="L4" s="61" t="e">
        <f>#REF!</f>
        <v>#REF!</v>
      </c>
      <c r="M4" s="61" t="e">
        <f>#REF!</f>
        <v>#REF!</v>
      </c>
      <c r="N4" s="61" t="e">
        <f>#REF!</f>
        <v>#REF!</v>
      </c>
      <c r="O4" s="61" t="e">
        <f>#REF!</f>
        <v>#REF!</v>
      </c>
      <c r="P4" s="61" t="e">
        <f>#REF!</f>
        <v>#REF!</v>
      </c>
      <c r="Q4" s="61" t="e">
        <f>#REF!</f>
        <v>#REF!</v>
      </c>
      <c r="R4" s="61" t="e">
        <f>#REF!</f>
        <v>#REF!</v>
      </c>
      <c r="S4" s="61" t="e">
        <f>#REF!</f>
        <v>#REF!</v>
      </c>
      <c r="T4" s="134"/>
      <c r="U4" s="39" t="e">
        <f>ROUND(#REF!*(1+#REF!),0)+MIN(#REF!-#REF!-SUM(#REF!),(barracks_size + tech_8_3*#REF!)*#REF!)</f>
        <v>#REF!</v>
      </c>
      <c r="V4" s="39" t="e">
        <f>(#REF!+#REF!)*pop_in_home+(SUM(#REF!)+#REF!-#REF!)*pop_in_building+(SUM(#REF!)-#REF!*20)*pop_on_barren-(SUM(#REF!)-SUM(#REF!))*(15-pop_on_barren)-pop_on_barren*#REF!</f>
        <v>#REF!</v>
      </c>
      <c r="W4" s="39" t="e">
        <f ca="1">MAX(-5%*#REF!-#REF!,MIN(OFFSET(#REF!,1,0)-#REF!-#REF!-#REF!,#REF!-#REF!))</f>
        <v>#REF!</v>
      </c>
      <c r="X4" s="39" t="e">
        <f>ROUND(#REF!*(1+#REF!),0)</f>
        <v>#REF!</v>
      </c>
      <c r="Y4" s="39" t="e">
        <f>(#REF!-#REF!)*raw_pop_growth</f>
        <v>#REF!</v>
      </c>
      <c r="Z4" s="39" t="e">
        <f>IF(#REF!&lt;#REF!,ROUND(#REF!*Constants!$B$55,0), 0)</f>
        <v>#REF!</v>
      </c>
      <c r="AA4" s="134"/>
      <c r="AB4" s="135" t="e">
        <f ca="1">Overview!$I$16 + IF(Magic!AE4&gt;0,Constants!$F$78) + ROUND(6*(Construction!BM5+Construction!CK4)/IF(Explore!S5&gt;0,Construction!F5-20,Construction!F5),4) + tech_6_5_2*Techs!BJ4 + tech_8_4*Techs!BT4</f>
        <v>#REF!</v>
      </c>
      <c r="AC4" s="132" t="e">
        <f ca="1">(Overview!$I$15 + Imps!Z4+ tech_2_5*Techs!AB4 + tech_3_6*Techs!AM4 + tech_6_1*Techs!BJ4 + tech_6_5*Techs!BF4 + tech_7_3_2*Techs!BN4) * (1 + Production!O4/100*prestige_pop_multiplier) + Production!O4/100*prestige_pop_multiplier</f>
        <v>#REF!</v>
      </c>
    </row>
    <row r="5" spans="1:30" x14ac:dyDescent="0.25">
      <c r="A5" s="130" t="e">
        <f>#REF!</f>
        <v>#REF!</v>
      </c>
      <c r="B5" s="131" t="e">
        <f>#REF!</f>
        <v>#REF!</v>
      </c>
      <c r="C5" s="39" t="e">
        <f ca="1">OFFSET(#REF!,-1,0)+OFFSET(#REF!,-1,0)+#REF!</f>
        <v>#REF!</v>
      </c>
      <c r="D5" s="39" t="e">
        <f>#REF!</f>
        <v>#REF!</v>
      </c>
      <c r="E5" s="39" t="e">
        <f>#REF!</f>
        <v>#REF!</v>
      </c>
      <c r="F5" s="39" t="e">
        <f>#REF!+#REF!</f>
        <v>#REF!</v>
      </c>
      <c r="G5" s="132" t="e">
        <f>#REF!/#REF!</f>
        <v>#REF!</v>
      </c>
      <c r="H5" s="39" t="e">
        <f>MIN(#REF!,#REF!)</f>
        <v>#REF!</v>
      </c>
      <c r="I5" s="132" t="e">
        <f ca="1">MIN(OFFSET(#REF!,1,0)/#REF!,1)</f>
        <v>#REF!</v>
      </c>
      <c r="J5" s="39" t="e">
        <f>SUM(#REF!,#REF!,#REF!,#REF!)*building_employment +#REF!* bonus_jobs_facts</f>
        <v>#REF!</v>
      </c>
      <c r="K5" s="133"/>
      <c r="L5" s="61" t="e">
        <f>#REF!</f>
        <v>#REF!</v>
      </c>
      <c r="M5" s="61" t="e">
        <f>#REF!</f>
        <v>#REF!</v>
      </c>
      <c r="N5" s="61" t="e">
        <f>#REF!</f>
        <v>#REF!</v>
      </c>
      <c r="O5" s="61" t="e">
        <f>#REF!</f>
        <v>#REF!</v>
      </c>
      <c r="P5" s="61" t="e">
        <f>#REF!</f>
        <v>#REF!</v>
      </c>
      <c r="Q5" s="61" t="e">
        <f>#REF!</f>
        <v>#REF!</v>
      </c>
      <c r="R5" s="61" t="e">
        <f>#REF!</f>
        <v>#REF!</v>
      </c>
      <c r="S5" s="61" t="e">
        <f>#REF!</f>
        <v>#REF!</v>
      </c>
      <c r="T5" s="134"/>
      <c r="U5" s="39" t="e">
        <f>ROUND(#REF!*(1+#REF!),0)+MIN(#REF!-#REF!-SUM(#REF!),(barracks_size + tech_8_3*#REF!)*#REF!)</f>
        <v>#REF!</v>
      </c>
      <c r="V5" s="39" t="e">
        <f>(#REF!+#REF!)*pop_in_home+(SUM(#REF!)+#REF!-#REF!)*pop_in_building+(SUM(#REF!)-#REF!*20)*pop_on_barren-(SUM(#REF!)-SUM(#REF!))*(15-pop_on_barren)-pop_on_barren*#REF!</f>
        <v>#REF!</v>
      </c>
      <c r="W5" s="39" t="e">
        <f ca="1">MAX(-5%*#REF!-#REF!,MIN(OFFSET(#REF!,1,0)-#REF!-#REF!-#REF!,#REF!-#REF!))</f>
        <v>#REF!</v>
      </c>
      <c r="X5" s="39" t="e">
        <f>ROUND(#REF!*(1+#REF!),0)</f>
        <v>#REF!</v>
      </c>
      <c r="Y5" s="39" t="e">
        <f>(#REF!-#REF!)*raw_pop_growth</f>
        <v>#REF!</v>
      </c>
      <c r="Z5" s="39" t="e">
        <f>IF(#REF!&lt;#REF!,ROUND(#REF!*Constants!$B$55,0), 0)</f>
        <v>#REF!</v>
      </c>
      <c r="AA5" s="134"/>
      <c r="AB5" s="135" t="e">
        <f ca="1">Overview!$I$16 + IF(Magic!AE5&gt;0,Constants!$F$78) + ROUND(6*(Construction!BM6+Construction!CK5)/IF(Explore!S6&gt;0,Construction!F6-20,Construction!F6),4) + tech_6_5_2*Techs!BJ5 + tech_8_4*Techs!BT5</f>
        <v>#REF!</v>
      </c>
      <c r="AC5" s="132" t="e">
        <f ca="1">(Overview!$I$15 + Imps!Z5+ tech_2_5*Techs!AB5 + tech_3_6*Techs!AM5 + tech_6_1*Techs!BJ5 + tech_6_5*Techs!BF5 + tech_7_3_2*Techs!BN5) * (1 + Production!O5/100*prestige_pop_multiplier) + Production!O5/100*prestige_pop_multiplier</f>
        <v>#REF!</v>
      </c>
    </row>
    <row r="6" spans="1:30" x14ac:dyDescent="0.25">
      <c r="A6" s="130" t="e">
        <f>#REF!</f>
        <v>#REF!</v>
      </c>
      <c r="B6" s="131" t="e">
        <f>#REF!</f>
        <v>#REF!</v>
      </c>
      <c r="C6" s="39" t="e">
        <f ca="1">OFFSET(#REF!,-1,0)+OFFSET(#REF!,-1,0)+#REF!</f>
        <v>#REF!</v>
      </c>
      <c r="D6" s="39" t="e">
        <f>#REF!</f>
        <v>#REF!</v>
      </c>
      <c r="E6" s="39" t="e">
        <f>#REF!</f>
        <v>#REF!</v>
      </c>
      <c r="F6" s="39" t="e">
        <f>#REF!+#REF!</f>
        <v>#REF!</v>
      </c>
      <c r="G6" s="132" t="e">
        <f>#REF!/#REF!</f>
        <v>#REF!</v>
      </c>
      <c r="H6" s="39" t="e">
        <f>MIN(#REF!,#REF!)</f>
        <v>#REF!</v>
      </c>
      <c r="I6" s="132" t="e">
        <f ca="1">MIN(OFFSET(#REF!,1,0)/#REF!,1)</f>
        <v>#REF!</v>
      </c>
      <c r="J6" s="39" t="e">
        <f>SUM(#REF!,#REF!,#REF!,#REF!)*building_employment +#REF!* bonus_jobs_facts</f>
        <v>#REF!</v>
      </c>
      <c r="K6" s="133"/>
      <c r="L6" s="61" t="e">
        <f>#REF!</f>
        <v>#REF!</v>
      </c>
      <c r="M6" s="61" t="e">
        <f>#REF!</f>
        <v>#REF!</v>
      </c>
      <c r="N6" s="61" t="e">
        <f>#REF!</f>
        <v>#REF!</v>
      </c>
      <c r="O6" s="61" t="e">
        <f>#REF!</f>
        <v>#REF!</v>
      </c>
      <c r="P6" s="61" t="e">
        <f>#REF!</f>
        <v>#REF!</v>
      </c>
      <c r="Q6" s="61" t="e">
        <f>#REF!</f>
        <v>#REF!</v>
      </c>
      <c r="R6" s="61" t="e">
        <f>#REF!</f>
        <v>#REF!</v>
      </c>
      <c r="S6" s="61" t="e">
        <f>#REF!</f>
        <v>#REF!</v>
      </c>
      <c r="T6" s="134"/>
      <c r="U6" s="39" t="e">
        <f>ROUND(#REF!*(1+#REF!),0)+MIN(#REF!-#REF!-SUM(#REF!),(barracks_size + tech_8_3*#REF!)*#REF!)</f>
        <v>#REF!</v>
      </c>
      <c r="V6" s="39" t="e">
        <f>(#REF!+#REF!)*pop_in_home+(SUM(#REF!)+#REF!-#REF!)*pop_in_building+(SUM(#REF!)-#REF!*20)*pop_on_barren-(SUM(#REF!)-SUM(#REF!))*(15-pop_on_barren)-pop_on_barren*#REF!</f>
        <v>#REF!</v>
      </c>
      <c r="W6" s="39" t="e">
        <f ca="1">MAX(-5%*#REF!-#REF!,MIN(OFFSET(#REF!,1,0)-#REF!-#REF!-#REF!,#REF!-#REF!))</f>
        <v>#REF!</v>
      </c>
      <c r="X6" s="39" t="e">
        <f>ROUND(#REF!*(1+#REF!),0)</f>
        <v>#REF!</v>
      </c>
      <c r="Y6" s="39" t="e">
        <f>(#REF!-#REF!)*raw_pop_growth</f>
        <v>#REF!</v>
      </c>
      <c r="Z6" s="39" t="e">
        <f>IF(#REF!&lt;#REF!,ROUND(#REF!*Constants!$B$55,0), 0)</f>
        <v>#REF!</v>
      </c>
      <c r="AA6" s="134"/>
      <c r="AB6" s="135" t="e">
        <f ca="1">Overview!$I$16 + IF(Magic!AE6&gt;0,Constants!$F$78) + ROUND(6*(Construction!BM7+Construction!CK6)/IF(Explore!S7&gt;0,Construction!F7-20,Construction!F7),4) + tech_6_5_2*Techs!BJ6 + tech_8_4*Techs!BT6</f>
        <v>#REF!</v>
      </c>
      <c r="AC6" s="132" t="e">
        <f ca="1">(Overview!$I$15 + Imps!Z6+ tech_2_5*Techs!AB6 + tech_3_6*Techs!AM6 + tech_6_1*Techs!BJ6 + tech_6_5*Techs!BF6 + tech_7_3_2*Techs!BN6) * (1 + Production!O6/100*prestige_pop_multiplier) + Production!O6/100*prestige_pop_multiplier</f>
        <v>#REF!</v>
      </c>
    </row>
    <row r="7" spans="1:30" x14ac:dyDescent="0.25">
      <c r="A7" s="130" t="e">
        <f>#REF!</f>
        <v>#REF!</v>
      </c>
      <c r="B7" s="131" t="e">
        <f>#REF!</f>
        <v>#REF!</v>
      </c>
      <c r="C7" s="39" t="e">
        <f ca="1">OFFSET(#REF!,-1,0)+OFFSET(#REF!,-1,0)+#REF!</f>
        <v>#REF!</v>
      </c>
      <c r="D7" s="39" t="e">
        <f>#REF!</f>
        <v>#REF!</v>
      </c>
      <c r="E7" s="39" t="e">
        <f>#REF!</f>
        <v>#REF!</v>
      </c>
      <c r="F7" s="39" t="e">
        <f>#REF!+#REF!</f>
        <v>#REF!</v>
      </c>
      <c r="G7" s="132" t="e">
        <f>#REF!/#REF!</f>
        <v>#REF!</v>
      </c>
      <c r="H7" s="39" t="e">
        <f>MIN(#REF!,#REF!)</f>
        <v>#REF!</v>
      </c>
      <c r="I7" s="132" t="e">
        <f ca="1">MIN(OFFSET(#REF!,1,0)/#REF!,1)</f>
        <v>#REF!</v>
      </c>
      <c r="J7" s="39" t="e">
        <f>SUM(#REF!,#REF!,#REF!,#REF!)*building_employment +#REF!* bonus_jobs_facts</f>
        <v>#REF!</v>
      </c>
      <c r="K7" s="133"/>
      <c r="L7" s="61" t="e">
        <f>#REF!</f>
        <v>#REF!</v>
      </c>
      <c r="M7" s="61" t="e">
        <f>#REF!</f>
        <v>#REF!</v>
      </c>
      <c r="N7" s="61" t="e">
        <f>#REF!</f>
        <v>#REF!</v>
      </c>
      <c r="O7" s="61" t="e">
        <f>#REF!</f>
        <v>#REF!</v>
      </c>
      <c r="P7" s="61" t="e">
        <f>#REF!</f>
        <v>#REF!</v>
      </c>
      <c r="Q7" s="61" t="e">
        <f>#REF!</f>
        <v>#REF!</v>
      </c>
      <c r="R7" s="61" t="e">
        <f>#REF!</f>
        <v>#REF!</v>
      </c>
      <c r="S7" s="61" t="e">
        <f>#REF!</f>
        <v>#REF!</v>
      </c>
      <c r="T7" s="134"/>
      <c r="U7" s="39" t="e">
        <f>ROUND(#REF!*(1+#REF!),0)+MIN(#REF!-#REF!-SUM(#REF!),(barracks_size + tech_8_3*#REF!)*#REF!)</f>
        <v>#REF!</v>
      </c>
      <c r="V7" s="39" t="e">
        <f>(#REF!+#REF!)*pop_in_home+(SUM(#REF!)+#REF!-#REF!)*pop_in_building+(SUM(#REF!)-#REF!*20)*pop_on_barren-(SUM(#REF!)-SUM(#REF!))*(15-pop_on_barren)-pop_on_barren*#REF!</f>
        <v>#REF!</v>
      </c>
      <c r="W7" s="39" t="e">
        <f ca="1">MAX(-5%*#REF!-#REF!,MIN(OFFSET(#REF!,1,0)-#REF!-#REF!-#REF!,#REF!-#REF!))</f>
        <v>#REF!</v>
      </c>
      <c r="X7" s="39" t="e">
        <f>ROUND(#REF!*(1+#REF!),0)</f>
        <v>#REF!</v>
      </c>
      <c r="Y7" s="39" t="e">
        <f>(#REF!-#REF!)*raw_pop_growth</f>
        <v>#REF!</v>
      </c>
      <c r="Z7" s="39" t="e">
        <f>IF(#REF!&lt;#REF!,ROUND(#REF!*Constants!$B$55,0), 0)</f>
        <v>#REF!</v>
      </c>
      <c r="AA7" s="134"/>
      <c r="AB7" s="135" t="e">
        <f ca="1">Overview!$I$16 + IF(Magic!AE7&gt;0,Constants!$F$78) + ROUND(6*(Construction!BM8+Construction!CK7)/IF(Explore!S8&gt;0,Construction!F8-20,Construction!F8),4) + tech_6_5_2*Techs!BJ7 + tech_8_4*Techs!BT7</f>
        <v>#REF!</v>
      </c>
      <c r="AC7" s="132" t="e">
        <f ca="1">(Overview!$I$15 + Imps!Z7+ tech_2_5*Techs!AB7 + tech_3_6*Techs!AM7 + tech_6_1*Techs!BJ7 + tech_6_5*Techs!BF7 + tech_7_3_2*Techs!BN7) * (1 + Production!O7/100*prestige_pop_multiplier) + Production!O7/100*prestige_pop_multiplier</f>
        <v>#REF!</v>
      </c>
    </row>
    <row r="8" spans="1:30" x14ac:dyDescent="0.25">
      <c r="A8" s="130" t="e">
        <f>#REF!</f>
        <v>#REF!</v>
      </c>
      <c r="B8" s="131" t="e">
        <f>#REF!</f>
        <v>#REF!</v>
      </c>
      <c r="C8" s="39" t="e">
        <f ca="1">OFFSET(#REF!,-1,0)+OFFSET(#REF!,-1,0)+#REF!</f>
        <v>#REF!</v>
      </c>
      <c r="D8" s="39" t="e">
        <f>#REF!</f>
        <v>#REF!</v>
      </c>
      <c r="E8" s="39" t="e">
        <f>#REF!</f>
        <v>#REF!</v>
      </c>
      <c r="F8" s="39" t="e">
        <f>#REF!+#REF!</f>
        <v>#REF!</v>
      </c>
      <c r="G8" s="132" t="e">
        <f>#REF!/#REF!</f>
        <v>#REF!</v>
      </c>
      <c r="H8" s="39" t="e">
        <f>MIN(#REF!,#REF!)</f>
        <v>#REF!</v>
      </c>
      <c r="I8" s="132" t="e">
        <f ca="1">MIN(OFFSET(#REF!,1,0)/#REF!,1)</f>
        <v>#REF!</v>
      </c>
      <c r="J8" s="39" t="e">
        <f>SUM(#REF!,#REF!,#REF!,#REF!)*building_employment +#REF!* bonus_jobs_facts</f>
        <v>#REF!</v>
      </c>
      <c r="K8" s="133"/>
      <c r="L8" s="61" t="e">
        <f>#REF!</f>
        <v>#REF!</v>
      </c>
      <c r="M8" s="61" t="e">
        <f>#REF!</f>
        <v>#REF!</v>
      </c>
      <c r="N8" s="61" t="e">
        <f>#REF!</f>
        <v>#REF!</v>
      </c>
      <c r="O8" s="61" t="e">
        <f>#REF!</f>
        <v>#REF!</v>
      </c>
      <c r="P8" s="61" t="e">
        <f>#REF!</f>
        <v>#REF!</v>
      </c>
      <c r="Q8" s="61" t="e">
        <f>#REF!</f>
        <v>#REF!</v>
      </c>
      <c r="R8" s="61" t="e">
        <f>#REF!</f>
        <v>#REF!</v>
      </c>
      <c r="S8" s="61" t="e">
        <f>#REF!</f>
        <v>#REF!</v>
      </c>
      <c r="T8" s="134"/>
      <c r="U8" s="39" t="e">
        <f>ROUND(#REF!*(1+#REF!),0)+MIN(#REF!-#REF!-SUM(#REF!),(barracks_size + tech_8_3*#REF!)*#REF!)</f>
        <v>#REF!</v>
      </c>
      <c r="V8" s="39" t="e">
        <f>(#REF!+#REF!)*pop_in_home+(SUM(#REF!)+#REF!-#REF!)*pop_in_building+(SUM(#REF!)-#REF!*20)*pop_on_barren-(SUM(#REF!)-SUM(#REF!))*(15-pop_on_barren)-pop_on_barren*#REF!</f>
        <v>#REF!</v>
      </c>
      <c r="W8" s="39" t="e">
        <f ca="1">MAX(-5%*#REF!-#REF!,MIN(OFFSET(#REF!,1,0)-#REF!-#REF!-#REF!,#REF!-#REF!))</f>
        <v>#REF!</v>
      </c>
      <c r="X8" s="39" t="e">
        <f>ROUND(#REF!*(1+#REF!),0)</f>
        <v>#REF!</v>
      </c>
      <c r="Y8" s="39" t="e">
        <f>(#REF!-#REF!)*raw_pop_growth</f>
        <v>#REF!</v>
      </c>
      <c r="Z8" s="39" t="e">
        <f>IF(#REF!&lt;#REF!,ROUND(#REF!*Constants!$B$55,0), 0)</f>
        <v>#REF!</v>
      </c>
      <c r="AA8" s="134"/>
      <c r="AB8" s="135" t="e">
        <f ca="1">Overview!$I$16 + IF(Magic!AE8&gt;0,Constants!$F$78) + ROUND(6*(Construction!BM9+Construction!CK8)/IF(Explore!S9&gt;0,Construction!F9-20,Construction!F9),4) + tech_6_5_2*Techs!BJ8 + tech_8_4*Techs!BT8</f>
        <v>#REF!</v>
      </c>
      <c r="AC8" s="132" t="e">
        <f ca="1">(Overview!$I$15 + Imps!Z8+ tech_2_5*Techs!AB8 + tech_3_6*Techs!AM8 + tech_6_1*Techs!BJ8 + tech_6_5*Techs!BF8 + tech_7_3_2*Techs!BN8) * (1 + Production!O8/100*prestige_pop_multiplier) + Production!O8/100*prestige_pop_multiplier</f>
        <v>#REF!</v>
      </c>
    </row>
    <row r="9" spans="1:30" x14ac:dyDescent="0.25">
      <c r="A9" s="130" t="e">
        <f>#REF!</f>
        <v>#REF!</v>
      </c>
      <c r="B9" s="131" t="e">
        <f>#REF!</f>
        <v>#REF!</v>
      </c>
      <c r="C9" s="39" t="e">
        <f ca="1">OFFSET(#REF!,-1,0)+OFFSET(#REF!,-1,0)+#REF!</f>
        <v>#REF!</v>
      </c>
      <c r="D9" s="39" t="e">
        <f>#REF!</f>
        <v>#REF!</v>
      </c>
      <c r="E9" s="39" t="e">
        <f>#REF!</f>
        <v>#REF!</v>
      </c>
      <c r="F9" s="39" t="e">
        <f>#REF!+#REF!</f>
        <v>#REF!</v>
      </c>
      <c r="G9" s="132" t="e">
        <f>#REF!/#REF!</f>
        <v>#REF!</v>
      </c>
      <c r="H9" s="39" t="e">
        <f>MIN(#REF!,#REF!)</f>
        <v>#REF!</v>
      </c>
      <c r="I9" s="132" t="e">
        <f ca="1">MIN(OFFSET(#REF!,1,0)/#REF!,1)</f>
        <v>#REF!</v>
      </c>
      <c r="J9" s="39" t="e">
        <f>SUM(#REF!,#REF!,#REF!,#REF!)*building_employment +#REF!* bonus_jobs_facts</f>
        <v>#REF!</v>
      </c>
      <c r="K9" s="133"/>
      <c r="L9" s="61" t="e">
        <f>#REF!</f>
        <v>#REF!</v>
      </c>
      <c r="M9" s="61" t="e">
        <f>#REF!</f>
        <v>#REF!</v>
      </c>
      <c r="N9" s="61" t="e">
        <f>#REF!</f>
        <v>#REF!</v>
      </c>
      <c r="O9" s="61" t="e">
        <f>#REF!</f>
        <v>#REF!</v>
      </c>
      <c r="P9" s="61" t="e">
        <f>#REF!</f>
        <v>#REF!</v>
      </c>
      <c r="Q9" s="61" t="e">
        <f>#REF!</f>
        <v>#REF!</v>
      </c>
      <c r="R9" s="61" t="e">
        <f>#REF!</f>
        <v>#REF!</v>
      </c>
      <c r="S9" s="61" t="e">
        <f>#REF!</f>
        <v>#REF!</v>
      </c>
      <c r="T9" s="134"/>
      <c r="U9" s="39" t="e">
        <f>ROUND(#REF!*(1+#REF!),0)+MIN(#REF!-#REF!-SUM(#REF!),(barracks_size + tech_8_3*#REF!)*#REF!)</f>
        <v>#REF!</v>
      </c>
      <c r="V9" s="39" t="e">
        <f>(#REF!+#REF!)*pop_in_home+(SUM(#REF!)+#REF!-#REF!)*pop_in_building+(SUM(#REF!)-#REF!*20)*pop_on_barren-(SUM(#REF!)-SUM(#REF!))*(15-pop_on_barren)-pop_on_barren*#REF!</f>
        <v>#REF!</v>
      </c>
      <c r="W9" s="39" t="e">
        <f ca="1">MAX(-5%*#REF!-#REF!,MIN(OFFSET(#REF!,1,0)-#REF!-#REF!-#REF!,#REF!-#REF!))</f>
        <v>#REF!</v>
      </c>
      <c r="X9" s="39" t="e">
        <f>ROUND(#REF!*(1+#REF!),0)</f>
        <v>#REF!</v>
      </c>
      <c r="Y9" s="39" t="e">
        <f>(#REF!-#REF!)*raw_pop_growth</f>
        <v>#REF!</v>
      </c>
      <c r="Z9" s="39" t="e">
        <f>IF(#REF!&lt;#REF!,ROUND(#REF!*Constants!$B$55,0), 0)</f>
        <v>#REF!</v>
      </c>
      <c r="AA9" s="134"/>
      <c r="AB9" s="135" t="e">
        <f ca="1">Overview!$I$16 + IF(Magic!AE9&gt;0,Constants!$F$78) + ROUND(6*(Construction!BM10+Construction!CK9)/IF(Explore!S10&gt;0,Construction!F10-20,Construction!F10),4) + tech_6_5_2*Techs!BJ9 + tech_8_4*Techs!BT9</f>
        <v>#REF!</v>
      </c>
      <c r="AC9" s="132" t="e">
        <f ca="1">(Overview!$I$15 + Imps!Z9+ tech_2_5*Techs!AB9 + tech_3_6*Techs!AM9 + tech_6_1*Techs!BJ9 + tech_6_5*Techs!BF9 + tech_7_3_2*Techs!BN9) * (1 + Production!O9/100*prestige_pop_multiplier) + Production!O9/100*prestige_pop_multiplier</f>
        <v>#REF!</v>
      </c>
    </row>
    <row r="10" spans="1:30" x14ac:dyDescent="0.25">
      <c r="A10" s="130" t="e">
        <f>#REF!</f>
        <v>#REF!</v>
      </c>
      <c r="B10" s="131" t="e">
        <f>#REF!</f>
        <v>#REF!</v>
      </c>
      <c r="C10" s="39" t="e">
        <f ca="1">OFFSET(#REF!,-1,0)+OFFSET(#REF!,-1,0)+#REF!</f>
        <v>#REF!</v>
      </c>
      <c r="D10" s="39" t="e">
        <f>#REF!</f>
        <v>#REF!</v>
      </c>
      <c r="E10" s="39" t="e">
        <f>#REF!</f>
        <v>#REF!</v>
      </c>
      <c r="F10" s="39" t="e">
        <f>#REF!+#REF!</f>
        <v>#REF!</v>
      </c>
      <c r="G10" s="132" t="e">
        <f>#REF!/#REF!</f>
        <v>#REF!</v>
      </c>
      <c r="H10" s="39" t="e">
        <f>MIN(#REF!,#REF!)</f>
        <v>#REF!</v>
      </c>
      <c r="I10" s="132" t="e">
        <f ca="1">MIN(OFFSET(#REF!,1,0)/#REF!,1)</f>
        <v>#REF!</v>
      </c>
      <c r="J10" s="39" t="e">
        <f>SUM(#REF!,#REF!,#REF!,#REF!)*building_employment +#REF!* bonus_jobs_facts</f>
        <v>#REF!</v>
      </c>
      <c r="K10" s="133"/>
      <c r="L10" s="61" t="e">
        <f>#REF!</f>
        <v>#REF!</v>
      </c>
      <c r="M10" s="61" t="e">
        <f>#REF!</f>
        <v>#REF!</v>
      </c>
      <c r="N10" s="61" t="e">
        <f>#REF!</f>
        <v>#REF!</v>
      </c>
      <c r="O10" s="61" t="e">
        <f>#REF!</f>
        <v>#REF!</v>
      </c>
      <c r="P10" s="61" t="e">
        <f>#REF!</f>
        <v>#REF!</v>
      </c>
      <c r="Q10" s="61" t="e">
        <f>#REF!</f>
        <v>#REF!</v>
      </c>
      <c r="R10" s="61" t="e">
        <f>#REF!</f>
        <v>#REF!</v>
      </c>
      <c r="S10" s="61" t="e">
        <f>#REF!</f>
        <v>#REF!</v>
      </c>
      <c r="T10" s="134"/>
      <c r="U10" s="39" t="e">
        <f>ROUND(#REF!*(1+#REF!),0)+MIN(#REF!-#REF!-SUM(#REF!),(barracks_size + tech_8_3*#REF!)*#REF!)</f>
        <v>#REF!</v>
      </c>
      <c r="V10" s="39" t="e">
        <f>(#REF!+#REF!)*pop_in_home+(SUM(#REF!)+#REF!-#REF!)*pop_in_building+(SUM(#REF!)-#REF!*20)*pop_on_barren-(SUM(#REF!)-SUM(#REF!))*(15-pop_on_barren)-pop_on_barren*#REF!</f>
        <v>#REF!</v>
      </c>
      <c r="W10" s="39" t="e">
        <f ca="1">MAX(-5%*#REF!-#REF!,MIN(OFFSET(#REF!,1,0)-#REF!-#REF!-#REF!,#REF!-#REF!))</f>
        <v>#REF!</v>
      </c>
      <c r="X10" s="39" t="e">
        <f>ROUND(#REF!*(1+#REF!),0)</f>
        <v>#REF!</v>
      </c>
      <c r="Y10" s="39" t="e">
        <f>(#REF!-#REF!)*raw_pop_growth</f>
        <v>#REF!</v>
      </c>
      <c r="Z10" s="39" t="e">
        <f>IF(#REF!&lt;#REF!,ROUND(#REF!*Constants!$B$55,0), 0)</f>
        <v>#REF!</v>
      </c>
      <c r="AA10" s="134"/>
      <c r="AB10" s="135" t="e">
        <f ca="1">Overview!$I$16 + IF(Magic!AE10&gt;0,Constants!$F$78) + ROUND(6*(Construction!BM11+Construction!CK10)/IF(Explore!S11&gt;0,Construction!F11-20,Construction!F11),4) + tech_6_5_2*Techs!BJ10 + tech_8_4*Techs!BT10</f>
        <v>#REF!</v>
      </c>
      <c r="AC10" s="132" t="e">
        <f ca="1">(Overview!$I$15 + Imps!Z10+ tech_2_5*Techs!AB10 + tech_3_6*Techs!AM10 + tech_6_1*Techs!BJ10 + tech_6_5*Techs!BF10 + tech_7_3_2*Techs!BN10) * (1 + Production!O10/100*prestige_pop_multiplier) + Production!O10/100*prestige_pop_multiplier</f>
        <v>#REF!</v>
      </c>
    </row>
    <row r="11" spans="1:30" x14ac:dyDescent="0.25">
      <c r="A11" s="130" t="e">
        <f>#REF!</f>
        <v>#REF!</v>
      </c>
      <c r="B11" s="131" t="e">
        <f>#REF!</f>
        <v>#REF!</v>
      </c>
      <c r="C11" s="39" t="e">
        <f ca="1">OFFSET(#REF!,-1,0)+OFFSET(#REF!,-1,0)+#REF!</f>
        <v>#REF!</v>
      </c>
      <c r="D11" s="39" t="e">
        <f>#REF!</f>
        <v>#REF!</v>
      </c>
      <c r="E11" s="39" t="e">
        <f>#REF!</f>
        <v>#REF!</v>
      </c>
      <c r="F11" s="39" t="e">
        <f>#REF!+#REF!</f>
        <v>#REF!</v>
      </c>
      <c r="G11" s="132" t="e">
        <f>#REF!/#REF!</f>
        <v>#REF!</v>
      </c>
      <c r="H11" s="39" t="e">
        <f>MIN(#REF!,#REF!)</f>
        <v>#REF!</v>
      </c>
      <c r="I11" s="132" t="e">
        <f ca="1">MIN(OFFSET(#REF!,1,0)/#REF!,1)</f>
        <v>#REF!</v>
      </c>
      <c r="J11" s="39" t="e">
        <f>SUM(#REF!,#REF!,#REF!,#REF!)*building_employment +#REF!* bonus_jobs_facts</f>
        <v>#REF!</v>
      </c>
      <c r="K11" s="133"/>
      <c r="L11" s="61" t="e">
        <f>#REF!</f>
        <v>#REF!</v>
      </c>
      <c r="M11" s="61" t="e">
        <f>#REF!</f>
        <v>#REF!</v>
      </c>
      <c r="N11" s="61" t="e">
        <f>#REF!</f>
        <v>#REF!</v>
      </c>
      <c r="O11" s="61" t="e">
        <f>#REF!</f>
        <v>#REF!</v>
      </c>
      <c r="P11" s="61" t="e">
        <f>#REF!</f>
        <v>#REF!</v>
      </c>
      <c r="Q11" s="61" t="e">
        <f>#REF!</f>
        <v>#REF!</v>
      </c>
      <c r="R11" s="61" t="e">
        <f>#REF!</f>
        <v>#REF!</v>
      </c>
      <c r="S11" s="61" t="e">
        <f>#REF!</f>
        <v>#REF!</v>
      </c>
      <c r="T11" s="134"/>
      <c r="U11" s="39" t="e">
        <f>ROUND(#REF!*(1+#REF!),0)+MIN(#REF!-#REF!-SUM(#REF!),(barracks_size + tech_8_3*#REF!)*#REF!)</f>
        <v>#REF!</v>
      </c>
      <c r="V11" s="39" t="e">
        <f>(#REF!+#REF!)*pop_in_home+(SUM(#REF!)+#REF!-#REF!)*pop_in_building+(SUM(#REF!)-#REF!*20)*pop_on_barren-(SUM(#REF!)-SUM(#REF!))*(15-pop_on_barren)-pop_on_barren*#REF!</f>
        <v>#REF!</v>
      </c>
      <c r="W11" s="39" t="e">
        <f ca="1">MAX(-5%*#REF!-#REF!,MIN(OFFSET(#REF!,1,0)-#REF!-#REF!-#REF!,#REF!-#REF!))</f>
        <v>#REF!</v>
      </c>
      <c r="X11" s="39" t="e">
        <f>ROUND(#REF!*(1+#REF!),0)</f>
        <v>#REF!</v>
      </c>
      <c r="Y11" s="39" t="e">
        <f>(#REF!-#REF!)*raw_pop_growth</f>
        <v>#REF!</v>
      </c>
      <c r="Z11" s="39" t="e">
        <f>IF(#REF!&lt;#REF!,ROUND(#REF!*Constants!$B$55,0), 0)</f>
        <v>#REF!</v>
      </c>
      <c r="AA11" s="134"/>
      <c r="AB11" s="135" t="e">
        <f ca="1">Overview!$I$16 + IF(Magic!AE11&gt;0,Constants!$F$78) + ROUND(6*(Construction!BM12+Construction!CK11)/IF(Explore!S12&gt;0,Construction!F12-20,Construction!F12),4) + tech_6_5_2*Techs!BJ11 + tech_8_4*Techs!BT11</f>
        <v>#REF!</v>
      </c>
      <c r="AC11" s="132" t="e">
        <f ca="1">(Overview!$I$15 + Imps!Z11+ tech_2_5*Techs!AB11 + tech_3_6*Techs!AM11 + tech_6_1*Techs!BJ11 + tech_6_5*Techs!BF11 + tech_7_3_2*Techs!BN11) * (1 + Production!O11/100*prestige_pop_multiplier) + Production!O11/100*prestige_pop_multiplier</f>
        <v>#REF!</v>
      </c>
    </row>
    <row r="12" spans="1:30" x14ac:dyDescent="0.25">
      <c r="A12" s="130" t="e">
        <f>#REF!</f>
        <v>#REF!</v>
      </c>
      <c r="B12" s="131" t="e">
        <f>#REF!</f>
        <v>#REF!</v>
      </c>
      <c r="C12" s="39" t="e">
        <f ca="1">OFFSET(#REF!,-1,0)+OFFSET(#REF!,-1,0)+#REF!</f>
        <v>#REF!</v>
      </c>
      <c r="D12" s="39" t="e">
        <f>#REF!</f>
        <v>#REF!</v>
      </c>
      <c r="E12" s="39" t="e">
        <f>#REF!</f>
        <v>#REF!</v>
      </c>
      <c r="F12" s="39" t="e">
        <f>#REF!+#REF!</f>
        <v>#REF!</v>
      </c>
      <c r="G12" s="132" t="e">
        <f>#REF!/#REF!</f>
        <v>#REF!</v>
      </c>
      <c r="H12" s="39" t="e">
        <f>MIN(#REF!,#REF!)</f>
        <v>#REF!</v>
      </c>
      <c r="I12" s="132" t="e">
        <f ca="1">MIN(OFFSET(#REF!,1,0)/#REF!,1)</f>
        <v>#REF!</v>
      </c>
      <c r="J12" s="39" t="e">
        <f>SUM(#REF!,#REF!,#REF!,#REF!)*building_employment +#REF!* bonus_jobs_facts</f>
        <v>#REF!</v>
      </c>
      <c r="K12" s="133"/>
      <c r="L12" s="61" t="e">
        <f>#REF!</f>
        <v>#REF!</v>
      </c>
      <c r="M12" s="61" t="e">
        <f>#REF!</f>
        <v>#REF!</v>
      </c>
      <c r="N12" s="61" t="e">
        <f>#REF!</f>
        <v>#REF!</v>
      </c>
      <c r="O12" s="61" t="e">
        <f>#REF!</f>
        <v>#REF!</v>
      </c>
      <c r="P12" s="61" t="e">
        <f>#REF!</f>
        <v>#REF!</v>
      </c>
      <c r="Q12" s="61" t="e">
        <f>#REF!</f>
        <v>#REF!</v>
      </c>
      <c r="R12" s="61" t="e">
        <f>#REF!</f>
        <v>#REF!</v>
      </c>
      <c r="S12" s="61" t="e">
        <f>#REF!</f>
        <v>#REF!</v>
      </c>
      <c r="T12" s="134"/>
      <c r="U12" s="39" t="e">
        <f>ROUND(#REF!*(1+#REF!),0)+MIN(#REF!-#REF!-SUM(#REF!),(barracks_size + tech_8_3*#REF!)*#REF!)</f>
        <v>#REF!</v>
      </c>
      <c r="V12" s="39" t="e">
        <f>(#REF!+#REF!)*pop_in_home+(SUM(#REF!)+#REF!-#REF!)*pop_in_building+(SUM(#REF!)-#REF!*20)*pop_on_barren-(SUM(#REF!)-SUM(#REF!))*(15-pop_on_barren)-pop_on_barren*#REF!</f>
        <v>#REF!</v>
      </c>
      <c r="W12" s="39" t="e">
        <f ca="1">MAX(-5%*#REF!-#REF!,MIN(OFFSET(#REF!,1,0)-#REF!-#REF!-#REF!,#REF!-#REF!))</f>
        <v>#REF!</v>
      </c>
      <c r="X12" s="39" t="e">
        <f>ROUND(#REF!*(1+#REF!),0)</f>
        <v>#REF!</v>
      </c>
      <c r="Y12" s="39" t="e">
        <f>(#REF!-#REF!)*raw_pop_growth</f>
        <v>#REF!</v>
      </c>
      <c r="Z12" s="39" t="e">
        <f>IF(#REF!&lt;#REF!,ROUND(#REF!*Constants!$B$55,0), 0)</f>
        <v>#REF!</v>
      </c>
      <c r="AA12" s="134"/>
      <c r="AB12" s="135" t="e">
        <f ca="1">Overview!$I$16 + IF(Magic!AE12&gt;0,Constants!$F$78) + ROUND(6*(Construction!BM13+Construction!CK12)/IF(Explore!S13&gt;0,Construction!F13-20,Construction!F13),4) + tech_6_5_2*Techs!BJ12 + tech_8_4*Techs!BT12</f>
        <v>#REF!</v>
      </c>
      <c r="AC12" s="132" t="e">
        <f ca="1">(Overview!$I$15 + Imps!Z12+ tech_2_5*Techs!AB12 + tech_3_6*Techs!AM12 + tech_6_1*Techs!BJ12 + tech_6_5*Techs!BF12 + tech_7_3_2*Techs!BN12) * (1 + Production!O12/100*prestige_pop_multiplier) + Production!O12/100*prestige_pop_multiplier</f>
        <v>#REF!</v>
      </c>
    </row>
    <row r="13" spans="1:30" x14ac:dyDescent="0.25">
      <c r="A13" s="130" t="e">
        <f>#REF!</f>
        <v>#REF!</v>
      </c>
      <c r="B13" s="131" t="e">
        <f>#REF!</f>
        <v>#REF!</v>
      </c>
      <c r="C13" s="39" t="e">
        <f ca="1">OFFSET(#REF!,-1,0)+OFFSET(#REF!,-1,0)+#REF!</f>
        <v>#REF!</v>
      </c>
      <c r="D13" s="39" t="e">
        <f>#REF!</f>
        <v>#REF!</v>
      </c>
      <c r="E13" s="39" t="e">
        <f>#REF!</f>
        <v>#REF!</v>
      </c>
      <c r="F13" s="39" t="e">
        <f>#REF!+#REF!</f>
        <v>#REF!</v>
      </c>
      <c r="G13" s="132" t="e">
        <f>#REF!/#REF!</f>
        <v>#REF!</v>
      </c>
      <c r="H13" s="39" t="e">
        <f>MIN(#REF!,#REF!)</f>
        <v>#REF!</v>
      </c>
      <c r="I13" s="132" t="e">
        <f ca="1">MIN(OFFSET(#REF!,1,0)/#REF!,1)</f>
        <v>#REF!</v>
      </c>
      <c r="J13" s="39" t="e">
        <f>SUM(#REF!,#REF!,#REF!,#REF!)*building_employment +#REF!* bonus_jobs_facts</f>
        <v>#REF!</v>
      </c>
      <c r="K13" s="133"/>
      <c r="L13" s="61" t="e">
        <f>#REF!</f>
        <v>#REF!</v>
      </c>
      <c r="M13" s="61" t="e">
        <f>#REF!</f>
        <v>#REF!</v>
      </c>
      <c r="N13" s="61" t="e">
        <f>#REF!</f>
        <v>#REF!</v>
      </c>
      <c r="O13" s="61" t="e">
        <f>#REF!</f>
        <v>#REF!</v>
      </c>
      <c r="P13" s="61" t="e">
        <f>#REF!</f>
        <v>#REF!</v>
      </c>
      <c r="Q13" s="61" t="e">
        <f>#REF!</f>
        <v>#REF!</v>
      </c>
      <c r="R13" s="61" t="e">
        <f>#REF!</f>
        <v>#REF!</v>
      </c>
      <c r="S13" s="61" t="e">
        <f>#REF!</f>
        <v>#REF!</v>
      </c>
      <c r="T13" s="134"/>
      <c r="U13" s="39" t="e">
        <f>ROUND(#REF!*(1+#REF!),0)+MIN(#REF!-#REF!-SUM(#REF!),(barracks_size + tech_8_3*#REF!)*#REF!)</f>
        <v>#REF!</v>
      </c>
      <c r="V13" s="39" t="e">
        <f>(#REF!+#REF!)*pop_in_home+(SUM(#REF!)+#REF!-#REF!)*pop_in_building+(SUM(#REF!)-#REF!*20)*pop_on_barren-(SUM(#REF!)-SUM(#REF!))*(15-pop_on_barren)-pop_on_barren*#REF!</f>
        <v>#REF!</v>
      </c>
      <c r="W13" s="39" t="e">
        <f ca="1">MAX(-5%*#REF!-#REF!,MIN(OFFSET(#REF!,1,0)-#REF!-#REF!-#REF!,#REF!-#REF!))</f>
        <v>#REF!</v>
      </c>
      <c r="X13" s="39" t="e">
        <f>ROUND(#REF!*(1+#REF!),0)</f>
        <v>#REF!</v>
      </c>
      <c r="Y13" s="39" t="e">
        <f>(#REF!-#REF!)*raw_pop_growth</f>
        <v>#REF!</v>
      </c>
      <c r="Z13" s="39" t="e">
        <f>IF(#REF!&lt;#REF!,ROUND(#REF!*Constants!$B$55,0), 0)</f>
        <v>#REF!</v>
      </c>
      <c r="AA13" s="134"/>
      <c r="AB13" s="135" t="e">
        <f ca="1">Overview!$I$16 + IF(Magic!AE13&gt;0,Constants!$F$78) + ROUND(6*(Construction!BM14+Construction!CK13)/IF(Explore!S14&gt;0,Construction!F14-20,Construction!F14),4) + tech_6_5_2*Techs!BJ13 + tech_8_4*Techs!BT13</f>
        <v>#REF!</v>
      </c>
      <c r="AC13" s="132" t="e">
        <f ca="1">(Overview!$I$15 + Imps!Z13+ tech_2_5*Techs!AB13 + tech_3_6*Techs!AM13 + tech_6_1*Techs!BJ13 + tech_6_5*Techs!BF13 + tech_7_3_2*Techs!BN13) * (1 + Production!O13/100*prestige_pop_multiplier) + Production!O13/100*prestige_pop_multiplier</f>
        <v>#REF!</v>
      </c>
    </row>
    <row r="14" spans="1:30" x14ac:dyDescent="0.25">
      <c r="A14" s="130" t="e">
        <f>#REF!</f>
        <v>#REF!</v>
      </c>
      <c r="B14" s="131" t="e">
        <f>#REF!</f>
        <v>#REF!</v>
      </c>
      <c r="C14" s="39" t="e">
        <f ca="1">OFFSET(#REF!,-1,0)+OFFSET(#REF!,-1,0)+#REF!</f>
        <v>#REF!</v>
      </c>
      <c r="D14" s="39" t="e">
        <f>#REF!</f>
        <v>#REF!</v>
      </c>
      <c r="E14" s="39" t="e">
        <f>#REF!</f>
        <v>#REF!</v>
      </c>
      <c r="F14" s="39" t="e">
        <f>#REF!+#REF!</f>
        <v>#REF!</v>
      </c>
      <c r="G14" s="132" t="e">
        <f>#REF!/#REF!</f>
        <v>#REF!</v>
      </c>
      <c r="H14" s="39" t="e">
        <f>MIN(#REF!,#REF!)</f>
        <v>#REF!</v>
      </c>
      <c r="I14" s="132" t="e">
        <f ca="1">MIN(OFFSET(#REF!,1,0)/#REF!,1)</f>
        <v>#REF!</v>
      </c>
      <c r="J14" s="39" t="e">
        <f>SUM(#REF!,#REF!,#REF!,#REF!)*building_employment +#REF!* bonus_jobs_facts</f>
        <v>#REF!</v>
      </c>
      <c r="K14" s="133"/>
      <c r="L14" s="61" t="e">
        <f>#REF!</f>
        <v>#REF!</v>
      </c>
      <c r="M14" s="61" t="e">
        <f>#REF!</f>
        <v>#REF!</v>
      </c>
      <c r="N14" s="61" t="e">
        <f>#REF!</f>
        <v>#REF!</v>
      </c>
      <c r="O14" s="61" t="e">
        <f>#REF!</f>
        <v>#REF!</v>
      </c>
      <c r="P14" s="61" t="e">
        <f>#REF!</f>
        <v>#REF!</v>
      </c>
      <c r="Q14" s="61" t="e">
        <f>#REF!</f>
        <v>#REF!</v>
      </c>
      <c r="R14" s="61" t="e">
        <f>#REF!</f>
        <v>#REF!</v>
      </c>
      <c r="S14" s="61" t="e">
        <f>#REF!</f>
        <v>#REF!</v>
      </c>
      <c r="T14" s="134"/>
      <c r="U14" s="39" t="e">
        <f>ROUND(#REF!*(1+#REF!),0)+MIN(#REF!-#REF!-SUM(#REF!),(barracks_size + tech_8_3*#REF!)*#REF!)</f>
        <v>#REF!</v>
      </c>
      <c r="V14" s="39" t="e">
        <f>(#REF!+#REF!)*pop_in_home+(SUM(#REF!)+#REF!-#REF!)*pop_in_building+(SUM(#REF!)-#REF!*20)*pop_on_barren-(SUM(#REF!)-SUM(#REF!))*(15-pop_on_barren)-pop_on_barren*#REF!</f>
        <v>#REF!</v>
      </c>
      <c r="W14" s="39" t="e">
        <f ca="1">MAX(-5%*#REF!-#REF!,MIN(OFFSET(#REF!,1,0)-#REF!-#REF!-#REF!,#REF!-#REF!))</f>
        <v>#REF!</v>
      </c>
      <c r="X14" s="39" t="e">
        <f>ROUND(#REF!*(1+#REF!),0)</f>
        <v>#REF!</v>
      </c>
      <c r="Y14" s="39" t="e">
        <f>(#REF!-#REF!)*raw_pop_growth</f>
        <v>#REF!</v>
      </c>
      <c r="Z14" s="39" t="e">
        <f>IF(#REF!&lt;#REF!,ROUND(#REF!*Constants!$B$55,0), 0)</f>
        <v>#REF!</v>
      </c>
      <c r="AA14" s="134"/>
      <c r="AB14" s="135" t="e">
        <f ca="1">Overview!$I$16 + IF(Magic!AE14&gt;0,Constants!$F$78) + ROUND(6*(Construction!BM15+Construction!CK14)/IF(Explore!S15&gt;0,Construction!F15-20,Construction!F15),4) + tech_6_5_2*Techs!BJ14 + tech_8_4*Techs!BT14</f>
        <v>#REF!</v>
      </c>
      <c r="AC14" s="132" t="e">
        <f ca="1">(Overview!$I$15 + Imps!Z14+ tech_2_5*Techs!AB14 + tech_3_6*Techs!AM14 + tech_6_1*Techs!BJ14 + tech_6_5*Techs!BF14 + tech_7_3_2*Techs!BN14) * (1 + Production!O14/100*prestige_pop_multiplier) + Production!O14/100*prestige_pop_multiplier</f>
        <v>#REF!</v>
      </c>
    </row>
    <row r="15" spans="1:30" x14ac:dyDescent="0.25">
      <c r="A15" s="130" t="e">
        <f>#REF!</f>
        <v>#REF!</v>
      </c>
      <c r="B15" s="131" t="e">
        <f>#REF!</f>
        <v>#REF!</v>
      </c>
      <c r="C15" s="39" t="e">
        <f ca="1">OFFSET(#REF!,-1,0)+OFFSET(#REF!,-1,0)+#REF!</f>
        <v>#REF!</v>
      </c>
      <c r="D15" s="39" t="e">
        <f>#REF!</f>
        <v>#REF!</v>
      </c>
      <c r="E15" s="39" t="e">
        <f>#REF!</f>
        <v>#REF!</v>
      </c>
      <c r="F15" s="39" t="e">
        <f>#REF!+#REF!</f>
        <v>#REF!</v>
      </c>
      <c r="G15" s="132" t="e">
        <f>#REF!/#REF!</f>
        <v>#REF!</v>
      </c>
      <c r="H15" s="39" t="e">
        <f>MIN(#REF!,#REF!)</f>
        <v>#REF!</v>
      </c>
      <c r="I15" s="132" t="e">
        <f ca="1">MIN(OFFSET(#REF!,1,0)/#REF!,1)</f>
        <v>#REF!</v>
      </c>
      <c r="J15" s="39" t="e">
        <f>SUM(#REF!,#REF!,#REF!,#REF!)*building_employment +#REF!* bonus_jobs_facts</f>
        <v>#REF!</v>
      </c>
      <c r="K15" s="133"/>
      <c r="L15" s="61" t="e">
        <f>#REF!</f>
        <v>#REF!</v>
      </c>
      <c r="M15" s="61" t="e">
        <f>#REF!</f>
        <v>#REF!</v>
      </c>
      <c r="N15" s="61" t="e">
        <f>#REF!</f>
        <v>#REF!</v>
      </c>
      <c r="O15" s="61" t="e">
        <f>#REF!</f>
        <v>#REF!</v>
      </c>
      <c r="P15" s="61" t="e">
        <f>#REF!</f>
        <v>#REF!</v>
      </c>
      <c r="Q15" s="61" t="e">
        <f>#REF!</f>
        <v>#REF!</v>
      </c>
      <c r="R15" s="61" t="e">
        <f>#REF!</f>
        <v>#REF!</v>
      </c>
      <c r="S15" s="61" t="e">
        <f>#REF!</f>
        <v>#REF!</v>
      </c>
      <c r="T15" s="134"/>
      <c r="U15" s="39" t="e">
        <f>ROUND(#REF!*(1+#REF!),0)+MIN(#REF!-#REF!-SUM(#REF!),(barracks_size + tech_8_3*#REF!)*#REF!)</f>
        <v>#REF!</v>
      </c>
      <c r="V15" s="39" t="e">
        <f>(#REF!+#REF!)*pop_in_home+(SUM(#REF!)+#REF!-#REF!)*pop_in_building+(SUM(#REF!)-#REF!*20)*pop_on_barren-(SUM(#REF!)-SUM(#REF!))*(15-pop_on_barren)-pop_on_barren*#REF!</f>
        <v>#REF!</v>
      </c>
      <c r="W15" s="39" t="e">
        <f ca="1">MAX(-5%*#REF!-#REF!,MIN(OFFSET(#REF!,1,0)-#REF!-#REF!-#REF!,#REF!-#REF!))</f>
        <v>#REF!</v>
      </c>
      <c r="X15" s="39" t="e">
        <f>ROUND(#REF!*(1+#REF!),0)</f>
        <v>#REF!</v>
      </c>
      <c r="Y15" s="39" t="e">
        <f>(#REF!-#REF!)*raw_pop_growth</f>
        <v>#REF!</v>
      </c>
      <c r="Z15" s="39" t="e">
        <f>IF(#REF!&lt;#REF!,ROUND(#REF!*Constants!$B$55,0), 0)</f>
        <v>#REF!</v>
      </c>
      <c r="AA15" s="134"/>
      <c r="AB15" s="135" t="e">
        <f ca="1">Overview!$I$16 + IF(Magic!AE15&gt;0,Constants!$F$78) + ROUND(6*(Construction!BM16+Construction!CK15)/IF(Explore!S16&gt;0,Construction!F16-20,Construction!F16),4) + tech_6_5_2*Techs!BJ15 + tech_8_4*Techs!BT15</f>
        <v>#REF!</v>
      </c>
      <c r="AC15" s="132" t="e">
        <f ca="1">(Overview!$I$15 + Imps!Z15+ tech_2_5*Techs!AB15 + tech_3_6*Techs!AM15 + tech_6_1*Techs!BJ15 + tech_6_5*Techs!BF15 + tech_7_3_2*Techs!BN15) * (1 + Production!O15/100*prestige_pop_multiplier) + Production!O15/100*prestige_pop_multiplier</f>
        <v>#REF!</v>
      </c>
    </row>
    <row r="16" spans="1:30" x14ac:dyDescent="0.25">
      <c r="A16" s="130" t="e">
        <f>#REF!</f>
        <v>#REF!</v>
      </c>
      <c r="B16" s="131" t="e">
        <f>#REF!</f>
        <v>#REF!</v>
      </c>
      <c r="C16" s="39" t="e">
        <f ca="1">OFFSET(#REF!,-1,0)+OFFSET(#REF!,-1,0)+#REF!</f>
        <v>#REF!</v>
      </c>
      <c r="D16" s="39" t="e">
        <f>#REF!</f>
        <v>#REF!</v>
      </c>
      <c r="E16" s="39" t="e">
        <f>#REF!</f>
        <v>#REF!</v>
      </c>
      <c r="F16" s="39" t="e">
        <f>#REF!+#REF!</f>
        <v>#REF!</v>
      </c>
      <c r="G16" s="132" t="e">
        <f>#REF!/#REF!</f>
        <v>#REF!</v>
      </c>
      <c r="H16" s="39" t="e">
        <f>MIN(#REF!,#REF!)</f>
        <v>#REF!</v>
      </c>
      <c r="I16" s="132" t="e">
        <f ca="1">MIN(OFFSET(#REF!,1,0)/#REF!,1)</f>
        <v>#REF!</v>
      </c>
      <c r="J16" s="39" t="e">
        <f>SUM(#REF!,#REF!,#REF!,#REF!)*building_employment +#REF!* bonus_jobs_facts</f>
        <v>#REF!</v>
      </c>
      <c r="K16" s="133"/>
      <c r="L16" s="61" t="e">
        <f>#REF!</f>
        <v>#REF!</v>
      </c>
      <c r="M16" s="61" t="e">
        <f>#REF!</f>
        <v>#REF!</v>
      </c>
      <c r="N16" s="61" t="e">
        <f>#REF!</f>
        <v>#REF!</v>
      </c>
      <c r="O16" s="61" t="e">
        <f>#REF!</f>
        <v>#REF!</v>
      </c>
      <c r="P16" s="61" t="e">
        <f>#REF!</f>
        <v>#REF!</v>
      </c>
      <c r="Q16" s="61" t="e">
        <f>#REF!</f>
        <v>#REF!</v>
      </c>
      <c r="R16" s="61" t="e">
        <f>#REF!</f>
        <v>#REF!</v>
      </c>
      <c r="S16" s="61" t="e">
        <f>#REF!</f>
        <v>#REF!</v>
      </c>
      <c r="T16" s="134"/>
      <c r="U16" s="39" t="e">
        <f>ROUND(#REF!*(1+#REF!),0)+MIN(#REF!-#REF!-SUM(#REF!),(barracks_size + tech_8_3*#REF!)*#REF!)</f>
        <v>#REF!</v>
      </c>
      <c r="V16" s="39" t="e">
        <f>(#REF!+#REF!)*pop_in_home+(SUM(#REF!)+#REF!-#REF!)*pop_in_building+(SUM(#REF!)-#REF!*20)*pop_on_barren-(SUM(#REF!)-SUM(#REF!))*(15-pop_on_barren)-pop_on_barren*#REF!</f>
        <v>#REF!</v>
      </c>
      <c r="W16" s="39" t="e">
        <f ca="1">MAX(-5%*#REF!-#REF!,MIN(OFFSET(#REF!,1,0)-#REF!-#REF!-#REF!,#REF!-#REF!))</f>
        <v>#REF!</v>
      </c>
      <c r="X16" s="39" t="e">
        <f>ROUND(#REF!*(1+#REF!),0)</f>
        <v>#REF!</v>
      </c>
      <c r="Y16" s="39" t="e">
        <f>(#REF!-#REF!)*raw_pop_growth</f>
        <v>#REF!</v>
      </c>
      <c r="Z16" s="39" t="e">
        <f>IF(#REF!&lt;#REF!,ROUND(#REF!*Constants!$B$55,0), 0)</f>
        <v>#REF!</v>
      </c>
      <c r="AA16" s="134"/>
      <c r="AB16" s="135" t="e">
        <f ca="1">Overview!$I$16 + IF(Magic!AE16&gt;0,Constants!$F$78) + ROUND(6*(Construction!BM17+Construction!CK16)/IF(Explore!S17&gt;0,Construction!F17-20,Construction!F17),4) + tech_6_5_2*Techs!BJ16 + tech_8_4*Techs!BT16</f>
        <v>#REF!</v>
      </c>
      <c r="AC16" s="132" t="e">
        <f ca="1">(Overview!$I$15 + Imps!Z16+ tech_2_5*Techs!AB16 + tech_3_6*Techs!AM16 + tech_6_1*Techs!BJ16 + tech_6_5*Techs!BF16 + tech_7_3_2*Techs!BN16) * (1 + Production!O16/100*prestige_pop_multiplier) + Production!O16/100*prestige_pop_multiplier</f>
        <v>#REF!</v>
      </c>
    </row>
    <row r="17" spans="1:29" x14ac:dyDescent="0.25">
      <c r="A17" s="130" t="e">
        <f>#REF!</f>
        <v>#REF!</v>
      </c>
      <c r="B17" s="131" t="e">
        <f>#REF!</f>
        <v>#REF!</v>
      </c>
      <c r="C17" s="39" t="e">
        <f ca="1">OFFSET(#REF!,-1,0)+OFFSET(#REF!,-1,0)+#REF!</f>
        <v>#REF!</v>
      </c>
      <c r="D17" s="39" t="e">
        <f>#REF!</f>
        <v>#REF!</v>
      </c>
      <c r="E17" s="39" t="e">
        <f>#REF!</f>
        <v>#REF!</v>
      </c>
      <c r="F17" s="39" t="e">
        <f>#REF!+#REF!</f>
        <v>#REF!</v>
      </c>
      <c r="G17" s="132" t="e">
        <f>#REF!/#REF!</f>
        <v>#REF!</v>
      </c>
      <c r="H17" s="39" t="e">
        <f>MIN(#REF!,#REF!)</f>
        <v>#REF!</v>
      </c>
      <c r="I17" s="132" t="e">
        <f ca="1">MIN(OFFSET(#REF!,1,0)/#REF!,1)</f>
        <v>#REF!</v>
      </c>
      <c r="J17" s="39" t="e">
        <f>SUM(#REF!,#REF!,#REF!,#REF!)*building_employment +#REF!* bonus_jobs_facts</f>
        <v>#REF!</v>
      </c>
      <c r="K17" s="133"/>
      <c r="L17" s="61" t="e">
        <f>#REF!</f>
        <v>#REF!</v>
      </c>
      <c r="M17" s="61" t="e">
        <f>#REF!</f>
        <v>#REF!</v>
      </c>
      <c r="N17" s="61" t="e">
        <f>#REF!</f>
        <v>#REF!</v>
      </c>
      <c r="O17" s="61" t="e">
        <f>#REF!</f>
        <v>#REF!</v>
      </c>
      <c r="P17" s="61" t="e">
        <f>#REF!</f>
        <v>#REF!</v>
      </c>
      <c r="Q17" s="61" t="e">
        <f>#REF!</f>
        <v>#REF!</v>
      </c>
      <c r="R17" s="61" t="e">
        <f>#REF!</f>
        <v>#REF!</v>
      </c>
      <c r="S17" s="61" t="e">
        <f>#REF!</f>
        <v>#REF!</v>
      </c>
      <c r="T17" s="134"/>
      <c r="U17" s="39" t="e">
        <f>ROUND(#REF!*(1+#REF!),0)+MIN(#REF!-#REF!-SUM(#REF!),(barracks_size + tech_8_3*#REF!)*#REF!)</f>
        <v>#REF!</v>
      </c>
      <c r="V17" s="39" t="e">
        <f>(#REF!+#REF!)*pop_in_home+(SUM(#REF!)+#REF!-#REF!)*pop_in_building+(SUM(#REF!)-#REF!*20)*pop_on_barren-(SUM(#REF!)-SUM(#REF!))*(15-pop_on_barren)-pop_on_barren*#REF!</f>
        <v>#REF!</v>
      </c>
      <c r="W17" s="39" t="e">
        <f ca="1">MAX(-5%*#REF!-#REF!,MIN(OFFSET(#REF!,1,0)-#REF!-#REF!-#REF!,#REF!-#REF!))</f>
        <v>#REF!</v>
      </c>
      <c r="X17" s="39" t="e">
        <f>ROUND(#REF!*(1+#REF!),0)</f>
        <v>#REF!</v>
      </c>
      <c r="Y17" s="39" t="e">
        <f>(#REF!-#REF!)*raw_pop_growth</f>
        <v>#REF!</v>
      </c>
      <c r="Z17" s="39" t="e">
        <f>IF(#REF!&lt;#REF!,ROUND(#REF!*Constants!$B$55,0), 0)</f>
        <v>#REF!</v>
      </c>
      <c r="AA17" s="134"/>
      <c r="AB17" s="135" t="e">
        <f ca="1">Overview!$I$16 + IF(Magic!AE17&gt;0,Constants!$F$78) + ROUND(6*(Construction!BM18+Construction!CK17)/IF(Explore!S18&gt;0,Construction!F18-20,Construction!F18),4) + tech_6_5_2*Techs!BJ17 + tech_8_4*Techs!BT17</f>
        <v>#REF!</v>
      </c>
      <c r="AC17" s="132" t="e">
        <f ca="1">(Overview!$I$15 + Imps!Z17+ tech_2_5*Techs!AB17 + tech_3_6*Techs!AM17 + tech_6_1*Techs!BJ17 + tech_6_5*Techs!BF17 + tech_7_3_2*Techs!BN17) * (1 + Production!O17/100*prestige_pop_multiplier) + Production!O17/100*prestige_pop_multiplier</f>
        <v>#REF!</v>
      </c>
    </row>
    <row r="18" spans="1:29" x14ac:dyDescent="0.25">
      <c r="A18" s="130" t="e">
        <f>#REF!</f>
        <v>#REF!</v>
      </c>
      <c r="B18" s="131" t="e">
        <f>#REF!</f>
        <v>#REF!</v>
      </c>
      <c r="C18" s="39" t="e">
        <f ca="1">OFFSET(#REF!,-1,0)+OFFSET(#REF!,-1,0)+#REF!</f>
        <v>#REF!</v>
      </c>
      <c r="D18" s="39" t="e">
        <f>#REF!</f>
        <v>#REF!</v>
      </c>
      <c r="E18" s="39" t="e">
        <f>#REF!</f>
        <v>#REF!</v>
      </c>
      <c r="F18" s="39" t="e">
        <f>#REF!+#REF!</f>
        <v>#REF!</v>
      </c>
      <c r="G18" s="132" t="e">
        <f>#REF!/#REF!</f>
        <v>#REF!</v>
      </c>
      <c r="H18" s="39" t="e">
        <f>MIN(#REF!,#REF!)</f>
        <v>#REF!</v>
      </c>
      <c r="I18" s="132" t="e">
        <f ca="1">MIN(OFFSET(#REF!,1,0)/#REF!,1)</f>
        <v>#REF!</v>
      </c>
      <c r="J18" s="39" t="e">
        <f>SUM(#REF!,#REF!,#REF!,#REF!)*building_employment +#REF!* bonus_jobs_facts</f>
        <v>#REF!</v>
      </c>
      <c r="K18" s="133"/>
      <c r="L18" s="61" t="e">
        <f>#REF!</f>
        <v>#REF!</v>
      </c>
      <c r="M18" s="61" t="e">
        <f>#REF!</f>
        <v>#REF!</v>
      </c>
      <c r="N18" s="61" t="e">
        <f>#REF!</f>
        <v>#REF!</v>
      </c>
      <c r="O18" s="61" t="e">
        <f>#REF!</f>
        <v>#REF!</v>
      </c>
      <c r="P18" s="61" t="e">
        <f>#REF!</f>
        <v>#REF!</v>
      </c>
      <c r="Q18" s="61" t="e">
        <f>#REF!</f>
        <v>#REF!</v>
      </c>
      <c r="R18" s="61" t="e">
        <f>#REF!</f>
        <v>#REF!</v>
      </c>
      <c r="S18" s="61" t="e">
        <f>#REF!</f>
        <v>#REF!</v>
      </c>
      <c r="T18" s="134"/>
      <c r="U18" s="39" t="e">
        <f>ROUND(#REF!*(1+#REF!),0)+MIN(#REF!-#REF!-SUM(#REF!),(barracks_size + tech_8_3*#REF!)*#REF!)</f>
        <v>#REF!</v>
      </c>
      <c r="V18" s="39" t="e">
        <f>(#REF!+#REF!)*pop_in_home+(SUM(#REF!)+#REF!-#REF!)*pop_in_building+(SUM(#REF!)-#REF!*20)*pop_on_barren-(SUM(#REF!)-SUM(#REF!))*(15-pop_on_barren)-pop_on_barren*#REF!</f>
        <v>#REF!</v>
      </c>
      <c r="W18" s="39" t="e">
        <f ca="1">MAX(-5%*#REF!-#REF!,MIN(OFFSET(#REF!,1,0)-#REF!-#REF!-#REF!,#REF!-#REF!))</f>
        <v>#REF!</v>
      </c>
      <c r="X18" s="39" t="e">
        <f>ROUND(#REF!*(1+#REF!),0)</f>
        <v>#REF!</v>
      </c>
      <c r="Y18" s="39" t="e">
        <f>(#REF!-#REF!)*raw_pop_growth</f>
        <v>#REF!</v>
      </c>
      <c r="Z18" s="39" t="e">
        <f>IF(#REF!&lt;#REF!,ROUND(#REF!*Constants!$B$55,0), 0)</f>
        <v>#REF!</v>
      </c>
      <c r="AA18" s="134"/>
      <c r="AB18" s="135" t="e">
        <f ca="1">Overview!$I$16 + IF(Magic!AE18&gt;0,Constants!$F$78) + ROUND(6*(Construction!BM19+Construction!CK18)/IF(Explore!S19&gt;0,Construction!F19-20,Construction!F19),4) + tech_6_5_2*Techs!BJ18 + tech_8_4*Techs!BT18</f>
        <v>#REF!</v>
      </c>
      <c r="AC18" s="132" t="e">
        <f ca="1">(Overview!$I$15 + Imps!Z18+ tech_2_5*Techs!AB18 + tech_3_6*Techs!AM18 + tech_6_1*Techs!BJ18 + tech_6_5*Techs!BF18 + tech_7_3_2*Techs!BN18) * (1 + Production!O18/100*prestige_pop_multiplier) + Production!O18/100*prestige_pop_multiplier</f>
        <v>#REF!</v>
      </c>
    </row>
    <row r="19" spans="1:29" x14ac:dyDescent="0.25">
      <c r="A19" s="130" t="e">
        <f>#REF!</f>
        <v>#REF!</v>
      </c>
      <c r="B19" s="131" t="e">
        <f>#REF!</f>
        <v>#REF!</v>
      </c>
      <c r="C19" s="39" t="e">
        <f ca="1">OFFSET(#REF!,-1,0)+OFFSET(#REF!,-1,0)+#REF!</f>
        <v>#REF!</v>
      </c>
      <c r="D19" s="39" t="e">
        <f>#REF!</f>
        <v>#REF!</v>
      </c>
      <c r="E19" s="39" t="e">
        <f>#REF!</f>
        <v>#REF!</v>
      </c>
      <c r="F19" s="39" t="e">
        <f>#REF!+#REF!</f>
        <v>#REF!</v>
      </c>
      <c r="G19" s="132" t="e">
        <f>#REF!/#REF!</f>
        <v>#REF!</v>
      </c>
      <c r="H19" s="39" t="e">
        <f>MIN(#REF!,#REF!)</f>
        <v>#REF!</v>
      </c>
      <c r="I19" s="132" t="e">
        <f ca="1">MIN(OFFSET(#REF!,1,0)/#REF!,1)</f>
        <v>#REF!</v>
      </c>
      <c r="J19" s="39" t="e">
        <f>SUM(#REF!,#REF!,#REF!,#REF!)*building_employment +#REF!* bonus_jobs_facts</f>
        <v>#REF!</v>
      </c>
      <c r="K19" s="133"/>
      <c r="L19" s="61" t="e">
        <f>#REF!</f>
        <v>#REF!</v>
      </c>
      <c r="M19" s="61" t="e">
        <f>#REF!</f>
        <v>#REF!</v>
      </c>
      <c r="N19" s="61" t="e">
        <f>#REF!</f>
        <v>#REF!</v>
      </c>
      <c r="O19" s="61" t="e">
        <f>#REF!</f>
        <v>#REF!</v>
      </c>
      <c r="P19" s="61" t="e">
        <f>#REF!</f>
        <v>#REF!</v>
      </c>
      <c r="Q19" s="61" t="e">
        <f>#REF!</f>
        <v>#REF!</v>
      </c>
      <c r="R19" s="61" t="e">
        <f>#REF!</f>
        <v>#REF!</v>
      </c>
      <c r="S19" s="61" t="e">
        <f>#REF!</f>
        <v>#REF!</v>
      </c>
      <c r="T19" s="134"/>
      <c r="U19" s="39" t="e">
        <f>ROUND(#REF!*(1+#REF!),0)+MIN(#REF!-#REF!-SUM(#REF!),(barracks_size + tech_8_3*#REF!)*#REF!)</f>
        <v>#REF!</v>
      </c>
      <c r="V19" s="39" t="e">
        <f>(#REF!+#REF!)*pop_in_home+(SUM(#REF!)+#REF!-#REF!)*pop_in_building+(SUM(#REF!)-#REF!*20)*pop_on_barren-(SUM(#REF!)-SUM(#REF!))*(15-pop_on_barren)-pop_on_barren*#REF!</f>
        <v>#REF!</v>
      </c>
      <c r="W19" s="39" t="e">
        <f ca="1">MAX(-5%*#REF!-#REF!,MIN(OFFSET(#REF!,1,0)-#REF!-#REF!-#REF!,#REF!-#REF!))</f>
        <v>#REF!</v>
      </c>
      <c r="X19" s="39" t="e">
        <f>ROUND(#REF!*(1+#REF!),0)</f>
        <v>#REF!</v>
      </c>
      <c r="Y19" s="39" t="e">
        <f>(#REF!-#REF!)*raw_pop_growth</f>
        <v>#REF!</v>
      </c>
      <c r="Z19" s="39" t="e">
        <f>IF(#REF!&lt;#REF!,ROUND(#REF!*Constants!$B$55,0), 0)</f>
        <v>#REF!</v>
      </c>
      <c r="AA19" s="134"/>
      <c r="AB19" s="135" t="e">
        <f ca="1">Overview!$I$16 + IF(Magic!AE19&gt;0,Constants!$F$78) + ROUND(6*(Construction!BM20+Construction!CK19)/IF(Explore!S20&gt;0,Construction!F20-20,Construction!F20),4) + tech_6_5_2*Techs!BJ19 + tech_8_4*Techs!BT19</f>
        <v>#REF!</v>
      </c>
      <c r="AC19" s="132" t="e">
        <f ca="1">(Overview!$I$15 + Imps!Z19+ tech_2_5*Techs!AB19 + tech_3_6*Techs!AM19 + tech_6_1*Techs!BJ19 + tech_6_5*Techs!BF19 + tech_7_3_2*Techs!BN19) * (1 + Production!O19/100*prestige_pop_multiplier) + Production!O19/100*prestige_pop_multiplier</f>
        <v>#REF!</v>
      </c>
    </row>
    <row r="20" spans="1:29" x14ac:dyDescent="0.25">
      <c r="A20" s="130" t="e">
        <f>#REF!</f>
        <v>#REF!</v>
      </c>
      <c r="B20" s="131" t="e">
        <f>#REF!</f>
        <v>#REF!</v>
      </c>
      <c r="C20" s="39" t="e">
        <f ca="1">OFFSET(#REF!,-1,0)+OFFSET(#REF!,-1,0)+#REF!</f>
        <v>#REF!</v>
      </c>
      <c r="D20" s="39" t="e">
        <f>#REF!</f>
        <v>#REF!</v>
      </c>
      <c r="E20" s="39" t="e">
        <f>#REF!</f>
        <v>#REF!</v>
      </c>
      <c r="F20" s="39" t="e">
        <f>#REF!+#REF!</f>
        <v>#REF!</v>
      </c>
      <c r="G20" s="132" t="e">
        <f>#REF!/#REF!</f>
        <v>#REF!</v>
      </c>
      <c r="H20" s="39" t="e">
        <f>MIN(#REF!,#REF!)</f>
        <v>#REF!</v>
      </c>
      <c r="I20" s="132" t="e">
        <f ca="1">MIN(OFFSET(#REF!,1,0)/#REF!,1)</f>
        <v>#REF!</v>
      </c>
      <c r="J20" s="39" t="e">
        <f>SUM(#REF!,#REF!,#REF!,#REF!)*building_employment +#REF!* bonus_jobs_facts</f>
        <v>#REF!</v>
      </c>
      <c r="K20" s="133"/>
      <c r="L20" s="61" t="e">
        <f>#REF!</f>
        <v>#REF!</v>
      </c>
      <c r="M20" s="61" t="e">
        <f>#REF!</f>
        <v>#REF!</v>
      </c>
      <c r="N20" s="61" t="e">
        <f>#REF!</f>
        <v>#REF!</v>
      </c>
      <c r="O20" s="61" t="e">
        <f>#REF!</f>
        <v>#REF!</v>
      </c>
      <c r="P20" s="61" t="e">
        <f>#REF!</f>
        <v>#REF!</v>
      </c>
      <c r="Q20" s="61" t="e">
        <f>#REF!</f>
        <v>#REF!</v>
      </c>
      <c r="R20" s="61" t="e">
        <f>#REF!</f>
        <v>#REF!</v>
      </c>
      <c r="S20" s="61" t="e">
        <f>#REF!</f>
        <v>#REF!</v>
      </c>
      <c r="T20" s="134"/>
      <c r="U20" s="39" t="e">
        <f>ROUND(#REF!*(1+#REF!),0)+MIN(#REF!-#REF!-SUM(#REF!),(barracks_size + tech_8_3*#REF!)*#REF!)</f>
        <v>#REF!</v>
      </c>
      <c r="V20" s="39" t="e">
        <f>(#REF!+#REF!)*pop_in_home+(SUM(#REF!)+#REF!-#REF!)*pop_in_building+(SUM(#REF!)-#REF!*20)*pop_on_barren-(SUM(#REF!)-SUM(#REF!))*(15-pop_on_barren)-pop_on_barren*#REF!</f>
        <v>#REF!</v>
      </c>
      <c r="W20" s="39" t="e">
        <f ca="1">MAX(-5%*#REF!-#REF!,MIN(OFFSET(#REF!,1,0)-#REF!-#REF!-#REF!,#REF!-#REF!))</f>
        <v>#REF!</v>
      </c>
      <c r="X20" s="39" t="e">
        <f>ROUND(#REF!*(1+#REF!),0)</f>
        <v>#REF!</v>
      </c>
      <c r="Y20" s="39" t="e">
        <f>(#REF!-#REF!)*raw_pop_growth</f>
        <v>#REF!</v>
      </c>
      <c r="Z20" s="39" t="e">
        <f>IF(#REF!&lt;#REF!,ROUND(#REF!*Constants!$B$55,0), 0)</f>
        <v>#REF!</v>
      </c>
      <c r="AA20" s="134"/>
      <c r="AB20" s="135" t="e">
        <f ca="1">Overview!$I$16 + IF(Magic!AE20&gt;0,Constants!$F$78) + ROUND(6*(Construction!BM21+Construction!CK20)/IF(Explore!S21&gt;0,Construction!F21-20,Construction!F21),4) + tech_6_5_2*Techs!BJ20 + tech_8_4*Techs!BT20</f>
        <v>#REF!</v>
      </c>
      <c r="AC20" s="132" t="e">
        <f ca="1">(Overview!$I$15 + Imps!Z20+ tech_2_5*Techs!AB20 + tech_3_6*Techs!AM20 + tech_6_1*Techs!BJ20 + tech_6_5*Techs!BF20 + tech_7_3_2*Techs!BN20) * (1 + Production!O20/100*prestige_pop_multiplier) + Production!O20/100*prestige_pop_multiplier</f>
        <v>#REF!</v>
      </c>
    </row>
    <row r="21" spans="1:29" x14ac:dyDescent="0.25">
      <c r="A21" s="130" t="e">
        <f>#REF!</f>
        <v>#REF!</v>
      </c>
      <c r="B21" s="131" t="e">
        <f>#REF!</f>
        <v>#REF!</v>
      </c>
      <c r="C21" s="39" t="e">
        <f ca="1">OFFSET(#REF!,-1,0)+OFFSET(#REF!,-1,0)+#REF!</f>
        <v>#REF!</v>
      </c>
      <c r="D21" s="39" t="e">
        <f>#REF!</f>
        <v>#REF!</v>
      </c>
      <c r="E21" s="39" t="e">
        <f>#REF!</f>
        <v>#REF!</v>
      </c>
      <c r="F21" s="39" t="e">
        <f>#REF!+#REF!</f>
        <v>#REF!</v>
      </c>
      <c r="G21" s="132" t="e">
        <f>#REF!/#REF!</f>
        <v>#REF!</v>
      </c>
      <c r="H21" s="39" t="e">
        <f>MIN(#REF!,#REF!)</f>
        <v>#REF!</v>
      </c>
      <c r="I21" s="132" t="e">
        <f ca="1">MIN(OFFSET(#REF!,1,0)/#REF!,1)</f>
        <v>#REF!</v>
      </c>
      <c r="J21" s="39" t="e">
        <f>SUM(#REF!,#REF!,#REF!,#REF!)*building_employment +#REF!* bonus_jobs_facts</f>
        <v>#REF!</v>
      </c>
      <c r="K21" s="133"/>
      <c r="L21" s="61" t="e">
        <f>#REF!</f>
        <v>#REF!</v>
      </c>
      <c r="M21" s="61" t="e">
        <f>#REF!</f>
        <v>#REF!</v>
      </c>
      <c r="N21" s="61" t="e">
        <f>#REF!</f>
        <v>#REF!</v>
      </c>
      <c r="O21" s="61" t="e">
        <f>#REF!</f>
        <v>#REF!</v>
      </c>
      <c r="P21" s="61" t="e">
        <f>#REF!</f>
        <v>#REF!</v>
      </c>
      <c r="Q21" s="61" t="e">
        <f>#REF!</f>
        <v>#REF!</v>
      </c>
      <c r="R21" s="61" t="e">
        <f>#REF!</f>
        <v>#REF!</v>
      </c>
      <c r="S21" s="61" t="e">
        <f>#REF!</f>
        <v>#REF!</v>
      </c>
      <c r="T21" s="134"/>
      <c r="U21" s="39" t="e">
        <f>ROUND(#REF!*(1+#REF!),0)+MIN(#REF!-#REF!-SUM(#REF!),(barracks_size + tech_8_3*#REF!)*#REF!)</f>
        <v>#REF!</v>
      </c>
      <c r="V21" s="39" t="e">
        <f>(#REF!+#REF!)*pop_in_home+(SUM(#REF!)+#REF!-#REF!)*pop_in_building+(SUM(#REF!)-#REF!*20)*pop_on_barren-(SUM(#REF!)-SUM(#REF!))*(15-pop_on_barren)-pop_on_barren*#REF!</f>
        <v>#REF!</v>
      </c>
      <c r="W21" s="39" t="e">
        <f ca="1">MAX(-5%*#REF!-#REF!,MIN(OFFSET(#REF!,1,0)-#REF!-#REF!-#REF!,#REF!-#REF!))</f>
        <v>#REF!</v>
      </c>
      <c r="X21" s="39" t="e">
        <f>ROUND(#REF!*(1+#REF!),0)</f>
        <v>#REF!</v>
      </c>
      <c r="Y21" s="39" t="e">
        <f>(#REF!-#REF!)*raw_pop_growth</f>
        <v>#REF!</v>
      </c>
      <c r="Z21" s="39" t="e">
        <f>IF(#REF!&lt;#REF!,ROUND(#REF!*Constants!$B$55,0), 0)</f>
        <v>#REF!</v>
      </c>
      <c r="AA21" s="134"/>
      <c r="AB21" s="135" t="e">
        <f ca="1">Overview!$I$16 + IF(Magic!AE21&gt;0,Constants!$F$78) + ROUND(6*(Construction!BM22+Construction!CK21)/IF(Explore!S22&gt;0,Construction!F22-20,Construction!F22),4) + tech_6_5_2*Techs!BJ21 + tech_8_4*Techs!BT21</f>
        <v>#REF!</v>
      </c>
      <c r="AC21" s="132" t="e">
        <f ca="1">(Overview!$I$15 + Imps!Z21+ tech_2_5*Techs!AB21 + tech_3_6*Techs!AM21 + tech_6_1*Techs!BJ21 + tech_6_5*Techs!BF21 + tech_7_3_2*Techs!BN21) * (1 + Production!O21/100*prestige_pop_multiplier) + Production!O21/100*prestige_pop_multiplier</f>
        <v>#REF!</v>
      </c>
    </row>
    <row r="22" spans="1:29" x14ac:dyDescent="0.25">
      <c r="A22" s="130" t="e">
        <f>#REF!</f>
        <v>#REF!</v>
      </c>
      <c r="B22" s="131" t="e">
        <f>#REF!</f>
        <v>#REF!</v>
      </c>
      <c r="C22" s="39" t="e">
        <f ca="1">OFFSET(#REF!,-1,0)+OFFSET(#REF!,-1,0)+#REF!</f>
        <v>#REF!</v>
      </c>
      <c r="D22" s="39" t="e">
        <f>#REF!</f>
        <v>#REF!</v>
      </c>
      <c r="E22" s="39" t="e">
        <f>#REF!</f>
        <v>#REF!</v>
      </c>
      <c r="F22" s="39" t="e">
        <f>#REF!+#REF!</f>
        <v>#REF!</v>
      </c>
      <c r="G22" s="132" t="e">
        <f>#REF!/#REF!</f>
        <v>#REF!</v>
      </c>
      <c r="H22" s="39" t="e">
        <f>MIN(#REF!,#REF!)</f>
        <v>#REF!</v>
      </c>
      <c r="I22" s="132" t="e">
        <f ca="1">MIN(OFFSET(#REF!,1,0)/#REF!,1)</f>
        <v>#REF!</v>
      </c>
      <c r="J22" s="39" t="e">
        <f>SUM(#REF!,#REF!,#REF!,#REF!)*building_employment +#REF!* bonus_jobs_facts</f>
        <v>#REF!</v>
      </c>
      <c r="K22" s="133"/>
      <c r="L22" s="61" t="e">
        <f>#REF!</f>
        <v>#REF!</v>
      </c>
      <c r="M22" s="61" t="e">
        <f>#REF!</f>
        <v>#REF!</v>
      </c>
      <c r="N22" s="61" t="e">
        <f>#REF!</f>
        <v>#REF!</v>
      </c>
      <c r="O22" s="61" t="e">
        <f>#REF!</f>
        <v>#REF!</v>
      </c>
      <c r="P22" s="61" t="e">
        <f>#REF!</f>
        <v>#REF!</v>
      </c>
      <c r="Q22" s="61" t="e">
        <f>#REF!</f>
        <v>#REF!</v>
      </c>
      <c r="R22" s="61" t="e">
        <f>#REF!</f>
        <v>#REF!</v>
      </c>
      <c r="S22" s="61" t="e">
        <f>#REF!</f>
        <v>#REF!</v>
      </c>
      <c r="T22" s="134"/>
      <c r="U22" s="39" t="e">
        <f>ROUND(#REF!*(1+#REF!),0)+MIN(#REF!-#REF!-SUM(#REF!),(barracks_size + tech_8_3*#REF!)*#REF!)</f>
        <v>#REF!</v>
      </c>
      <c r="V22" s="39" t="e">
        <f>(#REF!+#REF!)*pop_in_home+(SUM(#REF!)+#REF!-#REF!)*pop_in_building+(SUM(#REF!)-#REF!*20)*pop_on_barren-(SUM(#REF!)-SUM(#REF!))*(15-pop_on_barren)-pop_on_barren*#REF!</f>
        <v>#REF!</v>
      </c>
      <c r="W22" s="39" t="e">
        <f ca="1">MAX(-5%*#REF!-#REF!,MIN(OFFSET(#REF!,1,0)-#REF!-#REF!-#REF!,#REF!-#REF!))</f>
        <v>#REF!</v>
      </c>
      <c r="X22" s="39" t="e">
        <f>ROUND(#REF!*(1+#REF!),0)</f>
        <v>#REF!</v>
      </c>
      <c r="Y22" s="39" t="e">
        <f>(#REF!-#REF!)*raw_pop_growth</f>
        <v>#REF!</v>
      </c>
      <c r="Z22" s="39" t="e">
        <f>IF(#REF!&lt;#REF!,ROUND(#REF!*Constants!$B$55,0), 0)</f>
        <v>#REF!</v>
      </c>
      <c r="AA22" s="134"/>
      <c r="AB22" s="135" t="e">
        <f ca="1">Overview!$I$16 + IF(Magic!AE22&gt;0,Constants!$F$78) + ROUND(6*(Construction!BM23+Construction!CK22)/IF(Explore!S23&gt;0,Construction!F23-20,Construction!F23),4) + tech_6_5_2*Techs!BJ22 + tech_8_4*Techs!BT22</f>
        <v>#REF!</v>
      </c>
      <c r="AC22" s="132" t="e">
        <f ca="1">(Overview!$I$15 + Imps!Z22+ tech_2_5*Techs!AB22 + tech_3_6*Techs!AM22 + tech_6_1*Techs!BJ22 + tech_6_5*Techs!BF22 + tech_7_3_2*Techs!BN22) * (1 + Production!O22/100*prestige_pop_multiplier) + Production!O22/100*prestige_pop_multiplier</f>
        <v>#REF!</v>
      </c>
    </row>
    <row r="23" spans="1:29" x14ac:dyDescent="0.25">
      <c r="A23" s="130" t="e">
        <f>#REF!</f>
        <v>#REF!</v>
      </c>
      <c r="B23" s="131" t="e">
        <f>#REF!</f>
        <v>#REF!</v>
      </c>
      <c r="C23" s="39" t="e">
        <f ca="1">OFFSET(#REF!,-1,0)+OFFSET(#REF!,-1,0)+#REF!</f>
        <v>#REF!</v>
      </c>
      <c r="D23" s="39" t="e">
        <f>#REF!</f>
        <v>#REF!</v>
      </c>
      <c r="E23" s="39" t="e">
        <f>#REF!</f>
        <v>#REF!</v>
      </c>
      <c r="F23" s="39" t="e">
        <f>#REF!+#REF!</f>
        <v>#REF!</v>
      </c>
      <c r="G23" s="132" t="e">
        <f>#REF!/#REF!</f>
        <v>#REF!</v>
      </c>
      <c r="H23" s="39" t="e">
        <f>MIN(#REF!,#REF!)</f>
        <v>#REF!</v>
      </c>
      <c r="I23" s="132" t="e">
        <f ca="1">MIN(OFFSET(#REF!,1,0)/#REF!,1)</f>
        <v>#REF!</v>
      </c>
      <c r="J23" s="39" t="e">
        <f>SUM(#REF!,#REF!,#REF!,#REF!)*building_employment +#REF!* bonus_jobs_facts</f>
        <v>#REF!</v>
      </c>
      <c r="K23" s="133"/>
      <c r="L23" s="61" t="e">
        <f>#REF!</f>
        <v>#REF!</v>
      </c>
      <c r="M23" s="61" t="e">
        <f>#REF!</f>
        <v>#REF!</v>
      </c>
      <c r="N23" s="61" t="e">
        <f>#REF!</f>
        <v>#REF!</v>
      </c>
      <c r="O23" s="61" t="e">
        <f>#REF!</f>
        <v>#REF!</v>
      </c>
      <c r="P23" s="61" t="e">
        <f>#REF!</f>
        <v>#REF!</v>
      </c>
      <c r="Q23" s="61" t="e">
        <f>#REF!</f>
        <v>#REF!</v>
      </c>
      <c r="R23" s="61" t="e">
        <f>#REF!</f>
        <v>#REF!</v>
      </c>
      <c r="S23" s="61" t="e">
        <f>#REF!</f>
        <v>#REF!</v>
      </c>
      <c r="T23" s="134"/>
      <c r="U23" s="39" t="e">
        <f>ROUND(#REF!*(1+#REF!),0)+MIN(#REF!-#REF!-SUM(#REF!),(barracks_size + tech_8_3*#REF!)*#REF!)</f>
        <v>#REF!</v>
      </c>
      <c r="V23" s="39" t="e">
        <f>(#REF!+#REF!)*pop_in_home+(SUM(#REF!)+#REF!-#REF!)*pop_in_building+(SUM(#REF!)-#REF!*20)*pop_on_barren-(SUM(#REF!)-SUM(#REF!))*(15-pop_on_barren)-pop_on_barren*#REF!</f>
        <v>#REF!</v>
      </c>
      <c r="W23" s="39" t="e">
        <f ca="1">MAX(-5%*#REF!-#REF!,MIN(OFFSET(#REF!,1,0)-#REF!-#REF!-#REF!,#REF!-#REF!))</f>
        <v>#REF!</v>
      </c>
      <c r="X23" s="39" t="e">
        <f>ROUND(#REF!*(1+#REF!),0)</f>
        <v>#REF!</v>
      </c>
      <c r="Y23" s="39" t="e">
        <f>(#REF!-#REF!)*raw_pop_growth</f>
        <v>#REF!</v>
      </c>
      <c r="Z23" s="39" t="e">
        <f>IF(#REF!&lt;#REF!,ROUND(#REF!*Constants!$B$55,0), 0)</f>
        <v>#REF!</v>
      </c>
      <c r="AA23" s="134"/>
      <c r="AB23" s="135" t="e">
        <f ca="1">Overview!$I$16 + IF(Magic!AE23&gt;0,Constants!$F$78) + ROUND(6*(Construction!BM24+Construction!CK23)/IF(Explore!S24&gt;0,Construction!F24-20,Construction!F24),4) + tech_6_5_2*Techs!BJ23 + tech_8_4*Techs!BT23</f>
        <v>#REF!</v>
      </c>
      <c r="AC23" s="132" t="e">
        <f ca="1">(Overview!$I$15 + Imps!Z23+ tech_2_5*Techs!AB23 + tech_3_6*Techs!AM23 + tech_6_1*Techs!BJ23 + tech_6_5*Techs!BF23 + tech_7_3_2*Techs!BN23) * (1 + Production!O23/100*prestige_pop_multiplier) + Production!O23/100*prestige_pop_multiplier</f>
        <v>#REF!</v>
      </c>
    </row>
    <row r="24" spans="1:29" x14ac:dyDescent="0.25">
      <c r="A24" s="130" t="e">
        <f>#REF!</f>
        <v>#REF!</v>
      </c>
      <c r="B24" s="131" t="e">
        <f>#REF!</f>
        <v>#REF!</v>
      </c>
      <c r="C24" s="39" t="e">
        <f ca="1">OFFSET(#REF!,-1,0)+OFFSET(#REF!,-1,0)+#REF!</f>
        <v>#REF!</v>
      </c>
      <c r="D24" s="39" t="e">
        <f>#REF!</f>
        <v>#REF!</v>
      </c>
      <c r="E24" s="39" t="e">
        <f>#REF!</f>
        <v>#REF!</v>
      </c>
      <c r="F24" s="39" t="e">
        <f>#REF!+#REF!</f>
        <v>#REF!</v>
      </c>
      <c r="G24" s="132" t="e">
        <f>#REF!/#REF!</f>
        <v>#REF!</v>
      </c>
      <c r="H24" s="39" t="e">
        <f>MIN(#REF!,#REF!)</f>
        <v>#REF!</v>
      </c>
      <c r="I24" s="132" t="e">
        <f ca="1">MIN(OFFSET(#REF!,1,0)/#REF!,1)</f>
        <v>#REF!</v>
      </c>
      <c r="J24" s="39" t="e">
        <f>SUM(#REF!,#REF!,#REF!,#REF!)*building_employment +#REF!* bonus_jobs_facts</f>
        <v>#REF!</v>
      </c>
      <c r="K24" s="133"/>
      <c r="L24" s="61" t="e">
        <f>#REF!</f>
        <v>#REF!</v>
      </c>
      <c r="M24" s="61" t="e">
        <f>#REF!</f>
        <v>#REF!</v>
      </c>
      <c r="N24" s="61" t="e">
        <f>#REF!</f>
        <v>#REF!</v>
      </c>
      <c r="O24" s="61" t="e">
        <f>#REF!</f>
        <v>#REF!</v>
      </c>
      <c r="P24" s="61" t="e">
        <f>#REF!</f>
        <v>#REF!</v>
      </c>
      <c r="Q24" s="61" t="e">
        <f>#REF!</f>
        <v>#REF!</v>
      </c>
      <c r="R24" s="61" t="e">
        <f>#REF!</f>
        <v>#REF!</v>
      </c>
      <c r="S24" s="61" t="e">
        <f>#REF!</f>
        <v>#REF!</v>
      </c>
      <c r="T24" s="134"/>
      <c r="U24" s="39" t="e">
        <f>ROUND(#REF!*(1+#REF!),0)+MIN(#REF!-#REF!-SUM(#REF!),(barracks_size + tech_8_3*#REF!)*#REF!)</f>
        <v>#REF!</v>
      </c>
      <c r="V24" s="39" t="e">
        <f>(#REF!+#REF!)*pop_in_home+(SUM(#REF!)+#REF!-#REF!)*pop_in_building+(SUM(#REF!)-#REF!*20)*pop_on_barren-(SUM(#REF!)-SUM(#REF!))*(15-pop_on_barren)-pop_on_barren*#REF!</f>
        <v>#REF!</v>
      </c>
      <c r="W24" s="39" t="e">
        <f ca="1">MAX(-5%*#REF!-#REF!,MIN(OFFSET(#REF!,1,0)-#REF!-#REF!-#REF!,#REF!-#REF!))</f>
        <v>#REF!</v>
      </c>
      <c r="X24" s="39" t="e">
        <f>ROUND(#REF!*(1+#REF!),0)</f>
        <v>#REF!</v>
      </c>
      <c r="Y24" s="39" t="e">
        <f>(#REF!-#REF!)*raw_pop_growth</f>
        <v>#REF!</v>
      </c>
      <c r="Z24" s="39" t="e">
        <f>IF(#REF!&lt;#REF!,ROUND(#REF!*Constants!$B$55,0), 0)</f>
        <v>#REF!</v>
      </c>
      <c r="AA24" s="134"/>
      <c r="AB24" s="135" t="e">
        <f ca="1">Overview!$I$16 + IF(Magic!AE24&gt;0,Constants!$F$78) + ROUND(6*(Construction!BM25+Construction!CK24)/IF(Explore!S25&gt;0,Construction!F25-20,Construction!F25),4) + tech_6_5_2*Techs!BJ24 + tech_8_4*Techs!BT24</f>
        <v>#REF!</v>
      </c>
      <c r="AC24" s="132" t="e">
        <f ca="1">(Overview!$I$15 + Imps!Z24+ tech_2_5*Techs!AB24 + tech_3_6*Techs!AM24 + tech_6_1*Techs!BJ24 + tech_6_5*Techs!BF24 + tech_7_3_2*Techs!BN24) * (1 + Production!O24/100*prestige_pop_multiplier) + Production!O24/100*prestige_pop_multiplier</f>
        <v>#REF!</v>
      </c>
    </row>
    <row r="25" spans="1:29" x14ac:dyDescent="0.25">
      <c r="A25" s="130" t="e">
        <f>#REF!</f>
        <v>#REF!</v>
      </c>
      <c r="B25" s="131" t="e">
        <f>#REF!</f>
        <v>#REF!</v>
      </c>
      <c r="C25" s="39" t="e">
        <f ca="1">OFFSET(#REF!,-1,0)+OFFSET(#REF!,-1,0)+#REF!</f>
        <v>#REF!</v>
      </c>
      <c r="D25" s="39" t="e">
        <f>#REF!</f>
        <v>#REF!</v>
      </c>
      <c r="E25" s="39" t="e">
        <f>#REF!</f>
        <v>#REF!</v>
      </c>
      <c r="F25" s="39" t="e">
        <f>#REF!+#REF!</f>
        <v>#REF!</v>
      </c>
      <c r="G25" s="132" t="e">
        <f>#REF!/#REF!</f>
        <v>#REF!</v>
      </c>
      <c r="H25" s="39" t="e">
        <f>MIN(#REF!,#REF!)</f>
        <v>#REF!</v>
      </c>
      <c r="I25" s="132" t="e">
        <f ca="1">MIN(OFFSET(#REF!,1,0)/#REF!,1)</f>
        <v>#REF!</v>
      </c>
      <c r="J25" s="39" t="e">
        <f>SUM(#REF!,#REF!,#REF!,#REF!)*building_employment +#REF!* bonus_jobs_facts</f>
        <v>#REF!</v>
      </c>
      <c r="K25" s="133"/>
      <c r="L25" s="61" t="e">
        <f>#REF!</f>
        <v>#REF!</v>
      </c>
      <c r="M25" s="61" t="e">
        <f>#REF!</f>
        <v>#REF!</v>
      </c>
      <c r="N25" s="61" t="e">
        <f>#REF!</f>
        <v>#REF!</v>
      </c>
      <c r="O25" s="61" t="e">
        <f>#REF!</f>
        <v>#REF!</v>
      </c>
      <c r="P25" s="61" t="e">
        <f>#REF!</f>
        <v>#REF!</v>
      </c>
      <c r="Q25" s="61" t="e">
        <f>#REF!</f>
        <v>#REF!</v>
      </c>
      <c r="R25" s="61" t="e">
        <f>#REF!</f>
        <v>#REF!</v>
      </c>
      <c r="S25" s="61" t="e">
        <f>#REF!</f>
        <v>#REF!</v>
      </c>
      <c r="T25" s="134"/>
      <c r="U25" s="39" t="e">
        <f>ROUND(#REF!*(1+#REF!),0)+MIN(#REF!-#REF!-SUM(#REF!),(barracks_size + tech_8_3*#REF!)*#REF!)</f>
        <v>#REF!</v>
      </c>
      <c r="V25" s="39" t="e">
        <f>(#REF!+#REF!)*pop_in_home+(SUM(#REF!)+#REF!-#REF!)*pop_in_building+(SUM(#REF!)-#REF!*20)*pop_on_barren-(SUM(#REF!)-SUM(#REF!))*(15-pop_on_barren)-pop_on_barren*#REF!</f>
        <v>#REF!</v>
      </c>
      <c r="W25" s="39" t="e">
        <f ca="1">MAX(-5%*#REF!-#REF!,MIN(OFFSET(#REF!,1,0)-#REF!-#REF!-#REF!,#REF!-#REF!))</f>
        <v>#REF!</v>
      </c>
      <c r="X25" s="39" t="e">
        <f>ROUND(#REF!*(1+#REF!),0)</f>
        <v>#REF!</v>
      </c>
      <c r="Y25" s="39" t="e">
        <f>(#REF!-#REF!)*raw_pop_growth</f>
        <v>#REF!</v>
      </c>
      <c r="Z25" s="39" t="e">
        <f>IF(#REF!&lt;#REF!,ROUND(#REF!*Constants!$B$55,0), 0)</f>
        <v>#REF!</v>
      </c>
      <c r="AA25" s="134"/>
      <c r="AB25" s="135" t="e">
        <f ca="1">Overview!$I$16 + IF(Magic!AE25&gt;0,Constants!$F$78) + ROUND(6*(Construction!BM26+Construction!CK25)/IF(Explore!S26&gt;0,Construction!F26-20,Construction!F26),4) + tech_6_5_2*Techs!BJ25 + tech_8_4*Techs!BT25</f>
        <v>#REF!</v>
      </c>
      <c r="AC25" s="132" t="e">
        <f ca="1">(Overview!$I$15 + Imps!Z25+ tech_2_5*Techs!AB25 + tech_3_6*Techs!AM25 + tech_6_1*Techs!BJ25 + tech_6_5*Techs!BF25 + tech_7_3_2*Techs!BN25) * (1 + Production!O25/100*prestige_pop_multiplier) + Production!O25/100*prestige_pop_multiplier</f>
        <v>#REF!</v>
      </c>
    </row>
    <row r="26" spans="1:29" x14ac:dyDescent="0.25">
      <c r="A26" s="130" t="e">
        <f>#REF!</f>
        <v>#REF!</v>
      </c>
      <c r="B26" s="131" t="e">
        <f>#REF!</f>
        <v>#REF!</v>
      </c>
      <c r="C26" s="39" t="e">
        <f ca="1">OFFSET(#REF!,-1,0)+OFFSET(#REF!,-1,0)+#REF!</f>
        <v>#REF!</v>
      </c>
      <c r="D26" s="39" t="e">
        <f>#REF!</f>
        <v>#REF!</v>
      </c>
      <c r="E26" s="39" t="e">
        <f>#REF!</f>
        <v>#REF!</v>
      </c>
      <c r="F26" s="39" t="e">
        <f>#REF!+#REF!</f>
        <v>#REF!</v>
      </c>
      <c r="G26" s="132" t="e">
        <f>#REF!/#REF!</f>
        <v>#REF!</v>
      </c>
      <c r="H26" s="39" t="e">
        <f>MIN(#REF!,#REF!)</f>
        <v>#REF!</v>
      </c>
      <c r="I26" s="132" t="e">
        <f ca="1">MIN(OFFSET(#REF!,1,0)/#REF!,1)</f>
        <v>#REF!</v>
      </c>
      <c r="J26" s="39" t="e">
        <f>SUM(#REF!,#REF!,#REF!,#REF!)*building_employment +#REF!* bonus_jobs_facts</f>
        <v>#REF!</v>
      </c>
      <c r="K26" s="133"/>
      <c r="L26" s="61" t="e">
        <f>#REF!</f>
        <v>#REF!</v>
      </c>
      <c r="M26" s="61" t="e">
        <f>#REF!</f>
        <v>#REF!</v>
      </c>
      <c r="N26" s="61" t="e">
        <f>#REF!</f>
        <v>#REF!</v>
      </c>
      <c r="O26" s="61" t="e">
        <f>#REF!</f>
        <v>#REF!</v>
      </c>
      <c r="P26" s="61" t="e">
        <f>#REF!</f>
        <v>#REF!</v>
      </c>
      <c r="Q26" s="61" t="e">
        <f>#REF!</f>
        <v>#REF!</v>
      </c>
      <c r="R26" s="61" t="e">
        <f>#REF!</f>
        <v>#REF!</v>
      </c>
      <c r="S26" s="61" t="e">
        <f>#REF!</f>
        <v>#REF!</v>
      </c>
      <c r="T26" s="134"/>
      <c r="U26" s="39" t="e">
        <f>ROUND(#REF!*(1+#REF!),0)+MIN(#REF!-#REF!-SUM(#REF!),(barracks_size + tech_8_3*#REF!)*#REF!)</f>
        <v>#REF!</v>
      </c>
      <c r="V26" s="39" t="e">
        <f>(#REF!+#REF!)*pop_in_home+(SUM(#REF!)+#REF!-#REF!)*pop_in_building+(SUM(#REF!)-#REF!*20)*pop_on_barren-(SUM(#REF!)-SUM(#REF!))*(15-pop_on_barren)-pop_on_barren*#REF!</f>
        <v>#REF!</v>
      </c>
      <c r="W26" s="39" t="e">
        <f ca="1">MAX(-5%*#REF!-#REF!,MIN(OFFSET(#REF!,1,0)-#REF!-#REF!-#REF!,#REF!-#REF!))</f>
        <v>#REF!</v>
      </c>
      <c r="X26" s="39" t="e">
        <f>ROUND(#REF!*(1+#REF!),0)</f>
        <v>#REF!</v>
      </c>
      <c r="Y26" s="39" t="e">
        <f>(#REF!-#REF!)*raw_pop_growth</f>
        <v>#REF!</v>
      </c>
      <c r="Z26" s="39" t="e">
        <f>IF(#REF!&lt;#REF!,ROUND(#REF!*Constants!$B$55,0), 0)</f>
        <v>#REF!</v>
      </c>
      <c r="AA26" s="134"/>
      <c r="AB26" s="135" t="e">
        <f ca="1">Overview!$I$16 + IF(Magic!AE26&gt;0,Constants!$F$78) + ROUND(6*(Construction!BM27+Construction!CK26)/IF(Explore!S27&gt;0,Construction!F27-20,Construction!F27),4) + tech_6_5_2*Techs!BJ26 + tech_8_4*Techs!BT26</f>
        <v>#REF!</v>
      </c>
      <c r="AC26" s="132" t="e">
        <f ca="1">(Overview!$I$15 + Imps!Z26+ tech_2_5*Techs!AB26 + tech_3_6*Techs!AM26 + tech_6_1*Techs!BJ26 + tech_6_5*Techs!BF26 + tech_7_3_2*Techs!BN26) * (1 + Production!O26/100*prestige_pop_multiplier) + Production!O26/100*prestige_pop_multiplier</f>
        <v>#REF!</v>
      </c>
    </row>
    <row r="27" spans="1:29" x14ac:dyDescent="0.25">
      <c r="A27" s="130" t="e">
        <f>#REF!</f>
        <v>#REF!</v>
      </c>
      <c r="B27" s="131" t="e">
        <f>#REF!</f>
        <v>#REF!</v>
      </c>
      <c r="C27" s="39" t="e">
        <f ca="1">OFFSET(#REF!,-1,0)+OFFSET(#REF!,-1,0)+#REF!</f>
        <v>#REF!</v>
      </c>
      <c r="D27" s="39" t="e">
        <f>#REF!</f>
        <v>#REF!</v>
      </c>
      <c r="E27" s="39" t="e">
        <f>#REF!</f>
        <v>#REF!</v>
      </c>
      <c r="F27" s="39" t="e">
        <f>#REF!+#REF!</f>
        <v>#REF!</v>
      </c>
      <c r="G27" s="132" t="e">
        <f>#REF!/#REF!</f>
        <v>#REF!</v>
      </c>
      <c r="H27" s="39" t="e">
        <f>MIN(#REF!,#REF!)</f>
        <v>#REF!</v>
      </c>
      <c r="I27" s="132" t="e">
        <f ca="1">MIN(OFFSET(#REF!,1,0)/#REF!,1)</f>
        <v>#REF!</v>
      </c>
      <c r="J27" s="39" t="e">
        <f>SUM(#REF!,#REF!,#REF!,#REF!)*building_employment +#REF!* bonus_jobs_facts</f>
        <v>#REF!</v>
      </c>
      <c r="K27" s="133"/>
      <c r="L27" s="61" t="e">
        <f>#REF!</f>
        <v>#REF!</v>
      </c>
      <c r="M27" s="61" t="e">
        <f>#REF!</f>
        <v>#REF!</v>
      </c>
      <c r="N27" s="61" t="e">
        <f>#REF!</f>
        <v>#REF!</v>
      </c>
      <c r="O27" s="61" t="e">
        <f>#REF!</f>
        <v>#REF!</v>
      </c>
      <c r="P27" s="61" t="e">
        <f>#REF!</f>
        <v>#REF!</v>
      </c>
      <c r="Q27" s="61" t="e">
        <f>#REF!</f>
        <v>#REF!</v>
      </c>
      <c r="R27" s="61" t="e">
        <f>#REF!</f>
        <v>#REF!</v>
      </c>
      <c r="S27" s="61" t="e">
        <f>#REF!</f>
        <v>#REF!</v>
      </c>
      <c r="T27" s="134"/>
      <c r="U27" s="39" t="e">
        <f>ROUND(#REF!*(1+#REF!),0)+MIN(#REF!-#REF!-SUM(#REF!),(barracks_size + tech_8_3*#REF!)*#REF!)</f>
        <v>#REF!</v>
      </c>
      <c r="V27" s="39" t="e">
        <f>(#REF!+#REF!)*pop_in_home+(SUM(#REF!)+#REF!-#REF!)*pop_in_building+(SUM(#REF!)-#REF!*20)*pop_on_barren-(SUM(#REF!)-SUM(#REF!))*(15-pop_on_barren)-pop_on_barren*#REF!</f>
        <v>#REF!</v>
      </c>
      <c r="W27" s="39" t="e">
        <f ca="1">MAX(-5%*#REF!-#REF!,MIN(OFFSET(#REF!,1,0)-#REF!-#REF!-#REF!,#REF!-#REF!))</f>
        <v>#REF!</v>
      </c>
      <c r="X27" s="39" t="e">
        <f>ROUND(#REF!*(1+#REF!),0)</f>
        <v>#REF!</v>
      </c>
      <c r="Y27" s="39" t="e">
        <f>(#REF!-#REF!)*raw_pop_growth</f>
        <v>#REF!</v>
      </c>
      <c r="Z27" s="39" t="e">
        <f>IF(#REF!&lt;#REF!,ROUND(#REF!*Constants!$B$55,0), 0)</f>
        <v>#REF!</v>
      </c>
      <c r="AA27" s="134"/>
      <c r="AB27" s="135" t="e">
        <f ca="1">Overview!$I$16 + IF(Magic!AE27&gt;0,Constants!$F$78) + ROUND(6*(Construction!BM28+Construction!CK27)/IF(Explore!S28&gt;0,Construction!F28-20,Construction!F28),4) + tech_6_5_2*Techs!BJ27 + tech_8_4*Techs!BT27</f>
        <v>#REF!</v>
      </c>
      <c r="AC27" s="132" t="e">
        <f ca="1">(Overview!$I$15 + Imps!Z27+ tech_2_5*Techs!AB27 + tech_3_6*Techs!AM27 + tech_6_1*Techs!BJ27 + tech_6_5*Techs!BF27 + tech_7_3_2*Techs!BN27) * (1 + Production!O27/100*prestige_pop_multiplier) + Production!O27/100*prestige_pop_multiplier</f>
        <v>#REF!</v>
      </c>
    </row>
    <row r="28" spans="1:29" x14ac:dyDescent="0.25">
      <c r="A28" s="130" t="e">
        <f>#REF!</f>
        <v>#REF!</v>
      </c>
      <c r="B28" s="131" t="e">
        <f>#REF!</f>
        <v>#REF!</v>
      </c>
      <c r="C28" s="39" t="e">
        <f ca="1">OFFSET(#REF!,-1,0)+OFFSET(#REF!,-1,0)+#REF!</f>
        <v>#REF!</v>
      </c>
      <c r="D28" s="39" t="e">
        <f>#REF!</f>
        <v>#REF!</v>
      </c>
      <c r="E28" s="39" t="e">
        <f>#REF!</f>
        <v>#REF!</v>
      </c>
      <c r="F28" s="39" t="e">
        <f>#REF!+#REF!</f>
        <v>#REF!</v>
      </c>
      <c r="G28" s="132" t="e">
        <f>#REF!/#REF!</f>
        <v>#REF!</v>
      </c>
      <c r="H28" s="39" t="e">
        <f>MIN(#REF!,#REF!)</f>
        <v>#REF!</v>
      </c>
      <c r="I28" s="132" t="e">
        <f ca="1">MIN(OFFSET(#REF!,1,0)/#REF!,1)</f>
        <v>#REF!</v>
      </c>
      <c r="J28" s="39" t="e">
        <f>SUM(#REF!,#REF!,#REF!,#REF!)*building_employment +#REF!* bonus_jobs_facts</f>
        <v>#REF!</v>
      </c>
      <c r="K28" s="133"/>
      <c r="L28" s="61" t="e">
        <f>#REF!</f>
        <v>#REF!</v>
      </c>
      <c r="M28" s="61" t="e">
        <f>#REF!</f>
        <v>#REF!</v>
      </c>
      <c r="N28" s="61" t="e">
        <f>#REF!</f>
        <v>#REF!</v>
      </c>
      <c r="O28" s="61" t="e">
        <f>#REF!</f>
        <v>#REF!</v>
      </c>
      <c r="P28" s="61" t="e">
        <f>#REF!</f>
        <v>#REF!</v>
      </c>
      <c r="Q28" s="61" t="e">
        <f>#REF!</f>
        <v>#REF!</v>
      </c>
      <c r="R28" s="61" t="e">
        <f>#REF!</f>
        <v>#REF!</v>
      </c>
      <c r="S28" s="61" t="e">
        <f>#REF!</f>
        <v>#REF!</v>
      </c>
      <c r="T28" s="134"/>
      <c r="U28" s="39" t="e">
        <f>ROUND(#REF!*(1+#REF!),0)+MIN(#REF!-#REF!-SUM(#REF!),(barracks_size + tech_8_3*#REF!)*#REF!)</f>
        <v>#REF!</v>
      </c>
      <c r="V28" s="39" t="e">
        <f>(#REF!+#REF!)*pop_in_home+(SUM(#REF!)+#REF!-#REF!)*pop_in_building+(SUM(#REF!)-#REF!*20)*pop_on_barren-(SUM(#REF!)-SUM(#REF!))*(15-pop_on_barren)-pop_on_barren*#REF!</f>
        <v>#REF!</v>
      </c>
      <c r="W28" s="39" t="e">
        <f ca="1">MAX(-5%*#REF!-#REF!,MIN(OFFSET(#REF!,1,0)-#REF!-#REF!-#REF!,#REF!-#REF!))</f>
        <v>#REF!</v>
      </c>
      <c r="X28" s="39" t="e">
        <f>ROUND(#REF!*(1+#REF!),0)</f>
        <v>#REF!</v>
      </c>
      <c r="Y28" s="39" t="e">
        <f>(#REF!-#REF!)*raw_pop_growth</f>
        <v>#REF!</v>
      </c>
      <c r="Z28" s="39" t="e">
        <f>IF(#REF!&lt;#REF!,ROUND(#REF!*Constants!$B$55,0), 0)</f>
        <v>#REF!</v>
      </c>
      <c r="AA28" s="134"/>
      <c r="AB28" s="135" t="e">
        <f ca="1">Overview!$I$16 + IF(Magic!AE28&gt;0,Constants!$F$78) + ROUND(6*(Construction!BM29+Construction!CK28)/IF(Explore!S29&gt;0,Construction!F29-20,Construction!F29),4) + tech_6_5_2*Techs!BJ28 + tech_8_4*Techs!BT28</f>
        <v>#REF!</v>
      </c>
      <c r="AC28" s="132" t="e">
        <f ca="1">(Overview!$I$15 + Imps!Z28+ tech_2_5*Techs!AB28 + tech_3_6*Techs!AM28 + tech_6_1*Techs!BJ28 + tech_6_5*Techs!BF28 + tech_7_3_2*Techs!BN28) * (1 + Production!O28/100*prestige_pop_multiplier) + Production!O28/100*prestige_pop_multiplier</f>
        <v>#REF!</v>
      </c>
    </row>
    <row r="29" spans="1:29" x14ac:dyDescent="0.25">
      <c r="A29" s="130" t="e">
        <f>#REF!</f>
        <v>#REF!</v>
      </c>
      <c r="B29" s="131" t="e">
        <f>#REF!</f>
        <v>#REF!</v>
      </c>
      <c r="C29" s="39" t="e">
        <f ca="1">OFFSET(#REF!,-1,0)+OFFSET(#REF!,-1,0)+#REF!</f>
        <v>#REF!</v>
      </c>
      <c r="D29" s="39" t="e">
        <f>#REF!</f>
        <v>#REF!</v>
      </c>
      <c r="E29" s="39" t="e">
        <f>#REF!</f>
        <v>#REF!</v>
      </c>
      <c r="F29" s="39" t="e">
        <f>#REF!+#REF!</f>
        <v>#REF!</v>
      </c>
      <c r="G29" s="132" t="e">
        <f>#REF!/#REF!</f>
        <v>#REF!</v>
      </c>
      <c r="H29" s="39" t="e">
        <f>MIN(#REF!,#REF!)</f>
        <v>#REF!</v>
      </c>
      <c r="I29" s="132" t="e">
        <f ca="1">MIN(OFFSET(#REF!,1,0)/#REF!,1)</f>
        <v>#REF!</v>
      </c>
      <c r="J29" s="39" t="e">
        <f>SUM(#REF!,#REF!,#REF!,#REF!)*building_employment +#REF!* bonus_jobs_facts</f>
        <v>#REF!</v>
      </c>
      <c r="K29" s="133"/>
      <c r="L29" s="61" t="e">
        <f>#REF!</f>
        <v>#REF!</v>
      </c>
      <c r="M29" s="61" t="e">
        <f>#REF!</f>
        <v>#REF!</v>
      </c>
      <c r="N29" s="61" t="e">
        <f>#REF!</f>
        <v>#REF!</v>
      </c>
      <c r="O29" s="61" t="e">
        <f>#REF!</f>
        <v>#REF!</v>
      </c>
      <c r="P29" s="61" t="e">
        <f>#REF!</f>
        <v>#REF!</v>
      </c>
      <c r="Q29" s="61" t="e">
        <f>#REF!</f>
        <v>#REF!</v>
      </c>
      <c r="R29" s="61" t="e">
        <f>#REF!</f>
        <v>#REF!</v>
      </c>
      <c r="S29" s="61" t="e">
        <f>#REF!</f>
        <v>#REF!</v>
      </c>
      <c r="T29" s="134"/>
      <c r="U29" s="39" t="e">
        <f>ROUND(#REF!*(1+#REF!),0)+MIN(#REF!-#REF!-SUM(#REF!),(barracks_size + tech_8_3*#REF!)*#REF!)</f>
        <v>#REF!</v>
      </c>
      <c r="V29" s="39" t="e">
        <f>(#REF!+#REF!)*pop_in_home+(SUM(#REF!)+#REF!-#REF!)*pop_in_building+(SUM(#REF!)-#REF!*20)*pop_on_barren-(SUM(#REF!)-SUM(#REF!))*(15-pop_on_barren)-pop_on_barren*#REF!</f>
        <v>#REF!</v>
      </c>
      <c r="W29" s="39" t="e">
        <f ca="1">MAX(-5%*#REF!-#REF!,MIN(OFFSET(#REF!,1,0)-#REF!-#REF!-#REF!,#REF!-#REF!))</f>
        <v>#REF!</v>
      </c>
      <c r="X29" s="39" t="e">
        <f>ROUND(#REF!*(1+#REF!),0)</f>
        <v>#REF!</v>
      </c>
      <c r="Y29" s="39" t="e">
        <f>(#REF!-#REF!)*raw_pop_growth</f>
        <v>#REF!</v>
      </c>
      <c r="Z29" s="39" t="e">
        <f>IF(#REF!&lt;#REF!,ROUND(#REF!*Constants!$B$55,0), 0)</f>
        <v>#REF!</v>
      </c>
      <c r="AA29" s="134"/>
      <c r="AB29" s="135" t="e">
        <f ca="1">Overview!$I$16 + IF(Magic!AE29&gt;0,Constants!$F$78) + ROUND(6*(Construction!BM30+Construction!CK29)/IF(Explore!S30&gt;0,Construction!F30-20,Construction!F30),4) + tech_6_5_2*Techs!BJ29 + tech_8_4*Techs!BT29</f>
        <v>#REF!</v>
      </c>
      <c r="AC29" s="132" t="e">
        <f ca="1">(Overview!$I$15 + Imps!Z29+ tech_2_5*Techs!AB29 + tech_3_6*Techs!AM29 + tech_6_1*Techs!BJ29 + tech_6_5*Techs!BF29 + tech_7_3_2*Techs!BN29) * (1 + Production!O29/100*prestige_pop_multiplier) + Production!O29/100*prestige_pop_multiplier</f>
        <v>#REF!</v>
      </c>
    </row>
    <row r="30" spans="1:29" x14ac:dyDescent="0.25">
      <c r="A30" s="130" t="e">
        <f>#REF!</f>
        <v>#REF!</v>
      </c>
      <c r="B30" s="131" t="e">
        <f>#REF!</f>
        <v>#REF!</v>
      </c>
      <c r="C30" s="39" t="e">
        <f ca="1">OFFSET(#REF!,-1,0)+OFFSET(#REF!,-1,0)+#REF!</f>
        <v>#REF!</v>
      </c>
      <c r="D30" s="39" t="e">
        <f>#REF!</f>
        <v>#REF!</v>
      </c>
      <c r="E30" s="39" t="e">
        <f>#REF!</f>
        <v>#REF!</v>
      </c>
      <c r="F30" s="39" t="e">
        <f>#REF!+#REF!</f>
        <v>#REF!</v>
      </c>
      <c r="G30" s="132" t="e">
        <f>#REF!/#REF!</f>
        <v>#REF!</v>
      </c>
      <c r="H30" s="39" t="e">
        <f>MIN(#REF!,#REF!)</f>
        <v>#REF!</v>
      </c>
      <c r="I30" s="132" t="e">
        <f ca="1">MIN(OFFSET(#REF!,1,0)/#REF!,1)</f>
        <v>#REF!</v>
      </c>
      <c r="J30" s="39" t="e">
        <f>SUM(#REF!,#REF!,#REF!,#REF!)*building_employment +#REF!* bonus_jobs_facts</f>
        <v>#REF!</v>
      </c>
      <c r="K30" s="133"/>
      <c r="L30" s="61" t="e">
        <f>#REF!</f>
        <v>#REF!</v>
      </c>
      <c r="M30" s="61" t="e">
        <f>#REF!</f>
        <v>#REF!</v>
      </c>
      <c r="N30" s="61" t="e">
        <f>#REF!</f>
        <v>#REF!</v>
      </c>
      <c r="O30" s="61" t="e">
        <f>#REF!</f>
        <v>#REF!</v>
      </c>
      <c r="P30" s="61" t="e">
        <f>#REF!</f>
        <v>#REF!</v>
      </c>
      <c r="Q30" s="61" t="e">
        <f>#REF!</f>
        <v>#REF!</v>
      </c>
      <c r="R30" s="61" t="e">
        <f>#REF!</f>
        <v>#REF!</v>
      </c>
      <c r="S30" s="61" t="e">
        <f>#REF!</f>
        <v>#REF!</v>
      </c>
      <c r="T30" s="134"/>
      <c r="U30" s="39" t="e">
        <f>ROUND(#REF!*(1+#REF!),0)+MIN(#REF!-#REF!-SUM(#REF!),(barracks_size + tech_8_3*#REF!)*#REF!)</f>
        <v>#REF!</v>
      </c>
      <c r="V30" s="39" t="e">
        <f>(#REF!+#REF!)*pop_in_home+(SUM(#REF!)+#REF!-#REF!)*pop_in_building+(SUM(#REF!)-#REF!*20)*pop_on_barren-(SUM(#REF!)-SUM(#REF!))*(15-pop_on_barren)-pop_on_barren*#REF!</f>
        <v>#REF!</v>
      </c>
      <c r="W30" s="39" t="e">
        <f ca="1">MAX(-5%*#REF!-#REF!,MIN(OFFSET(#REF!,1,0)-#REF!-#REF!-#REF!,#REF!-#REF!))</f>
        <v>#REF!</v>
      </c>
      <c r="X30" s="39" t="e">
        <f>ROUND(#REF!*(1+#REF!),0)</f>
        <v>#REF!</v>
      </c>
      <c r="Y30" s="39" t="e">
        <f>(#REF!-#REF!)*raw_pop_growth</f>
        <v>#REF!</v>
      </c>
      <c r="Z30" s="39" t="e">
        <f>IF(#REF!&lt;#REF!,ROUND(#REF!*Constants!$B$55,0), 0)</f>
        <v>#REF!</v>
      </c>
      <c r="AA30" s="134"/>
      <c r="AB30" s="135" t="e">
        <f ca="1">Overview!$I$16 + IF(Magic!AE30&gt;0,Constants!$F$78) + ROUND(6*(Construction!BM31+Construction!CK30)/IF(Explore!S31&gt;0,Construction!F31-20,Construction!F31),4) + tech_6_5_2*Techs!BJ30 + tech_8_4*Techs!BT30</f>
        <v>#REF!</v>
      </c>
      <c r="AC30" s="132" t="e">
        <f ca="1">(Overview!$I$15 + Imps!Z30+ tech_2_5*Techs!AB30 + tech_3_6*Techs!AM30 + tech_6_1*Techs!BJ30 + tech_6_5*Techs!BF30 + tech_7_3_2*Techs!BN30) * (1 + Production!O30/100*prestige_pop_multiplier) + Production!O30/100*prestige_pop_multiplier</f>
        <v>#REF!</v>
      </c>
    </row>
    <row r="31" spans="1:29" x14ac:dyDescent="0.25">
      <c r="A31" s="130" t="e">
        <f>#REF!</f>
        <v>#REF!</v>
      </c>
      <c r="B31" s="131" t="e">
        <f>#REF!</f>
        <v>#REF!</v>
      </c>
      <c r="C31" s="39" t="e">
        <f ca="1">OFFSET(#REF!,-1,0)+OFFSET(#REF!,-1,0)+#REF!</f>
        <v>#REF!</v>
      </c>
      <c r="D31" s="39" t="e">
        <f>#REF!</f>
        <v>#REF!</v>
      </c>
      <c r="E31" s="39" t="e">
        <f>#REF!</f>
        <v>#REF!</v>
      </c>
      <c r="F31" s="39" t="e">
        <f>#REF!+#REF!</f>
        <v>#REF!</v>
      </c>
      <c r="G31" s="132" t="e">
        <f>#REF!/#REF!</f>
        <v>#REF!</v>
      </c>
      <c r="H31" s="39" t="e">
        <f>MIN(#REF!,#REF!)</f>
        <v>#REF!</v>
      </c>
      <c r="I31" s="132" t="e">
        <f ca="1">MIN(OFFSET(#REF!,1,0)/#REF!,1)</f>
        <v>#REF!</v>
      </c>
      <c r="J31" s="39" t="e">
        <f>SUM(#REF!,#REF!,#REF!,#REF!)*building_employment +#REF!* bonus_jobs_facts</f>
        <v>#REF!</v>
      </c>
      <c r="K31" s="133"/>
      <c r="L31" s="61" t="e">
        <f>#REF!</f>
        <v>#REF!</v>
      </c>
      <c r="M31" s="61" t="e">
        <f>#REF!</f>
        <v>#REF!</v>
      </c>
      <c r="N31" s="61" t="e">
        <f>#REF!</f>
        <v>#REF!</v>
      </c>
      <c r="O31" s="61" t="e">
        <f>#REF!</f>
        <v>#REF!</v>
      </c>
      <c r="P31" s="61" t="e">
        <f>#REF!</f>
        <v>#REF!</v>
      </c>
      <c r="Q31" s="61" t="e">
        <f>#REF!</f>
        <v>#REF!</v>
      </c>
      <c r="R31" s="61" t="e">
        <f>#REF!</f>
        <v>#REF!</v>
      </c>
      <c r="S31" s="61" t="e">
        <f>#REF!</f>
        <v>#REF!</v>
      </c>
      <c r="T31" s="134"/>
      <c r="U31" s="39" t="e">
        <f>ROUND(#REF!*(1+#REF!),0)+MIN(#REF!-#REF!-SUM(#REF!),(barracks_size + tech_8_3*#REF!)*#REF!)</f>
        <v>#REF!</v>
      </c>
      <c r="V31" s="39" t="e">
        <f>(#REF!+#REF!)*pop_in_home+(SUM(#REF!)+#REF!-#REF!)*pop_in_building+(SUM(#REF!)-#REF!*20)*pop_on_barren-(SUM(#REF!)-SUM(#REF!))*(15-pop_on_barren)-pop_on_barren*#REF!</f>
        <v>#REF!</v>
      </c>
      <c r="W31" s="39" t="e">
        <f ca="1">MAX(-5%*#REF!-#REF!,MIN(OFFSET(#REF!,1,0)-#REF!-#REF!-#REF!,#REF!-#REF!))</f>
        <v>#REF!</v>
      </c>
      <c r="X31" s="39" t="e">
        <f>ROUND(#REF!*(1+#REF!),0)</f>
        <v>#REF!</v>
      </c>
      <c r="Y31" s="39" t="e">
        <f>(#REF!-#REF!)*raw_pop_growth</f>
        <v>#REF!</v>
      </c>
      <c r="Z31" s="39" t="e">
        <f>IF(#REF!&lt;#REF!,ROUND(#REF!*Constants!$B$55,0), 0)</f>
        <v>#REF!</v>
      </c>
      <c r="AA31" s="134"/>
      <c r="AB31" s="135" t="e">
        <f ca="1">Overview!$I$16 + IF(Magic!AE31&gt;0,Constants!$F$78) + ROUND(6*(Construction!BM32+Construction!CK31)/IF(Explore!S32&gt;0,Construction!F32-20,Construction!F32),4) + tech_6_5_2*Techs!BJ31 + tech_8_4*Techs!BT31</f>
        <v>#REF!</v>
      </c>
      <c r="AC31" s="132" t="e">
        <f ca="1">(Overview!$I$15 + Imps!Z31+ tech_2_5*Techs!AB31 + tech_3_6*Techs!AM31 + tech_6_1*Techs!BJ31 + tech_6_5*Techs!BF31 + tech_7_3_2*Techs!BN31) * (1 + Production!O31/100*prestige_pop_multiplier) + Production!O31/100*prestige_pop_multiplier</f>
        <v>#REF!</v>
      </c>
    </row>
    <row r="32" spans="1:29" x14ac:dyDescent="0.25">
      <c r="A32" s="130" t="e">
        <f>#REF!</f>
        <v>#REF!</v>
      </c>
      <c r="B32" s="131" t="e">
        <f>#REF!</f>
        <v>#REF!</v>
      </c>
      <c r="C32" s="39" t="e">
        <f ca="1">OFFSET(#REF!,-1,0)+OFFSET(#REF!,-1,0)+#REF!</f>
        <v>#REF!</v>
      </c>
      <c r="D32" s="39" t="e">
        <f>#REF!</f>
        <v>#REF!</v>
      </c>
      <c r="E32" s="39" t="e">
        <f>#REF!</f>
        <v>#REF!</v>
      </c>
      <c r="F32" s="39" t="e">
        <f>#REF!+#REF!</f>
        <v>#REF!</v>
      </c>
      <c r="G32" s="132" t="e">
        <f>#REF!/#REF!</f>
        <v>#REF!</v>
      </c>
      <c r="H32" s="39" t="e">
        <f>MIN(#REF!,#REF!)</f>
        <v>#REF!</v>
      </c>
      <c r="I32" s="132" t="e">
        <f ca="1">MIN(OFFSET(#REF!,1,0)/#REF!,1)</f>
        <v>#REF!</v>
      </c>
      <c r="J32" s="39" t="e">
        <f>SUM(#REF!,#REF!,#REF!,#REF!)*building_employment +#REF!* bonus_jobs_facts</f>
        <v>#REF!</v>
      </c>
      <c r="K32" s="133"/>
      <c r="L32" s="61" t="e">
        <f>#REF!</f>
        <v>#REF!</v>
      </c>
      <c r="M32" s="61" t="e">
        <f>#REF!</f>
        <v>#REF!</v>
      </c>
      <c r="N32" s="61" t="e">
        <f>#REF!</f>
        <v>#REF!</v>
      </c>
      <c r="O32" s="61" t="e">
        <f>#REF!</f>
        <v>#REF!</v>
      </c>
      <c r="P32" s="61" t="e">
        <f>#REF!</f>
        <v>#REF!</v>
      </c>
      <c r="Q32" s="61" t="e">
        <f>#REF!</f>
        <v>#REF!</v>
      </c>
      <c r="R32" s="61" t="e">
        <f>#REF!</f>
        <v>#REF!</v>
      </c>
      <c r="S32" s="61" t="e">
        <f>#REF!</f>
        <v>#REF!</v>
      </c>
      <c r="T32" s="134"/>
      <c r="U32" s="39" t="e">
        <f>ROUND(#REF!*(1+#REF!),0)+MIN(#REF!-#REF!-SUM(#REF!),(barracks_size + tech_8_3*#REF!)*#REF!)</f>
        <v>#REF!</v>
      </c>
      <c r="V32" s="39" t="e">
        <f>(#REF!+#REF!)*pop_in_home+(SUM(#REF!)+#REF!-#REF!)*pop_in_building+(SUM(#REF!)-#REF!*20)*pop_on_barren-(SUM(#REF!)-SUM(#REF!))*(15-pop_on_barren)-pop_on_barren*#REF!</f>
        <v>#REF!</v>
      </c>
      <c r="W32" s="39" t="e">
        <f ca="1">MAX(-5%*#REF!-#REF!,MIN(OFFSET(#REF!,1,0)-#REF!-#REF!-#REF!,#REF!-#REF!))</f>
        <v>#REF!</v>
      </c>
      <c r="X32" s="39" t="e">
        <f>ROUND(#REF!*(1+#REF!),0)</f>
        <v>#REF!</v>
      </c>
      <c r="Y32" s="39" t="e">
        <f>(#REF!-#REF!)*raw_pop_growth</f>
        <v>#REF!</v>
      </c>
      <c r="Z32" s="39" t="e">
        <f>IF(#REF!&lt;#REF!,ROUND(#REF!*Constants!$B$55,0), 0)</f>
        <v>#REF!</v>
      </c>
      <c r="AA32" s="134"/>
      <c r="AB32" s="135" t="e">
        <f ca="1">Overview!$I$16 + IF(Magic!AE32&gt;0,Constants!$F$78) + ROUND(6*(Construction!BM33+Construction!CK32)/IF(Explore!S33&gt;0,Construction!F33-20,Construction!F33),4) + tech_6_5_2*Techs!BJ32 + tech_8_4*Techs!BT32</f>
        <v>#REF!</v>
      </c>
      <c r="AC32" s="132" t="e">
        <f ca="1">(Overview!$I$15 + Imps!Z32+ tech_2_5*Techs!AB32 + tech_3_6*Techs!AM32 + tech_6_1*Techs!BJ32 + tech_6_5*Techs!BF32 + tech_7_3_2*Techs!BN32) * (1 + Production!O32/100*prestige_pop_multiplier) + Production!O32/100*prestige_pop_multiplier</f>
        <v>#REF!</v>
      </c>
    </row>
    <row r="33" spans="1:29" x14ac:dyDescent="0.25">
      <c r="A33" s="130" t="e">
        <f>#REF!</f>
        <v>#REF!</v>
      </c>
      <c r="B33" s="131" t="e">
        <f>#REF!</f>
        <v>#REF!</v>
      </c>
      <c r="C33" s="39" t="e">
        <f ca="1">OFFSET(#REF!,-1,0)+OFFSET(#REF!,-1,0)+#REF!</f>
        <v>#REF!</v>
      </c>
      <c r="D33" s="39" t="e">
        <f>#REF!</f>
        <v>#REF!</v>
      </c>
      <c r="E33" s="39" t="e">
        <f>#REF!</f>
        <v>#REF!</v>
      </c>
      <c r="F33" s="39" t="e">
        <f>#REF!+#REF!</f>
        <v>#REF!</v>
      </c>
      <c r="G33" s="132" t="e">
        <f>#REF!/#REF!</f>
        <v>#REF!</v>
      </c>
      <c r="H33" s="39" t="e">
        <f>MIN(#REF!,#REF!)</f>
        <v>#REF!</v>
      </c>
      <c r="I33" s="132" t="e">
        <f ca="1">MIN(OFFSET(#REF!,1,0)/#REF!,1)</f>
        <v>#REF!</v>
      </c>
      <c r="J33" s="39" t="e">
        <f>SUM(#REF!,#REF!,#REF!,#REF!)*building_employment +#REF!* bonus_jobs_facts</f>
        <v>#REF!</v>
      </c>
      <c r="K33" s="133"/>
      <c r="L33" s="61" t="e">
        <f>#REF!</f>
        <v>#REF!</v>
      </c>
      <c r="M33" s="61" t="e">
        <f>#REF!</f>
        <v>#REF!</v>
      </c>
      <c r="N33" s="61" t="e">
        <f>#REF!</f>
        <v>#REF!</v>
      </c>
      <c r="O33" s="61" t="e">
        <f>#REF!</f>
        <v>#REF!</v>
      </c>
      <c r="P33" s="61" t="e">
        <f>#REF!</f>
        <v>#REF!</v>
      </c>
      <c r="Q33" s="61" t="e">
        <f>#REF!</f>
        <v>#REF!</v>
      </c>
      <c r="R33" s="61" t="e">
        <f>#REF!</f>
        <v>#REF!</v>
      </c>
      <c r="S33" s="61" t="e">
        <f>#REF!</f>
        <v>#REF!</v>
      </c>
      <c r="T33" s="134"/>
      <c r="U33" s="39" t="e">
        <f>ROUND(#REF!*(1+#REF!),0)+MIN(#REF!-#REF!-SUM(#REF!),(barracks_size + tech_8_3*#REF!)*#REF!)</f>
        <v>#REF!</v>
      </c>
      <c r="V33" s="39" t="e">
        <f>(#REF!+#REF!)*pop_in_home+(SUM(#REF!)+#REF!-#REF!)*pop_in_building+(SUM(#REF!)-#REF!*20)*pop_on_barren-(SUM(#REF!)-SUM(#REF!))*(15-pop_on_barren)-pop_on_barren*#REF!</f>
        <v>#REF!</v>
      </c>
      <c r="W33" s="39" t="e">
        <f ca="1">MAX(-5%*#REF!-#REF!,MIN(OFFSET(#REF!,1,0)-#REF!-#REF!-#REF!,#REF!-#REF!))</f>
        <v>#REF!</v>
      </c>
      <c r="X33" s="39" t="e">
        <f>ROUND(#REF!*(1+#REF!),0)</f>
        <v>#REF!</v>
      </c>
      <c r="Y33" s="39" t="e">
        <f>(#REF!-#REF!)*raw_pop_growth</f>
        <v>#REF!</v>
      </c>
      <c r="Z33" s="39" t="e">
        <f>IF(#REF!&lt;#REF!,ROUND(#REF!*Constants!$B$55,0), 0)</f>
        <v>#REF!</v>
      </c>
      <c r="AA33" s="134"/>
      <c r="AB33" s="135" t="e">
        <f ca="1">Overview!$I$16 + IF(Magic!AE33&gt;0,Constants!$F$78) + ROUND(6*(Construction!BM34+Construction!CK33)/IF(Explore!S34&gt;0,Construction!F34-20,Construction!F34),4) + tech_6_5_2*Techs!BJ33 + tech_8_4*Techs!BT33</f>
        <v>#REF!</v>
      </c>
      <c r="AC33" s="132" t="e">
        <f ca="1">(Overview!$I$15 + Imps!Z33+ tech_2_5*Techs!AB33 + tech_3_6*Techs!AM33 + tech_6_1*Techs!BJ33 + tech_6_5*Techs!BF33 + tech_7_3_2*Techs!BN33) * (1 + Production!O33/100*prestige_pop_multiplier) + Production!O33/100*prestige_pop_multiplier</f>
        <v>#REF!</v>
      </c>
    </row>
    <row r="34" spans="1:29" x14ac:dyDescent="0.25">
      <c r="A34" s="130" t="e">
        <f>#REF!</f>
        <v>#REF!</v>
      </c>
      <c r="B34" s="131" t="e">
        <f>#REF!</f>
        <v>#REF!</v>
      </c>
      <c r="C34" s="39" t="e">
        <f ca="1">OFFSET(#REF!,-1,0)+OFFSET(#REF!,-1,0)+#REF!</f>
        <v>#REF!</v>
      </c>
      <c r="D34" s="39" t="e">
        <f>#REF!</f>
        <v>#REF!</v>
      </c>
      <c r="E34" s="39" t="e">
        <f>#REF!</f>
        <v>#REF!</v>
      </c>
      <c r="F34" s="39" t="e">
        <f>#REF!+#REF!</f>
        <v>#REF!</v>
      </c>
      <c r="G34" s="132" t="e">
        <f>#REF!/#REF!</f>
        <v>#REF!</v>
      </c>
      <c r="H34" s="39" t="e">
        <f>MIN(#REF!,#REF!)</f>
        <v>#REF!</v>
      </c>
      <c r="I34" s="132" t="e">
        <f ca="1">MIN(OFFSET(#REF!,1,0)/#REF!,1)</f>
        <v>#REF!</v>
      </c>
      <c r="J34" s="39" t="e">
        <f>SUM(#REF!,#REF!,#REF!,#REF!)*building_employment +#REF!* bonus_jobs_facts</f>
        <v>#REF!</v>
      </c>
      <c r="K34" s="133"/>
      <c r="L34" s="61" t="e">
        <f>#REF!</f>
        <v>#REF!</v>
      </c>
      <c r="M34" s="61" t="e">
        <f>#REF!</f>
        <v>#REF!</v>
      </c>
      <c r="N34" s="61" t="e">
        <f>#REF!</f>
        <v>#REF!</v>
      </c>
      <c r="O34" s="61" t="e">
        <f>#REF!</f>
        <v>#REF!</v>
      </c>
      <c r="P34" s="61" t="e">
        <f>#REF!</f>
        <v>#REF!</v>
      </c>
      <c r="Q34" s="61" t="e">
        <f>#REF!</f>
        <v>#REF!</v>
      </c>
      <c r="R34" s="61" t="e">
        <f>#REF!</f>
        <v>#REF!</v>
      </c>
      <c r="S34" s="61" t="e">
        <f>#REF!</f>
        <v>#REF!</v>
      </c>
      <c r="T34" s="134"/>
      <c r="U34" s="39" t="e">
        <f>ROUND(#REF!*(1+#REF!),0)+MIN(#REF!-#REF!-SUM(#REF!),(barracks_size + tech_8_3*#REF!)*#REF!)</f>
        <v>#REF!</v>
      </c>
      <c r="V34" s="39" t="e">
        <f>(#REF!+#REF!)*pop_in_home+(SUM(#REF!)+#REF!-#REF!)*pop_in_building+(SUM(#REF!)-#REF!*20)*pop_on_barren-(SUM(#REF!)-SUM(#REF!))*(15-pop_on_barren)-pop_on_barren*#REF!</f>
        <v>#REF!</v>
      </c>
      <c r="W34" s="39" t="e">
        <f ca="1">MAX(-5%*#REF!-#REF!,MIN(OFFSET(#REF!,1,0)-#REF!-#REF!-#REF!,#REF!-#REF!))</f>
        <v>#REF!</v>
      </c>
      <c r="X34" s="39" t="e">
        <f>ROUND(#REF!*(1+#REF!),0)</f>
        <v>#REF!</v>
      </c>
      <c r="Y34" s="39" t="e">
        <f>(#REF!-#REF!)*raw_pop_growth</f>
        <v>#REF!</v>
      </c>
      <c r="Z34" s="39" t="e">
        <f>IF(#REF!&lt;#REF!,ROUND(#REF!*Constants!$B$55,0), 0)</f>
        <v>#REF!</v>
      </c>
      <c r="AA34" s="134"/>
      <c r="AB34" s="135" t="e">
        <f ca="1">Overview!$I$16 + IF(Magic!AE34&gt;0,Constants!$F$78) + ROUND(6*(Construction!BM35+Construction!CK34)/IF(Explore!S35&gt;0,Construction!F35-20,Construction!F35),4) + tech_6_5_2*Techs!BJ34 + tech_8_4*Techs!BT34</f>
        <v>#REF!</v>
      </c>
      <c r="AC34" s="132" t="e">
        <f ca="1">(Overview!$I$15 + Imps!Z34+ tech_2_5*Techs!AB34 + tech_3_6*Techs!AM34 + tech_6_1*Techs!BJ34 + tech_6_5*Techs!BF34 + tech_7_3_2*Techs!BN34) * (1 + Production!O34/100*prestige_pop_multiplier) + Production!O34/100*prestige_pop_multiplier</f>
        <v>#REF!</v>
      </c>
    </row>
    <row r="35" spans="1:29" x14ac:dyDescent="0.25">
      <c r="A35" s="130" t="e">
        <f>#REF!</f>
        <v>#REF!</v>
      </c>
      <c r="B35" s="131" t="e">
        <f>#REF!</f>
        <v>#REF!</v>
      </c>
      <c r="C35" s="39" t="e">
        <f ca="1">OFFSET(#REF!,-1,0)+OFFSET(#REF!,-1,0)+#REF!</f>
        <v>#REF!</v>
      </c>
      <c r="D35" s="39" t="e">
        <f>#REF!</f>
        <v>#REF!</v>
      </c>
      <c r="E35" s="39" t="e">
        <f>#REF!</f>
        <v>#REF!</v>
      </c>
      <c r="F35" s="39" t="e">
        <f>#REF!+#REF!</f>
        <v>#REF!</v>
      </c>
      <c r="G35" s="132" t="e">
        <f>#REF!/#REF!</f>
        <v>#REF!</v>
      </c>
      <c r="H35" s="39" t="e">
        <f>MIN(#REF!,#REF!)</f>
        <v>#REF!</v>
      </c>
      <c r="I35" s="132" t="e">
        <f ca="1">MIN(OFFSET(#REF!,1,0)/#REF!,1)</f>
        <v>#REF!</v>
      </c>
      <c r="J35" s="39" t="e">
        <f>SUM(#REF!,#REF!,#REF!,#REF!)*building_employment +#REF!* bonus_jobs_facts</f>
        <v>#REF!</v>
      </c>
      <c r="K35" s="133"/>
      <c r="L35" s="61" t="e">
        <f>#REF!</f>
        <v>#REF!</v>
      </c>
      <c r="M35" s="61" t="e">
        <f>#REF!</f>
        <v>#REF!</v>
      </c>
      <c r="N35" s="61" t="e">
        <f>#REF!</f>
        <v>#REF!</v>
      </c>
      <c r="O35" s="61" t="e">
        <f>#REF!</f>
        <v>#REF!</v>
      </c>
      <c r="P35" s="61" t="e">
        <f>#REF!</f>
        <v>#REF!</v>
      </c>
      <c r="Q35" s="61" t="e">
        <f>#REF!</f>
        <v>#REF!</v>
      </c>
      <c r="R35" s="61" t="e">
        <f>#REF!</f>
        <v>#REF!</v>
      </c>
      <c r="S35" s="61" t="e">
        <f>#REF!</f>
        <v>#REF!</v>
      </c>
      <c r="T35" s="134"/>
      <c r="U35" s="39" t="e">
        <f>ROUND(#REF!*(1+#REF!),0)+MIN(#REF!-#REF!-SUM(#REF!),(barracks_size + tech_8_3*#REF!)*#REF!)</f>
        <v>#REF!</v>
      </c>
      <c r="V35" s="39" t="e">
        <f>(#REF!+#REF!)*pop_in_home+(SUM(#REF!)+#REF!-#REF!)*pop_in_building+(SUM(#REF!)-#REF!*20)*pop_on_barren-(SUM(#REF!)-SUM(#REF!))*(15-pop_on_barren)-pop_on_barren*#REF!</f>
        <v>#REF!</v>
      </c>
      <c r="W35" s="39" t="e">
        <f ca="1">MAX(-5%*#REF!-#REF!,MIN(OFFSET(#REF!,1,0)-#REF!-#REF!-#REF!,#REF!-#REF!))</f>
        <v>#REF!</v>
      </c>
      <c r="X35" s="39" t="e">
        <f>ROUND(#REF!*(1+#REF!),0)</f>
        <v>#REF!</v>
      </c>
      <c r="Y35" s="39" t="e">
        <f>(#REF!-#REF!)*raw_pop_growth</f>
        <v>#REF!</v>
      </c>
      <c r="Z35" s="39" t="e">
        <f>IF(#REF!&lt;#REF!,ROUND(#REF!*Constants!$B$55,0), 0)</f>
        <v>#REF!</v>
      </c>
      <c r="AA35" s="134"/>
      <c r="AB35" s="135" t="e">
        <f ca="1">Overview!$I$16 + IF(Magic!AE35&gt;0,Constants!$F$78) + ROUND(6*(Construction!BM36+Construction!CK35)/IF(Explore!S36&gt;0,Construction!F36-20,Construction!F36),4) + tech_6_5_2*Techs!BJ35 + tech_8_4*Techs!BT35</f>
        <v>#REF!</v>
      </c>
      <c r="AC35" s="132" t="e">
        <f ca="1">(Overview!$I$15 + Imps!Z35+ tech_2_5*Techs!AB35 + tech_3_6*Techs!AM35 + tech_6_1*Techs!BJ35 + tech_6_5*Techs!BF35 + tech_7_3_2*Techs!BN35) * (1 + Production!O35/100*prestige_pop_multiplier) + Production!O35/100*prestige_pop_multiplier</f>
        <v>#REF!</v>
      </c>
    </row>
    <row r="36" spans="1:29" x14ac:dyDescent="0.25">
      <c r="A36" s="130" t="e">
        <f>#REF!</f>
        <v>#REF!</v>
      </c>
      <c r="B36" s="131" t="e">
        <f>#REF!</f>
        <v>#REF!</v>
      </c>
      <c r="C36" s="39" t="e">
        <f ca="1">OFFSET(#REF!,-1,0)+OFFSET(#REF!,-1,0)+#REF!</f>
        <v>#REF!</v>
      </c>
      <c r="D36" s="39" t="e">
        <f>#REF!</f>
        <v>#REF!</v>
      </c>
      <c r="E36" s="39" t="e">
        <f>#REF!</f>
        <v>#REF!</v>
      </c>
      <c r="F36" s="39" t="e">
        <f>#REF!+#REF!</f>
        <v>#REF!</v>
      </c>
      <c r="G36" s="132" t="e">
        <f>#REF!/#REF!</f>
        <v>#REF!</v>
      </c>
      <c r="H36" s="39" t="e">
        <f>MIN(#REF!,#REF!)</f>
        <v>#REF!</v>
      </c>
      <c r="I36" s="132" t="e">
        <f ca="1">MIN(OFFSET(#REF!,1,0)/#REF!,1)</f>
        <v>#REF!</v>
      </c>
      <c r="J36" s="39" t="e">
        <f>SUM(#REF!,#REF!,#REF!,#REF!)*building_employment +#REF!* bonus_jobs_facts</f>
        <v>#REF!</v>
      </c>
      <c r="K36" s="133"/>
      <c r="L36" s="61" t="e">
        <f>#REF!</f>
        <v>#REF!</v>
      </c>
      <c r="M36" s="61" t="e">
        <f>#REF!</f>
        <v>#REF!</v>
      </c>
      <c r="N36" s="61" t="e">
        <f>#REF!</f>
        <v>#REF!</v>
      </c>
      <c r="O36" s="61" t="e">
        <f>#REF!</f>
        <v>#REF!</v>
      </c>
      <c r="P36" s="61" t="e">
        <f>#REF!</f>
        <v>#REF!</v>
      </c>
      <c r="Q36" s="61" t="e">
        <f>#REF!</f>
        <v>#REF!</v>
      </c>
      <c r="R36" s="61" t="e">
        <f>#REF!</f>
        <v>#REF!</v>
      </c>
      <c r="S36" s="61" t="e">
        <f>#REF!</f>
        <v>#REF!</v>
      </c>
      <c r="T36" s="134"/>
      <c r="U36" s="39" t="e">
        <f>ROUND(#REF!*(1+#REF!),0)+MIN(#REF!-#REF!-SUM(#REF!),(barracks_size + tech_8_3*#REF!)*#REF!)</f>
        <v>#REF!</v>
      </c>
      <c r="V36" s="39" t="e">
        <f>(#REF!+#REF!)*pop_in_home+(SUM(#REF!)+#REF!-#REF!)*pop_in_building+(SUM(#REF!)-#REF!*20)*pop_on_barren-(SUM(#REF!)-SUM(#REF!))*(15-pop_on_barren)-pop_on_barren*#REF!</f>
        <v>#REF!</v>
      </c>
      <c r="W36" s="39" t="e">
        <f ca="1">MAX(-5%*#REF!-#REF!,MIN(OFFSET(#REF!,1,0)-#REF!-#REF!-#REF!,#REF!-#REF!))</f>
        <v>#REF!</v>
      </c>
      <c r="X36" s="39" t="e">
        <f>ROUND(#REF!*(1+#REF!),0)</f>
        <v>#REF!</v>
      </c>
      <c r="Y36" s="39" t="e">
        <f>(#REF!-#REF!)*raw_pop_growth</f>
        <v>#REF!</v>
      </c>
      <c r="Z36" s="39" t="e">
        <f>IF(#REF!&lt;#REF!,ROUND(#REF!*Constants!$B$55,0), 0)</f>
        <v>#REF!</v>
      </c>
      <c r="AA36" s="134"/>
      <c r="AB36" s="135" t="e">
        <f ca="1">Overview!$I$16 + IF(Magic!AE36&gt;0,Constants!$F$78) + ROUND(6*(Construction!BM37+Construction!CK36)/IF(Explore!S37&gt;0,Construction!F37-20,Construction!F37),4) + tech_6_5_2*Techs!BJ36 + tech_8_4*Techs!BT36</f>
        <v>#REF!</v>
      </c>
      <c r="AC36" s="132" t="e">
        <f ca="1">(Overview!$I$15 + Imps!Z36+ tech_2_5*Techs!AB36 + tech_3_6*Techs!AM36 + tech_6_1*Techs!BJ36 + tech_6_5*Techs!BF36 + tech_7_3_2*Techs!BN36) * (1 + Production!O36/100*prestige_pop_multiplier) + Production!O36/100*prestige_pop_multiplier</f>
        <v>#REF!</v>
      </c>
    </row>
    <row r="37" spans="1:29" x14ac:dyDescent="0.25">
      <c r="A37" s="130" t="e">
        <f>#REF!</f>
        <v>#REF!</v>
      </c>
      <c r="B37" s="131" t="e">
        <f>#REF!</f>
        <v>#REF!</v>
      </c>
      <c r="C37" s="39" t="e">
        <f ca="1">OFFSET(#REF!,-1,0)+OFFSET(#REF!,-1,0)+#REF!</f>
        <v>#REF!</v>
      </c>
      <c r="D37" s="39" t="e">
        <f>#REF!</f>
        <v>#REF!</v>
      </c>
      <c r="E37" s="39" t="e">
        <f>#REF!</f>
        <v>#REF!</v>
      </c>
      <c r="F37" s="39" t="e">
        <f>#REF!+#REF!</f>
        <v>#REF!</v>
      </c>
      <c r="G37" s="132" t="e">
        <f>#REF!/#REF!</f>
        <v>#REF!</v>
      </c>
      <c r="H37" s="39" t="e">
        <f>MIN(#REF!,#REF!)</f>
        <v>#REF!</v>
      </c>
      <c r="I37" s="132" t="e">
        <f ca="1">MIN(OFFSET(#REF!,1,0)/#REF!,1)</f>
        <v>#REF!</v>
      </c>
      <c r="J37" s="39" t="e">
        <f>SUM(#REF!,#REF!,#REF!,#REF!)*building_employment +#REF!* bonus_jobs_facts</f>
        <v>#REF!</v>
      </c>
      <c r="K37" s="133"/>
      <c r="L37" s="61" t="e">
        <f>#REF!</f>
        <v>#REF!</v>
      </c>
      <c r="M37" s="61" t="e">
        <f>#REF!</f>
        <v>#REF!</v>
      </c>
      <c r="N37" s="61" t="e">
        <f>#REF!</f>
        <v>#REF!</v>
      </c>
      <c r="O37" s="61" t="e">
        <f>#REF!</f>
        <v>#REF!</v>
      </c>
      <c r="P37" s="61" t="e">
        <f>#REF!</f>
        <v>#REF!</v>
      </c>
      <c r="Q37" s="61" t="e">
        <f>#REF!</f>
        <v>#REF!</v>
      </c>
      <c r="R37" s="61" t="e">
        <f>#REF!</f>
        <v>#REF!</v>
      </c>
      <c r="S37" s="61" t="e">
        <f>#REF!</f>
        <v>#REF!</v>
      </c>
      <c r="T37" s="134"/>
      <c r="U37" s="39" t="e">
        <f>ROUND(#REF!*(1+#REF!),0)+MIN(#REF!-#REF!-SUM(#REF!),(barracks_size + tech_8_3*#REF!)*#REF!)</f>
        <v>#REF!</v>
      </c>
      <c r="V37" s="39" t="e">
        <f>(#REF!+#REF!)*pop_in_home+(SUM(#REF!)+#REF!-#REF!)*pop_in_building+(SUM(#REF!)-#REF!*20)*pop_on_barren-(SUM(#REF!)-SUM(#REF!))*(15-pop_on_barren)-pop_on_barren*#REF!</f>
        <v>#REF!</v>
      </c>
      <c r="W37" s="39" t="e">
        <f ca="1">MAX(-5%*#REF!-#REF!,MIN(OFFSET(#REF!,1,0)-#REF!-#REF!-#REF!,#REF!-#REF!))</f>
        <v>#REF!</v>
      </c>
      <c r="X37" s="39" t="e">
        <f>ROUND(#REF!*(1+#REF!),0)</f>
        <v>#REF!</v>
      </c>
      <c r="Y37" s="39" t="e">
        <f>(#REF!-#REF!)*raw_pop_growth</f>
        <v>#REF!</v>
      </c>
      <c r="Z37" s="39" t="e">
        <f>IF(#REF!&lt;#REF!,ROUND(#REF!*Constants!$B$55,0), 0)</f>
        <v>#REF!</v>
      </c>
      <c r="AA37" s="134"/>
      <c r="AB37" s="135" t="e">
        <f ca="1">Overview!$I$16 + IF(Magic!AE37&gt;0,Constants!$F$78) + ROUND(6*(Construction!BM38+Construction!CK37)/IF(Explore!S38&gt;0,Construction!F38-20,Construction!F38),4) + tech_6_5_2*Techs!BJ37 + tech_8_4*Techs!BT37</f>
        <v>#REF!</v>
      </c>
      <c r="AC37" s="132" t="e">
        <f ca="1">(Overview!$I$15 + Imps!Z37+ tech_2_5*Techs!AB37 + tech_3_6*Techs!AM37 + tech_6_1*Techs!BJ37 + tech_6_5*Techs!BF37 + tech_7_3_2*Techs!BN37) * (1 + Production!O37/100*prestige_pop_multiplier) + Production!O37/100*prestige_pop_multiplier</f>
        <v>#REF!</v>
      </c>
    </row>
    <row r="38" spans="1:29" x14ac:dyDescent="0.25">
      <c r="A38" s="130" t="e">
        <f>#REF!</f>
        <v>#REF!</v>
      </c>
      <c r="B38" s="131" t="e">
        <f>#REF!</f>
        <v>#REF!</v>
      </c>
      <c r="C38" s="39" t="e">
        <f ca="1">OFFSET(#REF!,-1,0)+OFFSET(#REF!,-1,0)+#REF!</f>
        <v>#REF!</v>
      </c>
      <c r="D38" s="39" t="e">
        <f>#REF!</f>
        <v>#REF!</v>
      </c>
      <c r="E38" s="39" t="e">
        <f>#REF!</f>
        <v>#REF!</v>
      </c>
      <c r="F38" s="39" t="e">
        <f>#REF!+#REF!</f>
        <v>#REF!</v>
      </c>
      <c r="G38" s="132" t="e">
        <f>#REF!/#REF!</f>
        <v>#REF!</v>
      </c>
      <c r="H38" s="39" t="e">
        <f>MIN(#REF!,#REF!)</f>
        <v>#REF!</v>
      </c>
      <c r="I38" s="132" t="e">
        <f ca="1">MIN(OFFSET(#REF!,1,0)/#REF!,1)</f>
        <v>#REF!</v>
      </c>
      <c r="J38" s="39" t="e">
        <f>SUM(#REF!,#REF!,#REF!,#REF!)*building_employment +#REF!* bonus_jobs_facts</f>
        <v>#REF!</v>
      </c>
      <c r="K38" s="133"/>
      <c r="L38" s="61" t="e">
        <f>#REF!</f>
        <v>#REF!</v>
      </c>
      <c r="M38" s="61" t="e">
        <f>#REF!</f>
        <v>#REF!</v>
      </c>
      <c r="N38" s="61" t="e">
        <f>#REF!</f>
        <v>#REF!</v>
      </c>
      <c r="O38" s="61" t="e">
        <f>#REF!</f>
        <v>#REF!</v>
      </c>
      <c r="P38" s="61" t="e">
        <f>#REF!</f>
        <v>#REF!</v>
      </c>
      <c r="Q38" s="61" t="e">
        <f>#REF!</f>
        <v>#REF!</v>
      </c>
      <c r="R38" s="61" t="e">
        <f>#REF!</f>
        <v>#REF!</v>
      </c>
      <c r="S38" s="61" t="e">
        <f>#REF!</f>
        <v>#REF!</v>
      </c>
      <c r="T38" s="134"/>
      <c r="U38" s="39" t="e">
        <f>ROUND(#REF!*(1+#REF!),0)+MIN(#REF!-#REF!-SUM(#REF!),(barracks_size + tech_8_3*#REF!)*#REF!)</f>
        <v>#REF!</v>
      </c>
      <c r="V38" s="39" t="e">
        <f>(#REF!+#REF!)*pop_in_home+(SUM(#REF!)+#REF!-#REF!)*pop_in_building+(SUM(#REF!)-#REF!*20)*pop_on_barren-(SUM(#REF!)-SUM(#REF!))*(15-pop_on_barren)-pop_on_barren*#REF!</f>
        <v>#REF!</v>
      </c>
      <c r="W38" s="39" t="e">
        <f ca="1">MAX(-5%*#REF!-#REF!,MIN(OFFSET(#REF!,1,0)-#REF!-#REF!-#REF!,#REF!-#REF!))</f>
        <v>#REF!</v>
      </c>
      <c r="X38" s="39" t="e">
        <f>ROUND(#REF!*(1+#REF!),0)</f>
        <v>#REF!</v>
      </c>
      <c r="Y38" s="39" t="e">
        <f>(#REF!-#REF!)*raw_pop_growth</f>
        <v>#REF!</v>
      </c>
      <c r="Z38" s="39" t="e">
        <f>IF(#REF!&lt;#REF!,ROUND(#REF!*Constants!$B$55,0), 0)</f>
        <v>#REF!</v>
      </c>
      <c r="AA38" s="134"/>
      <c r="AB38" s="135" t="e">
        <f ca="1">Overview!$I$16 + IF(Magic!AE38&gt;0,Constants!$F$78) + ROUND(6*(Construction!BM39+Construction!CK38)/IF(Explore!S39&gt;0,Construction!F39-20,Construction!F39),4) + tech_6_5_2*Techs!BJ38 + tech_8_4*Techs!BT38</f>
        <v>#REF!</v>
      </c>
      <c r="AC38" s="132" t="e">
        <f ca="1">(Overview!$I$15 + Imps!Z38+ tech_2_5*Techs!AB38 + tech_3_6*Techs!AM38 + tech_6_1*Techs!BJ38 + tech_6_5*Techs!BF38 + tech_7_3_2*Techs!BN38) * (1 + Production!O38/100*prestige_pop_multiplier) + Production!O38/100*prestige_pop_multiplier</f>
        <v>#REF!</v>
      </c>
    </row>
    <row r="39" spans="1:29" ht="13.5" customHeight="1" x14ac:dyDescent="0.25">
      <c r="A39" s="130" t="e">
        <f>#REF!</f>
        <v>#REF!</v>
      </c>
      <c r="B39" s="131" t="e">
        <f>#REF!</f>
        <v>#REF!</v>
      </c>
      <c r="C39" s="39" t="e">
        <f ca="1">OFFSET(#REF!,-1,0)+OFFSET(#REF!,-1,0)+#REF!</f>
        <v>#REF!</v>
      </c>
      <c r="D39" s="39" t="e">
        <f>#REF!</f>
        <v>#REF!</v>
      </c>
      <c r="E39" s="39" t="e">
        <f>#REF!</f>
        <v>#REF!</v>
      </c>
      <c r="F39" s="39" t="e">
        <f>#REF!+#REF!</f>
        <v>#REF!</v>
      </c>
      <c r="G39" s="132" t="e">
        <f>#REF!/#REF!</f>
        <v>#REF!</v>
      </c>
      <c r="H39" s="39" t="e">
        <f>MIN(#REF!,#REF!)</f>
        <v>#REF!</v>
      </c>
      <c r="I39" s="132" t="e">
        <f ca="1">MIN(OFFSET(#REF!,1,0)/#REF!,1)</f>
        <v>#REF!</v>
      </c>
      <c r="J39" s="39" t="e">
        <f>SUM(#REF!,#REF!,#REF!,#REF!)*building_employment +#REF!* bonus_jobs_facts</f>
        <v>#REF!</v>
      </c>
      <c r="K39" s="133"/>
      <c r="L39" s="61" t="e">
        <f>#REF!</f>
        <v>#REF!</v>
      </c>
      <c r="M39" s="61" t="e">
        <f>#REF!</f>
        <v>#REF!</v>
      </c>
      <c r="N39" s="61" t="e">
        <f>#REF!</f>
        <v>#REF!</v>
      </c>
      <c r="O39" s="61" t="e">
        <f>#REF!</f>
        <v>#REF!</v>
      </c>
      <c r="P39" s="61" t="e">
        <f>#REF!</f>
        <v>#REF!</v>
      </c>
      <c r="Q39" s="61" t="e">
        <f>#REF!</f>
        <v>#REF!</v>
      </c>
      <c r="R39" s="61" t="e">
        <f>#REF!</f>
        <v>#REF!</v>
      </c>
      <c r="S39" s="61" t="e">
        <f>#REF!</f>
        <v>#REF!</v>
      </c>
      <c r="T39" s="134"/>
      <c r="U39" s="39" t="e">
        <f>ROUND(#REF!*(1+#REF!),0)+MIN(#REF!-#REF!-SUM(#REF!),(barracks_size + tech_8_3*#REF!)*#REF!)</f>
        <v>#REF!</v>
      </c>
      <c r="V39" s="39" t="e">
        <f>(#REF!+#REF!)*pop_in_home+(SUM(#REF!)+#REF!-#REF!)*pop_in_building+(SUM(#REF!)-#REF!*20)*pop_on_barren-(SUM(#REF!)-SUM(#REF!))*(15-pop_on_barren)-pop_on_barren*#REF!</f>
        <v>#REF!</v>
      </c>
      <c r="W39" s="39" t="e">
        <f ca="1">MAX(-5%*#REF!-#REF!,MIN(OFFSET(#REF!,1,0)-#REF!-#REF!-#REF!,#REF!-#REF!))</f>
        <v>#REF!</v>
      </c>
      <c r="X39" s="39" t="e">
        <f>ROUND(#REF!*(1+#REF!),0)</f>
        <v>#REF!</v>
      </c>
      <c r="Y39" s="39" t="e">
        <f>(#REF!-#REF!)*raw_pop_growth</f>
        <v>#REF!</v>
      </c>
      <c r="Z39" s="39" t="e">
        <f>IF(#REF!&lt;#REF!,ROUND(#REF!*Constants!$B$55,0), 0)</f>
        <v>#REF!</v>
      </c>
      <c r="AA39" s="134"/>
      <c r="AB39" s="135" t="e">
        <f ca="1">Overview!$I$16 + IF(Magic!AE39&gt;0,Constants!$F$78) + ROUND(6*(Construction!BM40+Construction!CK39)/IF(Explore!S40&gt;0,Construction!F40-20,Construction!F40),4) + tech_6_5_2*Techs!BJ39 + tech_8_4*Techs!BT39</f>
        <v>#REF!</v>
      </c>
      <c r="AC39" s="132" t="e">
        <f ca="1">(Overview!$I$15 + Imps!Z39+ tech_2_5*Techs!AB39 + tech_3_6*Techs!AM39 + tech_6_1*Techs!BJ39 + tech_6_5*Techs!BF39 + tech_7_3_2*Techs!BN39) * (1 + Production!O39/100*prestige_pop_multiplier) + Production!O39/100*prestige_pop_multiplier</f>
        <v>#REF!</v>
      </c>
    </row>
    <row r="40" spans="1:29" x14ac:dyDescent="0.25">
      <c r="A40" s="130" t="e">
        <f>#REF!</f>
        <v>#REF!</v>
      </c>
      <c r="B40" s="131" t="e">
        <f>#REF!</f>
        <v>#REF!</v>
      </c>
      <c r="C40" s="39" t="e">
        <f ca="1">OFFSET(#REF!,-1,0)+OFFSET(#REF!,-1,0)+#REF!</f>
        <v>#REF!</v>
      </c>
      <c r="D40" s="39" t="e">
        <f>#REF!</f>
        <v>#REF!</v>
      </c>
      <c r="E40" s="39" t="e">
        <f>#REF!</f>
        <v>#REF!</v>
      </c>
      <c r="F40" s="39" t="e">
        <f>#REF!+#REF!</f>
        <v>#REF!</v>
      </c>
      <c r="G40" s="132" t="e">
        <f>#REF!/#REF!</f>
        <v>#REF!</v>
      </c>
      <c r="H40" s="39" t="e">
        <f>MIN(#REF!,#REF!)</f>
        <v>#REF!</v>
      </c>
      <c r="I40" s="132" t="e">
        <f ca="1">MIN(OFFSET(#REF!,1,0)/#REF!,1)</f>
        <v>#REF!</v>
      </c>
      <c r="J40" s="39" t="e">
        <f>SUM(#REF!,#REF!,#REF!,#REF!)*building_employment +#REF!* bonus_jobs_facts</f>
        <v>#REF!</v>
      </c>
      <c r="K40" s="133"/>
      <c r="L40" s="61" t="e">
        <f>#REF!</f>
        <v>#REF!</v>
      </c>
      <c r="M40" s="61" t="e">
        <f>#REF!</f>
        <v>#REF!</v>
      </c>
      <c r="N40" s="61" t="e">
        <f>#REF!</f>
        <v>#REF!</v>
      </c>
      <c r="O40" s="61" t="e">
        <f>#REF!</f>
        <v>#REF!</v>
      </c>
      <c r="P40" s="61" t="e">
        <f>#REF!</f>
        <v>#REF!</v>
      </c>
      <c r="Q40" s="61" t="e">
        <f>#REF!</f>
        <v>#REF!</v>
      </c>
      <c r="R40" s="61" t="e">
        <f>#REF!</f>
        <v>#REF!</v>
      </c>
      <c r="S40" s="61" t="e">
        <f>#REF!</f>
        <v>#REF!</v>
      </c>
      <c r="T40" s="134"/>
      <c r="U40" s="39" t="e">
        <f>ROUND(#REF!*(1+#REF!),0)+MIN(#REF!-#REF!-SUM(#REF!),(barracks_size + tech_8_3*#REF!)*#REF!)</f>
        <v>#REF!</v>
      </c>
      <c r="V40" s="39" t="e">
        <f>(#REF!+#REF!)*pop_in_home+(SUM(#REF!)+#REF!-#REF!)*pop_in_building+(SUM(#REF!)-#REF!*20)*pop_on_barren-(SUM(#REF!)-SUM(#REF!))*(15-pop_on_barren)-pop_on_barren*#REF!</f>
        <v>#REF!</v>
      </c>
      <c r="W40" s="39" t="e">
        <f ca="1">MAX(-5%*#REF!-#REF!,MIN(OFFSET(#REF!,1,0)-#REF!-#REF!-#REF!,#REF!-#REF!))</f>
        <v>#REF!</v>
      </c>
      <c r="X40" s="39" t="e">
        <f>ROUND(#REF!*(1+#REF!),0)</f>
        <v>#REF!</v>
      </c>
      <c r="Y40" s="39" t="e">
        <f>(#REF!-#REF!)*raw_pop_growth</f>
        <v>#REF!</v>
      </c>
      <c r="Z40" s="39" t="e">
        <f>IF(#REF!&lt;#REF!,ROUND(#REF!*Constants!$B$55,0), 0)</f>
        <v>#REF!</v>
      </c>
      <c r="AA40" s="134"/>
      <c r="AB40" s="135" t="e">
        <f ca="1">Overview!$I$16 + IF(Magic!AE40&gt;0,Constants!$F$78) + ROUND(6*(Construction!BM41+Construction!CK40)/IF(Explore!S41&gt;0,Construction!F41-20,Construction!F41),4) + tech_6_5_2*Techs!BJ40 + tech_8_4*Techs!BT40</f>
        <v>#REF!</v>
      </c>
      <c r="AC40" s="132" t="e">
        <f ca="1">(Overview!$I$15 + Imps!Z40+ tech_2_5*Techs!AB40 + tech_3_6*Techs!AM40 + tech_6_1*Techs!BJ40 + tech_6_5*Techs!BF40 + tech_7_3_2*Techs!BN40) * (1 + Production!O40/100*prestige_pop_multiplier) + Production!O40/100*prestige_pop_multiplier</f>
        <v>#REF!</v>
      </c>
    </row>
    <row r="41" spans="1:29" x14ac:dyDescent="0.25">
      <c r="A41" s="130" t="e">
        <f>#REF!</f>
        <v>#REF!</v>
      </c>
      <c r="B41" s="131" t="e">
        <f>#REF!</f>
        <v>#REF!</v>
      </c>
      <c r="C41" s="39" t="e">
        <f ca="1">OFFSET(#REF!,-1,0)+OFFSET(#REF!,-1,0)+#REF!</f>
        <v>#REF!</v>
      </c>
      <c r="D41" s="39" t="e">
        <f>#REF!</f>
        <v>#REF!</v>
      </c>
      <c r="E41" s="39" t="e">
        <f>#REF!</f>
        <v>#REF!</v>
      </c>
      <c r="F41" s="39" t="e">
        <f>#REF!+#REF!</f>
        <v>#REF!</v>
      </c>
      <c r="G41" s="132" t="e">
        <f>#REF!/#REF!</f>
        <v>#REF!</v>
      </c>
      <c r="H41" s="39" t="e">
        <f>MIN(#REF!,#REF!)</f>
        <v>#REF!</v>
      </c>
      <c r="I41" s="132" t="e">
        <f ca="1">MIN(OFFSET(#REF!,1,0)/#REF!,1)</f>
        <v>#REF!</v>
      </c>
      <c r="J41" s="39" t="e">
        <f>SUM(#REF!,#REF!,#REF!,#REF!)*building_employment +#REF!* bonus_jobs_facts</f>
        <v>#REF!</v>
      </c>
      <c r="K41" s="133"/>
      <c r="L41" s="61" t="e">
        <f>#REF!</f>
        <v>#REF!</v>
      </c>
      <c r="M41" s="61" t="e">
        <f>#REF!</f>
        <v>#REF!</v>
      </c>
      <c r="N41" s="61" t="e">
        <f>#REF!</f>
        <v>#REF!</v>
      </c>
      <c r="O41" s="61" t="e">
        <f>#REF!</f>
        <v>#REF!</v>
      </c>
      <c r="P41" s="61" t="e">
        <f>#REF!</f>
        <v>#REF!</v>
      </c>
      <c r="Q41" s="61" t="e">
        <f>#REF!</f>
        <v>#REF!</v>
      </c>
      <c r="R41" s="61" t="e">
        <f>#REF!</f>
        <v>#REF!</v>
      </c>
      <c r="S41" s="61" t="e">
        <f>#REF!</f>
        <v>#REF!</v>
      </c>
      <c r="T41" s="134"/>
      <c r="U41" s="39" t="e">
        <f>ROUND(#REF!*(1+#REF!),0)+MIN(#REF!-#REF!-SUM(#REF!),(barracks_size + tech_8_3*#REF!)*#REF!)</f>
        <v>#REF!</v>
      </c>
      <c r="V41" s="39" t="e">
        <f>(#REF!+#REF!)*pop_in_home+(SUM(#REF!)+#REF!-#REF!)*pop_in_building+(SUM(#REF!)-#REF!*20)*pop_on_barren-(SUM(#REF!)-SUM(#REF!))*(15-pop_on_barren)-pop_on_barren*#REF!</f>
        <v>#REF!</v>
      </c>
      <c r="W41" s="39" t="e">
        <f ca="1">MAX(-5%*#REF!-#REF!,MIN(OFFSET(#REF!,1,0)-#REF!-#REF!-#REF!,#REF!-#REF!))</f>
        <v>#REF!</v>
      </c>
      <c r="X41" s="39" t="e">
        <f>ROUND(#REF!*(1+#REF!),0)</f>
        <v>#REF!</v>
      </c>
      <c r="Y41" s="39" t="e">
        <f>(#REF!-#REF!)*raw_pop_growth</f>
        <v>#REF!</v>
      </c>
      <c r="Z41" s="39" t="e">
        <f>IF(#REF!&lt;#REF!,ROUND(#REF!*Constants!$B$55,0), 0)</f>
        <v>#REF!</v>
      </c>
      <c r="AA41" s="134"/>
      <c r="AB41" s="135" t="e">
        <f ca="1">Overview!$I$16 + IF(Magic!AE41&gt;0,Constants!$F$78) + ROUND(6*(Construction!BM42+Construction!CK41)/IF(Explore!S42&gt;0,Construction!F42-20,Construction!F42),4) + tech_6_5_2*Techs!BJ41 + tech_8_4*Techs!BT41</f>
        <v>#REF!</v>
      </c>
      <c r="AC41" s="132" t="e">
        <f ca="1">(Overview!$I$15 + Imps!Z41+ tech_2_5*Techs!AB41 + tech_3_6*Techs!AM41 + tech_6_1*Techs!BJ41 + tech_6_5*Techs!BF41 + tech_7_3_2*Techs!BN41) * (1 + Production!O41/100*prestige_pop_multiplier) + Production!O41/100*prestige_pop_multiplier</f>
        <v>#REF!</v>
      </c>
    </row>
    <row r="42" spans="1:29" x14ac:dyDescent="0.25">
      <c r="A42" s="130" t="e">
        <f>#REF!</f>
        <v>#REF!</v>
      </c>
      <c r="B42" s="131" t="e">
        <f>#REF!</f>
        <v>#REF!</v>
      </c>
      <c r="C42" s="39" t="e">
        <f ca="1">OFFSET(#REF!,-1,0)+OFFSET(#REF!,-1,0)+#REF!</f>
        <v>#REF!</v>
      </c>
      <c r="D42" s="39" t="e">
        <f>#REF!</f>
        <v>#REF!</v>
      </c>
      <c r="E42" s="39" t="e">
        <f>#REF!</f>
        <v>#REF!</v>
      </c>
      <c r="F42" s="39" t="e">
        <f>#REF!+#REF!</f>
        <v>#REF!</v>
      </c>
      <c r="G42" s="132" t="e">
        <f>#REF!/#REF!</f>
        <v>#REF!</v>
      </c>
      <c r="H42" s="39" t="e">
        <f>MIN(#REF!,#REF!)</f>
        <v>#REF!</v>
      </c>
      <c r="I42" s="132" t="e">
        <f ca="1">MIN(OFFSET(#REF!,1,0)/#REF!,1)</f>
        <v>#REF!</v>
      </c>
      <c r="J42" s="39" t="e">
        <f>SUM(#REF!,#REF!,#REF!,#REF!)*building_employment +#REF!* bonus_jobs_facts</f>
        <v>#REF!</v>
      </c>
      <c r="K42" s="133"/>
      <c r="L42" s="61" t="e">
        <f>#REF!</f>
        <v>#REF!</v>
      </c>
      <c r="M42" s="61" t="e">
        <f>#REF!</f>
        <v>#REF!</v>
      </c>
      <c r="N42" s="61" t="e">
        <f>#REF!</f>
        <v>#REF!</v>
      </c>
      <c r="O42" s="61" t="e">
        <f>#REF!</f>
        <v>#REF!</v>
      </c>
      <c r="P42" s="61" t="e">
        <f>#REF!</f>
        <v>#REF!</v>
      </c>
      <c r="Q42" s="61" t="e">
        <f>#REF!</f>
        <v>#REF!</v>
      </c>
      <c r="R42" s="61" t="e">
        <f>#REF!</f>
        <v>#REF!</v>
      </c>
      <c r="S42" s="61" t="e">
        <f>#REF!</f>
        <v>#REF!</v>
      </c>
      <c r="T42" s="134"/>
      <c r="U42" s="39" t="e">
        <f>ROUND(#REF!*(1+#REF!),0)+MIN(#REF!-#REF!-SUM(#REF!),(barracks_size + tech_8_3*#REF!)*#REF!)</f>
        <v>#REF!</v>
      </c>
      <c r="V42" s="39" t="e">
        <f>(#REF!+#REF!)*pop_in_home+(SUM(#REF!)+#REF!-#REF!)*pop_in_building+(SUM(#REF!)-#REF!*20)*pop_on_barren-(SUM(#REF!)-SUM(#REF!))*(15-pop_on_barren)-pop_on_barren*#REF!</f>
        <v>#REF!</v>
      </c>
      <c r="W42" s="39" t="e">
        <f ca="1">MAX(-5%*#REF!-#REF!,MIN(OFFSET(#REF!,1,0)-#REF!-#REF!-#REF!,#REF!-#REF!))</f>
        <v>#REF!</v>
      </c>
      <c r="X42" s="39" t="e">
        <f>ROUND(#REF!*(1+#REF!),0)</f>
        <v>#REF!</v>
      </c>
      <c r="Y42" s="39" t="e">
        <f>(#REF!-#REF!)*raw_pop_growth</f>
        <v>#REF!</v>
      </c>
      <c r="Z42" s="39" t="e">
        <f>IF(#REF!&lt;#REF!,ROUND(#REF!*Constants!$B$55,0), 0)</f>
        <v>#REF!</v>
      </c>
      <c r="AA42" s="134"/>
      <c r="AB42" s="135" t="e">
        <f ca="1">Overview!$I$16 + IF(Magic!AE42&gt;0,Constants!$F$78) + ROUND(6*(Construction!BM43+Construction!CK42)/IF(Explore!S43&gt;0,Construction!F43-20,Construction!F43),4) + tech_6_5_2*Techs!BJ42 + tech_8_4*Techs!BT42</f>
        <v>#REF!</v>
      </c>
      <c r="AC42" s="132" t="e">
        <f ca="1">(Overview!$I$15 + Imps!Z42+ tech_2_5*Techs!AB42 + tech_3_6*Techs!AM42 + tech_6_1*Techs!BJ42 + tech_6_5*Techs!BF42 + tech_7_3_2*Techs!BN42) * (1 + Production!O42/100*prestige_pop_multiplier) + Production!O42/100*prestige_pop_multiplier</f>
        <v>#REF!</v>
      </c>
    </row>
    <row r="43" spans="1:29" x14ac:dyDescent="0.25">
      <c r="A43" s="130" t="e">
        <f>#REF!</f>
        <v>#REF!</v>
      </c>
      <c r="B43" s="131" t="e">
        <f>#REF!</f>
        <v>#REF!</v>
      </c>
      <c r="C43" s="39" t="e">
        <f ca="1">OFFSET(#REF!,-1,0)+OFFSET(#REF!,-1,0)+#REF!</f>
        <v>#REF!</v>
      </c>
      <c r="D43" s="39" t="e">
        <f>#REF!</f>
        <v>#REF!</v>
      </c>
      <c r="E43" s="39" t="e">
        <f>#REF!</f>
        <v>#REF!</v>
      </c>
      <c r="F43" s="39" t="e">
        <f>#REF!+#REF!</f>
        <v>#REF!</v>
      </c>
      <c r="G43" s="132" t="e">
        <f>#REF!/#REF!</f>
        <v>#REF!</v>
      </c>
      <c r="H43" s="39" t="e">
        <f>MIN(#REF!,#REF!)</f>
        <v>#REF!</v>
      </c>
      <c r="I43" s="132" t="e">
        <f ca="1">MIN(OFFSET(#REF!,1,0)/#REF!,1)</f>
        <v>#REF!</v>
      </c>
      <c r="J43" s="39" t="e">
        <f>SUM(#REF!,#REF!,#REF!,#REF!)*building_employment +#REF!* bonus_jobs_facts</f>
        <v>#REF!</v>
      </c>
      <c r="K43" s="133"/>
      <c r="L43" s="61" t="e">
        <f>#REF!</f>
        <v>#REF!</v>
      </c>
      <c r="M43" s="61" t="e">
        <f>#REF!</f>
        <v>#REF!</v>
      </c>
      <c r="N43" s="61" t="e">
        <f>#REF!</f>
        <v>#REF!</v>
      </c>
      <c r="O43" s="61" t="e">
        <f>#REF!</f>
        <v>#REF!</v>
      </c>
      <c r="P43" s="61" t="e">
        <f>#REF!</f>
        <v>#REF!</v>
      </c>
      <c r="Q43" s="61" t="e">
        <f>#REF!</f>
        <v>#REF!</v>
      </c>
      <c r="R43" s="61" t="e">
        <f>#REF!</f>
        <v>#REF!</v>
      </c>
      <c r="S43" s="61" t="e">
        <f>#REF!</f>
        <v>#REF!</v>
      </c>
      <c r="T43" s="134"/>
      <c r="U43" s="39" t="e">
        <f>ROUND(#REF!*(1+#REF!),0)+MIN(#REF!-#REF!-SUM(#REF!),(barracks_size + tech_8_3*#REF!)*#REF!)</f>
        <v>#REF!</v>
      </c>
      <c r="V43" s="39" t="e">
        <f>(#REF!+#REF!)*pop_in_home+(SUM(#REF!)+#REF!-#REF!)*pop_in_building+(SUM(#REF!)-#REF!*20)*pop_on_barren-(SUM(#REF!)-SUM(#REF!))*(15-pop_on_barren)-pop_on_barren*#REF!</f>
        <v>#REF!</v>
      </c>
      <c r="W43" s="39" t="e">
        <f ca="1">MAX(-5%*#REF!-#REF!,MIN(OFFSET(#REF!,1,0)-#REF!-#REF!-#REF!,#REF!-#REF!))</f>
        <v>#REF!</v>
      </c>
      <c r="X43" s="39" t="e">
        <f>ROUND(#REF!*(1+#REF!),0)</f>
        <v>#REF!</v>
      </c>
      <c r="Y43" s="39" t="e">
        <f>(#REF!-#REF!)*raw_pop_growth</f>
        <v>#REF!</v>
      </c>
      <c r="Z43" s="39" t="e">
        <f>IF(#REF!&lt;#REF!,ROUND(#REF!*Constants!$B$55,0), 0)</f>
        <v>#REF!</v>
      </c>
      <c r="AA43" s="134"/>
      <c r="AB43" s="135" t="e">
        <f ca="1">Overview!$I$16 + IF(Magic!AE43&gt;0,Constants!$F$78) + ROUND(6*(Construction!BM44+Construction!CK43)/IF(Explore!S44&gt;0,Construction!F44-20,Construction!F44),4) + tech_6_5_2*Techs!BJ43 + tech_8_4*Techs!BT43</f>
        <v>#REF!</v>
      </c>
      <c r="AC43" s="132" t="e">
        <f ca="1">(Overview!$I$15 + Imps!Z43+ tech_2_5*Techs!AB43 + tech_3_6*Techs!AM43 + tech_6_1*Techs!BJ43 + tech_6_5*Techs!BF43 + tech_7_3_2*Techs!BN43) * (1 + Production!O43/100*prestige_pop_multiplier) + Production!O43/100*prestige_pop_multiplier</f>
        <v>#REF!</v>
      </c>
    </row>
    <row r="44" spans="1:29" x14ac:dyDescent="0.25">
      <c r="A44" s="130" t="e">
        <f>#REF!</f>
        <v>#REF!</v>
      </c>
      <c r="B44" s="131" t="e">
        <f>#REF!</f>
        <v>#REF!</v>
      </c>
      <c r="C44" s="39" t="e">
        <f ca="1">OFFSET(#REF!,-1,0)+OFFSET(#REF!,-1,0)+#REF!</f>
        <v>#REF!</v>
      </c>
      <c r="D44" s="39" t="e">
        <f>#REF!</f>
        <v>#REF!</v>
      </c>
      <c r="E44" s="39" t="e">
        <f>#REF!</f>
        <v>#REF!</v>
      </c>
      <c r="F44" s="39" t="e">
        <f>#REF!+#REF!</f>
        <v>#REF!</v>
      </c>
      <c r="G44" s="132" t="e">
        <f>#REF!/#REF!</f>
        <v>#REF!</v>
      </c>
      <c r="H44" s="39" t="e">
        <f>MIN(#REF!,#REF!)</f>
        <v>#REF!</v>
      </c>
      <c r="I44" s="132" t="e">
        <f ca="1">MIN(OFFSET(#REF!,1,0)/#REF!,1)</f>
        <v>#REF!</v>
      </c>
      <c r="J44" s="39" t="e">
        <f>SUM(#REF!,#REF!,#REF!,#REF!)*building_employment +#REF!* bonus_jobs_facts</f>
        <v>#REF!</v>
      </c>
      <c r="K44" s="133"/>
      <c r="L44" s="61" t="e">
        <f>#REF!</f>
        <v>#REF!</v>
      </c>
      <c r="M44" s="61" t="e">
        <f>#REF!</f>
        <v>#REF!</v>
      </c>
      <c r="N44" s="61" t="e">
        <f>#REF!</f>
        <v>#REF!</v>
      </c>
      <c r="O44" s="61" t="e">
        <f>#REF!</f>
        <v>#REF!</v>
      </c>
      <c r="P44" s="61" t="e">
        <f>#REF!</f>
        <v>#REF!</v>
      </c>
      <c r="Q44" s="61" t="e">
        <f>#REF!</f>
        <v>#REF!</v>
      </c>
      <c r="R44" s="61" t="e">
        <f>#REF!</f>
        <v>#REF!</v>
      </c>
      <c r="S44" s="61" t="e">
        <f>#REF!</f>
        <v>#REF!</v>
      </c>
      <c r="T44" s="134"/>
      <c r="U44" s="39" t="e">
        <f>ROUND(#REF!*(1+#REF!),0)+MIN(#REF!-#REF!-SUM(#REF!),(barracks_size + tech_8_3*#REF!)*#REF!)</f>
        <v>#REF!</v>
      </c>
      <c r="V44" s="39" t="e">
        <f>(#REF!+#REF!)*pop_in_home+(SUM(#REF!)+#REF!-#REF!)*pop_in_building+(SUM(#REF!)-#REF!*20)*pop_on_barren-(SUM(#REF!)-SUM(#REF!))*(15-pop_on_barren)-pop_on_barren*#REF!</f>
        <v>#REF!</v>
      </c>
      <c r="W44" s="39" t="e">
        <f ca="1">MAX(-5%*#REF!-#REF!,MIN(OFFSET(#REF!,1,0)-#REF!-#REF!-#REF!,#REF!-#REF!))</f>
        <v>#REF!</v>
      </c>
      <c r="X44" s="39" t="e">
        <f>ROUND(#REF!*(1+#REF!),0)</f>
        <v>#REF!</v>
      </c>
      <c r="Y44" s="39" t="e">
        <f>(#REF!-#REF!)*raw_pop_growth</f>
        <v>#REF!</v>
      </c>
      <c r="Z44" s="39" t="e">
        <f>IF(#REF!&lt;#REF!,ROUND(#REF!*Constants!$B$55,0), 0)</f>
        <v>#REF!</v>
      </c>
      <c r="AA44" s="134"/>
      <c r="AB44" s="135" t="e">
        <f ca="1">Overview!$I$16 + IF(Magic!AE44&gt;0,Constants!$F$78) + ROUND(6*(Construction!BM45+Construction!CK44)/IF(Explore!S45&gt;0,Construction!F45-20,Construction!F45),4) + tech_6_5_2*Techs!BJ44 + tech_8_4*Techs!BT44</f>
        <v>#REF!</v>
      </c>
      <c r="AC44" s="132" t="e">
        <f ca="1">(Overview!$I$15 + Imps!Z44+ tech_2_5*Techs!AB44 + tech_3_6*Techs!AM44 + tech_6_1*Techs!BJ44 + tech_6_5*Techs!BF44 + tech_7_3_2*Techs!BN44) * (1 + Production!O44/100*prestige_pop_multiplier) + Production!O44/100*prestige_pop_multiplier</f>
        <v>#REF!</v>
      </c>
    </row>
    <row r="45" spans="1:29" x14ac:dyDescent="0.25">
      <c r="A45" s="130" t="e">
        <f>#REF!</f>
        <v>#REF!</v>
      </c>
      <c r="B45" s="131" t="e">
        <f>#REF!</f>
        <v>#REF!</v>
      </c>
      <c r="C45" s="39" t="e">
        <f ca="1">OFFSET(#REF!,-1,0)+OFFSET(#REF!,-1,0)+#REF!</f>
        <v>#REF!</v>
      </c>
      <c r="D45" s="39" t="e">
        <f>#REF!</f>
        <v>#REF!</v>
      </c>
      <c r="E45" s="39" t="e">
        <f>#REF!</f>
        <v>#REF!</v>
      </c>
      <c r="F45" s="39" t="e">
        <f>#REF!+#REF!</f>
        <v>#REF!</v>
      </c>
      <c r="G45" s="132" t="e">
        <f>#REF!/#REF!</f>
        <v>#REF!</v>
      </c>
      <c r="H45" s="39" t="e">
        <f>MIN(#REF!,#REF!)</f>
        <v>#REF!</v>
      </c>
      <c r="I45" s="132" t="e">
        <f ca="1">MIN(OFFSET(#REF!,1,0)/#REF!,1)</f>
        <v>#REF!</v>
      </c>
      <c r="J45" s="39" t="e">
        <f>SUM(#REF!,#REF!,#REF!,#REF!)*building_employment +#REF!* bonus_jobs_facts</f>
        <v>#REF!</v>
      </c>
      <c r="K45" s="133"/>
      <c r="L45" s="61" t="e">
        <f>#REF!</f>
        <v>#REF!</v>
      </c>
      <c r="M45" s="61" t="e">
        <f>#REF!</f>
        <v>#REF!</v>
      </c>
      <c r="N45" s="61" t="e">
        <f>#REF!</f>
        <v>#REF!</v>
      </c>
      <c r="O45" s="61" t="e">
        <f>#REF!</f>
        <v>#REF!</v>
      </c>
      <c r="P45" s="61" t="e">
        <f>#REF!</f>
        <v>#REF!</v>
      </c>
      <c r="Q45" s="61" t="e">
        <f>#REF!</f>
        <v>#REF!</v>
      </c>
      <c r="R45" s="61" t="e">
        <f>#REF!</f>
        <v>#REF!</v>
      </c>
      <c r="S45" s="61" t="e">
        <f>#REF!</f>
        <v>#REF!</v>
      </c>
      <c r="T45" s="134"/>
      <c r="U45" s="39" t="e">
        <f>ROUND(#REF!*(1+#REF!),0)+MIN(#REF!-#REF!-SUM(#REF!),(barracks_size + tech_8_3*#REF!)*#REF!)</f>
        <v>#REF!</v>
      </c>
      <c r="V45" s="39" t="e">
        <f>(#REF!+#REF!)*pop_in_home+(SUM(#REF!)+#REF!-#REF!)*pop_in_building+(SUM(#REF!)-#REF!*20)*pop_on_barren-(SUM(#REF!)-SUM(#REF!))*(15-pop_on_barren)-pop_on_barren*#REF!</f>
        <v>#REF!</v>
      </c>
      <c r="W45" s="39" t="e">
        <f ca="1">MAX(-5%*#REF!-#REF!,MIN(OFFSET(#REF!,1,0)-#REF!-#REF!-#REF!,#REF!-#REF!))</f>
        <v>#REF!</v>
      </c>
      <c r="X45" s="39" t="e">
        <f>ROUND(#REF!*(1+#REF!),0)</f>
        <v>#REF!</v>
      </c>
      <c r="Y45" s="39" t="e">
        <f>(#REF!-#REF!)*raw_pop_growth</f>
        <v>#REF!</v>
      </c>
      <c r="Z45" s="39" t="e">
        <f>IF(#REF!&lt;#REF!,ROUND(#REF!*Constants!$B$55,0), 0)</f>
        <v>#REF!</v>
      </c>
      <c r="AA45" s="134"/>
      <c r="AB45" s="135" t="e">
        <f ca="1">Overview!$I$16 + IF(Magic!AE45&gt;0,Constants!$F$78) + ROUND(6*(Construction!BM46+Construction!CK45)/IF(Explore!S46&gt;0,Construction!F46-20,Construction!F46),4) + tech_6_5_2*Techs!BJ45 + tech_8_4*Techs!BT45</f>
        <v>#REF!</v>
      </c>
      <c r="AC45" s="132" t="e">
        <f ca="1">(Overview!$I$15 + Imps!Z45+ tech_2_5*Techs!AB45 + tech_3_6*Techs!AM45 + tech_6_1*Techs!BJ45 + tech_6_5*Techs!BF45 + tech_7_3_2*Techs!BN45) * (1 + Production!O45/100*prestige_pop_multiplier) + Production!O45/100*prestige_pop_multiplier</f>
        <v>#REF!</v>
      </c>
    </row>
    <row r="46" spans="1:29" x14ac:dyDescent="0.25">
      <c r="A46" s="130" t="e">
        <f>#REF!</f>
        <v>#REF!</v>
      </c>
      <c r="B46" s="131" t="e">
        <f>#REF!</f>
        <v>#REF!</v>
      </c>
      <c r="C46" s="39" t="e">
        <f ca="1">OFFSET(#REF!,-1,0)+OFFSET(#REF!,-1,0)+#REF!</f>
        <v>#REF!</v>
      </c>
      <c r="D46" s="39" t="e">
        <f>#REF!</f>
        <v>#REF!</v>
      </c>
      <c r="E46" s="39" t="e">
        <f>#REF!</f>
        <v>#REF!</v>
      </c>
      <c r="F46" s="39" t="e">
        <f>#REF!+#REF!</f>
        <v>#REF!</v>
      </c>
      <c r="G46" s="132" t="e">
        <f>#REF!/#REF!</f>
        <v>#REF!</v>
      </c>
      <c r="H46" s="39" t="e">
        <f>MIN(#REF!,#REF!)</f>
        <v>#REF!</v>
      </c>
      <c r="I46" s="132" t="e">
        <f ca="1">MIN(OFFSET(#REF!,1,0)/#REF!,1)</f>
        <v>#REF!</v>
      </c>
      <c r="J46" s="39" t="e">
        <f>SUM(#REF!,#REF!,#REF!,#REF!)*building_employment +#REF!* bonus_jobs_facts</f>
        <v>#REF!</v>
      </c>
      <c r="K46" s="133"/>
      <c r="L46" s="61" t="e">
        <f>#REF!</f>
        <v>#REF!</v>
      </c>
      <c r="M46" s="61" t="e">
        <f>#REF!</f>
        <v>#REF!</v>
      </c>
      <c r="N46" s="61" t="e">
        <f>#REF!</f>
        <v>#REF!</v>
      </c>
      <c r="O46" s="61" t="e">
        <f>#REF!</f>
        <v>#REF!</v>
      </c>
      <c r="P46" s="61" t="e">
        <f>#REF!</f>
        <v>#REF!</v>
      </c>
      <c r="Q46" s="61" t="e">
        <f>#REF!</f>
        <v>#REF!</v>
      </c>
      <c r="R46" s="61" t="e">
        <f>#REF!</f>
        <v>#REF!</v>
      </c>
      <c r="S46" s="61" t="e">
        <f>#REF!</f>
        <v>#REF!</v>
      </c>
      <c r="T46" s="134"/>
      <c r="U46" s="39" t="e">
        <f>ROUND(#REF!*(1+#REF!),0)+MIN(#REF!-#REF!-SUM(#REF!),(barracks_size + tech_8_3*#REF!)*#REF!)</f>
        <v>#REF!</v>
      </c>
      <c r="V46" s="39" t="e">
        <f>(#REF!+#REF!)*pop_in_home+(SUM(#REF!)+#REF!-#REF!)*pop_in_building+(SUM(#REF!)-#REF!*20)*pop_on_barren-(SUM(#REF!)-SUM(#REF!))*(15-pop_on_barren)-pop_on_barren*#REF!</f>
        <v>#REF!</v>
      </c>
      <c r="W46" s="39" t="e">
        <f ca="1">MAX(-5%*#REF!-#REF!,MIN(OFFSET(#REF!,1,0)-#REF!-#REF!-#REF!,#REF!-#REF!))</f>
        <v>#REF!</v>
      </c>
      <c r="X46" s="39" t="e">
        <f>ROUND(#REF!*(1+#REF!),0)</f>
        <v>#REF!</v>
      </c>
      <c r="Y46" s="39" t="e">
        <f>(#REF!-#REF!)*raw_pop_growth</f>
        <v>#REF!</v>
      </c>
      <c r="Z46" s="39" t="e">
        <f>IF(#REF!&lt;#REF!,ROUND(#REF!*Constants!$B$55,0), 0)</f>
        <v>#REF!</v>
      </c>
      <c r="AA46" s="134"/>
      <c r="AB46" s="135" t="e">
        <f ca="1">Overview!$I$16 + IF(Magic!AE46&gt;0,Constants!$F$78) + ROUND(6*(Construction!BM47+Construction!CK46)/IF(Explore!S47&gt;0,Construction!F47-20,Construction!F47),4) + tech_6_5_2*Techs!BJ46 + tech_8_4*Techs!BT46</f>
        <v>#REF!</v>
      </c>
      <c r="AC46" s="132" t="e">
        <f ca="1">(Overview!$I$15 + Imps!Z46+ tech_2_5*Techs!AB46 + tech_3_6*Techs!AM46 + tech_6_1*Techs!BJ46 + tech_6_5*Techs!BF46 + tech_7_3_2*Techs!BN46) * (1 + Production!O46/100*prestige_pop_multiplier) + Production!O46/100*prestige_pop_multiplier</f>
        <v>#REF!</v>
      </c>
    </row>
    <row r="47" spans="1:29" x14ac:dyDescent="0.25">
      <c r="A47" s="130" t="e">
        <f>#REF!</f>
        <v>#REF!</v>
      </c>
      <c r="B47" s="131" t="e">
        <f>#REF!</f>
        <v>#REF!</v>
      </c>
      <c r="C47" s="39" t="e">
        <f ca="1">OFFSET(#REF!,-1,0)+OFFSET(#REF!,-1,0)+#REF!</f>
        <v>#REF!</v>
      </c>
      <c r="D47" s="39" t="e">
        <f>#REF!</f>
        <v>#REF!</v>
      </c>
      <c r="E47" s="39" t="e">
        <f>#REF!</f>
        <v>#REF!</v>
      </c>
      <c r="F47" s="39" t="e">
        <f>#REF!+#REF!</f>
        <v>#REF!</v>
      </c>
      <c r="G47" s="132" t="e">
        <f>#REF!/#REF!</f>
        <v>#REF!</v>
      </c>
      <c r="H47" s="39" t="e">
        <f>MIN(#REF!,#REF!)</f>
        <v>#REF!</v>
      </c>
      <c r="I47" s="132" t="e">
        <f ca="1">MIN(OFFSET(#REF!,1,0)/#REF!,1)</f>
        <v>#REF!</v>
      </c>
      <c r="J47" s="39" t="e">
        <f>SUM(#REF!,#REF!,#REF!,#REF!)*building_employment +#REF!* bonus_jobs_facts</f>
        <v>#REF!</v>
      </c>
      <c r="K47" s="133"/>
      <c r="L47" s="61" t="e">
        <f>#REF!</f>
        <v>#REF!</v>
      </c>
      <c r="M47" s="61" t="e">
        <f>#REF!</f>
        <v>#REF!</v>
      </c>
      <c r="N47" s="61" t="e">
        <f>#REF!</f>
        <v>#REF!</v>
      </c>
      <c r="O47" s="61" t="e">
        <f>#REF!</f>
        <v>#REF!</v>
      </c>
      <c r="P47" s="61" t="e">
        <f>#REF!</f>
        <v>#REF!</v>
      </c>
      <c r="Q47" s="61" t="e">
        <f>#REF!</f>
        <v>#REF!</v>
      </c>
      <c r="R47" s="61" t="e">
        <f>#REF!</f>
        <v>#REF!</v>
      </c>
      <c r="S47" s="61" t="e">
        <f>#REF!</f>
        <v>#REF!</v>
      </c>
      <c r="T47" s="134"/>
      <c r="U47" s="39" t="e">
        <f>ROUND(#REF!*(1+#REF!),0)+MIN(#REF!-#REF!-SUM(#REF!),(barracks_size + tech_8_3*#REF!)*#REF!)</f>
        <v>#REF!</v>
      </c>
      <c r="V47" s="39" t="e">
        <f>(#REF!+#REF!)*pop_in_home+(SUM(#REF!)+#REF!-#REF!)*pop_in_building+(SUM(#REF!)-#REF!*20)*pop_on_barren-(SUM(#REF!)-SUM(#REF!))*(15-pop_on_barren)-pop_on_barren*#REF!</f>
        <v>#REF!</v>
      </c>
      <c r="W47" s="39" t="e">
        <f ca="1">MAX(-5%*#REF!-#REF!,MIN(OFFSET(#REF!,1,0)-#REF!-#REF!-#REF!,#REF!-#REF!))</f>
        <v>#REF!</v>
      </c>
      <c r="X47" s="39" t="e">
        <f>ROUND(#REF!*(1+#REF!),0)</f>
        <v>#REF!</v>
      </c>
      <c r="Y47" s="39" t="e">
        <f>(#REF!-#REF!)*raw_pop_growth</f>
        <v>#REF!</v>
      </c>
      <c r="Z47" s="39" t="e">
        <f>IF(#REF!&lt;#REF!,ROUND(#REF!*Constants!$B$55,0), 0)</f>
        <v>#REF!</v>
      </c>
      <c r="AA47" s="134"/>
      <c r="AB47" s="135" t="e">
        <f ca="1">Overview!$I$16 + IF(Magic!AE47&gt;0,Constants!$F$78) + ROUND(6*(Construction!BM48+Construction!CK47)/IF(Explore!S48&gt;0,Construction!F48-20,Construction!F48),4) + tech_6_5_2*Techs!BJ47 + tech_8_4*Techs!BT47</f>
        <v>#REF!</v>
      </c>
      <c r="AC47" s="132" t="e">
        <f ca="1">(Overview!$I$15 + Imps!Z47+ tech_2_5*Techs!AB47 + tech_3_6*Techs!AM47 + tech_6_1*Techs!BJ47 + tech_6_5*Techs!BF47 + tech_7_3_2*Techs!BN47) * (1 + Production!O47/100*prestige_pop_multiplier) + Production!O47/100*prestige_pop_multiplier</f>
        <v>#REF!</v>
      </c>
    </row>
    <row r="48" spans="1:29" x14ac:dyDescent="0.25">
      <c r="A48" s="130" t="e">
        <f>#REF!</f>
        <v>#REF!</v>
      </c>
      <c r="B48" s="131" t="e">
        <f>#REF!</f>
        <v>#REF!</v>
      </c>
      <c r="C48" s="39" t="e">
        <f ca="1">OFFSET(#REF!,-1,0)+OFFSET(#REF!,-1,0)+#REF!</f>
        <v>#REF!</v>
      </c>
      <c r="D48" s="39" t="e">
        <f>#REF!</f>
        <v>#REF!</v>
      </c>
      <c r="E48" s="39" t="e">
        <f>#REF!</f>
        <v>#REF!</v>
      </c>
      <c r="F48" s="39" t="e">
        <f>#REF!+#REF!</f>
        <v>#REF!</v>
      </c>
      <c r="G48" s="132" t="e">
        <f>#REF!/#REF!</f>
        <v>#REF!</v>
      </c>
      <c r="H48" s="39" t="e">
        <f>MIN(#REF!,#REF!)</f>
        <v>#REF!</v>
      </c>
      <c r="I48" s="132" t="e">
        <f ca="1">MIN(OFFSET(#REF!,1,0)/#REF!,1)</f>
        <v>#REF!</v>
      </c>
      <c r="J48" s="39" t="e">
        <f>SUM(#REF!,#REF!,#REF!,#REF!)*building_employment +#REF!* bonus_jobs_facts</f>
        <v>#REF!</v>
      </c>
      <c r="K48" s="133"/>
      <c r="L48" s="61" t="e">
        <f>#REF!</f>
        <v>#REF!</v>
      </c>
      <c r="M48" s="61" t="e">
        <f>#REF!</f>
        <v>#REF!</v>
      </c>
      <c r="N48" s="61" t="e">
        <f>#REF!</f>
        <v>#REF!</v>
      </c>
      <c r="O48" s="61" t="e">
        <f>#REF!</f>
        <v>#REF!</v>
      </c>
      <c r="P48" s="61" t="e">
        <f>#REF!</f>
        <v>#REF!</v>
      </c>
      <c r="Q48" s="61" t="e">
        <f>#REF!</f>
        <v>#REF!</v>
      </c>
      <c r="R48" s="61" t="e">
        <f>#REF!</f>
        <v>#REF!</v>
      </c>
      <c r="S48" s="61" t="e">
        <f>#REF!</f>
        <v>#REF!</v>
      </c>
      <c r="T48" s="134"/>
      <c r="U48" s="39" t="e">
        <f>ROUND(#REF!*(1+#REF!),0)+MIN(#REF!-#REF!-SUM(#REF!),(barracks_size + tech_8_3*#REF!)*#REF!)</f>
        <v>#REF!</v>
      </c>
      <c r="V48" s="39" t="e">
        <f>(#REF!+#REF!)*pop_in_home+(SUM(#REF!)+#REF!-#REF!)*pop_in_building+(SUM(#REF!)-#REF!*20)*pop_on_barren-(SUM(#REF!)-SUM(#REF!))*(15-pop_on_barren)-pop_on_barren*#REF!</f>
        <v>#REF!</v>
      </c>
      <c r="W48" s="39" t="e">
        <f ca="1">MAX(-5%*#REF!-#REF!,MIN(OFFSET(#REF!,1,0)-#REF!-#REF!-#REF!,#REF!-#REF!))</f>
        <v>#REF!</v>
      </c>
      <c r="X48" s="39" t="e">
        <f>ROUND(#REF!*(1+#REF!),0)</f>
        <v>#REF!</v>
      </c>
      <c r="Y48" s="39" t="e">
        <f>(#REF!-#REF!)*raw_pop_growth</f>
        <v>#REF!</v>
      </c>
      <c r="Z48" s="39" t="e">
        <f>IF(#REF!&lt;#REF!,ROUND(#REF!*Constants!$B$55,0), 0)</f>
        <v>#REF!</v>
      </c>
      <c r="AA48" s="134"/>
      <c r="AB48" s="135" t="e">
        <f ca="1">Overview!$I$16 + IF(Magic!AE48&gt;0,Constants!$F$78) + ROUND(6*(Construction!BM49+Construction!CK48)/IF(Explore!S49&gt;0,Construction!F49-20,Construction!F49),4) + tech_6_5_2*Techs!BJ48 + tech_8_4*Techs!BT48</f>
        <v>#REF!</v>
      </c>
      <c r="AC48" s="132" t="e">
        <f ca="1">(Overview!$I$15 + Imps!Z48+ tech_2_5*Techs!AB48 + tech_3_6*Techs!AM48 + tech_6_1*Techs!BJ48 + tech_6_5*Techs!BF48 + tech_7_3_2*Techs!BN48) * (1 + Production!O48/100*prestige_pop_multiplier) + Production!O48/100*prestige_pop_multiplier</f>
        <v>#REF!</v>
      </c>
    </row>
    <row r="49" spans="1:29" x14ac:dyDescent="0.25">
      <c r="A49" s="130" t="e">
        <f>#REF!</f>
        <v>#REF!</v>
      </c>
      <c r="B49" s="131" t="e">
        <f>#REF!</f>
        <v>#REF!</v>
      </c>
      <c r="C49" s="39" t="e">
        <f ca="1">OFFSET(#REF!,-1,0)+OFFSET(#REF!,-1,0)+#REF!</f>
        <v>#REF!</v>
      </c>
      <c r="D49" s="39" t="e">
        <f>#REF!</f>
        <v>#REF!</v>
      </c>
      <c r="E49" s="39" t="e">
        <f>#REF!</f>
        <v>#REF!</v>
      </c>
      <c r="F49" s="39" t="e">
        <f>#REF!+#REF!</f>
        <v>#REF!</v>
      </c>
      <c r="G49" s="132" t="e">
        <f>#REF!/#REF!</f>
        <v>#REF!</v>
      </c>
      <c r="H49" s="39" t="e">
        <f>MIN(#REF!,#REF!)</f>
        <v>#REF!</v>
      </c>
      <c r="I49" s="132" t="e">
        <f ca="1">MIN(OFFSET(#REF!,1,0)/#REF!,1)</f>
        <v>#REF!</v>
      </c>
      <c r="J49" s="39" t="e">
        <f>SUM(#REF!,#REF!,#REF!,#REF!)*building_employment +#REF!* bonus_jobs_facts</f>
        <v>#REF!</v>
      </c>
      <c r="K49" s="133"/>
      <c r="L49" s="61" t="e">
        <f>#REF!</f>
        <v>#REF!</v>
      </c>
      <c r="M49" s="61" t="e">
        <f>#REF!</f>
        <v>#REF!</v>
      </c>
      <c r="N49" s="61" t="e">
        <f>#REF!</f>
        <v>#REF!</v>
      </c>
      <c r="O49" s="61" t="e">
        <f>#REF!</f>
        <v>#REF!</v>
      </c>
      <c r="P49" s="61" t="e">
        <f>#REF!</f>
        <v>#REF!</v>
      </c>
      <c r="Q49" s="61" t="e">
        <f>#REF!</f>
        <v>#REF!</v>
      </c>
      <c r="R49" s="61" t="e">
        <f>#REF!</f>
        <v>#REF!</v>
      </c>
      <c r="S49" s="61" t="e">
        <f>#REF!</f>
        <v>#REF!</v>
      </c>
      <c r="T49" s="134"/>
      <c r="U49" s="39" t="e">
        <f>ROUND(#REF!*(1+#REF!),0)+MIN(#REF!-#REF!-SUM(#REF!),(barracks_size + tech_8_3*#REF!)*#REF!)</f>
        <v>#REF!</v>
      </c>
      <c r="V49" s="39" t="e">
        <f>(#REF!+#REF!)*pop_in_home+(SUM(#REF!)+#REF!-#REF!)*pop_in_building+(SUM(#REF!)-#REF!*20)*pop_on_barren-(SUM(#REF!)-SUM(#REF!))*(15-pop_on_barren)-pop_on_barren*#REF!</f>
        <v>#REF!</v>
      </c>
      <c r="W49" s="39" t="e">
        <f ca="1">MAX(-5%*#REF!-#REF!,MIN(OFFSET(#REF!,1,0)-#REF!-#REF!-#REF!,#REF!-#REF!))</f>
        <v>#REF!</v>
      </c>
      <c r="X49" s="39" t="e">
        <f>ROUND(#REF!*(1+#REF!),0)</f>
        <v>#REF!</v>
      </c>
      <c r="Y49" s="39" t="e">
        <f>(#REF!-#REF!)*raw_pop_growth</f>
        <v>#REF!</v>
      </c>
      <c r="Z49" s="39" t="e">
        <f>IF(#REF!&lt;#REF!,ROUND(#REF!*Constants!$B$55,0), 0)</f>
        <v>#REF!</v>
      </c>
      <c r="AA49" s="134"/>
      <c r="AB49" s="135" t="e">
        <f ca="1">Overview!$I$16 + IF(Magic!AE49&gt;0,Constants!$F$78) + ROUND(6*(Construction!BM50+Construction!CK49)/IF(Explore!S50&gt;0,Construction!F50-20,Construction!F50),4) + tech_6_5_2*Techs!BJ49 + tech_8_4*Techs!BT49</f>
        <v>#REF!</v>
      </c>
      <c r="AC49" s="132" t="e">
        <f ca="1">(Overview!$I$15 + Imps!Z49+ tech_2_5*Techs!AB49 + tech_3_6*Techs!AM49 + tech_6_1*Techs!BJ49 + tech_6_5*Techs!BF49 + tech_7_3_2*Techs!BN49) * (1 + Production!O49/100*prestige_pop_multiplier) + Production!O49/100*prestige_pop_multiplier</f>
        <v>#REF!</v>
      </c>
    </row>
    <row r="50" spans="1:29" x14ac:dyDescent="0.25">
      <c r="A50" s="130" t="e">
        <f>#REF!</f>
        <v>#REF!</v>
      </c>
      <c r="B50" s="131" t="e">
        <f>#REF!</f>
        <v>#REF!</v>
      </c>
      <c r="C50" s="39" t="e">
        <f ca="1">OFFSET(#REF!,-1,0)+OFFSET(#REF!,-1,0)+#REF!</f>
        <v>#REF!</v>
      </c>
      <c r="D50" s="39" t="e">
        <f>#REF!</f>
        <v>#REF!</v>
      </c>
      <c r="E50" s="39" t="e">
        <f>#REF!</f>
        <v>#REF!</v>
      </c>
      <c r="F50" s="39" t="e">
        <f>#REF!+#REF!</f>
        <v>#REF!</v>
      </c>
      <c r="G50" s="132" t="e">
        <f>#REF!/#REF!</f>
        <v>#REF!</v>
      </c>
      <c r="H50" s="39" t="e">
        <f>MIN(#REF!,#REF!)</f>
        <v>#REF!</v>
      </c>
      <c r="I50" s="132" t="e">
        <f ca="1">MIN(OFFSET(#REF!,1,0)/#REF!,1)</f>
        <v>#REF!</v>
      </c>
      <c r="J50" s="39" t="e">
        <f>SUM(#REF!,#REF!,#REF!,#REF!)*building_employment +#REF!* bonus_jobs_facts</f>
        <v>#REF!</v>
      </c>
      <c r="K50" s="133"/>
      <c r="L50" s="61" t="e">
        <f>#REF!</f>
        <v>#REF!</v>
      </c>
      <c r="M50" s="61" t="e">
        <f>#REF!</f>
        <v>#REF!</v>
      </c>
      <c r="N50" s="61" t="e">
        <f>#REF!</f>
        <v>#REF!</v>
      </c>
      <c r="O50" s="61" t="e">
        <f>#REF!</f>
        <v>#REF!</v>
      </c>
      <c r="P50" s="61" t="e">
        <f>#REF!</f>
        <v>#REF!</v>
      </c>
      <c r="Q50" s="61" t="e">
        <f>#REF!</f>
        <v>#REF!</v>
      </c>
      <c r="R50" s="61" t="e">
        <f>#REF!</f>
        <v>#REF!</v>
      </c>
      <c r="S50" s="61" t="e">
        <f>#REF!</f>
        <v>#REF!</v>
      </c>
      <c r="T50" s="134"/>
      <c r="U50" s="39" t="e">
        <f>ROUND(#REF!*(1+#REF!),0)+MIN(#REF!-#REF!-SUM(#REF!),(barracks_size + tech_8_3*#REF!)*#REF!)</f>
        <v>#REF!</v>
      </c>
      <c r="V50" s="39" t="e">
        <f>(#REF!+#REF!)*pop_in_home+(SUM(#REF!)+#REF!-#REF!)*pop_in_building+(SUM(#REF!)-#REF!*20)*pop_on_barren-(SUM(#REF!)-SUM(#REF!))*(15-pop_on_barren)-pop_on_barren*#REF!</f>
        <v>#REF!</v>
      </c>
      <c r="W50" s="39" t="e">
        <f ca="1">MAX(-5%*#REF!-#REF!,MIN(OFFSET(#REF!,1,0)-#REF!-#REF!-#REF!,#REF!-#REF!))</f>
        <v>#REF!</v>
      </c>
      <c r="X50" s="39" t="e">
        <f>ROUND(#REF!*(1+#REF!),0)</f>
        <v>#REF!</v>
      </c>
      <c r="Y50" s="39" t="e">
        <f>(#REF!-#REF!)*raw_pop_growth</f>
        <v>#REF!</v>
      </c>
      <c r="Z50" s="39" t="e">
        <f>IF(#REF!&lt;#REF!,ROUND(#REF!*Constants!$B$55,0), 0)</f>
        <v>#REF!</v>
      </c>
      <c r="AA50" s="134"/>
      <c r="AB50" s="135" t="e">
        <f ca="1">Overview!$I$16 + IF(Magic!AE50&gt;0,Constants!$F$78) + ROUND(6*(Construction!BM51+Construction!CK50)/IF(Explore!S51&gt;0,Construction!F51-20,Construction!F51),4) + tech_6_5_2*Techs!BJ50 + tech_8_4*Techs!BT50</f>
        <v>#REF!</v>
      </c>
      <c r="AC50" s="132" t="e">
        <f ca="1">(Overview!$I$15 + Imps!Z50+ tech_2_5*Techs!AB50 + tech_3_6*Techs!AM50 + tech_6_1*Techs!BJ50 + tech_6_5*Techs!BF50 + tech_7_3_2*Techs!BN50) * (1 + Production!O50/100*prestige_pop_multiplier) + Production!O50/100*prestige_pop_multiplier</f>
        <v>#REF!</v>
      </c>
    </row>
    <row r="51" spans="1:29" x14ac:dyDescent="0.25">
      <c r="A51" s="130" t="e">
        <f>#REF!</f>
        <v>#REF!</v>
      </c>
      <c r="B51" s="131" t="e">
        <f>#REF!</f>
        <v>#REF!</v>
      </c>
      <c r="C51" s="39" t="e">
        <f ca="1">OFFSET(#REF!,-1,0)+OFFSET(#REF!,-1,0)+#REF!</f>
        <v>#REF!</v>
      </c>
      <c r="D51" s="39" t="e">
        <f>#REF!</f>
        <v>#REF!</v>
      </c>
      <c r="E51" s="39" t="e">
        <f>#REF!</f>
        <v>#REF!</v>
      </c>
      <c r="F51" s="39" t="e">
        <f>#REF!+#REF!</f>
        <v>#REF!</v>
      </c>
      <c r="G51" s="132" t="e">
        <f>#REF!/#REF!</f>
        <v>#REF!</v>
      </c>
      <c r="H51" s="39" t="e">
        <f>MIN(#REF!,#REF!)</f>
        <v>#REF!</v>
      </c>
      <c r="I51" s="132" t="e">
        <f ca="1">MIN(OFFSET(#REF!,1,0)/#REF!,1)</f>
        <v>#REF!</v>
      </c>
      <c r="J51" s="39" t="e">
        <f>SUM(#REF!,#REF!,#REF!,#REF!)*building_employment +#REF!* bonus_jobs_facts</f>
        <v>#REF!</v>
      </c>
      <c r="K51" s="133"/>
      <c r="L51" s="61" t="e">
        <f>#REF!</f>
        <v>#REF!</v>
      </c>
      <c r="M51" s="61" t="e">
        <f>#REF!</f>
        <v>#REF!</v>
      </c>
      <c r="N51" s="61" t="e">
        <f>#REF!</f>
        <v>#REF!</v>
      </c>
      <c r="O51" s="61" t="e">
        <f>#REF!</f>
        <v>#REF!</v>
      </c>
      <c r="P51" s="61" t="e">
        <f>#REF!</f>
        <v>#REF!</v>
      </c>
      <c r="Q51" s="61" t="e">
        <f>#REF!</f>
        <v>#REF!</v>
      </c>
      <c r="R51" s="61" t="e">
        <f>#REF!</f>
        <v>#REF!</v>
      </c>
      <c r="S51" s="61" t="e">
        <f>#REF!</f>
        <v>#REF!</v>
      </c>
      <c r="T51" s="134"/>
      <c r="U51" s="39" t="e">
        <f>ROUND(#REF!*(1+#REF!),0)+MIN(#REF!-#REF!-SUM(#REF!),(barracks_size + tech_8_3*#REF!)*#REF!)</f>
        <v>#REF!</v>
      </c>
      <c r="V51" s="39" t="e">
        <f>(#REF!+#REF!)*pop_in_home+(SUM(#REF!)+#REF!-#REF!)*pop_in_building+(SUM(#REF!)-#REF!*20)*pop_on_barren-(SUM(#REF!)-SUM(#REF!))*(15-pop_on_barren)-pop_on_barren*#REF!</f>
        <v>#REF!</v>
      </c>
      <c r="W51" s="39" t="e">
        <f ca="1">MAX(-5%*#REF!-#REF!,MIN(OFFSET(#REF!,1,0)-#REF!-#REF!-#REF!,#REF!-#REF!))</f>
        <v>#REF!</v>
      </c>
      <c r="X51" s="39" t="e">
        <f>ROUND(#REF!*(1+#REF!),0)</f>
        <v>#REF!</v>
      </c>
      <c r="Y51" s="39" t="e">
        <f>(#REF!-#REF!)*raw_pop_growth</f>
        <v>#REF!</v>
      </c>
      <c r="Z51" s="39" t="e">
        <f>IF(#REF!&lt;#REF!,ROUND(#REF!*Constants!$B$55,0), 0)</f>
        <v>#REF!</v>
      </c>
      <c r="AA51" s="134"/>
      <c r="AB51" s="135" t="e">
        <f ca="1">Overview!$I$16 + IF(Magic!AE51&gt;0,Constants!$F$78) + ROUND(6*(Construction!BM52+Construction!CK51)/IF(Explore!S52&gt;0,Construction!F52-20,Construction!F52),4) + tech_6_5_2*Techs!BJ51 + tech_8_4*Techs!BT51</f>
        <v>#REF!</v>
      </c>
      <c r="AC51" s="132" t="e">
        <f ca="1">(Overview!$I$15 + Imps!Z51+ tech_2_5*Techs!AB51 + tech_3_6*Techs!AM51 + tech_6_1*Techs!BJ51 + tech_6_5*Techs!BF51 + tech_7_3_2*Techs!BN51) * (1 + Production!O51/100*prestige_pop_multiplier) + Production!O51/100*prestige_pop_multiplier</f>
        <v>#REF!</v>
      </c>
    </row>
    <row r="52" spans="1:29" x14ac:dyDescent="0.25">
      <c r="A52" s="130" t="e">
        <f>#REF!</f>
        <v>#REF!</v>
      </c>
      <c r="B52" s="131" t="e">
        <f>#REF!</f>
        <v>#REF!</v>
      </c>
      <c r="C52" s="39" t="e">
        <f ca="1">OFFSET(#REF!,-1,0)+OFFSET(#REF!,-1,0)+#REF!</f>
        <v>#REF!</v>
      </c>
      <c r="D52" s="39" t="e">
        <f>#REF!</f>
        <v>#REF!</v>
      </c>
      <c r="E52" s="39" t="e">
        <f>#REF!</f>
        <v>#REF!</v>
      </c>
      <c r="F52" s="39" t="e">
        <f>#REF!+#REF!</f>
        <v>#REF!</v>
      </c>
      <c r="G52" s="132" t="e">
        <f>#REF!/#REF!</f>
        <v>#REF!</v>
      </c>
      <c r="H52" s="39" t="e">
        <f>MIN(#REF!,#REF!)</f>
        <v>#REF!</v>
      </c>
      <c r="I52" s="132" t="e">
        <f ca="1">MIN(OFFSET(#REF!,1,0)/#REF!,1)</f>
        <v>#REF!</v>
      </c>
      <c r="J52" s="39" t="e">
        <f>SUM(#REF!,#REF!,#REF!,#REF!)*building_employment +#REF!* bonus_jobs_facts</f>
        <v>#REF!</v>
      </c>
      <c r="K52" s="133"/>
      <c r="L52" s="61" t="e">
        <f>#REF!</f>
        <v>#REF!</v>
      </c>
      <c r="M52" s="61" t="e">
        <f>#REF!</f>
        <v>#REF!</v>
      </c>
      <c r="N52" s="61" t="e">
        <f>#REF!</f>
        <v>#REF!</v>
      </c>
      <c r="O52" s="61" t="e">
        <f>#REF!</f>
        <v>#REF!</v>
      </c>
      <c r="P52" s="61" t="e">
        <f>#REF!</f>
        <v>#REF!</v>
      </c>
      <c r="Q52" s="61" t="e">
        <f>#REF!</f>
        <v>#REF!</v>
      </c>
      <c r="R52" s="61" t="e">
        <f>#REF!</f>
        <v>#REF!</v>
      </c>
      <c r="S52" s="61" t="e">
        <f>#REF!</f>
        <v>#REF!</v>
      </c>
      <c r="T52" s="134"/>
      <c r="U52" s="39" t="e">
        <f>ROUND(#REF!*(1+#REF!),0)+MIN(#REF!-#REF!-SUM(#REF!),(barracks_size + tech_8_3*#REF!)*#REF!)</f>
        <v>#REF!</v>
      </c>
      <c r="V52" s="39" t="e">
        <f>(#REF!+#REF!)*pop_in_home+(SUM(#REF!)+#REF!-#REF!)*pop_in_building+(SUM(#REF!)-#REF!*20)*pop_on_barren-(SUM(#REF!)-SUM(#REF!))*(15-pop_on_barren)-pop_on_barren*#REF!</f>
        <v>#REF!</v>
      </c>
      <c r="W52" s="39" t="e">
        <f ca="1">MAX(-5%*#REF!-#REF!,MIN(OFFSET(#REF!,1,0)-#REF!-#REF!-#REF!,#REF!-#REF!))</f>
        <v>#REF!</v>
      </c>
      <c r="X52" s="39" t="e">
        <f>ROUND(#REF!*(1+#REF!),0)</f>
        <v>#REF!</v>
      </c>
      <c r="Y52" s="39" t="e">
        <f>(#REF!-#REF!)*raw_pop_growth</f>
        <v>#REF!</v>
      </c>
      <c r="Z52" s="39" t="e">
        <f>IF(#REF!&lt;#REF!,ROUND(#REF!*Constants!$B$55,0), 0)</f>
        <v>#REF!</v>
      </c>
      <c r="AA52" s="134"/>
      <c r="AB52" s="135" t="e">
        <f ca="1">Overview!$I$16 + IF(Magic!AE52&gt;0,Constants!$F$78) + ROUND(6*(Construction!BM53+Construction!CK52)/IF(Explore!S53&gt;0,Construction!F53-20,Construction!F53),4) + tech_6_5_2*Techs!BJ52 + tech_8_4*Techs!BT52</f>
        <v>#REF!</v>
      </c>
      <c r="AC52" s="132" t="e">
        <f ca="1">(Overview!$I$15 + Imps!Z52+ tech_2_5*Techs!AB52 + tech_3_6*Techs!AM52 + tech_6_1*Techs!BJ52 + tech_6_5*Techs!BF52 + tech_7_3_2*Techs!BN52) * (1 + Production!O52/100*prestige_pop_multiplier) + Production!O52/100*prestige_pop_multiplier</f>
        <v>#REF!</v>
      </c>
    </row>
    <row r="53" spans="1:29" x14ac:dyDescent="0.25">
      <c r="A53" s="130" t="e">
        <f>#REF!</f>
        <v>#REF!</v>
      </c>
      <c r="B53" s="131" t="e">
        <f>#REF!</f>
        <v>#REF!</v>
      </c>
      <c r="C53" s="39" t="e">
        <f ca="1">OFFSET(#REF!,-1,0)+OFFSET(#REF!,-1,0)+#REF!</f>
        <v>#REF!</v>
      </c>
      <c r="D53" s="39" t="e">
        <f>#REF!</f>
        <v>#REF!</v>
      </c>
      <c r="E53" s="39" t="e">
        <f>#REF!</f>
        <v>#REF!</v>
      </c>
      <c r="F53" s="39" t="e">
        <f>#REF!+#REF!</f>
        <v>#REF!</v>
      </c>
      <c r="G53" s="132" t="e">
        <f>#REF!/#REF!</f>
        <v>#REF!</v>
      </c>
      <c r="H53" s="39" t="e">
        <f>MIN(#REF!,#REF!)</f>
        <v>#REF!</v>
      </c>
      <c r="I53" s="132" t="e">
        <f ca="1">MIN(OFFSET(#REF!,1,0)/#REF!,1)</f>
        <v>#REF!</v>
      </c>
      <c r="J53" s="39" t="e">
        <f>SUM(#REF!,#REF!,#REF!,#REF!)*building_employment +#REF!* bonus_jobs_facts</f>
        <v>#REF!</v>
      </c>
      <c r="K53" s="133"/>
      <c r="L53" s="61" t="e">
        <f>#REF!</f>
        <v>#REF!</v>
      </c>
      <c r="M53" s="61" t="e">
        <f>#REF!</f>
        <v>#REF!</v>
      </c>
      <c r="N53" s="61" t="e">
        <f>#REF!</f>
        <v>#REF!</v>
      </c>
      <c r="O53" s="61" t="e">
        <f>#REF!</f>
        <v>#REF!</v>
      </c>
      <c r="P53" s="61" t="e">
        <f>#REF!</f>
        <v>#REF!</v>
      </c>
      <c r="Q53" s="61" t="e">
        <f>#REF!</f>
        <v>#REF!</v>
      </c>
      <c r="R53" s="61" t="e">
        <f>#REF!</f>
        <v>#REF!</v>
      </c>
      <c r="S53" s="61" t="e">
        <f>#REF!</f>
        <v>#REF!</v>
      </c>
      <c r="T53" s="134"/>
      <c r="U53" s="39" t="e">
        <f>ROUND(#REF!*(1+#REF!),0)+MIN(#REF!-#REF!-SUM(#REF!),(barracks_size + tech_8_3*#REF!)*#REF!)</f>
        <v>#REF!</v>
      </c>
      <c r="V53" s="39" t="e">
        <f>(#REF!+#REF!)*pop_in_home+(SUM(#REF!)+#REF!-#REF!)*pop_in_building+(SUM(#REF!)-#REF!*20)*pop_on_barren-(SUM(#REF!)-SUM(#REF!))*(15-pop_on_barren)-pop_on_barren*#REF!</f>
        <v>#REF!</v>
      </c>
      <c r="W53" s="39" t="e">
        <f ca="1">MAX(-5%*#REF!-#REF!,MIN(OFFSET(#REF!,1,0)-#REF!-#REF!-#REF!,#REF!-#REF!))</f>
        <v>#REF!</v>
      </c>
      <c r="X53" s="39" t="e">
        <f>ROUND(#REF!*(1+#REF!),0)</f>
        <v>#REF!</v>
      </c>
      <c r="Y53" s="39" t="e">
        <f>(#REF!-#REF!)*raw_pop_growth</f>
        <v>#REF!</v>
      </c>
      <c r="Z53" s="39" t="e">
        <f>IF(#REF!&lt;#REF!,ROUND(#REF!*Constants!$B$55,0), 0)</f>
        <v>#REF!</v>
      </c>
      <c r="AA53" s="134"/>
      <c r="AB53" s="135" t="e">
        <f ca="1">Overview!$I$16 + IF(Magic!AE53&gt;0,Constants!$F$78) + ROUND(6*(Construction!BM54+Construction!CK53)/IF(Explore!S54&gt;0,Construction!F54-20,Construction!F54),4) + tech_6_5_2*Techs!BJ53 + tech_8_4*Techs!BT53</f>
        <v>#REF!</v>
      </c>
      <c r="AC53" s="132" t="e">
        <f ca="1">(Overview!$I$15 + Imps!Z53+ tech_2_5*Techs!AB53 + tech_3_6*Techs!AM53 + tech_6_1*Techs!BJ53 + tech_6_5*Techs!BF53 + tech_7_3_2*Techs!BN53) * (1 + Production!O53/100*prestige_pop_multiplier) + Production!O53/100*prestige_pop_multiplier</f>
        <v>#REF!</v>
      </c>
    </row>
    <row r="54" spans="1:29" x14ac:dyDescent="0.25">
      <c r="A54" s="130" t="e">
        <f>#REF!</f>
        <v>#REF!</v>
      </c>
      <c r="B54" s="131" t="e">
        <f>#REF!</f>
        <v>#REF!</v>
      </c>
      <c r="C54" s="39" t="e">
        <f ca="1">OFFSET(#REF!,-1,0)+OFFSET(#REF!,-1,0)+#REF!</f>
        <v>#REF!</v>
      </c>
      <c r="D54" s="39" t="e">
        <f>#REF!</f>
        <v>#REF!</v>
      </c>
      <c r="E54" s="39" t="e">
        <f>#REF!</f>
        <v>#REF!</v>
      </c>
      <c r="F54" s="39" t="e">
        <f>#REF!+#REF!</f>
        <v>#REF!</v>
      </c>
      <c r="G54" s="132" t="e">
        <f>#REF!/#REF!</f>
        <v>#REF!</v>
      </c>
      <c r="H54" s="39" t="e">
        <f>MIN(#REF!,#REF!)</f>
        <v>#REF!</v>
      </c>
      <c r="I54" s="132" t="e">
        <f ca="1">MIN(OFFSET(#REF!,1,0)/#REF!,1)</f>
        <v>#REF!</v>
      </c>
      <c r="J54" s="39" t="e">
        <f>SUM(#REF!,#REF!,#REF!,#REF!)*building_employment +#REF!* bonus_jobs_facts</f>
        <v>#REF!</v>
      </c>
      <c r="K54" s="133"/>
      <c r="L54" s="61" t="e">
        <f>#REF!</f>
        <v>#REF!</v>
      </c>
      <c r="M54" s="61" t="e">
        <f>#REF!</f>
        <v>#REF!</v>
      </c>
      <c r="N54" s="61" t="e">
        <f>#REF!</f>
        <v>#REF!</v>
      </c>
      <c r="O54" s="61" t="e">
        <f>#REF!</f>
        <v>#REF!</v>
      </c>
      <c r="P54" s="61" t="e">
        <f>#REF!</f>
        <v>#REF!</v>
      </c>
      <c r="Q54" s="61" t="e">
        <f>#REF!</f>
        <v>#REF!</v>
      </c>
      <c r="R54" s="61" t="e">
        <f>#REF!</f>
        <v>#REF!</v>
      </c>
      <c r="S54" s="61" t="e">
        <f>#REF!</f>
        <v>#REF!</v>
      </c>
      <c r="T54" s="134"/>
      <c r="U54" s="39" t="e">
        <f>ROUND(#REF!*(1+#REF!),0)+MIN(#REF!-#REF!-SUM(#REF!),(barracks_size + tech_8_3*#REF!)*#REF!)</f>
        <v>#REF!</v>
      </c>
      <c r="V54" s="39" t="e">
        <f>(#REF!+#REF!)*pop_in_home+(SUM(#REF!)+#REF!-#REF!)*pop_in_building+(SUM(#REF!)-#REF!*20)*pop_on_barren-(SUM(#REF!)-SUM(#REF!))*(15-pop_on_barren)-pop_on_barren*#REF!</f>
        <v>#REF!</v>
      </c>
      <c r="W54" s="39" t="e">
        <f ca="1">MAX(-5%*#REF!-#REF!,MIN(OFFSET(#REF!,1,0)-#REF!-#REF!-#REF!,#REF!-#REF!))</f>
        <v>#REF!</v>
      </c>
      <c r="X54" s="39" t="e">
        <f>ROUND(#REF!*(1+#REF!),0)</f>
        <v>#REF!</v>
      </c>
      <c r="Y54" s="39" t="e">
        <f>(#REF!-#REF!)*raw_pop_growth</f>
        <v>#REF!</v>
      </c>
      <c r="Z54" s="39" t="e">
        <f>IF(#REF!&lt;#REF!,ROUND(#REF!*Constants!$B$55,0), 0)</f>
        <v>#REF!</v>
      </c>
      <c r="AA54" s="134"/>
      <c r="AB54" s="135" t="e">
        <f ca="1">Overview!$I$16 + IF(Magic!AE54&gt;0,Constants!$F$78) + ROUND(6*(Construction!BM55+Construction!CK54)/IF(Explore!S55&gt;0,Construction!F55-20,Construction!F55),4) + tech_6_5_2*Techs!BJ54 + tech_8_4*Techs!BT54</f>
        <v>#REF!</v>
      </c>
      <c r="AC54" s="132" t="e">
        <f ca="1">(Overview!$I$15 + Imps!Z54+ tech_2_5*Techs!AB54 + tech_3_6*Techs!AM54 + tech_6_1*Techs!BJ54 + tech_6_5*Techs!BF54 + tech_7_3_2*Techs!BN54) * (1 + Production!O54/100*prestige_pop_multiplier) + Production!O54/100*prestige_pop_multiplier</f>
        <v>#REF!</v>
      </c>
    </row>
    <row r="55" spans="1:29" x14ac:dyDescent="0.25">
      <c r="A55" s="130" t="e">
        <f>#REF!</f>
        <v>#REF!</v>
      </c>
      <c r="B55" s="131" t="e">
        <f>#REF!</f>
        <v>#REF!</v>
      </c>
      <c r="C55" s="39" t="e">
        <f ca="1">OFFSET(#REF!,-1,0)+OFFSET(#REF!,-1,0)+#REF!</f>
        <v>#REF!</v>
      </c>
      <c r="D55" s="39" t="e">
        <f>#REF!</f>
        <v>#REF!</v>
      </c>
      <c r="E55" s="39" t="e">
        <f>#REF!</f>
        <v>#REF!</v>
      </c>
      <c r="F55" s="39" t="e">
        <f>#REF!+#REF!</f>
        <v>#REF!</v>
      </c>
      <c r="G55" s="132" t="e">
        <f>#REF!/#REF!</f>
        <v>#REF!</v>
      </c>
      <c r="H55" s="39" t="e">
        <f>MIN(#REF!,#REF!)</f>
        <v>#REF!</v>
      </c>
      <c r="I55" s="132" t="e">
        <f ca="1">MIN(OFFSET(#REF!,1,0)/#REF!,1)</f>
        <v>#REF!</v>
      </c>
      <c r="J55" s="39" t="e">
        <f>SUM(#REF!,#REF!,#REF!,#REF!)*building_employment +#REF!* bonus_jobs_facts</f>
        <v>#REF!</v>
      </c>
      <c r="K55" s="133"/>
      <c r="L55" s="61" t="e">
        <f>#REF!</f>
        <v>#REF!</v>
      </c>
      <c r="M55" s="61" t="e">
        <f>#REF!</f>
        <v>#REF!</v>
      </c>
      <c r="N55" s="61" t="e">
        <f>#REF!</f>
        <v>#REF!</v>
      </c>
      <c r="O55" s="61" t="e">
        <f>#REF!</f>
        <v>#REF!</v>
      </c>
      <c r="P55" s="61" t="e">
        <f>#REF!</f>
        <v>#REF!</v>
      </c>
      <c r="Q55" s="61" t="e">
        <f>#REF!</f>
        <v>#REF!</v>
      </c>
      <c r="R55" s="61" t="e">
        <f>#REF!</f>
        <v>#REF!</v>
      </c>
      <c r="S55" s="61" t="e">
        <f>#REF!</f>
        <v>#REF!</v>
      </c>
      <c r="T55" s="134"/>
      <c r="U55" s="39" t="e">
        <f>ROUND(#REF!*(1+#REF!),0)+MIN(#REF!-#REF!-SUM(#REF!),(barracks_size + tech_8_3*#REF!)*#REF!)</f>
        <v>#REF!</v>
      </c>
      <c r="V55" s="39" t="e">
        <f>(#REF!+#REF!)*pop_in_home+(SUM(#REF!)+#REF!-#REF!)*pop_in_building+(SUM(#REF!)-#REF!*20)*pop_on_barren-(SUM(#REF!)-SUM(#REF!))*(15-pop_on_barren)-pop_on_barren*#REF!</f>
        <v>#REF!</v>
      </c>
      <c r="W55" s="39" t="e">
        <f ca="1">MAX(-5%*#REF!-#REF!,MIN(OFFSET(#REF!,1,0)-#REF!-#REF!-#REF!,#REF!-#REF!))</f>
        <v>#REF!</v>
      </c>
      <c r="X55" s="39" t="e">
        <f>ROUND(#REF!*(1+#REF!),0)</f>
        <v>#REF!</v>
      </c>
      <c r="Y55" s="39" t="e">
        <f>(#REF!-#REF!)*raw_pop_growth</f>
        <v>#REF!</v>
      </c>
      <c r="Z55" s="39" t="e">
        <f>IF(#REF!&lt;#REF!,ROUND(#REF!*Constants!$B$55,0), 0)</f>
        <v>#REF!</v>
      </c>
      <c r="AA55" s="134"/>
      <c r="AB55" s="135" t="e">
        <f ca="1">Overview!$I$16 + IF(Magic!AE55&gt;0,Constants!$F$78) + ROUND(6*(Construction!BM56+Construction!CK55)/IF(Explore!S56&gt;0,Construction!F56-20,Construction!F56),4) + tech_6_5_2*Techs!BJ55 + tech_8_4*Techs!BT55</f>
        <v>#REF!</v>
      </c>
      <c r="AC55" s="132" t="e">
        <f ca="1">(Overview!$I$15 + Imps!Z55+ tech_2_5*Techs!AB55 + tech_3_6*Techs!AM55 + tech_6_1*Techs!BJ55 + tech_6_5*Techs!BF55 + tech_7_3_2*Techs!BN55) * (1 + Production!O55/100*prestige_pop_multiplier) + Production!O55/100*prestige_pop_multiplier</f>
        <v>#REF!</v>
      </c>
    </row>
    <row r="56" spans="1:29" x14ac:dyDescent="0.25">
      <c r="A56" s="130" t="e">
        <f>#REF!</f>
        <v>#REF!</v>
      </c>
      <c r="B56" s="131" t="e">
        <f>#REF!</f>
        <v>#REF!</v>
      </c>
      <c r="C56" s="39" t="e">
        <f ca="1">OFFSET(#REF!,-1,0)+OFFSET(#REF!,-1,0)+#REF!</f>
        <v>#REF!</v>
      </c>
      <c r="D56" s="39" t="e">
        <f>#REF!</f>
        <v>#REF!</v>
      </c>
      <c r="E56" s="39" t="e">
        <f>#REF!</f>
        <v>#REF!</v>
      </c>
      <c r="F56" s="39" t="e">
        <f>#REF!+#REF!</f>
        <v>#REF!</v>
      </c>
      <c r="G56" s="132" t="e">
        <f>#REF!/#REF!</f>
        <v>#REF!</v>
      </c>
      <c r="H56" s="39" t="e">
        <f>MIN(#REF!,#REF!)</f>
        <v>#REF!</v>
      </c>
      <c r="I56" s="132" t="e">
        <f ca="1">MIN(OFFSET(#REF!,1,0)/#REF!,1)</f>
        <v>#REF!</v>
      </c>
      <c r="J56" s="39" t="e">
        <f>SUM(#REF!,#REF!,#REF!,#REF!)*building_employment +#REF!* bonus_jobs_facts</f>
        <v>#REF!</v>
      </c>
      <c r="K56" s="133"/>
      <c r="L56" s="61" t="e">
        <f>#REF!</f>
        <v>#REF!</v>
      </c>
      <c r="M56" s="61" t="e">
        <f>#REF!</f>
        <v>#REF!</v>
      </c>
      <c r="N56" s="61" t="e">
        <f>#REF!</f>
        <v>#REF!</v>
      </c>
      <c r="O56" s="61" t="e">
        <f>#REF!</f>
        <v>#REF!</v>
      </c>
      <c r="P56" s="61" t="e">
        <f>#REF!</f>
        <v>#REF!</v>
      </c>
      <c r="Q56" s="61" t="e">
        <f>#REF!</f>
        <v>#REF!</v>
      </c>
      <c r="R56" s="61" t="e">
        <f>#REF!</f>
        <v>#REF!</v>
      </c>
      <c r="S56" s="61" t="e">
        <f>#REF!</f>
        <v>#REF!</v>
      </c>
      <c r="T56" s="134"/>
      <c r="U56" s="39" t="e">
        <f>ROUND(#REF!*(1+#REF!),0)+MIN(#REF!-#REF!-SUM(#REF!),(barracks_size + tech_8_3*#REF!)*#REF!)</f>
        <v>#REF!</v>
      </c>
      <c r="V56" s="39" t="e">
        <f>(#REF!+#REF!)*pop_in_home+(SUM(#REF!)+#REF!-#REF!)*pop_in_building+(SUM(#REF!)-#REF!*20)*pop_on_barren-(SUM(#REF!)-SUM(#REF!))*(15-pop_on_barren)-pop_on_barren*#REF!</f>
        <v>#REF!</v>
      </c>
      <c r="W56" s="39" t="e">
        <f ca="1">MAX(-5%*#REF!-#REF!,MIN(OFFSET(#REF!,1,0)-#REF!-#REF!-#REF!,#REF!-#REF!))</f>
        <v>#REF!</v>
      </c>
      <c r="X56" s="39" t="e">
        <f>ROUND(#REF!*(1+#REF!),0)</f>
        <v>#REF!</v>
      </c>
      <c r="Y56" s="39" t="e">
        <f>(#REF!-#REF!)*raw_pop_growth</f>
        <v>#REF!</v>
      </c>
      <c r="Z56" s="39" t="e">
        <f>IF(#REF!&lt;#REF!,ROUND(#REF!*Constants!$B$55,0), 0)</f>
        <v>#REF!</v>
      </c>
      <c r="AA56" s="134"/>
      <c r="AB56" s="135" t="e">
        <f ca="1">Overview!$I$16 + IF(Magic!AE56&gt;0,Constants!$F$78) + ROUND(6*(Construction!BM57+Construction!CK56)/IF(Explore!S57&gt;0,Construction!F57-20,Construction!F57),4) + tech_6_5_2*Techs!BJ56 + tech_8_4*Techs!BT56</f>
        <v>#REF!</v>
      </c>
      <c r="AC56" s="132" t="e">
        <f ca="1">(Overview!$I$15 + Imps!Z56+ tech_2_5*Techs!AB56 + tech_3_6*Techs!AM56 + tech_6_1*Techs!BJ56 + tech_6_5*Techs!BF56 + tech_7_3_2*Techs!BN56) * (1 + Production!O56/100*prestige_pop_multiplier) + Production!O56/100*prestige_pop_multiplier</f>
        <v>#REF!</v>
      </c>
    </row>
    <row r="57" spans="1:29" x14ac:dyDescent="0.25">
      <c r="A57" s="130" t="e">
        <f>#REF!</f>
        <v>#REF!</v>
      </c>
      <c r="B57" s="131" t="e">
        <f>#REF!</f>
        <v>#REF!</v>
      </c>
      <c r="C57" s="39" t="e">
        <f ca="1">OFFSET(#REF!,-1,0)+OFFSET(#REF!,-1,0)+#REF!</f>
        <v>#REF!</v>
      </c>
      <c r="D57" s="39" t="e">
        <f>#REF!</f>
        <v>#REF!</v>
      </c>
      <c r="E57" s="39" t="e">
        <f>#REF!</f>
        <v>#REF!</v>
      </c>
      <c r="F57" s="39" t="e">
        <f>#REF!+#REF!</f>
        <v>#REF!</v>
      </c>
      <c r="G57" s="132" t="e">
        <f>#REF!/#REF!</f>
        <v>#REF!</v>
      </c>
      <c r="H57" s="39" t="e">
        <f>MIN(#REF!,#REF!)</f>
        <v>#REF!</v>
      </c>
      <c r="I57" s="132" t="e">
        <f ca="1">MIN(OFFSET(#REF!,1,0)/#REF!,1)</f>
        <v>#REF!</v>
      </c>
      <c r="J57" s="39" t="e">
        <f>SUM(#REF!,#REF!,#REF!,#REF!)*building_employment +#REF!* bonus_jobs_facts</f>
        <v>#REF!</v>
      </c>
      <c r="K57" s="133"/>
      <c r="L57" s="61" t="e">
        <f>#REF!</f>
        <v>#REF!</v>
      </c>
      <c r="M57" s="61" t="e">
        <f>#REF!</f>
        <v>#REF!</v>
      </c>
      <c r="N57" s="61" t="e">
        <f>#REF!</f>
        <v>#REF!</v>
      </c>
      <c r="O57" s="61" t="e">
        <f>#REF!</f>
        <v>#REF!</v>
      </c>
      <c r="P57" s="61" t="e">
        <f>#REF!</f>
        <v>#REF!</v>
      </c>
      <c r="Q57" s="61" t="e">
        <f>#REF!</f>
        <v>#REF!</v>
      </c>
      <c r="R57" s="61" t="e">
        <f>#REF!</f>
        <v>#REF!</v>
      </c>
      <c r="S57" s="61" t="e">
        <f>#REF!</f>
        <v>#REF!</v>
      </c>
      <c r="T57" s="134"/>
      <c r="U57" s="39" t="e">
        <f>ROUND(#REF!*(1+#REF!),0)+MIN(#REF!-#REF!-SUM(#REF!),(barracks_size + tech_8_3*#REF!)*#REF!)</f>
        <v>#REF!</v>
      </c>
      <c r="V57" s="39" t="e">
        <f>(#REF!+#REF!)*pop_in_home+(SUM(#REF!)+#REF!-#REF!)*pop_in_building+(SUM(#REF!)-#REF!*20)*pop_on_barren-(SUM(#REF!)-SUM(#REF!))*(15-pop_on_barren)-pop_on_barren*#REF!</f>
        <v>#REF!</v>
      </c>
      <c r="W57" s="39" t="e">
        <f ca="1">MAX(-5%*#REF!-#REF!,MIN(OFFSET(#REF!,1,0)-#REF!-#REF!-#REF!,#REF!-#REF!))</f>
        <v>#REF!</v>
      </c>
      <c r="X57" s="39" t="e">
        <f>ROUND(#REF!*(1+#REF!),0)</f>
        <v>#REF!</v>
      </c>
      <c r="Y57" s="39" t="e">
        <f>(#REF!-#REF!)*raw_pop_growth</f>
        <v>#REF!</v>
      </c>
      <c r="Z57" s="39" t="e">
        <f>IF(#REF!&lt;#REF!,ROUND(#REF!*Constants!$B$55,0), 0)</f>
        <v>#REF!</v>
      </c>
      <c r="AA57" s="134"/>
      <c r="AB57" s="135" t="e">
        <f ca="1">Overview!$I$16 + IF(Magic!AE57&gt;0,Constants!$F$78) + ROUND(6*(Construction!BM58+Construction!CK57)/IF(Explore!S58&gt;0,Construction!F58-20,Construction!F58),4) + tech_6_5_2*Techs!BJ57 + tech_8_4*Techs!BT57</f>
        <v>#REF!</v>
      </c>
      <c r="AC57" s="132" t="e">
        <f ca="1">(Overview!$I$15 + Imps!Z57+ tech_2_5*Techs!AB57 + tech_3_6*Techs!AM57 + tech_6_1*Techs!BJ57 + tech_6_5*Techs!BF57 + tech_7_3_2*Techs!BN57) * (1 + Production!O57/100*prestige_pop_multiplier) + Production!O57/100*prestige_pop_multiplier</f>
        <v>#REF!</v>
      </c>
    </row>
    <row r="58" spans="1:29" x14ac:dyDescent="0.25">
      <c r="A58" s="130" t="e">
        <f>#REF!</f>
        <v>#REF!</v>
      </c>
      <c r="B58" s="131" t="e">
        <f>#REF!</f>
        <v>#REF!</v>
      </c>
      <c r="C58" s="39" t="e">
        <f ca="1">OFFSET(#REF!,-1,0)+OFFSET(#REF!,-1,0)+#REF!</f>
        <v>#REF!</v>
      </c>
      <c r="D58" s="39" t="e">
        <f>#REF!</f>
        <v>#REF!</v>
      </c>
      <c r="E58" s="39" t="e">
        <f>#REF!</f>
        <v>#REF!</v>
      </c>
      <c r="F58" s="39" t="e">
        <f>#REF!+#REF!</f>
        <v>#REF!</v>
      </c>
      <c r="G58" s="132" t="e">
        <f>#REF!/#REF!</f>
        <v>#REF!</v>
      </c>
      <c r="H58" s="39" t="e">
        <f>MIN(#REF!,#REF!)</f>
        <v>#REF!</v>
      </c>
      <c r="I58" s="132" t="e">
        <f ca="1">MIN(OFFSET(#REF!,1,0)/#REF!,1)</f>
        <v>#REF!</v>
      </c>
      <c r="J58" s="39" t="e">
        <f>SUM(#REF!,#REF!,#REF!,#REF!)*building_employment +#REF!* bonus_jobs_facts</f>
        <v>#REF!</v>
      </c>
      <c r="K58" s="133"/>
      <c r="L58" s="61" t="e">
        <f>#REF!</f>
        <v>#REF!</v>
      </c>
      <c r="M58" s="61" t="e">
        <f>#REF!</f>
        <v>#REF!</v>
      </c>
      <c r="N58" s="61" t="e">
        <f>#REF!</f>
        <v>#REF!</v>
      </c>
      <c r="O58" s="61" t="e">
        <f>#REF!</f>
        <v>#REF!</v>
      </c>
      <c r="P58" s="61" t="e">
        <f>#REF!</f>
        <v>#REF!</v>
      </c>
      <c r="Q58" s="61" t="e">
        <f>#REF!</f>
        <v>#REF!</v>
      </c>
      <c r="R58" s="61" t="e">
        <f>#REF!</f>
        <v>#REF!</v>
      </c>
      <c r="S58" s="61" t="e">
        <f>#REF!</f>
        <v>#REF!</v>
      </c>
      <c r="T58" s="134"/>
      <c r="U58" s="39" t="e">
        <f>ROUND(#REF!*(1+#REF!),0)+MIN(#REF!-#REF!-SUM(#REF!),(barracks_size + tech_8_3*#REF!)*#REF!)</f>
        <v>#REF!</v>
      </c>
      <c r="V58" s="39" t="e">
        <f>(#REF!+#REF!)*pop_in_home+(SUM(#REF!)+#REF!-#REF!)*pop_in_building+(SUM(#REF!)-#REF!*20)*pop_on_barren-(SUM(#REF!)-SUM(#REF!))*(15-pop_on_barren)-pop_on_barren*#REF!</f>
        <v>#REF!</v>
      </c>
      <c r="W58" s="39" t="e">
        <f ca="1">MAX(-5%*#REF!-#REF!,MIN(OFFSET(#REF!,1,0)-#REF!-#REF!-#REF!,#REF!-#REF!))</f>
        <v>#REF!</v>
      </c>
      <c r="X58" s="39" t="e">
        <f>ROUND(#REF!*(1+#REF!),0)</f>
        <v>#REF!</v>
      </c>
      <c r="Y58" s="39" t="e">
        <f>(#REF!-#REF!)*raw_pop_growth</f>
        <v>#REF!</v>
      </c>
      <c r="Z58" s="39" t="e">
        <f>IF(#REF!&lt;#REF!,ROUND(#REF!*Constants!$B$55,0), 0)</f>
        <v>#REF!</v>
      </c>
      <c r="AA58" s="134"/>
      <c r="AB58" s="135" t="e">
        <f ca="1">Overview!$I$16 + IF(Magic!AE58&gt;0,Constants!$F$78) + ROUND(6*(Construction!BM59+Construction!CK58)/IF(Explore!S59&gt;0,Construction!F59-20,Construction!F59),4) + tech_6_5_2*Techs!BJ58 + tech_8_4*Techs!BT58</f>
        <v>#REF!</v>
      </c>
      <c r="AC58" s="132" t="e">
        <f ca="1">(Overview!$I$15 + Imps!Z58+ tech_2_5*Techs!AB58 + tech_3_6*Techs!AM58 + tech_6_1*Techs!BJ58 + tech_6_5*Techs!BF58 + tech_7_3_2*Techs!BN58) * (1 + Production!O58/100*prestige_pop_multiplier) + Production!O58/100*prestige_pop_multiplier</f>
        <v>#REF!</v>
      </c>
    </row>
    <row r="59" spans="1:29" x14ac:dyDescent="0.25">
      <c r="A59" s="130" t="e">
        <f>#REF!</f>
        <v>#REF!</v>
      </c>
      <c r="B59" s="131" t="e">
        <f>#REF!</f>
        <v>#REF!</v>
      </c>
      <c r="C59" s="39" t="e">
        <f ca="1">OFFSET(#REF!,-1,0)+OFFSET(#REF!,-1,0)+#REF!</f>
        <v>#REF!</v>
      </c>
      <c r="D59" s="39" t="e">
        <f>#REF!</f>
        <v>#REF!</v>
      </c>
      <c r="E59" s="39" t="e">
        <f>#REF!</f>
        <v>#REF!</v>
      </c>
      <c r="F59" s="39" t="e">
        <f>#REF!+#REF!</f>
        <v>#REF!</v>
      </c>
      <c r="G59" s="132" t="e">
        <f>#REF!/#REF!</f>
        <v>#REF!</v>
      </c>
      <c r="H59" s="39" t="e">
        <f>MIN(#REF!,#REF!)</f>
        <v>#REF!</v>
      </c>
      <c r="I59" s="132" t="e">
        <f ca="1">MIN(OFFSET(#REF!,1,0)/#REF!,1)</f>
        <v>#REF!</v>
      </c>
      <c r="J59" s="39" t="e">
        <f>SUM(#REF!,#REF!,#REF!,#REF!)*building_employment +#REF!* bonus_jobs_facts</f>
        <v>#REF!</v>
      </c>
      <c r="K59" s="133"/>
      <c r="L59" s="61" t="e">
        <f>#REF!</f>
        <v>#REF!</v>
      </c>
      <c r="M59" s="61" t="e">
        <f>#REF!</f>
        <v>#REF!</v>
      </c>
      <c r="N59" s="61" t="e">
        <f>#REF!</f>
        <v>#REF!</v>
      </c>
      <c r="O59" s="61" t="e">
        <f>#REF!</f>
        <v>#REF!</v>
      </c>
      <c r="P59" s="61" t="e">
        <f>#REF!</f>
        <v>#REF!</v>
      </c>
      <c r="Q59" s="61" t="e">
        <f>#REF!</f>
        <v>#REF!</v>
      </c>
      <c r="R59" s="61" t="e">
        <f>#REF!</f>
        <v>#REF!</v>
      </c>
      <c r="S59" s="61" t="e">
        <f>#REF!</f>
        <v>#REF!</v>
      </c>
      <c r="T59" s="134"/>
      <c r="U59" s="39" t="e">
        <f>ROUND(#REF!*(1+#REF!),0)+MIN(#REF!-#REF!-SUM(#REF!),(barracks_size + tech_8_3*#REF!)*#REF!)</f>
        <v>#REF!</v>
      </c>
      <c r="V59" s="39" t="e">
        <f>(#REF!+#REF!)*pop_in_home+(SUM(#REF!)+#REF!-#REF!)*pop_in_building+(SUM(#REF!)-#REF!*20)*pop_on_barren-(SUM(#REF!)-SUM(#REF!))*(15-pop_on_barren)-pop_on_barren*#REF!</f>
        <v>#REF!</v>
      </c>
      <c r="W59" s="39" t="e">
        <f ca="1">MAX(-5%*#REF!-#REF!,MIN(OFFSET(#REF!,1,0)-#REF!-#REF!-#REF!,#REF!-#REF!))</f>
        <v>#REF!</v>
      </c>
      <c r="X59" s="39" t="e">
        <f>ROUND(#REF!*(1+#REF!),0)</f>
        <v>#REF!</v>
      </c>
      <c r="Y59" s="39" t="e">
        <f>(#REF!-#REF!)*raw_pop_growth</f>
        <v>#REF!</v>
      </c>
      <c r="Z59" s="39" t="e">
        <f>IF(#REF!&lt;#REF!,ROUND(#REF!*Constants!$B$55,0), 0)</f>
        <v>#REF!</v>
      </c>
      <c r="AA59" s="134"/>
      <c r="AB59" s="135" t="e">
        <f ca="1">Overview!$I$16 + IF(Magic!AE59&gt;0,Constants!$F$78) + ROUND(6*(Construction!BM60+Construction!CK59)/IF(Explore!S60&gt;0,Construction!F60-20,Construction!F60),4) + tech_6_5_2*Techs!BJ59 + tech_8_4*Techs!BT59</f>
        <v>#REF!</v>
      </c>
      <c r="AC59" s="132" t="e">
        <f ca="1">(Overview!$I$15 + Imps!Z59+ tech_2_5*Techs!AB59 + tech_3_6*Techs!AM59 + tech_6_1*Techs!BJ59 + tech_6_5*Techs!BF59 + tech_7_3_2*Techs!BN59) * (1 + Production!O59/100*prestige_pop_multiplier) + Production!O59/100*prestige_pop_multiplier</f>
        <v>#REF!</v>
      </c>
    </row>
    <row r="60" spans="1:29" x14ac:dyDescent="0.25">
      <c r="A60" s="130" t="e">
        <f>#REF!</f>
        <v>#REF!</v>
      </c>
      <c r="B60" s="131" t="e">
        <f>#REF!</f>
        <v>#REF!</v>
      </c>
      <c r="C60" s="39" t="e">
        <f ca="1">OFFSET(#REF!,-1,0)+OFFSET(#REF!,-1,0)+#REF!</f>
        <v>#REF!</v>
      </c>
      <c r="D60" s="39" t="e">
        <f>#REF!</f>
        <v>#REF!</v>
      </c>
      <c r="E60" s="39" t="e">
        <f>#REF!</f>
        <v>#REF!</v>
      </c>
      <c r="F60" s="39" t="e">
        <f>#REF!+#REF!</f>
        <v>#REF!</v>
      </c>
      <c r="G60" s="132" t="e">
        <f>#REF!/#REF!</f>
        <v>#REF!</v>
      </c>
      <c r="H60" s="39" t="e">
        <f>MIN(#REF!,#REF!)</f>
        <v>#REF!</v>
      </c>
      <c r="I60" s="132" t="e">
        <f ca="1">MIN(OFFSET(#REF!,1,0)/#REF!,1)</f>
        <v>#REF!</v>
      </c>
      <c r="J60" s="39" t="e">
        <f>SUM(#REF!,#REF!,#REF!,#REF!)*building_employment +#REF!* bonus_jobs_facts</f>
        <v>#REF!</v>
      </c>
      <c r="K60" s="133"/>
      <c r="L60" s="61" t="e">
        <f>#REF!</f>
        <v>#REF!</v>
      </c>
      <c r="M60" s="61" t="e">
        <f>#REF!</f>
        <v>#REF!</v>
      </c>
      <c r="N60" s="61" t="e">
        <f>#REF!</f>
        <v>#REF!</v>
      </c>
      <c r="O60" s="61" t="e">
        <f>#REF!</f>
        <v>#REF!</v>
      </c>
      <c r="P60" s="61" t="e">
        <f>#REF!</f>
        <v>#REF!</v>
      </c>
      <c r="Q60" s="61" t="e">
        <f>#REF!</f>
        <v>#REF!</v>
      </c>
      <c r="R60" s="61" t="e">
        <f>#REF!</f>
        <v>#REF!</v>
      </c>
      <c r="S60" s="61" t="e">
        <f>#REF!</f>
        <v>#REF!</v>
      </c>
      <c r="T60" s="134"/>
      <c r="U60" s="39" t="e">
        <f>ROUND(#REF!*(1+#REF!),0)+MIN(#REF!-#REF!-SUM(#REF!),(barracks_size + tech_8_3*#REF!)*#REF!)</f>
        <v>#REF!</v>
      </c>
      <c r="V60" s="39" t="e">
        <f>(#REF!+#REF!)*pop_in_home+(SUM(#REF!)+#REF!-#REF!)*pop_in_building+(SUM(#REF!)-#REF!*20)*pop_on_barren-(SUM(#REF!)-SUM(#REF!))*(15-pop_on_barren)-pop_on_barren*#REF!</f>
        <v>#REF!</v>
      </c>
      <c r="W60" s="39" t="e">
        <f ca="1">MAX(-5%*#REF!-#REF!,MIN(OFFSET(#REF!,1,0)-#REF!-#REF!-#REF!,#REF!-#REF!))</f>
        <v>#REF!</v>
      </c>
      <c r="X60" s="39" t="e">
        <f>ROUND(#REF!*(1+#REF!),0)</f>
        <v>#REF!</v>
      </c>
      <c r="Y60" s="39" t="e">
        <f>(#REF!-#REF!)*raw_pop_growth</f>
        <v>#REF!</v>
      </c>
      <c r="Z60" s="39" t="e">
        <f>IF(#REF!&lt;#REF!,ROUND(#REF!*Constants!$B$55,0), 0)</f>
        <v>#REF!</v>
      </c>
      <c r="AA60" s="134"/>
      <c r="AB60" s="135" t="e">
        <f ca="1">Overview!$I$16 + IF(Magic!AE60&gt;0,Constants!$F$78) + ROUND(6*(Construction!BM61+Construction!CK60)/IF(Explore!S61&gt;0,Construction!F61-20,Construction!F61),4) + tech_6_5_2*Techs!BJ60 + tech_8_4*Techs!BT60</f>
        <v>#REF!</v>
      </c>
      <c r="AC60" s="132" t="e">
        <f ca="1">(Overview!$I$15 + Imps!Z60+ tech_2_5*Techs!AB60 + tech_3_6*Techs!AM60 + tech_6_1*Techs!BJ60 + tech_6_5*Techs!BF60 + tech_7_3_2*Techs!BN60) * (1 + Production!O60/100*prestige_pop_multiplier) + Production!O60/100*prestige_pop_multiplier</f>
        <v>#REF!</v>
      </c>
    </row>
    <row r="61" spans="1:29" x14ac:dyDescent="0.25">
      <c r="A61" s="130" t="e">
        <f>#REF!</f>
        <v>#REF!</v>
      </c>
      <c r="B61" s="131" t="e">
        <f>#REF!</f>
        <v>#REF!</v>
      </c>
      <c r="C61" s="39" t="e">
        <f ca="1">OFFSET(#REF!,-1,0)+OFFSET(#REF!,-1,0)+#REF!</f>
        <v>#REF!</v>
      </c>
      <c r="D61" s="39" t="e">
        <f>#REF!</f>
        <v>#REF!</v>
      </c>
      <c r="E61" s="39" t="e">
        <f>#REF!</f>
        <v>#REF!</v>
      </c>
      <c r="F61" s="39" t="e">
        <f>#REF!+#REF!</f>
        <v>#REF!</v>
      </c>
      <c r="G61" s="132" t="e">
        <f>#REF!/#REF!</f>
        <v>#REF!</v>
      </c>
      <c r="H61" s="39" t="e">
        <f>MIN(#REF!,#REF!)</f>
        <v>#REF!</v>
      </c>
      <c r="I61" s="132" t="e">
        <f ca="1">MIN(OFFSET(#REF!,1,0)/#REF!,1)</f>
        <v>#REF!</v>
      </c>
      <c r="J61" s="39" t="e">
        <f>SUM(#REF!,#REF!,#REF!,#REF!)*building_employment +#REF!* bonus_jobs_facts</f>
        <v>#REF!</v>
      </c>
      <c r="K61" s="133"/>
      <c r="L61" s="61" t="e">
        <f>#REF!</f>
        <v>#REF!</v>
      </c>
      <c r="M61" s="61" t="e">
        <f>#REF!</f>
        <v>#REF!</v>
      </c>
      <c r="N61" s="61" t="e">
        <f>#REF!</f>
        <v>#REF!</v>
      </c>
      <c r="O61" s="61" t="e">
        <f>#REF!</f>
        <v>#REF!</v>
      </c>
      <c r="P61" s="61" t="e">
        <f>#REF!</f>
        <v>#REF!</v>
      </c>
      <c r="Q61" s="61" t="e">
        <f>#REF!</f>
        <v>#REF!</v>
      </c>
      <c r="R61" s="61" t="e">
        <f>#REF!</f>
        <v>#REF!</v>
      </c>
      <c r="S61" s="61" t="e">
        <f>#REF!</f>
        <v>#REF!</v>
      </c>
      <c r="T61" s="134"/>
      <c r="U61" s="39" t="e">
        <f>ROUND(#REF!*(1+#REF!),0)+MIN(#REF!-#REF!-SUM(#REF!),(barracks_size + tech_8_3*#REF!)*#REF!)</f>
        <v>#REF!</v>
      </c>
      <c r="V61" s="39" t="e">
        <f>(#REF!+#REF!)*pop_in_home+(SUM(#REF!)+#REF!-#REF!)*pop_in_building+(SUM(#REF!)-#REF!*20)*pop_on_barren-(SUM(#REF!)-SUM(#REF!))*(15-pop_on_barren)-pop_on_barren*#REF!</f>
        <v>#REF!</v>
      </c>
      <c r="W61" s="39" t="e">
        <f ca="1">MAX(-5%*#REF!-#REF!,MIN(OFFSET(#REF!,1,0)-#REF!-#REF!-#REF!,#REF!-#REF!))</f>
        <v>#REF!</v>
      </c>
      <c r="X61" s="39" t="e">
        <f>ROUND(#REF!*(1+#REF!),0)</f>
        <v>#REF!</v>
      </c>
      <c r="Y61" s="39" t="e">
        <f>(#REF!-#REF!)*raw_pop_growth</f>
        <v>#REF!</v>
      </c>
      <c r="Z61" s="39" t="e">
        <f>IF(#REF!&lt;#REF!,ROUND(#REF!*Constants!$B$55,0), 0)</f>
        <v>#REF!</v>
      </c>
      <c r="AA61" s="134"/>
      <c r="AB61" s="135" t="e">
        <f ca="1">Overview!$I$16 + IF(Magic!AE61&gt;0,Constants!$F$78) + ROUND(6*(Construction!BM62+Construction!CK61)/IF(Explore!S62&gt;0,Construction!F62-20,Construction!F62),4) + tech_6_5_2*Techs!BJ61 + tech_8_4*Techs!BT61</f>
        <v>#REF!</v>
      </c>
      <c r="AC61" s="132" t="e">
        <f ca="1">(Overview!$I$15 + Imps!Z61+ tech_2_5*Techs!AB61 + tech_3_6*Techs!AM61 + tech_6_1*Techs!BJ61 + tech_6_5*Techs!BF61 + tech_7_3_2*Techs!BN61) * (1 + Production!O61/100*prestige_pop_multiplier) + Production!O61/100*prestige_pop_multiplier</f>
        <v>#REF!</v>
      </c>
    </row>
    <row r="62" spans="1:29" x14ac:dyDescent="0.25">
      <c r="A62" s="130" t="e">
        <f>#REF!</f>
        <v>#REF!</v>
      </c>
      <c r="B62" s="131" t="e">
        <f>#REF!</f>
        <v>#REF!</v>
      </c>
      <c r="C62" s="39" t="e">
        <f ca="1">OFFSET(#REF!,-1,0)+OFFSET(#REF!,-1,0)+#REF!</f>
        <v>#REF!</v>
      </c>
      <c r="D62" s="39" t="e">
        <f>#REF!</f>
        <v>#REF!</v>
      </c>
      <c r="E62" s="39" t="e">
        <f>#REF!</f>
        <v>#REF!</v>
      </c>
      <c r="F62" s="39" t="e">
        <f>#REF!+#REF!</f>
        <v>#REF!</v>
      </c>
      <c r="G62" s="132" t="e">
        <f>#REF!/#REF!</f>
        <v>#REF!</v>
      </c>
      <c r="H62" s="39" t="e">
        <f>MIN(#REF!,#REF!)</f>
        <v>#REF!</v>
      </c>
      <c r="I62" s="132" t="e">
        <f ca="1">MIN(OFFSET(#REF!,1,0)/#REF!,1)</f>
        <v>#REF!</v>
      </c>
      <c r="J62" s="39" t="e">
        <f>SUM(#REF!,#REF!,#REF!,#REF!)*building_employment +#REF!* bonus_jobs_facts</f>
        <v>#REF!</v>
      </c>
      <c r="K62" s="133"/>
      <c r="L62" s="61" t="e">
        <f>#REF!</f>
        <v>#REF!</v>
      </c>
      <c r="M62" s="61" t="e">
        <f>#REF!</f>
        <v>#REF!</v>
      </c>
      <c r="N62" s="61" t="e">
        <f>#REF!</f>
        <v>#REF!</v>
      </c>
      <c r="O62" s="61" t="e">
        <f>#REF!</f>
        <v>#REF!</v>
      </c>
      <c r="P62" s="61" t="e">
        <f>#REF!</f>
        <v>#REF!</v>
      </c>
      <c r="Q62" s="61" t="e">
        <f>#REF!</f>
        <v>#REF!</v>
      </c>
      <c r="R62" s="61" t="e">
        <f>#REF!</f>
        <v>#REF!</v>
      </c>
      <c r="S62" s="61" t="e">
        <f>#REF!</f>
        <v>#REF!</v>
      </c>
      <c r="T62" s="134"/>
      <c r="U62" s="39" t="e">
        <f>ROUND(#REF!*(1+#REF!),0)+MIN(#REF!-#REF!-SUM(#REF!),(barracks_size + tech_8_3*#REF!)*#REF!)</f>
        <v>#REF!</v>
      </c>
      <c r="V62" s="39" t="e">
        <f>(#REF!+#REF!)*pop_in_home+(SUM(#REF!)+#REF!-#REF!)*pop_in_building+(SUM(#REF!)-#REF!*20)*pop_on_barren-(SUM(#REF!)-SUM(#REF!))*(15-pop_on_barren)-pop_on_barren*#REF!</f>
        <v>#REF!</v>
      </c>
      <c r="W62" s="39" t="e">
        <f ca="1">MAX(-5%*#REF!-#REF!,MIN(OFFSET(#REF!,1,0)-#REF!-#REF!-#REF!,#REF!-#REF!))</f>
        <v>#REF!</v>
      </c>
      <c r="X62" s="39" t="e">
        <f>ROUND(#REF!*(1+#REF!),0)</f>
        <v>#REF!</v>
      </c>
      <c r="Y62" s="39" t="e">
        <f>(#REF!-#REF!)*raw_pop_growth</f>
        <v>#REF!</v>
      </c>
      <c r="Z62" s="39" t="e">
        <f>IF(#REF!&lt;#REF!,ROUND(#REF!*Constants!$B$55,0), 0)</f>
        <v>#REF!</v>
      </c>
      <c r="AA62" s="134"/>
      <c r="AB62" s="135" t="e">
        <f ca="1">Overview!$I$16 + IF(Magic!AE62&gt;0,Constants!$F$78) + ROUND(6*(Construction!BM63+Construction!CK62)/IF(Explore!S63&gt;0,Construction!F63-20,Construction!F63),4) + tech_6_5_2*Techs!BJ62 + tech_8_4*Techs!BT62</f>
        <v>#REF!</v>
      </c>
      <c r="AC62" s="132" t="e">
        <f ca="1">(Overview!$I$15 + Imps!Z62+ tech_2_5*Techs!AB62 + tech_3_6*Techs!AM62 + tech_6_1*Techs!BJ62 + tech_6_5*Techs!BF62 + tech_7_3_2*Techs!BN62) * (1 + Production!O62/100*prestige_pop_multiplier) + Production!O62/100*prestige_pop_multiplier</f>
        <v>#REF!</v>
      </c>
    </row>
    <row r="63" spans="1:29" x14ac:dyDescent="0.25">
      <c r="A63" s="130" t="e">
        <f>#REF!</f>
        <v>#REF!</v>
      </c>
      <c r="B63" s="131" t="e">
        <f>#REF!</f>
        <v>#REF!</v>
      </c>
      <c r="C63" s="39" t="e">
        <f ca="1">OFFSET(#REF!,-1,0)+OFFSET(#REF!,-1,0)+#REF!</f>
        <v>#REF!</v>
      </c>
      <c r="D63" s="39" t="e">
        <f>#REF!</f>
        <v>#REF!</v>
      </c>
      <c r="E63" s="39" t="e">
        <f>#REF!</f>
        <v>#REF!</v>
      </c>
      <c r="F63" s="39" t="e">
        <f>#REF!+#REF!</f>
        <v>#REF!</v>
      </c>
      <c r="G63" s="132" t="e">
        <f>#REF!/#REF!</f>
        <v>#REF!</v>
      </c>
      <c r="H63" s="39" t="e">
        <f>MIN(#REF!,#REF!)</f>
        <v>#REF!</v>
      </c>
      <c r="I63" s="132" t="e">
        <f ca="1">MIN(OFFSET(#REF!,1,0)/#REF!,1)</f>
        <v>#REF!</v>
      </c>
      <c r="J63" s="39" t="e">
        <f>SUM(#REF!,#REF!,#REF!,#REF!)*building_employment +#REF!* bonus_jobs_facts</f>
        <v>#REF!</v>
      </c>
      <c r="K63" s="133"/>
      <c r="L63" s="61" t="e">
        <f>#REF!</f>
        <v>#REF!</v>
      </c>
      <c r="M63" s="61" t="e">
        <f>#REF!</f>
        <v>#REF!</v>
      </c>
      <c r="N63" s="61" t="e">
        <f>#REF!</f>
        <v>#REF!</v>
      </c>
      <c r="O63" s="61" t="e">
        <f>#REF!</f>
        <v>#REF!</v>
      </c>
      <c r="P63" s="61" t="e">
        <f>#REF!</f>
        <v>#REF!</v>
      </c>
      <c r="Q63" s="61" t="e">
        <f>#REF!</f>
        <v>#REF!</v>
      </c>
      <c r="R63" s="61" t="e">
        <f>#REF!</f>
        <v>#REF!</v>
      </c>
      <c r="S63" s="61" t="e">
        <f>#REF!</f>
        <v>#REF!</v>
      </c>
      <c r="T63" s="134"/>
      <c r="U63" s="39" t="e">
        <f>ROUND(#REF!*(1+#REF!),0)+MIN(#REF!-#REF!-SUM(#REF!),(barracks_size + tech_8_3*#REF!)*#REF!)</f>
        <v>#REF!</v>
      </c>
      <c r="V63" s="39" t="e">
        <f>(#REF!+#REF!)*pop_in_home+(SUM(#REF!)+#REF!-#REF!)*pop_in_building+(SUM(#REF!)-#REF!*20)*pop_on_barren-(SUM(#REF!)-SUM(#REF!))*(15-pop_on_barren)-pop_on_barren*#REF!</f>
        <v>#REF!</v>
      </c>
      <c r="W63" s="39" t="e">
        <f ca="1">MAX(-5%*#REF!-#REF!,MIN(OFFSET(#REF!,1,0)-#REF!-#REF!-#REF!,#REF!-#REF!))</f>
        <v>#REF!</v>
      </c>
      <c r="X63" s="39" t="e">
        <f>ROUND(#REF!*(1+#REF!),0)</f>
        <v>#REF!</v>
      </c>
      <c r="Y63" s="39" t="e">
        <f>(#REF!-#REF!)*raw_pop_growth</f>
        <v>#REF!</v>
      </c>
      <c r="Z63" s="39" t="e">
        <f>IF(#REF!&lt;#REF!,ROUND(#REF!*Constants!$B$55,0), 0)</f>
        <v>#REF!</v>
      </c>
      <c r="AA63" s="134"/>
      <c r="AB63" s="135" t="e">
        <f ca="1">Overview!$I$16 + IF(Magic!AE63&gt;0,Constants!$F$78) + ROUND(6*(Construction!BM64+Construction!CK63)/IF(Explore!S64&gt;0,Construction!F64-20,Construction!F64),4) + tech_6_5_2*Techs!BJ63 + tech_8_4*Techs!BT63</f>
        <v>#REF!</v>
      </c>
      <c r="AC63" s="132" t="e">
        <f ca="1">(Overview!$I$15 + Imps!Z63+ tech_2_5*Techs!AB63 + tech_3_6*Techs!AM63 + tech_6_1*Techs!BJ63 + tech_6_5*Techs!BF63 + tech_7_3_2*Techs!BN63) * (1 + Production!O63/100*prestige_pop_multiplier) + Production!O63/100*prestige_pop_multiplier</f>
        <v>#REF!</v>
      </c>
    </row>
    <row r="64" spans="1:29" x14ac:dyDescent="0.25">
      <c r="A64" s="130" t="e">
        <f>#REF!</f>
        <v>#REF!</v>
      </c>
      <c r="B64" s="131" t="e">
        <f>#REF!</f>
        <v>#REF!</v>
      </c>
      <c r="C64" s="39" t="e">
        <f ca="1">OFFSET(#REF!,-1,0)+OFFSET(#REF!,-1,0)+#REF!</f>
        <v>#REF!</v>
      </c>
      <c r="D64" s="39" t="e">
        <f>#REF!</f>
        <v>#REF!</v>
      </c>
      <c r="E64" s="39" t="e">
        <f>#REF!</f>
        <v>#REF!</v>
      </c>
      <c r="F64" s="39" t="e">
        <f>#REF!+#REF!</f>
        <v>#REF!</v>
      </c>
      <c r="G64" s="132" t="e">
        <f>#REF!/#REF!</f>
        <v>#REF!</v>
      </c>
      <c r="H64" s="39" t="e">
        <f>MIN(#REF!,#REF!)</f>
        <v>#REF!</v>
      </c>
      <c r="I64" s="132" t="e">
        <f ca="1">MIN(OFFSET(#REF!,1,0)/#REF!,1)</f>
        <v>#REF!</v>
      </c>
      <c r="J64" s="39" t="e">
        <f>SUM(#REF!,#REF!,#REF!,#REF!)*building_employment +#REF!* bonus_jobs_facts</f>
        <v>#REF!</v>
      </c>
      <c r="K64" s="133"/>
      <c r="L64" s="61" t="e">
        <f>#REF!</f>
        <v>#REF!</v>
      </c>
      <c r="M64" s="61" t="e">
        <f>#REF!</f>
        <v>#REF!</v>
      </c>
      <c r="N64" s="61" t="e">
        <f>#REF!</f>
        <v>#REF!</v>
      </c>
      <c r="O64" s="61" t="e">
        <f>#REF!</f>
        <v>#REF!</v>
      </c>
      <c r="P64" s="61" t="e">
        <f>#REF!</f>
        <v>#REF!</v>
      </c>
      <c r="Q64" s="61" t="e">
        <f>#REF!</f>
        <v>#REF!</v>
      </c>
      <c r="R64" s="61" t="e">
        <f>#REF!</f>
        <v>#REF!</v>
      </c>
      <c r="S64" s="61" t="e">
        <f>#REF!</f>
        <v>#REF!</v>
      </c>
      <c r="T64" s="134"/>
      <c r="U64" s="39" t="e">
        <f>ROUND(#REF!*(1+#REF!),0)+MIN(#REF!-#REF!-SUM(#REF!),(barracks_size + tech_8_3*#REF!)*#REF!)</f>
        <v>#REF!</v>
      </c>
      <c r="V64" s="39" t="e">
        <f>(#REF!+#REF!)*pop_in_home+(SUM(#REF!)+#REF!-#REF!)*pop_in_building+(SUM(#REF!)-#REF!*20)*pop_on_barren-(SUM(#REF!)-SUM(#REF!))*(15-pop_on_barren)-pop_on_barren*#REF!</f>
        <v>#REF!</v>
      </c>
      <c r="W64" s="39" t="e">
        <f ca="1">MAX(-5%*#REF!-#REF!,MIN(OFFSET(#REF!,1,0)-#REF!-#REF!-#REF!,#REF!-#REF!))</f>
        <v>#REF!</v>
      </c>
      <c r="X64" s="39" t="e">
        <f>ROUND(#REF!*(1+#REF!),0)</f>
        <v>#REF!</v>
      </c>
      <c r="Y64" s="39" t="e">
        <f>(#REF!-#REF!)*raw_pop_growth</f>
        <v>#REF!</v>
      </c>
      <c r="Z64" s="39" t="e">
        <f>IF(#REF!&lt;#REF!,ROUND(#REF!*Constants!$B$55,0), 0)</f>
        <v>#REF!</v>
      </c>
      <c r="AA64" s="134"/>
      <c r="AB64" s="135" t="e">
        <f ca="1">Overview!$I$16 + IF(Magic!AE64&gt;0,Constants!$F$78) + ROUND(6*(Construction!BM65+Construction!CK64)/IF(Explore!S65&gt;0,Construction!F65-20,Construction!F65),4) + tech_6_5_2*Techs!BJ64 + tech_8_4*Techs!BT64</f>
        <v>#REF!</v>
      </c>
      <c r="AC64" s="132" t="e">
        <f ca="1">(Overview!$I$15 + Imps!Z64+ tech_2_5*Techs!AB64 + tech_3_6*Techs!AM64 + tech_6_1*Techs!BJ64 + tech_6_5*Techs!BF64 + tech_7_3_2*Techs!BN64) * (1 + Production!O64/100*prestige_pop_multiplier) + Production!O64/100*prestige_pop_multiplier</f>
        <v>#REF!</v>
      </c>
    </row>
    <row r="65" spans="1:29" x14ac:dyDescent="0.25">
      <c r="A65" s="130" t="e">
        <f>#REF!</f>
        <v>#REF!</v>
      </c>
      <c r="B65" s="131" t="e">
        <f>#REF!</f>
        <v>#REF!</v>
      </c>
      <c r="C65" s="39" t="e">
        <f ca="1">OFFSET(#REF!,-1,0)+OFFSET(#REF!,-1,0)+#REF!</f>
        <v>#REF!</v>
      </c>
      <c r="D65" s="39" t="e">
        <f>#REF!</f>
        <v>#REF!</v>
      </c>
      <c r="E65" s="39" t="e">
        <f>#REF!</f>
        <v>#REF!</v>
      </c>
      <c r="F65" s="39" t="e">
        <f>#REF!+#REF!</f>
        <v>#REF!</v>
      </c>
      <c r="G65" s="132" t="e">
        <f>#REF!/#REF!</f>
        <v>#REF!</v>
      </c>
      <c r="H65" s="39" t="e">
        <f>MIN(#REF!,#REF!)</f>
        <v>#REF!</v>
      </c>
      <c r="I65" s="132" t="e">
        <f ca="1">MIN(OFFSET(#REF!,1,0)/#REF!,1)</f>
        <v>#REF!</v>
      </c>
      <c r="J65" s="39" t="e">
        <f>SUM(#REF!,#REF!,#REF!,#REF!)*building_employment +#REF!* bonus_jobs_facts</f>
        <v>#REF!</v>
      </c>
      <c r="K65" s="133"/>
      <c r="L65" s="61" t="e">
        <f>#REF!</f>
        <v>#REF!</v>
      </c>
      <c r="M65" s="61" t="e">
        <f>#REF!</f>
        <v>#REF!</v>
      </c>
      <c r="N65" s="61" t="e">
        <f>#REF!</f>
        <v>#REF!</v>
      </c>
      <c r="O65" s="61" t="e">
        <f>#REF!</f>
        <v>#REF!</v>
      </c>
      <c r="P65" s="61" t="e">
        <f>#REF!</f>
        <v>#REF!</v>
      </c>
      <c r="Q65" s="61" t="e">
        <f>#REF!</f>
        <v>#REF!</v>
      </c>
      <c r="R65" s="61" t="e">
        <f>#REF!</f>
        <v>#REF!</v>
      </c>
      <c r="S65" s="61" t="e">
        <f>#REF!</f>
        <v>#REF!</v>
      </c>
      <c r="T65" s="134"/>
      <c r="U65" s="39" t="e">
        <f>ROUND(#REF!*(1+#REF!),0)+MIN(#REF!-#REF!-SUM(#REF!),(barracks_size + tech_8_3*#REF!)*#REF!)</f>
        <v>#REF!</v>
      </c>
      <c r="V65" s="39" t="e">
        <f>(#REF!+#REF!)*pop_in_home+(SUM(#REF!)+#REF!-#REF!)*pop_in_building+(SUM(#REF!)-#REF!*20)*pop_on_barren-(SUM(#REF!)-SUM(#REF!))*(15-pop_on_barren)-pop_on_barren*#REF!</f>
        <v>#REF!</v>
      </c>
      <c r="W65" s="39" t="e">
        <f ca="1">MAX(-5%*#REF!-#REF!,MIN(OFFSET(#REF!,1,0)-#REF!-#REF!-#REF!,#REF!-#REF!))</f>
        <v>#REF!</v>
      </c>
      <c r="X65" s="39" t="e">
        <f>ROUND(#REF!*(1+#REF!),0)</f>
        <v>#REF!</v>
      </c>
      <c r="Y65" s="39" t="e">
        <f>(#REF!-#REF!)*raw_pop_growth</f>
        <v>#REF!</v>
      </c>
      <c r="Z65" s="39" t="e">
        <f>IF(#REF!&lt;#REF!,ROUND(#REF!*Constants!$B$55,0), 0)</f>
        <v>#REF!</v>
      </c>
      <c r="AA65" s="134"/>
      <c r="AB65" s="135" t="e">
        <f ca="1">Overview!$I$16 + IF(Magic!AE65&gt;0,Constants!$F$78) + ROUND(6*(Construction!BM66+Construction!CK65)/IF(Explore!S66&gt;0,Construction!F66-20,Construction!F66),4) + tech_6_5_2*Techs!BJ65 + tech_8_4*Techs!BT65</f>
        <v>#REF!</v>
      </c>
      <c r="AC65" s="132" t="e">
        <f ca="1">(Overview!$I$15 + Imps!Z65+ tech_2_5*Techs!AB65 + tech_3_6*Techs!AM65 + tech_6_1*Techs!BJ65 + tech_6_5*Techs!BF65 + tech_7_3_2*Techs!BN65) * (1 + Production!O65/100*prestige_pop_multiplier) + Production!O65/100*prestige_pop_multiplier</f>
        <v>#REF!</v>
      </c>
    </row>
    <row r="66" spans="1:29" x14ac:dyDescent="0.25">
      <c r="A66" s="130" t="e">
        <f>#REF!</f>
        <v>#REF!</v>
      </c>
      <c r="B66" s="131" t="e">
        <f>#REF!</f>
        <v>#REF!</v>
      </c>
      <c r="C66" s="39" t="e">
        <f ca="1">OFFSET(#REF!,-1,0)+OFFSET(#REF!,-1,0)+#REF!</f>
        <v>#REF!</v>
      </c>
      <c r="D66" s="39" t="e">
        <f>#REF!</f>
        <v>#REF!</v>
      </c>
      <c r="E66" s="39" t="e">
        <f>#REF!</f>
        <v>#REF!</v>
      </c>
      <c r="F66" s="39" t="e">
        <f>#REF!+#REF!</f>
        <v>#REF!</v>
      </c>
      <c r="G66" s="132" t="e">
        <f>#REF!/#REF!</f>
        <v>#REF!</v>
      </c>
      <c r="H66" s="39" t="e">
        <f>MIN(#REF!,#REF!)</f>
        <v>#REF!</v>
      </c>
      <c r="I66" s="132" t="e">
        <f ca="1">MIN(OFFSET(#REF!,1,0)/#REF!,1)</f>
        <v>#REF!</v>
      </c>
      <c r="J66" s="39" t="e">
        <f>SUM(#REF!,#REF!,#REF!,#REF!)*building_employment +#REF!* bonus_jobs_facts</f>
        <v>#REF!</v>
      </c>
      <c r="K66" s="133"/>
      <c r="L66" s="61" t="e">
        <f>#REF!</f>
        <v>#REF!</v>
      </c>
      <c r="M66" s="61" t="e">
        <f>#REF!</f>
        <v>#REF!</v>
      </c>
      <c r="N66" s="61" t="e">
        <f>#REF!</f>
        <v>#REF!</v>
      </c>
      <c r="O66" s="61" t="e">
        <f>#REF!</f>
        <v>#REF!</v>
      </c>
      <c r="P66" s="61" t="e">
        <f>#REF!</f>
        <v>#REF!</v>
      </c>
      <c r="Q66" s="61" t="e">
        <f>#REF!</f>
        <v>#REF!</v>
      </c>
      <c r="R66" s="61" t="e">
        <f>#REF!</f>
        <v>#REF!</v>
      </c>
      <c r="S66" s="61" t="e">
        <f>#REF!</f>
        <v>#REF!</v>
      </c>
      <c r="T66" s="134"/>
      <c r="U66" s="39" t="e">
        <f>ROUND(#REF!*(1+#REF!),0)+MIN(#REF!-#REF!-SUM(#REF!),(barracks_size + tech_8_3*#REF!)*#REF!)</f>
        <v>#REF!</v>
      </c>
      <c r="V66" s="39" t="e">
        <f>(#REF!+#REF!)*pop_in_home+(SUM(#REF!)+#REF!-#REF!)*pop_in_building+(SUM(#REF!)-#REF!*20)*pop_on_barren-(SUM(#REF!)-SUM(#REF!))*(15-pop_on_barren)-pop_on_barren*#REF!</f>
        <v>#REF!</v>
      </c>
      <c r="W66" s="39" t="e">
        <f ca="1">MAX(-5%*#REF!-#REF!,MIN(OFFSET(#REF!,1,0)-#REF!-#REF!-#REF!,#REF!-#REF!))</f>
        <v>#REF!</v>
      </c>
      <c r="X66" s="39" t="e">
        <f>ROUND(#REF!*(1+#REF!),0)</f>
        <v>#REF!</v>
      </c>
      <c r="Y66" s="39" t="e">
        <f>(#REF!-#REF!)*raw_pop_growth</f>
        <v>#REF!</v>
      </c>
      <c r="Z66" s="39" t="e">
        <f>IF(#REF!&lt;#REF!,ROUND(#REF!*Constants!$B$55,0), 0)</f>
        <v>#REF!</v>
      </c>
      <c r="AA66" s="134"/>
      <c r="AB66" s="135" t="e">
        <f ca="1">Overview!$I$16 + IF(Magic!AE66&gt;0,Constants!$F$78) + ROUND(6*(Construction!BM67+Construction!CK66)/IF(Explore!S67&gt;0,Construction!F67-20,Construction!F67),4) + tech_6_5_2*Techs!BJ66 + tech_8_4*Techs!BT66</f>
        <v>#REF!</v>
      </c>
      <c r="AC66" s="132" t="e">
        <f ca="1">(Overview!$I$15 + Imps!Z66+ tech_2_5*Techs!AB66 + tech_3_6*Techs!AM66 + tech_6_1*Techs!BJ66 + tech_6_5*Techs!BF66 + tech_7_3_2*Techs!BN66) * (1 + Production!O66/100*prestige_pop_multiplier) + Production!O66/100*prestige_pop_multiplier</f>
        <v>#REF!</v>
      </c>
    </row>
    <row r="67" spans="1:29" x14ac:dyDescent="0.25">
      <c r="A67" s="130" t="e">
        <f>#REF!</f>
        <v>#REF!</v>
      </c>
      <c r="B67" s="131" t="e">
        <f>#REF!</f>
        <v>#REF!</v>
      </c>
      <c r="C67" s="39" t="e">
        <f ca="1">OFFSET(#REF!,-1,0)+OFFSET(#REF!,-1,0)+#REF!</f>
        <v>#REF!</v>
      </c>
      <c r="D67" s="39" t="e">
        <f>#REF!</f>
        <v>#REF!</v>
      </c>
      <c r="E67" s="39" t="e">
        <f>#REF!</f>
        <v>#REF!</v>
      </c>
      <c r="F67" s="39" t="e">
        <f>#REF!+#REF!</f>
        <v>#REF!</v>
      </c>
      <c r="G67" s="132" t="e">
        <f>#REF!/#REF!</f>
        <v>#REF!</v>
      </c>
      <c r="H67" s="39" t="e">
        <f>MIN(#REF!,#REF!)</f>
        <v>#REF!</v>
      </c>
      <c r="I67" s="132" t="e">
        <f ca="1">MIN(OFFSET(#REF!,1,0)/#REF!,1)</f>
        <v>#REF!</v>
      </c>
      <c r="J67" s="39" t="e">
        <f>SUM(#REF!,#REF!,#REF!,#REF!)*building_employment +#REF!* bonus_jobs_facts</f>
        <v>#REF!</v>
      </c>
      <c r="K67" s="133"/>
      <c r="L67" s="61" t="e">
        <f>#REF!</f>
        <v>#REF!</v>
      </c>
      <c r="M67" s="61" t="e">
        <f>#REF!</f>
        <v>#REF!</v>
      </c>
      <c r="N67" s="61" t="e">
        <f>#REF!</f>
        <v>#REF!</v>
      </c>
      <c r="O67" s="61" t="e">
        <f>#REF!</f>
        <v>#REF!</v>
      </c>
      <c r="P67" s="61" t="e">
        <f>#REF!</f>
        <v>#REF!</v>
      </c>
      <c r="Q67" s="61" t="e">
        <f>#REF!</f>
        <v>#REF!</v>
      </c>
      <c r="R67" s="61" t="e">
        <f>#REF!</f>
        <v>#REF!</v>
      </c>
      <c r="S67" s="61" t="e">
        <f>#REF!</f>
        <v>#REF!</v>
      </c>
      <c r="T67" s="134"/>
      <c r="U67" s="39" t="e">
        <f>ROUND(#REF!*(1+#REF!),0)+MIN(#REF!-#REF!-SUM(#REF!),(barracks_size + tech_8_3*#REF!)*#REF!)</f>
        <v>#REF!</v>
      </c>
      <c r="V67" s="39" t="e">
        <f>(#REF!+#REF!)*pop_in_home+(SUM(#REF!)+#REF!-#REF!)*pop_in_building+(SUM(#REF!)-#REF!*20)*pop_on_barren-(SUM(#REF!)-SUM(#REF!))*(15-pop_on_barren)-pop_on_barren*#REF!</f>
        <v>#REF!</v>
      </c>
      <c r="W67" s="39" t="e">
        <f ca="1">MAX(-5%*#REF!-#REF!,MIN(OFFSET(#REF!,1,0)-#REF!-#REF!-#REF!,#REF!-#REF!))</f>
        <v>#REF!</v>
      </c>
      <c r="X67" s="39" t="e">
        <f>ROUND(#REF!*(1+#REF!),0)</f>
        <v>#REF!</v>
      </c>
      <c r="Y67" s="39" t="e">
        <f>(#REF!-#REF!)*raw_pop_growth</f>
        <v>#REF!</v>
      </c>
      <c r="Z67" s="39" t="e">
        <f>IF(#REF!&lt;#REF!,ROUND(#REF!*Constants!$B$55,0), 0)</f>
        <v>#REF!</v>
      </c>
      <c r="AA67" s="134"/>
      <c r="AB67" s="135" t="e">
        <f ca="1">Overview!$I$16 + IF(Magic!AE67&gt;0,Constants!$F$78) + ROUND(6*(Construction!BM68+Construction!CK67)/IF(Explore!S68&gt;0,Construction!F68-20,Construction!F68),4) + tech_6_5_2*Techs!BJ67 + tech_8_4*Techs!BT67</f>
        <v>#REF!</v>
      </c>
      <c r="AC67" s="132" t="e">
        <f ca="1">(Overview!$I$15 + Imps!Z67+ tech_2_5*Techs!AB67 + tech_3_6*Techs!AM67 + tech_6_1*Techs!BJ67 + tech_6_5*Techs!BF67 + tech_7_3_2*Techs!BN67) * (1 + Production!O67/100*prestige_pop_multiplier) + Production!O67/100*prestige_pop_multiplier</f>
        <v>#REF!</v>
      </c>
    </row>
    <row r="68" spans="1:29" x14ac:dyDescent="0.25">
      <c r="A68" s="130" t="e">
        <f>#REF!</f>
        <v>#REF!</v>
      </c>
      <c r="B68" s="131" t="e">
        <f>#REF!</f>
        <v>#REF!</v>
      </c>
      <c r="C68" s="39" t="e">
        <f ca="1">OFFSET(#REF!,-1,0)+OFFSET(#REF!,-1,0)+#REF!</f>
        <v>#REF!</v>
      </c>
      <c r="D68" s="39" t="e">
        <f>#REF!</f>
        <v>#REF!</v>
      </c>
      <c r="E68" s="39" t="e">
        <f>#REF!</f>
        <v>#REF!</v>
      </c>
      <c r="F68" s="39" t="e">
        <f>#REF!+#REF!</f>
        <v>#REF!</v>
      </c>
      <c r="G68" s="132" t="e">
        <f>#REF!/#REF!</f>
        <v>#REF!</v>
      </c>
      <c r="H68" s="39" t="e">
        <f>MIN(#REF!,#REF!)</f>
        <v>#REF!</v>
      </c>
      <c r="I68" s="132" t="e">
        <f ca="1">MIN(OFFSET(#REF!,1,0)/#REF!,1)</f>
        <v>#REF!</v>
      </c>
      <c r="J68" s="39" t="e">
        <f>SUM(#REF!,#REF!,#REF!,#REF!)*building_employment +#REF!* bonus_jobs_facts</f>
        <v>#REF!</v>
      </c>
      <c r="K68" s="133"/>
      <c r="L68" s="61" t="e">
        <f>#REF!</f>
        <v>#REF!</v>
      </c>
      <c r="M68" s="61" t="e">
        <f>#REF!</f>
        <v>#REF!</v>
      </c>
      <c r="N68" s="61" t="e">
        <f>#REF!</f>
        <v>#REF!</v>
      </c>
      <c r="O68" s="61" t="e">
        <f>#REF!</f>
        <v>#REF!</v>
      </c>
      <c r="P68" s="61" t="e">
        <f>#REF!</f>
        <v>#REF!</v>
      </c>
      <c r="Q68" s="61" t="e">
        <f>#REF!</f>
        <v>#REF!</v>
      </c>
      <c r="R68" s="61" t="e">
        <f>#REF!</f>
        <v>#REF!</v>
      </c>
      <c r="S68" s="61" t="e">
        <f>#REF!</f>
        <v>#REF!</v>
      </c>
      <c r="T68" s="134"/>
      <c r="U68" s="39" t="e">
        <f>ROUND(#REF!*(1+#REF!),0)+MIN(#REF!-#REF!-SUM(#REF!),(barracks_size + tech_8_3*#REF!)*#REF!)</f>
        <v>#REF!</v>
      </c>
      <c r="V68" s="39" t="e">
        <f>(#REF!+#REF!)*pop_in_home+(SUM(#REF!)+#REF!-#REF!)*pop_in_building+(SUM(#REF!)-#REF!*20)*pop_on_barren-(SUM(#REF!)-SUM(#REF!))*(15-pop_on_barren)-pop_on_barren*#REF!</f>
        <v>#REF!</v>
      </c>
      <c r="W68" s="39" t="e">
        <f ca="1">MAX(-5%*#REF!-#REF!,MIN(OFFSET(#REF!,1,0)-#REF!-#REF!-#REF!,#REF!-#REF!))</f>
        <v>#REF!</v>
      </c>
      <c r="X68" s="39" t="e">
        <f>ROUND(#REF!*(1+#REF!),0)</f>
        <v>#REF!</v>
      </c>
      <c r="Y68" s="39" t="e">
        <f>(#REF!-#REF!)*raw_pop_growth</f>
        <v>#REF!</v>
      </c>
      <c r="Z68" s="39" t="e">
        <f>IF(#REF!&lt;#REF!,ROUND(#REF!*Constants!$B$55,0), 0)</f>
        <v>#REF!</v>
      </c>
      <c r="AA68" s="134"/>
      <c r="AB68" s="135" t="e">
        <f ca="1">Overview!$I$16 + IF(Magic!AE68&gt;0,Constants!$F$78) + ROUND(6*(Construction!BM69+Construction!CK68)/IF(Explore!S69&gt;0,Construction!F69-20,Construction!F69),4) + tech_6_5_2*Techs!BJ68 + tech_8_4*Techs!BT68</f>
        <v>#REF!</v>
      </c>
      <c r="AC68" s="132" t="e">
        <f ca="1">(Overview!$I$15 + Imps!Z68+ tech_2_5*Techs!AB68 + tech_3_6*Techs!AM68 + tech_6_1*Techs!BJ68 + tech_6_5*Techs!BF68 + tech_7_3_2*Techs!BN68) * (1 + Production!O68/100*prestige_pop_multiplier) + Production!O68/100*prestige_pop_multiplier</f>
        <v>#REF!</v>
      </c>
    </row>
    <row r="69" spans="1:29" x14ac:dyDescent="0.25">
      <c r="A69" s="130" t="e">
        <f>#REF!</f>
        <v>#REF!</v>
      </c>
      <c r="B69" s="131" t="e">
        <f>#REF!</f>
        <v>#REF!</v>
      </c>
      <c r="C69" s="39" t="e">
        <f ca="1">OFFSET(#REF!,-1,0)+OFFSET(#REF!,-1,0)+#REF!</f>
        <v>#REF!</v>
      </c>
      <c r="D69" s="39" t="e">
        <f>#REF!</f>
        <v>#REF!</v>
      </c>
      <c r="E69" s="39" t="e">
        <f>#REF!</f>
        <v>#REF!</v>
      </c>
      <c r="F69" s="39" t="e">
        <f>#REF!+#REF!</f>
        <v>#REF!</v>
      </c>
      <c r="G69" s="132" t="e">
        <f>#REF!/#REF!</f>
        <v>#REF!</v>
      </c>
      <c r="H69" s="39" t="e">
        <f>MIN(#REF!,#REF!)</f>
        <v>#REF!</v>
      </c>
      <c r="I69" s="132" t="e">
        <f ca="1">MIN(OFFSET(#REF!,1,0)/#REF!,1)</f>
        <v>#REF!</v>
      </c>
      <c r="J69" s="39" t="e">
        <f>SUM(#REF!,#REF!,#REF!,#REF!)*building_employment +#REF!* bonus_jobs_facts</f>
        <v>#REF!</v>
      </c>
      <c r="K69" s="133"/>
      <c r="L69" s="61" t="e">
        <f>#REF!</f>
        <v>#REF!</v>
      </c>
      <c r="M69" s="61" t="e">
        <f>#REF!</f>
        <v>#REF!</v>
      </c>
      <c r="N69" s="61" t="e">
        <f>#REF!</f>
        <v>#REF!</v>
      </c>
      <c r="O69" s="61" t="e">
        <f>#REF!</f>
        <v>#REF!</v>
      </c>
      <c r="P69" s="61" t="e">
        <f>#REF!</f>
        <v>#REF!</v>
      </c>
      <c r="Q69" s="61" t="e">
        <f>#REF!</f>
        <v>#REF!</v>
      </c>
      <c r="R69" s="61" t="e">
        <f>#REF!</f>
        <v>#REF!</v>
      </c>
      <c r="S69" s="61" t="e">
        <f>#REF!</f>
        <v>#REF!</v>
      </c>
      <c r="T69" s="134"/>
      <c r="U69" s="39" t="e">
        <f>ROUND(#REF!*(1+#REF!),0)+MIN(#REF!-#REF!-SUM(#REF!),(barracks_size + tech_8_3*#REF!)*#REF!)</f>
        <v>#REF!</v>
      </c>
      <c r="V69" s="39" t="e">
        <f>(#REF!+#REF!)*pop_in_home+(SUM(#REF!)+#REF!-#REF!)*pop_in_building+(SUM(#REF!)-#REF!*20)*pop_on_barren-(SUM(#REF!)-SUM(#REF!))*(15-pop_on_barren)-pop_on_barren*#REF!</f>
        <v>#REF!</v>
      </c>
      <c r="W69" s="39" t="e">
        <f ca="1">MAX(-5%*#REF!-#REF!,MIN(OFFSET(#REF!,1,0)-#REF!-#REF!-#REF!,#REF!-#REF!))</f>
        <v>#REF!</v>
      </c>
      <c r="X69" s="39" t="e">
        <f>ROUND(#REF!*(1+#REF!),0)</f>
        <v>#REF!</v>
      </c>
      <c r="Y69" s="39" t="e">
        <f>(#REF!-#REF!)*raw_pop_growth</f>
        <v>#REF!</v>
      </c>
      <c r="Z69" s="39" t="e">
        <f>IF(#REF!&lt;#REF!,ROUND(#REF!*Constants!$B$55,0), 0)</f>
        <v>#REF!</v>
      </c>
      <c r="AA69" s="134"/>
      <c r="AB69" s="135" t="e">
        <f ca="1">Overview!$I$16 + IF(Magic!AE69&gt;0,Constants!$F$78) + ROUND(6*(Construction!BM70+Construction!CK69)/IF(Explore!S70&gt;0,Construction!F70-20,Construction!F70),4) + tech_6_5_2*Techs!BJ69 + tech_8_4*Techs!BT69</f>
        <v>#REF!</v>
      </c>
      <c r="AC69" s="132" t="e">
        <f ca="1">(Overview!$I$15 + Imps!Z69+ tech_2_5*Techs!AB69 + tech_3_6*Techs!AM69 + tech_6_1*Techs!BJ69 + tech_6_5*Techs!BF69 + tech_7_3_2*Techs!BN69) * (1 + Production!O69/100*prestige_pop_multiplier) + Production!O69/100*prestige_pop_multiplier</f>
        <v>#REF!</v>
      </c>
    </row>
    <row r="70" spans="1:29" x14ac:dyDescent="0.25">
      <c r="A70" s="130" t="e">
        <f>#REF!</f>
        <v>#REF!</v>
      </c>
      <c r="B70" s="131" t="e">
        <f>#REF!</f>
        <v>#REF!</v>
      </c>
      <c r="C70" s="39" t="e">
        <f ca="1">OFFSET(#REF!,-1,0)+OFFSET(#REF!,-1,0)+#REF!</f>
        <v>#REF!</v>
      </c>
      <c r="D70" s="39" t="e">
        <f>#REF!</f>
        <v>#REF!</v>
      </c>
      <c r="E70" s="39" t="e">
        <f>#REF!</f>
        <v>#REF!</v>
      </c>
      <c r="F70" s="39" t="e">
        <f>#REF!+#REF!</f>
        <v>#REF!</v>
      </c>
      <c r="G70" s="132" t="e">
        <f>#REF!/#REF!</f>
        <v>#REF!</v>
      </c>
      <c r="H70" s="39" t="e">
        <f>MIN(#REF!,#REF!)</f>
        <v>#REF!</v>
      </c>
      <c r="I70" s="132" t="e">
        <f ca="1">MIN(OFFSET(#REF!,1,0)/#REF!,1)</f>
        <v>#REF!</v>
      </c>
      <c r="J70" s="39" t="e">
        <f>SUM(#REF!,#REF!,#REF!,#REF!)*building_employment +#REF!* bonus_jobs_facts</f>
        <v>#REF!</v>
      </c>
      <c r="K70" s="133"/>
      <c r="L70" s="61" t="e">
        <f>#REF!</f>
        <v>#REF!</v>
      </c>
      <c r="M70" s="61" t="e">
        <f>#REF!</f>
        <v>#REF!</v>
      </c>
      <c r="N70" s="61" t="e">
        <f>#REF!</f>
        <v>#REF!</v>
      </c>
      <c r="O70" s="61" t="e">
        <f>#REF!</f>
        <v>#REF!</v>
      </c>
      <c r="P70" s="61" t="e">
        <f>#REF!</f>
        <v>#REF!</v>
      </c>
      <c r="Q70" s="61" t="e">
        <f>#REF!</f>
        <v>#REF!</v>
      </c>
      <c r="R70" s="61" t="e">
        <f>#REF!</f>
        <v>#REF!</v>
      </c>
      <c r="S70" s="61" t="e">
        <f>#REF!</f>
        <v>#REF!</v>
      </c>
      <c r="T70" s="134"/>
      <c r="U70" s="39" t="e">
        <f>ROUND(#REF!*(1+#REF!),0)+MIN(#REF!-#REF!-SUM(#REF!),(barracks_size + tech_8_3*#REF!)*#REF!)</f>
        <v>#REF!</v>
      </c>
      <c r="V70" s="39" t="e">
        <f>(#REF!+#REF!)*pop_in_home+(SUM(#REF!)+#REF!-#REF!)*pop_in_building+(SUM(#REF!)-#REF!*20)*pop_on_barren-(SUM(#REF!)-SUM(#REF!))*(15-pop_on_barren)-pop_on_barren*#REF!</f>
        <v>#REF!</v>
      </c>
      <c r="W70" s="39" t="e">
        <f ca="1">MAX(-5%*#REF!-#REF!,MIN(OFFSET(#REF!,1,0)-#REF!-#REF!-#REF!,#REF!-#REF!))</f>
        <v>#REF!</v>
      </c>
      <c r="X70" s="39" t="e">
        <f>ROUND(#REF!*(1+#REF!),0)</f>
        <v>#REF!</v>
      </c>
      <c r="Y70" s="39" t="e">
        <f>(#REF!-#REF!)*raw_pop_growth</f>
        <v>#REF!</v>
      </c>
      <c r="Z70" s="39" t="e">
        <f>IF(#REF!&lt;#REF!,ROUND(#REF!*Constants!$B$55,0), 0)</f>
        <v>#REF!</v>
      </c>
      <c r="AA70" s="134"/>
      <c r="AB70" s="135" t="e">
        <f ca="1">Overview!$I$16 + IF(Magic!AE70&gt;0,Constants!$F$78) + ROUND(6*(Construction!BM71+Construction!CK70)/IF(Explore!S71&gt;0,Construction!F71-20,Construction!F71),4) + tech_6_5_2*Techs!BJ70 + tech_8_4*Techs!BT70</f>
        <v>#REF!</v>
      </c>
      <c r="AC70" s="132" t="e">
        <f ca="1">(Overview!$I$15 + Imps!Z70+ tech_2_5*Techs!AB70 + tech_3_6*Techs!AM70 + tech_6_1*Techs!BJ70 + tech_6_5*Techs!BF70 + tech_7_3_2*Techs!BN70) * (1 + Production!O70/100*prestige_pop_multiplier) + Production!O70/100*prestige_pop_multiplier</f>
        <v>#REF!</v>
      </c>
    </row>
    <row r="71" spans="1:29" x14ac:dyDescent="0.25">
      <c r="A71" s="130" t="e">
        <f>#REF!</f>
        <v>#REF!</v>
      </c>
      <c r="B71" s="131" t="e">
        <f>#REF!</f>
        <v>#REF!</v>
      </c>
      <c r="C71" s="39" t="e">
        <f ca="1">OFFSET(#REF!,-1,0)+OFFSET(#REF!,-1,0)+#REF!</f>
        <v>#REF!</v>
      </c>
      <c r="D71" s="39" t="e">
        <f>#REF!</f>
        <v>#REF!</v>
      </c>
      <c r="E71" s="39" t="e">
        <f>#REF!</f>
        <v>#REF!</v>
      </c>
      <c r="F71" s="39" t="e">
        <f>#REF!+#REF!</f>
        <v>#REF!</v>
      </c>
      <c r="G71" s="132" t="e">
        <f>#REF!/#REF!</f>
        <v>#REF!</v>
      </c>
      <c r="H71" s="39" t="e">
        <f>MIN(#REF!,#REF!)</f>
        <v>#REF!</v>
      </c>
      <c r="I71" s="132" t="e">
        <f ca="1">MIN(OFFSET(#REF!,1,0)/#REF!,1)</f>
        <v>#REF!</v>
      </c>
      <c r="J71" s="39" t="e">
        <f>SUM(#REF!,#REF!,#REF!,#REF!)*building_employment +#REF!* bonus_jobs_facts</f>
        <v>#REF!</v>
      </c>
      <c r="K71" s="133"/>
      <c r="L71" s="61" t="e">
        <f>#REF!</f>
        <v>#REF!</v>
      </c>
      <c r="M71" s="61" t="e">
        <f>#REF!</f>
        <v>#REF!</v>
      </c>
      <c r="N71" s="61" t="e">
        <f>#REF!</f>
        <v>#REF!</v>
      </c>
      <c r="O71" s="61" t="e">
        <f>#REF!</f>
        <v>#REF!</v>
      </c>
      <c r="P71" s="61" t="e">
        <f>#REF!</f>
        <v>#REF!</v>
      </c>
      <c r="Q71" s="61" t="e">
        <f>#REF!</f>
        <v>#REF!</v>
      </c>
      <c r="R71" s="61" t="e">
        <f>#REF!</f>
        <v>#REF!</v>
      </c>
      <c r="S71" s="61" t="e">
        <f>#REF!</f>
        <v>#REF!</v>
      </c>
      <c r="T71" s="134"/>
      <c r="U71" s="39" t="e">
        <f>ROUND(#REF!*(1+#REF!),0)+MIN(#REF!-#REF!-SUM(#REF!),(barracks_size + tech_8_3*#REF!)*#REF!)</f>
        <v>#REF!</v>
      </c>
      <c r="V71" s="39" t="e">
        <f>(#REF!+#REF!)*pop_in_home+(SUM(#REF!)+#REF!-#REF!)*pop_in_building+(SUM(#REF!)-#REF!*20)*pop_on_barren-(SUM(#REF!)-SUM(#REF!))*(15-pop_on_barren)-pop_on_barren*#REF!</f>
        <v>#REF!</v>
      </c>
      <c r="W71" s="39" t="e">
        <f ca="1">MAX(-5%*#REF!-#REF!,MIN(OFFSET(#REF!,1,0)-#REF!-#REF!-#REF!,#REF!-#REF!))</f>
        <v>#REF!</v>
      </c>
      <c r="X71" s="39" t="e">
        <f>ROUND(#REF!*(1+#REF!),0)</f>
        <v>#REF!</v>
      </c>
      <c r="Y71" s="39" t="e">
        <f>(#REF!-#REF!)*raw_pop_growth</f>
        <v>#REF!</v>
      </c>
      <c r="Z71" s="39" t="e">
        <f>IF(#REF!&lt;#REF!,ROUND(#REF!*Constants!$B$55,0), 0)</f>
        <v>#REF!</v>
      </c>
      <c r="AA71" s="134"/>
      <c r="AB71" s="135" t="e">
        <f ca="1">Overview!$I$16 + IF(Magic!AE71&gt;0,Constants!$F$78) + ROUND(6*(Construction!BM72+Construction!CK71)/IF(Explore!S72&gt;0,Construction!F72-20,Construction!F72),4) + tech_6_5_2*Techs!BJ71 + tech_8_4*Techs!BT71</f>
        <v>#REF!</v>
      </c>
      <c r="AC71" s="132" t="e">
        <f ca="1">(Overview!$I$15 + Imps!Z71+ tech_2_5*Techs!AB71 + tech_3_6*Techs!AM71 + tech_6_1*Techs!BJ71 + tech_6_5*Techs!BF71 + tech_7_3_2*Techs!BN71) * (1 + Production!O71/100*prestige_pop_multiplier) + Production!O71/100*prestige_pop_multiplier</f>
        <v>#REF!</v>
      </c>
    </row>
    <row r="72" spans="1:29" x14ac:dyDescent="0.25">
      <c r="A72" s="130" t="e">
        <f>#REF!</f>
        <v>#REF!</v>
      </c>
      <c r="B72" s="131" t="e">
        <f>#REF!</f>
        <v>#REF!</v>
      </c>
      <c r="C72" s="39" t="e">
        <f ca="1">OFFSET(#REF!,-1,0)+OFFSET(#REF!,-1,0)+#REF!</f>
        <v>#REF!</v>
      </c>
      <c r="D72" s="39" t="e">
        <f>#REF!</f>
        <v>#REF!</v>
      </c>
      <c r="E72" s="39" t="e">
        <f>#REF!</f>
        <v>#REF!</v>
      </c>
      <c r="F72" s="39" t="e">
        <f>#REF!+#REF!</f>
        <v>#REF!</v>
      </c>
      <c r="G72" s="132" t="e">
        <f>#REF!/#REF!</f>
        <v>#REF!</v>
      </c>
      <c r="H72" s="39" t="e">
        <f>MIN(#REF!,#REF!)</f>
        <v>#REF!</v>
      </c>
      <c r="I72" s="132" t="e">
        <f ca="1">MIN(OFFSET(#REF!,1,0)/#REF!,1)</f>
        <v>#REF!</v>
      </c>
      <c r="J72" s="39" t="e">
        <f>SUM(#REF!,#REF!,#REF!,#REF!)*building_employment +#REF!* bonus_jobs_facts</f>
        <v>#REF!</v>
      </c>
      <c r="K72" s="133"/>
      <c r="L72" s="61" t="e">
        <f>#REF!</f>
        <v>#REF!</v>
      </c>
      <c r="M72" s="61" t="e">
        <f>#REF!</f>
        <v>#REF!</v>
      </c>
      <c r="N72" s="61" t="e">
        <f>#REF!</f>
        <v>#REF!</v>
      </c>
      <c r="O72" s="61" t="e">
        <f>#REF!</f>
        <v>#REF!</v>
      </c>
      <c r="P72" s="61" t="e">
        <f>#REF!</f>
        <v>#REF!</v>
      </c>
      <c r="Q72" s="61" t="e">
        <f>#REF!</f>
        <v>#REF!</v>
      </c>
      <c r="R72" s="61" t="e">
        <f>#REF!</f>
        <v>#REF!</v>
      </c>
      <c r="S72" s="61" t="e">
        <f>#REF!</f>
        <v>#REF!</v>
      </c>
      <c r="T72" s="134"/>
      <c r="U72" s="39" t="e">
        <f>ROUND(#REF!*(1+#REF!),0)+MIN(#REF!-#REF!-SUM(#REF!),(barracks_size + tech_8_3*#REF!)*#REF!)</f>
        <v>#REF!</v>
      </c>
      <c r="V72" s="39" t="e">
        <f>(#REF!+#REF!)*pop_in_home+(SUM(#REF!)+#REF!-#REF!)*pop_in_building+(SUM(#REF!)-#REF!*20)*pop_on_barren-(SUM(#REF!)-SUM(#REF!))*(15-pop_on_barren)-pop_on_barren*#REF!</f>
        <v>#REF!</v>
      </c>
      <c r="W72" s="39" t="e">
        <f ca="1">MAX(-5%*#REF!-#REF!,MIN(OFFSET(#REF!,1,0)-#REF!-#REF!-#REF!,#REF!-#REF!))</f>
        <v>#REF!</v>
      </c>
      <c r="X72" s="39" t="e">
        <f>ROUND(#REF!*(1+#REF!),0)</f>
        <v>#REF!</v>
      </c>
      <c r="Y72" s="39" t="e">
        <f>(#REF!-#REF!)*raw_pop_growth</f>
        <v>#REF!</v>
      </c>
      <c r="Z72" s="39" t="e">
        <f>IF(#REF!&lt;#REF!,ROUND(#REF!*Constants!$B$55,0), 0)</f>
        <v>#REF!</v>
      </c>
      <c r="AA72" s="134"/>
      <c r="AB72" s="135" t="e">
        <f ca="1">Overview!$I$16 + IF(Magic!AE72&gt;0,Constants!$F$78) + ROUND(6*(Construction!BM73+Construction!CK72)/IF(Explore!S73&gt;0,Construction!F73-20,Construction!F73),4) + tech_6_5_2*Techs!BJ72 + tech_8_4*Techs!BT72</f>
        <v>#REF!</v>
      </c>
      <c r="AC72" s="132" t="e">
        <f ca="1">(Overview!$I$15 + Imps!Z72+ tech_2_5*Techs!AB72 + tech_3_6*Techs!AM72 + tech_6_1*Techs!BJ72 + tech_6_5*Techs!BF72 + tech_7_3_2*Techs!BN72) * (1 + Production!O72/100*prestige_pop_multiplier) + Production!O72/100*prestige_pop_multiplier</f>
        <v>#REF!</v>
      </c>
    </row>
    <row r="73" spans="1:29" x14ac:dyDescent="0.25">
      <c r="A73" s="130" t="e">
        <f>#REF!</f>
        <v>#REF!</v>
      </c>
      <c r="B73" s="131" t="e">
        <f>#REF!</f>
        <v>#REF!</v>
      </c>
      <c r="C73" s="39" t="e">
        <f ca="1">OFFSET(#REF!,-1,0)+OFFSET(#REF!,-1,0)+#REF!</f>
        <v>#REF!</v>
      </c>
      <c r="D73" s="39" t="e">
        <f>#REF!</f>
        <v>#REF!</v>
      </c>
      <c r="E73" s="39" t="e">
        <f>#REF!</f>
        <v>#REF!</v>
      </c>
      <c r="F73" s="39" t="e">
        <f>#REF!+#REF!</f>
        <v>#REF!</v>
      </c>
      <c r="G73" s="132" t="e">
        <f>#REF!/#REF!</f>
        <v>#REF!</v>
      </c>
      <c r="H73" s="39" t="e">
        <f>MIN(#REF!,#REF!)</f>
        <v>#REF!</v>
      </c>
      <c r="I73" s="132" t="e">
        <f ca="1">MIN(OFFSET(#REF!,1,0)/#REF!,1)</f>
        <v>#REF!</v>
      </c>
      <c r="J73" s="39" t="e">
        <f>SUM(#REF!,#REF!,#REF!,#REF!)*building_employment +#REF!* bonus_jobs_facts</f>
        <v>#REF!</v>
      </c>
      <c r="K73" s="133"/>
      <c r="L73" s="61" t="e">
        <f>#REF!</f>
        <v>#REF!</v>
      </c>
      <c r="M73" s="61" t="e">
        <f>#REF!</f>
        <v>#REF!</v>
      </c>
      <c r="N73" s="61" t="e">
        <f>#REF!</f>
        <v>#REF!</v>
      </c>
      <c r="O73" s="61" t="e">
        <f>#REF!</f>
        <v>#REF!</v>
      </c>
      <c r="P73" s="61" t="e">
        <f>#REF!</f>
        <v>#REF!</v>
      </c>
      <c r="Q73" s="61" t="e">
        <f>#REF!</f>
        <v>#REF!</v>
      </c>
      <c r="R73" s="61" t="e">
        <f>#REF!</f>
        <v>#REF!</v>
      </c>
      <c r="S73" s="61" t="e">
        <f>#REF!</f>
        <v>#REF!</v>
      </c>
      <c r="T73" s="134"/>
      <c r="U73" s="39" t="e">
        <f>ROUND(#REF!*(1+#REF!),0)+MIN(#REF!-#REF!-SUM(#REF!),(barracks_size + tech_8_3*#REF!)*#REF!)</f>
        <v>#REF!</v>
      </c>
      <c r="V73" s="39" t="e">
        <f>(#REF!+#REF!)*pop_in_home+(SUM(#REF!)+#REF!-#REF!)*pop_in_building+(SUM(#REF!)-#REF!*20)*pop_on_barren-(SUM(#REF!)-SUM(#REF!))*(15-pop_on_barren)-pop_on_barren*#REF!</f>
        <v>#REF!</v>
      </c>
      <c r="W73" s="39" t="e">
        <f ca="1">MAX(-5%*#REF!-#REF!,MIN(OFFSET(#REF!,1,0)-#REF!-#REF!-#REF!,#REF!-#REF!))</f>
        <v>#REF!</v>
      </c>
      <c r="X73" s="39" t="e">
        <f>ROUND(#REF!*(1+#REF!),0)</f>
        <v>#REF!</v>
      </c>
      <c r="Y73" s="39" t="e">
        <f>(#REF!-#REF!)*raw_pop_growth</f>
        <v>#REF!</v>
      </c>
      <c r="Z73" s="39" t="e">
        <f>IF(#REF!&lt;#REF!,ROUND(#REF!*Constants!$B$55,0), 0)</f>
        <v>#REF!</v>
      </c>
      <c r="AA73" s="134"/>
      <c r="AB73" s="135" t="e">
        <f ca="1">Overview!$I$16 + IF(Magic!AE73&gt;0,Constants!$F$78) + ROUND(6*(Construction!BM74+Construction!CK73)/IF(Explore!S74&gt;0,Construction!F74-20,Construction!F74),4) + tech_6_5_2*Techs!BJ73 + tech_8_4*Techs!BT73</f>
        <v>#REF!</v>
      </c>
      <c r="AC73" s="132" t="e">
        <f ca="1">(Overview!$I$15 + Imps!Z73+ tech_2_5*Techs!AB73 + tech_3_6*Techs!AM73 + tech_6_1*Techs!BJ73 + tech_6_5*Techs!BF73 + tech_7_3_2*Techs!BN73) * (1 + Production!O73/100*prestige_pop_multiplier) + Production!O73/100*prestige_pop_multiplier</f>
        <v>#REF!</v>
      </c>
    </row>
    <row r="74" spans="1:29" x14ac:dyDescent="0.25">
      <c r="A74" s="130" t="e">
        <f>#REF!</f>
        <v>#REF!</v>
      </c>
      <c r="B74" s="131" t="e">
        <f>#REF!</f>
        <v>#REF!</v>
      </c>
      <c r="C74" s="39" t="e">
        <f ca="1">OFFSET(#REF!,-1,0)+OFFSET(#REF!,-1,0)+#REF!</f>
        <v>#REF!</v>
      </c>
      <c r="D74" s="39" t="e">
        <f>#REF!</f>
        <v>#REF!</v>
      </c>
      <c r="E74" s="39" t="e">
        <f>#REF!</f>
        <v>#REF!</v>
      </c>
      <c r="F74" s="39" t="e">
        <f>#REF!+#REF!</f>
        <v>#REF!</v>
      </c>
      <c r="G74" s="132" t="e">
        <f>#REF!/#REF!</f>
        <v>#REF!</v>
      </c>
      <c r="H74" s="39" t="e">
        <f>MIN(#REF!,#REF!)</f>
        <v>#REF!</v>
      </c>
      <c r="I74" s="132" t="e">
        <f ca="1">MIN(OFFSET(#REF!,1,0)/#REF!,1)</f>
        <v>#REF!</v>
      </c>
      <c r="J74" s="39" t="e">
        <f>SUM(#REF!,#REF!,#REF!,#REF!)*building_employment +#REF!* bonus_jobs_facts</f>
        <v>#REF!</v>
      </c>
      <c r="K74" s="133"/>
      <c r="L74" s="61" t="e">
        <f>#REF!</f>
        <v>#REF!</v>
      </c>
      <c r="M74" s="61" t="e">
        <f>#REF!</f>
        <v>#REF!</v>
      </c>
      <c r="N74" s="61" t="e">
        <f>#REF!</f>
        <v>#REF!</v>
      </c>
      <c r="O74" s="61" t="e">
        <f>#REF!</f>
        <v>#REF!</v>
      </c>
      <c r="P74" s="61" t="e">
        <f>#REF!</f>
        <v>#REF!</v>
      </c>
      <c r="Q74" s="61" t="e">
        <f>#REF!</f>
        <v>#REF!</v>
      </c>
      <c r="R74" s="61" t="e">
        <f>#REF!</f>
        <v>#REF!</v>
      </c>
      <c r="S74" s="61" t="e">
        <f>#REF!</f>
        <v>#REF!</v>
      </c>
      <c r="T74" s="134"/>
      <c r="U74" s="39" t="e">
        <f>ROUND(#REF!*(1+#REF!),0)+MIN(#REF!-#REF!-SUM(#REF!),(barracks_size + tech_8_3*#REF!)*#REF!)</f>
        <v>#REF!</v>
      </c>
      <c r="V74" s="39" t="e">
        <f>(#REF!+#REF!)*pop_in_home+(SUM(#REF!)+#REF!-#REF!)*pop_in_building+(SUM(#REF!)-#REF!*20)*pop_on_barren-(SUM(#REF!)-SUM(#REF!))*(15-pop_on_barren)-pop_on_barren*#REF!</f>
        <v>#REF!</v>
      </c>
      <c r="W74" s="39" t="e">
        <f ca="1">MAX(-5%*#REF!-#REF!,MIN(OFFSET(#REF!,1,0)-#REF!-#REF!-#REF!,#REF!-#REF!))</f>
        <v>#REF!</v>
      </c>
      <c r="X74" s="39" t="e">
        <f>ROUND(#REF!*(1+#REF!),0)</f>
        <v>#REF!</v>
      </c>
      <c r="Y74" s="39" t="e">
        <f>(#REF!-#REF!)*raw_pop_growth</f>
        <v>#REF!</v>
      </c>
      <c r="Z74" s="39" t="e">
        <f>IF(#REF!&lt;#REF!,ROUND(#REF!*Constants!$B$55,0), 0)</f>
        <v>#REF!</v>
      </c>
      <c r="AA74" s="134"/>
      <c r="AB74" s="135" t="e">
        <f ca="1">Overview!$I$16 + IF(Magic!AE74&gt;0,Constants!$F$78) + ROUND(6*(Construction!BM75+Construction!CK74)/IF(Explore!S75&gt;0,Construction!F75-20,Construction!F75),4) + tech_6_5_2*Techs!BJ74 + tech_8_4*Techs!BT74</f>
        <v>#REF!</v>
      </c>
      <c r="AC74" s="132" t="e">
        <f ca="1">(Overview!$I$15 + Imps!Z74+ tech_2_5*Techs!AB74 + tech_3_6*Techs!AM74 + tech_6_1*Techs!BJ74 + tech_6_5*Techs!BF74 + tech_7_3_2*Techs!BN74) * (1 + Production!O74/100*prestige_pop_multiplier) + Production!O74/100*prestige_pop_multiplier</f>
        <v>#REF!</v>
      </c>
    </row>
    <row r="75" spans="1:29" x14ac:dyDescent="0.25">
      <c r="A75" s="130" t="e">
        <f>#REF!</f>
        <v>#REF!</v>
      </c>
      <c r="B75" s="131" t="e">
        <f>#REF!</f>
        <v>#REF!</v>
      </c>
      <c r="C75" s="39" t="e">
        <f ca="1">OFFSET(#REF!,-1,0)+OFFSET(#REF!,-1,0)+#REF!</f>
        <v>#REF!</v>
      </c>
      <c r="D75" s="39" t="e">
        <f>#REF!</f>
        <v>#REF!</v>
      </c>
      <c r="E75" s="39" t="e">
        <f>#REF!</f>
        <v>#REF!</v>
      </c>
      <c r="F75" s="39" t="e">
        <f>#REF!+#REF!</f>
        <v>#REF!</v>
      </c>
      <c r="G75" s="132" t="e">
        <f>#REF!/#REF!</f>
        <v>#REF!</v>
      </c>
      <c r="H75" s="39" t="e">
        <f>MIN(#REF!,#REF!)</f>
        <v>#REF!</v>
      </c>
      <c r="I75" s="132" t="e">
        <f ca="1">MIN(OFFSET(#REF!,1,0)/#REF!,1)</f>
        <v>#REF!</v>
      </c>
      <c r="J75" s="39" t="e">
        <f>SUM(#REF!,#REF!,#REF!,#REF!)*building_employment +#REF!* bonus_jobs_facts</f>
        <v>#REF!</v>
      </c>
      <c r="K75" s="133"/>
      <c r="L75" s="61" t="e">
        <f>#REF!</f>
        <v>#REF!</v>
      </c>
      <c r="M75" s="61" t="e">
        <f>#REF!</f>
        <v>#REF!</v>
      </c>
      <c r="N75" s="61" t="e">
        <f>#REF!</f>
        <v>#REF!</v>
      </c>
      <c r="O75" s="61" t="e">
        <f>#REF!</f>
        <v>#REF!</v>
      </c>
      <c r="P75" s="61" t="e">
        <f>#REF!</f>
        <v>#REF!</v>
      </c>
      <c r="Q75" s="61" t="e">
        <f>#REF!</f>
        <v>#REF!</v>
      </c>
      <c r="R75" s="61" t="e">
        <f>#REF!</f>
        <v>#REF!</v>
      </c>
      <c r="S75" s="61" t="e">
        <f>#REF!</f>
        <v>#REF!</v>
      </c>
      <c r="T75" s="134"/>
      <c r="U75" s="39" t="e">
        <f>ROUND(#REF!*(1+#REF!),0)+MIN(#REF!-#REF!-SUM(#REF!),(barracks_size + tech_8_3*#REF!)*#REF!)</f>
        <v>#REF!</v>
      </c>
      <c r="V75" s="39" t="e">
        <f>(#REF!+#REF!)*pop_in_home+(SUM(#REF!)+#REF!-#REF!)*pop_in_building+(SUM(#REF!)-#REF!*20)*pop_on_barren-(SUM(#REF!)-SUM(#REF!))*(15-pop_on_barren)-pop_on_barren*#REF!</f>
        <v>#REF!</v>
      </c>
      <c r="W75" s="39" t="e">
        <f ca="1">MAX(-5%*#REF!-#REF!,MIN(OFFSET(#REF!,1,0)-#REF!-#REF!-#REF!,#REF!-#REF!))</f>
        <v>#REF!</v>
      </c>
      <c r="X75" s="39" t="e">
        <f>ROUND(#REF!*(1+#REF!),0)</f>
        <v>#REF!</v>
      </c>
      <c r="Y75" s="39" t="e">
        <f>(#REF!-#REF!)*raw_pop_growth</f>
        <v>#REF!</v>
      </c>
      <c r="Z75" s="39" t="e">
        <f>IF(#REF!&lt;#REF!,ROUND(#REF!*Constants!$B$55,0), 0)</f>
        <v>#REF!</v>
      </c>
      <c r="AA75" s="134"/>
      <c r="AB75" s="135" t="e">
        <f ca="1">Overview!$I$16 + IF(Magic!AE75&gt;0,Constants!$F$78) + ROUND(6*(Construction!BM76+Construction!CK75)/IF(Explore!S76&gt;0,Construction!F76-20,Construction!F76),4) + tech_6_5_2*Techs!BJ75 + tech_8_4*Techs!BT75</f>
        <v>#REF!</v>
      </c>
      <c r="AC75" s="132" t="e">
        <f ca="1">(Overview!$I$15 + Imps!Z75+ tech_2_5*Techs!AB75 + tech_3_6*Techs!AM75 + tech_6_1*Techs!BJ75 + tech_6_5*Techs!BF75 + tech_7_3_2*Techs!BN75) * (1 + Production!O75/100*prestige_pop_multiplier) + Production!O75/100*prestige_pop_multiplier</f>
        <v>#REF!</v>
      </c>
    </row>
    <row r="76" spans="1:29" ht="13" x14ac:dyDescent="0.3">
      <c r="A76" s="136" t="e">
        <f>#REF!</f>
        <v>#REF!</v>
      </c>
      <c r="B76" s="137" t="e">
        <f>#REF!</f>
        <v>#REF!</v>
      </c>
      <c r="C76" s="37" t="e">
        <f ca="1">OFFSET(#REF!,-1,0)+OFFSET(#REF!,-1,0)+#REF!</f>
        <v>#REF!</v>
      </c>
      <c r="D76" s="37" t="e">
        <f>#REF!</f>
        <v>#REF!</v>
      </c>
      <c r="E76" s="37" t="e">
        <f>#REF!</f>
        <v>#REF!</v>
      </c>
      <c r="F76" s="37" t="e">
        <f>#REF!+#REF!</f>
        <v>#REF!</v>
      </c>
      <c r="G76" s="138" t="e">
        <f>#REF!/#REF!</f>
        <v>#REF!</v>
      </c>
      <c r="H76" s="37" t="e">
        <f>MIN(#REF!,#REF!)</f>
        <v>#REF!</v>
      </c>
      <c r="I76" s="138" t="e">
        <f ca="1">MIN(OFFSET(#REF!,1,0)/#REF!,1)</f>
        <v>#REF!</v>
      </c>
      <c r="J76" s="39" t="e">
        <f>SUM(#REF!,#REF!,#REF!,#REF!)*building_employment +#REF!* bonus_jobs_facts</f>
        <v>#REF!</v>
      </c>
      <c r="K76" s="133"/>
      <c r="L76" s="139" t="e">
        <f>#REF!</f>
        <v>#REF!</v>
      </c>
      <c r="M76" s="139" t="e">
        <f>#REF!</f>
        <v>#REF!</v>
      </c>
      <c r="N76" s="139" t="e">
        <f>#REF!</f>
        <v>#REF!</v>
      </c>
      <c r="O76" s="139" t="e">
        <f>#REF!</f>
        <v>#REF!</v>
      </c>
      <c r="P76" s="139" t="e">
        <f>#REF!</f>
        <v>#REF!</v>
      </c>
      <c r="Q76" s="139" t="e">
        <f>#REF!</f>
        <v>#REF!</v>
      </c>
      <c r="R76" s="139" t="e">
        <f>#REF!</f>
        <v>#REF!</v>
      </c>
      <c r="S76" s="139" t="e">
        <f>#REF!</f>
        <v>#REF!</v>
      </c>
      <c r="T76" s="140"/>
      <c r="U76" s="37" t="e">
        <f>ROUND(#REF!*(1+#REF!),0)+MIN(#REF!-#REF!-SUM(#REF!),(barracks_size + tech_8_3*#REF!)*#REF!)</f>
        <v>#REF!</v>
      </c>
      <c r="V76" s="37" t="e">
        <f>(#REF!+#REF!)*pop_in_home+(SUM(#REF!)+#REF!-#REF!)*pop_in_building+(SUM(#REF!)-#REF!*20)*pop_on_barren-(SUM(#REF!)-SUM(#REF!))*(15-pop_on_barren)-pop_on_barren*#REF!</f>
        <v>#REF!</v>
      </c>
      <c r="W76" s="37" t="e">
        <f ca="1">MAX(-5%*#REF!-#REF!,MIN(OFFSET(#REF!,1,0)-#REF!-#REF!-#REF!,#REF!-#REF!))</f>
        <v>#REF!</v>
      </c>
      <c r="X76" s="37" t="e">
        <f>ROUND(#REF!*(1+#REF!),0)</f>
        <v>#REF!</v>
      </c>
      <c r="Y76" s="37" t="e">
        <f>(#REF!-#REF!)*raw_pop_growth</f>
        <v>#REF!</v>
      </c>
      <c r="Z76" s="37" t="e">
        <f>IF(#REF!&lt;#REF!,ROUND(#REF!*Constants!$B$55,0), 0)</f>
        <v>#REF!</v>
      </c>
      <c r="AA76" s="140"/>
      <c r="AB76" s="141" t="e">
        <f ca="1">Overview!$I$16 + IF(Magic!AE76&gt;0,Constants!$F$78) + ROUND(6*(Construction!BM77+Construction!CK76)/IF(Explore!S77&gt;0,Construction!F77-20,Construction!F77),4) + tech_6_5_2*Techs!BJ76 + tech_8_4*Techs!BT76</f>
        <v>#REF!</v>
      </c>
      <c r="AC76" s="132" t="e">
        <f ca="1">(Overview!$I$15 + Imps!Z76+ tech_2_5*Techs!AB76 + tech_3_6*Techs!AM76 + tech_6_1*Techs!BJ76 + tech_6_5*Techs!BF76 + tech_7_3_2*Techs!BN76) * (1 + Production!O76/100*prestige_pop_multiplier) + Production!O76/100*prestige_pop_multiplier</f>
        <v>#REF!</v>
      </c>
    </row>
    <row r="77" spans="1:29" x14ac:dyDescent="0.25">
      <c r="A77" s="130" t="e">
        <f>#REF!</f>
        <v>#REF!</v>
      </c>
      <c r="B77" s="131" t="e">
        <f>#REF!</f>
        <v>#REF!</v>
      </c>
      <c r="C77" s="39" t="e">
        <f ca="1">OFFSET(#REF!,-1,0)+OFFSET(#REF!,-1,0)+#REF!</f>
        <v>#REF!</v>
      </c>
      <c r="D77" s="39" t="e">
        <f>#REF!</f>
        <v>#REF!</v>
      </c>
      <c r="E77" s="39" t="e">
        <f>#REF!</f>
        <v>#REF!</v>
      </c>
      <c r="F77" s="39" t="e">
        <f>#REF!+#REF!</f>
        <v>#REF!</v>
      </c>
      <c r="G77" s="132" t="e">
        <f>#REF!/#REF!</f>
        <v>#REF!</v>
      </c>
      <c r="H77" s="39" t="e">
        <f>MIN(#REF!,#REF!)</f>
        <v>#REF!</v>
      </c>
      <c r="I77" s="132" t="e">
        <f ca="1">MIN(OFFSET(#REF!,1,0)/#REF!,1)</f>
        <v>#REF!</v>
      </c>
      <c r="J77" s="39" t="e">
        <f>SUM(#REF!,#REF!,#REF!,#REF!)*building_employment +#REF!* bonus_jobs_facts</f>
        <v>#REF!</v>
      </c>
      <c r="K77" s="133"/>
      <c r="L77" s="61" t="e">
        <f>#REF!</f>
        <v>#REF!</v>
      </c>
      <c r="M77" s="61" t="e">
        <f>#REF!</f>
        <v>#REF!</v>
      </c>
      <c r="N77" s="61" t="e">
        <f>#REF!</f>
        <v>#REF!</v>
      </c>
      <c r="O77" s="61" t="e">
        <f>#REF!</f>
        <v>#REF!</v>
      </c>
      <c r="P77" s="61" t="e">
        <f>#REF!</f>
        <v>#REF!</v>
      </c>
      <c r="Q77" s="61" t="e">
        <f>#REF!</f>
        <v>#REF!</v>
      </c>
      <c r="R77" s="61" t="e">
        <f>#REF!</f>
        <v>#REF!</v>
      </c>
      <c r="S77" s="61" t="e">
        <f>#REF!</f>
        <v>#REF!</v>
      </c>
      <c r="T77" s="134"/>
      <c r="U77" s="39" t="e">
        <f>ROUND(#REF!*(1+#REF!),0)+MIN(#REF!-#REF!-SUM(#REF!),(barracks_size + tech_8_3*#REF!)*#REF!)</f>
        <v>#REF!</v>
      </c>
      <c r="V77" s="39" t="e">
        <f>(#REF!+#REF!)*pop_in_home+(SUM(#REF!)+#REF!-#REF!)*pop_in_building+(SUM(#REF!)-#REF!*20)*pop_on_barren-(SUM(#REF!)-SUM(#REF!))*(15-pop_on_barren)-pop_on_barren*#REF!</f>
        <v>#REF!</v>
      </c>
      <c r="W77" s="39" t="e">
        <f ca="1">MAX(-5%*#REF!-#REF!,MIN(OFFSET(#REF!,1,0)-#REF!-#REF!-#REF!,#REF!-#REF!))</f>
        <v>#REF!</v>
      </c>
      <c r="X77" s="39" t="e">
        <f>ROUND(#REF!*(1+#REF!),0)</f>
        <v>#REF!</v>
      </c>
      <c r="Y77" s="39" t="e">
        <f>(#REF!-#REF!)*raw_pop_growth</f>
        <v>#REF!</v>
      </c>
      <c r="Z77" s="39" t="e">
        <f>IF(#REF!&lt;#REF!,ROUND(#REF!*Constants!$B$55,0), 0)</f>
        <v>#REF!</v>
      </c>
      <c r="AA77" s="134"/>
      <c r="AB77" s="135" t="e">
        <f ca="1">Overview!$I$16 + IF(Magic!AE77&gt;0,Constants!$F$78) + ROUND(6*(Construction!BM78+Construction!CK77)/IF(Explore!S78&gt;0,Construction!F78-20,Construction!F78),4) + tech_6_5_2*Techs!BJ77 + tech_8_4*Techs!BT77</f>
        <v>#REF!</v>
      </c>
      <c r="AC77" s="132" t="e">
        <f ca="1">(Overview!$I$15 + Imps!Z77+ tech_2_5*Techs!AB77 + tech_3_6*Techs!AM77 + tech_6_1*Techs!BJ77 + tech_6_5*Techs!BF77 + tech_7_3_2*Techs!BN77) * (1 + Production!O77/100*prestige_pop_multiplier) + Production!O77/100*prestige_pop_multiplier</f>
        <v>#REF!</v>
      </c>
    </row>
    <row r="78" spans="1:29" x14ac:dyDescent="0.25">
      <c r="A78" s="130" t="e">
        <f>#REF!</f>
        <v>#REF!</v>
      </c>
      <c r="B78" s="131" t="e">
        <f>#REF!</f>
        <v>#REF!</v>
      </c>
      <c r="C78" s="39" t="e">
        <f ca="1">OFFSET(#REF!,-1,0)+OFFSET(#REF!,-1,0)+#REF!</f>
        <v>#REF!</v>
      </c>
      <c r="D78" s="39" t="e">
        <f>#REF!</f>
        <v>#REF!</v>
      </c>
      <c r="E78" s="39" t="e">
        <f>#REF!</f>
        <v>#REF!</v>
      </c>
      <c r="F78" s="39" t="e">
        <f>#REF!+#REF!</f>
        <v>#REF!</v>
      </c>
      <c r="G78" s="132" t="e">
        <f>#REF!/#REF!</f>
        <v>#REF!</v>
      </c>
      <c r="H78" s="39" t="e">
        <f>MIN(#REF!,#REF!)</f>
        <v>#REF!</v>
      </c>
      <c r="I78" s="132" t="e">
        <f ca="1">MIN(OFFSET(#REF!,1,0)/#REF!,1)</f>
        <v>#REF!</v>
      </c>
      <c r="J78" s="39" t="e">
        <f>SUM(#REF!,#REF!,#REF!,#REF!)*building_employment +#REF!* bonus_jobs_facts</f>
        <v>#REF!</v>
      </c>
      <c r="K78" s="133"/>
      <c r="L78" s="61" t="e">
        <f>#REF!</f>
        <v>#REF!</v>
      </c>
      <c r="M78" s="61" t="e">
        <f>#REF!</f>
        <v>#REF!</v>
      </c>
      <c r="N78" s="61" t="e">
        <f>#REF!</f>
        <v>#REF!</v>
      </c>
      <c r="O78" s="61" t="e">
        <f>#REF!</f>
        <v>#REF!</v>
      </c>
      <c r="P78" s="61" t="e">
        <f>#REF!</f>
        <v>#REF!</v>
      </c>
      <c r="Q78" s="61" t="e">
        <f>#REF!</f>
        <v>#REF!</v>
      </c>
      <c r="R78" s="61" t="e">
        <f>#REF!</f>
        <v>#REF!</v>
      </c>
      <c r="S78" s="61" t="e">
        <f>#REF!</f>
        <v>#REF!</v>
      </c>
      <c r="T78" s="134"/>
      <c r="U78" s="39" t="e">
        <f>ROUND(#REF!*(1+#REF!),0)+MIN(#REF!-#REF!-SUM(#REF!),(barracks_size + tech_8_3*#REF!)*#REF!)</f>
        <v>#REF!</v>
      </c>
      <c r="V78" s="39" t="e">
        <f>(#REF!+#REF!)*pop_in_home+(SUM(#REF!)+#REF!-#REF!)*pop_in_building+(SUM(#REF!)-#REF!*20)*pop_on_barren-(SUM(#REF!)-SUM(#REF!))*(15-pop_on_barren)-pop_on_barren*#REF!</f>
        <v>#REF!</v>
      </c>
      <c r="W78" s="39" t="e">
        <f ca="1">MAX(-5%*#REF!-#REF!,MIN(OFFSET(#REF!,1,0)-#REF!-#REF!-#REF!,#REF!-#REF!))</f>
        <v>#REF!</v>
      </c>
      <c r="X78" s="39" t="e">
        <f>ROUND(#REF!*(1+#REF!),0)</f>
        <v>#REF!</v>
      </c>
      <c r="Y78" s="39" t="e">
        <f>(#REF!-#REF!)*raw_pop_growth</f>
        <v>#REF!</v>
      </c>
      <c r="Z78" s="39" t="e">
        <f>IF(#REF!&lt;#REF!,ROUND(#REF!*Constants!$B$55,0), 0)</f>
        <v>#REF!</v>
      </c>
      <c r="AA78" s="134"/>
      <c r="AB78" s="135" t="e">
        <f ca="1">Overview!$I$16 + IF(Magic!AE78&gt;0,Constants!$F$78) + ROUND(6*(Construction!BM79+Construction!CK78)/IF(Explore!S79&gt;0,Construction!F79-20,Construction!F79),4) + tech_6_5_2*Techs!BJ78 + tech_8_4*Techs!BT78</f>
        <v>#REF!</v>
      </c>
      <c r="AC78" s="132" t="e">
        <f ca="1">(Overview!$I$15 + Imps!Z78+ tech_2_5*Techs!AB78 + tech_3_6*Techs!AM78 + tech_6_1*Techs!BJ78 + tech_6_5*Techs!BF78 + tech_7_3_2*Techs!BN78) * (1 + Production!O78/100*prestige_pop_multiplier) + Production!O78/100*prestige_pop_multiplier</f>
        <v>#REF!</v>
      </c>
    </row>
    <row r="79" spans="1:29" x14ac:dyDescent="0.25">
      <c r="A79" s="130" t="e">
        <f>#REF!</f>
        <v>#REF!</v>
      </c>
      <c r="B79" s="131" t="e">
        <f>#REF!</f>
        <v>#REF!</v>
      </c>
      <c r="C79" s="39" t="e">
        <f ca="1">OFFSET(#REF!,-1,0)+OFFSET(#REF!,-1,0)+#REF!</f>
        <v>#REF!</v>
      </c>
      <c r="D79" s="39" t="e">
        <f>#REF!</f>
        <v>#REF!</v>
      </c>
      <c r="E79" s="39" t="e">
        <f>#REF!</f>
        <v>#REF!</v>
      </c>
      <c r="F79" s="39" t="e">
        <f>#REF!+#REF!</f>
        <v>#REF!</v>
      </c>
      <c r="G79" s="132" t="e">
        <f>#REF!/#REF!</f>
        <v>#REF!</v>
      </c>
      <c r="H79" s="39" t="e">
        <f>MIN(#REF!,#REF!)</f>
        <v>#REF!</v>
      </c>
      <c r="I79" s="132" t="e">
        <f ca="1">MIN(OFFSET(#REF!,1,0)/#REF!,1)</f>
        <v>#REF!</v>
      </c>
      <c r="J79" s="39" t="e">
        <f>SUM(#REF!,#REF!,#REF!,#REF!)*building_employment +#REF!* bonus_jobs_facts</f>
        <v>#REF!</v>
      </c>
      <c r="K79" s="133"/>
      <c r="L79" s="61" t="e">
        <f>#REF!</f>
        <v>#REF!</v>
      </c>
      <c r="M79" s="61" t="e">
        <f>#REF!</f>
        <v>#REF!</v>
      </c>
      <c r="N79" s="61" t="e">
        <f>#REF!</f>
        <v>#REF!</v>
      </c>
      <c r="O79" s="61" t="e">
        <f>#REF!</f>
        <v>#REF!</v>
      </c>
      <c r="P79" s="61" t="e">
        <f>#REF!</f>
        <v>#REF!</v>
      </c>
      <c r="Q79" s="61" t="e">
        <f>#REF!</f>
        <v>#REF!</v>
      </c>
      <c r="R79" s="61" t="e">
        <f>#REF!</f>
        <v>#REF!</v>
      </c>
      <c r="S79" s="61" t="e">
        <f>#REF!</f>
        <v>#REF!</v>
      </c>
      <c r="T79" s="134"/>
      <c r="U79" s="39" t="e">
        <f>ROUND(#REF!*(1+#REF!),0)+MIN(#REF!-#REF!-SUM(#REF!),(barracks_size + tech_8_3*#REF!)*#REF!)</f>
        <v>#REF!</v>
      </c>
      <c r="V79" s="39" t="e">
        <f>(#REF!+#REF!)*pop_in_home+(SUM(#REF!)+#REF!-#REF!)*pop_in_building+(SUM(#REF!)-#REF!*20)*pop_on_barren-(SUM(#REF!)-SUM(#REF!))*(15-pop_on_barren)-pop_on_barren*#REF!</f>
        <v>#REF!</v>
      </c>
      <c r="W79" s="39" t="e">
        <f ca="1">MAX(-5%*#REF!-#REF!,MIN(OFFSET(#REF!,1,0)-#REF!-#REF!-#REF!,#REF!-#REF!))</f>
        <v>#REF!</v>
      </c>
      <c r="X79" s="39" t="e">
        <f>ROUND(#REF!*(1+#REF!),0)</f>
        <v>#REF!</v>
      </c>
      <c r="Y79" s="39" t="e">
        <f>(#REF!-#REF!)*raw_pop_growth</f>
        <v>#REF!</v>
      </c>
      <c r="Z79" s="39" t="e">
        <f>IF(#REF!&lt;#REF!,ROUND(#REF!*Constants!$B$55,0), 0)</f>
        <v>#REF!</v>
      </c>
      <c r="AA79" s="134"/>
      <c r="AB79" s="135" t="e">
        <f ca="1">Overview!$I$16 + IF(Magic!AE79&gt;0,Constants!$F$78) + ROUND(6*(Construction!BM80+Construction!CK79)/IF(Explore!S80&gt;0,Construction!F80-20,Construction!F80),4) + tech_6_5_2*Techs!BJ79 + tech_8_4*Techs!BT79</f>
        <v>#REF!</v>
      </c>
      <c r="AC79" s="132" t="e">
        <f ca="1">(Overview!$I$15 + Imps!Z79+ tech_2_5*Techs!AB79 + tech_3_6*Techs!AM79 + tech_6_1*Techs!BJ79 + tech_6_5*Techs!BF79 + tech_7_3_2*Techs!BN79) * (1 + Production!O79/100*prestige_pop_multiplier) + Production!O79/100*prestige_pop_multiplier</f>
        <v>#REF!</v>
      </c>
    </row>
    <row r="80" spans="1:29" x14ac:dyDescent="0.25">
      <c r="A80" s="130" t="e">
        <f>#REF!</f>
        <v>#REF!</v>
      </c>
      <c r="B80" s="131" t="e">
        <f>#REF!</f>
        <v>#REF!</v>
      </c>
      <c r="C80" s="39" t="e">
        <f ca="1">OFFSET(#REF!,-1,0)+OFFSET(#REF!,-1,0)+#REF!</f>
        <v>#REF!</v>
      </c>
      <c r="D80" s="39" t="e">
        <f>#REF!</f>
        <v>#REF!</v>
      </c>
      <c r="E80" s="39" t="e">
        <f>#REF!</f>
        <v>#REF!</v>
      </c>
      <c r="F80" s="39" t="e">
        <f>#REF!+#REF!</f>
        <v>#REF!</v>
      </c>
      <c r="G80" s="132" t="e">
        <f>#REF!/#REF!</f>
        <v>#REF!</v>
      </c>
      <c r="H80" s="39" t="e">
        <f>MIN(#REF!,#REF!)</f>
        <v>#REF!</v>
      </c>
      <c r="I80" s="132" t="e">
        <f ca="1">MIN(OFFSET(#REF!,1,0)/#REF!,1)</f>
        <v>#REF!</v>
      </c>
      <c r="J80" s="39" t="e">
        <f>SUM(#REF!,#REF!,#REF!,#REF!)*building_employment +#REF!* bonus_jobs_facts</f>
        <v>#REF!</v>
      </c>
      <c r="K80" s="133"/>
      <c r="L80" s="61" t="e">
        <f>#REF!</f>
        <v>#REF!</v>
      </c>
      <c r="M80" s="61" t="e">
        <f>#REF!</f>
        <v>#REF!</v>
      </c>
      <c r="N80" s="61" t="e">
        <f>#REF!</f>
        <v>#REF!</v>
      </c>
      <c r="O80" s="61" t="e">
        <f>#REF!</f>
        <v>#REF!</v>
      </c>
      <c r="P80" s="61" t="e">
        <f>#REF!</f>
        <v>#REF!</v>
      </c>
      <c r="Q80" s="61" t="e">
        <f>#REF!</f>
        <v>#REF!</v>
      </c>
      <c r="R80" s="61" t="e">
        <f>#REF!</f>
        <v>#REF!</v>
      </c>
      <c r="S80" s="61" t="e">
        <f>#REF!</f>
        <v>#REF!</v>
      </c>
      <c r="T80" s="134"/>
      <c r="U80" s="39" t="e">
        <f>ROUND(#REF!*(1+#REF!),0)+MIN(#REF!-#REF!-SUM(#REF!),(barracks_size + tech_8_3*#REF!)*#REF!)</f>
        <v>#REF!</v>
      </c>
      <c r="V80" s="39" t="e">
        <f>(#REF!+#REF!)*pop_in_home+(SUM(#REF!)+#REF!-#REF!)*pop_in_building+(SUM(#REF!)-#REF!*20)*pop_on_barren-(SUM(#REF!)-SUM(#REF!))*(15-pop_on_barren)-pop_on_barren*#REF!</f>
        <v>#REF!</v>
      </c>
      <c r="W80" s="39" t="e">
        <f ca="1">MAX(-5%*#REF!-#REF!,MIN(OFFSET(#REF!,1,0)-#REF!-#REF!-#REF!,#REF!-#REF!))</f>
        <v>#REF!</v>
      </c>
      <c r="X80" s="39" t="e">
        <f>ROUND(#REF!*(1+#REF!),0)</f>
        <v>#REF!</v>
      </c>
      <c r="Y80" s="39" t="e">
        <f>(#REF!-#REF!)*raw_pop_growth</f>
        <v>#REF!</v>
      </c>
      <c r="Z80" s="39" t="e">
        <f>IF(#REF!&lt;#REF!,ROUND(#REF!*Constants!$B$55,0), 0)</f>
        <v>#REF!</v>
      </c>
      <c r="AA80" s="134"/>
      <c r="AB80" s="135" t="e">
        <f ca="1">Overview!$I$16 + IF(Magic!AE80&gt;0,Constants!$F$78) + ROUND(6*(Construction!BM81+Construction!CK80)/IF(Explore!S81&gt;0,Construction!F81-20,Construction!F81),4) + tech_6_5_2*Techs!BJ80 + tech_8_4*Techs!BT80</f>
        <v>#REF!</v>
      </c>
      <c r="AC80" s="132" t="e">
        <f ca="1">(Overview!$I$15 + Imps!Z80+ tech_2_5*Techs!AB80 + tech_3_6*Techs!AM80 + tech_6_1*Techs!BJ80 + tech_6_5*Techs!BF80 + tech_7_3_2*Techs!BN80) * (1 + Production!O80/100*prestige_pop_multiplier) + Production!O80/100*prestige_pop_multiplier</f>
        <v>#REF!</v>
      </c>
    </row>
    <row r="81" spans="1:29" x14ac:dyDescent="0.25">
      <c r="A81" s="130" t="e">
        <f>#REF!</f>
        <v>#REF!</v>
      </c>
      <c r="B81" s="131" t="e">
        <f>#REF!</f>
        <v>#REF!</v>
      </c>
      <c r="C81" s="39" t="e">
        <f ca="1">OFFSET(#REF!,-1,0)+OFFSET(#REF!,-1,0)+#REF!</f>
        <v>#REF!</v>
      </c>
      <c r="D81" s="39" t="e">
        <f>#REF!</f>
        <v>#REF!</v>
      </c>
      <c r="E81" s="39" t="e">
        <f>#REF!</f>
        <v>#REF!</v>
      </c>
      <c r="F81" s="39" t="e">
        <f>#REF!+#REF!</f>
        <v>#REF!</v>
      </c>
      <c r="G81" s="132" t="e">
        <f>#REF!/#REF!</f>
        <v>#REF!</v>
      </c>
      <c r="H81" s="39" t="e">
        <f>MIN(#REF!,#REF!)</f>
        <v>#REF!</v>
      </c>
      <c r="I81" s="132" t="e">
        <f ca="1">MIN(OFFSET(#REF!,1,0)/#REF!,1)</f>
        <v>#REF!</v>
      </c>
      <c r="J81" s="39" t="e">
        <f>SUM(#REF!,#REF!,#REF!,#REF!)*building_employment +#REF!* bonus_jobs_facts</f>
        <v>#REF!</v>
      </c>
      <c r="K81" s="133"/>
      <c r="L81" s="61" t="e">
        <f>#REF!</f>
        <v>#REF!</v>
      </c>
      <c r="M81" s="61" t="e">
        <f>#REF!</f>
        <v>#REF!</v>
      </c>
      <c r="N81" s="61" t="e">
        <f>#REF!</f>
        <v>#REF!</v>
      </c>
      <c r="O81" s="61" t="e">
        <f>#REF!</f>
        <v>#REF!</v>
      </c>
      <c r="P81" s="61" t="e">
        <f>#REF!</f>
        <v>#REF!</v>
      </c>
      <c r="Q81" s="61" t="e">
        <f>#REF!</f>
        <v>#REF!</v>
      </c>
      <c r="R81" s="61" t="e">
        <f>#REF!</f>
        <v>#REF!</v>
      </c>
      <c r="S81" s="61" t="e">
        <f>#REF!</f>
        <v>#REF!</v>
      </c>
      <c r="T81" s="134"/>
      <c r="U81" s="39" t="e">
        <f>ROUND(#REF!*(1+#REF!),0)+MIN(#REF!-#REF!-SUM(#REF!),(barracks_size + tech_8_3*#REF!)*#REF!)</f>
        <v>#REF!</v>
      </c>
      <c r="V81" s="39" t="e">
        <f>(#REF!+#REF!)*pop_in_home+(SUM(#REF!)+#REF!-#REF!)*pop_in_building+(SUM(#REF!)-#REF!*20)*pop_on_barren-(SUM(#REF!)-SUM(#REF!))*(15-pop_on_barren)-pop_on_barren*#REF!</f>
        <v>#REF!</v>
      </c>
      <c r="W81" s="39" t="e">
        <f ca="1">MAX(-5%*#REF!-#REF!,MIN(OFFSET(#REF!,1,0)-#REF!-#REF!-#REF!,#REF!-#REF!))</f>
        <v>#REF!</v>
      </c>
      <c r="X81" s="39" t="e">
        <f>ROUND(#REF!*(1+#REF!),0)</f>
        <v>#REF!</v>
      </c>
      <c r="Y81" s="39" t="e">
        <f>(#REF!-#REF!)*raw_pop_growth</f>
        <v>#REF!</v>
      </c>
      <c r="Z81" s="39" t="e">
        <f>IF(#REF!&lt;#REF!,ROUND(#REF!*Constants!$B$55,0), 0)</f>
        <v>#REF!</v>
      </c>
      <c r="AA81" s="134"/>
      <c r="AB81" s="135" t="e">
        <f ca="1">Overview!$I$16 + IF(Magic!AE81&gt;0,Constants!$F$78) + ROUND(6*(Construction!BM82+Construction!CK81)/IF(Explore!S82&gt;0,Construction!F82-20,Construction!F82),4) + tech_6_5_2*Techs!BJ81 + tech_8_4*Techs!BT81</f>
        <v>#REF!</v>
      </c>
      <c r="AC81" s="132" t="e">
        <f ca="1">(Overview!$I$15 + Imps!Z81+ tech_2_5*Techs!AB81 + tech_3_6*Techs!AM81 + tech_6_1*Techs!BJ81 + tech_6_5*Techs!BF81 + tech_7_3_2*Techs!BN81) * (1 + Production!O81/100*prestige_pop_multiplier) + Production!O81/100*prestige_pop_multiplier</f>
        <v>#REF!</v>
      </c>
    </row>
    <row r="82" spans="1:29" x14ac:dyDescent="0.25">
      <c r="A82" s="130" t="e">
        <f>#REF!</f>
        <v>#REF!</v>
      </c>
      <c r="B82" s="131" t="e">
        <f>#REF!</f>
        <v>#REF!</v>
      </c>
      <c r="C82" s="39" t="e">
        <f ca="1">OFFSET(#REF!,-1,0)+OFFSET(#REF!,-1,0)+#REF!</f>
        <v>#REF!</v>
      </c>
      <c r="D82" s="39" t="e">
        <f>#REF!</f>
        <v>#REF!</v>
      </c>
      <c r="E82" s="39" t="e">
        <f>#REF!</f>
        <v>#REF!</v>
      </c>
      <c r="F82" s="39" t="e">
        <f>#REF!+#REF!</f>
        <v>#REF!</v>
      </c>
      <c r="G82" s="132" t="e">
        <f>#REF!/#REF!</f>
        <v>#REF!</v>
      </c>
      <c r="H82" s="39" t="e">
        <f>MIN(#REF!,#REF!)</f>
        <v>#REF!</v>
      </c>
      <c r="I82" s="132" t="e">
        <f ca="1">MIN(OFFSET(#REF!,1,0)/#REF!,1)</f>
        <v>#REF!</v>
      </c>
      <c r="J82" s="39" t="e">
        <f>SUM(#REF!,#REF!,#REF!,#REF!)*building_employment +#REF!* bonus_jobs_facts</f>
        <v>#REF!</v>
      </c>
      <c r="K82" s="133"/>
      <c r="L82" s="61" t="e">
        <f>#REF!</f>
        <v>#REF!</v>
      </c>
      <c r="M82" s="61" t="e">
        <f>#REF!</f>
        <v>#REF!</v>
      </c>
      <c r="N82" s="61" t="e">
        <f>#REF!</f>
        <v>#REF!</v>
      </c>
      <c r="O82" s="61" t="e">
        <f>#REF!</f>
        <v>#REF!</v>
      </c>
      <c r="P82" s="61" t="e">
        <f>#REF!</f>
        <v>#REF!</v>
      </c>
      <c r="Q82" s="61" t="e">
        <f>#REF!</f>
        <v>#REF!</v>
      </c>
      <c r="R82" s="61" t="e">
        <f>#REF!</f>
        <v>#REF!</v>
      </c>
      <c r="S82" s="61" t="e">
        <f>#REF!</f>
        <v>#REF!</v>
      </c>
      <c r="T82" s="134"/>
      <c r="U82" s="39" t="e">
        <f>ROUND(#REF!*(1+#REF!),0)+MIN(#REF!-#REF!-SUM(#REF!),(barracks_size + tech_8_3*#REF!)*#REF!)</f>
        <v>#REF!</v>
      </c>
      <c r="V82" s="39" t="e">
        <f>(#REF!+#REF!)*pop_in_home+(SUM(#REF!)+#REF!-#REF!)*pop_in_building+(SUM(#REF!)-#REF!*20)*pop_on_barren-(SUM(#REF!)-SUM(#REF!))*(15-pop_on_barren)-pop_on_barren*#REF!</f>
        <v>#REF!</v>
      </c>
      <c r="W82" s="39" t="e">
        <f ca="1">MAX(-5%*#REF!-#REF!,MIN(OFFSET(#REF!,1,0)-#REF!-#REF!-#REF!,#REF!-#REF!))</f>
        <v>#REF!</v>
      </c>
      <c r="X82" s="39" t="e">
        <f>ROUND(#REF!*(1+#REF!),0)</f>
        <v>#REF!</v>
      </c>
      <c r="Y82" s="39" t="e">
        <f>(#REF!-#REF!)*raw_pop_growth</f>
        <v>#REF!</v>
      </c>
      <c r="Z82" s="39" t="e">
        <f>IF(#REF!&lt;#REF!,ROUND(#REF!*Constants!$B$55,0), 0)</f>
        <v>#REF!</v>
      </c>
      <c r="AA82" s="134"/>
      <c r="AB82" s="135" t="e">
        <f ca="1">Overview!$I$16 + IF(Magic!AE82&gt;0,Constants!$F$78) + ROUND(6*(Construction!BM83+Construction!CK82)/IF(Explore!S83&gt;0,Construction!F83-20,Construction!F83),4) + tech_6_5_2*Techs!BJ82 + tech_8_4*Techs!BT82</f>
        <v>#REF!</v>
      </c>
      <c r="AC82" s="132" t="e">
        <f ca="1">(Overview!$I$15 + Imps!Z82+ tech_2_5*Techs!AB82 + tech_3_6*Techs!AM82 + tech_6_1*Techs!BJ82 + tech_6_5*Techs!BF82 + tech_7_3_2*Techs!BN82) * (1 + Production!O82/100*prestige_pop_multiplier) + Production!O82/100*prestige_pop_multiplier</f>
        <v>#REF!</v>
      </c>
    </row>
    <row r="83" spans="1:29" x14ac:dyDescent="0.25">
      <c r="A83" s="130" t="e">
        <f>#REF!</f>
        <v>#REF!</v>
      </c>
      <c r="B83" s="131" t="e">
        <f>#REF!</f>
        <v>#REF!</v>
      </c>
      <c r="C83" s="39" t="e">
        <f ca="1">OFFSET(#REF!,-1,0)+OFFSET(#REF!,-1,0)+#REF!</f>
        <v>#REF!</v>
      </c>
      <c r="D83" s="39" t="e">
        <f>#REF!</f>
        <v>#REF!</v>
      </c>
      <c r="E83" s="39" t="e">
        <f>#REF!</f>
        <v>#REF!</v>
      </c>
      <c r="F83" s="39" t="e">
        <f>#REF!+#REF!</f>
        <v>#REF!</v>
      </c>
      <c r="G83" s="132" t="e">
        <f>#REF!/#REF!</f>
        <v>#REF!</v>
      </c>
      <c r="H83" s="39" t="e">
        <f>MIN(#REF!,#REF!)</f>
        <v>#REF!</v>
      </c>
      <c r="I83" s="132" t="e">
        <f ca="1">MIN(OFFSET(#REF!,1,0)/#REF!,1)</f>
        <v>#REF!</v>
      </c>
      <c r="J83" s="39" t="e">
        <f>SUM(#REF!,#REF!,#REF!,#REF!)*building_employment +#REF!* bonus_jobs_facts</f>
        <v>#REF!</v>
      </c>
      <c r="K83" s="133"/>
      <c r="L83" s="61" t="e">
        <f>#REF!</f>
        <v>#REF!</v>
      </c>
      <c r="M83" s="61" t="e">
        <f>#REF!</f>
        <v>#REF!</v>
      </c>
      <c r="N83" s="61" t="e">
        <f>#REF!</f>
        <v>#REF!</v>
      </c>
      <c r="O83" s="61" t="e">
        <f>#REF!</f>
        <v>#REF!</v>
      </c>
      <c r="P83" s="61" t="e">
        <f>#REF!</f>
        <v>#REF!</v>
      </c>
      <c r="Q83" s="61" t="e">
        <f>#REF!</f>
        <v>#REF!</v>
      </c>
      <c r="R83" s="61" t="e">
        <f>#REF!</f>
        <v>#REF!</v>
      </c>
      <c r="S83" s="61" t="e">
        <f>#REF!</f>
        <v>#REF!</v>
      </c>
      <c r="T83" s="134"/>
      <c r="U83" s="39" t="e">
        <f>ROUND(#REF!*(1+#REF!),0)+MIN(#REF!-#REF!-SUM(#REF!),(barracks_size + tech_8_3*#REF!)*#REF!)</f>
        <v>#REF!</v>
      </c>
      <c r="V83" s="39" t="e">
        <f>(#REF!+#REF!)*pop_in_home+(SUM(#REF!)+#REF!-#REF!)*pop_in_building+(SUM(#REF!)-#REF!*20)*pop_on_barren-(SUM(#REF!)-SUM(#REF!))*(15-pop_on_barren)-pop_on_barren*#REF!</f>
        <v>#REF!</v>
      </c>
      <c r="W83" s="39" t="e">
        <f ca="1">MAX(-5%*#REF!-#REF!,MIN(OFFSET(#REF!,1,0)-#REF!-#REF!-#REF!,#REF!-#REF!))</f>
        <v>#REF!</v>
      </c>
      <c r="X83" s="39" t="e">
        <f>ROUND(#REF!*(1+#REF!),0)</f>
        <v>#REF!</v>
      </c>
      <c r="Y83" s="39" t="e">
        <f>(#REF!-#REF!)*raw_pop_growth</f>
        <v>#REF!</v>
      </c>
      <c r="Z83" s="39" t="e">
        <f>IF(#REF!&lt;#REF!,ROUND(#REF!*Constants!$B$55,0), 0)</f>
        <v>#REF!</v>
      </c>
      <c r="AA83" s="134"/>
      <c r="AB83" s="135" t="e">
        <f ca="1">Overview!$I$16 + IF(Magic!AE83&gt;0,Constants!$F$78) + ROUND(6*(Construction!BM84+Construction!CK83)/IF(Explore!S84&gt;0,Construction!F84-20,Construction!F84),4) + tech_6_5_2*Techs!BJ83 + tech_8_4*Techs!BT83</f>
        <v>#REF!</v>
      </c>
      <c r="AC83" s="132" t="e">
        <f ca="1">(Overview!$I$15 + Imps!Z83+ tech_2_5*Techs!AB83 + tech_3_6*Techs!AM83 + tech_6_1*Techs!BJ83 + tech_6_5*Techs!BF83 + tech_7_3_2*Techs!BN83) * (1 + Production!O83/100*prestige_pop_multiplier) + Production!O83/100*prestige_pop_multiplier</f>
        <v>#REF!</v>
      </c>
    </row>
    <row r="84" spans="1:29" x14ac:dyDescent="0.25">
      <c r="A84" s="130" t="e">
        <f>#REF!</f>
        <v>#REF!</v>
      </c>
      <c r="B84" s="131" t="e">
        <f>#REF!</f>
        <v>#REF!</v>
      </c>
      <c r="C84" s="39" t="e">
        <f ca="1">OFFSET(#REF!,-1,0)+OFFSET(#REF!,-1,0)+#REF!</f>
        <v>#REF!</v>
      </c>
      <c r="D84" s="39" t="e">
        <f>#REF!</f>
        <v>#REF!</v>
      </c>
      <c r="E84" s="39" t="e">
        <f>#REF!</f>
        <v>#REF!</v>
      </c>
      <c r="F84" s="39" t="e">
        <f>#REF!+#REF!</f>
        <v>#REF!</v>
      </c>
      <c r="G84" s="132" t="e">
        <f>#REF!/#REF!</f>
        <v>#REF!</v>
      </c>
      <c r="H84" s="39" t="e">
        <f>MIN(#REF!,#REF!)</f>
        <v>#REF!</v>
      </c>
      <c r="I84" s="132" t="e">
        <f ca="1">MIN(OFFSET(#REF!,1,0)/#REF!,1)</f>
        <v>#REF!</v>
      </c>
      <c r="J84" s="39" t="e">
        <f>SUM(#REF!,#REF!,#REF!,#REF!)*building_employment +#REF!* bonus_jobs_facts</f>
        <v>#REF!</v>
      </c>
      <c r="K84" s="133"/>
      <c r="L84" s="61" t="e">
        <f>#REF!</f>
        <v>#REF!</v>
      </c>
      <c r="M84" s="61" t="e">
        <f>#REF!</f>
        <v>#REF!</v>
      </c>
      <c r="N84" s="61" t="e">
        <f>#REF!</f>
        <v>#REF!</v>
      </c>
      <c r="O84" s="61" t="e">
        <f>#REF!</f>
        <v>#REF!</v>
      </c>
      <c r="P84" s="61" t="e">
        <f>#REF!</f>
        <v>#REF!</v>
      </c>
      <c r="Q84" s="61" t="e">
        <f>#REF!</f>
        <v>#REF!</v>
      </c>
      <c r="R84" s="61" t="e">
        <f>#REF!</f>
        <v>#REF!</v>
      </c>
      <c r="S84" s="61" t="e">
        <f>#REF!</f>
        <v>#REF!</v>
      </c>
      <c r="T84" s="134"/>
      <c r="U84" s="39" t="e">
        <f>ROUND(#REF!*(1+#REF!),0)+MIN(#REF!-#REF!-SUM(#REF!),(barracks_size + tech_8_3*#REF!)*#REF!)</f>
        <v>#REF!</v>
      </c>
      <c r="V84" s="39" t="e">
        <f>(#REF!+#REF!)*pop_in_home+(SUM(#REF!)+#REF!-#REF!)*pop_in_building+(SUM(#REF!)-#REF!*20)*pop_on_barren-(SUM(#REF!)-SUM(#REF!))*(15-pop_on_barren)-pop_on_barren*#REF!</f>
        <v>#REF!</v>
      </c>
      <c r="W84" s="39" t="e">
        <f ca="1">MAX(-5%*#REF!-#REF!,MIN(OFFSET(#REF!,1,0)-#REF!-#REF!-#REF!,#REF!-#REF!))</f>
        <v>#REF!</v>
      </c>
      <c r="X84" s="39" t="e">
        <f>ROUND(#REF!*(1+#REF!),0)</f>
        <v>#REF!</v>
      </c>
      <c r="Y84" s="39" t="e">
        <f>(#REF!-#REF!)*raw_pop_growth</f>
        <v>#REF!</v>
      </c>
      <c r="Z84" s="39" t="e">
        <f>IF(#REF!&lt;#REF!,ROUND(#REF!*Constants!$B$55,0), 0)</f>
        <v>#REF!</v>
      </c>
      <c r="AA84" s="134"/>
      <c r="AB84" s="135" t="e">
        <f ca="1">Overview!$I$16 + IF(Magic!AE84&gt;0,Constants!$F$78) + ROUND(6*(Construction!BM85+Construction!CK84)/IF(Explore!S85&gt;0,Construction!F85-20,Construction!F85),4) + tech_6_5_2*Techs!BJ84 + tech_8_4*Techs!BT84</f>
        <v>#REF!</v>
      </c>
      <c r="AC84" s="132" t="e">
        <f ca="1">(Overview!$I$15 + Imps!Z84+ tech_2_5*Techs!AB84 + tech_3_6*Techs!AM84 + tech_6_1*Techs!BJ84 + tech_6_5*Techs!BF84 + tech_7_3_2*Techs!BN84) * (1 + Production!O84/100*prestige_pop_multiplier) + Production!O84/100*prestige_pop_multiplier</f>
        <v>#REF!</v>
      </c>
    </row>
    <row r="85" spans="1:29" x14ac:dyDescent="0.25">
      <c r="A85" s="130" t="e">
        <f>#REF!</f>
        <v>#REF!</v>
      </c>
      <c r="B85" s="131" t="e">
        <f>#REF!</f>
        <v>#REF!</v>
      </c>
      <c r="C85" s="39" t="e">
        <f ca="1">OFFSET(#REF!,-1,0)+OFFSET(#REF!,-1,0)+#REF!</f>
        <v>#REF!</v>
      </c>
      <c r="D85" s="39" t="e">
        <f>#REF!</f>
        <v>#REF!</v>
      </c>
      <c r="E85" s="39" t="e">
        <f>#REF!</f>
        <v>#REF!</v>
      </c>
      <c r="F85" s="39" t="e">
        <f>#REF!+#REF!</f>
        <v>#REF!</v>
      </c>
      <c r="G85" s="132" t="e">
        <f>#REF!/#REF!</f>
        <v>#REF!</v>
      </c>
      <c r="H85" s="39" t="e">
        <f>MIN(#REF!,#REF!)</f>
        <v>#REF!</v>
      </c>
      <c r="I85" s="132" t="e">
        <f ca="1">MIN(OFFSET(#REF!,1,0)/#REF!,1)</f>
        <v>#REF!</v>
      </c>
      <c r="J85" s="39" t="e">
        <f>SUM(#REF!,#REF!,#REF!,#REF!)*building_employment +#REF!* bonus_jobs_facts</f>
        <v>#REF!</v>
      </c>
      <c r="K85" s="133"/>
      <c r="L85" s="61" t="e">
        <f>#REF!</f>
        <v>#REF!</v>
      </c>
      <c r="M85" s="61" t="e">
        <f>#REF!</f>
        <v>#REF!</v>
      </c>
      <c r="N85" s="61" t="e">
        <f>#REF!</f>
        <v>#REF!</v>
      </c>
      <c r="O85" s="61" t="e">
        <f>#REF!</f>
        <v>#REF!</v>
      </c>
      <c r="P85" s="61" t="e">
        <f>#REF!</f>
        <v>#REF!</v>
      </c>
      <c r="Q85" s="61" t="e">
        <f>#REF!</f>
        <v>#REF!</v>
      </c>
      <c r="R85" s="61" t="e">
        <f>#REF!</f>
        <v>#REF!</v>
      </c>
      <c r="S85" s="61" t="e">
        <f>#REF!</f>
        <v>#REF!</v>
      </c>
      <c r="T85" s="134"/>
      <c r="U85" s="39" t="e">
        <f>ROUND(#REF!*(1+#REF!),0)+MIN(#REF!-#REF!-SUM(#REF!),(barracks_size + tech_8_3*#REF!)*#REF!)</f>
        <v>#REF!</v>
      </c>
      <c r="V85" s="39" t="e">
        <f>(#REF!+#REF!)*pop_in_home+(SUM(#REF!)+#REF!-#REF!)*pop_in_building+(SUM(#REF!)-#REF!*20)*pop_on_barren-(SUM(#REF!)-SUM(#REF!))*(15-pop_on_barren)-pop_on_barren*#REF!</f>
        <v>#REF!</v>
      </c>
      <c r="W85" s="39" t="e">
        <f ca="1">MAX(-5%*#REF!-#REF!,MIN(OFFSET(#REF!,1,0)-#REF!-#REF!-#REF!,#REF!-#REF!))</f>
        <v>#REF!</v>
      </c>
      <c r="X85" s="39" t="e">
        <f>ROUND(#REF!*(1+#REF!),0)</f>
        <v>#REF!</v>
      </c>
      <c r="Y85" s="39" t="e">
        <f>(#REF!-#REF!)*raw_pop_growth</f>
        <v>#REF!</v>
      </c>
      <c r="Z85" s="39" t="e">
        <f>IF(#REF!&lt;#REF!,ROUND(#REF!*Constants!$B$55,0), 0)</f>
        <v>#REF!</v>
      </c>
      <c r="AA85" s="134"/>
      <c r="AB85" s="135" t="e">
        <f ca="1">Overview!$I$16 + IF(Magic!AE85&gt;0,Constants!$F$78) + ROUND(6*(Construction!BM86+Construction!CK85)/IF(Explore!S86&gt;0,Construction!F86-20,Construction!F86),4) + tech_6_5_2*Techs!BJ85 + tech_8_4*Techs!BT85</f>
        <v>#REF!</v>
      </c>
      <c r="AC85" s="132" t="e">
        <f ca="1">(Overview!$I$15 + Imps!Z85+ tech_2_5*Techs!AB85 + tech_3_6*Techs!AM85 + tech_6_1*Techs!BJ85 + tech_6_5*Techs!BF85 + tech_7_3_2*Techs!BN85) * (1 + Production!O85/100*prestige_pop_multiplier) + Production!O85/100*prestige_pop_multiplier</f>
        <v>#REF!</v>
      </c>
    </row>
    <row r="86" spans="1:29" x14ac:dyDescent="0.25">
      <c r="A86" s="130" t="e">
        <f>#REF!</f>
        <v>#REF!</v>
      </c>
      <c r="B86" s="131" t="e">
        <f>#REF!</f>
        <v>#REF!</v>
      </c>
      <c r="C86" s="39" t="e">
        <f ca="1">OFFSET(#REF!,-1,0)+OFFSET(#REF!,-1,0)+#REF!</f>
        <v>#REF!</v>
      </c>
      <c r="D86" s="39" t="e">
        <f>#REF!</f>
        <v>#REF!</v>
      </c>
      <c r="E86" s="39" t="e">
        <f>#REF!</f>
        <v>#REF!</v>
      </c>
      <c r="F86" s="39" t="e">
        <f>#REF!+#REF!</f>
        <v>#REF!</v>
      </c>
      <c r="G86" s="132" t="e">
        <f>#REF!/#REF!</f>
        <v>#REF!</v>
      </c>
      <c r="H86" s="39" t="e">
        <f>MIN(#REF!,#REF!)</f>
        <v>#REF!</v>
      </c>
      <c r="I86" s="132" t="e">
        <f ca="1">MIN(OFFSET(#REF!,1,0)/#REF!,1)</f>
        <v>#REF!</v>
      </c>
      <c r="J86" s="39" t="e">
        <f>SUM(#REF!,#REF!,#REF!,#REF!)*building_employment +#REF!* bonus_jobs_facts</f>
        <v>#REF!</v>
      </c>
      <c r="K86" s="133"/>
      <c r="L86" s="61" t="e">
        <f>#REF!</f>
        <v>#REF!</v>
      </c>
      <c r="M86" s="61" t="e">
        <f>#REF!</f>
        <v>#REF!</v>
      </c>
      <c r="N86" s="61" t="e">
        <f>#REF!</f>
        <v>#REF!</v>
      </c>
      <c r="O86" s="61" t="e">
        <f>#REF!</f>
        <v>#REF!</v>
      </c>
      <c r="P86" s="61" t="e">
        <f>#REF!</f>
        <v>#REF!</v>
      </c>
      <c r="Q86" s="61" t="e">
        <f>#REF!</f>
        <v>#REF!</v>
      </c>
      <c r="R86" s="61" t="e">
        <f>#REF!</f>
        <v>#REF!</v>
      </c>
      <c r="S86" s="61" t="e">
        <f>#REF!</f>
        <v>#REF!</v>
      </c>
      <c r="T86" s="134"/>
      <c r="U86" s="39" t="e">
        <f>ROUND(#REF!*(1+#REF!),0)+MIN(#REF!-#REF!-SUM(#REF!),(barracks_size + tech_8_3*#REF!)*#REF!)</f>
        <v>#REF!</v>
      </c>
      <c r="V86" s="39" t="e">
        <f>(#REF!+#REF!)*pop_in_home+(SUM(#REF!)+#REF!-#REF!)*pop_in_building+(SUM(#REF!)-#REF!*20)*pop_on_barren-(SUM(#REF!)-SUM(#REF!))*(15-pop_on_barren)-pop_on_barren*#REF!</f>
        <v>#REF!</v>
      </c>
      <c r="W86" s="39" t="e">
        <f ca="1">MAX(-5%*#REF!-#REF!,MIN(OFFSET(#REF!,1,0)-#REF!-#REF!-#REF!,#REF!-#REF!))</f>
        <v>#REF!</v>
      </c>
      <c r="X86" s="39" t="e">
        <f>ROUND(#REF!*(1+#REF!),0)</f>
        <v>#REF!</v>
      </c>
      <c r="Y86" s="39" t="e">
        <f>(#REF!-#REF!)*raw_pop_growth</f>
        <v>#REF!</v>
      </c>
      <c r="Z86" s="39" t="e">
        <f>IF(#REF!&lt;#REF!,ROUND(#REF!*Constants!$B$55,0), 0)</f>
        <v>#REF!</v>
      </c>
      <c r="AA86" s="134"/>
      <c r="AB86" s="135" t="e">
        <f ca="1">Overview!$I$16 + IF(Magic!AE86&gt;0,Constants!$F$78) + ROUND(6*(Construction!BM87+Construction!CK86)/IF(Explore!S87&gt;0,Construction!F87-20,Construction!F87),4) + tech_6_5_2*Techs!BJ86 + tech_8_4*Techs!BT86</f>
        <v>#REF!</v>
      </c>
      <c r="AC86" s="132" t="e">
        <f ca="1">(Overview!$I$15 + Imps!Z86+ tech_2_5*Techs!AB86 + tech_3_6*Techs!AM86 + tech_6_1*Techs!BJ86 + tech_6_5*Techs!BF86 + tech_7_3_2*Techs!BN86) * (1 + Production!O86/100*prestige_pop_multiplier) + Production!O86/100*prestige_pop_multiplier</f>
        <v>#REF!</v>
      </c>
    </row>
    <row r="87" spans="1:29" x14ac:dyDescent="0.25">
      <c r="A87" s="130" t="e">
        <f>#REF!</f>
        <v>#REF!</v>
      </c>
      <c r="B87" s="131" t="e">
        <f>#REF!</f>
        <v>#REF!</v>
      </c>
      <c r="C87" s="39" t="e">
        <f ca="1">OFFSET(#REF!,-1,0)+OFFSET(#REF!,-1,0)+#REF!</f>
        <v>#REF!</v>
      </c>
      <c r="D87" s="39" t="e">
        <f>#REF!</f>
        <v>#REF!</v>
      </c>
      <c r="E87" s="39" t="e">
        <f>#REF!</f>
        <v>#REF!</v>
      </c>
      <c r="F87" s="39" t="e">
        <f>#REF!+#REF!</f>
        <v>#REF!</v>
      </c>
      <c r="G87" s="132" t="e">
        <f>#REF!/#REF!</f>
        <v>#REF!</v>
      </c>
      <c r="H87" s="39" t="e">
        <f>MIN(#REF!,#REF!)</f>
        <v>#REF!</v>
      </c>
      <c r="I87" s="132" t="e">
        <f ca="1">MIN(OFFSET(#REF!,1,0)/#REF!,1)</f>
        <v>#REF!</v>
      </c>
      <c r="J87" s="39" t="e">
        <f>SUM(#REF!,#REF!,#REF!,#REF!)*building_employment +#REF!* bonus_jobs_facts</f>
        <v>#REF!</v>
      </c>
      <c r="K87" s="133"/>
      <c r="L87" s="61" t="e">
        <f>#REF!</f>
        <v>#REF!</v>
      </c>
      <c r="M87" s="61" t="e">
        <f>#REF!</f>
        <v>#REF!</v>
      </c>
      <c r="N87" s="61" t="e">
        <f>#REF!</f>
        <v>#REF!</v>
      </c>
      <c r="O87" s="61" t="e">
        <f>#REF!</f>
        <v>#REF!</v>
      </c>
      <c r="P87" s="61" t="e">
        <f>#REF!</f>
        <v>#REF!</v>
      </c>
      <c r="Q87" s="61" t="e">
        <f>#REF!</f>
        <v>#REF!</v>
      </c>
      <c r="R87" s="61" t="e">
        <f>#REF!</f>
        <v>#REF!</v>
      </c>
      <c r="S87" s="61" t="e">
        <f>#REF!</f>
        <v>#REF!</v>
      </c>
      <c r="T87" s="134"/>
      <c r="U87" s="39" t="e">
        <f>ROUND(#REF!*(1+#REF!),0)+MIN(#REF!-#REF!-SUM(#REF!),(barracks_size + tech_8_3*#REF!)*#REF!)</f>
        <v>#REF!</v>
      </c>
      <c r="V87" s="39" t="e">
        <f>(#REF!+#REF!)*pop_in_home+(SUM(#REF!)+#REF!-#REF!)*pop_in_building+(SUM(#REF!)-#REF!*20)*pop_on_barren-(SUM(#REF!)-SUM(#REF!))*(15-pop_on_barren)-pop_on_barren*#REF!</f>
        <v>#REF!</v>
      </c>
      <c r="W87" s="39" t="e">
        <f ca="1">MAX(-5%*#REF!-#REF!,MIN(OFFSET(#REF!,1,0)-#REF!-#REF!-#REF!,#REF!-#REF!))</f>
        <v>#REF!</v>
      </c>
      <c r="X87" s="39" t="e">
        <f>ROUND(#REF!*(1+#REF!),0)</f>
        <v>#REF!</v>
      </c>
      <c r="Y87" s="39" t="e">
        <f>(#REF!-#REF!)*raw_pop_growth</f>
        <v>#REF!</v>
      </c>
      <c r="Z87" s="39" t="e">
        <f>IF(#REF!&lt;#REF!,ROUND(#REF!*Constants!$B$55,0), 0)</f>
        <v>#REF!</v>
      </c>
      <c r="AA87" s="134"/>
      <c r="AB87" s="135" t="e">
        <f ca="1">Overview!$I$16 + IF(Magic!AE87&gt;0,Constants!$F$78) + ROUND(6*(Construction!BM88+Construction!CK87)/IF(Explore!S88&gt;0,Construction!F88-20,Construction!F88),4) + tech_6_5_2*Techs!BJ87 + tech_8_4*Techs!BT87</f>
        <v>#REF!</v>
      </c>
      <c r="AC87" s="132" t="e">
        <f ca="1">(Overview!$I$15 + Imps!Z87+ tech_2_5*Techs!AB87 + tech_3_6*Techs!AM87 + tech_6_1*Techs!BJ87 + tech_6_5*Techs!BF87 + tech_7_3_2*Techs!BN87) * (1 + Production!O87/100*prestige_pop_multiplier) + Production!O87/100*prestige_pop_multiplier</f>
        <v>#REF!</v>
      </c>
    </row>
    <row r="88" spans="1:29" x14ac:dyDescent="0.25">
      <c r="A88" s="130" t="e">
        <f>#REF!</f>
        <v>#REF!</v>
      </c>
      <c r="B88" s="131" t="e">
        <f>#REF!</f>
        <v>#REF!</v>
      </c>
      <c r="C88" s="39" t="e">
        <f ca="1">OFFSET(#REF!,-1,0)+OFFSET(#REF!,-1,0)+#REF!</f>
        <v>#REF!</v>
      </c>
      <c r="D88" s="39" t="e">
        <f>#REF!</f>
        <v>#REF!</v>
      </c>
      <c r="E88" s="39" t="e">
        <f>#REF!</f>
        <v>#REF!</v>
      </c>
      <c r="F88" s="39" t="e">
        <f>#REF!+#REF!</f>
        <v>#REF!</v>
      </c>
      <c r="G88" s="132" t="e">
        <f>#REF!/#REF!</f>
        <v>#REF!</v>
      </c>
      <c r="H88" s="39" t="e">
        <f>MIN(#REF!,#REF!)</f>
        <v>#REF!</v>
      </c>
      <c r="I88" s="132" t="e">
        <f ca="1">MIN(OFFSET(#REF!,1,0)/#REF!,1)</f>
        <v>#REF!</v>
      </c>
      <c r="J88" s="39" t="e">
        <f>SUM(#REF!,#REF!,#REF!,#REF!)*building_employment +#REF!* bonus_jobs_facts</f>
        <v>#REF!</v>
      </c>
      <c r="K88" s="133"/>
      <c r="L88" s="61" t="e">
        <f>#REF!</f>
        <v>#REF!</v>
      </c>
      <c r="M88" s="61" t="e">
        <f>#REF!</f>
        <v>#REF!</v>
      </c>
      <c r="N88" s="61" t="e">
        <f>#REF!</f>
        <v>#REF!</v>
      </c>
      <c r="O88" s="61" t="e">
        <f>#REF!</f>
        <v>#REF!</v>
      </c>
      <c r="P88" s="61" t="e">
        <f>#REF!</f>
        <v>#REF!</v>
      </c>
      <c r="Q88" s="61" t="e">
        <f>#REF!</f>
        <v>#REF!</v>
      </c>
      <c r="R88" s="61" t="e">
        <f>#REF!</f>
        <v>#REF!</v>
      </c>
      <c r="S88" s="61" t="e">
        <f>#REF!</f>
        <v>#REF!</v>
      </c>
      <c r="T88" s="134"/>
      <c r="U88" s="39" t="e">
        <f>ROUND(#REF!*(1+#REF!),0)+MIN(#REF!-#REF!-SUM(#REF!),(barracks_size + tech_8_3*#REF!)*#REF!)</f>
        <v>#REF!</v>
      </c>
      <c r="V88" s="39" t="e">
        <f>(#REF!+#REF!)*pop_in_home+(SUM(#REF!)+#REF!-#REF!)*pop_in_building+(SUM(#REF!)-#REF!*20)*pop_on_barren-(SUM(#REF!)-SUM(#REF!))*(15-pop_on_barren)-pop_on_barren*#REF!</f>
        <v>#REF!</v>
      </c>
      <c r="W88" s="39" t="e">
        <f ca="1">MAX(-5%*#REF!-#REF!,MIN(OFFSET(#REF!,1,0)-#REF!-#REF!-#REF!,#REF!-#REF!))</f>
        <v>#REF!</v>
      </c>
      <c r="X88" s="39" t="e">
        <f>ROUND(#REF!*(1+#REF!),0)</f>
        <v>#REF!</v>
      </c>
      <c r="Y88" s="39" t="e">
        <f>(#REF!-#REF!)*raw_pop_growth</f>
        <v>#REF!</v>
      </c>
      <c r="Z88" s="39" t="e">
        <f>IF(#REF!&lt;#REF!,ROUND(#REF!*Constants!$B$55,0), 0)</f>
        <v>#REF!</v>
      </c>
      <c r="AA88" s="134"/>
      <c r="AB88" s="135" t="e">
        <f ca="1">Overview!$I$16 + IF(Magic!AE88&gt;0,Constants!$F$78) + ROUND(6*(Construction!BM89+Construction!CK88)/IF(Explore!S89&gt;0,Construction!F89-20,Construction!F89),4) + tech_6_5_2*Techs!BJ88 + tech_8_4*Techs!BT88</f>
        <v>#REF!</v>
      </c>
      <c r="AC88" s="132" t="e">
        <f ca="1">(Overview!$I$15 + Imps!Z88+ tech_2_5*Techs!AB88 + tech_3_6*Techs!AM88 + tech_6_1*Techs!BJ88 + tech_6_5*Techs!BF88 + tech_7_3_2*Techs!BN88) * (1 + Production!O88/100*prestige_pop_multiplier) + Production!O88/100*prestige_pop_multiplier</f>
        <v>#REF!</v>
      </c>
    </row>
    <row r="89" spans="1:29" x14ac:dyDescent="0.25">
      <c r="A89" s="130" t="e">
        <f>#REF!</f>
        <v>#REF!</v>
      </c>
      <c r="B89" s="131" t="e">
        <f>#REF!</f>
        <v>#REF!</v>
      </c>
      <c r="C89" s="39" t="e">
        <f ca="1">OFFSET(#REF!,-1,0)+OFFSET(#REF!,-1,0)+#REF!</f>
        <v>#REF!</v>
      </c>
      <c r="D89" s="39" t="e">
        <f>#REF!</f>
        <v>#REF!</v>
      </c>
      <c r="E89" s="39" t="e">
        <f>#REF!</f>
        <v>#REF!</v>
      </c>
      <c r="F89" s="39" t="e">
        <f>#REF!+#REF!</f>
        <v>#REF!</v>
      </c>
      <c r="G89" s="132" t="e">
        <f>#REF!/#REF!</f>
        <v>#REF!</v>
      </c>
      <c r="H89" s="39" t="e">
        <f>MIN(#REF!,#REF!)</f>
        <v>#REF!</v>
      </c>
      <c r="I89" s="132" t="e">
        <f ca="1">MIN(OFFSET(#REF!,1,0)/#REF!,1)</f>
        <v>#REF!</v>
      </c>
      <c r="J89" s="39" t="e">
        <f>SUM(#REF!,#REF!,#REF!,#REF!)*building_employment +#REF!* bonus_jobs_facts</f>
        <v>#REF!</v>
      </c>
      <c r="K89" s="133"/>
      <c r="L89" s="61" t="e">
        <f>#REF!</f>
        <v>#REF!</v>
      </c>
      <c r="M89" s="61" t="e">
        <f>#REF!</f>
        <v>#REF!</v>
      </c>
      <c r="N89" s="61" t="e">
        <f>#REF!</f>
        <v>#REF!</v>
      </c>
      <c r="O89" s="61" t="e">
        <f>#REF!</f>
        <v>#REF!</v>
      </c>
      <c r="P89" s="61" t="e">
        <f>#REF!</f>
        <v>#REF!</v>
      </c>
      <c r="Q89" s="61" t="e">
        <f>#REF!</f>
        <v>#REF!</v>
      </c>
      <c r="R89" s="61" t="e">
        <f>#REF!</f>
        <v>#REF!</v>
      </c>
      <c r="S89" s="61" t="e">
        <f>#REF!</f>
        <v>#REF!</v>
      </c>
      <c r="T89" s="134"/>
      <c r="U89" s="39" t="e">
        <f>ROUND(#REF!*(1+#REF!),0)+MIN(#REF!-#REF!-SUM(#REF!),(barracks_size + tech_8_3*#REF!)*#REF!)</f>
        <v>#REF!</v>
      </c>
      <c r="V89" s="39" t="e">
        <f>(#REF!+#REF!)*pop_in_home+(SUM(#REF!)+#REF!-#REF!)*pop_in_building+(SUM(#REF!)-#REF!*20)*pop_on_barren-(SUM(#REF!)-SUM(#REF!))*(15-pop_on_barren)-pop_on_barren*#REF!</f>
        <v>#REF!</v>
      </c>
      <c r="W89" s="39" t="e">
        <f ca="1">MAX(-5%*#REF!-#REF!,MIN(OFFSET(#REF!,1,0)-#REF!-#REF!-#REF!,#REF!-#REF!))</f>
        <v>#REF!</v>
      </c>
      <c r="X89" s="39" t="e">
        <f>ROUND(#REF!*(1+#REF!),0)</f>
        <v>#REF!</v>
      </c>
      <c r="Y89" s="39" t="e">
        <f>(#REF!-#REF!)*raw_pop_growth</f>
        <v>#REF!</v>
      </c>
      <c r="Z89" s="39" t="e">
        <f>IF(#REF!&lt;#REF!,ROUND(#REF!*Constants!$B$55,0), 0)</f>
        <v>#REF!</v>
      </c>
      <c r="AA89" s="134"/>
      <c r="AB89" s="135" t="e">
        <f ca="1">Overview!$I$16 + IF(Magic!AE89&gt;0,Constants!$F$78) + ROUND(6*(Construction!BM90+Construction!CK89)/IF(Explore!S90&gt;0,Construction!F90-20,Construction!F90),4) + tech_6_5_2*Techs!BJ89 + tech_8_4*Techs!BT89</f>
        <v>#REF!</v>
      </c>
      <c r="AC89" s="132" t="e">
        <f ca="1">(Overview!$I$15 + Imps!Z89+ tech_2_5*Techs!AB89 + tech_3_6*Techs!AM89 + tech_6_1*Techs!BJ89 + tech_6_5*Techs!BF89 + tech_7_3_2*Techs!BN89) * (1 + Production!O89/100*prestige_pop_multiplier) + Production!O89/100*prestige_pop_multiplier</f>
        <v>#REF!</v>
      </c>
    </row>
    <row r="90" spans="1:29" x14ac:dyDescent="0.25">
      <c r="A90" s="130" t="e">
        <f>#REF!</f>
        <v>#REF!</v>
      </c>
      <c r="B90" s="131" t="e">
        <f>#REF!</f>
        <v>#REF!</v>
      </c>
      <c r="C90" s="39" t="e">
        <f ca="1">OFFSET(#REF!,-1,0)+OFFSET(#REF!,-1,0)+#REF!</f>
        <v>#REF!</v>
      </c>
      <c r="D90" s="39" t="e">
        <f>#REF!</f>
        <v>#REF!</v>
      </c>
      <c r="E90" s="39" t="e">
        <f>#REF!</f>
        <v>#REF!</v>
      </c>
      <c r="F90" s="39" t="e">
        <f>#REF!+#REF!</f>
        <v>#REF!</v>
      </c>
      <c r="G90" s="132" t="e">
        <f>#REF!/#REF!</f>
        <v>#REF!</v>
      </c>
      <c r="H90" s="39" t="e">
        <f>MIN(#REF!,#REF!)</f>
        <v>#REF!</v>
      </c>
      <c r="I90" s="132" t="e">
        <f ca="1">MIN(OFFSET(#REF!,1,0)/#REF!,1)</f>
        <v>#REF!</v>
      </c>
      <c r="J90" s="39" t="e">
        <f>SUM(#REF!,#REF!,#REF!,#REF!)*building_employment +#REF!* bonus_jobs_facts</f>
        <v>#REF!</v>
      </c>
      <c r="K90" s="133"/>
      <c r="L90" s="61" t="e">
        <f>#REF!</f>
        <v>#REF!</v>
      </c>
      <c r="M90" s="61" t="e">
        <f>#REF!</f>
        <v>#REF!</v>
      </c>
      <c r="N90" s="61" t="e">
        <f>#REF!</f>
        <v>#REF!</v>
      </c>
      <c r="O90" s="61" t="e">
        <f>#REF!</f>
        <v>#REF!</v>
      </c>
      <c r="P90" s="61" t="e">
        <f>#REF!</f>
        <v>#REF!</v>
      </c>
      <c r="Q90" s="61" t="e">
        <f>#REF!</f>
        <v>#REF!</v>
      </c>
      <c r="R90" s="61" t="e">
        <f>#REF!</f>
        <v>#REF!</v>
      </c>
      <c r="S90" s="61" t="e">
        <f>#REF!</f>
        <v>#REF!</v>
      </c>
      <c r="T90" s="134"/>
      <c r="U90" s="39" t="e">
        <f>ROUND(#REF!*(1+#REF!),0)+MIN(#REF!-#REF!-SUM(#REF!),(barracks_size + tech_8_3*#REF!)*#REF!)</f>
        <v>#REF!</v>
      </c>
      <c r="V90" s="39" t="e">
        <f>(#REF!+#REF!)*pop_in_home+(SUM(#REF!)+#REF!-#REF!)*pop_in_building+(SUM(#REF!)-#REF!*20)*pop_on_barren-(SUM(#REF!)-SUM(#REF!))*(15-pop_on_barren)-pop_on_barren*#REF!</f>
        <v>#REF!</v>
      </c>
      <c r="W90" s="39" t="e">
        <f ca="1">MAX(-5%*#REF!-#REF!,MIN(OFFSET(#REF!,1,0)-#REF!-#REF!-#REF!,#REF!-#REF!))</f>
        <v>#REF!</v>
      </c>
      <c r="X90" s="39" t="e">
        <f>ROUND(#REF!*(1+#REF!),0)</f>
        <v>#REF!</v>
      </c>
      <c r="Y90" s="39" t="e">
        <f>(#REF!-#REF!)*raw_pop_growth</f>
        <v>#REF!</v>
      </c>
      <c r="Z90" s="39" t="e">
        <f>IF(#REF!&lt;#REF!,ROUND(#REF!*Constants!$B$55,0), 0)</f>
        <v>#REF!</v>
      </c>
      <c r="AA90" s="134"/>
      <c r="AB90" s="135" t="e">
        <f ca="1">Overview!$I$16 + IF(Magic!AE90&gt;0,Constants!$F$78) + ROUND(6*(Construction!BM91+Construction!CK90)/IF(Explore!S91&gt;0,Construction!F91-20,Construction!F91),4) + tech_6_5_2*Techs!BJ90 + tech_8_4*Techs!BT90</f>
        <v>#REF!</v>
      </c>
      <c r="AC90" s="132" t="e">
        <f ca="1">(Overview!$I$15 + Imps!Z90+ tech_2_5*Techs!AB90 + tech_3_6*Techs!AM90 + tech_6_1*Techs!BJ90 + tech_6_5*Techs!BF90 + tech_7_3_2*Techs!BN90) * (1 + Production!O90/100*prestige_pop_multiplier) + Production!O90/100*prestige_pop_multiplier</f>
        <v>#REF!</v>
      </c>
    </row>
    <row r="91" spans="1:29" x14ac:dyDescent="0.25">
      <c r="A91" s="130" t="e">
        <f>#REF!</f>
        <v>#REF!</v>
      </c>
      <c r="B91" s="131" t="e">
        <f>#REF!</f>
        <v>#REF!</v>
      </c>
      <c r="C91" s="39" t="e">
        <f ca="1">OFFSET(#REF!,-1,0)+OFFSET(#REF!,-1,0)+#REF!</f>
        <v>#REF!</v>
      </c>
      <c r="D91" s="39" t="e">
        <f>#REF!</f>
        <v>#REF!</v>
      </c>
      <c r="E91" s="39" t="e">
        <f>#REF!</f>
        <v>#REF!</v>
      </c>
      <c r="F91" s="39" t="e">
        <f>#REF!+#REF!</f>
        <v>#REF!</v>
      </c>
      <c r="G91" s="132" t="e">
        <f>#REF!/#REF!</f>
        <v>#REF!</v>
      </c>
      <c r="H91" s="39" t="e">
        <f>MIN(#REF!,#REF!)</f>
        <v>#REF!</v>
      </c>
      <c r="I91" s="132" t="e">
        <f ca="1">MIN(OFFSET(#REF!,1,0)/#REF!,1)</f>
        <v>#REF!</v>
      </c>
      <c r="J91" s="39" t="e">
        <f>SUM(#REF!,#REF!,#REF!,#REF!)*building_employment +#REF!* bonus_jobs_facts</f>
        <v>#REF!</v>
      </c>
      <c r="K91" s="133"/>
      <c r="L91" s="61" t="e">
        <f>#REF!</f>
        <v>#REF!</v>
      </c>
      <c r="M91" s="61" t="e">
        <f>#REF!</f>
        <v>#REF!</v>
      </c>
      <c r="N91" s="61" t="e">
        <f>#REF!</f>
        <v>#REF!</v>
      </c>
      <c r="O91" s="61" t="e">
        <f>#REF!</f>
        <v>#REF!</v>
      </c>
      <c r="P91" s="61" t="e">
        <f>#REF!</f>
        <v>#REF!</v>
      </c>
      <c r="Q91" s="61" t="e">
        <f>#REF!</f>
        <v>#REF!</v>
      </c>
      <c r="R91" s="61" t="e">
        <f>#REF!</f>
        <v>#REF!</v>
      </c>
      <c r="S91" s="61" t="e">
        <f>#REF!</f>
        <v>#REF!</v>
      </c>
      <c r="T91" s="134"/>
      <c r="U91" s="39" t="e">
        <f>ROUND(#REF!*(1+#REF!),0)+MIN(#REF!-#REF!-SUM(#REF!),(barracks_size + tech_8_3*#REF!)*#REF!)</f>
        <v>#REF!</v>
      </c>
      <c r="V91" s="39" t="e">
        <f>(#REF!+#REF!)*pop_in_home+(SUM(#REF!)+#REF!-#REF!)*pop_in_building+(SUM(#REF!)-#REF!*20)*pop_on_barren-(SUM(#REF!)-SUM(#REF!))*(15-pop_on_barren)-pop_on_barren*#REF!</f>
        <v>#REF!</v>
      </c>
      <c r="W91" s="39" t="e">
        <f ca="1">MAX(-5%*#REF!-#REF!,MIN(OFFSET(#REF!,1,0)-#REF!-#REF!-#REF!,#REF!-#REF!))</f>
        <v>#REF!</v>
      </c>
      <c r="X91" s="39" t="e">
        <f>ROUND(#REF!*(1+#REF!),0)</f>
        <v>#REF!</v>
      </c>
      <c r="Y91" s="39" t="e">
        <f>(#REF!-#REF!)*raw_pop_growth</f>
        <v>#REF!</v>
      </c>
      <c r="Z91" s="39" t="e">
        <f>IF(#REF!&lt;#REF!,ROUND(#REF!*Constants!$B$55,0), 0)</f>
        <v>#REF!</v>
      </c>
      <c r="AA91" s="134"/>
      <c r="AB91" s="135" t="e">
        <f ca="1">Overview!$I$16 + IF(Magic!AE91&gt;0,Constants!$F$78) + ROUND(6*(Construction!BM92+Construction!CK91)/IF(Explore!S92&gt;0,Construction!F92-20,Construction!F92),4) + tech_6_5_2*Techs!BJ91 + tech_8_4*Techs!BT91</f>
        <v>#REF!</v>
      </c>
      <c r="AC91" s="132" t="e">
        <f ca="1">(Overview!$I$15 + Imps!Z91+ tech_2_5*Techs!AB91 + tech_3_6*Techs!AM91 + tech_6_1*Techs!BJ91 + tech_6_5*Techs!BF91 + tech_7_3_2*Techs!BN91) * (1 + Production!O91/100*prestige_pop_multiplier) + Production!O91/100*prestige_pop_multiplier</f>
        <v>#REF!</v>
      </c>
    </row>
    <row r="92" spans="1:29" x14ac:dyDescent="0.25">
      <c r="A92" s="130" t="e">
        <f>#REF!</f>
        <v>#REF!</v>
      </c>
      <c r="B92" s="131" t="e">
        <f>#REF!</f>
        <v>#REF!</v>
      </c>
      <c r="C92" s="39" t="e">
        <f ca="1">OFFSET(#REF!,-1,0)+OFFSET(#REF!,-1,0)+#REF!</f>
        <v>#REF!</v>
      </c>
      <c r="D92" s="39" t="e">
        <f>#REF!</f>
        <v>#REF!</v>
      </c>
      <c r="E92" s="39" t="e">
        <f>#REF!</f>
        <v>#REF!</v>
      </c>
      <c r="F92" s="39" t="e">
        <f>#REF!+#REF!</f>
        <v>#REF!</v>
      </c>
      <c r="G92" s="132" t="e">
        <f>#REF!/#REF!</f>
        <v>#REF!</v>
      </c>
      <c r="H92" s="39" t="e">
        <f>MIN(#REF!,#REF!)</f>
        <v>#REF!</v>
      </c>
      <c r="I92" s="132" t="e">
        <f ca="1">MIN(OFFSET(#REF!,1,0)/#REF!,1)</f>
        <v>#REF!</v>
      </c>
      <c r="J92" s="39" t="e">
        <f>SUM(#REF!,#REF!,#REF!,#REF!)*building_employment +#REF!* bonus_jobs_facts</f>
        <v>#REF!</v>
      </c>
      <c r="K92" s="133"/>
      <c r="L92" s="61" t="e">
        <f>#REF!</f>
        <v>#REF!</v>
      </c>
      <c r="M92" s="61" t="e">
        <f>#REF!</f>
        <v>#REF!</v>
      </c>
      <c r="N92" s="61" t="e">
        <f>#REF!</f>
        <v>#REF!</v>
      </c>
      <c r="O92" s="61" t="e">
        <f>#REF!</f>
        <v>#REF!</v>
      </c>
      <c r="P92" s="61" t="e">
        <f>#REF!</f>
        <v>#REF!</v>
      </c>
      <c r="Q92" s="61" t="e">
        <f>#REF!</f>
        <v>#REF!</v>
      </c>
      <c r="R92" s="61" t="e">
        <f>#REF!</f>
        <v>#REF!</v>
      </c>
      <c r="S92" s="61" t="e">
        <f>#REF!</f>
        <v>#REF!</v>
      </c>
      <c r="T92" s="134"/>
      <c r="U92" s="39" t="e">
        <f>ROUND(#REF!*(1+#REF!),0)+MIN(#REF!-#REF!-SUM(#REF!),(barracks_size + tech_8_3*#REF!)*#REF!)</f>
        <v>#REF!</v>
      </c>
      <c r="V92" s="39" t="e">
        <f>(#REF!+#REF!)*pop_in_home+(SUM(#REF!)+#REF!-#REF!)*pop_in_building+(SUM(#REF!)-#REF!*20)*pop_on_barren-(SUM(#REF!)-SUM(#REF!))*(15-pop_on_barren)-pop_on_barren*#REF!</f>
        <v>#REF!</v>
      </c>
      <c r="W92" s="39" t="e">
        <f ca="1">MAX(-5%*#REF!-#REF!,MIN(OFFSET(#REF!,1,0)-#REF!-#REF!-#REF!,#REF!-#REF!))</f>
        <v>#REF!</v>
      </c>
      <c r="X92" s="39" t="e">
        <f>ROUND(#REF!*(1+#REF!),0)</f>
        <v>#REF!</v>
      </c>
      <c r="Y92" s="39" t="e">
        <f>(#REF!-#REF!)*raw_pop_growth</f>
        <v>#REF!</v>
      </c>
      <c r="Z92" s="39" t="e">
        <f>IF(#REF!&lt;#REF!,ROUND(#REF!*Constants!$B$55,0), 0)</f>
        <v>#REF!</v>
      </c>
      <c r="AA92" s="134"/>
      <c r="AB92" s="135" t="e">
        <f ca="1">Overview!$I$16 + IF(Magic!AE92&gt;0,Constants!$F$78) + ROUND(6*(Construction!BM93+Construction!CK92)/IF(Explore!S93&gt;0,Construction!F93-20,Construction!F93),4) + tech_6_5_2*Techs!BJ92 + tech_8_4*Techs!BT92</f>
        <v>#REF!</v>
      </c>
      <c r="AC92" s="132" t="e">
        <f ca="1">(Overview!$I$15 + Imps!Z92+ tech_2_5*Techs!AB92 + tech_3_6*Techs!AM92 + tech_6_1*Techs!BJ92 + tech_6_5*Techs!BF92 + tech_7_3_2*Techs!BN92) * (1 + Production!O92/100*prestige_pop_multiplier) + Production!O92/100*prestige_pop_multiplier</f>
        <v>#REF!</v>
      </c>
    </row>
    <row r="93" spans="1:29" x14ac:dyDescent="0.25">
      <c r="A93" s="130" t="e">
        <f>#REF!</f>
        <v>#REF!</v>
      </c>
      <c r="B93" s="131" t="e">
        <f>#REF!</f>
        <v>#REF!</v>
      </c>
      <c r="C93" s="39" t="e">
        <f ca="1">OFFSET(#REF!,-1,0)+OFFSET(#REF!,-1,0)+#REF!</f>
        <v>#REF!</v>
      </c>
      <c r="D93" s="39" t="e">
        <f>#REF!</f>
        <v>#REF!</v>
      </c>
      <c r="E93" s="39" t="e">
        <f>#REF!</f>
        <v>#REF!</v>
      </c>
      <c r="F93" s="39" t="e">
        <f>#REF!+#REF!</f>
        <v>#REF!</v>
      </c>
      <c r="G93" s="132" t="e">
        <f>#REF!/#REF!</f>
        <v>#REF!</v>
      </c>
      <c r="H93" s="39" t="e">
        <f>MIN(#REF!,#REF!)</f>
        <v>#REF!</v>
      </c>
      <c r="I93" s="132" t="e">
        <f ca="1">MIN(OFFSET(#REF!,1,0)/#REF!,1)</f>
        <v>#REF!</v>
      </c>
      <c r="J93" s="39" t="e">
        <f>SUM(#REF!,#REF!,#REF!,#REF!)*building_employment +#REF!* bonus_jobs_facts</f>
        <v>#REF!</v>
      </c>
      <c r="K93" s="133"/>
      <c r="L93" s="61" t="e">
        <f>#REF!</f>
        <v>#REF!</v>
      </c>
      <c r="M93" s="61" t="e">
        <f>#REF!</f>
        <v>#REF!</v>
      </c>
      <c r="N93" s="61" t="e">
        <f>#REF!</f>
        <v>#REF!</v>
      </c>
      <c r="O93" s="61" t="e">
        <f>#REF!</f>
        <v>#REF!</v>
      </c>
      <c r="P93" s="61" t="e">
        <f>#REF!</f>
        <v>#REF!</v>
      </c>
      <c r="Q93" s="61" t="e">
        <f>#REF!</f>
        <v>#REF!</v>
      </c>
      <c r="R93" s="61" t="e">
        <f>#REF!</f>
        <v>#REF!</v>
      </c>
      <c r="S93" s="61" t="e">
        <f>#REF!</f>
        <v>#REF!</v>
      </c>
      <c r="T93" s="134"/>
      <c r="U93" s="39" t="e">
        <f>ROUND(#REF!*(1+#REF!),0)+MIN(#REF!-#REF!-SUM(#REF!),(barracks_size + tech_8_3*#REF!)*#REF!)</f>
        <v>#REF!</v>
      </c>
      <c r="V93" s="39" t="e">
        <f>(#REF!+#REF!)*pop_in_home+(SUM(#REF!)+#REF!-#REF!)*pop_in_building+(SUM(#REF!)-#REF!*20)*pop_on_barren-(SUM(#REF!)-SUM(#REF!))*(15-pop_on_barren)-pop_on_barren*#REF!</f>
        <v>#REF!</v>
      </c>
      <c r="W93" s="39" t="e">
        <f ca="1">MAX(-5%*#REF!-#REF!,MIN(OFFSET(#REF!,1,0)-#REF!-#REF!-#REF!,#REF!-#REF!))</f>
        <v>#REF!</v>
      </c>
      <c r="X93" s="39" t="e">
        <f>ROUND(#REF!*(1+#REF!),0)</f>
        <v>#REF!</v>
      </c>
      <c r="Y93" s="39" t="e">
        <f>(#REF!-#REF!)*raw_pop_growth</f>
        <v>#REF!</v>
      </c>
      <c r="Z93" s="39" t="e">
        <f>IF(#REF!&lt;#REF!,ROUND(#REF!*Constants!$B$55,0), 0)</f>
        <v>#REF!</v>
      </c>
      <c r="AA93" s="134"/>
      <c r="AB93" s="135" t="e">
        <f ca="1">Overview!$I$16 + IF(Magic!AE93&gt;0,Constants!$F$78) + ROUND(6*(Construction!BM94+Construction!CK93)/IF(Explore!S94&gt;0,Construction!F94-20,Construction!F94),4) + tech_6_5_2*Techs!BJ93 + tech_8_4*Techs!BT93</f>
        <v>#REF!</v>
      </c>
      <c r="AC93" s="132" t="e">
        <f ca="1">(Overview!$I$15 + Imps!Z93+ tech_2_5*Techs!AB93 + tech_3_6*Techs!AM93 + tech_6_1*Techs!BJ93 + tech_6_5*Techs!BF93 + tech_7_3_2*Techs!BN93) * (1 + Production!O93/100*prestige_pop_multiplier) + Production!O93/100*prestige_pop_multiplier</f>
        <v>#REF!</v>
      </c>
    </row>
    <row r="94" spans="1:29" x14ac:dyDescent="0.25">
      <c r="A94" s="130" t="e">
        <f>#REF!</f>
        <v>#REF!</v>
      </c>
      <c r="B94" s="131" t="e">
        <f>#REF!</f>
        <v>#REF!</v>
      </c>
      <c r="C94" s="39" t="e">
        <f ca="1">OFFSET(#REF!,-1,0)+OFFSET(#REF!,-1,0)+#REF!</f>
        <v>#REF!</v>
      </c>
      <c r="D94" s="39" t="e">
        <f>#REF!</f>
        <v>#REF!</v>
      </c>
      <c r="E94" s="39" t="e">
        <f>#REF!</f>
        <v>#REF!</v>
      </c>
      <c r="F94" s="39" t="e">
        <f>#REF!+#REF!</f>
        <v>#REF!</v>
      </c>
      <c r="G94" s="132" t="e">
        <f>#REF!/#REF!</f>
        <v>#REF!</v>
      </c>
      <c r="H94" s="39" t="e">
        <f>MIN(#REF!,#REF!)</f>
        <v>#REF!</v>
      </c>
      <c r="I94" s="132" t="e">
        <f ca="1">MIN(OFFSET(#REF!,1,0)/#REF!,1)</f>
        <v>#REF!</v>
      </c>
      <c r="J94" s="39" t="e">
        <f>SUM(#REF!,#REF!,#REF!,#REF!)*building_employment +#REF!* bonus_jobs_facts</f>
        <v>#REF!</v>
      </c>
      <c r="K94" s="133"/>
      <c r="L94" s="61" t="e">
        <f>#REF!</f>
        <v>#REF!</v>
      </c>
      <c r="M94" s="61" t="e">
        <f>#REF!</f>
        <v>#REF!</v>
      </c>
      <c r="N94" s="61" t="e">
        <f>#REF!</f>
        <v>#REF!</v>
      </c>
      <c r="O94" s="61" t="e">
        <f>#REF!</f>
        <v>#REF!</v>
      </c>
      <c r="P94" s="61" t="e">
        <f>#REF!</f>
        <v>#REF!</v>
      </c>
      <c r="Q94" s="61" t="e">
        <f>#REF!</f>
        <v>#REF!</v>
      </c>
      <c r="R94" s="61" t="e">
        <f>#REF!</f>
        <v>#REF!</v>
      </c>
      <c r="S94" s="61" t="e">
        <f>#REF!</f>
        <v>#REF!</v>
      </c>
      <c r="T94" s="134"/>
      <c r="U94" s="39" t="e">
        <f>ROUND(#REF!*(1+#REF!),0)+MIN(#REF!-#REF!-SUM(#REF!),(barracks_size + tech_8_3*#REF!)*#REF!)</f>
        <v>#REF!</v>
      </c>
      <c r="V94" s="39" t="e">
        <f>(#REF!+#REF!)*pop_in_home+(SUM(#REF!)+#REF!-#REF!)*pop_in_building+(SUM(#REF!)-#REF!*20)*pop_on_barren-(SUM(#REF!)-SUM(#REF!))*(15-pop_on_barren)-pop_on_barren*#REF!</f>
        <v>#REF!</v>
      </c>
      <c r="W94" s="39" t="e">
        <f ca="1">MAX(-5%*#REF!-#REF!,MIN(OFFSET(#REF!,1,0)-#REF!-#REF!-#REF!,#REF!-#REF!))</f>
        <v>#REF!</v>
      </c>
      <c r="X94" s="39" t="e">
        <f>ROUND(#REF!*(1+#REF!),0)</f>
        <v>#REF!</v>
      </c>
      <c r="Y94" s="39" t="e">
        <f>(#REF!-#REF!)*raw_pop_growth</f>
        <v>#REF!</v>
      </c>
      <c r="Z94" s="39" t="e">
        <f>IF(#REF!&lt;#REF!,ROUND(#REF!*Constants!$B$55,0), 0)</f>
        <v>#REF!</v>
      </c>
      <c r="AA94" s="134"/>
      <c r="AB94" s="135" t="e">
        <f ca="1">Overview!$I$16 + IF(Magic!AE94&gt;0,Constants!$F$78) + ROUND(6*(Construction!BM95+Construction!CK94)/IF(Explore!S95&gt;0,Construction!F95-20,Construction!F95),4) + tech_6_5_2*Techs!BJ94 + tech_8_4*Techs!BT94</f>
        <v>#REF!</v>
      </c>
      <c r="AC94" s="132" t="e">
        <f ca="1">(Overview!$I$15 + Imps!Z94+ tech_2_5*Techs!AB94 + tech_3_6*Techs!AM94 + tech_6_1*Techs!BJ94 + tech_6_5*Techs!BF94 + tech_7_3_2*Techs!BN94) * (1 + Production!O94/100*prestige_pop_multiplier) + Production!O94/100*prestige_pop_multiplier</f>
        <v>#REF!</v>
      </c>
    </row>
    <row r="95" spans="1:29" x14ac:dyDescent="0.25">
      <c r="A95" s="130" t="e">
        <f>#REF!</f>
        <v>#REF!</v>
      </c>
      <c r="B95" s="131" t="e">
        <f>#REF!</f>
        <v>#REF!</v>
      </c>
      <c r="C95" s="39" t="e">
        <f ca="1">OFFSET(#REF!,-1,0)+OFFSET(#REF!,-1,0)+#REF!</f>
        <v>#REF!</v>
      </c>
      <c r="D95" s="39" t="e">
        <f>#REF!</f>
        <v>#REF!</v>
      </c>
      <c r="E95" s="39" t="e">
        <f>#REF!</f>
        <v>#REF!</v>
      </c>
      <c r="F95" s="39" t="e">
        <f>#REF!+#REF!</f>
        <v>#REF!</v>
      </c>
      <c r="G95" s="132" t="e">
        <f>#REF!/#REF!</f>
        <v>#REF!</v>
      </c>
      <c r="H95" s="39" t="e">
        <f>MIN(#REF!,#REF!)</f>
        <v>#REF!</v>
      </c>
      <c r="I95" s="132" t="e">
        <f ca="1">MIN(OFFSET(#REF!,1,0)/#REF!,1)</f>
        <v>#REF!</v>
      </c>
      <c r="J95" s="39" t="e">
        <f>SUM(#REF!,#REF!,#REF!,#REF!)*building_employment +#REF!* bonus_jobs_facts</f>
        <v>#REF!</v>
      </c>
      <c r="K95" s="133"/>
      <c r="L95" s="61" t="e">
        <f>#REF!</f>
        <v>#REF!</v>
      </c>
      <c r="M95" s="61" t="e">
        <f>#REF!</f>
        <v>#REF!</v>
      </c>
      <c r="N95" s="61" t="e">
        <f>#REF!</f>
        <v>#REF!</v>
      </c>
      <c r="O95" s="61" t="e">
        <f>#REF!</f>
        <v>#REF!</v>
      </c>
      <c r="P95" s="61" t="e">
        <f>#REF!</f>
        <v>#REF!</v>
      </c>
      <c r="Q95" s="61" t="e">
        <f>#REF!</f>
        <v>#REF!</v>
      </c>
      <c r="R95" s="61" t="e">
        <f>#REF!</f>
        <v>#REF!</v>
      </c>
      <c r="S95" s="61" t="e">
        <f>#REF!</f>
        <v>#REF!</v>
      </c>
      <c r="T95" s="134"/>
      <c r="U95" s="39" t="e">
        <f>ROUND(#REF!*(1+#REF!),0)+MIN(#REF!-#REF!-SUM(#REF!),(barracks_size + tech_8_3*#REF!)*#REF!)</f>
        <v>#REF!</v>
      </c>
      <c r="V95" s="39" t="e">
        <f>(#REF!+#REF!)*pop_in_home+(SUM(#REF!)+#REF!-#REF!)*pop_in_building+(SUM(#REF!)-#REF!*20)*pop_on_barren-(SUM(#REF!)-SUM(#REF!))*(15-pop_on_barren)-pop_on_barren*#REF!</f>
        <v>#REF!</v>
      </c>
      <c r="W95" s="39" t="e">
        <f ca="1">MAX(-5%*#REF!-#REF!,MIN(OFFSET(#REF!,1,0)-#REF!-#REF!-#REF!,#REF!-#REF!))</f>
        <v>#REF!</v>
      </c>
      <c r="X95" s="39" t="e">
        <f>ROUND(#REF!*(1+#REF!),0)</f>
        <v>#REF!</v>
      </c>
      <c r="Y95" s="39" t="e">
        <f>(#REF!-#REF!)*raw_pop_growth</f>
        <v>#REF!</v>
      </c>
      <c r="Z95" s="39" t="e">
        <f>IF(#REF!&lt;#REF!,ROUND(#REF!*Constants!$B$55,0), 0)</f>
        <v>#REF!</v>
      </c>
      <c r="AA95" s="134"/>
      <c r="AB95" s="135" t="e">
        <f ca="1">Overview!$I$16 + IF(Magic!AE95&gt;0,Constants!$F$78) + ROUND(6*(Construction!BM96+Construction!CK95)/IF(Explore!S96&gt;0,Construction!F96-20,Construction!F96),4) + tech_6_5_2*Techs!BJ95 + tech_8_4*Techs!BT95</f>
        <v>#REF!</v>
      </c>
      <c r="AC95" s="132" t="e">
        <f ca="1">(Overview!$I$15 + Imps!Z95+ tech_2_5*Techs!AB95 + tech_3_6*Techs!AM95 + tech_6_1*Techs!BJ95 + tech_6_5*Techs!BF95 + tech_7_3_2*Techs!BN95) * (1 + Production!O95/100*prestige_pop_multiplier) + Production!O95/100*prestige_pop_multiplier</f>
        <v>#REF!</v>
      </c>
    </row>
    <row r="96" spans="1:29" x14ac:dyDescent="0.25">
      <c r="A96" s="130" t="e">
        <f>#REF!</f>
        <v>#REF!</v>
      </c>
      <c r="B96" s="131" t="e">
        <f>#REF!</f>
        <v>#REF!</v>
      </c>
      <c r="C96" s="39" t="e">
        <f ca="1">OFFSET(#REF!,-1,0)+OFFSET(#REF!,-1,0)+#REF!</f>
        <v>#REF!</v>
      </c>
      <c r="D96" s="39" t="e">
        <f>#REF!</f>
        <v>#REF!</v>
      </c>
      <c r="E96" s="39" t="e">
        <f>#REF!</f>
        <v>#REF!</v>
      </c>
      <c r="F96" s="39" t="e">
        <f>#REF!+#REF!</f>
        <v>#REF!</v>
      </c>
      <c r="G96" s="132" t="e">
        <f>#REF!/#REF!</f>
        <v>#REF!</v>
      </c>
      <c r="H96" s="39" t="e">
        <f>MIN(#REF!,#REF!)</f>
        <v>#REF!</v>
      </c>
      <c r="I96" s="132" t="e">
        <f ca="1">MIN(OFFSET(#REF!,1,0)/#REF!,1)</f>
        <v>#REF!</v>
      </c>
      <c r="J96" s="39" t="e">
        <f>SUM(#REF!,#REF!,#REF!,#REF!)*building_employment +#REF!* bonus_jobs_facts</f>
        <v>#REF!</v>
      </c>
      <c r="K96" s="133"/>
      <c r="L96" s="61" t="e">
        <f>#REF!</f>
        <v>#REF!</v>
      </c>
      <c r="M96" s="61" t="e">
        <f>#REF!</f>
        <v>#REF!</v>
      </c>
      <c r="N96" s="61" t="e">
        <f>#REF!</f>
        <v>#REF!</v>
      </c>
      <c r="O96" s="61" t="e">
        <f>#REF!</f>
        <v>#REF!</v>
      </c>
      <c r="P96" s="61" t="e">
        <f>#REF!</f>
        <v>#REF!</v>
      </c>
      <c r="Q96" s="61" t="e">
        <f>#REF!</f>
        <v>#REF!</v>
      </c>
      <c r="R96" s="61" t="e">
        <f>#REF!</f>
        <v>#REF!</v>
      </c>
      <c r="S96" s="61" t="e">
        <f>#REF!</f>
        <v>#REF!</v>
      </c>
      <c r="T96" s="134"/>
      <c r="U96" s="39" t="e">
        <f>ROUND(#REF!*(1+#REF!),0)+MIN(#REF!-#REF!-SUM(#REF!),(barracks_size + tech_8_3*#REF!)*#REF!)</f>
        <v>#REF!</v>
      </c>
      <c r="V96" s="39" t="e">
        <f>(#REF!+#REF!)*pop_in_home+(SUM(#REF!)+#REF!-#REF!)*pop_in_building+(SUM(#REF!)-#REF!*20)*pop_on_barren-(SUM(#REF!)-SUM(#REF!))*(15-pop_on_barren)-pop_on_barren*#REF!</f>
        <v>#REF!</v>
      </c>
      <c r="W96" s="39" t="e">
        <f ca="1">MAX(-5%*#REF!-#REF!,MIN(OFFSET(#REF!,1,0)-#REF!-#REF!-#REF!,#REF!-#REF!))</f>
        <v>#REF!</v>
      </c>
      <c r="X96" s="39" t="e">
        <f>ROUND(#REF!*(1+#REF!),0)</f>
        <v>#REF!</v>
      </c>
      <c r="Y96" s="39" t="e">
        <f>(#REF!-#REF!)*raw_pop_growth</f>
        <v>#REF!</v>
      </c>
      <c r="Z96" s="39" t="e">
        <f>IF(#REF!&lt;#REF!,ROUND(#REF!*Constants!$B$55,0), 0)</f>
        <v>#REF!</v>
      </c>
      <c r="AA96" s="134"/>
      <c r="AB96" s="135" t="e">
        <f ca="1">Overview!$I$16 + IF(Magic!AE96&gt;0,Constants!$F$78) + ROUND(6*(Construction!BM97+Construction!CK96)/IF(Explore!S97&gt;0,Construction!F97-20,Construction!F97),4) + tech_6_5_2*Techs!BJ96 + tech_8_4*Techs!BT96</f>
        <v>#REF!</v>
      </c>
      <c r="AC96" s="132" t="e">
        <f ca="1">(Overview!$I$15 + Imps!Z96+ tech_2_5*Techs!AB96 + tech_3_6*Techs!AM96 + tech_6_1*Techs!BJ96 + tech_6_5*Techs!BF96 + tech_7_3_2*Techs!BN96) * (1 + Production!O96/100*prestige_pop_multiplier) + Production!O96/100*prestige_pop_multiplier</f>
        <v>#REF!</v>
      </c>
    </row>
    <row r="97" spans="1:29" x14ac:dyDescent="0.25">
      <c r="A97" s="130" t="e">
        <f>#REF!</f>
        <v>#REF!</v>
      </c>
      <c r="B97" s="131" t="e">
        <f>#REF!</f>
        <v>#REF!</v>
      </c>
      <c r="C97" s="39" t="e">
        <f ca="1">OFFSET(#REF!,-1,0)+OFFSET(#REF!,-1,0)+#REF!</f>
        <v>#REF!</v>
      </c>
      <c r="D97" s="39" t="e">
        <f>#REF!</f>
        <v>#REF!</v>
      </c>
      <c r="E97" s="39" t="e">
        <f>#REF!</f>
        <v>#REF!</v>
      </c>
      <c r="F97" s="39" t="e">
        <f>#REF!+#REF!</f>
        <v>#REF!</v>
      </c>
      <c r="G97" s="132" t="e">
        <f>#REF!/#REF!</f>
        <v>#REF!</v>
      </c>
      <c r="H97" s="39" t="e">
        <f>MIN(#REF!,#REF!)</f>
        <v>#REF!</v>
      </c>
      <c r="I97" s="132" t="e">
        <f ca="1">MIN(OFFSET(#REF!,1,0)/#REF!,1)</f>
        <v>#REF!</v>
      </c>
      <c r="J97" s="39" t="e">
        <f>SUM(#REF!,#REF!,#REF!,#REF!)*building_employment +#REF!* bonus_jobs_facts</f>
        <v>#REF!</v>
      </c>
      <c r="K97" s="133"/>
      <c r="L97" s="61" t="e">
        <f>#REF!</f>
        <v>#REF!</v>
      </c>
      <c r="M97" s="61" t="e">
        <f>#REF!</f>
        <v>#REF!</v>
      </c>
      <c r="N97" s="61" t="e">
        <f>#REF!</f>
        <v>#REF!</v>
      </c>
      <c r="O97" s="61" t="e">
        <f>#REF!</f>
        <v>#REF!</v>
      </c>
      <c r="P97" s="61" t="e">
        <f>#REF!</f>
        <v>#REF!</v>
      </c>
      <c r="Q97" s="61" t="e">
        <f>#REF!</f>
        <v>#REF!</v>
      </c>
      <c r="R97" s="61" t="e">
        <f>#REF!</f>
        <v>#REF!</v>
      </c>
      <c r="S97" s="61" t="e">
        <f>#REF!</f>
        <v>#REF!</v>
      </c>
      <c r="T97" s="134"/>
      <c r="U97" s="39" t="e">
        <f>ROUND(#REF!*(1+#REF!),0)+MIN(#REF!-#REF!-SUM(#REF!),(barracks_size + tech_8_3*#REF!)*#REF!)</f>
        <v>#REF!</v>
      </c>
      <c r="V97" s="39" t="e">
        <f>(#REF!+#REF!)*pop_in_home+(SUM(#REF!)+#REF!-#REF!)*pop_in_building+(SUM(#REF!)-#REF!*20)*pop_on_barren-(SUM(#REF!)-SUM(#REF!))*(15-pop_on_barren)-pop_on_barren*#REF!</f>
        <v>#REF!</v>
      </c>
      <c r="W97" s="39" t="e">
        <f ca="1">MAX(-5%*#REF!-#REF!,MIN(OFFSET(#REF!,1,0)-#REF!-#REF!-#REF!,#REF!-#REF!))</f>
        <v>#REF!</v>
      </c>
      <c r="X97" s="39" t="e">
        <f>ROUND(#REF!*(1+#REF!),0)</f>
        <v>#REF!</v>
      </c>
      <c r="Y97" s="39" t="e">
        <f>(#REF!-#REF!)*raw_pop_growth</f>
        <v>#REF!</v>
      </c>
      <c r="Z97" s="39" t="e">
        <f>IF(#REF!&lt;#REF!,ROUND(#REF!*Constants!$B$55,0), 0)</f>
        <v>#REF!</v>
      </c>
      <c r="AA97" s="134"/>
      <c r="AB97" s="135" t="e">
        <f ca="1">Overview!$I$16 + IF(Magic!AE97&gt;0,Constants!$F$78) + ROUND(6*(Construction!BM98+Construction!CK97)/IF(Explore!S98&gt;0,Construction!F98-20,Construction!F98),4) + tech_6_5_2*Techs!BJ97 + tech_8_4*Techs!BT97</f>
        <v>#REF!</v>
      </c>
      <c r="AC97" s="132" t="e">
        <f ca="1">(Overview!$I$15 + Imps!Z97+ tech_2_5*Techs!AB97 + tech_3_6*Techs!AM97 + tech_6_1*Techs!BJ97 + tech_6_5*Techs!BF97 + tech_7_3_2*Techs!BN97) * (1 + Production!O97/100*prestige_pop_multiplier) + Production!O97/100*prestige_pop_multiplier</f>
        <v>#REF!</v>
      </c>
    </row>
    <row r="98" spans="1:29" x14ac:dyDescent="0.25">
      <c r="A98" s="130" t="e">
        <f>#REF!</f>
        <v>#REF!</v>
      </c>
      <c r="B98" s="131" t="e">
        <f>#REF!</f>
        <v>#REF!</v>
      </c>
      <c r="C98" s="39" t="e">
        <f ca="1">OFFSET(#REF!,-1,0)+OFFSET(#REF!,-1,0)+#REF!</f>
        <v>#REF!</v>
      </c>
      <c r="D98" s="39" t="e">
        <f>#REF!</f>
        <v>#REF!</v>
      </c>
      <c r="E98" s="39" t="e">
        <f>#REF!</f>
        <v>#REF!</v>
      </c>
      <c r="F98" s="39" t="e">
        <f>#REF!+#REF!</f>
        <v>#REF!</v>
      </c>
      <c r="G98" s="132" t="e">
        <f>#REF!/#REF!</f>
        <v>#REF!</v>
      </c>
      <c r="H98" s="39" t="e">
        <f>MIN(#REF!,#REF!)</f>
        <v>#REF!</v>
      </c>
      <c r="I98" s="132" t="e">
        <f ca="1">MIN(OFFSET(#REF!,1,0)/#REF!,1)</f>
        <v>#REF!</v>
      </c>
      <c r="J98" s="39" t="e">
        <f>SUM(#REF!,#REF!,#REF!,#REF!)*building_employment +#REF!* bonus_jobs_facts</f>
        <v>#REF!</v>
      </c>
      <c r="K98" s="133"/>
      <c r="L98" s="61" t="e">
        <f>#REF!</f>
        <v>#REF!</v>
      </c>
      <c r="M98" s="61" t="e">
        <f>#REF!</f>
        <v>#REF!</v>
      </c>
      <c r="N98" s="61" t="e">
        <f>#REF!</f>
        <v>#REF!</v>
      </c>
      <c r="O98" s="61" t="e">
        <f>#REF!</f>
        <v>#REF!</v>
      </c>
      <c r="P98" s="61" t="e">
        <f>#REF!</f>
        <v>#REF!</v>
      </c>
      <c r="Q98" s="61" t="e">
        <f>#REF!</f>
        <v>#REF!</v>
      </c>
      <c r="R98" s="61" t="e">
        <f>#REF!</f>
        <v>#REF!</v>
      </c>
      <c r="S98" s="61" t="e">
        <f>#REF!</f>
        <v>#REF!</v>
      </c>
      <c r="T98" s="134"/>
      <c r="U98" s="39" t="e">
        <f>ROUND(#REF!*(1+#REF!),0)+MIN(#REF!-#REF!-SUM(#REF!),(barracks_size + tech_8_3*#REF!)*#REF!)</f>
        <v>#REF!</v>
      </c>
      <c r="V98" s="39" t="e">
        <f>(#REF!+#REF!)*pop_in_home+(SUM(#REF!)+#REF!-#REF!)*pop_in_building+(SUM(#REF!)-#REF!*20)*pop_on_barren-(SUM(#REF!)-SUM(#REF!))*(15-pop_on_barren)-pop_on_barren*#REF!</f>
        <v>#REF!</v>
      </c>
      <c r="W98" s="39" t="e">
        <f ca="1">MAX(-5%*#REF!-#REF!,MIN(OFFSET(#REF!,1,0)-#REF!-#REF!-#REF!,#REF!-#REF!))</f>
        <v>#REF!</v>
      </c>
      <c r="X98" s="39" t="e">
        <f>ROUND(#REF!*(1+#REF!),0)</f>
        <v>#REF!</v>
      </c>
      <c r="Y98" s="39" t="e">
        <f>(#REF!-#REF!)*raw_pop_growth</f>
        <v>#REF!</v>
      </c>
      <c r="Z98" s="39" t="e">
        <f>IF(#REF!&lt;#REF!,ROUND(#REF!*Constants!$B$55,0), 0)</f>
        <v>#REF!</v>
      </c>
      <c r="AA98" s="134"/>
      <c r="AB98" s="135" t="e">
        <f ca="1">Overview!$I$16 + IF(Magic!AE98&gt;0,Constants!$F$78) + ROUND(6*(Construction!BM99+Construction!CK98)/IF(Explore!S99&gt;0,Construction!F99-20,Construction!F99),4) + tech_6_5_2*Techs!BJ98 + tech_8_4*Techs!BT98</f>
        <v>#REF!</v>
      </c>
      <c r="AC98" s="132" t="e">
        <f ca="1">(Overview!$I$15 + Imps!Z98+ tech_2_5*Techs!AB98 + tech_3_6*Techs!AM98 + tech_6_1*Techs!BJ98 + tech_6_5*Techs!BF98 + tech_7_3_2*Techs!BN98) * (1 + Production!O98/100*prestige_pop_multiplier) + Production!O98/100*prestige_pop_multiplier</f>
        <v>#REF!</v>
      </c>
    </row>
    <row r="99" spans="1:29" x14ac:dyDescent="0.25">
      <c r="A99" s="130" t="e">
        <f>#REF!</f>
        <v>#REF!</v>
      </c>
      <c r="B99" s="131" t="e">
        <f>#REF!</f>
        <v>#REF!</v>
      </c>
      <c r="C99" s="39" t="e">
        <f ca="1">OFFSET(#REF!,-1,0)+OFFSET(#REF!,-1,0)+#REF!</f>
        <v>#REF!</v>
      </c>
      <c r="D99" s="39" t="e">
        <f>#REF!</f>
        <v>#REF!</v>
      </c>
      <c r="E99" s="39" t="e">
        <f>#REF!</f>
        <v>#REF!</v>
      </c>
      <c r="F99" s="39" t="e">
        <f>#REF!+#REF!</f>
        <v>#REF!</v>
      </c>
      <c r="G99" s="132" t="e">
        <f>#REF!/#REF!</f>
        <v>#REF!</v>
      </c>
      <c r="H99" s="39" t="e">
        <f>MIN(#REF!,#REF!)</f>
        <v>#REF!</v>
      </c>
      <c r="I99" s="132" t="e">
        <f ca="1">MIN(OFFSET(#REF!,1,0)/#REF!,1)</f>
        <v>#REF!</v>
      </c>
      <c r="J99" s="39" t="e">
        <f>SUM(#REF!,#REF!,#REF!,#REF!)*building_employment +#REF!* bonus_jobs_facts</f>
        <v>#REF!</v>
      </c>
      <c r="K99" s="133"/>
      <c r="L99" s="61" t="e">
        <f>#REF!</f>
        <v>#REF!</v>
      </c>
      <c r="M99" s="61" t="e">
        <f>#REF!</f>
        <v>#REF!</v>
      </c>
      <c r="N99" s="61" t="e">
        <f>#REF!</f>
        <v>#REF!</v>
      </c>
      <c r="O99" s="61" t="e">
        <f>#REF!</f>
        <v>#REF!</v>
      </c>
      <c r="P99" s="61" t="e">
        <f>#REF!</f>
        <v>#REF!</v>
      </c>
      <c r="Q99" s="61" t="e">
        <f>#REF!</f>
        <v>#REF!</v>
      </c>
      <c r="R99" s="61" t="e">
        <f>#REF!</f>
        <v>#REF!</v>
      </c>
      <c r="S99" s="61" t="e">
        <f>#REF!</f>
        <v>#REF!</v>
      </c>
      <c r="T99" s="134"/>
      <c r="U99" s="39" t="e">
        <f>ROUND(#REF!*(1+#REF!),0)+MIN(#REF!-#REF!-SUM(#REF!),(barracks_size + tech_8_3*#REF!)*#REF!)</f>
        <v>#REF!</v>
      </c>
      <c r="V99" s="39" t="e">
        <f>(#REF!+#REF!)*pop_in_home+(SUM(#REF!)+#REF!-#REF!)*pop_in_building+(SUM(#REF!)-#REF!*20)*pop_on_barren-(SUM(#REF!)-SUM(#REF!))*(15-pop_on_barren)-pop_on_barren*#REF!</f>
        <v>#REF!</v>
      </c>
      <c r="W99" s="39" t="e">
        <f ca="1">MAX(-5%*#REF!-#REF!,MIN(OFFSET(#REF!,1,0)-#REF!-#REF!-#REF!,#REF!-#REF!))</f>
        <v>#REF!</v>
      </c>
      <c r="X99" s="39" t="e">
        <f>ROUND(#REF!*(1+#REF!),0)</f>
        <v>#REF!</v>
      </c>
      <c r="Y99" s="39" t="e">
        <f>(#REF!-#REF!)*raw_pop_growth</f>
        <v>#REF!</v>
      </c>
      <c r="Z99" s="39" t="e">
        <f>IF(#REF!&lt;#REF!,ROUND(#REF!*Constants!$B$55,0), 0)</f>
        <v>#REF!</v>
      </c>
      <c r="AA99" s="134"/>
      <c r="AB99" s="135" t="e">
        <f ca="1">Overview!$I$16 + IF(Magic!AE99&gt;0,Constants!$F$78) + ROUND(6*(Construction!BM100+Construction!CK99)/IF(Explore!S100&gt;0,Construction!F100-20,Construction!F100),4) + tech_6_5_2*Techs!BJ99 + tech_8_4*Techs!BT99</f>
        <v>#REF!</v>
      </c>
      <c r="AC99" s="132" t="e">
        <f ca="1">(Overview!$I$15 + Imps!Z99+ tech_2_5*Techs!AB99 + tech_3_6*Techs!AM99 + tech_6_1*Techs!BJ99 + tech_6_5*Techs!BF99 + tech_7_3_2*Techs!BN99) * (1 + Production!O99/100*prestige_pop_multiplier) + Production!O99/100*prestige_pop_multiplier</f>
        <v>#REF!</v>
      </c>
    </row>
    <row r="100" spans="1:29" x14ac:dyDescent="0.25">
      <c r="A100" s="130" t="e">
        <f>#REF!</f>
        <v>#REF!</v>
      </c>
      <c r="B100" s="131" t="e">
        <f>#REF!</f>
        <v>#REF!</v>
      </c>
      <c r="C100" s="39" t="e">
        <f ca="1">OFFSET(#REF!,-1,0)+OFFSET(#REF!,-1,0)+#REF!</f>
        <v>#REF!</v>
      </c>
      <c r="D100" s="39" t="e">
        <f>#REF!</f>
        <v>#REF!</v>
      </c>
      <c r="E100" s="39" t="e">
        <f>#REF!</f>
        <v>#REF!</v>
      </c>
      <c r="F100" s="39" t="e">
        <f>#REF!+#REF!</f>
        <v>#REF!</v>
      </c>
      <c r="G100" s="132" t="e">
        <f>#REF!/#REF!</f>
        <v>#REF!</v>
      </c>
      <c r="H100" s="39" t="e">
        <f>MIN(#REF!,#REF!)</f>
        <v>#REF!</v>
      </c>
      <c r="I100" s="132" t="e">
        <f ca="1">MIN(OFFSET(#REF!,1,0)/#REF!,1)</f>
        <v>#REF!</v>
      </c>
      <c r="J100" s="39" t="e">
        <f>SUM(#REF!,#REF!,#REF!,#REF!)*building_employment +#REF!* bonus_jobs_facts</f>
        <v>#REF!</v>
      </c>
      <c r="K100" s="133"/>
      <c r="L100" s="61" t="e">
        <f>#REF!</f>
        <v>#REF!</v>
      </c>
      <c r="M100" s="61" t="e">
        <f>#REF!</f>
        <v>#REF!</v>
      </c>
      <c r="N100" s="61" t="e">
        <f>#REF!</f>
        <v>#REF!</v>
      </c>
      <c r="O100" s="61" t="e">
        <f>#REF!</f>
        <v>#REF!</v>
      </c>
      <c r="P100" s="61" t="e">
        <f>#REF!</f>
        <v>#REF!</v>
      </c>
      <c r="Q100" s="61" t="e">
        <f>#REF!</f>
        <v>#REF!</v>
      </c>
      <c r="R100" s="61" t="e">
        <f>#REF!</f>
        <v>#REF!</v>
      </c>
      <c r="S100" s="61" t="e">
        <f>#REF!</f>
        <v>#REF!</v>
      </c>
      <c r="T100" s="134"/>
      <c r="U100" s="39" t="e">
        <f>ROUND(#REF!*(1+#REF!),0)+MIN(#REF!-#REF!-SUM(#REF!),(barracks_size + tech_8_3*#REF!)*#REF!)</f>
        <v>#REF!</v>
      </c>
      <c r="V100" s="39" t="e">
        <f>(#REF!+#REF!)*pop_in_home+(SUM(#REF!)+#REF!-#REF!)*pop_in_building+(SUM(#REF!)-#REF!*20)*pop_on_barren-(SUM(#REF!)-SUM(#REF!))*(15-pop_on_barren)-pop_on_barren*#REF!</f>
        <v>#REF!</v>
      </c>
      <c r="W100" s="39" t="e">
        <f ca="1">MAX(-5%*#REF!-#REF!,MIN(OFFSET(#REF!,1,0)-#REF!-#REF!-#REF!,#REF!-#REF!))</f>
        <v>#REF!</v>
      </c>
      <c r="X100" s="39" t="e">
        <f>ROUND(#REF!*(1+#REF!),0)</f>
        <v>#REF!</v>
      </c>
      <c r="Y100" s="39" t="e">
        <f>(#REF!-#REF!)*raw_pop_growth</f>
        <v>#REF!</v>
      </c>
      <c r="Z100" s="39" t="e">
        <f>IF(#REF!&lt;#REF!,ROUND(#REF!*Constants!$B$55,0), 0)</f>
        <v>#REF!</v>
      </c>
      <c r="AA100" s="134"/>
      <c r="AB100" s="135" t="e">
        <f ca="1">Overview!$I$16 + IF(Magic!AE100&gt;0,Constants!$F$78) + ROUND(6*(Construction!BM101+Construction!CK100)/IF(Explore!S101&gt;0,Construction!F101-20,Construction!F101),4) + tech_6_5_2*Techs!BJ100 + tech_8_4*Techs!BT100</f>
        <v>#REF!</v>
      </c>
      <c r="AC100" s="132" t="e">
        <f ca="1">(Overview!$I$15 + Imps!Z100+ tech_2_5*Techs!AB100 + tech_3_6*Techs!AM100 + tech_6_1*Techs!BJ100 + tech_6_5*Techs!BF100 + tech_7_3_2*Techs!BN100) * (1 + Production!O100/100*prestige_pop_multiplier) + Production!O100/100*prestige_pop_multiplier</f>
        <v>#REF!</v>
      </c>
    </row>
    <row r="101" spans="1:29" x14ac:dyDescent="0.25">
      <c r="A101" s="130" t="e">
        <f>#REF!</f>
        <v>#REF!</v>
      </c>
      <c r="B101" s="131" t="e">
        <f>#REF!</f>
        <v>#REF!</v>
      </c>
      <c r="C101" s="39" t="e">
        <f ca="1">OFFSET(#REF!,-1,0)+OFFSET(#REF!,-1,0)+#REF!</f>
        <v>#REF!</v>
      </c>
      <c r="D101" s="39" t="e">
        <f>#REF!</f>
        <v>#REF!</v>
      </c>
      <c r="E101" s="39" t="e">
        <f>#REF!</f>
        <v>#REF!</v>
      </c>
      <c r="F101" s="39" t="e">
        <f>#REF!+#REF!</f>
        <v>#REF!</v>
      </c>
      <c r="G101" s="132" t="e">
        <f>#REF!/#REF!</f>
        <v>#REF!</v>
      </c>
      <c r="H101" s="39" t="e">
        <f>MIN(#REF!,#REF!)</f>
        <v>#REF!</v>
      </c>
      <c r="I101" s="132" t="e">
        <f ca="1">MIN(OFFSET(#REF!,1,0)/#REF!,1)</f>
        <v>#REF!</v>
      </c>
      <c r="J101" s="39" t="e">
        <f>SUM(#REF!,#REF!,#REF!,#REF!)*building_employment +#REF!* bonus_jobs_facts</f>
        <v>#REF!</v>
      </c>
      <c r="K101" s="133"/>
      <c r="L101" s="61" t="e">
        <f>#REF!</f>
        <v>#REF!</v>
      </c>
      <c r="M101" s="61" t="e">
        <f>#REF!</f>
        <v>#REF!</v>
      </c>
      <c r="N101" s="61" t="e">
        <f>#REF!</f>
        <v>#REF!</v>
      </c>
      <c r="O101" s="61" t="e">
        <f>#REF!</f>
        <v>#REF!</v>
      </c>
      <c r="P101" s="61" t="e">
        <f>#REF!</f>
        <v>#REF!</v>
      </c>
      <c r="Q101" s="61" t="e">
        <f>#REF!</f>
        <v>#REF!</v>
      </c>
      <c r="R101" s="61" t="e">
        <f>#REF!</f>
        <v>#REF!</v>
      </c>
      <c r="S101" s="61" t="e">
        <f>#REF!</f>
        <v>#REF!</v>
      </c>
      <c r="T101" s="134"/>
      <c r="U101" s="39" t="e">
        <f>ROUND(#REF!*(1+#REF!),0)+MIN(#REF!-#REF!-SUM(#REF!),(barracks_size + tech_8_3*#REF!)*#REF!)</f>
        <v>#REF!</v>
      </c>
      <c r="V101" s="39" t="e">
        <f>(#REF!+#REF!)*pop_in_home+(SUM(#REF!)+#REF!-#REF!)*pop_in_building+(SUM(#REF!)-#REF!*20)*pop_on_barren-(SUM(#REF!)-SUM(#REF!))*(15-pop_on_barren)-pop_on_barren*#REF!</f>
        <v>#REF!</v>
      </c>
      <c r="W101" s="39" t="e">
        <f ca="1">MAX(-5%*#REF!-#REF!,MIN(OFFSET(#REF!,1,0)-#REF!-#REF!-#REF!,#REF!-#REF!))</f>
        <v>#REF!</v>
      </c>
      <c r="X101" s="39" t="e">
        <f>ROUND(#REF!*(1+#REF!),0)</f>
        <v>#REF!</v>
      </c>
      <c r="Y101" s="39" t="e">
        <f>(#REF!-#REF!)*raw_pop_growth</f>
        <v>#REF!</v>
      </c>
      <c r="Z101" s="39" t="e">
        <f>IF(#REF!&lt;#REF!,ROUND(#REF!*Constants!$B$55,0), 0)</f>
        <v>#REF!</v>
      </c>
      <c r="AA101" s="134"/>
      <c r="AB101" s="135" t="e">
        <f ca="1">Overview!$I$16 + IF(Magic!AE101&gt;0,Constants!$F$78) + ROUND(6*(Construction!BM102+Construction!CK101)/IF(Explore!S102&gt;0,Construction!F102-20,Construction!F102),4) + tech_6_5_2*Techs!BJ101 + tech_8_4*Techs!BT101</f>
        <v>#REF!</v>
      </c>
      <c r="AC101" s="132" t="e">
        <f ca="1">(Overview!$I$15 + Imps!Z101+ tech_2_5*Techs!AB101 + tech_3_6*Techs!AM101 + tech_6_1*Techs!BJ101 + tech_6_5*Techs!BF101 + tech_7_3_2*Techs!BN101) * (1 + Production!O101/100*prestige_pop_multiplier) + Production!O101/100*prestige_pop_multiplier</f>
        <v>#REF!</v>
      </c>
    </row>
    <row r="102" spans="1:29" x14ac:dyDescent="0.25">
      <c r="A102" s="130" t="e">
        <f>#REF!</f>
        <v>#REF!</v>
      </c>
      <c r="B102" s="131" t="e">
        <f>#REF!</f>
        <v>#REF!</v>
      </c>
      <c r="C102" s="39" t="e">
        <f ca="1">OFFSET(#REF!,-1,0)+OFFSET(#REF!,-1,0)+#REF!</f>
        <v>#REF!</v>
      </c>
      <c r="D102" s="39" t="e">
        <f>#REF!</f>
        <v>#REF!</v>
      </c>
      <c r="E102" s="39" t="e">
        <f>#REF!</f>
        <v>#REF!</v>
      </c>
      <c r="F102" s="39" t="e">
        <f>#REF!+#REF!</f>
        <v>#REF!</v>
      </c>
      <c r="G102" s="132" t="e">
        <f>#REF!/#REF!</f>
        <v>#REF!</v>
      </c>
      <c r="H102" s="39" t="e">
        <f>MIN(#REF!,#REF!)</f>
        <v>#REF!</v>
      </c>
      <c r="I102" s="132" t="e">
        <f ca="1">MIN(OFFSET(#REF!,1,0)/#REF!,1)</f>
        <v>#REF!</v>
      </c>
      <c r="J102" s="39" t="e">
        <f>SUM(#REF!,#REF!,#REF!,#REF!)*building_employment +#REF!* bonus_jobs_facts</f>
        <v>#REF!</v>
      </c>
      <c r="K102" s="133"/>
      <c r="L102" s="61" t="e">
        <f>#REF!</f>
        <v>#REF!</v>
      </c>
      <c r="M102" s="61" t="e">
        <f>#REF!</f>
        <v>#REF!</v>
      </c>
      <c r="N102" s="61" t="e">
        <f>#REF!</f>
        <v>#REF!</v>
      </c>
      <c r="O102" s="61" t="e">
        <f>#REF!</f>
        <v>#REF!</v>
      </c>
      <c r="P102" s="61" t="e">
        <f>#REF!</f>
        <v>#REF!</v>
      </c>
      <c r="Q102" s="61" t="e">
        <f>#REF!</f>
        <v>#REF!</v>
      </c>
      <c r="R102" s="61" t="e">
        <f>#REF!</f>
        <v>#REF!</v>
      </c>
      <c r="S102" s="61" t="e">
        <f>#REF!</f>
        <v>#REF!</v>
      </c>
      <c r="T102" s="134"/>
      <c r="U102" s="39" t="e">
        <f>ROUND(#REF!*(1+#REF!),0)+MIN(#REF!-#REF!-SUM(#REF!),(barracks_size + tech_8_3*#REF!)*#REF!)</f>
        <v>#REF!</v>
      </c>
      <c r="V102" s="39" t="e">
        <f>(#REF!+#REF!)*pop_in_home+(SUM(#REF!)+#REF!-#REF!)*pop_in_building+(SUM(#REF!)-#REF!*20)*pop_on_barren-(SUM(#REF!)-SUM(#REF!))*(15-pop_on_barren)-pop_on_barren*#REF!</f>
        <v>#REF!</v>
      </c>
      <c r="W102" s="39" t="e">
        <f ca="1">MAX(-5%*#REF!-#REF!,MIN(OFFSET(#REF!,1,0)-#REF!-#REF!-#REF!,#REF!-#REF!))</f>
        <v>#REF!</v>
      </c>
      <c r="X102" s="39" t="e">
        <f>ROUND(#REF!*(1+#REF!),0)</f>
        <v>#REF!</v>
      </c>
      <c r="Y102" s="39" t="e">
        <f>(#REF!-#REF!)*raw_pop_growth</f>
        <v>#REF!</v>
      </c>
      <c r="Z102" s="39" t="e">
        <f>IF(#REF!&lt;#REF!,ROUND(#REF!*Constants!$B$55,0), 0)</f>
        <v>#REF!</v>
      </c>
      <c r="AA102" s="134"/>
      <c r="AB102" s="135" t="e">
        <f ca="1">Overview!$I$16 + IF(Magic!AE102&gt;0,Constants!$F$78) + ROUND(6*(Construction!BM103+Construction!CK102)/IF(Explore!S103&gt;0,Construction!F103-20,Construction!F103),4) + tech_6_5_2*Techs!BJ102 + tech_8_4*Techs!BT102</f>
        <v>#REF!</v>
      </c>
      <c r="AC102" s="132" t="e">
        <f ca="1">(Overview!$I$15 + Imps!Z102+ tech_2_5*Techs!AB102 + tech_3_6*Techs!AM102 + tech_6_1*Techs!BJ102 + tech_6_5*Techs!BF102 + tech_7_3_2*Techs!BN102) * (1 + Production!O102/100*prestige_pop_multiplier) + Production!O102/100*prestige_pop_multiplier</f>
        <v>#REF!</v>
      </c>
    </row>
    <row r="103" spans="1:29" x14ac:dyDescent="0.25">
      <c r="A103" s="130" t="e">
        <f>#REF!</f>
        <v>#REF!</v>
      </c>
      <c r="B103" s="131" t="e">
        <f>#REF!</f>
        <v>#REF!</v>
      </c>
      <c r="C103" s="39" t="e">
        <f ca="1">OFFSET(#REF!,-1,0)+OFFSET(#REF!,-1,0)+#REF!</f>
        <v>#REF!</v>
      </c>
      <c r="D103" s="39" t="e">
        <f>#REF!</f>
        <v>#REF!</v>
      </c>
      <c r="E103" s="39" t="e">
        <f>#REF!</f>
        <v>#REF!</v>
      </c>
      <c r="F103" s="39" t="e">
        <f>#REF!+#REF!</f>
        <v>#REF!</v>
      </c>
      <c r="G103" s="132" t="e">
        <f>#REF!/#REF!</f>
        <v>#REF!</v>
      </c>
      <c r="H103" s="39" t="e">
        <f>MIN(#REF!,#REF!)</f>
        <v>#REF!</v>
      </c>
      <c r="I103" s="132" t="e">
        <f ca="1">MIN(OFFSET(#REF!,1,0)/#REF!,1)</f>
        <v>#REF!</v>
      </c>
      <c r="J103" s="39" t="e">
        <f>SUM(#REF!,#REF!,#REF!,#REF!)*building_employment +#REF!* bonus_jobs_facts</f>
        <v>#REF!</v>
      </c>
      <c r="K103" s="133"/>
      <c r="L103" s="61" t="e">
        <f>#REF!</f>
        <v>#REF!</v>
      </c>
      <c r="M103" s="61" t="e">
        <f>#REF!</f>
        <v>#REF!</v>
      </c>
      <c r="N103" s="61" t="e">
        <f>#REF!</f>
        <v>#REF!</v>
      </c>
      <c r="O103" s="61" t="e">
        <f>#REF!</f>
        <v>#REF!</v>
      </c>
      <c r="P103" s="61" t="e">
        <f>#REF!</f>
        <v>#REF!</v>
      </c>
      <c r="Q103" s="61" t="e">
        <f>#REF!</f>
        <v>#REF!</v>
      </c>
      <c r="R103" s="61" t="e">
        <f>#REF!</f>
        <v>#REF!</v>
      </c>
      <c r="S103" s="61" t="e">
        <f>#REF!</f>
        <v>#REF!</v>
      </c>
      <c r="T103" s="134"/>
      <c r="U103" s="39" t="e">
        <f>ROUND(#REF!*(1+#REF!),0)+MIN(#REF!-#REF!-SUM(#REF!),(barracks_size + tech_8_3*#REF!)*#REF!)</f>
        <v>#REF!</v>
      </c>
      <c r="V103" s="39" t="e">
        <f>(#REF!+#REF!)*pop_in_home+(SUM(#REF!)+#REF!-#REF!)*pop_in_building+(SUM(#REF!)-#REF!*20)*pop_on_barren-(SUM(#REF!)-SUM(#REF!))*(15-pop_on_barren)-pop_on_barren*#REF!</f>
        <v>#REF!</v>
      </c>
      <c r="W103" s="39" t="e">
        <f ca="1">MAX(-5%*#REF!-#REF!,MIN(OFFSET(#REF!,1,0)-#REF!-#REF!-#REF!,#REF!-#REF!))</f>
        <v>#REF!</v>
      </c>
      <c r="X103" s="39" t="e">
        <f>ROUND(#REF!*(1+#REF!),0)</f>
        <v>#REF!</v>
      </c>
      <c r="Y103" s="39" t="e">
        <f>(#REF!-#REF!)*raw_pop_growth</f>
        <v>#REF!</v>
      </c>
      <c r="Z103" s="39" t="e">
        <f>IF(#REF!&lt;#REF!,ROUND(#REF!*Constants!$B$55,0), 0)</f>
        <v>#REF!</v>
      </c>
      <c r="AA103" s="134"/>
      <c r="AB103" s="135" t="e">
        <f ca="1">Overview!$I$16 + IF(Magic!AE103&gt;0,Constants!$F$78) + ROUND(6*(Construction!BM104+Construction!CK103)/IF(Explore!S104&gt;0,Construction!F104-20,Construction!F104),4) + tech_6_5_2*Techs!BJ103 + tech_8_4*Techs!BT103</f>
        <v>#REF!</v>
      </c>
      <c r="AC103" s="132" t="e">
        <f ca="1">(Overview!$I$15 + Imps!Z103+ tech_2_5*Techs!AB103 + tech_3_6*Techs!AM103 + tech_6_1*Techs!BJ103 + tech_6_5*Techs!BF103 + tech_7_3_2*Techs!BN103) * (1 + Production!O103/100*prestige_pop_multiplier) + Production!O103/100*prestige_pop_multiplier</f>
        <v>#REF!</v>
      </c>
    </row>
    <row r="104" spans="1:29" x14ac:dyDescent="0.25">
      <c r="A104" s="130" t="e">
        <f>#REF!</f>
        <v>#REF!</v>
      </c>
      <c r="B104" s="131" t="e">
        <f>#REF!</f>
        <v>#REF!</v>
      </c>
      <c r="C104" s="39" t="e">
        <f ca="1">OFFSET(#REF!,-1,0)+OFFSET(#REF!,-1,0)+#REF!</f>
        <v>#REF!</v>
      </c>
      <c r="D104" s="39" t="e">
        <f>#REF!</f>
        <v>#REF!</v>
      </c>
      <c r="E104" s="39" t="e">
        <f>#REF!</f>
        <v>#REF!</v>
      </c>
      <c r="F104" s="39" t="e">
        <f>#REF!+#REF!</f>
        <v>#REF!</v>
      </c>
      <c r="G104" s="132" t="e">
        <f>#REF!/#REF!</f>
        <v>#REF!</v>
      </c>
      <c r="H104" s="39" t="e">
        <f>MIN(#REF!,#REF!)</f>
        <v>#REF!</v>
      </c>
      <c r="I104" s="132" t="e">
        <f ca="1">MIN(OFFSET(#REF!,1,0)/#REF!,1)</f>
        <v>#REF!</v>
      </c>
      <c r="J104" s="39" t="e">
        <f>SUM(#REF!,#REF!,#REF!,#REF!)*building_employment +#REF!* bonus_jobs_facts</f>
        <v>#REF!</v>
      </c>
      <c r="K104" s="133"/>
      <c r="L104" s="61" t="e">
        <f>#REF!</f>
        <v>#REF!</v>
      </c>
      <c r="M104" s="61" t="e">
        <f>#REF!</f>
        <v>#REF!</v>
      </c>
      <c r="N104" s="61" t="e">
        <f>#REF!</f>
        <v>#REF!</v>
      </c>
      <c r="O104" s="61" t="e">
        <f>#REF!</f>
        <v>#REF!</v>
      </c>
      <c r="P104" s="61" t="e">
        <f>#REF!</f>
        <v>#REF!</v>
      </c>
      <c r="Q104" s="61" t="e">
        <f>#REF!</f>
        <v>#REF!</v>
      </c>
      <c r="R104" s="61" t="e">
        <f>#REF!</f>
        <v>#REF!</v>
      </c>
      <c r="S104" s="61" t="e">
        <f>#REF!</f>
        <v>#REF!</v>
      </c>
      <c r="T104" s="134"/>
      <c r="U104" s="39" t="e">
        <f>ROUND(#REF!*(1+#REF!),0)+MIN(#REF!-#REF!-SUM(#REF!),(barracks_size + tech_8_3*#REF!)*#REF!)</f>
        <v>#REF!</v>
      </c>
      <c r="V104" s="39" t="e">
        <f>(#REF!+#REF!)*pop_in_home+(SUM(#REF!)+#REF!-#REF!)*pop_in_building+(SUM(#REF!)-#REF!*20)*pop_on_barren-(SUM(#REF!)-SUM(#REF!))*(15-pop_on_barren)-pop_on_barren*#REF!</f>
        <v>#REF!</v>
      </c>
      <c r="W104" s="39" t="e">
        <f ca="1">MAX(-5%*#REF!-#REF!,MIN(OFFSET(#REF!,1,0)-#REF!-#REF!-#REF!,#REF!-#REF!))</f>
        <v>#REF!</v>
      </c>
      <c r="X104" s="39" t="e">
        <f>ROUND(#REF!*(1+#REF!),0)</f>
        <v>#REF!</v>
      </c>
      <c r="Y104" s="39" t="e">
        <f>(#REF!-#REF!)*raw_pop_growth</f>
        <v>#REF!</v>
      </c>
      <c r="Z104" s="39" t="e">
        <f>IF(#REF!&lt;#REF!,ROUND(#REF!*Constants!$B$55,0), 0)</f>
        <v>#REF!</v>
      </c>
      <c r="AA104" s="134"/>
      <c r="AB104" s="135" t="e">
        <f ca="1">Overview!$I$16 + IF(Magic!AE104&gt;0,Constants!$F$78) + ROUND(6*(Construction!BM105+Construction!CK104)/IF(Explore!S105&gt;0,Construction!F105-20,Construction!F105),4) + tech_6_5_2*Techs!BJ104 + tech_8_4*Techs!BT104</f>
        <v>#REF!</v>
      </c>
      <c r="AC104" s="132" t="e">
        <f ca="1">(Overview!$I$15 + Imps!Z104+ tech_2_5*Techs!AB104 + tech_3_6*Techs!AM104 + tech_6_1*Techs!BJ104 + tech_6_5*Techs!BF104 + tech_7_3_2*Techs!BN104) * (1 + Production!O104/100*prestige_pop_multiplier) + Production!O104/100*prestige_pop_multiplier</f>
        <v>#REF!</v>
      </c>
    </row>
    <row r="105" spans="1:29" x14ac:dyDescent="0.25">
      <c r="A105" s="130" t="e">
        <f>#REF!</f>
        <v>#REF!</v>
      </c>
      <c r="B105" s="131" t="e">
        <f>#REF!</f>
        <v>#REF!</v>
      </c>
      <c r="C105" s="39" t="e">
        <f ca="1">OFFSET(#REF!,-1,0)+OFFSET(#REF!,-1,0)+#REF!</f>
        <v>#REF!</v>
      </c>
      <c r="D105" s="39" t="e">
        <f>#REF!</f>
        <v>#REF!</v>
      </c>
      <c r="E105" s="39" t="e">
        <f>#REF!</f>
        <v>#REF!</v>
      </c>
      <c r="F105" s="39" t="e">
        <f>#REF!+#REF!</f>
        <v>#REF!</v>
      </c>
      <c r="G105" s="132" t="e">
        <f>#REF!/#REF!</f>
        <v>#REF!</v>
      </c>
      <c r="H105" s="39" t="e">
        <f>MIN(#REF!,#REF!)</f>
        <v>#REF!</v>
      </c>
      <c r="I105" s="132" t="e">
        <f ca="1">MIN(OFFSET(#REF!,1,0)/#REF!,1)</f>
        <v>#REF!</v>
      </c>
      <c r="J105" s="39" t="e">
        <f>SUM(#REF!,#REF!,#REF!,#REF!)*building_employment +#REF!* bonus_jobs_facts</f>
        <v>#REF!</v>
      </c>
      <c r="K105" s="133"/>
      <c r="L105" s="61" t="e">
        <f>#REF!</f>
        <v>#REF!</v>
      </c>
      <c r="M105" s="61" t="e">
        <f>#REF!</f>
        <v>#REF!</v>
      </c>
      <c r="N105" s="61" t="e">
        <f>#REF!</f>
        <v>#REF!</v>
      </c>
      <c r="O105" s="61" t="e">
        <f>#REF!</f>
        <v>#REF!</v>
      </c>
      <c r="P105" s="61" t="e">
        <f>#REF!</f>
        <v>#REF!</v>
      </c>
      <c r="Q105" s="61" t="e">
        <f>#REF!</f>
        <v>#REF!</v>
      </c>
      <c r="R105" s="61" t="e">
        <f>#REF!</f>
        <v>#REF!</v>
      </c>
      <c r="S105" s="61" t="e">
        <f>#REF!</f>
        <v>#REF!</v>
      </c>
      <c r="T105" s="134"/>
      <c r="U105" s="39" t="e">
        <f>ROUND(#REF!*(1+#REF!),0)+MIN(#REF!-#REF!-SUM(#REF!),(barracks_size + tech_8_3*#REF!)*#REF!)</f>
        <v>#REF!</v>
      </c>
      <c r="V105" s="39" t="e">
        <f>(#REF!+#REF!)*pop_in_home+(SUM(#REF!)+#REF!-#REF!)*pop_in_building+(SUM(#REF!)-#REF!*20)*pop_on_barren-(SUM(#REF!)-SUM(#REF!))*(15-pop_on_barren)-pop_on_barren*#REF!</f>
        <v>#REF!</v>
      </c>
      <c r="W105" s="39" t="e">
        <f ca="1">MAX(-5%*#REF!-#REF!,MIN(OFFSET(#REF!,1,0)-#REF!-#REF!-#REF!,#REF!-#REF!))</f>
        <v>#REF!</v>
      </c>
      <c r="X105" s="39" t="e">
        <f>ROUND(#REF!*(1+#REF!),0)</f>
        <v>#REF!</v>
      </c>
      <c r="Y105" s="39" t="e">
        <f>(#REF!-#REF!)*raw_pop_growth</f>
        <v>#REF!</v>
      </c>
      <c r="Z105" s="39" t="e">
        <f>IF(#REF!&lt;#REF!,ROUND(#REF!*Constants!$B$55,0), 0)</f>
        <v>#REF!</v>
      </c>
      <c r="AA105" s="134"/>
      <c r="AB105" s="135" t="e">
        <f ca="1">Overview!$I$16 + IF(Magic!AE105&gt;0,Constants!$F$78) + ROUND(6*(Construction!BM106+Construction!CK105)/IF(Explore!S106&gt;0,Construction!F106-20,Construction!F106),4) + tech_6_5_2*Techs!BJ105 + tech_8_4*Techs!BT105</f>
        <v>#REF!</v>
      </c>
      <c r="AC105" s="132" t="e">
        <f ca="1">(Overview!$I$15 + Imps!Z105+ tech_2_5*Techs!AB105 + tech_3_6*Techs!AM105 + tech_6_1*Techs!BJ105 + tech_6_5*Techs!BF105 + tech_7_3_2*Techs!BN105) * (1 + Production!O105/100*prestige_pop_multiplier) + Production!O105/100*prestige_pop_multiplier</f>
        <v>#REF!</v>
      </c>
    </row>
    <row r="106" spans="1:29" x14ac:dyDescent="0.25">
      <c r="A106" s="130" t="e">
        <f>#REF!</f>
        <v>#REF!</v>
      </c>
      <c r="B106" s="131" t="e">
        <f>#REF!</f>
        <v>#REF!</v>
      </c>
      <c r="C106" s="39" t="e">
        <f ca="1">OFFSET(#REF!,-1,0)+OFFSET(#REF!,-1,0)+#REF!</f>
        <v>#REF!</v>
      </c>
      <c r="D106" s="39" t="e">
        <f>#REF!</f>
        <v>#REF!</v>
      </c>
      <c r="E106" s="39" t="e">
        <f>#REF!</f>
        <v>#REF!</v>
      </c>
      <c r="F106" s="39" t="e">
        <f>#REF!+#REF!</f>
        <v>#REF!</v>
      </c>
      <c r="G106" s="132" t="e">
        <f>#REF!/#REF!</f>
        <v>#REF!</v>
      </c>
      <c r="H106" s="39" t="e">
        <f>MIN(#REF!,#REF!)</f>
        <v>#REF!</v>
      </c>
      <c r="I106" s="132" t="e">
        <f ca="1">MIN(OFFSET(#REF!,1,0)/#REF!,1)</f>
        <v>#REF!</v>
      </c>
      <c r="J106" s="39" t="e">
        <f>SUM(#REF!,#REF!,#REF!,#REF!)*building_employment +#REF!* bonus_jobs_facts</f>
        <v>#REF!</v>
      </c>
      <c r="K106" s="133"/>
      <c r="L106" s="61" t="e">
        <f>#REF!</f>
        <v>#REF!</v>
      </c>
      <c r="M106" s="61" t="e">
        <f>#REF!</f>
        <v>#REF!</v>
      </c>
      <c r="N106" s="61" t="e">
        <f>#REF!</f>
        <v>#REF!</v>
      </c>
      <c r="O106" s="61" t="e">
        <f>#REF!</f>
        <v>#REF!</v>
      </c>
      <c r="P106" s="61" t="e">
        <f>#REF!</f>
        <v>#REF!</v>
      </c>
      <c r="Q106" s="61" t="e">
        <f>#REF!</f>
        <v>#REF!</v>
      </c>
      <c r="R106" s="61" t="e">
        <f>#REF!</f>
        <v>#REF!</v>
      </c>
      <c r="S106" s="61" t="e">
        <f>#REF!</f>
        <v>#REF!</v>
      </c>
      <c r="T106" s="134"/>
      <c r="U106" s="39" t="e">
        <f>ROUND(#REF!*(1+#REF!),0)+MIN(#REF!-#REF!-SUM(#REF!),(barracks_size + tech_8_3*#REF!)*#REF!)</f>
        <v>#REF!</v>
      </c>
      <c r="V106" s="39" t="e">
        <f>(#REF!+#REF!)*pop_in_home+(SUM(#REF!)+#REF!-#REF!)*pop_in_building+(SUM(#REF!)-#REF!*20)*pop_on_barren-(SUM(#REF!)-SUM(#REF!))*(15-pop_on_barren)-pop_on_barren*#REF!</f>
        <v>#REF!</v>
      </c>
      <c r="W106" s="39" t="e">
        <f ca="1">MAX(-5%*#REF!-#REF!,MIN(OFFSET(#REF!,1,0)-#REF!-#REF!-#REF!,#REF!-#REF!))</f>
        <v>#REF!</v>
      </c>
      <c r="X106" s="39" t="e">
        <f>ROUND(#REF!*(1+#REF!),0)</f>
        <v>#REF!</v>
      </c>
      <c r="Y106" s="39" t="e">
        <f>(#REF!-#REF!)*raw_pop_growth</f>
        <v>#REF!</v>
      </c>
      <c r="Z106" s="39" t="e">
        <f>IF(#REF!&lt;#REF!,ROUND(#REF!*Constants!$B$55,0), 0)</f>
        <v>#REF!</v>
      </c>
      <c r="AA106" s="134"/>
      <c r="AB106" s="135" t="e">
        <f ca="1">Overview!$I$16 + IF(Magic!AE106&gt;0,Constants!$F$78) + ROUND(6*(Construction!BM107+Construction!CK106)/IF(Explore!S107&gt;0,Construction!F107-20,Construction!F107),4) + tech_6_5_2*Techs!BJ106 + tech_8_4*Techs!BT106</f>
        <v>#REF!</v>
      </c>
      <c r="AC106" s="132" t="e">
        <f ca="1">(Overview!$I$15 + Imps!Z106+ tech_2_5*Techs!AB106 + tech_3_6*Techs!AM106 + tech_6_1*Techs!BJ106 + tech_6_5*Techs!BF106 + tech_7_3_2*Techs!BN106) * (1 + Production!O106/100*prestige_pop_multiplier) + Production!O106/100*prestige_pop_multiplier</f>
        <v>#REF!</v>
      </c>
    </row>
    <row r="107" spans="1:29" x14ac:dyDescent="0.25">
      <c r="A107" s="130" t="e">
        <f>#REF!</f>
        <v>#REF!</v>
      </c>
      <c r="B107" s="131" t="e">
        <f>#REF!</f>
        <v>#REF!</v>
      </c>
      <c r="C107" s="39" t="e">
        <f ca="1">OFFSET(#REF!,-1,0)+OFFSET(#REF!,-1,0)+#REF!</f>
        <v>#REF!</v>
      </c>
      <c r="D107" s="39" t="e">
        <f>#REF!</f>
        <v>#REF!</v>
      </c>
      <c r="E107" s="39" t="e">
        <f>#REF!</f>
        <v>#REF!</v>
      </c>
      <c r="F107" s="39" t="e">
        <f>#REF!+#REF!</f>
        <v>#REF!</v>
      </c>
      <c r="G107" s="132" t="e">
        <f>#REF!/#REF!</f>
        <v>#REF!</v>
      </c>
      <c r="H107" s="39" t="e">
        <f>MIN(#REF!,#REF!)</f>
        <v>#REF!</v>
      </c>
      <c r="I107" s="132" t="e">
        <f ca="1">MIN(OFFSET(#REF!,1,0)/#REF!,1)</f>
        <v>#REF!</v>
      </c>
      <c r="J107" s="39" t="e">
        <f>SUM(#REF!,#REF!,#REF!,#REF!)*building_employment +#REF!* bonus_jobs_facts</f>
        <v>#REF!</v>
      </c>
      <c r="K107" s="133"/>
      <c r="L107" s="61" t="e">
        <f>#REF!</f>
        <v>#REF!</v>
      </c>
      <c r="M107" s="61" t="e">
        <f>#REF!</f>
        <v>#REF!</v>
      </c>
      <c r="N107" s="61" t="e">
        <f>#REF!</f>
        <v>#REF!</v>
      </c>
      <c r="O107" s="61" t="e">
        <f>#REF!</f>
        <v>#REF!</v>
      </c>
      <c r="P107" s="61" t="e">
        <f>#REF!</f>
        <v>#REF!</v>
      </c>
      <c r="Q107" s="61" t="e">
        <f>#REF!</f>
        <v>#REF!</v>
      </c>
      <c r="R107" s="61" t="e">
        <f>#REF!</f>
        <v>#REF!</v>
      </c>
      <c r="S107" s="61" t="e">
        <f>#REF!</f>
        <v>#REF!</v>
      </c>
      <c r="T107" s="134"/>
      <c r="U107" s="39" t="e">
        <f>ROUND(#REF!*(1+#REF!),0)+MIN(#REF!-#REF!-SUM(#REF!),(barracks_size + tech_8_3*#REF!)*#REF!)</f>
        <v>#REF!</v>
      </c>
      <c r="V107" s="39" t="e">
        <f>(#REF!+#REF!)*pop_in_home+(SUM(#REF!)+#REF!-#REF!)*pop_in_building+(SUM(#REF!)-#REF!*20)*pop_on_barren-(SUM(#REF!)-SUM(#REF!))*(15-pop_on_barren)-pop_on_barren*#REF!</f>
        <v>#REF!</v>
      </c>
      <c r="W107" s="39" t="e">
        <f ca="1">MAX(-5%*#REF!-#REF!,MIN(OFFSET(#REF!,1,0)-#REF!-#REF!-#REF!,#REF!-#REF!))</f>
        <v>#REF!</v>
      </c>
      <c r="X107" s="39" t="e">
        <f>ROUND(#REF!*(1+#REF!),0)</f>
        <v>#REF!</v>
      </c>
      <c r="Y107" s="39" t="e">
        <f>(#REF!-#REF!)*raw_pop_growth</f>
        <v>#REF!</v>
      </c>
      <c r="Z107" s="39" t="e">
        <f>IF(#REF!&lt;#REF!,ROUND(#REF!*Constants!$B$55,0), 0)</f>
        <v>#REF!</v>
      </c>
      <c r="AA107" s="134"/>
      <c r="AB107" s="135" t="e">
        <f ca="1">Overview!$I$16 + IF(Magic!AE107&gt;0,Constants!$F$78) + ROUND(6*(Construction!BM108+Construction!CK107)/IF(Explore!S108&gt;0,Construction!F108-20,Construction!F108),4) + tech_6_5_2*Techs!BJ107 + tech_8_4*Techs!BT107</f>
        <v>#REF!</v>
      </c>
      <c r="AC107" s="132" t="e">
        <f ca="1">(Overview!$I$15 + Imps!Z107+ tech_2_5*Techs!AB107 + tech_3_6*Techs!AM107 + tech_6_1*Techs!BJ107 + tech_6_5*Techs!BF107 + tech_7_3_2*Techs!BN107) * (1 + Production!O107/100*prestige_pop_multiplier) + Production!O107/100*prestige_pop_multiplier</f>
        <v>#REF!</v>
      </c>
    </row>
    <row r="108" spans="1:29" x14ac:dyDescent="0.25">
      <c r="A108" s="130" t="e">
        <f>#REF!</f>
        <v>#REF!</v>
      </c>
      <c r="B108" s="131" t="e">
        <f>#REF!</f>
        <v>#REF!</v>
      </c>
      <c r="C108" s="39" t="e">
        <f ca="1">OFFSET(#REF!,-1,0)+OFFSET(#REF!,-1,0)+#REF!</f>
        <v>#REF!</v>
      </c>
      <c r="D108" s="39" t="e">
        <f>#REF!</f>
        <v>#REF!</v>
      </c>
      <c r="E108" s="39" t="e">
        <f>#REF!</f>
        <v>#REF!</v>
      </c>
      <c r="F108" s="39" t="e">
        <f>#REF!+#REF!</f>
        <v>#REF!</v>
      </c>
      <c r="G108" s="132" t="e">
        <f>#REF!/#REF!</f>
        <v>#REF!</v>
      </c>
      <c r="H108" s="39" t="e">
        <f>MIN(#REF!,#REF!)</f>
        <v>#REF!</v>
      </c>
      <c r="I108" s="132" t="e">
        <f ca="1">MIN(OFFSET(#REF!,1,0)/#REF!,1)</f>
        <v>#REF!</v>
      </c>
      <c r="J108" s="39" t="e">
        <f>SUM(#REF!,#REF!,#REF!,#REF!)*building_employment +#REF!* bonus_jobs_facts</f>
        <v>#REF!</v>
      </c>
      <c r="K108" s="133"/>
      <c r="L108" s="61" t="e">
        <f>#REF!</f>
        <v>#REF!</v>
      </c>
      <c r="M108" s="61" t="e">
        <f>#REF!</f>
        <v>#REF!</v>
      </c>
      <c r="N108" s="61" t="e">
        <f>#REF!</f>
        <v>#REF!</v>
      </c>
      <c r="O108" s="61" t="e">
        <f>#REF!</f>
        <v>#REF!</v>
      </c>
      <c r="P108" s="61" t="e">
        <f>#REF!</f>
        <v>#REF!</v>
      </c>
      <c r="Q108" s="61" t="e">
        <f>#REF!</f>
        <v>#REF!</v>
      </c>
      <c r="R108" s="61" t="e">
        <f>#REF!</f>
        <v>#REF!</v>
      </c>
      <c r="S108" s="61" t="e">
        <f>#REF!</f>
        <v>#REF!</v>
      </c>
      <c r="T108" s="134"/>
      <c r="U108" s="39" t="e">
        <f>ROUND(#REF!*(1+#REF!),0)+MIN(#REF!-#REF!-SUM(#REF!),(barracks_size + tech_8_3*#REF!)*#REF!)</f>
        <v>#REF!</v>
      </c>
      <c r="V108" s="39" t="e">
        <f>(#REF!+#REF!)*pop_in_home+(SUM(#REF!)+#REF!-#REF!)*pop_in_building+(SUM(#REF!)-#REF!*20)*pop_on_barren-(SUM(#REF!)-SUM(#REF!))*(15-pop_on_barren)-pop_on_barren*#REF!</f>
        <v>#REF!</v>
      </c>
      <c r="W108" s="39" t="e">
        <f ca="1">MAX(-5%*#REF!-#REF!,MIN(OFFSET(#REF!,1,0)-#REF!-#REF!-#REF!,#REF!-#REF!))</f>
        <v>#REF!</v>
      </c>
      <c r="X108" s="39" t="e">
        <f>ROUND(#REF!*(1+#REF!),0)</f>
        <v>#REF!</v>
      </c>
      <c r="Y108" s="39" t="e">
        <f>(#REF!-#REF!)*raw_pop_growth</f>
        <v>#REF!</v>
      </c>
      <c r="Z108" s="39" t="e">
        <f>IF(#REF!&lt;#REF!,ROUND(#REF!*Constants!$B$55,0), 0)</f>
        <v>#REF!</v>
      </c>
      <c r="AA108" s="134"/>
      <c r="AB108" s="135" t="e">
        <f ca="1">Overview!$I$16 + IF(Magic!AE108&gt;0,Constants!$F$78) + ROUND(6*(Construction!BM109+Construction!CK108)/IF(Explore!S109&gt;0,Construction!F109-20,Construction!F109),4) + tech_6_5_2*Techs!BJ108 + tech_8_4*Techs!BT108</f>
        <v>#REF!</v>
      </c>
      <c r="AC108" s="132" t="e">
        <f ca="1">(Overview!$I$15 + Imps!Z108+ tech_2_5*Techs!AB108 + tech_3_6*Techs!AM108 + tech_6_1*Techs!BJ108 + tech_6_5*Techs!BF108 + tech_7_3_2*Techs!BN108) * (1 + Production!O108/100*prestige_pop_multiplier) + Production!O108/100*prestige_pop_multiplier</f>
        <v>#REF!</v>
      </c>
    </row>
    <row r="109" spans="1:29" x14ac:dyDescent="0.25">
      <c r="A109" s="130" t="e">
        <f>#REF!</f>
        <v>#REF!</v>
      </c>
      <c r="B109" s="131" t="e">
        <f>#REF!</f>
        <v>#REF!</v>
      </c>
      <c r="C109" s="39" t="e">
        <f ca="1">OFFSET(#REF!,-1,0)+OFFSET(#REF!,-1,0)+#REF!</f>
        <v>#REF!</v>
      </c>
      <c r="D109" s="39" t="e">
        <f>#REF!</f>
        <v>#REF!</v>
      </c>
      <c r="E109" s="39" t="e">
        <f>#REF!</f>
        <v>#REF!</v>
      </c>
      <c r="F109" s="39" t="e">
        <f>#REF!+#REF!</f>
        <v>#REF!</v>
      </c>
      <c r="G109" s="132" t="e">
        <f>#REF!/#REF!</f>
        <v>#REF!</v>
      </c>
      <c r="H109" s="39" t="e">
        <f>MIN(#REF!,#REF!)</f>
        <v>#REF!</v>
      </c>
      <c r="I109" s="132" t="e">
        <f ca="1">MIN(OFFSET(#REF!,1,0)/#REF!,1)</f>
        <v>#REF!</v>
      </c>
      <c r="J109" s="39" t="e">
        <f>SUM(#REF!,#REF!,#REF!,#REF!)*building_employment +#REF!* bonus_jobs_facts</f>
        <v>#REF!</v>
      </c>
      <c r="K109" s="133"/>
      <c r="L109" s="61" t="e">
        <f>#REF!</f>
        <v>#REF!</v>
      </c>
      <c r="M109" s="61" t="e">
        <f>#REF!</f>
        <v>#REF!</v>
      </c>
      <c r="N109" s="61" t="e">
        <f>#REF!</f>
        <v>#REF!</v>
      </c>
      <c r="O109" s="61" t="e">
        <f>#REF!</f>
        <v>#REF!</v>
      </c>
      <c r="P109" s="61" t="e">
        <f>#REF!</f>
        <v>#REF!</v>
      </c>
      <c r="Q109" s="61" t="e">
        <f>#REF!</f>
        <v>#REF!</v>
      </c>
      <c r="R109" s="61" t="e">
        <f>#REF!</f>
        <v>#REF!</v>
      </c>
      <c r="S109" s="61" t="e">
        <f>#REF!</f>
        <v>#REF!</v>
      </c>
      <c r="T109" s="134"/>
      <c r="U109" s="39" t="e">
        <f>ROUND(#REF!*(1+#REF!),0)+MIN(#REF!-#REF!-SUM(#REF!),(barracks_size + tech_8_3*#REF!)*#REF!)</f>
        <v>#REF!</v>
      </c>
      <c r="V109" s="39" t="e">
        <f>(#REF!+#REF!)*pop_in_home+(SUM(#REF!)+#REF!-#REF!)*pop_in_building+(SUM(#REF!)-#REF!*20)*pop_on_barren-(SUM(#REF!)-SUM(#REF!))*(15-pop_on_barren)-pop_on_barren*#REF!</f>
        <v>#REF!</v>
      </c>
      <c r="W109" s="39" t="e">
        <f ca="1">MAX(-5%*#REF!-#REF!,MIN(OFFSET(#REF!,1,0)-#REF!-#REF!-#REF!,#REF!-#REF!))</f>
        <v>#REF!</v>
      </c>
      <c r="X109" s="39" t="e">
        <f>ROUND(#REF!*(1+#REF!),0)</f>
        <v>#REF!</v>
      </c>
      <c r="Y109" s="39" t="e">
        <f>(#REF!-#REF!)*raw_pop_growth</f>
        <v>#REF!</v>
      </c>
      <c r="Z109" s="39" t="e">
        <f>IF(#REF!&lt;#REF!,ROUND(#REF!*Constants!$B$55,0), 0)</f>
        <v>#REF!</v>
      </c>
      <c r="AA109" s="134"/>
      <c r="AB109" s="135" t="e">
        <f ca="1">Overview!$I$16 + IF(Magic!AE109&gt;0,Constants!$F$78) + ROUND(6*(Construction!BM110+Construction!CK109)/IF(Explore!S110&gt;0,Construction!F110-20,Construction!F110),4) + tech_6_5_2*Techs!BJ109 + tech_8_4*Techs!BT109</f>
        <v>#REF!</v>
      </c>
      <c r="AC109" s="132" t="e">
        <f ca="1">(Overview!$I$15 + Imps!Z109+ tech_2_5*Techs!AB109 + tech_3_6*Techs!AM109 + tech_6_1*Techs!BJ109 + tech_6_5*Techs!BF109 + tech_7_3_2*Techs!BN109) * (1 + Production!O109/100*prestige_pop_multiplier) + Production!O109/100*prestige_pop_multiplier</f>
        <v>#REF!</v>
      </c>
    </row>
    <row r="110" spans="1:29" x14ac:dyDescent="0.25">
      <c r="A110" s="130" t="e">
        <f>#REF!</f>
        <v>#REF!</v>
      </c>
      <c r="B110" s="131" t="e">
        <f>#REF!</f>
        <v>#REF!</v>
      </c>
      <c r="C110" s="39" t="e">
        <f ca="1">OFFSET(#REF!,-1,0)+OFFSET(#REF!,-1,0)+#REF!</f>
        <v>#REF!</v>
      </c>
      <c r="D110" s="39" t="e">
        <f>#REF!</f>
        <v>#REF!</v>
      </c>
      <c r="E110" s="39" t="e">
        <f>#REF!</f>
        <v>#REF!</v>
      </c>
      <c r="F110" s="39" t="e">
        <f>#REF!+#REF!</f>
        <v>#REF!</v>
      </c>
      <c r="G110" s="132" t="e">
        <f>#REF!/#REF!</f>
        <v>#REF!</v>
      </c>
      <c r="H110" s="39" t="e">
        <f>MIN(#REF!,#REF!)</f>
        <v>#REF!</v>
      </c>
      <c r="I110" s="132" t="e">
        <f ca="1">MIN(OFFSET(#REF!,1,0)/#REF!,1)</f>
        <v>#REF!</v>
      </c>
      <c r="J110" s="39" t="e">
        <f>SUM(#REF!,#REF!,#REF!,#REF!)*building_employment +#REF!* bonus_jobs_facts</f>
        <v>#REF!</v>
      </c>
      <c r="K110" s="133"/>
      <c r="L110" s="61" t="e">
        <f>#REF!</f>
        <v>#REF!</v>
      </c>
      <c r="M110" s="61" t="e">
        <f>#REF!</f>
        <v>#REF!</v>
      </c>
      <c r="N110" s="61" t="e">
        <f>#REF!</f>
        <v>#REF!</v>
      </c>
      <c r="O110" s="61" t="e">
        <f>#REF!</f>
        <v>#REF!</v>
      </c>
      <c r="P110" s="61" t="e">
        <f>#REF!</f>
        <v>#REF!</v>
      </c>
      <c r="Q110" s="61" t="e">
        <f>#REF!</f>
        <v>#REF!</v>
      </c>
      <c r="R110" s="61" t="e">
        <f>#REF!</f>
        <v>#REF!</v>
      </c>
      <c r="S110" s="61" t="e">
        <f>#REF!</f>
        <v>#REF!</v>
      </c>
      <c r="T110" s="134"/>
      <c r="U110" s="39" t="e">
        <f>ROUND(#REF!*(1+#REF!),0)+MIN(#REF!-#REF!-SUM(#REF!),(barracks_size + tech_8_3*#REF!)*#REF!)</f>
        <v>#REF!</v>
      </c>
      <c r="V110" s="39" t="e">
        <f>(#REF!+#REF!)*pop_in_home+(SUM(#REF!)+#REF!-#REF!)*pop_in_building+(SUM(#REF!)-#REF!*20)*pop_on_barren-(SUM(#REF!)-SUM(#REF!))*(15-pop_on_barren)-pop_on_barren*#REF!</f>
        <v>#REF!</v>
      </c>
      <c r="W110" s="39" t="e">
        <f ca="1">MAX(-5%*#REF!-#REF!,MIN(OFFSET(#REF!,1,0)-#REF!-#REF!-#REF!,#REF!-#REF!))</f>
        <v>#REF!</v>
      </c>
      <c r="X110" s="39" t="e">
        <f>ROUND(#REF!*(1+#REF!),0)</f>
        <v>#REF!</v>
      </c>
      <c r="Y110" s="39" t="e">
        <f>(#REF!-#REF!)*raw_pop_growth</f>
        <v>#REF!</v>
      </c>
      <c r="Z110" s="39" t="e">
        <f>IF(#REF!&lt;#REF!,ROUND(#REF!*Constants!$B$55,0), 0)</f>
        <v>#REF!</v>
      </c>
      <c r="AA110" s="134"/>
      <c r="AB110" s="135" t="e">
        <f ca="1">Overview!$I$16 + IF(Magic!AE110&gt;0,Constants!$F$78) + ROUND(6*(Construction!BM111+Construction!CK110)/IF(Explore!S111&gt;0,Construction!F111-20,Construction!F111),4) + tech_6_5_2*Techs!BJ110 + tech_8_4*Techs!BT110</f>
        <v>#REF!</v>
      </c>
      <c r="AC110" s="132" t="e">
        <f ca="1">(Overview!$I$15 + Imps!Z110+ tech_2_5*Techs!AB110 + tech_3_6*Techs!AM110 + tech_6_1*Techs!BJ110 + tech_6_5*Techs!BF110 + tech_7_3_2*Techs!BN110) * (1 + Production!O110/100*prestige_pop_multiplier) + Production!O110/100*prestige_pop_multiplier</f>
        <v>#REF!</v>
      </c>
    </row>
    <row r="111" spans="1:29" ht="13.5" customHeight="1" x14ac:dyDescent="0.25">
      <c r="A111" s="130" t="e">
        <f>#REF!</f>
        <v>#REF!</v>
      </c>
      <c r="B111" s="131" t="e">
        <f>#REF!</f>
        <v>#REF!</v>
      </c>
      <c r="C111" s="39" t="e">
        <f ca="1">OFFSET(#REF!,-1,0)+OFFSET(#REF!,-1,0)+#REF!</f>
        <v>#REF!</v>
      </c>
      <c r="D111" s="39" t="e">
        <f>#REF!</f>
        <v>#REF!</v>
      </c>
      <c r="E111" s="39" t="e">
        <f>#REF!</f>
        <v>#REF!</v>
      </c>
      <c r="F111" s="39" t="e">
        <f>#REF!+#REF!</f>
        <v>#REF!</v>
      </c>
      <c r="G111" s="132" t="e">
        <f>#REF!/#REF!</f>
        <v>#REF!</v>
      </c>
      <c r="H111" s="39" t="e">
        <f>MIN(#REF!,#REF!)</f>
        <v>#REF!</v>
      </c>
      <c r="I111" s="132" t="e">
        <f ca="1">MIN(OFFSET(#REF!,1,0)/#REF!,1)</f>
        <v>#REF!</v>
      </c>
      <c r="J111" s="39" t="e">
        <f>SUM(#REF!,#REF!,#REF!,#REF!)*building_employment +#REF!* bonus_jobs_facts</f>
        <v>#REF!</v>
      </c>
      <c r="K111" s="133"/>
      <c r="L111" s="61" t="e">
        <f>#REF!</f>
        <v>#REF!</v>
      </c>
      <c r="M111" s="61" t="e">
        <f>#REF!</f>
        <v>#REF!</v>
      </c>
      <c r="N111" s="61" t="e">
        <f>#REF!</f>
        <v>#REF!</v>
      </c>
      <c r="O111" s="61" t="e">
        <f>#REF!</f>
        <v>#REF!</v>
      </c>
      <c r="P111" s="61" t="e">
        <f>#REF!</f>
        <v>#REF!</v>
      </c>
      <c r="Q111" s="61" t="e">
        <f>#REF!</f>
        <v>#REF!</v>
      </c>
      <c r="R111" s="61" t="e">
        <f>#REF!</f>
        <v>#REF!</v>
      </c>
      <c r="S111" s="61" t="e">
        <f>#REF!</f>
        <v>#REF!</v>
      </c>
      <c r="T111" s="134"/>
      <c r="U111" s="39" t="e">
        <f>ROUND(#REF!*(1+#REF!),0)+MIN(#REF!-#REF!-SUM(#REF!),(barracks_size + tech_8_3*#REF!)*#REF!)</f>
        <v>#REF!</v>
      </c>
      <c r="V111" s="39" t="e">
        <f>(#REF!+#REF!)*pop_in_home+(SUM(#REF!)+#REF!-#REF!)*pop_in_building+(SUM(#REF!)-#REF!*20)*pop_on_barren-(SUM(#REF!)-SUM(#REF!))*(15-pop_on_barren)-pop_on_barren*#REF!</f>
        <v>#REF!</v>
      </c>
      <c r="W111" s="39" t="e">
        <f ca="1">MAX(-5%*#REF!-#REF!,MIN(OFFSET(#REF!,1,0)-#REF!-#REF!-#REF!,#REF!-#REF!))</f>
        <v>#REF!</v>
      </c>
      <c r="X111" s="39" t="e">
        <f>ROUND(#REF!*(1+#REF!),0)</f>
        <v>#REF!</v>
      </c>
      <c r="Y111" s="39" t="e">
        <f>(#REF!-#REF!)*raw_pop_growth</f>
        <v>#REF!</v>
      </c>
      <c r="Z111" s="39" t="e">
        <f>IF(#REF!&lt;#REF!,ROUND(#REF!*Constants!$B$55,0), 0)</f>
        <v>#REF!</v>
      </c>
      <c r="AA111" s="134"/>
      <c r="AB111" s="135" t="e">
        <f ca="1">Overview!$I$16 + IF(Magic!AE111&gt;0,Constants!$F$78) + ROUND(6*(Construction!BM112+Construction!CK111)/IF(Explore!S112&gt;0,Construction!F112-20,Construction!F112),4) + tech_6_5_2*Techs!BJ111 + tech_8_4*Techs!BT111</f>
        <v>#REF!</v>
      </c>
      <c r="AC111" s="132" t="e">
        <f ca="1">(Overview!$I$15 + Imps!Z111+ tech_2_5*Techs!AB111 + tech_3_6*Techs!AM111 + tech_6_1*Techs!BJ111 + tech_6_5*Techs!BF111 + tech_7_3_2*Techs!BN111) * (1 + Production!O111/100*prestige_pop_multiplier) + Production!O111/100*prestige_pop_multiplier</f>
        <v>#REF!</v>
      </c>
    </row>
    <row r="112" spans="1:29" x14ac:dyDescent="0.25">
      <c r="A112" s="130" t="e">
        <f>#REF!</f>
        <v>#REF!</v>
      </c>
      <c r="B112" s="131" t="e">
        <f>#REF!</f>
        <v>#REF!</v>
      </c>
      <c r="C112" s="39" t="e">
        <f ca="1">OFFSET(#REF!,-1,0)+OFFSET(#REF!,-1,0)+#REF!</f>
        <v>#REF!</v>
      </c>
      <c r="D112" s="39" t="e">
        <f>#REF!</f>
        <v>#REF!</v>
      </c>
      <c r="E112" s="39" t="e">
        <f>#REF!</f>
        <v>#REF!</v>
      </c>
      <c r="F112" s="39" t="e">
        <f>#REF!+#REF!</f>
        <v>#REF!</v>
      </c>
      <c r="G112" s="132" t="e">
        <f>#REF!/#REF!</f>
        <v>#REF!</v>
      </c>
      <c r="H112" s="39" t="e">
        <f>MIN(#REF!,#REF!)</f>
        <v>#REF!</v>
      </c>
      <c r="I112" s="132" t="e">
        <f ca="1">MIN(OFFSET(#REF!,1,0)/#REF!,1)</f>
        <v>#REF!</v>
      </c>
      <c r="J112" s="39" t="e">
        <f>SUM(#REF!,#REF!,#REF!,#REF!)*building_employment +#REF!* bonus_jobs_facts</f>
        <v>#REF!</v>
      </c>
      <c r="K112" s="133"/>
      <c r="L112" s="61" t="e">
        <f>#REF!</f>
        <v>#REF!</v>
      </c>
      <c r="M112" s="61" t="e">
        <f>#REF!</f>
        <v>#REF!</v>
      </c>
      <c r="N112" s="61" t="e">
        <f>#REF!</f>
        <v>#REF!</v>
      </c>
      <c r="O112" s="61" t="e">
        <f>#REF!</f>
        <v>#REF!</v>
      </c>
      <c r="P112" s="61" t="e">
        <f>#REF!</f>
        <v>#REF!</v>
      </c>
      <c r="Q112" s="61" t="e">
        <f>#REF!</f>
        <v>#REF!</v>
      </c>
      <c r="R112" s="61" t="e">
        <f>#REF!</f>
        <v>#REF!</v>
      </c>
      <c r="S112" s="61" t="e">
        <f>#REF!</f>
        <v>#REF!</v>
      </c>
      <c r="T112" s="134"/>
      <c r="U112" s="39" t="e">
        <f>ROUND(#REF!*(1+#REF!),0)+MIN(#REF!-#REF!-SUM(#REF!),(barracks_size + tech_8_3*#REF!)*#REF!)</f>
        <v>#REF!</v>
      </c>
      <c r="V112" s="39" t="e">
        <f>(#REF!+#REF!)*pop_in_home+(SUM(#REF!)+#REF!-#REF!)*pop_in_building+(SUM(#REF!)-#REF!*20)*pop_on_barren-(SUM(#REF!)-SUM(#REF!))*(15-pop_on_barren)-pop_on_barren*#REF!</f>
        <v>#REF!</v>
      </c>
      <c r="W112" s="39" t="e">
        <f ca="1">MAX(-5%*#REF!-#REF!,MIN(OFFSET(#REF!,1,0)-#REF!-#REF!-#REF!,#REF!-#REF!))</f>
        <v>#REF!</v>
      </c>
      <c r="X112" s="39" t="e">
        <f>ROUND(#REF!*(1+#REF!),0)</f>
        <v>#REF!</v>
      </c>
      <c r="Y112" s="39" t="e">
        <f>(#REF!-#REF!)*raw_pop_growth</f>
        <v>#REF!</v>
      </c>
      <c r="Z112" s="39" t="e">
        <f>IF(#REF!&lt;#REF!,ROUND(#REF!*Constants!$B$55,0), 0)</f>
        <v>#REF!</v>
      </c>
      <c r="AA112" s="134"/>
      <c r="AB112" s="135" t="e">
        <f ca="1">Overview!$I$16 + IF(Magic!AE112&gt;0,Constants!$F$78) + ROUND(6*(Construction!BM113+Construction!CK112)/IF(Explore!S113&gt;0,Construction!F113-20,Construction!F113),4) + tech_6_5_2*Techs!BJ112 + tech_8_4*Techs!BT112</f>
        <v>#REF!</v>
      </c>
      <c r="AC112" s="132" t="e">
        <f ca="1">(Overview!$I$15 + Imps!Z112+ tech_2_5*Techs!AB112 + tech_3_6*Techs!AM112 + tech_6_1*Techs!BJ112 + tech_6_5*Techs!BF112 + tech_7_3_2*Techs!BN112) * (1 + Production!O112/100*prestige_pop_multiplier) + Production!O112/100*prestige_pop_multiplier</f>
        <v>#REF!</v>
      </c>
    </row>
    <row r="113" spans="1:29" x14ac:dyDescent="0.25">
      <c r="A113" s="130" t="e">
        <f>#REF!</f>
        <v>#REF!</v>
      </c>
      <c r="B113" s="131" t="e">
        <f>#REF!</f>
        <v>#REF!</v>
      </c>
      <c r="C113" s="39" t="e">
        <f ca="1">OFFSET(#REF!,-1,0)+OFFSET(#REF!,-1,0)+#REF!</f>
        <v>#REF!</v>
      </c>
      <c r="D113" s="39" t="e">
        <f>#REF!</f>
        <v>#REF!</v>
      </c>
      <c r="E113" s="39" t="e">
        <f>#REF!</f>
        <v>#REF!</v>
      </c>
      <c r="F113" s="39" t="e">
        <f>#REF!+#REF!</f>
        <v>#REF!</v>
      </c>
      <c r="G113" s="132" t="e">
        <f>#REF!/#REF!</f>
        <v>#REF!</v>
      </c>
      <c r="H113" s="39" t="e">
        <f>MIN(#REF!,#REF!)</f>
        <v>#REF!</v>
      </c>
      <c r="I113" s="132" t="e">
        <f ca="1">MIN(OFFSET(#REF!,1,0)/#REF!,1)</f>
        <v>#REF!</v>
      </c>
      <c r="J113" s="39" t="e">
        <f>SUM(#REF!,#REF!,#REF!,#REF!)*building_employment +#REF!* bonus_jobs_facts</f>
        <v>#REF!</v>
      </c>
      <c r="K113" s="133"/>
      <c r="L113" s="61" t="e">
        <f>#REF!</f>
        <v>#REF!</v>
      </c>
      <c r="M113" s="61" t="e">
        <f>#REF!</f>
        <v>#REF!</v>
      </c>
      <c r="N113" s="61" t="e">
        <f>#REF!</f>
        <v>#REF!</v>
      </c>
      <c r="O113" s="61" t="e">
        <f>#REF!</f>
        <v>#REF!</v>
      </c>
      <c r="P113" s="61" t="e">
        <f>#REF!</f>
        <v>#REF!</v>
      </c>
      <c r="Q113" s="61" t="e">
        <f>#REF!</f>
        <v>#REF!</v>
      </c>
      <c r="R113" s="61" t="e">
        <f>#REF!</f>
        <v>#REF!</v>
      </c>
      <c r="S113" s="61" t="e">
        <f>#REF!</f>
        <v>#REF!</v>
      </c>
      <c r="T113" s="134"/>
      <c r="U113" s="39" t="e">
        <f>ROUND(#REF!*(1+#REF!),0)+MIN(#REF!-#REF!-SUM(#REF!),(barracks_size + tech_8_3*#REF!)*#REF!)</f>
        <v>#REF!</v>
      </c>
      <c r="V113" s="39" t="e">
        <f>(#REF!+#REF!)*pop_in_home+(SUM(#REF!)+#REF!-#REF!)*pop_in_building+(SUM(#REF!)-#REF!*20)*pop_on_barren-(SUM(#REF!)-SUM(#REF!))*(15-pop_on_barren)-pop_on_barren*#REF!</f>
        <v>#REF!</v>
      </c>
      <c r="W113" s="39" t="e">
        <f ca="1">MAX(-5%*#REF!-#REF!,MIN(OFFSET(#REF!,1,0)-#REF!-#REF!-#REF!,#REF!-#REF!))</f>
        <v>#REF!</v>
      </c>
      <c r="X113" s="39" t="e">
        <f>ROUND(#REF!*(1+#REF!),0)</f>
        <v>#REF!</v>
      </c>
      <c r="Y113" s="39" t="e">
        <f>(#REF!-#REF!)*raw_pop_growth</f>
        <v>#REF!</v>
      </c>
      <c r="Z113" s="39" t="e">
        <f>IF(#REF!&lt;#REF!,ROUND(#REF!*Constants!$B$55,0), 0)</f>
        <v>#REF!</v>
      </c>
      <c r="AA113" s="134"/>
      <c r="AB113" s="135" t="e">
        <f ca="1">Overview!$I$16 + IF(Magic!AE113&gt;0,Constants!$F$78) + ROUND(6*(Construction!BM114+Construction!CK113)/IF(Explore!S114&gt;0,Construction!F114-20,Construction!F114),4) + tech_6_5_2*Techs!BJ113 + tech_8_4*Techs!BT113</f>
        <v>#REF!</v>
      </c>
      <c r="AC113" s="132" t="e">
        <f ca="1">(Overview!$I$15 + Imps!Z113+ tech_2_5*Techs!AB113 + tech_3_6*Techs!AM113 + tech_6_1*Techs!BJ113 + tech_6_5*Techs!BF113 + tech_7_3_2*Techs!BN113) * (1 + Production!O113/100*prestige_pop_multiplier) + Production!O113/100*prestige_pop_multiplier</f>
        <v>#REF!</v>
      </c>
    </row>
    <row r="114" spans="1:29" x14ac:dyDescent="0.25">
      <c r="A114" s="130" t="e">
        <f>#REF!</f>
        <v>#REF!</v>
      </c>
      <c r="B114" s="131" t="e">
        <f>#REF!</f>
        <v>#REF!</v>
      </c>
      <c r="C114" s="39" t="e">
        <f ca="1">OFFSET(#REF!,-1,0)+OFFSET(#REF!,-1,0)+#REF!</f>
        <v>#REF!</v>
      </c>
      <c r="D114" s="39" t="e">
        <f>#REF!</f>
        <v>#REF!</v>
      </c>
      <c r="E114" s="39" t="e">
        <f>#REF!</f>
        <v>#REF!</v>
      </c>
      <c r="F114" s="39" t="e">
        <f>#REF!+#REF!</f>
        <v>#REF!</v>
      </c>
      <c r="G114" s="132" t="e">
        <f>#REF!/#REF!</f>
        <v>#REF!</v>
      </c>
      <c r="H114" s="39" t="e">
        <f>MIN(#REF!,#REF!)</f>
        <v>#REF!</v>
      </c>
      <c r="I114" s="132" t="e">
        <f ca="1">MIN(OFFSET(#REF!,1,0)/#REF!,1)</f>
        <v>#REF!</v>
      </c>
      <c r="J114" s="39" t="e">
        <f>SUM(#REF!,#REF!,#REF!,#REF!)*building_employment +#REF!* bonus_jobs_facts</f>
        <v>#REF!</v>
      </c>
      <c r="K114" s="133"/>
      <c r="L114" s="61" t="e">
        <f>#REF!</f>
        <v>#REF!</v>
      </c>
      <c r="M114" s="61" t="e">
        <f>#REF!</f>
        <v>#REF!</v>
      </c>
      <c r="N114" s="61" t="e">
        <f>#REF!</f>
        <v>#REF!</v>
      </c>
      <c r="O114" s="61" t="e">
        <f>#REF!</f>
        <v>#REF!</v>
      </c>
      <c r="P114" s="61" t="e">
        <f>#REF!</f>
        <v>#REF!</v>
      </c>
      <c r="Q114" s="61" t="e">
        <f>#REF!</f>
        <v>#REF!</v>
      </c>
      <c r="R114" s="61" t="e">
        <f>#REF!</f>
        <v>#REF!</v>
      </c>
      <c r="S114" s="61" t="e">
        <f>#REF!</f>
        <v>#REF!</v>
      </c>
      <c r="T114" s="134"/>
      <c r="U114" s="39" t="e">
        <f>ROUND(#REF!*(1+#REF!),0)+MIN(#REF!-#REF!-SUM(#REF!),(barracks_size + tech_8_3*#REF!)*#REF!)</f>
        <v>#REF!</v>
      </c>
      <c r="V114" s="39" t="e">
        <f>(#REF!+#REF!)*pop_in_home+(SUM(#REF!)+#REF!-#REF!)*pop_in_building+(SUM(#REF!)-#REF!*20)*pop_on_barren-(SUM(#REF!)-SUM(#REF!))*(15-pop_on_barren)-pop_on_barren*#REF!</f>
        <v>#REF!</v>
      </c>
      <c r="W114" s="39" t="e">
        <f ca="1">MAX(-5%*#REF!-#REF!,MIN(OFFSET(#REF!,1,0)-#REF!-#REF!-#REF!,#REF!-#REF!))</f>
        <v>#REF!</v>
      </c>
      <c r="X114" s="39" t="e">
        <f>ROUND(#REF!*(1+#REF!),0)</f>
        <v>#REF!</v>
      </c>
      <c r="Y114" s="39" t="e">
        <f>(#REF!-#REF!)*raw_pop_growth</f>
        <v>#REF!</v>
      </c>
      <c r="Z114" s="39" t="e">
        <f>IF(#REF!&lt;#REF!,ROUND(#REF!*Constants!$B$55,0), 0)</f>
        <v>#REF!</v>
      </c>
      <c r="AA114" s="134"/>
      <c r="AB114" s="135" t="e">
        <f ca="1">Overview!$I$16 + IF(Magic!AE114&gt;0,Constants!$F$78) + ROUND(6*(Construction!BM115+Construction!CK114)/IF(Explore!S115&gt;0,Construction!F115-20,Construction!F115),4) + tech_6_5_2*Techs!BJ114 + tech_8_4*Techs!BT114</f>
        <v>#REF!</v>
      </c>
      <c r="AC114" s="132" t="e">
        <f ca="1">(Overview!$I$15 + Imps!Z114+ tech_2_5*Techs!AB114 + tech_3_6*Techs!AM114 + tech_6_1*Techs!BJ114 + tech_6_5*Techs!BF114 + tech_7_3_2*Techs!BN114) * (1 + Production!O114/100*prestige_pop_multiplier) + Production!O114/100*prestige_pop_multiplier</f>
        <v>#REF!</v>
      </c>
    </row>
    <row r="115" spans="1:29" x14ac:dyDescent="0.25">
      <c r="A115" s="130" t="e">
        <f>#REF!</f>
        <v>#REF!</v>
      </c>
      <c r="B115" s="131" t="e">
        <f>#REF!</f>
        <v>#REF!</v>
      </c>
      <c r="C115" s="39" t="e">
        <f ca="1">OFFSET(#REF!,-1,0)+OFFSET(#REF!,-1,0)+#REF!</f>
        <v>#REF!</v>
      </c>
      <c r="D115" s="39" t="e">
        <f>#REF!</f>
        <v>#REF!</v>
      </c>
      <c r="E115" s="39" t="e">
        <f>#REF!</f>
        <v>#REF!</v>
      </c>
      <c r="F115" s="39" t="e">
        <f>#REF!+#REF!</f>
        <v>#REF!</v>
      </c>
      <c r="G115" s="132" t="e">
        <f>#REF!/#REF!</f>
        <v>#REF!</v>
      </c>
      <c r="H115" s="39" t="e">
        <f>MIN(#REF!,#REF!)</f>
        <v>#REF!</v>
      </c>
      <c r="I115" s="132" t="e">
        <f ca="1">MIN(OFFSET(#REF!,1,0)/#REF!,1)</f>
        <v>#REF!</v>
      </c>
      <c r="J115" s="39" t="e">
        <f>SUM(#REF!,#REF!,#REF!,#REF!)*building_employment +#REF!* bonus_jobs_facts</f>
        <v>#REF!</v>
      </c>
      <c r="K115" s="133"/>
      <c r="L115" s="61" t="e">
        <f>#REF!</f>
        <v>#REF!</v>
      </c>
      <c r="M115" s="61" t="e">
        <f>#REF!</f>
        <v>#REF!</v>
      </c>
      <c r="N115" s="61" t="e">
        <f>#REF!</f>
        <v>#REF!</v>
      </c>
      <c r="O115" s="61" t="e">
        <f>#REF!</f>
        <v>#REF!</v>
      </c>
      <c r="P115" s="61" t="e">
        <f>#REF!</f>
        <v>#REF!</v>
      </c>
      <c r="Q115" s="61" t="e">
        <f>#REF!</f>
        <v>#REF!</v>
      </c>
      <c r="R115" s="61" t="e">
        <f>#REF!</f>
        <v>#REF!</v>
      </c>
      <c r="S115" s="61" t="e">
        <f>#REF!</f>
        <v>#REF!</v>
      </c>
      <c r="T115" s="134"/>
      <c r="U115" s="39" t="e">
        <f>ROUND(#REF!*(1+#REF!),0)+MIN(#REF!-#REF!-SUM(#REF!),(barracks_size + tech_8_3*#REF!)*#REF!)</f>
        <v>#REF!</v>
      </c>
      <c r="V115" s="39" t="e">
        <f>(#REF!+#REF!)*pop_in_home+(SUM(#REF!)+#REF!-#REF!)*pop_in_building+(SUM(#REF!)-#REF!*20)*pop_on_barren-(SUM(#REF!)-SUM(#REF!))*(15-pop_on_barren)-pop_on_barren*#REF!</f>
        <v>#REF!</v>
      </c>
      <c r="W115" s="39" t="e">
        <f ca="1">MAX(-5%*#REF!-#REF!,MIN(OFFSET(#REF!,1,0)-#REF!-#REF!-#REF!,#REF!-#REF!))</f>
        <v>#REF!</v>
      </c>
      <c r="X115" s="39" t="e">
        <f>ROUND(#REF!*(1+#REF!),0)</f>
        <v>#REF!</v>
      </c>
      <c r="Y115" s="39" t="e">
        <f>(#REF!-#REF!)*raw_pop_growth</f>
        <v>#REF!</v>
      </c>
      <c r="Z115" s="39" t="e">
        <f>IF(#REF!&lt;#REF!,ROUND(#REF!*Constants!$B$55,0), 0)</f>
        <v>#REF!</v>
      </c>
      <c r="AA115" s="134"/>
      <c r="AB115" s="135" t="e">
        <f ca="1">Overview!$I$16 + IF(Magic!AE115&gt;0,Constants!$F$78) + ROUND(6*(Construction!BM116+Construction!CK115)/IF(Explore!S116&gt;0,Construction!F116-20,Construction!F116),4) + tech_6_5_2*Techs!BJ115 + tech_8_4*Techs!BT115</f>
        <v>#REF!</v>
      </c>
      <c r="AC115" s="132" t="e">
        <f ca="1">(Overview!$I$15 + Imps!Z115+ tech_2_5*Techs!AB115 + tech_3_6*Techs!AM115 + tech_6_1*Techs!BJ115 + tech_6_5*Techs!BF115 + tech_7_3_2*Techs!BN115) * (1 + Production!O115/100*prestige_pop_multiplier) + Production!O115/100*prestige_pop_multiplier</f>
        <v>#REF!</v>
      </c>
    </row>
    <row r="116" spans="1:29" x14ac:dyDescent="0.25">
      <c r="A116" s="130" t="e">
        <f>#REF!</f>
        <v>#REF!</v>
      </c>
      <c r="B116" s="131" t="e">
        <f>#REF!</f>
        <v>#REF!</v>
      </c>
      <c r="C116" s="39" t="e">
        <f ca="1">OFFSET(#REF!,-1,0)+OFFSET(#REF!,-1,0)+#REF!</f>
        <v>#REF!</v>
      </c>
      <c r="D116" s="39" t="e">
        <f>#REF!</f>
        <v>#REF!</v>
      </c>
      <c r="E116" s="39" t="e">
        <f>#REF!</f>
        <v>#REF!</v>
      </c>
      <c r="F116" s="39" t="e">
        <f>#REF!+#REF!</f>
        <v>#REF!</v>
      </c>
      <c r="G116" s="132" t="e">
        <f>#REF!/#REF!</f>
        <v>#REF!</v>
      </c>
      <c r="H116" s="39" t="e">
        <f>MIN(#REF!,#REF!)</f>
        <v>#REF!</v>
      </c>
      <c r="I116" s="132" t="e">
        <f ca="1">MIN(OFFSET(#REF!,1,0)/#REF!,1)</f>
        <v>#REF!</v>
      </c>
      <c r="J116" s="39" t="e">
        <f>SUM(#REF!,#REF!,#REF!,#REF!)*building_employment +#REF!* bonus_jobs_facts</f>
        <v>#REF!</v>
      </c>
      <c r="K116" s="133"/>
      <c r="L116" s="61" t="e">
        <f>#REF!</f>
        <v>#REF!</v>
      </c>
      <c r="M116" s="61" t="e">
        <f>#REF!</f>
        <v>#REF!</v>
      </c>
      <c r="N116" s="61" t="e">
        <f>#REF!</f>
        <v>#REF!</v>
      </c>
      <c r="O116" s="61" t="e">
        <f>#REF!</f>
        <v>#REF!</v>
      </c>
      <c r="P116" s="61" t="e">
        <f>#REF!</f>
        <v>#REF!</v>
      </c>
      <c r="Q116" s="61" t="e">
        <f>#REF!</f>
        <v>#REF!</v>
      </c>
      <c r="R116" s="61" t="e">
        <f>#REF!</f>
        <v>#REF!</v>
      </c>
      <c r="S116" s="61" t="e">
        <f>#REF!</f>
        <v>#REF!</v>
      </c>
      <c r="T116" s="134"/>
      <c r="U116" s="39" t="e">
        <f>ROUND(#REF!*(1+#REF!),0)+MIN(#REF!-#REF!-SUM(#REF!),(barracks_size + tech_8_3*#REF!)*#REF!)</f>
        <v>#REF!</v>
      </c>
      <c r="V116" s="39" t="e">
        <f>(#REF!+#REF!)*pop_in_home+(SUM(#REF!)+#REF!-#REF!)*pop_in_building+(SUM(#REF!)-#REF!*20)*pop_on_barren-(SUM(#REF!)-SUM(#REF!))*(15-pop_on_barren)-pop_on_barren*#REF!</f>
        <v>#REF!</v>
      </c>
      <c r="W116" s="39" t="e">
        <f ca="1">MAX(-5%*#REF!-#REF!,MIN(OFFSET(#REF!,1,0)-#REF!-#REF!-#REF!,#REF!-#REF!))</f>
        <v>#REF!</v>
      </c>
      <c r="X116" s="39" t="e">
        <f>ROUND(#REF!*(1+#REF!),0)</f>
        <v>#REF!</v>
      </c>
      <c r="Y116" s="39" t="e">
        <f>(#REF!-#REF!)*raw_pop_growth</f>
        <v>#REF!</v>
      </c>
      <c r="Z116" s="39" t="e">
        <f>IF(#REF!&lt;#REF!,ROUND(#REF!*Constants!$B$55,0), 0)</f>
        <v>#REF!</v>
      </c>
      <c r="AA116" s="134"/>
      <c r="AB116" s="135" t="e">
        <f ca="1">Overview!$I$16 + IF(Magic!AE116&gt;0,Constants!$F$78) + ROUND(6*(Construction!BM117+Construction!CK116)/IF(Explore!S117&gt;0,Construction!F117-20,Construction!F117),4) + tech_6_5_2*Techs!BJ116 + tech_8_4*Techs!BT116</f>
        <v>#REF!</v>
      </c>
      <c r="AC116" s="132" t="e">
        <f ca="1">(Overview!$I$15 + Imps!Z116+ tech_2_5*Techs!AB116 + tech_3_6*Techs!AM116 + tech_6_1*Techs!BJ116 + tech_6_5*Techs!BF116 + tech_7_3_2*Techs!BN116) * (1 + Production!O116/100*prestige_pop_multiplier) + Production!O116/100*prestige_pop_multiplier</f>
        <v>#REF!</v>
      </c>
    </row>
    <row r="117" spans="1:29" x14ac:dyDescent="0.25">
      <c r="A117" s="130" t="e">
        <f>#REF!</f>
        <v>#REF!</v>
      </c>
      <c r="B117" s="131" t="e">
        <f>#REF!</f>
        <v>#REF!</v>
      </c>
      <c r="C117" s="39" t="e">
        <f ca="1">OFFSET(#REF!,-1,0)+OFFSET(#REF!,-1,0)+#REF!</f>
        <v>#REF!</v>
      </c>
      <c r="D117" s="39" t="e">
        <f>#REF!</f>
        <v>#REF!</v>
      </c>
      <c r="E117" s="39" t="e">
        <f>#REF!</f>
        <v>#REF!</v>
      </c>
      <c r="F117" s="39" t="e">
        <f>#REF!+#REF!</f>
        <v>#REF!</v>
      </c>
      <c r="G117" s="132" t="e">
        <f>#REF!/#REF!</f>
        <v>#REF!</v>
      </c>
      <c r="H117" s="39" t="e">
        <f>MIN(#REF!,#REF!)</f>
        <v>#REF!</v>
      </c>
      <c r="I117" s="132" t="e">
        <f ca="1">MIN(OFFSET(#REF!,1,0)/#REF!,1)</f>
        <v>#REF!</v>
      </c>
      <c r="J117" s="39" t="e">
        <f>SUM(#REF!,#REF!,#REF!,#REF!)*building_employment +#REF!* bonus_jobs_facts</f>
        <v>#REF!</v>
      </c>
      <c r="K117" s="133"/>
      <c r="L117" s="61" t="e">
        <f>#REF!</f>
        <v>#REF!</v>
      </c>
      <c r="M117" s="61" t="e">
        <f>#REF!</f>
        <v>#REF!</v>
      </c>
      <c r="N117" s="61" t="e">
        <f>#REF!</f>
        <v>#REF!</v>
      </c>
      <c r="O117" s="61" t="e">
        <f>#REF!</f>
        <v>#REF!</v>
      </c>
      <c r="P117" s="61" t="e">
        <f>#REF!</f>
        <v>#REF!</v>
      </c>
      <c r="Q117" s="61" t="e">
        <f>#REF!</f>
        <v>#REF!</v>
      </c>
      <c r="R117" s="61" t="e">
        <f>#REF!</f>
        <v>#REF!</v>
      </c>
      <c r="S117" s="61" t="e">
        <f>#REF!</f>
        <v>#REF!</v>
      </c>
      <c r="T117" s="134"/>
      <c r="U117" s="39" t="e">
        <f>ROUND(#REF!*(1+#REF!),0)+MIN(#REF!-#REF!-SUM(#REF!),(barracks_size + tech_8_3*#REF!)*#REF!)</f>
        <v>#REF!</v>
      </c>
      <c r="V117" s="39" t="e">
        <f>(#REF!+#REF!)*pop_in_home+(SUM(#REF!)+#REF!-#REF!)*pop_in_building+(SUM(#REF!)-#REF!*20)*pop_on_barren-(SUM(#REF!)-SUM(#REF!))*(15-pop_on_barren)-pop_on_barren*#REF!</f>
        <v>#REF!</v>
      </c>
      <c r="W117" s="39" t="e">
        <f ca="1">MAX(-5%*#REF!-#REF!,MIN(OFFSET(#REF!,1,0)-#REF!-#REF!-#REF!,#REF!-#REF!))</f>
        <v>#REF!</v>
      </c>
      <c r="X117" s="39" t="e">
        <f>ROUND(#REF!*(1+#REF!),0)</f>
        <v>#REF!</v>
      </c>
      <c r="Y117" s="39" t="e">
        <f>(#REF!-#REF!)*raw_pop_growth</f>
        <v>#REF!</v>
      </c>
      <c r="Z117" s="39" t="e">
        <f>IF(#REF!&lt;#REF!,ROUND(#REF!*Constants!$B$55,0), 0)</f>
        <v>#REF!</v>
      </c>
      <c r="AA117" s="134"/>
      <c r="AB117" s="135" t="e">
        <f ca="1">Overview!$I$16 + IF(Magic!AE117&gt;0,Constants!$F$78) + ROUND(6*(Construction!BM118+Construction!CK117)/IF(Explore!S118&gt;0,Construction!F118-20,Construction!F118),4) + tech_6_5_2*Techs!BJ117 + tech_8_4*Techs!BT117</f>
        <v>#REF!</v>
      </c>
      <c r="AC117" s="132" t="e">
        <f ca="1">(Overview!$I$15 + Imps!Z117+ tech_2_5*Techs!AB117 + tech_3_6*Techs!AM117 + tech_6_1*Techs!BJ117 + tech_6_5*Techs!BF117 + tech_7_3_2*Techs!BN117) * (1 + Production!O117/100*prestige_pop_multiplier) + Production!O117/100*prestige_pop_multiplier</f>
        <v>#REF!</v>
      </c>
    </row>
    <row r="118" spans="1:29" x14ac:dyDescent="0.25">
      <c r="A118" s="130" t="e">
        <f>#REF!</f>
        <v>#REF!</v>
      </c>
      <c r="B118" s="131" t="e">
        <f>#REF!</f>
        <v>#REF!</v>
      </c>
      <c r="C118" s="39" t="e">
        <f ca="1">OFFSET(#REF!,-1,0)+OFFSET(#REF!,-1,0)+#REF!</f>
        <v>#REF!</v>
      </c>
      <c r="D118" s="39" t="e">
        <f>#REF!</f>
        <v>#REF!</v>
      </c>
      <c r="E118" s="39" t="e">
        <f>#REF!</f>
        <v>#REF!</v>
      </c>
      <c r="F118" s="39" t="e">
        <f>#REF!+#REF!</f>
        <v>#REF!</v>
      </c>
      <c r="G118" s="132" t="e">
        <f>#REF!/#REF!</f>
        <v>#REF!</v>
      </c>
      <c r="H118" s="39" t="e">
        <f>MIN(#REF!,#REF!)</f>
        <v>#REF!</v>
      </c>
      <c r="I118" s="132" t="e">
        <f ca="1">MIN(OFFSET(#REF!,1,0)/#REF!,1)</f>
        <v>#REF!</v>
      </c>
      <c r="J118" s="39" t="e">
        <f>SUM(#REF!,#REF!,#REF!,#REF!)*building_employment +#REF!* bonus_jobs_facts</f>
        <v>#REF!</v>
      </c>
      <c r="K118" s="133"/>
      <c r="L118" s="61" t="e">
        <f>#REF!</f>
        <v>#REF!</v>
      </c>
      <c r="M118" s="61" t="e">
        <f>#REF!</f>
        <v>#REF!</v>
      </c>
      <c r="N118" s="61" t="e">
        <f>#REF!</f>
        <v>#REF!</v>
      </c>
      <c r="O118" s="61" t="e">
        <f>#REF!</f>
        <v>#REF!</v>
      </c>
      <c r="P118" s="61" t="e">
        <f>#REF!</f>
        <v>#REF!</v>
      </c>
      <c r="Q118" s="61" t="e">
        <f>#REF!</f>
        <v>#REF!</v>
      </c>
      <c r="R118" s="61" t="e">
        <f>#REF!</f>
        <v>#REF!</v>
      </c>
      <c r="S118" s="61" t="e">
        <f>#REF!</f>
        <v>#REF!</v>
      </c>
      <c r="T118" s="134"/>
      <c r="U118" s="39" t="e">
        <f>ROUND(#REF!*(1+#REF!),0)+MIN(#REF!-#REF!-SUM(#REF!),(barracks_size + tech_8_3*#REF!)*#REF!)</f>
        <v>#REF!</v>
      </c>
      <c r="V118" s="39" t="e">
        <f>(#REF!+#REF!)*pop_in_home+(SUM(#REF!)+#REF!-#REF!)*pop_in_building+(SUM(#REF!)-#REF!*20)*pop_on_barren-(SUM(#REF!)-SUM(#REF!))*(15-pop_on_barren)-pop_on_barren*#REF!</f>
        <v>#REF!</v>
      </c>
      <c r="W118" s="39" t="e">
        <f ca="1">MAX(-5%*#REF!-#REF!,MIN(OFFSET(#REF!,1,0)-#REF!-#REF!-#REF!,#REF!-#REF!))</f>
        <v>#REF!</v>
      </c>
      <c r="X118" s="39" t="e">
        <f>ROUND(#REF!*(1+#REF!),0)</f>
        <v>#REF!</v>
      </c>
      <c r="Y118" s="39" t="e">
        <f>(#REF!-#REF!)*raw_pop_growth</f>
        <v>#REF!</v>
      </c>
      <c r="Z118" s="39" t="e">
        <f>IF(#REF!&lt;#REF!,ROUND(#REF!*Constants!$B$55,0), 0)</f>
        <v>#REF!</v>
      </c>
      <c r="AA118" s="134"/>
      <c r="AB118" s="135" t="e">
        <f ca="1">Overview!$I$16 + IF(Magic!AE118&gt;0,Constants!$F$78) + ROUND(6*(Construction!BM119+Construction!CK118)/IF(Explore!S119&gt;0,Construction!F119-20,Construction!F119),4) + tech_6_5_2*Techs!BJ118 + tech_8_4*Techs!BT118</f>
        <v>#REF!</v>
      </c>
      <c r="AC118" s="132" t="e">
        <f ca="1">(Overview!$I$15 + Imps!Z118+ tech_2_5*Techs!AB118 + tech_3_6*Techs!AM118 + tech_6_1*Techs!BJ118 + tech_6_5*Techs!BF118 + tech_7_3_2*Techs!BN118) * (1 + Production!O118/100*prestige_pop_multiplier) + Production!O118/100*prestige_pop_multiplier</f>
        <v>#REF!</v>
      </c>
    </row>
    <row r="119" spans="1:29" x14ac:dyDescent="0.25">
      <c r="A119" s="130" t="e">
        <f>#REF!</f>
        <v>#REF!</v>
      </c>
      <c r="B119" s="131" t="e">
        <f>#REF!</f>
        <v>#REF!</v>
      </c>
      <c r="C119" s="39" t="e">
        <f ca="1">OFFSET(#REF!,-1,0)+OFFSET(#REF!,-1,0)+#REF!</f>
        <v>#REF!</v>
      </c>
      <c r="D119" s="39" t="e">
        <f>#REF!</f>
        <v>#REF!</v>
      </c>
      <c r="E119" s="39" t="e">
        <f>#REF!</f>
        <v>#REF!</v>
      </c>
      <c r="F119" s="39" t="e">
        <f>#REF!+#REF!</f>
        <v>#REF!</v>
      </c>
      <c r="G119" s="132" t="e">
        <f>#REF!/#REF!</f>
        <v>#REF!</v>
      </c>
      <c r="H119" s="39" t="e">
        <f>MIN(#REF!,#REF!)</f>
        <v>#REF!</v>
      </c>
      <c r="I119" s="132" t="e">
        <f ca="1">MIN(OFFSET(#REF!,1,0)/#REF!,1)</f>
        <v>#REF!</v>
      </c>
      <c r="J119" s="39" t="e">
        <f>SUM(#REF!,#REF!,#REF!,#REF!)*building_employment +#REF!* bonus_jobs_facts</f>
        <v>#REF!</v>
      </c>
      <c r="K119" s="133"/>
      <c r="L119" s="61" t="e">
        <f>#REF!</f>
        <v>#REF!</v>
      </c>
      <c r="M119" s="61" t="e">
        <f>#REF!</f>
        <v>#REF!</v>
      </c>
      <c r="N119" s="61" t="e">
        <f>#REF!</f>
        <v>#REF!</v>
      </c>
      <c r="O119" s="61" t="e">
        <f>#REF!</f>
        <v>#REF!</v>
      </c>
      <c r="P119" s="61" t="e">
        <f>#REF!</f>
        <v>#REF!</v>
      </c>
      <c r="Q119" s="61" t="e">
        <f>#REF!</f>
        <v>#REF!</v>
      </c>
      <c r="R119" s="61" t="e">
        <f>#REF!</f>
        <v>#REF!</v>
      </c>
      <c r="S119" s="61" t="e">
        <f>#REF!</f>
        <v>#REF!</v>
      </c>
      <c r="T119" s="134"/>
      <c r="U119" s="39" t="e">
        <f>ROUND(#REF!*(1+#REF!),0)+MIN(#REF!-#REF!-SUM(#REF!),(barracks_size + tech_8_3*#REF!)*#REF!)</f>
        <v>#REF!</v>
      </c>
      <c r="V119" s="39" t="e">
        <f>(#REF!+#REF!)*pop_in_home+(SUM(#REF!)+#REF!-#REF!)*pop_in_building+(SUM(#REF!)-#REF!*20)*pop_on_barren-(SUM(#REF!)-SUM(#REF!))*(15-pop_on_barren)-pop_on_barren*#REF!</f>
        <v>#REF!</v>
      </c>
      <c r="W119" s="39" t="e">
        <f ca="1">MAX(-5%*#REF!-#REF!,MIN(OFFSET(#REF!,1,0)-#REF!-#REF!-#REF!,#REF!-#REF!))</f>
        <v>#REF!</v>
      </c>
      <c r="X119" s="39" t="e">
        <f>ROUND(#REF!*(1+#REF!),0)</f>
        <v>#REF!</v>
      </c>
      <c r="Y119" s="39" t="e">
        <f>(#REF!-#REF!)*raw_pop_growth</f>
        <v>#REF!</v>
      </c>
      <c r="Z119" s="39" t="e">
        <f>IF(#REF!&lt;#REF!,ROUND(#REF!*Constants!$B$55,0), 0)</f>
        <v>#REF!</v>
      </c>
      <c r="AA119" s="134"/>
      <c r="AB119" s="135" t="e">
        <f ca="1">Overview!$I$16 + IF(Magic!AE119&gt;0,Constants!$F$78) + ROUND(6*(Construction!BM120+Construction!CK119)/IF(Explore!S120&gt;0,Construction!F120-20,Construction!F120),4) + tech_6_5_2*Techs!BJ119 + tech_8_4*Techs!BT119</f>
        <v>#REF!</v>
      </c>
      <c r="AC119" s="132" t="e">
        <f ca="1">(Overview!$I$15 + Imps!Z119+ tech_2_5*Techs!AB119 + tech_3_6*Techs!AM119 + tech_6_1*Techs!BJ119 + tech_6_5*Techs!BF119 + tech_7_3_2*Techs!BN119) * (1 + Production!O119/100*prestige_pop_multiplier) + Production!O119/100*prestige_pop_multiplier</f>
        <v>#REF!</v>
      </c>
    </row>
    <row r="120" spans="1:29" x14ac:dyDescent="0.25">
      <c r="A120" s="130" t="e">
        <f>#REF!</f>
        <v>#REF!</v>
      </c>
      <c r="B120" s="131" t="e">
        <f>#REF!</f>
        <v>#REF!</v>
      </c>
      <c r="C120" s="39" t="e">
        <f ca="1">OFFSET(#REF!,-1,0)+OFFSET(#REF!,-1,0)+#REF!</f>
        <v>#REF!</v>
      </c>
      <c r="D120" s="39" t="e">
        <f>#REF!</f>
        <v>#REF!</v>
      </c>
      <c r="E120" s="39" t="e">
        <f>#REF!</f>
        <v>#REF!</v>
      </c>
      <c r="F120" s="39" t="e">
        <f>#REF!+#REF!</f>
        <v>#REF!</v>
      </c>
      <c r="G120" s="132" t="e">
        <f>#REF!/#REF!</f>
        <v>#REF!</v>
      </c>
      <c r="H120" s="39" t="e">
        <f>MIN(#REF!,#REF!)</f>
        <v>#REF!</v>
      </c>
      <c r="I120" s="132" t="e">
        <f ca="1">MIN(OFFSET(#REF!,1,0)/#REF!,1)</f>
        <v>#REF!</v>
      </c>
      <c r="J120" s="39" t="e">
        <f>SUM(#REF!,#REF!,#REF!,#REF!)*building_employment +#REF!* bonus_jobs_facts</f>
        <v>#REF!</v>
      </c>
      <c r="K120" s="133"/>
      <c r="L120" s="61" t="e">
        <f>#REF!</f>
        <v>#REF!</v>
      </c>
      <c r="M120" s="61" t="e">
        <f>#REF!</f>
        <v>#REF!</v>
      </c>
      <c r="N120" s="61" t="e">
        <f>#REF!</f>
        <v>#REF!</v>
      </c>
      <c r="O120" s="61" t="e">
        <f>#REF!</f>
        <v>#REF!</v>
      </c>
      <c r="P120" s="61" t="e">
        <f>#REF!</f>
        <v>#REF!</v>
      </c>
      <c r="Q120" s="61" t="e">
        <f>#REF!</f>
        <v>#REF!</v>
      </c>
      <c r="R120" s="61" t="e">
        <f>#REF!</f>
        <v>#REF!</v>
      </c>
      <c r="S120" s="61" t="e">
        <f>#REF!</f>
        <v>#REF!</v>
      </c>
      <c r="T120" s="134"/>
      <c r="U120" s="39" t="e">
        <f>ROUND(#REF!*(1+#REF!),0)+MIN(#REF!-#REF!-SUM(#REF!),(barracks_size + tech_8_3*#REF!)*#REF!)</f>
        <v>#REF!</v>
      </c>
      <c r="V120" s="39" t="e">
        <f>(#REF!+#REF!)*pop_in_home+(SUM(#REF!)+#REF!-#REF!)*pop_in_building+(SUM(#REF!)-#REF!*20)*pop_on_barren-(SUM(#REF!)-SUM(#REF!))*(15-pop_on_barren)-pop_on_barren*#REF!</f>
        <v>#REF!</v>
      </c>
      <c r="W120" s="39" t="e">
        <f ca="1">MAX(-5%*#REF!-#REF!,MIN(OFFSET(#REF!,1,0)-#REF!-#REF!-#REF!,#REF!-#REF!))</f>
        <v>#REF!</v>
      </c>
      <c r="X120" s="39" t="e">
        <f>ROUND(#REF!*(1+#REF!),0)</f>
        <v>#REF!</v>
      </c>
      <c r="Y120" s="39" t="e">
        <f>(#REF!-#REF!)*raw_pop_growth</f>
        <v>#REF!</v>
      </c>
      <c r="Z120" s="39" t="e">
        <f>IF(#REF!&lt;#REF!,ROUND(#REF!*Constants!$B$55,0), 0)</f>
        <v>#REF!</v>
      </c>
      <c r="AA120" s="134"/>
      <c r="AB120" s="135" t="e">
        <f ca="1">Overview!$I$16 + IF(Magic!AE120&gt;0,Constants!$F$78) + ROUND(6*(Construction!BM121+Construction!CK120)/IF(Explore!S121&gt;0,Construction!F121-20,Construction!F121),4) + tech_6_5_2*Techs!BJ120 + tech_8_4*Techs!BT120</f>
        <v>#REF!</v>
      </c>
      <c r="AC120" s="132" t="e">
        <f ca="1">(Overview!$I$15 + Imps!Z120+ tech_2_5*Techs!AB120 + tech_3_6*Techs!AM120 + tech_6_1*Techs!BJ120 + tech_6_5*Techs!BF120 + tech_7_3_2*Techs!BN120) * (1 + Production!O120/100*prestige_pop_multiplier) + Production!O120/100*prestige_pop_multiplier</f>
        <v>#REF!</v>
      </c>
    </row>
    <row r="121" spans="1:29" x14ac:dyDescent="0.25">
      <c r="A121" s="130" t="e">
        <f>#REF!</f>
        <v>#REF!</v>
      </c>
      <c r="B121" s="131" t="e">
        <f>#REF!</f>
        <v>#REF!</v>
      </c>
      <c r="C121" s="39" t="e">
        <f ca="1">OFFSET(#REF!,-1,0)+OFFSET(#REF!,-1,0)+#REF!</f>
        <v>#REF!</v>
      </c>
      <c r="D121" s="39" t="e">
        <f>#REF!</f>
        <v>#REF!</v>
      </c>
      <c r="E121" s="39" t="e">
        <f>#REF!</f>
        <v>#REF!</v>
      </c>
      <c r="F121" s="39" t="e">
        <f>#REF!+#REF!</f>
        <v>#REF!</v>
      </c>
      <c r="G121" s="132" t="e">
        <f>#REF!/#REF!</f>
        <v>#REF!</v>
      </c>
      <c r="H121" s="39" t="e">
        <f>MIN(#REF!,#REF!)</f>
        <v>#REF!</v>
      </c>
      <c r="I121" s="132" t="e">
        <f ca="1">MIN(OFFSET(#REF!,1,0)/#REF!,1)</f>
        <v>#REF!</v>
      </c>
      <c r="J121" s="39" t="e">
        <f>SUM(#REF!,#REF!,#REF!,#REF!)*building_employment +#REF!* bonus_jobs_facts</f>
        <v>#REF!</v>
      </c>
      <c r="K121" s="133"/>
      <c r="L121" s="61" t="e">
        <f>#REF!</f>
        <v>#REF!</v>
      </c>
      <c r="M121" s="61" t="e">
        <f>#REF!</f>
        <v>#REF!</v>
      </c>
      <c r="N121" s="61" t="e">
        <f>#REF!</f>
        <v>#REF!</v>
      </c>
      <c r="O121" s="61" t="e">
        <f>#REF!</f>
        <v>#REF!</v>
      </c>
      <c r="P121" s="61" t="e">
        <f>#REF!</f>
        <v>#REF!</v>
      </c>
      <c r="Q121" s="61" t="e">
        <f>#REF!</f>
        <v>#REF!</v>
      </c>
      <c r="R121" s="61" t="e">
        <f>#REF!</f>
        <v>#REF!</v>
      </c>
      <c r="S121" s="61" t="e">
        <f>#REF!</f>
        <v>#REF!</v>
      </c>
      <c r="T121" s="134"/>
      <c r="U121" s="39" t="e">
        <f>ROUND(#REF!*(1+#REF!),0)+MIN(#REF!-#REF!-SUM(#REF!),(barracks_size + tech_8_3*#REF!)*#REF!)</f>
        <v>#REF!</v>
      </c>
      <c r="V121" s="39" t="e">
        <f>(#REF!+#REF!)*pop_in_home+(SUM(#REF!)+#REF!-#REF!)*pop_in_building+(SUM(#REF!)-#REF!*20)*pop_on_barren-(SUM(#REF!)-SUM(#REF!))*(15-pop_on_barren)-pop_on_barren*#REF!</f>
        <v>#REF!</v>
      </c>
      <c r="W121" s="39" t="e">
        <f ca="1">MAX(-5%*#REF!-#REF!,MIN(OFFSET(#REF!,1,0)-#REF!-#REF!-#REF!,#REF!-#REF!))</f>
        <v>#REF!</v>
      </c>
      <c r="X121" s="39" t="e">
        <f>ROUND(#REF!*(1+#REF!),0)</f>
        <v>#REF!</v>
      </c>
      <c r="Y121" s="39" t="e">
        <f>(#REF!-#REF!)*raw_pop_growth</f>
        <v>#REF!</v>
      </c>
      <c r="Z121" s="39" t="e">
        <f>IF(#REF!&lt;#REF!,ROUND(#REF!*Constants!$B$55,0), 0)</f>
        <v>#REF!</v>
      </c>
      <c r="AA121" s="134"/>
      <c r="AB121" s="135" t="e">
        <f ca="1">Overview!$I$16 + IF(Magic!AE121&gt;0,Constants!$F$78) + ROUND(6*(Construction!BM122+Construction!CK121)/IF(Explore!S122&gt;0,Construction!F122-20,Construction!F122),4) + tech_6_5_2*Techs!BJ121 + tech_8_4*Techs!BT121</f>
        <v>#REF!</v>
      </c>
      <c r="AC121" s="132" t="e">
        <f ca="1">(Overview!$I$15 + Imps!Z121+ tech_2_5*Techs!AB121 + tech_3_6*Techs!AM121 + tech_6_1*Techs!BJ121 + tech_6_5*Techs!BF121 + tech_7_3_2*Techs!BN121) * (1 + Production!O121/100*prestige_pop_multiplier) + Production!O121/100*prestige_pop_multiplier</f>
        <v>#REF!</v>
      </c>
    </row>
    <row r="122" spans="1:29" x14ac:dyDescent="0.25">
      <c r="A122" s="130" t="e">
        <f>#REF!</f>
        <v>#REF!</v>
      </c>
      <c r="B122" s="131" t="e">
        <f>#REF!</f>
        <v>#REF!</v>
      </c>
      <c r="C122" s="39" t="e">
        <f ca="1">OFFSET(#REF!,-1,0)+OFFSET(#REF!,-1,0)+#REF!</f>
        <v>#REF!</v>
      </c>
      <c r="D122" s="39" t="e">
        <f>#REF!</f>
        <v>#REF!</v>
      </c>
      <c r="E122" s="39" t="e">
        <f>#REF!</f>
        <v>#REF!</v>
      </c>
      <c r="F122" s="39" t="e">
        <f>#REF!+#REF!</f>
        <v>#REF!</v>
      </c>
      <c r="G122" s="132" t="e">
        <f>#REF!/#REF!</f>
        <v>#REF!</v>
      </c>
      <c r="H122" s="39" t="e">
        <f>MIN(#REF!,#REF!)</f>
        <v>#REF!</v>
      </c>
      <c r="I122" s="132" t="e">
        <f ca="1">MIN(OFFSET(#REF!,1,0)/#REF!,1)</f>
        <v>#REF!</v>
      </c>
      <c r="J122" s="39" t="e">
        <f>SUM(#REF!,#REF!,#REF!,#REF!)*building_employment +#REF!* bonus_jobs_facts</f>
        <v>#REF!</v>
      </c>
      <c r="K122" s="133"/>
      <c r="L122" s="61" t="e">
        <f>#REF!</f>
        <v>#REF!</v>
      </c>
      <c r="M122" s="61" t="e">
        <f>#REF!</f>
        <v>#REF!</v>
      </c>
      <c r="N122" s="61" t="e">
        <f>#REF!</f>
        <v>#REF!</v>
      </c>
      <c r="O122" s="61" t="e">
        <f>#REF!</f>
        <v>#REF!</v>
      </c>
      <c r="P122" s="61" t="e">
        <f>#REF!</f>
        <v>#REF!</v>
      </c>
      <c r="Q122" s="61" t="e">
        <f>#REF!</f>
        <v>#REF!</v>
      </c>
      <c r="R122" s="61" t="e">
        <f>#REF!</f>
        <v>#REF!</v>
      </c>
      <c r="S122" s="61" t="e">
        <f>#REF!</f>
        <v>#REF!</v>
      </c>
      <c r="T122" s="134"/>
      <c r="U122" s="39" t="e">
        <f>ROUND(#REF!*(1+#REF!),0)+MIN(#REF!-#REF!-SUM(#REF!),(barracks_size + tech_8_3*#REF!)*#REF!)</f>
        <v>#REF!</v>
      </c>
      <c r="V122" s="39" t="e">
        <f>(#REF!+#REF!)*pop_in_home+(SUM(#REF!)+#REF!-#REF!)*pop_in_building+(SUM(#REF!)-#REF!*20)*pop_on_barren-(SUM(#REF!)-SUM(#REF!))*(15-pop_on_barren)-pop_on_barren*#REF!</f>
        <v>#REF!</v>
      </c>
      <c r="W122" s="39" t="e">
        <f ca="1">MAX(-5%*#REF!-#REF!,MIN(OFFSET(#REF!,1,0)-#REF!-#REF!-#REF!,#REF!-#REF!))</f>
        <v>#REF!</v>
      </c>
      <c r="X122" s="39" t="e">
        <f>ROUND(#REF!*(1+#REF!),0)</f>
        <v>#REF!</v>
      </c>
      <c r="Y122" s="39" t="e">
        <f>(#REF!-#REF!)*raw_pop_growth</f>
        <v>#REF!</v>
      </c>
      <c r="Z122" s="39" t="e">
        <f>IF(#REF!&lt;#REF!,ROUND(#REF!*Constants!$B$55,0), 0)</f>
        <v>#REF!</v>
      </c>
      <c r="AA122" s="134"/>
      <c r="AB122" s="135" t="e">
        <f ca="1">Overview!$I$16 + IF(Magic!AE122&gt;0,Constants!$F$78) + ROUND(6*(Construction!BM123+Construction!CK122)/IF(Explore!S123&gt;0,Construction!F123-20,Construction!F123),4) + tech_6_5_2*Techs!BJ122 + tech_8_4*Techs!BT122</f>
        <v>#REF!</v>
      </c>
      <c r="AC122" s="132" t="e">
        <f ca="1">(Overview!$I$15 + Imps!Z122+ tech_2_5*Techs!AB122 + tech_3_6*Techs!AM122 + tech_6_1*Techs!BJ122 + tech_6_5*Techs!BF122 + tech_7_3_2*Techs!BN122) * (1 + Production!O122/100*prestige_pop_multiplier) + Production!O122/100*prestige_pop_multiplier</f>
        <v>#REF!</v>
      </c>
    </row>
    <row r="123" spans="1:29" x14ac:dyDescent="0.25">
      <c r="A123" s="130" t="e">
        <f>#REF!</f>
        <v>#REF!</v>
      </c>
      <c r="B123" s="131" t="e">
        <f>#REF!</f>
        <v>#REF!</v>
      </c>
      <c r="C123" s="39" t="e">
        <f ca="1">OFFSET(#REF!,-1,0)+OFFSET(#REF!,-1,0)+#REF!</f>
        <v>#REF!</v>
      </c>
      <c r="D123" s="39" t="e">
        <f>#REF!</f>
        <v>#REF!</v>
      </c>
      <c r="E123" s="39" t="e">
        <f>#REF!</f>
        <v>#REF!</v>
      </c>
      <c r="F123" s="39" t="e">
        <f>#REF!+#REF!</f>
        <v>#REF!</v>
      </c>
      <c r="G123" s="132" t="e">
        <f>#REF!/#REF!</f>
        <v>#REF!</v>
      </c>
      <c r="H123" s="39" t="e">
        <f>MIN(#REF!,#REF!)</f>
        <v>#REF!</v>
      </c>
      <c r="I123" s="132" t="e">
        <f ca="1">MIN(OFFSET(#REF!,1,0)/#REF!,1)</f>
        <v>#REF!</v>
      </c>
      <c r="J123" s="39" t="e">
        <f>SUM(#REF!,#REF!,#REF!,#REF!)*building_employment +#REF!* bonus_jobs_facts</f>
        <v>#REF!</v>
      </c>
      <c r="K123" s="133"/>
      <c r="L123" s="61" t="e">
        <f>#REF!</f>
        <v>#REF!</v>
      </c>
      <c r="M123" s="61" t="e">
        <f>#REF!</f>
        <v>#REF!</v>
      </c>
      <c r="N123" s="61" t="e">
        <f>#REF!</f>
        <v>#REF!</v>
      </c>
      <c r="O123" s="61" t="e">
        <f>#REF!</f>
        <v>#REF!</v>
      </c>
      <c r="P123" s="61" t="e">
        <f>#REF!</f>
        <v>#REF!</v>
      </c>
      <c r="Q123" s="61" t="e">
        <f>#REF!</f>
        <v>#REF!</v>
      </c>
      <c r="R123" s="61" t="e">
        <f>#REF!</f>
        <v>#REF!</v>
      </c>
      <c r="S123" s="61" t="e">
        <f>#REF!</f>
        <v>#REF!</v>
      </c>
      <c r="T123" s="134"/>
      <c r="U123" s="39" t="e">
        <f>ROUND(#REF!*(1+#REF!),0)+MIN(#REF!-#REF!-SUM(#REF!),(barracks_size + tech_8_3*#REF!)*#REF!)</f>
        <v>#REF!</v>
      </c>
      <c r="V123" s="39" t="e">
        <f>(#REF!+#REF!)*pop_in_home+(SUM(#REF!)+#REF!-#REF!)*pop_in_building+(SUM(#REF!)-#REF!*20)*pop_on_barren-(SUM(#REF!)-SUM(#REF!))*(15-pop_on_barren)-pop_on_barren*#REF!</f>
        <v>#REF!</v>
      </c>
      <c r="W123" s="39" t="e">
        <f ca="1">MAX(-5%*#REF!-#REF!,MIN(OFFSET(#REF!,1,0)-#REF!-#REF!-#REF!,#REF!-#REF!))</f>
        <v>#REF!</v>
      </c>
      <c r="X123" s="39" t="e">
        <f>ROUND(#REF!*(1+#REF!),0)</f>
        <v>#REF!</v>
      </c>
      <c r="Y123" s="39" t="e">
        <f>(#REF!-#REF!)*raw_pop_growth</f>
        <v>#REF!</v>
      </c>
      <c r="Z123" s="39" t="e">
        <f>IF(#REF!&lt;#REF!,ROUND(#REF!*Constants!$B$55,0), 0)</f>
        <v>#REF!</v>
      </c>
      <c r="AA123" s="134"/>
      <c r="AB123" s="135" t="e">
        <f ca="1">Overview!$I$16 + IF(Magic!AE123&gt;0,Constants!$F$78) + ROUND(6*(Construction!BM124+Construction!CK123)/IF(Explore!S124&gt;0,Construction!F124-20,Construction!F124),4) + tech_6_5_2*Techs!BJ123 + tech_8_4*Techs!BT123</f>
        <v>#REF!</v>
      </c>
      <c r="AC123" s="132" t="e">
        <f ca="1">(Overview!$I$15 + Imps!Z123+ tech_2_5*Techs!AB123 + tech_3_6*Techs!AM123 + tech_6_1*Techs!BJ123 + tech_6_5*Techs!BF123 + tech_7_3_2*Techs!BN123) * (1 + Production!O123/100*prestige_pop_multiplier) + Production!O123/100*prestige_pop_multiplier</f>
        <v>#REF!</v>
      </c>
    </row>
    <row r="124" spans="1:29" x14ac:dyDescent="0.25">
      <c r="A124" s="130" t="e">
        <f>#REF!</f>
        <v>#REF!</v>
      </c>
      <c r="B124" s="131" t="e">
        <f>#REF!</f>
        <v>#REF!</v>
      </c>
      <c r="C124" s="39" t="e">
        <f ca="1">OFFSET(#REF!,-1,0)+OFFSET(#REF!,-1,0)+#REF!</f>
        <v>#REF!</v>
      </c>
      <c r="D124" s="39" t="e">
        <f>#REF!</f>
        <v>#REF!</v>
      </c>
      <c r="E124" s="39" t="e">
        <f>#REF!</f>
        <v>#REF!</v>
      </c>
      <c r="F124" s="39" t="e">
        <f>#REF!+#REF!</f>
        <v>#REF!</v>
      </c>
      <c r="G124" s="132" t="e">
        <f>#REF!/#REF!</f>
        <v>#REF!</v>
      </c>
      <c r="H124" s="39" t="e">
        <f>MIN(#REF!,#REF!)</f>
        <v>#REF!</v>
      </c>
      <c r="I124" s="132" t="e">
        <f ca="1">MIN(OFFSET(#REF!,1,0)/#REF!,1)</f>
        <v>#REF!</v>
      </c>
      <c r="J124" s="39" t="e">
        <f>SUM(#REF!,#REF!,#REF!,#REF!)*building_employment +#REF!* bonus_jobs_facts</f>
        <v>#REF!</v>
      </c>
      <c r="K124" s="133"/>
      <c r="L124" s="61" t="e">
        <f>#REF!</f>
        <v>#REF!</v>
      </c>
      <c r="M124" s="61" t="e">
        <f>#REF!</f>
        <v>#REF!</v>
      </c>
      <c r="N124" s="61" t="e">
        <f>#REF!</f>
        <v>#REF!</v>
      </c>
      <c r="O124" s="61" t="e">
        <f>#REF!</f>
        <v>#REF!</v>
      </c>
      <c r="P124" s="61" t="e">
        <f>#REF!</f>
        <v>#REF!</v>
      </c>
      <c r="Q124" s="61" t="e">
        <f>#REF!</f>
        <v>#REF!</v>
      </c>
      <c r="R124" s="61" t="e">
        <f>#REF!</f>
        <v>#REF!</v>
      </c>
      <c r="S124" s="61" t="e">
        <f>#REF!</f>
        <v>#REF!</v>
      </c>
      <c r="T124" s="134"/>
      <c r="U124" s="39" t="e">
        <f>ROUND(#REF!*(1+#REF!),0)+MIN(#REF!-#REF!-SUM(#REF!),(barracks_size + tech_8_3*#REF!)*#REF!)</f>
        <v>#REF!</v>
      </c>
      <c r="V124" s="39" t="e">
        <f>(#REF!+#REF!)*pop_in_home+(SUM(#REF!)+#REF!-#REF!)*pop_in_building+(SUM(#REF!)-#REF!*20)*pop_on_barren-(SUM(#REF!)-SUM(#REF!))*(15-pop_on_barren)-pop_on_barren*#REF!</f>
        <v>#REF!</v>
      </c>
      <c r="W124" s="39" t="e">
        <f ca="1">MAX(-5%*#REF!-#REF!,MIN(OFFSET(#REF!,1,0)-#REF!-#REF!-#REF!,#REF!-#REF!))</f>
        <v>#REF!</v>
      </c>
      <c r="X124" s="39" t="e">
        <f>ROUND(#REF!*(1+#REF!),0)</f>
        <v>#REF!</v>
      </c>
      <c r="Y124" s="39" t="e">
        <f>(#REF!-#REF!)*raw_pop_growth</f>
        <v>#REF!</v>
      </c>
      <c r="Z124" s="39" t="e">
        <f>IF(#REF!&lt;#REF!,ROUND(#REF!*Constants!$B$55,0), 0)</f>
        <v>#REF!</v>
      </c>
      <c r="AA124" s="134"/>
      <c r="AB124" s="135" t="e">
        <f ca="1">Overview!$I$16 + IF(Magic!AE124&gt;0,Constants!$F$78) + ROUND(6*(Construction!BM125+Construction!CK124)/IF(Explore!S125&gt;0,Construction!F125-20,Construction!F125),4) + tech_6_5_2*Techs!BJ124 + tech_8_4*Techs!BT124</f>
        <v>#REF!</v>
      </c>
      <c r="AC124" s="132" t="e">
        <f ca="1">(Overview!$I$15 + Imps!Z124+ tech_2_5*Techs!AB124 + tech_3_6*Techs!AM124 + tech_6_1*Techs!BJ124 + tech_6_5*Techs!BF124 + tech_7_3_2*Techs!BN124) * (1 + Production!O124/100*prestige_pop_multiplier) + Production!O124/100*prestige_pop_multiplier</f>
        <v>#REF!</v>
      </c>
    </row>
    <row r="125" spans="1:29" x14ac:dyDescent="0.25">
      <c r="A125" s="130" t="e">
        <f>#REF!</f>
        <v>#REF!</v>
      </c>
      <c r="B125" s="131" t="e">
        <f>#REF!</f>
        <v>#REF!</v>
      </c>
      <c r="C125" s="39" t="e">
        <f ca="1">OFFSET(#REF!,-1,0)+OFFSET(#REF!,-1,0)+#REF!</f>
        <v>#REF!</v>
      </c>
      <c r="D125" s="39" t="e">
        <f>#REF!</f>
        <v>#REF!</v>
      </c>
      <c r="E125" s="39" t="e">
        <f>#REF!</f>
        <v>#REF!</v>
      </c>
      <c r="F125" s="39" t="e">
        <f>#REF!+#REF!</f>
        <v>#REF!</v>
      </c>
      <c r="G125" s="132" t="e">
        <f>#REF!/#REF!</f>
        <v>#REF!</v>
      </c>
      <c r="H125" s="39" t="e">
        <f>MIN(#REF!,#REF!)</f>
        <v>#REF!</v>
      </c>
      <c r="I125" s="132" t="e">
        <f ca="1">MIN(OFFSET(#REF!,1,0)/#REF!,1)</f>
        <v>#REF!</v>
      </c>
      <c r="J125" s="39" t="e">
        <f>SUM(#REF!,#REF!,#REF!,#REF!)*building_employment +#REF!* bonus_jobs_facts</f>
        <v>#REF!</v>
      </c>
      <c r="K125" s="133"/>
      <c r="L125" s="61" t="e">
        <f>#REF!</f>
        <v>#REF!</v>
      </c>
      <c r="M125" s="61" t="e">
        <f>#REF!</f>
        <v>#REF!</v>
      </c>
      <c r="N125" s="61" t="e">
        <f>#REF!</f>
        <v>#REF!</v>
      </c>
      <c r="O125" s="61" t="e">
        <f>#REF!</f>
        <v>#REF!</v>
      </c>
      <c r="P125" s="61" t="e">
        <f>#REF!</f>
        <v>#REF!</v>
      </c>
      <c r="Q125" s="61" t="e">
        <f>#REF!</f>
        <v>#REF!</v>
      </c>
      <c r="R125" s="61" t="e">
        <f>#REF!</f>
        <v>#REF!</v>
      </c>
      <c r="S125" s="61" t="e">
        <f>#REF!</f>
        <v>#REF!</v>
      </c>
      <c r="T125" s="134"/>
      <c r="U125" s="39" t="e">
        <f>ROUND(#REF!*(1+#REF!),0)+MIN(#REF!-#REF!-SUM(#REF!),(barracks_size + tech_8_3*#REF!)*#REF!)</f>
        <v>#REF!</v>
      </c>
      <c r="V125" s="39" t="e">
        <f>(#REF!+#REF!)*pop_in_home+(SUM(#REF!)+#REF!-#REF!)*pop_in_building+(SUM(#REF!)-#REF!*20)*pop_on_barren-(SUM(#REF!)-SUM(#REF!))*(15-pop_on_barren)-pop_on_barren*#REF!</f>
        <v>#REF!</v>
      </c>
      <c r="W125" s="39" t="e">
        <f ca="1">MAX(-5%*#REF!-#REF!,MIN(OFFSET(#REF!,1,0)-#REF!-#REF!-#REF!,#REF!-#REF!))</f>
        <v>#REF!</v>
      </c>
      <c r="X125" s="39" t="e">
        <f>ROUND(#REF!*(1+#REF!),0)</f>
        <v>#REF!</v>
      </c>
      <c r="Y125" s="39" t="e">
        <f>(#REF!-#REF!)*raw_pop_growth</f>
        <v>#REF!</v>
      </c>
      <c r="Z125" s="39" t="e">
        <f>IF(#REF!&lt;#REF!,ROUND(#REF!*Constants!$B$55,0), 0)</f>
        <v>#REF!</v>
      </c>
      <c r="AA125" s="134"/>
      <c r="AB125" s="135" t="e">
        <f ca="1">Overview!$I$16 + IF(Magic!AE125&gt;0,Constants!$F$78) + ROUND(6*(Construction!BM126+Construction!CK125)/IF(Explore!S126&gt;0,Construction!F126-20,Construction!F126),4) + tech_6_5_2*Techs!BJ125 + tech_8_4*Techs!BT125</f>
        <v>#REF!</v>
      </c>
      <c r="AC125" s="132" t="e">
        <f ca="1">(Overview!$I$15 + Imps!Z125+ tech_2_5*Techs!AB125 + tech_3_6*Techs!AM125 + tech_6_1*Techs!BJ125 + tech_6_5*Techs!BF125 + tech_7_3_2*Techs!BN125) * (1 + Production!O125/100*prestige_pop_multiplier) + Production!O125/100*prestige_pop_multiplier</f>
        <v>#REF!</v>
      </c>
    </row>
    <row r="126" spans="1:29" x14ac:dyDescent="0.25">
      <c r="A126" s="130" t="e">
        <f>#REF!</f>
        <v>#REF!</v>
      </c>
      <c r="B126" s="131" t="e">
        <f>#REF!</f>
        <v>#REF!</v>
      </c>
      <c r="C126" s="39" t="e">
        <f ca="1">OFFSET(#REF!,-1,0)+OFFSET(#REF!,-1,0)+#REF!</f>
        <v>#REF!</v>
      </c>
      <c r="D126" s="39" t="e">
        <f>#REF!</f>
        <v>#REF!</v>
      </c>
      <c r="E126" s="39" t="e">
        <f>#REF!</f>
        <v>#REF!</v>
      </c>
      <c r="F126" s="39" t="e">
        <f>#REF!+#REF!</f>
        <v>#REF!</v>
      </c>
      <c r="G126" s="132" t="e">
        <f>#REF!/#REF!</f>
        <v>#REF!</v>
      </c>
      <c r="H126" s="39" t="e">
        <f>MIN(#REF!,#REF!)</f>
        <v>#REF!</v>
      </c>
      <c r="I126" s="132" t="e">
        <f ca="1">MIN(OFFSET(#REF!,1,0)/#REF!,1)</f>
        <v>#REF!</v>
      </c>
      <c r="J126" s="39" t="e">
        <f>SUM(#REF!,#REF!,#REF!,#REF!)*building_employment +#REF!* bonus_jobs_facts</f>
        <v>#REF!</v>
      </c>
      <c r="K126" s="133"/>
      <c r="L126" s="61" t="e">
        <f>#REF!</f>
        <v>#REF!</v>
      </c>
      <c r="M126" s="61" t="e">
        <f>#REF!</f>
        <v>#REF!</v>
      </c>
      <c r="N126" s="61" t="e">
        <f>#REF!</f>
        <v>#REF!</v>
      </c>
      <c r="O126" s="61" t="e">
        <f>#REF!</f>
        <v>#REF!</v>
      </c>
      <c r="P126" s="61" t="e">
        <f>#REF!</f>
        <v>#REF!</v>
      </c>
      <c r="Q126" s="61" t="e">
        <f>#REF!</f>
        <v>#REF!</v>
      </c>
      <c r="R126" s="61" t="e">
        <f>#REF!</f>
        <v>#REF!</v>
      </c>
      <c r="S126" s="61" t="e">
        <f>#REF!</f>
        <v>#REF!</v>
      </c>
      <c r="T126" s="134"/>
      <c r="U126" s="39" t="e">
        <f>ROUND(#REF!*(1+#REF!),0)+MIN(#REF!-#REF!-SUM(#REF!),(barracks_size + tech_8_3*#REF!)*#REF!)</f>
        <v>#REF!</v>
      </c>
      <c r="V126" s="39" t="e">
        <f>(#REF!+#REF!)*pop_in_home+(SUM(#REF!)+#REF!-#REF!)*pop_in_building+(SUM(#REF!)-#REF!*20)*pop_on_barren-(SUM(#REF!)-SUM(#REF!))*(15-pop_on_barren)-pop_on_barren*#REF!</f>
        <v>#REF!</v>
      </c>
      <c r="W126" s="39" t="e">
        <f ca="1">MAX(-5%*#REF!-#REF!,MIN(OFFSET(#REF!,1,0)-#REF!-#REF!-#REF!,#REF!-#REF!))</f>
        <v>#REF!</v>
      </c>
      <c r="X126" s="39" t="e">
        <f>ROUND(#REF!*(1+#REF!),0)</f>
        <v>#REF!</v>
      </c>
      <c r="Y126" s="39" t="e">
        <f>(#REF!-#REF!)*raw_pop_growth</f>
        <v>#REF!</v>
      </c>
      <c r="Z126" s="39" t="e">
        <f>IF(#REF!&lt;#REF!,ROUND(#REF!*Constants!$B$55,0), 0)</f>
        <v>#REF!</v>
      </c>
      <c r="AA126" s="134"/>
      <c r="AB126" s="135" t="e">
        <f ca="1">Overview!$I$16 + IF(Magic!AE126&gt;0,Constants!$F$78) + ROUND(6*(Construction!BM127+Construction!CK126)/IF(Explore!S127&gt;0,Construction!F127-20,Construction!F127),4) + tech_6_5_2*Techs!BJ126 + tech_8_4*Techs!BT126</f>
        <v>#REF!</v>
      </c>
      <c r="AC126" s="132" t="e">
        <f ca="1">(Overview!$I$15 + Imps!Z126+ tech_2_5*Techs!AB126 + tech_3_6*Techs!AM126 + tech_6_1*Techs!BJ126 + tech_6_5*Techs!BF126 + tech_7_3_2*Techs!BN126) * (1 + Production!O126/100*prestige_pop_multiplier) + Production!O126/100*prestige_pop_multiplier</f>
        <v>#REF!</v>
      </c>
    </row>
    <row r="127" spans="1:29" x14ac:dyDescent="0.25">
      <c r="A127" s="130" t="e">
        <f>#REF!</f>
        <v>#REF!</v>
      </c>
      <c r="B127" s="131" t="e">
        <f>#REF!</f>
        <v>#REF!</v>
      </c>
      <c r="C127" s="39" t="e">
        <f ca="1">OFFSET(#REF!,-1,0)+OFFSET(#REF!,-1,0)+#REF!</f>
        <v>#REF!</v>
      </c>
      <c r="D127" s="39" t="e">
        <f>#REF!</f>
        <v>#REF!</v>
      </c>
      <c r="E127" s="39" t="e">
        <f>#REF!</f>
        <v>#REF!</v>
      </c>
      <c r="F127" s="39" t="e">
        <f>#REF!+#REF!</f>
        <v>#REF!</v>
      </c>
      <c r="G127" s="132" t="e">
        <f>#REF!/#REF!</f>
        <v>#REF!</v>
      </c>
      <c r="H127" s="39" t="e">
        <f>MIN(#REF!,#REF!)</f>
        <v>#REF!</v>
      </c>
      <c r="I127" s="132" t="e">
        <f ca="1">MIN(OFFSET(#REF!,1,0)/#REF!,1)</f>
        <v>#REF!</v>
      </c>
      <c r="J127" s="39" t="e">
        <f>SUM(#REF!,#REF!,#REF!,#REF!)*building_employment +#REF!* bonus_jobs_facts</f>
        <v>#REF!</v>
      </c>
      <c r="K127" s="133"/>
      <c r="L127" s="61" t="e">
        <f>#REF!</f>
        <v>#REF!</v>
      </c>
      <c r="M127" s="61" t="e">
        <f>#REF!</f>
        <v>#REF!</v>
      </c>
      <c r="N127" s="61" t="e">
        <f>#REF!</f>
        <v>#REF!</v>
      </c>
      <c r="O127" s="61" t="e">
        <f>#REF!</f>
        <v>#REF!</v>
      </c>
      <c r="P127" s="61" t="e">
        <f>#REF!</f>
        <v>#REF!</v>
      </c>
      <c r="Q127" s="61" t="e">
        <f>#REF!</f>
        <v>#REF!</v>
      </c>
      <c r="R127" s="61" t="e">
        <f>#REF!</f>
        <v>#REF!</v>
      </c>
      <c r="S127" s="61" t="e">
        <f>#REF!</f>
        <v>#REF!</v>
      </c>
      <c r="T127" s="134"/>
      <c r="U127" s="39" t="e">
        <f>ROUND(#REF!*(1+#REF!),0)+MIN(#REF!-#REF!-SUM(#REF!),(barracks_size + tech_8_3*#REF!)*#REF!)</f>
        <v>#REF!</v>
      </c>
      <c r="V127" s="39" t="e">
        <f>(#REF!+#REF!)*pop_in_home+(SUM(#REF!)+#REF!-#REF!)*pop_in_building+(SUM(#REF!)-#REF!*20)*pop_on_barren-(SUM(#REF!)-SUM(#REF!))*(15-pop_on_barren)-pop_on_barren*#REF!</f>
        <v>#REF!</v>
      </c>
      <c r="W127" s="39" t="e">
        <f ca="1">MAX(-5%*#REF!-#REF!,MIN(OFFSET(#REF!,1,0)-#REF!-#REF!-#REF!,#REF!-#REF!))</f>
        <v>#REF!</v>
      </c>
      <c r="X127" s="39" t="e">
        <f>ROUND(#REF!*(1+#REF!),0)</f>
        <v>#REF!</v>
      </c>
      <c r="Y127" s="39" t="e">
        <f>(#REF!-#REF!)*raw_pop_growth</f>
        <v>#REF!</v>
      </c>
      <c r="Z127" s="39" t="e">
        <f>IF(#REF!&lt;#REF!,ROUND(#REF!*Constants!$B$55,0), 0)</f>
        <v>#REF!</v>
      </c>
      <c r="AA127" s="134"/>
      <c r="AB127" s="135" t="e">
        <f ca="1">Overview!$I$16 + IF(Magic!AE127&gt;0,Constants!$F$78) + ROUND(6*(Construction!BM128+Construction!CK127)/IF(Explore!S128&gt;0,Construction!F128-20,Construction!F128),4) + tech_6_5_2*Techs!BJ127 + tech_8_4*Techs!BT127</f>
        <v>#REF!</v>
      </c>
      <c r="AC127" s="132" t="e">
        <f ca="1">(Overview!$I$15 + Imps!Z127+ tech_2_5*Techs!AB127 + tech_3_6*Techs!AM127 + tech_6_1*Techs!BJ127 + tech_6_5*Techs!BF127 + tech_7_3_2*Techs!BN127) * (1 + Production!O127/100*prestige_pop_multiplier) + Production!O127/100*prestige_pop_multiplier</f>
        <v>#REF!</v>
      </c>
    </row>
    <row r="128" spans="1:29" x14ac:dyDescent="0.25">
      <c r="A128" s="130" t="e">
        <f>#REF!</f>
        <v>#REF!</v>
      </c>
      <c r="B128" s="131" t="e">
        <f>#REF!</f>
        <v>#REF!</v>
      </c>
      <c r="C128" s="39" t="e">
        <f ca="1">OFFSET(#REF!,-1,0)+OFFSET(#REF!,-1,0)+#REF!</f>
        <v>#REF!</v>
      </c>
      <c r="D128" s="39" t="e">
        <f>#REF!</f>
        <v>#REF!</v>
      </c>
      <c r="E128" s="39" t="e">
        <f>#REF!</f>
        <v>#REF!</v>
      </c>
      <c r="F128" s="39" t="e">
        <f>#REF!+#REF!</f>
        <v>#REF!</v>
      </c>
      <c r="G128" s="132" t="e">
        <f>#REF!/#REF!</f>
        <v>#REF!</v>
      </c>
      <c r="H128" s="39" t="e">
        <f>MIN(#REF!,#REF!)</f>
        <v>#REF!</v>
      </c>
      <c r="I128" s="132" t="e">
        <f ca="1">MIN(OFFSET(#REF!,1,0)/#REF!,1)</f>
        <v>#REF!</v>
      </c>
      <c r="J128" s="39" t="e">
        <f>SUM(#REF!,#REF!,#REF!,#REF!)*building_employment +#REF!* bonus_jobs_facts</f>
        <v>#REF!</v>
      </c>
      <c r="K128" s="133"/>
      <c r="L128" s="61" t="e">
        <f>#REF!</f>
        <v>#REF!</v>
      </c>
      <c r="M128" s="61" t="e">
        <f>#REF!</f>
        <v>#REF!</v>
      </c>
      <c r="N128" s="61" t="e">
        <f>#REF!</f>
        <v>#REF!</v>
      </c>
      <c r="O128" s="61" t="e">
        <f>#REF!</f>
        <v>#REF!</v>
      </c>
      <c r="P128" s="61" t="e">
        <f>#REF!</f>
        <v>#REF!</v>
      </c>
      <c r="Q128" s="61" t="e">
        <f>#REF!</f>
        <v>#REF!</v>
      </c>
      <c r="R128" s="61" t="e">
        <f>#REF!</f>
        <v>#REF!</v>
      </c>
      <c r="S128" s="61" t="e">
        <f>#REF!</f>
        <v>#REF!</v>
      </c>
      <c r="T128" s="134"/>
      <c r="U128" s="39" t="e">
        <f>ROUND(#REF!*(1+#REF!),0)+MIN(#REF!-#REF!-SUM(#REF!),(barracks_size + tech_8_3*#REF!)*#REF!)</f>
        <v>#REF!</v>
      </c>
      <c r="V128" s="39" t="e">
        <f>(#REF!+#REF!)*pop_in_home+(SUM(#REF!)+#REF!-#REF!)*pop_in_building+(SUM(#REF!)-#REF!*20)*pop_on_barren-(SUM(#REF!)-SUM(#REF!))*(15-pop_on_barren)-pop_on_barren*#REF!</f>
        <v>#REF!</v>
      </c>
      <c r="W128" s="39" t="e">
        <f ca="1">MAX(-5%*#REF!-#REF!,MIN(OFFSET(#REF!,1,0)-#REF!-#REF!-#REF!,#REF!-#REF!))</f>
        <v>#REF!</v>
      </c>
      <c r="X128" s="39" t="e">
        <f>ROUND(#REF!*(1+#REF!),0)</f>
        <v>#REF!</v>
      </c>
      <c r="Y128" s="39" t="e">
        <f>(#REF!-#REF!)*raw_pop_growth</f>
        <v>#REF!</v>
      </c>
      <c r="Z128" s="39" t="e">
        <f>IF(#REF!&lt;#REF!,ROUND(#REF!*Constants!$B$55,0), 0)</f>
        <v>#REF!</v>
      </c>
      <c r="AA128" s="134"/>
      <c r="AB128" s="135" t="e">
        <f ca="1">Overview!$I$16 + IF(Magic!AE128&gt;0,Constants!$F$78) + ROUND(6*(Construction!BM129+Construction!CK128)/IF(Explore!S129&gt;0,Construction!F129-20,Construction!F129),4) + tech_6_5_2*Techs!BJ128 + tech_8_4*Techs!BT128</f>
        <v>#REF!</v>
      </c>
      <c r="AC128" s="132" t="e">
        <f ca="1">(Overview!$I$15 + Imps!Z128+ tech_2_5*Techs!AB128 + tech_3_6*Techs!AM128 + tech_6_1*Techs!BJ128 + tech_6_5*Techs!BF128 + tech_7_3_2*Techs!BN128) * (1 + Production!O128/100*prestige_pop_multiplier) + Production!O128/100*prestige_pop_multiplier</f>
        <v>#REF!</v>
      </c>
    </row>
    <row r="129" spans="1:29" x14ac:dyDescent="0.25">
      <c r="A129" s="130" t="e">
        <f>#REF!</f>
        <v>#REF!</v>
      </c>
      <c r="B129" s="131" t="e">
        <f>#REF!</f>
        <v>#REF!</v>
      </c>
      <c r="C129" s="39" t="e">
        <f ca="1">OFFSET(#REF!,-1,0)+OFFSET(#REF!,-1,0)+#REF!</f>
        <v>#REF!</v>
      </c>
      <c r="D129" s="39" t="e">
        <f>#REF!</f>
        <v>#REF!</v>
      </c>
      <c r="E129" s="39" t="e">
        <f>#REF!</f>
        <v>#REF!</v>
      </c>
      <c r="F129" s="39" t="e">
        <f>#REF!+#REF!</f>
        <v>#REF!</v>
      </c>
      <c r="G129" s="132" t="e">
        <f>#REF!/#REF!</f>
        <v>#REF!</v>
      </c>
      <c r="H129" s="39" t="e">
        <f>MIN(#REF!,#REF!)</f>
        <v>#REF!</v>
      </c>
      <c r="I129" s="132" t="e">
        <f ca="1">MIN(OFFSET(#REF!,1,0)/#REF!,1)</f>
        <v>#REF!</v>
      </c>
      <c r="J129" s="39" t="e">
        <f>SUM(#REF!,#REF!,#REF!,#REF!)*building_employment +#REF!* bonus_jobs_facts</f>
        <v>#REF!</v>
      </c>
      <c r="K129" s="133"/>
      <c r="L129" s="61" t="e">
        <f>#REF!</f>
        <v>#REF!</v>
      </c>
      <c r="M129" s="61" t="e">
        <f>#REF!</f>
        <v>#REF!</v>
      </c>
      <c r="N129" s="61" t="e">
        <f>#REF!</f>
        <v>#REF!</v>
      </c>
      <c r="O129" s="61" t="e">
        <f>#REF!</f>
        <v>#REF!</v>
      </c>
      <c r="P129" s="61" t="e">
        <f>#REF!</f>
        <v>#REF!</v>
      </c>
      <c r="Q129" s="61" t="e">
        <f>#REF!</f>
        <v>#REF!</v>
      </c>
      <c r="R129" s="61" t="e">
        <f>#REF!</f>
        <v>#REF!</v>
      </c>
      <c r="S129" s="61" t="e">
        <f>#REF!</f>
        <v>#REF!</v>
      </c>
      <c r="T129" s="134"/>
      <c r="U129" s="39" t="e">
        <f>ROUND(#REF!*(1+#REF!),0)+MIN(#REF!-#REF!-SUM(#REF!),(barracks_size + tech_8_3*#REF!)*#REF!)</f>
        <v>#REF!</v>
      </c>
      <c r="V129" s="39" t="e">
        <f>(#REF!+#REF!)*pop_in_home+(SUM(#REF!)+#REF!-#REF!)*pop_in_building+(SUM(#REF!)-#REF!*20)*pop_on_barren-(SUM(#REF!)-SUM(#REF!))*(15-pop_on_barren)-pop_on_barren*#REF!</f>
        <v>#REF!</v>
      </c>
      <c r="W129" s="39" t="e">
        <f ca="1">MAX(-5%*#REF!-#REF!,MIN(OFFSET(#REF!,1,0)-#REF!-#REF!-#REF!,#REF!-#REF!))</f>
        <v>#REF!</v>
      </c>
      <c r="X129" s="39" t="e">
        <f>ROUND(#REF!*(1+#REF!),0)</f>
        <v>#REF!</v>
      </c>
      <c r="Y129" s="39" t="e">
        <f>(#REF!-#REF!)*raw_pop_growth</f>
        <v>#REF!</v>
      </c>
      <c r="Z129" s="39" t="e">
        <f>IF(#REF!&lt;#REF!,ROUND(#REF!*Constants!$B$55,0), 0)</f>
        <v>#REF!</v>
      </c>
      <c r="AA129" s="134"/>
      <c r="AB129" s="135" t="e">
        <f ca="1">Overview!$I$16 + IF(Magic!AE129&gt;0,Constants!$F$78) + ROUND(6*(Construction!BM130+Construction!CK129)/IF(Explore!S130&gt;0,Construction!F130-20,Construction!F130),4) + tech_6_5_2*Techs!BJ129 + tech_8_4*Techs!BT129</f>
        <v>#REF!</v>
      </c>
      <c r="AC129" s="132" t="e">
        <f ca="1">(Overview!$I$15 + Imps!Z129+ tech_2_5*Techs!AB129 + tech_3_6*Techs!AM129 + tech_6_1*Techs!BJ129 + tech_6_5*Techs!BF129 + tech_7_3_2*Techs!BN129) * (1 + Production!O129/100*prestige_pop_multiplier) + Production!O129/100*prestige_pop_multiplier</f>
        <v>#REF!</v>
      </c>
    </row>
    <row r="130" spans="1:29" x14ac:dyDescent="0.25">
      <c r="A130" s="130" t="e">
        <f>#REF!</f>
        <v>#REF!</v>
      </c>
      <c r="B130" s="131" t="e">
        <f>#REF!</f>
        <v>#REF!</v>
      </c>
      <c r="C130" s="39" t="e">
        <f ca="1">OFFSET(#REF!,-1,0)+OFFSET(#REF!,-1,0)+#REF!</f>
        <v>#REF!</v>
      </c>
      <c r="D130" s="39" t="e">
        <f>#REF!</f>
        <v>#REF!</v>
      </c>
      <c r="E130" s="39" t="e">
        <f>#REF!</f>
        <v>#REF!</v>
      </c>
      <c r="F130" s="39" t="e">
        <f>#REF!+#REF!</f>
        <v>#REF!</v>
      </c>
      <c r="G130" s="132" t="e">
        <f>#REF!/#REF!</f>
        <v>#REF!</v>
      </c>
      <c r="H130" s="39" t="e">
        <f>MIN(#REF!,#REF!)</f>
        <v>#REF!</v>
      </c>
      <c r="I130" s="132" t="e">
        <f ca="1">MIN(OFFSET(#REF!,1,0)/#REF!,1)</f>
        <v>#REF!</v>
      </c>
      <c r="J130" s="39" t="e">
        <f>SUM(#REF!,#REF!,#REF!,#REF!)*building_employment +#REF!* bonus_jobs_facts</f>
        <v>#REF!</v>
      </c>
      <c r="K130" s="133"/>
      <c r="L130" s="61" t="e">
        <f>#REF!</f>
        <v>#REF!</v>
      </c>
      <c r="M130" s="61" t="e">
        <f>#REF!</f>
        <v>#REF!</v>
      </c>
      <c r="N130" s="61" t="e">
        <f>#REF!</f>
        <v>#REF!</v>
      </c>
      <c r="O130" s="61" t="e">
        <f>#REF!</f>
        <v>#REF!</v>
      </c>
      <c r="P130" s="61" t="e">
        <f>#REF!</f>
        <v>#REF!</v>
      </c>
      <c r="Q130" s="61" t="e">
        <f>#REF!</f>
        <v>#REF!</v>
      </c>
      <c r="R130" s="61" t="e">
        <f>#REF!</f>
        <v>#REF!</v>
      </c>
      <c r="S130" s="61" t="e">
        <f>#REF!</f>
        <v>#REF!</v>
      </c>
      <c r="T130" s="134"/>
      <c r="U130" s="39" t="e">
        <f>ROUND(#REF!*(1+#REF!),0)+MIN(#REF!-#REF!-SUM(#REF!),(barracks_size + tech_8_3*#REF!)*#REF!)</f>
        <v>#REF!</v>
      </c>
      <c r="V130" s="39" t="e">
        <f>(#REF!+#REF!)*pop_in_home+(SUM(#REF!)+#REF!-#REF!)*pop_in_building+(SUM(#REF!)-#REF!*20)*pop_on_barren-(SUM(#REF!)-SUM(#REF!))*(15-pop_on_barren)-pop_on_barren*#REF!</f>
        <v>#REF!</v>
      </c>
      <c r="W130" s="39" t="e">
        <f ca="1">MAX(-5%*#REF!-#REF!,MIN(OFFSET(#REF!,1,0)-#REF!-#REF!-#REF!,#REF!-#REF!))</f>
        <v>#REF!</v>
      </c>
      <c r="X130" s="39" t="e">
        <f>ROUND(#REF!*(1+#REF!),0)</f>
        <v>#REF!</v>
      </c>
      <c r="Y130" s="39" t="e">
        <f>(#REF!-#REF!)*raw_pop_growth</f>
        <v>#REF!</v>
      </c>
      <c r="Z130" s="39" t="e">
        <f>IF(#REF!&lt;#REF!,ROUND(#REF!*Constants!$B$55,0), 0)</f>
        <v>#REF!</v>
      </c>
      <c r="AA130" s="134"/>
      <c r="AB130" s="135" t="e">
        <f ca="1">Overview!$I$16 + IF(Magic!AE130&gt;0,Constants!$F$78) + ROUND(6*(Construction!BM131+Construction!CK130)/IF(Explore!S131&gt;0,Construction!F131-20,Construction!F131),4) + tech_6_5_2*Techs!BJ130 + tech_8_4*Techs!BT130</f>
        <v>#REF!</v>
      </c>
      <c r="AC130" s="132" t="e">
        <f ca="1">(Overview!$I$15 + Imps!Z130+ tech_2_5*Techs!AB130 + tech_3_6*Techs!AM130 + tech_6_1*Techs!BJ130 + tech_6_5*Techs!BF130 + tech_7_3_2*Techs!BN130) * (1 + Production!O130/100*prestige_pop_multiplier) + Production!O130/100*prestige_pop_multiplier</f>
        <v>#REF!</v>
      </c>
    </row>
    <row r="131" spans="1:29" x14ac:dyDescent="0.25">
      <c r="A131" s="130" t="e">
        <f>#REF!</f>
        <v>#REF!</v>
      </c>
      <c r="B131" s="131" t="e">
        <f>#REF!</f>
        <v>#REF!</v>
      </c>
      <c r="C131" s="39" t="e">
        <f ca="1">OFFSET(#REF!,-1,0)+OFFSET(#REF!,-1,0)+#REF!</f>
        <v>#REF!</v>
      </c>
      <c r="D131" s="39" t="e">
        <f>#REF!</f>
        <v>#REF!</v>
      </c>
      <c r="E131" s="39" t="e">
        <f>#REF!</f>
        <v>#REF!</v>
      </c>
      <c r="F131" s="39" t="e">
        <f>#REF!+#REF!</f>
        <v>#REF!</v>
      </c>
      <c r="G131" s="132" t="e">
        <f>#REF!/#REF!</f>
        <v>#REF!</v>
      </c>
      <c r="H131" s="39" t="e">
        <f>MIN(#REF!,#REF!)</f>
        <v>#REF!</v>
      </c>
      <c r="I131" s="132" t="e">
        <f ca="1">MIN(OFFSET(#REF!,1,0)/#REF!,1)</f>
        <v>#REF!</v>
      </c>
      <c r="J131" s="39" t="e">
        <f>SUM(#REF!,#REF!,#REF!,#REF!)*building_employment +#REF!* bonus_jobs_facts</f>
        <v>#REF!</v>
      </c>
      <c r="K131" s="133"/>
      <c r="L131" s="61" t="e">
        <f>#REF!</f>
        <v>#REF!</v>
      </c>
      <c r="M131" s="61" t="e">
        <f>#REF!</f>
        <v>#REF!</v>
      </c>
      <c r="N131" s="61" t="e">
        <f>#REF!</f>
        <v>#REF!</v>
      </c>
      <c r="O131" s="61" t="e">
        <f>#REF!</f>
        <v>#REF!</v>
      </c>
      <c r="P131" s="61" t="e">
        <f>#REF!</f>
        <v>#REF!</v>
      </c>
      <c r="Q131" s="61" t="e">
        <f>#REF!</f>
        <v>#REF!</v>
      </c>
      <c r="R131" s="61" t="e">
        <f>#REF!</f>
        <v>#REF!</v>
      </c>
      <c r="S131" s="61" t="e">
        <f>#REF!</f>
        <v>#REF!</v>
      </c>
      <c r="T131" s="134"/>
      <c r="U131" s="39" t="e">
        <f>ROUND(#REF!*(1+#REF!),0)+MIN(#REF!-#REF!-SUM(#REF!),(barracks_size + tech_8_3*#REF!)*#REF!)</f>
        <v>#REF!</v>
      </c>
      <c r="V131" s="39" t="e">
        <f>(#REF!+#REF!)*pop_in_home+(SUM(#REF!)+#REF!-#REF!)*pop_in_building+(SUM(#REF!)-#REF!*20)*pop_on_barren-(SUM(#REF!)-SUM(#REF!))*(15-pop_on_barren)-pop_on_barren*#REF!</f>
        <v>#REF!</v>
      </c>
      <c r="W131" s="39" t="e">
        <f ca="1">MAX(-5%*#REF!-#REF!,MIN(OFFSET(#REF!,1,0)-#REF!-#REF!-#REF!,#REF!-#REF!))</f>
        <v>#REF!</v>
      </c>
      <c r="X131" s="39" t="e">
        <f>ROUND(#REF!*(1+#REF!),0)</f>
        <v>#REF!</v>
      </c>
      <c r="Y131" s="39" t="e">
        <f>(#REF!-#REF!)*raw_pop_growth</f>
        <v>#REF!</v>
      </c>
      <c r="Z131" s="39" t="e">
        <f>IF(#REF!&lt;#REF!,ROUND(#REF!*Constants!$B$55,0), 0)</f>
        <v>#REF!</v>
      </c>
      <c r="AA131" s="134"/>
      <c r="AB131" s="135" t="e">
        <f ca="1">Overview!$I$16 + IF(Magic!AE131&gt;0,Constants!$F$78) + ROUND(6*(Construction!BM132+Construction!CK131)/IF(Explore!S132&gt;0,Construction!F132-20,Construction!F132),4) + tech_6_5_2*Techs!BJ131 + tech_8_4*Techs!BT131</f>
        <v>#REF!</v>
      </c>
      <c r="AC131" s="132" t="e">
        <f ca="1">(Overview!$I$15 + Imps!Z131+ tech_2_5*Techs!AB131 + tech_3_6*Techs!AM131 + tech_6_1*Techs!BJ131 + tech_6_5*Techs!BF131 + tech_7_3_2*Techs!BN131) * (1 + Production!O131/100*prestige_pop_multiplier) + Production!O131/100*prestige_pop_multiplier</f>
        <v>#REF!</v>
      </c>
    </row>
    <row r="132" spans="1:29" x14ac:dyDescent="0.25">
      <c r="A132" s="130" t="e">
        <f>#REF!</f>
        <v>#REF!</v>
      </c>
      <c r="B132" s="131" t="e">
        <f>#REF!</f>
        <v>#REF!</v>
      </c>
      <c r="C132" s="39" t="e">
        <f ca="1">OFFSET(#REF!,-1,0)+OFFSET(#REF!,-1,0)+#REF!</f>
        <v>#REF!</v>
      </c>
      <c r="D132" s="39" t="e">
        <f>#REF!</f>
        <v>#REF!</v>
      </c>
      <c r="E132" s="39" t="e">
        <f>#REF!</f>
        <v>#REF!</v>
      </c>
      <c r="F132" s="39" t="e">
        <f>#REF!+#REF!</f>
        <v>#REF!</v>
      </c>
      <c r="G132" s="132" t="e">
        <f>#REF!/#REF!</f>
        <v>#REF!</v>
      </c>
      <c r="H132" s="39" t="e">
        <f>MIN(#REF!,#REF!)</f>
        <v>#REF!</v>
      </c>
      <c r="I132" s="132" t="e">
        <f ca="1">MIN(OFFSET(#REF!,1,0)/#REF!,1)</f>
        <v>#REF!</v>
      </c>
      <c r="J132" s="39" t="e">
        <f>SUM(#REF!,#REF!,#REF!,#REF!)*building_employment +#REF!* bonus_jobs_facts</f>
        <v>#REF!</v>
      </c>
      <c r="K132" s="133"/>
      <c r="L132" s="61" t="e">
        <f>#REF!</f>
        <v>#REF!</v>
      </c>
      <c r="M132" s="61" t="e">
        <f>#REF!</f>
        <v>#REF!</v>
      </c>
      <c r="N132" s="61" t="e">
        <f>#REF!</f>
        <v>#REF!</v>
      </c>
      <c r="O132" s="61" t="e">
        <f>#REF!</f>
        <v>#REF!</v>
      </c>
      <c r="P132" s="61" t="e">
        <f>#REF!</f>
        <v>#REF!</v>
      </c>
      <c r="Q132" s="61" t="e">
        <f>#REF!</f>
        <v>#REF!</v>
      </c>
      <c r="R132" s="61" t="e">
        <f>#REF!</f>
        <v>#REF!</v>
      </c>
      <c r="S132" s="61" t="e">
        <f>#REF!</f>
        <v>#REF!</v>
      </c>
      <c r="T132" s="134"/>
      <c r="U132" s="39" t="e">
        <f>ROUND(#REF!*(1+#REF!),0)+MIN(#REF!-#REF!-SUM(#REF!),(barracks_size + tech_8_3*#REF!)*#REF!)</f>
        <v>#REF!</v>
      </c>
      <c r="V132" s="39" t="e">
        <f>(#REF!+#REF!)*pop_in_home+(SUM(#REF!)+#REF!-#REF!)*pop_in_building+(SUM(#REF!)-#REF!*20)*pop_on_barren-(SUM(#REF!)-SUM(#REF!))*(15-pop_on_barren)-pop_on_barren*#REF!</f>
        <v>#REF!</v>
      </c>
      <c r="W132" s="39" t="e">
        <f ca="1">MAX(-5%*#REF!-#REF!,MIN(OFFSET(#REF!,1,0)-#REF!-#REF!-#REF!,#REF!-#REF!))</f>
        <v>#REF!</v>
      </c>
      <c r="X132" s="39" t="e">
        <f>ROUND(#REF!*(1+#REF!),0)</f>
        <v>#REF!</v>
      </c>
      <c r="Y132" s="39" t="e">
        <f>(#REF!-#REF!)*raw_pop_growth</f>
        <v>#REF!</v>
      </c>
      <c r="Z132" s="39" t="e">
        <f>IF(#REF!&lt;#REF!,ROUND(#REF!*Constants!$B$55,0), 0)</f>
        <v>#REF!</v>
      </c>
      <c r="AA132" s="134"/>
      <c r="AB132" s="135" t="e">
        <f ca="1">Overview!$I$16 + IF(Magic!AE132&gt;0,Constants!$F$78) + ROUND(6*(Construction!BM133+Construction!CK132)/IF(Explore!S133&gt;0,Construction!F133-20,Construction!F133),4) + tech_6_5_2*Techs!BJ132 + tech_8_4*Techs!BT132</f>
        <v>#REF!</v>
      </c>
      <c r="AC132" s="132" t="e">
        <f ca="1">(Overview!$I$15 + Imps!Z132+ tech_2_5*Techs!AB132 + tech_3_6*Techs!AM132 + tech_6_1*Techs!BJ132 + tech_6_5*Techs!BF132 + tech_7_3_2*Techs!BN132) * (1 + Production!O132/100*prestige_pop_multiplier) + Production!O132/100*prestige_pop_multiplier</f>
        <v>#REF!</v>
      </c>
    </row>
    <row r="133" spans="1:29" x14ac:dyDescent="0.25">
      <c r="A133" s="130" t="e">
        <f>#REF!</f>
        <v>#REF!</v>
      </c>
      <c r="B133" s="131" t="e">
        <f>#REF!</f>
        <v>#REF!</v>
      </c>
      <c r="C133" s="39" t="e">
        <f ca="1">OFFSET(#REF!,-1,0)+OFFSET(#REF!,-1,0)+#REF!</f>
        <v>#REF!</v>
      </c>
      <c r="D133" s="39" t="e">
        <f>#REF!</f>
        <v>#REF!</v>
      </c>
      <c r="E133" s="39" t="e">
        <f>#REF!</f>
        <v>#REF!</v>
      </c>
      <c r="F133" s="39" t="e">
        <f>#REF!+#REF!</f>
        <v>#REF!</v>
      </c>
      <c r="G133" s="132" t="e">
        <f>#REF!/#REF!</f>
        <v>#REF!</v>
      </c>
      <c r="H133" s="39" t="e">
        <f>MIN(#REF!,#REF!)</f>
        <v>#REF!</v>
      </c>
      <c r="I133" s="132" t="e">
        <f ca="1">MIN(OFFSET(#REF!,1,0)/#REF!,1)</f>
        <v>#REF!</v>
      </c>
      <c r="J133" s="39" t="e">
        <f>SUM(#REF!,#REF!,#REF!,#REF!)*building_employment +#REF!* bonus_jobs_facts</f>
        <v>#REF!</v>
      </c>
      <c r="K133" s="133"/>
      <c r="L133" s="61" t="e">
        <f>#REF!</f>
        <v>#REF!</v>
      </c>
      <c r="M133" s="61" t="e">
        <f>#REF!</f>
        <v>#REF!</v>
      </c>
      <c r="N133" s="61" t="e">
        <f>#REF!</f>
        <v>#REF!</v>
      </c>
      <c r="O133" s="61" t="e">
        <f>#REF!</f>
        <v>#REF!</v>
      </c>
      <c r="P133" s="61" t="e">
        <f>#REF!</f>
        <v>#REF!</v>
      </c>
      <c r="Q133" s="61" t="e">
        <f>#REF!</f>
        <v>#REF!</v>
      </c>
      <c r="R133" s="61" t="e">
        <f>#REF!</f>
        <v>#REF!</v>
      </c>
      <c r="S133" s="61" t="e">
        <f>#REF!</f>
        <v>#REF!</v>
      </c>
      <c r="T133" s="134"/>
      <c r="U133" s="39" t="e">
        <f>ROUND(#REF!*(1+#REF!),0)+MIN(#REF!-#REF!-SUM(#REF!),(barracks_size + tech_8_3*#REF!)*#REF!)</f>
        <v>#REF!</v>
      </c>
      <c r="V133" s="39" t="e">
        <f>(#REF!+#REF!)*pop_in_home+(SUM(#REF!)+#REF!-#REF!)*pop_in_building+(SUM(#REF!)-#REF!*20)*pop_on_barren-(SUM(#REF!)-SUM(#REF!))*(15-pop_on_barren)-pop_on_barren*#REF!</f>
        <v>#REF!</v>
      </c>
      <c r="W133" s="39" t="e">
        <f ca="1">MAX(-5%*#REF!-#REF!,MIN(OFFSET(#REF!,1,0)-#REF!-#REF!-#REF!,#REF!-#REF!))</f>
        <v>#REF!</v>
      </c>
      <c r="X133" s="39" t="e">
        <f>ROUND(#REF!*(1+#REF!),0)</f>
        <v>#REF!</v>
      </c>
      <c r="Y133" s="39" t="e">
        <f>(#REF!-#REF!)*raw_pop_growth</f>
        <v>#REF!</v>
      </c>
      <c r="Z133" s="39" t="e">
        <f>IF(#REF!&lt;#REF!,ROUND(#REF!*Constants!$B$55,0), 0)</f>
        <v>#REF!</v>
      </c>
      <c r="AA133" s="134"/>
      <c r="AB133" s="135" t="e">
        <f ca="1">Overview!$I$16 + IF(Magic!AE133&gt;0,Constants!$F$78) + ROUND(6*(Construction!BM134+Construction!CK133)/IF(Explore!S134&gt;0,Construction!F134-20,Construction!F134),4) + tech_6_5_2*Techs!BJ133 + tech_8_4*Techs!BT133</f>
        <v>#REF!</v>
      </c>
      <c r="AC133" s="132" t="e">
        <f ca="1">(Overview!$I$15 + Imps!Z133+ tech_2_5*Techs!AB133 + tech_3_6*Techs!AM133 + tech_6_1*Techs!BJ133 + tech_6_5*Techs!BF133 + tech_7_3_2*Techs!BN133) * (1 + Production!O133/100*prestige_pop_multiplier) + Production!O133/100*prestige_pop_multiplier</f>
        <v>#REF!</v>
      </c>
    </row>
    <row r="134" spans="1:29" x14ac:dyDescent="0.25">
      <c r="A134" s="130" t="e">
        <f>#REF!</f>
        <v>#REF!</v>
      </c>
      <c r="B134" s="131" t="e">
        <f>#REF!</f>
        <v>#REF!</v>
      </c>
      <c r="C134" s="39" t="e">
        <f ca="1">OFFSET(#REF!,-1,0)+OFFSET(#REF!,-1,0)+#REF!</f>
        <v>#REF!</v>
      </c>
      <c r="D134" s="39" t="e">
        <f>#REF!</f>
        <v>#REF!</v>
      </c>
      <c r="E134" s="39" t="e">
        <f>#REF!</f>
        <v>#REF!</v>
      </c>
      <c r="F134" s="39" t="e">
        <f>#REF!+#REF!</f>
        <v>#REF!</v>
      </c>
      <c r="G134" s="132" t="e">
        <f>#REF!/#REF!</f>
        <v>#REF!</v>
      </c>
      <c r="H134" s="39" t="e">
        <f>MIN(#REF!,#REF!)</f>
        <v>#REF!</v>
      </c>
      <c r="I134" s="132" t="e">
        <f ca="1">MIN(OFFSET(#REF!,1,0)/#REF!,1)</f>
        <v>#REF!</v>
      </c>
      <c r="J134" s="39" t="e">
        <f>SUM(#REF!,#REF!,#REF!,#REF!)*building_employment +#REF!* bonus_jobs_facts</f>
        <v>#REF!</v>
      </c>
      <c r="K134" s="133"/>
      <c r="L134" s="61" t="e">
        <f>#REF!</f>
        <v>#REF!</v>
      </c>
      <c r="M134" s="61" t="e">
        <f>#REF!</f>
        <v>#REF!</v>
      </c>
      <c r="N134" s="61" t="e">
        <f>#REF!</f>
        <v>#REF!</v>
      </c>
      <c r="O134" s="61" t="e">
        <f>#REF!</f>
        <v>#REF!</v>
      </c>
      <c r="P134" s="61" t="e">
        <f>#REF!</f>
        <v>#REF!</v>
      </c>
      <c r="Q134" s="61" t="e">
        <f>#REF!</f>
        <v>#REF!</v>
      </c>
      <c r="R134" s="61" t="e">
        <f>#REF!</f>
        <v>#REF!</v>
      </c>
      <c r="S134" s="61" t="e">
        <f>#REF!</f>
        <v>#REF!</v>
      </c>
      <c r="T134" s="134"/>
      <c r="U134" s="39" t="e">
        <f>ROUND(#REF!*(1+#REF!),0)+MIN(#REF!-#REF!-SUM(#REF!),(barracks_size + tech_8_3*#REF!)*#REF!)</f>
        <v>#REF!</v>
      </c>
      <c r="V134" s="39" t="e">
        <f>(#REF!+#REF!)*pop_in_home+(SUM(#REF!)+#REF!-#REF!)*pop_in_building+(SUM(#REF!)-#REF!*20)*pop_on_barren-(SUM(#REF!)-SUM(#REF!))*(15-pop_on_barren)-pop_on_barren*#REF!</f>
        <v>#REF!</v>
      </c>
      <c r="W134" s="39" t="e">
        <f ca="1">MAX(-5%*#REF!-#REF!,MIN(OFFSET(#REF!,1,0)-#REF!-#REF!-#REF!,#REF!-#REF!))</f>
        <v>#REF!</v>
      </c>
      <c r="X134" s="39" t="e">
        <f>ROUND(#REF!*(1+#REF!),0)</f>
        <v>#REF!</v>
      </c>
      <c r="Y134" s="39" t="e">
        <f>(#REF!-#REF!)*raw_pop_growth</f>
        <v>#REF!</v>
      </c>
      <c r="Z134" s="39" t="e">
        <f>IF(#REF!&lt;#REF!,ROUND(#REF!*Constants!$B$55,0), 0)</f>
        <v>#REF!</v>
      </c>
      <c r="AA134" s="134"/>
      <c r="AB134" s="135" t="e">
        <f ca="1">Overview!$I$16 + IF(Magic!AE134&gt;0,Constants!$F$78) + ROUND(6*(Construction!BM135+Construction!CK134)/IF(Explore!S135&gt;0,Construction!F135-20,Construction!F135),4) + tech_6_5_2*Techs!BJ134 + tech_8_4*Techs!BT134</f>
        <v>#REF!</v>
      </c>
      <c r="AC134" s="132" t="e">
        <f ca="1">(Overview!$I$15 + Imps!Z134+ tech_2_5*Techs!AB134 + tech_3_6*Techs!AM134 + tech_6_1*Techs!BJ134 + tech_6_5*Techs!BF134 + tech_7_3_2*Techs!BN134) * (1 + Production!O134/100*prestige_pop_multiplier) + Production!O134/100*prestige_pop_multiplier</f>
        <v>#REF!</v>
      </c>
    </row>
    <row r="135" spans="1:29" x14ac:dyDescent="0.25">
      <c r="A135" s="130" t="e">
        <f>#REF!</f>
        <v>#REF!</v>
      </c>
      <c r="B135" s="131" t="e">
        <f>#REF!</f>
        <v>#REF!</v>
      </c>
      <c r="C135" s="39" t="e">
        <f ca="1">OFFSET(#REF!,-1,0)+OFFSET(#REF!,-1,0)+#REF!</f>
        <v>#REF!</v>
      </c>
      <c r="D135" s="39" t="e">
        <f>#REF!</f>
        <v>#REF!</v>
      </c>
      <c r="E135" s="39" t="e">
        <f>#REF!</f>
        <v>#REF!</v>
      </c>
      <c r="F135" s="39" t="e">
        <f>#REF!+#REF!</f>
        <v>#REF!</v>
      </c>
      <c r="G135" s="132" t="e">
        <f>#REF!/#REF!</f>
        <v>#REF!</v>
      </c>
      <c r="H135" s="39" t="e">
        <f>MIN(#REF!,#REF!)</f>
        <v>#REF!</v>
      </c>
      <c r="I135" s="132" t="e">
        <f ca="1">MIN(OFFSET(#REF!,1,0)/#REF!,1)</f>
        <v>#REF!</v>
      </c>
      <c r="J135" s="39" t="e">
        <f>SUM(#REF!,#REF!,#REF!,#REF!)*building_employment +#REF!* bonus_jobs_facts</f>
        <v>#REF!</v>
      </c>
      <c r="K135" s="133"/>
      <c r="L135" s="61" t="e">
        <f>#REF!</f>
        <v>#REF!</v>
      </c>
      <c r="M135" s="61" t="e">
        <f>#REF!</f>
        <v>#REF!</v>
      </c>
      <c r="N135" s="61" t="e">
        <f>#REF!</f>
        <v>#REF!</v>
      </c>
      <c r="O135" s="61" t="e">
        <f>#REF!</f>
        <v>#REF!</v>
      </c>
      <c r="P135" s="61" t="e">
        <f>#REF!</f>
        <v>#REF!</v>
      </c>
      <c r="Q135" s="61" t="e">
        <f>#REF!</f>
        <v>#REF!</v>
      </c>
      <c r="R135" s="61" t="e">
        <f>#REF!</f>
        <v>#REF!</v>
      </c>
      <c r="S135" s="61" t="e">
        <f>#REF!</f>
        <v>#REF!</v>
      </c>
      <c r="T135" s="134"/>
      <c r="U135" s="39" t="e">
        <f>ROUND(#REF!*(1+#REF!),0)+MIN(#REF!-#REF!-SUM(#REF!),(barracks_size + tech_8_3*#REF!)*#REF!)</f>
        <v>#REF!</v>
      </c>
      <c r="V135" s="39" t="e">
        <f>(#REF!+#REF!)*pop_in_home+(SUM(#REF!)+#REF!-#REF!)*pop_in_building+(SUM(#REF!)-#REF!*20)*pop_on_barren-(SUM(#REF!)-SUM(#REF!))*(15-pop_on_barren)-pop_on_barren*#REF!</f>
        <v>#REF!</v>
      </c>
      <c r="W135" s="39" t="e">
        <f ca="1">MAX(-5%*#REF!-#REF!,MIN(OFFSET(#REF!,1,0)-#REF!-#REF!-#REF!,#REF!-#REF!))</f>
        <v>#REF!</v>
      </c>
      <c r="X135" s="39" t="e">
        <f>ROUND(#REF!*(1+#REF!),0)</f>
        <v>#REF!</v>
      </c>
      <c r="Y135" s="39" t="e">
        <f>(#REF!-#REF!)*raw_pop_growth</f>
        <v>#REF!</v>
      </c>
      <c r="Z135" s="39" t="e">
        <f>IF(#REF!&lt;#REF!,ROUND(#REF!*Constants!$B$55,0), 0)</f>
        <v>#REF!</v>
      </c>
      <c r="AA135" s="134"/>
      <c r="AB135" s="135" t="e">
        <f ca="1">Overview!$I$16 + IF(Magic!AE135&gt;0,Constants!$F$78) + ROUND(6*(Construction!BM136+Construction!CK135)/IF(Explore!S136&gt;0,Construction!F136-20,Construction!F136),4) + tech_6_5_2*Techs!BJ135 + tech_8_4*Techs!BT135</f>
        <v>#REF!</v>
      </c>
      <c r="AC135" s="132" t="e">
        <f ca="1">(Overview!$I$15 + Imps!Z135+ tech_2_5*Techs!AB135 + tech_3_6*Techs!AM135 + tech_6_1*Techs!BJ135 + tech_6_5*Techs!BF135 + tech_7_3_2*Techs!BN135) * (1 + Production!O135/100*prestige_pop_multiplier) + Production!O135/100*prestige_pop_multiplier</f>
        <v>#REF!</v>
      </c>
    </row>
    <row r="136" spans="1:29" x14ac:dyDescent="0.25">
      <c r="A136" s="130" t="e">
        <f>#REF!</f>
        <v>#REF!</v>
      </c>
      <c r="B136" s="131" t="e">
        <f>#REF!</f>
        <v>#REF!</v>
      </c>
      <c r="C136" s="39" t="e">
        <f ca="1">OFFSET(#REF!,-1,0)+OFFSET(#REF!,-1,0)+#REF!</f>
        <v>#REF!</v>
      </c>
      <c r="D136" s="39" t="e">
        <f>#REF!</f>
        <v>#REF!</v>
      </c>
      <c r="E136" s="39" t="e">
        <f>#REF!</f>
        <v>#REF!</v>
      </c>
      <c r="F136" s="39" t="e">
        <f>#REF!+#REF!</f>
        <v>#REF!</v>
      </c>
      <c r="G136" s="132" t="e">
        <f>#REF!/#REF!</f>
        <v>#REF!</v>
      </c>
      <c r="H136" s="39" t="e">
        <f>MIN(#REF!,#REF!)</f>
        <v>#REF!</v>
      </c>
      <c r="I136" s="132" t="e">
        <f ca="1">MIN(OFFSET(#REF!,1,0)/#REF!,1)</f>
        <v>#REF!</v>
      </c>
      <c r="J136" s="39" t="e">
        <f>SUM(#REF!,#REF!,#REF!,#REF!)*building_employment +#REF!* bonus_jobs_facts</f>
        <v>#REF!</v>
      </c>
      <c r="K136" s="133"/>
      <c r="L136" s="61" t="e">
        <f>#REF!</f>
        <v>#REF!</v>
      </c>
      <c r="M136" s="61" t="e">
        <f>#REF!</f>
        <v>#REF!</v>
      </c>
      <c r="N136" s="61" t="e">
        <f>#REF!</f>
        <v>#REF!</v>
      </c>
      <c r="O136" s="61" t="e">
        <f>#REF!</f>
        <v>#REF!</v>
      </c>
      <c r="P136" s="61" t="e">
        <f>#REF!</f>
        <v>#REF!</v>
      </c>
      <c r="Q136" s="61" t="e">
        <f>#REF!</f>
        <v>#REF!</v>
      </c>
      <c r="R136" s="61" t="e">
        <f>#REF!</f>
        <v>#REF!</v>
      </c>
      <c r="S136" s="61" t="e">
        <f>#REF!</f>
        <v>#REF!</v>
      </c>
      <c r="T136" s="134"/>
      <c r="U136" s="39" t="e">
        <f>ROUND(#REF!*(1+#REF!),0)+MIN(#REF!-#REF!-SUM(#REF!),(barracks_size + tech_8_3*#REF!)*#REF!)</f>
        <v>#REF!</v>
      </c>
      <c r="V136" s="39" t="e">
        <f>(#REF!+#REF!)*pop_in_home+(SUM(#REF!)+#REF!-#REF!)*pop_in_building+(SUM(#REF!)-#REF!*20)*pop_on_barren-(SUM(#REF!)-SUM(#REF!))*(15-pop_on_barren)-pop_on_barren*#REF!</f>
        <v>#REF!</v>
      </c>
      <c r="W136" s="39" t="e">
        <f ca="1">MAX(-5%*#REF!-#REF!,MIN(OFFSET(#REF!,1,0)-#REF!-#REF!-#REF!,#REF!-#REF!))</f>
        <v>#REF!</v>
      </c>
      <c r="X136" s="39" t="e">
        <f>ROUND(#REF!*(1+#REF!),0)</f>
        <v>#REF!</v>
      </c>
      <c r="Y136" s="39" t="e">
        <f>(#REF!-#REF!)*raw_pop_growth</f>
        <v>#REF!</v>
      </c>
      <c r="Z136" s="39" t="e">
        <f>IF(#REF!&lt;#REF!,ROUND(#REF!*Constants!$B$55,0), 0)</f>
        <v>#REF!</v>
      </c>
      <c r="AA136" s="134"/>
      <c r="AB136" s="135" t="e">
        <f ca="1">Overview!$I$16 + IF(Magic!AE136&gt;0,Constants!$F$78) + ROUND(6*(Construction!BM137+Construction!CK136)/IF(Explore!S137&gt;0,Construction!E137-20,Construction!E137),4) + tech_6_5_2*Techs!BJ136 + tech_8_4*Techs!BT136</f>
        <v>#REF!</v>
      </c>
      <c r="AC136" s="132" t="e">
        <f ca="1">(Overview!$I$15 + Imps!Z136+ tech_2_5*Techs!AB136 + tech_3_6*Techs!AM136 + tech_6_1*Techs!BJ136 + tech_6_5*Techs!BF136 + tech_7_3_2*Techs!BN136) * (1 + Production!O136/100*prestige_pop_multiplier) + Production!O136/100*prestige_pop_multiplier</f>
        <v>#REF!</v>
      </c>
    </row>
    <row r="1269" spans="3:26" ht="13" x14ac:dyDescent="0.3">
      <c r="C1269" s="448" t="s">
        <v>316</v>
      </c>
      <c r="D1269" s="405"/>
      <c r="W1269" s="39"/>
      <c r="X1269" s="39"/>
      <c r="Y1269" s="39"/>
      <c r="Z1269" s="39"/>
    </row>
    <row r="1270" spans="3:26" ht="13" x14ac:dyDescent="0.3">
      <c r="C1270" s="31" t="e">
        <f>Overview!E17</f>
        <v>#REF!</v>
      </c>
      <c r="D1270" s="31"/>
      <c r="W1270" s="39"/>
      <c r="X1270" s="39"/>
      <c r="Y1270" s="39"/>
      <c r="Z1270" s="39"/>
    </row>
  </sheetData>
  <mergeCells count="6">
    <mergeCell ref="C1269:D1269"/>
    <mergeCell ref="C1:I1"/>
    <mergeCell ref="W1:Z1"/>
    <mergeCell ref="AA1:AD1"/>
    <mergeCell ref="L1:S1"/>
    <mergeCell ref="U1:V1"/>
  </mergeCells>
  <phoneticPr fontId="1"/>
  <conditionalFormatting sqref="A4:AC136">
    <cfRule type="expression" dxfId="82" priority="12" stopIfTrue="1">
      <formula>ROW()-3=$C$1270</formula>
    </cfRule>
    <cfRule type="expression" dxfId="81" priority="112">
      <formula>$A4=73</formula>
    </cfRule>
    <cfRule type="expression" dxfId="80" priority="113">
      <formula>ROUND(($A4-1)/12,0)=INT($A4-1)/12</formula>
    </cfRule>
  </conditionalFormatting>
  <conditionalFormatting sqref="A1:XFD3">
    <cfRule type="expression" dxfId="79" priority="114">
      <formula>$C$1270&lt;0</formula>
    </cfRule>
  </conditionalFormatting>
  <conditionalFormatting sqref="A1269:XFD1270">
    <cfRule type="expression" dxfId="78" priority="106" stopIfTrue="1">
      <formula>$C$1270&gt;144</formula>
    </cfRule>
  </conditionalFormatting>
  <conditionalFormatting sqref="C4:S136">
    <cfRule type="expression" dxfId="77" priority="1" stopIfTrue="1">
      <formula>OR(C4&lt;0,ROW()-3=$C$1270)</formula>
    </cfRule>
  </conditionalFormatting>
  <pageMargins left="0.75" right="0.75" top="1" bottom="1" header="0.5" footer="0.5"/>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BM1270"/>
  <sheetViews>
    <sheetView topLeftCell="AD1" zoomScale="85" zoomScaleNormal="85" workbookViewId="0">
      <pane ySplit="3" topLeftCell="A4" activePane="bottomLeft" state="frozenSplit"/>
      <selection activeCell="A3" sqref="A3"/>
      <selection pane="bottomLeft" activeCell="C4" sqref="C4"/>
    </sheetView>
  </sheetViews>
  <sheetFormatPr defaultColWidth="9.1796875" defaultRowHeight="12.5" x14ac:dyDescent="0.25"/>
  <cols>
    <col min="1" max="1" width="8.54296875" style="57" customWidth="1"/>
    <col min="2" max="2" width="8.54296875" style="3" customWidth="1"/>
    <col min="3" max="3" width="7.1796875" style="3" customWidth="1"/>
    <col min="4" max="4" width="3.81640625" style="3" customWidth="1"/>
    <col min="5" max="17" width="13" style="3" customWidth="1"/>
    <col min="18" max="18" width="3.7265625" style="3" customWidth="1"/>
    <col min="19" max="19" width="9.1796875" style="3" customWidth="1"/>
    <col min="20" max="20" width="10.26953125" style="3" customWidth="1"/>
    <col min="21" max="21" width="13.1796875" style="3" customWidth="1"/>
    <col min="22" max="22" width="10.54296875" style="3" customWidth="1"/>
    <col min="23" max="23" width="9.1796875" style="3" customWidth="1"/>
    <col min="24" max="24" width="11.26953125" style="3" customWidth="1"/>
    <col min="25" max="25" width="10.81640625" style="3" customWidth="1"/>
    <col min="26" max="26" width="3.453125" style="3" customWidth="1"/>
    <col min="27" max="27" width="10.1796875" style="3" customWidth="1"/>
    <col min="28" max="28" width="11.26953125" style="3" customWidth="1"/>
    <col min="29" max="29" width="14.1796875" style="3" customWidth="1"/>
    <col min="30" max="30" width="11.54296875" style="3" customWidth="1"/>
    <col min="31" max="31" width="10.1796875" style="3" customWidth="1"/>
    <col min="32" max="32" width="12.26953125" style="3" customWidth="1"/>
    <col min="33" max="33" width="3.26953125" style="3" customWidth="1"/>
    <col min="34" max="34" width="11.1796875" style="3" customWidth="1"/>
    <col min="35" max="35" width="12.26953125" style="3" customWidth="1"/>
    <col min="36" max="36" width="15.1796875" style="3" customWidth="1"/>
    <col min="37" max="37" width="12.54296875" style="3" customWidth="1"/>
    <col min="38" max="38" width="11.1796875" style="3" customWidth="1"/>
    <col min="39" max="39" width="13.26953125" style="3" customWidth="1"/>
    <col min="40" max="40" width="3.54296875" style="3" customWidth="1"/>
    <col min="41" max="41" width="13.54296875" style="3" customWidth="1"/>
    <col min="42" max="42" width="13.453125" style="3" customWidth="1"/>
    <col min="43" max="43" width="13.7265625" style="3" customWidth="1"/>
    <col min="44" max="44" width="13.26953125" style="3" customWidth="1"/>
    <col min="45" max="45" width="3.81640625" style="3" customWidth="1"/>
    <col min="46" max="50" width="12.7265625" style="3" customWidth="1"/>
    <col min="51" max="51" width="4.1796875" style="3" customWidth="1"/>
    <col min="52" max="52" width="9.453125" style="3" bestFit="1" customWidth="1"/>
    <col min="53" max="53" width="8.7265625" style="3" customWidth="1"/>
    <col min="54" max="54" width="9.54296875" style="3" customWidth="1"/>
    <col min="55" max="58" width="12.7265625" style="3" customWidth="1"/>
    <col min="59" max="59" width="9.81640625" style="3" customWidth="1"/>
    <col min="60" max="60" width="6.81640625" style="3" customWidth="1"/>
    <col min="61" max="65" width="14.453125" style="3" customWidth="1"/>
    <col min="66" max="66" width="9.1796875" style="3" customWidth="1"/>
    <col min="67" max="16384" width="9.1796875" style="3"/>
  </cols>
  <sheetData>
    <row r="1" spans="1:65" s="8" customFormat="1" ht="13" x14ac:dyDescent="0.3">
      <c r="A1" s="31"/>
      <c r="C1" s="8" t="s">
        <v>229</v>
      </c>
      <c r="E1" s="8" t="s">
        <v>17</v>
      </c>
      <c r="S1" s="451" t="s">
        <v>248</v>
      </c>
      <c r="T1" s="451"/>
      <c r="U1" s="451"/>
      <c r="AA1" s="451" t="s">
        <v>85</v>
      </c>
      <c r="AB1" s="451"/>
      <c r="AH1" s="451" t="s">
        <v>165</v>
      </c>
      <c r="AI1" s="451"/>
      <c r="AJ1" s="451"/>
      <c r="AK1" s="451"/>
      <c r="AL1" s="451"/>
      <c r="AM1" s="451"/>
      <c r="AO1" s="8" t="s">
        <v>19</v>
      </c>
      <c r="AT1" s="451" t="s">
        <v>185</v>
      </c>
      <c r="AU1" s="451"/>
      <c r="BC1" s="8" t="s">
        <v>421</v>
      </c>
      <c r="BI1" s="8" t="s">
        <v>17</v>
      </c>
    </row>
    <row r="2" spans="1:65" s="8" customFormat="1" ht="13" x14ac:dyDescent="0.3">
      <c r="A2" s="31"/>
    </row>
    <row r="3" spans="1:65" s="142" customFormat="1" ht="26" x14ac:dyDescent="0.25">
      <c r="A3" s="128" t="s">
        <v>0</v>
      </c>
      <c r="B3" s="128" t="s">
        <v>311</v>
      </c>
      <c r="C3" s="128" t="s">
        <v>322</v>
      </c>
      <c r="D3" s="128" t="s">
        <v>773</v>
      </c>
      <c r="E3" s="128" t="s">
        <v>1</v>
      </c>
      <c r="F3" s="128" t="s">
        <v>21</v>
      </c>
      <c r="G3" s="128" t="s">
        <v>231</v>
      </c>
      <c r="H3" s="128" t="s">
        <v>2</v>
      </c>
      <c r="I3" s="128" t="s">
        <v>5</v>
      </c>
      <c r="J3" s="128" t="s">
        <v>7</v>
      </c>
      <c r="K3" s="128" t="s">
        <v>12</v>
      </c>
      <c r="L3" s="128" t="s">
        <v>3</v>
      </c>
      <c r="M3" s="128" t="s">
        <v>4</v>
      </c>
      <c r="N3" s="128" t="s">
        <v>82</v>
      </c>
      <c r="O3" s="128" t="s">
        <v>352</v>
      </c>
      <c r="P3" s="128" t="s">
        <v>372</v>
      </c>
      <c r="Q3" s="128" t="s">
        <v>373</v>
      </c>
      <c r="R3" s="128" t="s">
        <v>774</v>
      </c>
      <c r="S3" s="128" t="s">
        <v>6</v>
      </c>
      <c r="T3" s="128" t="s">
        <v>9</v>
      </c>
      <c r="U3" s="128" t="s">
        <v>8</v>
      </c>
      <c r="V3" s="128" t="s">
        <v>13</v>
      </c>
      <c r="W3" s="128" t="s">
        <v>10</v>
      </c>
      <c r="X3" s="128" t="s">
        <v>11</v>
      </c>
      <c r="Y3" s="128" t="s">
        <v>50</v>
      </c>
      <c r="Z3" s="128" t="s">
        <v>775</v>
      </c>
      <c r="AA3" s="128" t="s">
        <v>838</v>
      </c>
      <c r="AB3" s="128" t="s">
        <v>839</v>
      </c>
      <c r="AC3" s="128" t="s">
        <v>840</v>
      </c>
      <c r="AD3" s="128" t="s">
        <v>841</v>
      </c>
      <c r="AE3" s="128" t="s">
        <v>842</v>
      </c>
      <c r="AF3" s="128" t="s">
        <v>843</v>
      </c>
      <c r="AG3" s="128" t="s">
        <v>776</v>
      </c>
      <c r="AH3" s="128" t="s">
        <v>844</v>
      </c>
      <c r="AI3" s="128" t="s">
        <v>845</v>
      </c>
      <c r="AJ3" s="128" t="s">
        <v>846</v>
      </c>
      <c r="AK3" s="128" t="s">
        <v>847</v>
      </c>
      <c r="AL3" s="128" t="s">
        <v>848</v>
      </c>
      <c r="AM3" s="128" t="s">
        <v>849</v>
      </c>
      <c r="AN3" s="128" t="s">
        <v>790</v>
      </c>
      <c r="AO3" s="128" t="s">
        <v>14</v>
      </c>
      <c r="AP3" s="128" t="s">
        <v>20</v>
      </c>
      <c r="AQ3" s="128" t="s">
        <v>16</v>
      </c>
      <c r="AR3" s="128" t="s">
        <v>15</v>
      </c>
      <c r="AS3" s="128" t="s">
        <v>791</v>
      </c>
      <c r="AT3" s="128" t="s">
        <v>850</v>
      </c>
      <c r="AU3" s="128" t="s">
        <v>851</v>
      </c>
      <c r="AV3" s="128" t="s">
        <v>852</v>
      </c>
      <c r="AW3" s="128" t="s">
        <v>853</v>
      </c>
      <c r="AX3" s="128" t="s">
        <v>854</v>
      </c>
      <c r="AY3" s="128" t="s">
        <v>792</v>
      </c>
      <c r="AZ3" s="128" t="s">
        <v>326</v>
      </c>
      <c r="BA3" s="128" t="s">
        <v>327</v>
      </c>
      <c r="BB3" s="128" t="s">
        <v>855</v>
      </c>
      <c r="BC3" s="128" t="s">
        <v>856</v>
      </c>
      <c r="BD3" s="128" t="s">
        <v>857</v>
      </c>
      <c r="BE3" s="128" t="s">
        <v>858</v>
      </c>
      <c r="BF3" s="128" t="s">
        <v>859</v>
      </c>
      <c r="BG3" s="128" t="s">
        <v>860</v>
      </c>
      <c r="BH3" s="128" t="s">
        <v>194</v>
      </c>
      <c r="BI3" s="128" t="s">
        <v>861</v>
      </c>
      <c r="BJ3" s="128" t="s">
        <v>862</v>
      </c>
      <c r="BK3" s="128" t="s">
        <v>863</v>
      </c>
      <c r="BL3" s="128" t="s">
        <v>864</v>
      </c>
      <c r="BM3" s="128" t="s">
        <v>865</v>
      </c>
    </row>
    <row r="4" spans="1:65" x14ac:dyDescent="0.25">
      <c r="A4" s="130" t="e">
        <f>#REF!</f>
        <v>#REF!</v>
      </c>
      <c r="B4" s="143" t="e">
        <f>#REF!</f>
        <v>#REF!</v>
      </c>
      <c r="C4" s="144"/>
      <c r="D4" s="133"/>
      <c r="E4" s="39" t="e">
        <f>#REF!</f>
        <v>#REF!</v>
      </c>
      <c r="F4" s="39" t="e">
        <f>#REF!</f>
        <v>#REF!</v>
      </c>
      <c r="G4" s="39" t="e">
        <f>#REF!</f>
        <v>#REF!</v>
      </c>
      <c r="H4" s="360" t="e">
        <f>start_plat -#REF! + IF(#REF!,#REF!*4)+days_late*days_late_plat + SUM(#REF!)*Construction!AM4*tech_3_3_2*#REF!</f>
        <v>#REF!</v>
      </c>
      <c r="I4" s="360">
        <f>start_food+days_late*days_late_food</f>
        <v>15000</v>
      </c>
      <c r="J4" s="360" t="e">
        <f>start_lumber -#REF!+days_late*days_late_lumber + SUM(#REF!)*#REF!*tech_3_3_2*#REF!</f>
        <v>#REF!</v>
      </c>
      <c r="K4" s="360" t="e">
        <f>start_mana -#REF!+days_late*days_late_mana</f>
        <v>#REF!</v>
      </c>
      <c r="L4" s="360" t="e">
        <f>start_ore -#REF!+days_late*days_late_ore</f>
        <v>#REF!</v>
      </c>
      <c r="M4" s="360" t="e">
        <f>start_gems -#REF!</f>
        <v>#REF!</v>
      </c>
      <c r="N4" s="360">
        <f>start_boats</f>
        <v>0</v>
      </c>
      <c r="O4" s="360">
        <f>start_prestige</f>
        <v>250</v>
      </c>
      <c r="P4" s="360" t="e">
        <f>ROUNDDOWN(-#REF!*#REF!,0) + IF(#REF!&lt;&gt;"",350,0)</f>
        <v>#REF!</v>
      </c>
      <c r="Q4" s="39" t="e">
        <f ca="1">MAX(_xlfn.CEILING.MATH(#REF!*2.5+IFERROR(OFFSET(#REF!,-1,0)*150,0)),3750)</f>
        <v>#REF!</v>
      </c>
      <c r="R4" s="134"/>
      <c r="S4" s="39" t="e">
        <f>ROUNDDOWN(#REF!*(1+#REF!),0)</f>
        <v>#REF!</v>
      </c>
      <c r="T4" s="39" t="e">
        <f>ROUND(#REF!*(1+#REF!)-#REF!-#REF!,0)</f>
        <v>#REF!</v>
      </c>
      <c r="U4" s="39" t="e">
        <f>ROUND(#REF!*(1+#REF!)-#REF!,0)</f>
        <v>#REF!</v>
      </c>
      <c r="V4" s="39" t="e">
        <f>ROUND(#REF!*(1+#REF!)-#REF!,0)</f>
        <v>#REF!</v>
      </c>
      <c r="W4" s="39" t="e">
        <f>ROUNDDOWN(#REF!*(1+#REF!),0)</f>
        <v>#REF!</v>
      </c>
      <c r="X4" s="39" t="e">
        <f>ROUNDDOWN(#REF!*(1+#REF!),0)</f>
        <v>#REF!</v>
      </c>
      <c r="Y4" s="145" t="e">
        <f ca="1">OFFSET(#REF!,1,0)*dock_boats_hr * (1 + tech_4_1*#REF!)</f>
        <v>#REF!</v>
      </c>
      <c r="Z4" s="133"/>
      <c r="AA4" s="39" t="e">
        <f ca="1">#REF!*tax*#REF! + (Construction!AZ5+Construction!BX5)*(alch_plat+(Magic!AM4&gt;0)*alchemist_flame_bonus)</f>
        <v>#REF!</v>
      </c>
      <c r="AB4" s="39" t="e">
        <f>#REF!*farm_food +#REF!* dock_food</f>
        <v>#REF!</v>
      </c>
      <c r="AC4" s="39" t="e">
        <f>#REF!*ly_lumber +#REF!* fh_lumber</f>
        <v>#REF!</v>
      </c>
      <c r="AD4" s="39" t="e">
        <f ca="1">OFFSET(#REF!,1,0)*(tower_mana + tech_4_5*#REF!) + OFFSET(#REF!,1,0)*wg_mana_prod</f>
        <v>#REF!</v>
      </c>
      <c r="AE4" s="39" t="e">
        <f ca="1">OFFSET(#REF!,1,0)*om_ore+IF(race="Dwarf",ROUNDDOWN(#REF!*0.4,0),)</f>
        <v>#REF!</v>
      </c>
      <c r="AF4" s="39" t="e">
        <f ca="1">OFFSET(#REF!,1,0)*dm_gems</f>
        <v>#REF!</v>
      </c>
      <c r="AG4" s="134"/>
      <c r="AH4" s="135" t="e">
        <f>MIN(race_platinum_bonus + IF(#REF!&gt;0,alch_frost_bonus,IF(Magic!AD4&gt;0,midas_bonus)) +#REF! -#REF!*( 0.02 + tech_5_7*#REF!) + tech_1_5*#REF! + tech_4_4*#REF!, 0.5)</f>
        <v>#REF!</v>
      </c>
      <c r="AI4" s="132" t="e">
        <f>(1 + race_food_bonus + IF(#REF!&gt;0,gaias_blessing_food,IF(#REF!&gt;0,gaias_watch_bonus)) +#REF! + tech_1_1*#REF! + tech_1_4*#REF! + tech_5_1*#REF! +#REF!/ 100*prestige_food_bonus*(1 + tech_8_1*#REF!)) - 1</f>
        <v>#REF!</v>
      </c>
      <c r="AJ4" s="135" t="e">
        <f>race_lumber_bonus+ IF(#REF!&gt;0,gaias_blessing_lumber)+ tech_1_3*#REF! + tech_1_6*#REF! + tech_3_3*#REF!</f>
        <v>#REF!</v>
      </c>
      <c r="AK4" s="135" t="e">
        <f>race_mana_bonus+ 0 +#REF! + tech_1_2*#REF! + tech_3_4*#REF!</f>
        <v>#REF!</v>
      </c>
      <c r="AL4" s="135" t="e">
        <f>race_ore_bonus + IF(#REF!&gt;0,miners_sight_bonus,IF(#REF!&gt;0,mining_strength_bonus)) +  tech_1_6*#REF!</f>
        <v>#REF!</v>
      </c>
      <c r="AM4" s="135" t="e">
        <f>race_gem_bonus+ tech_3_2*#REF! + tech_4_3*#REF! + tech_6_2*#REF!</f>
        <v>#REF!</v>
      </c>
      <c r="AN4" s="134"/>
      <c r="AO4" s="39" t="e">
        <f>#REF!*food_decay * (1 + tech_2_1*#REF! + tech_2_8*#REF!)</f>
        <v>#REF!</v>
      </c>
      <c r="AP4" s="39" t="e">
        <f>(1+race_food_consumption)*#REF!*food_per_person*(1+tech_1_10*#REF!+tech_7_5*#REF!)</f>
        <v>#REF!</v>
      </c>
      <c r="AQ4" s="39" t="e">
        <f>#REF!*lumber_rot * (1 + tech_2_1*#REF! + tech_2_8*#REF! + tech_5_2*#REF!)</f>
        <v>#REF!</v>
      </c>
      <c r="AR4" s="39" t="e">
        <f>#REF!*mana_drain * (1 + tech_2_1*#REF! + tech_2_8*#REF!)</f>
        <v>#REF!</v>
      </c>
      <c r="AS4" s="133"/>
      <c r="AT4" s="39" t="e">
        <f>#REF!+#REF!+#REF!+#REF!+#REF!-#REF!</f>
        <v>#REF!</v>
      </c>
      <c r="AU4" s="39" t="e">
        <f>#REF!+#REF!-#REF! + Military!$CL$25*#REF!</f>
        <v>#REF!</v>
      </c>
      <c r="AV4" s="39" t="e">
        <f>#REF! + Military!$CL$26*#REF!</f>
        <v>#REF!</v>
      </c>
      <c r="AW4" s="39" t="e">
        <f>Military!$CL$24*#REF!+#REF!-#REF!</f>
        <v>#REF!</v>
      </c>
      <c r="AX4" s="39" t="e">
        <f>#REF!-#REF!</f>
        <v>#REF!</v>
      </c>
      <c r="AY4" s="134"/>
      <c r="AZ4" s="61" t="e">
        <f>IF(#REF!&lt;&gt;"",#REF!,FALSE)</f>
        <v>#REF!</v>
      </c>
      <c r="BA4" s="144"/>
      <c r="BB4" s="3" t="e">
        <f>#REF!</f>
        <v>#REF!</v>
      </c>
      <c r="BC4" s="146" t="e">
        <f>-#REF! / 2 + -#REF! * 2 + -#REF! / 2</f>
        <v>#REF!</v>
      </c>
      <c r="BD4" s="146"/>
      <c r="BE4" s="146"/>
      <c r="BF4" s="146">
        <v>-10000</v>
      </c>
      <c r="BG4" s="147" t="e">
        <f>#REF!</f>
        <v>#REF!</v>
      </c>
      <c r="BH4" s="3" t="e">
        <f>IF(AND(#REF!=0,#REF!=0,#REF!=0,#REF!=0),"",IF(#REF!&gt;0,IF((#REF!+#REF!)/2+#REF!*2+ROUNDUP(#REF!/(1 + tech_2_2*Techs!Y4),0)=0,"Ok","Nope"),IF(#REF!&gt;0,IF((#REF!+#REF!)/2+#REF!*2+ROUNDUP(#REF!/(1 + tech_2_2*Techs!Y4),0)=0,"Ok","Nope"),IF(#REF!&gt;0,IF((#REF!+#REF!)/2+#REF!*2+ROUNDUP(#REF!/(1 + tech_2_2*Techs!Y4),0)=0,"Ok","Nope")))))</f>
        <v>#REF!</v>
      </c>
      <c r="BI4" s="39" t="e">
        <f>#REF!</f>
        <v>#REF!</v>
      </c>
      <c r="BJ4" s="39" t="e">
        <f>#REF!</f>
        <v>#REF!</v>
      </c>
      <c r="BK4" s="39" t="e">
        <f>#REF!</f>
        <v>#REF!</v>
      </c>
      <c r="BL4" s="39" t="e">
        <f>#REF!</f>
        <v>#REF!</v>
      </c>
      <c r="BM4" s="39" t="e">
        <f>#REF!</f>
        <v>#REF!</v>
      </c>
    </row>
    <row r="5" spans="1:65" x14ac:dyDescent="0.25">
      <c r="A5" s="130">
        <v>2</v>
      </c>
      <c r="B5" s="143" t="e">
        <f>#REF!</f>
        <v>#REF!</v>
      </c>
      <c r="C5" s="144"/>
      <c r="D5" s="133"/>
      <c r="E5" s="39" t="e">
        <f>#REF!</f>
        <v>#REF!</v>
      </c>
      <c r="F5" s="39" t="e">
        <f>#REF!</f>
        <v>#REF!</v>
      </c>
      <c r="G5" s="39" t="e">
        <f>#REF!</f>
        <v>#REF!</v>
      </c>
      <c r="H5" s="39" t="e">
        <f ca="1">OFFSET(#REF!,-1,0)+OFFSET(#REF!,-1,0) -#REF! + IF(#REF!,#REF!*4) + SUM(#REF!)*#REF!*tech_3_3_2*#REF!</f>
        <v>#REF!</v>
      </c>
      <c r="I5" s="39" t="e">
        <f ca="1">OFFSET(#REF!,-1,0)+OFFSET(#REF!,-1,0)+ROUNDUP((#REF!*80+#REF!*35)*(1+OFFSET(#REF!,-1,0)),0)</f>
        <v>#REF!</v>
      </c>
      <c r="J5" s="39" t="e">
        <f ca="1">OFFSET(#REF!,-1,0)+OFFSET(#REF!,-1,0) -#REF! + SUM(#REF!)*#REF!*tech_3_3_2*#REF!</f>
        <v>#REF!</v>
      </c>
      <c r="K5" s="39" t="e">
        <f ca="1">OFFSET(#REF!,-1,0)+OFFSET(#REF!,-1,0) -#REF!</f>
        <v>#REF!</v>
      </c>
      <c r="L5" s="39" t="e">
        <f ca="1">OFFSET(#REF!,-1,0)+OFFSET(#REF!,-1,0) -#REF!</f>
        <v>#REF!</v>
      </c>
      <c r="M5" s="39" t="e">
        <f ca="1">OFFSET(#REF!,-1,0)+OFFSET(#REF!,-1,0) -#REF!</f>
        <v>#REF!</v>
      </c>
      <c r="N5" s="39" t="e">
        <f ca="1">OFFSET(#REF!,-1,0)+OFFSET(#REF!,-1,0)</f>
        <v>#REF!</v>
      </c>
      <c r="O5" s="39" t="e">
        <f ca="1">OFFSET(#REF!,-1,0)</f>
        <v>#REF!</v>
      </c>
      <c r="P5" s="39" t="e">
        <f ca="1">ROUNDDOWN(OFFSET(#REF!,-1,0)+(1+research_bonus)*(MIN(#REF!,#REF!*school_max)*(1 - MIN((#REF!/(#REF!-#REF!)),school_max)))-#REF!*#REF!,0) + IF(#REF!&lt;&gt;"",350,0)</f>
        <v>#REF!</v>
      </c>
      <c r="Q5" s="39" t="e">
        <f ca="1">MAX(3750,_xlfn.CEILING.MATH(#REF!*2.5+OFFSET(#REF!,-1,0)*150))</f>
        <v>#REF!</v>
      </c>
      <c r="R5" s="134"/>
      <c r="S5" s="39" t="e">
        <f>ROUNDDOWN(#REF!*(1+#REF!),0)</f>
        <v>#REF!</v>
      </c>
      <c r="T5" s="39" t="e">
        <f>ROUND(#REF!*(1+#REF!)-#REF!-#REF!,0)</f>
        <v>#REF!</v>
      </c>
      <c r="U5" s="39" t="e">
        <f>ROUND(#REF!*(1+#REF!)-#REF!,0)</f>
        <v>#REF!</v>
      </c>
      <c r="V5" s="39" t="e">
        <f>ROUND(#REF!*(1+#REF!)-#REF!,0)</f>
        <v>#REF!</v>
      </c>
      <c r="W5" s="39" t="e">
        <f>ROUNDDOWN(#REF!*(1+#REF!),0)</f>
        <v>#REF!</v>
      </c>
      <c r="X5" s="39" t="e">
        <f>ROUNDDOWN(#REF!*(1+#REF!),0)</f>
        <v>#REF!</v>
      </c>
      <c r="Y5" s="145" t="e">
        <f ca="1">OFFSET(#REF!,1,0)*dock_boats_hr * (1 + tech_4_1*#REF!)</f>
        <v>#REF!</v>
      </c>
      <c r="Z5" s="133"/>
      <c r="AA5" s="39" t="e">
        <f ca="1">#REF!*tax*#REF! + (Construction!AZ6+Construction!BX6)*(alch_plat+(Magic!AM5&gt;0)*alchemist_flame_bonus)</f>
        <v>#REF!</v>
      </c>
      <c r="AB5" s="39" t="e">
        <f>#REF!*farm_food +#REF!* dock_food</f>
        <v>#REF!</v>
      </c>
      <c r="AC5" s="39" t="e">
        <f>#REF!*ly_lumber +#REF!* fh_lumber</f>
        <v>#REF!</v>
      </c>
      <c r="AD5" s="39" t="e">
        <f ca="1">OFFSET(#REF!,1,0)*(tower_mana + tech_4_5*#REF!) + OFFSET(#REF!,1,0)*wg_mana_prod</f>
        <v>#REF!</v>
      </c>
      <c r="AE5" s="39" t="e">
        <f ca="1">OFFSET(#REF!,1,0)*om_ore+IF(race="Dwarf",ROUNDDOWN(#REF!*0.4,0),)</f>
        <v>#REF!</v>
      </c>
      <c r="AF5" s="39" t="e">
        <f ca="1">OFFSET(#REF!,1,0)*dm_gems</f>
        <v>#REF!</v>
      </c>
      <c r="AG5" s="134"/>
      <c r="AH5" s="135" t="e">
        <f>MIN(race_platinum_bonus + IF(#REF!&gt;0,alch_frost_bonus,IF(Magic!AD5&gt;0,midas_bonus)) +#REF! -#REF!*( 0.02 + tech_5_7*#REF!) + tech_1_5*#REF! + tech_4_4*#REF!, 0.5)</f>
        <v>#REF!</v>
      </c>
      <c r="AI5" s="132" t="e">
        <f>(1 + race_food_bonus + IF(#REF!&gt;0,gaias_blessing_food,IF(#REF!&gt;0,gaias_watch_bonus)) +#REF! + tech_1_1*#REF! + tech_1_4*#REF! + tech_5_1*#REF! +#REF!/ 100*prestige_food_bonus*(1 + tech_8_1*#REF!)) - 1</f>
        <v>#REF!</v>
      </c>
      <c r="AJ5" s="135" t="e">
        <f>race_lumber_bonus+ IF(#REF!&gt;0,gaias_blessing_lumber)+ tech_1_3*#REF! + tech_1_6*#REF! + tech_3_3*#REF!</f>
        <v>#REF!</v>
      </c>
      <c r="AK5" s="135" t="e">
        <f>race_mana_bonus+ 0 +#REF! + tech_1_2*#REF! + tech_3_4*#REF!</f>
        <v>#REF!</v>
      </c>
      <c r="AL5" s="135" t="e">
        <f>race_ore_bonus + IF(#REF!&gt;0,miners_sight_bonus,IF(#REF!&gt;0,mining_strength_bonus)) +  tech_1_6*#REF!</f>
        <v>#REF!</v>
      </c>
      <c r="AM5" s="135" t="e">
        <f>race_gem_bonus+ tech_3_2*#REF! + tech_4_3*#REF! + tech_6_2*#REF!</f>
        <v>#REF!</v>
      </c>
      <c r="AN5" s="134"/>
      <c r="AO5" s="39" t="e">
        <f>#REF!*food_decay * (1 + tech_2_1*#REF! + tech_2_8*#REF!)</f>
        <v>#REF!</v>
      </c>
      <c r="AP5" s="39" t="e">
        <f>(1+race_food_consumption)*#REF!*food_per_person*(1+tech_1_10*#REF!+tech_7_5*#REF!)</f>
        <v>#REF!</v>
      </c>
      <c r="AQ5" s="39" t="e">
        <f>#REF!*lumber_rot * (1 + tech_2_1*#REF! + tech_2_8*#REF! + tech_5_2*#REF!)</f>
        <v>#REF!</v>
      </c>
      <c r="AR5" s="39" t="e">
        <f>#REF!*mana_drain * (1 + tech_2_1*#REF! + tech_2_8*#REF!)</f>
        <v>#REF!</v>
      </c>
      <c r="AS5" s="133"/>
      <c r="AT5" s="39" t="e">
        <f>#REF!+#REF!+#REF!+#REF!+#REF!-#REF!</f>
        <v>#REF!</v>
      </c>
      <c r="AU5" s="39" t="e">
        <f>#REF!+#REF!-#REF! + Military!$CL$25*#REF!</f>
        <v>#REF!</v>
      </c>
      <c r="AV5" s="39" t="e">
        <f>#REF! + Military!$CL$26*#REF!</f>
        <v>#REF!</v>
      </c>
      <c r="AW5" s="39" t="e">
        <f>Military!$CL$24*#REF!+#REF!-#REF!</f>
        <v>#REF!</v>
      </c>
      <c r="AX5" s="39" t="e">
        <f>#REF!-#REF!</f>
        <v>#REF!</v>
      </c>
      <c r="AY5" s="134"/>
      <c r="AZ5" s="61" t="e">
        <f ca="1">IF(#REF!&lt;&gt;"",#REF!,OFFSET(#REF!,-1,0))</f>
        <v>#REF!</v>
      </c>
      <c r="BA5" s="144"/>
      <c r="BB5" s="3" t="e">
        <f>#REF!</f>
        <v>#REF!</v>
      </c>
      <c r="BC5" s="146" t="e">
        <f>-#REF! / 2 + -#REF! * 2 + -#REF! / 2</f>
        <v>#REF!</v>
      </c>
      <c r="BD5" s="146"/>
      <c r="BE5" s="146"/>
      <c r="BF5" s="146"/>
      <c r="BG5" s="147" t="e">
        <f>#REF!</f>
        <v>#REF!</v>
      </c>
      <c r="BH5" s="3" t="e">
        <f>IF(AND(#REF!=0,#REF!=0,#REF!=0,#REF!=0),"",IF(#REF!&gt;0,IF((#REF!+#REF!)/2+#REF!*2+ROUNDUP(#REF!/(1 + tech_2_2*Techs!Y5),0)=0,"Ok","Nope"),IF(#REF!&gt;0,IF((#REF!+#REF!)/2+#REF!*2+ROUNDUP(#REF!/(1 + tech_2_2*Techs!Y5),0)=0,"Ok","Nope"),IF(#REF!&gt;0,IF((#REF!+#REF!)/2+#REF!*2+ROUNDUP(#REF!/(1 + tech_2_2*Techs!Y5),0)=0,"Ok","Nope")))))</f>
        <v>#REF!</v>
      </c>
      <c r="BI5" s="39" t="e">
        <f>#REF!</f>
        <v>#REF!</v>
      </c>
      <c r="BJ5" s="39" t="e">
        <f>#REF!</f>
        <v>#REF!</v>
      </c>
      <c r="BK5" s="39" t="e">
        <f>#REF!</f>
        <v>#REF!</v>
      </c>
      <c r="BL5" s="39" t="e">
        <f>#REF!</f>
        <v>#REF!</v>
      </c>
      <c r="BM5" s="39" t="e">
        <f>#REF!</f>
        <v>#REF!</v>
      </c>
    </row>
    <row r="6" spans="1:65" x14ac:dyDescent="0.25">
      <c r="A6" s="130">
        <v>3</v>
      </c>
      <c r="B6" s="143" t="e">
        <f>#REF!</f>
        <v>#REF!</v>
      </c>
      <c r="C6" s="144"/>
      <c r="D6" s="133"/>
      <c r="E6" s="39" t="e">
        <f>#REF!</f>
        <v>#REF!</v>
      </c>
      <c r="F6" s="39" t="e">
        <f>#REF!</f>
        <v>#REF!</v>
      </c>
      <c r="G6" s="39" t="e">
        <f>#REF!</f>
        <v>#REF!</v>
      </c>
      <c r="H6" s="39" t="e">
        <f ca="1">OFFSET(#REF!,-1,0)+OFFSET(#REF!,-1,0) -#REF! + IF(#REF!,#REF!*4) + SUM(#REF!)*#REF!*tech_3_3_2*#REF!</f>
        <v>#REF!</v>
      </c>
      <c r="I6" s="39" t="e">
        <f ca="1">OFFSET(#REF!,-1,0)+OFFSET(#REF!,-1,0)+ROUNDUP((#REF!*80+#REF!*35)*(1+OFFSET(#REF!,-1,0)),0)</f>
        <v>#REF!</v>
      </c>
      <c r="J6" s="39" t="e">
        <f ca="1">OFFSET(#REF!,-1,0)+OFFSET(#REF!,-1,0) -#REF! + SUM(#REF!)*#REF!*tech_3_3_2*#REF!</f>
        <v>#REF!</v>
      </c>
      <c r="K6" s="39" t="e">
        <f ca="1">OFFSET(#REF!,-1,0)+OFFSET(#REF!,-1,0) -#REF!</f>
        <v>#REF!</v>
      </c>
      <c r="L6" s="39" t="e">
        <f ca="1">OFFSET(#REF!,-1,0)+OFFSET(#REF!,-1,0) -#REF!</f>
        <v>#REF!</v>
      </c>
      <c r="M6" s="39" t="e">
        <f ca="1">OFFSET(#REF!,-1,0)+OFFSET(#REF!,-1,0) -#REF!</f>
        <v>#REF!</v>
      </c>
      <c r="N6" s="39" t="e">
        <f ca="1">OFFSET(#REF!,-1,0)+OFFSET(#REF!,-1,0)</f>
        <v>#REF!</v>
      </c>
      <c r="O6" s="39" t="e">
        <f ca="1">OFFSET(#REF!,-1,0)</f>
        <v>#REF!</v>
      </c>
      <c r="P6" s="39" t="e">
        <f ca="1">ROUNDDOWN(OFFSET(#REF!,-1,0)+(1+research_bonus)*(MIN(#REF!,#REF!*school_max)*(1 - MIN((#REF!/(#REF!-#REF!)),school_max)))-#REF!*#REF!,0) + IF(#REF!&lt;&gt;"",350,0)</f>
        <v>#REF!</v>
      </c>
      <c r="Q6" s="39" t="e">
        <f ca="1">MAX(3750,_xlfn.CEILING.MATH(#REF!*2.5+OFFSET(#REF!,-1,0)*150))</f>
        <v>#REF!</v>
      </c>
      <c r="R6" s="134"/>
      <c r="S6" s="39" t="e">
        <f>ROUNDDOWN(#REF!*(1+#REF!),0)</f>
        <v>#REF!</v>
      </c>
      <c r="T6" s="39" t="e">
        <f>ROUND(#REF!*(1+#REF!)-#REF!-#REF!,0)</f>
        <v>#REF!</v>
      </c>
      <c r="U6" s="39" t="e">
        <f>ROUND(#REF!*(1+#REF!)-#REF!,0)</f>
        <v>#REF!</v>
      </c>
      <c r="V6" s="39" t="e">
        <f>ROUND(#REF!*(1+#REF!)-#REF!,0)</f>
        <v>#REF!</v>
      </c>
      <c r="W6" s="39" t="e">
        <f>ROUNDDOWN(#REF!*(1+#REF!),0)</f>
        <v>#REF!</v>
      </c>
      <c r="X6" s="39" t="e">
        <f>ROUNDDOWN(#REF!*(1+#REF!),0)</f>
        <v>#REF!</v>
      </c>
      <c r="Y6" s="145" t="e">
        <f ca="1">OFFSET(#REF!,1,0)*dock_boats_hr * (1 + tech_4_1*#REF!)</f>
        <v>#REF!</v>
      </c>
      <c r="Z6" s="133"/>
      <c r="AA6" s="39" t="e">
        <f ca="1">#REF!*tax*#REF! + (Construction!AZ7+Construction!BX7)*(alch_plat+(Magic!AM6&gt;0)*alchemist_flame_bonus)</f>
        <v>#REF!</v>
      </c>
      <c r="AB6" s="39" t="e">
        <f>#REF!*farm_food +#REF!* dock_food</f>
        <v>#REF!</v>
      </c>
      <c r="AC6" s="39" t="e">
        <f>#REF!*ly_lumber +#REF!* fh_lumber</f>
        <v>#REF!</v>
      </c>
      <c r="AD6" s="39" t="e">
        <f ca="1">OFFSET(#REF!,1,0)*(tower_mana + tech_4_5*#REF!) + OFFSET(#REF!,1,0)*wg_mana_prod</f>
        <v>#REF!</v>
      </c>
      <c r="AE6" s="39" t="e">
        <f ca="1">OFFSET(#REF!,1,0)*om_ore+IF(race="Dwarf",ROUNDDOWN(#REF!*0.4,0),)</f>
        <v>#REF!</v>
      </c>
      <c r="AF6" s="39" t="e">
        <f ca="1">OFFSET(#REF!,1,0)*dm_gems</f>
        <v>#REF!</v>
      </c>
      <c r="AG6" s="134"/>
      <c r="AH6" s="135" t="e">
        <f>MIN(race_platinum_bonus + IF(#REF!&gt;0,alch_frost_bonus,IF(Magic!AD6&gt;0,midas_bonus)) +#REF! -#REF!*( 0.02 + tech_5_7*#REF!) + tech_1_5*#REF! + tech_4_4*#REF!, 0.5)</f>
        <v>#REF!</v>
      </c>
      <c r="AI6" s="132" t="e">
        <f>(1 + race_food_bonus + IF(#REF!&gt;0,gaias_blessing_food,IF(#REF!&gt;0,gaias_watch_bonus)) +#REF! + tech_1_1*#REF! + tech_1_4*#REF! + tech_5_1*#REF! +#REF!/ 100*prestige_food_bonus*(1 + tech_8_1*#REF!)) - 1</f>
        <v>#REF!</v>
      </c>
      <c r="AJ6" s="135" t="e">
        <f>race_lumber_bonus+ IF(#REF!&gt;0,gaias_blessing_lumber)+ tech_1_3*#REF! + tech_1_6*#REF! + tech_3_3*#REF!</f>
        <v>#REF!</v>
      </c>
      <c r="AK6" s="135" t="e">
        <f>race_mana_bonus+ 0 +#REF! + tech_1_2*#REF! + tech_3_4*#REF!</f>
        <v>#REF!</v>
      </c>
      <c r="AL6" s="135" t="e">
        <f>race_ore_bonus + IF(#REF!&gt;0,miners_sight_bonus,IF(#REF!&gt;0,mining_strength_bonus)) +  tech_1_6*#REF!</f>
        <v>#REF!</v>
      </c>
      <c r="AM6" s="135" t="e">
        <f>race_gem_bonus+ tech_3_2*#REF! + tech_4_3*#REF! + tech_6_2*#REF!</f>
        <v>#REF!</v>
      </c>
      <c r="AN6" s="134"/>
      <c r="AO6" s="39" t="e">
        <f>#REF!*food_decay * (1 + tech_2_1*#REF! + tech_2_8*#REF!)</f>
        <v>#REF!</v>
      </c>
      <c r="AP6" s="39" t="e">
        <f>(1+race_food_consumption)*#REF!*food_per_person*(1+tech_1_10*#REF!+tech_7_5*#REF!)</f>
        <v>#REF!</v>
      </c>
      <c r="AQ6" s="39" t="e">
        <f>#REF!*lumber_rot * (1 + tech_2_1*#REF! + tech_2_8*#REF! + tech_5_2*#REF!)</f>
        <v>#REF!</v>
      </c>
      <c r="AR6" s="39" t="e">
        <f>#REF!*mana_drain * (1 + tech_2_1*#REF! + tech_2_8*#REF!)</f>
        <v>#REF!</v>
      </c>
      <c r="AS6" s="133"/>
      <c r="AT6" s="39" t="e">
        <f>#REF!+#REF!+#REF!+#REF!+#REF!-#REF!</f>
        <v>#REF!</v>
      </c>
      <c r="AU6" s="39" t="e">
        <f>#REF!+#REF!-#REF! + Military!$CL$25*#REF!</f>
        <v>#REF!</v>
      </c>
      <c r="AV6" s="39" t="e">
        <f>#REF! + Military!$CL$26*#REF!</f>
        <v>#REF!</v>
      </c>
      <c r="AW6" s="39" t="e">
        <f>Military!$CL$24*#REF!+#REF!-#REF!</f>
        <v>#REF!</v>
      </c>
      <c r="AX6" s="39" t="e">
        <f>#REF!-#REF!</f>
        <v>#REF!</v>
      </c>
      <c r="AY6" s="134"/>
      <c r="AZ6" s="61" t="e">
        <f ca="1">IF(#REF!&lt;&gt;"",#REF!,OFFSET(#REF!,-1,0))</f>
        <v>#REF!</v>
      </c>
      <c r="BA6" s="144"/>
      <c r="BB6" s="3" t="e">
        <f>#REF!</f>
        <v>#REF!</v>
      </c>
      <c r="BC6" s="146" t="e">
        <f>-#REF! / 2 + -#REF! * 2 + -#REF! / 2</f>
        <v>#REF!</v>
      </c>
      <c r="BD6" s="146"/>
      <c r="BE6" s="146"/>
      <c r="BF6" s="146"/>
      <c r="BG6" s="147" t="e">
        <f>#REF!</f>
        <v>#REF!</v>
      </c>
      <c r="BH6" s="3" t="e">
        <f>IF(AND(#REF!=0,#REF!=0,#REF!=0,#REF!=0),"",IF(#REF!&gt;0,IF((#REF!+#REF!)/2+#REF!*2+ROUNDUP(#REF!/(1 + tech_2_2*Techs!Y6),0)=0,"Ok","Nope"),IF(#REF!&gt;0,IF((#REF!+#REF!)/2+#REF!*2+ROUNDUP(#REF!/(1 + tech_2_2*Techs!Y6),0)=0,"Ok","Nope"),IF(#REF!&gt;0,IF((#REF!+#REF!)/2+#REF!*2+ROUNDUP(#REF!/(1 + tech_2_2*Techs!Y6),0)=0,"Ok","Nope")))))</f>
        <v>#REF!</v>
      </c>
      <c r="BI6" s="39" t="e">
        <f>#REF!</f>
        <v>#REF!</v>
      </c>
      <c r="BJ6" s="39" t="e">
        <f>#REF!</f>
        <v>#REF!</v>
      </c>
      <c r="BK6" s="39" t="e">
        <f>#REF!</f>
        <v>#REF!</v>
      </c>
      <c r="BL6" s="39" t="e">
        <f>#REF!</f>
        <v>#REF!</v>
      </c>
      <c r="BM6" s="39" t="e">
        <f>#REF!</f>
        <v>#REF!</v>
      </c>
    </row>
    <row r="7" spans="1:65" x14ac:dyDescent="0.25">
      <c r="A7" s="130">
        <v>4</v>
      </c>
      <c r="B7" s="143" t="e">
        <f>#REF!</f>
        <v>#REF!</v>
      </c>
      <c r="C7" s="144"/>
      <c r="D7" s="133"/>
      <c r="E7" s="39" t="e">
        <f>#REF!</f>
        <v>#REF!</v>
      </c>
      <c r="F7" s="39" t="e">
        <f>#REF!</f>
        <v>#REF!</v>
      </c>
      <c r="G7" s="39" t="e">
        <f>#REF!</f>
        <v>#REF!</v>
      </c>
      <c r="H7" s="39" t="e">
        <f ca="1">OFFSET(#REF!,-1,0)+OFFSET(#REF!,-1,0) -#REF! + IF(#REF!,#REF!*4) + SUM(#REF!)*#REF!*tech_3_3_2*#REF!</f>
        <v>#REF!</v>
      </c>
      <c r="I7" s="39" t="e">
        <f ca="1">OFFSET(#REF!,-1,0)+OFFSET(#REF!,-1,0)+ROUNDUP((#REF!*80+#REF!*35)*(1+OFFSET(#REF!,-1,0)),0)</f>
        <v>#REF!</v>
      </c>
      <c r="J7" s="39" t="e">
        <f ca="1">OFFSET(#REF!,-1,0)+OFFSET(#REF!,-1,0) -#REF! + SUM(#REF!)*#REF!*tech_3_3_2*#REF!</f>
        <v>#REF!</v>
      </c>
      <c r="K7" s="39" t="e">
        <f ca="1">OFFSET(#REF!,-1,0)+OFFSET(#REF!,-1,0) -#REF!</f>
        <v>#REF!</v>
      </c>
      <c r="L7" s="39" t="e">
        <f ca="1">OFFSET(#REF!,-1,0)+OFFSET(#REF!,-1,0) -#REF!</f>
        <v>#REF!</v>
      </c>
      <c r="M7" s="39" t="e">
        <f ca="1">OFFSET(#REF!,-1,0)+OFFSET(#REF!,-1,0) -#REF!</f>
        <v>#REF!</v>
      </c>
      <c r="N7" s="39" t="e">
        <f ca="1">OFFSET(#REF!,-1,0)+OFFSET(#REF!,-1,0)</f>
        <v>#REF!</v>
      </c>
      <c r="O7" s="39" t="e">
        <f ca="1">OFFSET(#REF!,-1,0)</f>
        <v>#REF!</v>
      </c>
      <c r="P7" s="39" t="e">
        <f ca="1">ROUNDDOWN(OFFSET(#REF!,-1,0)+(1+research_bonus)*(MIN(#REF!,#REF!*school_max)*(1 - MIN((#REF!/(#REF!-#REF!)),school_max)))-#REF!*#REF!,0) + IF(#REF!&lt;&gt;"",350,0)</f>
        <v>#REF!</v>
      </c>
      <c r="Q7" s="39" t="e">
        <f ca="1">MAX(3750,_xlfn.CEILING.MATH(#REF!*2.5+OFFSET(#REF!,-1,0)*150))</f>
        <v>#REF!</v>
      </c>
      <c r="R7" s="134"/>
      <c r="S7" s="39" t="e">
        <f>ROUNDDOWN(#REF!*(1+#REF!),0)</f>
        <v>#REF!</v>
      </c>
      <c r="T7" s="39" t="e">
        <f>ROUND(#REF!*(1+#REF!)-#REF!-#REF!,0)</f>
        <v>#REF!</v>
      </c>
      <c r="U7" s="39" t="e">
        <f>ROUND(#REF!*(1+#REF!)-#REF!,0)</f>
        <v>#REF!</v>
      </c>
      <c r="V7" s="39" t="e">
        <f>ROUND(#REF!*(1+#REF!)-#REF!,0)</f>
        <v>#REF!</v>
      </c>
      <c r="W7" s="39" t="e">
        <f>ROUNDDOWN(#REF!*(1+#REF!),0)</f>
        <v>#REF!</v>
      </c>
      <c r="X7" s="39" t="e">
        <f>ROUNDDOWN(#REF!*(1+#REF!),0)</f>
        <v>#REF!</v>
      </c>
      <c r="Y7" s="145" t="e">
        <f ca="1">OFFSET(#REF!,1,0)*dock_boats_hr * (1 + tech_4_1*#REF!)</f>
        <v>#REF!</v>
      </c>
      <c r="Z7" s="133"/>
      <c r="AA7" s="39" t="e">
        <f ca="1">#REF!*tax*#REF! + (Construction!AZ8+Construction!BX8)*(alch_plat+(Magic!AM7&gt;0)*alchemist_flame_bonus)</f>
        <v>#REF!</v>
      </c>
      <c r="AB7" s="39" t="e">
        <f>#REF!*farm_food +#REF!* dock_food</f>
        <v>#REF!</v>
      </c>
      <c r="AC7" s="39" t="e">
        <f>#REF!*ly_lumber +#REF!* fh_lumber</f>
        <v>#REF!</v>
      </c>
      <c r="AD7" s="39" t="e">
        <f ca="1">OFFSET(#REF!,1,0)*(tower_mana + tech_4_5*#REF!) + OFFSET(#REF!,1,0)*wg_mana_prod</f>
        <v>#REF!</v>
      </c>
      <c r="AE7" s="39" t="e">
        <f ca="1">OFFSET(#REF!,1,0)*om_ore+IF(race="Dwarf",ROUNDDOWN(#REF!*0.4,0),)</f>
        <v>#REF!</v>
      </c>
      <c r="AF7" s="39" t="e">
        <f ca="1">OFFSET(#REF!,1,0)*dm_gems</f>
        <v>#REF!</v>
      </c>
      <c r="AG7" s="134"/>
      <c r="AH7" s="135" t="e">
        <f>MIN(race_platinum_bonus + IF(#REF!&gt;0,alch_frost_bonus,IF(Magic!AD7&gt;0,midas_bonus)) +#REF! -#REF!*( 0.02 + tech_5_7*#REF!) + tech_1_5*#REF! + tech_4_4*#REF!, 0.5)</f>
        <v>#REF!</v>
      </c>
      <c r="AI7" s="132" t="e">
        <f>(1 + race_food_bonus + IF(#REF!&gt;0,gaias_blessing_food,IF(#REF!&gt;0,gaias_watch_bonus)) +#REF! + tech_1_1*#REF! + tech_1_4*#REF! + tech_5_1*#REF! +#REF!/ 100*prestige_food_bonus*(1 + tech_8_1*#REF!)) - 1</f>
        <v>#REF!</v>
      </c>
      <c r="AJ7" s="135" t="e">
        <f>race_lumber_bonus+ IF(#REF!&gt;0,gaias_blessing_lumber)+ tech_1_3*#REF! + tech_1_6*#REF! + tech_3_3*#REF!</f>
        <v>#REF!</v>
      </c>
      <c r="AK7" s="135" t="e">
        <f>race_mana_bonus+ 0 +#REF! + tech_1_2*#REF! + tech_3_4*#REF!</f>
        <v>#REF!</v>
      </c>
      <c r="AL7" s="135" t="e">
        <f>race_ore_bonus + IF(#REF!&gt;0,miners_sight_bonus,IF(#REF!&gt;0,mining_strength_bonus)) +  tech_1_6*#REF!</f>
        <v>#REF!</v>
      </c>
      <c r="AM7" s="135" t="e">
        <f>race_gem_bonus+ tech_3_2*#REF! + tech_4_3*#REF! + tech_6_2*#REF!</f>
        <v>#REF!</v>
      </c>
      <c r="AN7" s="134"/>
      <c r="AO7" s="39" t="e">
        <f>#REF!*food_decay * (1 + tech_2_1*#REF! + tech_2_8*#REF!)</f>
        <v>#REF!</v>
      </c>
      <c r="AP7" s="39" t="e">
        <f>(1+race_food_consumption)*#REF!*food_per_person*(1+tech_1_10*#REF!+tech_7_5*#REF!)</f>
        <v>#REF!</v>
      </c>
      <c r="AQ7" s="39" t="e">
        <f>#REF!*lumber_rot * (1 + tech_2_1*#REF! + tech_2_8*#REF! + tech_5_2*#REF!)</f>
        <v>#REF!</v>
      </c>
      <c r="AR7" s="39" t="e">
        <f>#REF!*mana_drain * (1 + tech_2_1*#REF! + tech_2_8*#REF!)</f>
        <v>#REF!</v>
      </c>
      <c r="AS7" s="133"/>
      <c r="AT7" s="39" t="e">
        <f>#REF!+#REF!+#REF!+#REF!+#REF!-#REF!</f>
        <v>#REF!</v>
      </c>
      <c r="AU7" s="39" t="e">
        <f>#REF!+#REF!-#REF! + Military!$CL$25*#REF!</f>
        <v>#REF!</v>
      </c>
      <c r="AV7" s="39" t="e">
        <f>#REF! + Military!$CL$26*#REF!</f>
        <v>#REF!</v>
      </c>
      <c r="AW7" s="39" t="e">
        <f>Military!$CL$24*#REF!+#REF!-#REF!</f>
        <v>#REF!</v>
      </c>
      <c r="AX7" s="39" t="e">
        <f>#REF!-#REF!</f>
        <v>#REF!</v>
      </c>
      <c r="AY7" s="134"/>
      <c r="AZ7" s="61" t="e">
        <f ca="1">IF(#REF!&lt;&gt;"",#REF!,OFFSET(#REF!,-1,0))</f>
        <v>#REF!</v>
      </c>
      <c r="BA7" s="144"/>
      <c r="BB7" s="3" t="e">
        <f>#REF!</f>
        <v>#REF!</v>
      </c>
      <c r="BC7" s="146" t="e">
        <f>-#REF! / 2 + -#REF! * 2 + -#REF! / 2</f>
        <v>#REF!</v>
      </c>
      <c r="BD7" s="146"/>
      <c r="BE7" s="146"/>
      <c r="BF7" s="146"/>
      <c r="BG7" s="147" t="e">
        <f>#REF!</f>
        <v>#REF!</v>
      </c>
      <c r="BH7" s="3" t="e">
        <f>IF(AND(#REF!=0,#REF!=0,#REF!=0,#REF!=0),"",IF(#REF!&gt;0,IF((#REF!+#REF!)/2+#REF!*2+ROUNDUP(#REF!/(1 + tech_2_2*Techs!Y7),0)=0,"Ok","Nope"),IF(#REF!&gt;0,IF((#REF!+#REF!)/2+#REF!*2+ROUNDUP(#REF!/(1 + tech_2_2*Techs!Y7),0)=0,"Ok","Nope"),IF(#REF!&gt;0,IF((#REF!+#REF!)/2+#REF!*2+ROUNDUP(#REF!/(1 + tech_2_2*Techs!Y7),0)=0,"Ok","Nope")))))</f>
        <v>#REF!</v>
      </c>
      <c r="BI7" s="39" t="e">
        <f>#REF!</f>
        <v>#REF!</v>
      </c>
      <c r="BJ7" s="39" t="e">
        <f>#REF!</f>
        <v>#REF!</v>
      </c>
      <c r="BK7" s="39" t="e">
        <f>#REF!</f>
        <v>#REF!</v>
      </c>
      <c r="BL7" s="39" t="e">
        <f>#REF!</f>
        <v>#REF!</v>
      </c>
      <c r="BM7" s="39" t="e">
        <f>#REF!</f>
        <v>#REF!</v>
      </c>
    </row>
    <row r="8" spans="1:65" x14ac:dyDescent="0.25">
      <c r="A8" s="130">
        <v>5</v>
      </c>
      <c r="B8" s="143" t="e">
        <f>#REF!</f>
        <v>#REF!</v>
      </c>
      <c r="C8" s="144"/>
      <c r="D8" s="133"/>
      <c r="E8" s="39" t="e">
        <f>#REF!</f>
        <v>#REF!</v>
      </c>
      <c r="F8" s="39" t="e">
        <f>#REF!</f>
        <v>#REF!</v>
      </c>
      <c r="G8" s="39" t="e">
        <f>#REF!</f>
        <v>#REF!</v>
      </c>
      <c r="H8" s="39" t="e">
        <f ca="1">OFFSET(#REF!,-1,0)+OFFSET(#REF!,-1,0) -#REF! + IF(#REF!,#REF!*4) + SUM(#REF!)*#REF!*tech_3_3_2*#REF!</f>
        <v>#REF!</v>
      </c>
      <c r="I8" s="39" t="e">
        <f ca="1">OFFSET(#REF!,-1,0)+OFFSET(#REF!,-1,0)+ROUNDUP((#REF!*80+#REF!*35)*(1+OFFSET(#REF!,-1,0)),0)</f>
        <v>#REF!</v>
      </c>
      <c r="J8" s="39" t="e">
        <f ca="1">OFFSET(#REF!,-1,0)+OFFSET(#REF!,-1,0) -#REF! + SUM(#REF!)*#REF!*tech_3_3_2*#REF!</f>
        <v>#REF!</v>
      </c>
      <c r="K8" s="39" t="e">
        <f ca="1">OFFSET(#REF!,-1,0)+OFFSET(#REF!,-1,0) -#REF!</f>
        <v>#REF!</v>
      </c>
      <c r="L8" s="39" t="e">
        <f ca="1">OFFSET(#REF!,-1,0)+OFFSET(#REF!,-1,0) -#REF!</f>
        <v>#REF!</v>
      </c>
      <c r="M8" s="39" t="e">
        <f ca="1">OFFSET(#REF!,-1,0)+OFFSET(#REF!,-1,0) -#REF!</f>
        <v>#REF!</v>
      </c>
      <c r="N8" s="39" t="e">
        <f ca="1">OFFSET(#REF!,-1,0)+OFFSET(#REF!,-1,0)</f>
        <v>#REF!</v>
      </c>
      <c r="O8" s="39" t="e">
        <f ca="1">OFFSET(#REF!,-1,0)</f>
        <v>#REF!</v>
      </c>
      <c r="P8" s="39" t="e">
        <f ca="1">ROUNDDOWN(OFFSET(#REF!,-1,0)+(1+research_bonus)*(MIN(#REF!,#REF!*school_max)*(1 - MIN((#REF!/(#REF!-#REF!)),school_max)))-#REF!*#REF!,0) + IF(#REF!&lt;&gt;"",350,0)</f>
        <v>#REF!</v>
      </c>
      <c r="Q8" s="39" t="e">
        <f ca="1">MAX(3750,_xlfn.CEILING.MATH(#REF!*2.5+OFFSET(#REF!,-1,0)*150))</f>
        <v>#REF!</v>
      </c>
      <c r="R8" s="134"/>
      <c r="S8" s="39" t="e">
        <f>ROUNDDOWN(#REF!*(1+#REF!),0)</f>
        <v>#REF!</v>
      </c>
      <c r="T8" s="39" t="e">
        <f>ROUND(#REF!*(1+#REF!)-#REF!-#REF!,0)</f>
        <v>#REF!</v>
      </c>
      <c r="U8" s="39" t="e">
        <f>ROUND(#REF!*(1+#REF!)-#REF!,0)</f>
        <v>#REF!</v>
      </c>
      <c r="V8" s="39" t="e">
        <f>ROUND(#REF!*(1+#REF!)-#REF!,0)</f>
        <v>#REF!</v>
      </c>
      <c r="W8" s="39" t="e">
        <f>ROUNDDOWN(#REF!*(1+#REF!),0)</f>
        <v>#REF!</v>
      </c>
      <c r="X8" s="39" t="e">
        <f>ROUNDDOWN(#REF!*(1+#REF!),0)</f>
        <v>#REF!</v>
      </c>
      <c r="Y8" s="145" t="e">
        <f ca="1">OFFSET(#REF!,1,0)*dock_boats_hr * (1 + tech_4_1*#REF!)</f>
        <v>#REF!</v>
      </c>
      <c r="Z8" s="133"/>
      <c r="AA8" s="39" t="e">
        <f ca="1">#REF!*tax*#REF! + (Construction!AZ9+Construction!BX9)*(alch_plat+(Magic!AM8&gt;0)*alchemist_flame_bonus)</f>
        <v>#REF!</v>
      </c>
      <c r="AB8" s="39" t="e">
        <f>#REF!*farm_food +#REF!* dock_food</f>
        <v>#REF!</v>
      </c>
      <c r="AC8" s="39" t="e">
        <f>#REF!*ly_lumber +#REF!* fh_lumber</f>
        <v>#REF!</v>
      </c>
      <c r="AD8" s="39" t="e">
        <f ca="1">OFFSET(#REF!,1,0)*(tower_mana + tech_4_5*#REF!) + OFFSET(#REF!,1,0)*wg_mana_prod</f>
        <v>#REF!</v>
      </c>
      <c r="AE8" s="39" t="e">
        <f ca="1">OFFSET(#REF!,1,0)*om_ore+IF(race="Dwarf",ROUNDDOWN(#REF!*0.4,0),)</f>
        <v>#REF!</v>
      </c>
      <c r="AF8" s="39" t="e">
        <f ca="1">OFFSET(#REF!,1,0)*dm_gems</f>
        <v>#REF!</v>
      </c>
      <c r="AG8" s="134"/>
      <c r="AH8" s="135" t="e">
        <f>MIN(race_platinum_bonus + IF(#REF!&gt;0,alch_frost_bonus,IF(Magic!AD8&gt;0,midas_bonus)) +#REF! -#REF!*( 0.02 + tech_5_7*#REF!) + tech_1_5*#REF! + tech_4_4*#REF!, 0.5)</f>
        <v>#REF!</v>
      </c>
      <c r="AI8" s="132" t="e">
        <f>(1 + race_food_bonus + IF(#REF!&gt;0,gaias_blessing_food,IF(#REF!&gt;0,gaias_watch_bonus)) +#REF! + tech_1_1*#REF! + tech_1_4*#REF! + tech_5_1*#REF! +#REF!/ 100*prestige_food_bonus*(1 + tech_8_1*#REF!)) - 1</f>
        <v>#REF!</v>
      </c>
      <c r="AJ8" s="135" t="e">
        <f>race_lumber_bonus+ IF(#REF!&gt;0,gaias_blessing_lumber)+ tech_1_3*#REF! + tech_1_6*#REF! + tech_3_3*#REF!</f>
        <v>#REF!</v>
      </c>
      <c r="AK8" s="135" t="e">
        <f>race_mana_bonus+ 0 +#REF! + tech_1_2*#REF! + tech_3_4*#REF!</f>
        <v>#REF!</v>
      </c>
      <c r="AL8" s="135" t="e">
        <f>race_ore_bonus + IF(#REF!&gt;0,miners_sight_bonus,IF(#REF!&gt;0,mining_strength_bonus)) +  tech_1_6*#REF!</f>
        <v>#REF!</v>
      </c>
      <c r="AM8" s="135" t="e">
        <f>race_gem_bonus+ tech_3_2*#REF! + tech_4_3*#REF! + tech_6_2*#REF!</f>
        <v>#REF!</v>
      </c>
      <c r="AN8" s="134"/>
      <c r="AO8" s="39" t="e">
        <f>#REF!*food_decay * (1 + tech_2_1*#REF! + tech_2_8*#REF!)</f>
        <v>#REF!</v>
      </c>
      <c r="AP8" s="39" t="e">
        <f>(1+race_food_consumption)*#REF!*food_per_person*(1+tech_1_10*#REF!+tech_7_5*#REF!)</f>
        <v>#REF!</v>
      </c>
      <c r="AQ8" s="39" t="e">
        <f>#REF!*lumber_rot * (1 + tech_2_1*#REF! + tech_2_8*#REF! + tech_5_2*#REF!)</f>
        <v>#REF!</v>
      </c>
      <c r="AR8" s="39" t="e">
        <f>#REF!*mana_drain * (1 + tech_2_1*#REF! + tech_2_8*#REF!)</f>
        <v>#REF!</v>
      </c>
      <c r="AS8" s="133"/>
      <c r="AT8" s="39" t="e">
        <f>#REF!+#REF!+#REF!+#REF!+#REF!-#REF!</f>
        <v>#REF!</v>
      </c>
      <c r="AU8" s="39" t="e">
        <f>#REF!+#REF!-#REF! + Military!$CL$25*#REF!</f>
        <v>#REF!</v>
      </c>
      <c r="AV8" s="39" t="e">
        <f>#REF! + Military!$CL$26*#REF!</f>
        <v>#REF!</v>
      </c>
      <c r="AW8" s="39" t="e">
        <f>Military!$CL$24*#REF!+#REF!-#REF!</f>
        <v>#REF!</v>
      </c>
      <c r="AX8" s="39" t="e">
        <f>#REF!-#REF!</f>
        <v>#REF!</v>
      </c>
      <c r="AY8" s="134"/>
      <c r="AZ8" s="61" t="e">
        <f ca="1">IF(#REF!&lt;&gt;"",#REF!,OFFSET(#REF!,-1,0))</f>
        <v>#REF!</v>
      </c>
      <c r="BA8" s="144"/>
      <c r="BB8" s="3" t="e">
        <f>#REF!</f>
        <v>#REF!</v>
      </c>
      <c r="BC8" s="146" t="e">
        <f>-#REF! / 2 + -#REF! * 2 + -#REF! / 2</f>
        <v>#REF!</v>
      </c>
      <c r="BD8" s="146"/>
      <c r="BE8" s="146"/>
      <c r="BF8" s="146"/>
      <c r="BG8" s="147" t="e">
        <f>#REF!</f>
        <v>#REF!</v>
      </c>
      <c r="BH8" s="3" t="e">
        <f>IF(AND(#REF!=0,#REF!=0,#REF!=0,#REF!=0),"",IF(#REF!&gt;0,IF((#REF!+#REF!)/2+#REF!*2+ROUNDUP(#REF!/(1 + tech_2_2*Techs!Y8),0)=0,"Ok","Nope"),IF(#REF!&gt;0,IF((#REF!+#REF!)/2+#REF!*2+ROUNDUP(#REF!/(1 + tech_2_2*Techs!Y8),0)=0,"Ok","Nope"),IF(#REF!&gt;0,IF((#REF!+#REF!)/2+#REF!*2+ROUNDUP(#REF!/(1 + tech_2_2*Techs!Y8),0)=0,"Ok","Nope")))))</f>
        <v>#REF!</v>
      </c>
      <c r="BI8" s="39" t="e">
        <f>#REF!</f>
        <v>#REF!</v>
      </c>
      <c r="BJ8" s="39" t="e">
        <f>#REF!</f>
        <v>#REF!</v>
      </c>
      <c r="BK8" s="39" t="e">
        <f>#REF!</f>
        <v>#REF!</v>
      </c>
      <c r="BL8" s="39" t="e">
        <f>#REF!</f>
        <v>#REF!</v>
      </c>
      <c r="BM8" s="39" t="e">
        <f>#REF!</f>
        <v>#REF!</v>
      </c>
    </row>
    <row r="9" spans="1:65" x14ac:dyDescent="0.25">
      <c r="A9" s="130">
        <v>6</v>
      </c>
      <c r="B9" s="143" t="e">
        <f>#REF!</f>
        <v>#REF!</v>
      </c>
      <c r="C9" s="144"/>
      <c r="D9" s="133"/>
      <c r="E9" s="39" t="e">
        <f>#REF!</f>
        <v>#REF!</v>
      </c>
      <c r="F9" s="39" t="e">
        <f>#REF!</f>
        <v>#REF!</v>
      </c>
      <c r="G9" s="39" t="e">
        <f>#REF!</f>
        <v>#REF!</v>
      </c>
      <c r="H9" s="39" t="e">
        <f ca="1">OFFSET(#REF!,-1,0)+OFFSET(#REF!,-1,0) -#REF! + IF(#REF!,#REF!*4) + SUM(#REF!)*#REF!*tech_3_3_2*#REF!</f>
        <v>#REF!</v>
      </c>
      <c r="I9" s="39" t="e">
        <f ca="1">OFFSET(#REF!,-1,0)+OFFSET(#REF!,-1,0)+ROUNDUP((#REF!*80+#REF!*35)*(1+OFFSET(#REF!,-1,0)),0)</f>
        <v>#REF!</v>
      </c>
      <c r="J9" s="39" t="e">
        <f ca="1">OFFSET(#REF!,-1,0)+OFFSET(#REF!,-1,0) -#REF! + SUM(#REF!)*#REF!*tech_3_3_2*#REF!</f>
        <v>#REF!</v>
      </c>
      <c r="K9" s="39" t="e">
        <f ca="1">OFFSET(#REF!,-1,0)+OFFSET(#REF!,-1,0) -#REF!</f>
        <v>#REF!</v>
      </c>
      <c r="L9" s="39" t="e">
        <f ca="1">OFFSET(#REF!,-1,0)+OFFSET(#REF!,-1,0) -#REF!</f>
        <v>#REF!</v>
      </c>
      <c r="M9" s="39" t="e">
        <f ca="1">OFFSET(#REF!,-1,0)+OFFSET(#REF!,-1,0) -#REF!</f>
        <v>#REF!</v>
      </c>
      <c r="N9" s="39" t="e">
        <f ca="1">OFFSET(#REF!,-1,0)+OFFSET(#REF!,-1,0)</f>
        <v>#REF!</v>
      </c>
      <c r="O9" s="39" t="e">
        <f ca="1">OFFSET(#REF!,-1,0)</f>
        <v>#REF!</v>
      </c>
      <c r="P9" s="39" t="e">
        <f ca="1">ROUNDDOWN(OFFSET(#REF!,-1,0)+(1+research_bonus)*(MIN(#REF!,#REF!*school_max)*(1 - MIN((#REF!/(#REF!-#REF!)),school_max)))-#REF!*#REF!,0) + IF(#REF!&lt;&gt;"",350,0)</f>
        <v>#REF!</v>
      </c>
      <c r="Q9" s="39" t="e">
        <f ca="1">MAX(3750,_xlfn.CEILING.MATH(#REF!*2.5+OFFSET(#REF!,-1,0)*150))</f>
        <v>#REF!</v>
      </c>
      <c r="R9" s="134"/>
      <c r="S9" s="39" t="e">
        <f>ROUNDDOWN(#REF!*(1+#REF!),0)</f>
        <v>#REF!</v>
      </c>
      <c r="T9" s="39" t="e">
        <f>ROUND(#REF!*(1+#REF!)-#REF!-#REF!,0)</f>
        <v>#REF!</v>
      </c>
      <c r="U9" s="39" t="e">
        <f>ROUND(#REF!*(1+#REF!)-#REF!,0)</f>
        <v>#REF!</v>
      </c>
      <c r="V9" s="39" t="e">
        <f>ROUND(#REF!*(1+#REF!)-#REF!,0)</f>
        <v>#REF!</v>
      </c>
      <c r="W9" s="39" t="e">
        <f>ROUNDDOWN(#REF!*(1+#REF!),0)</f>
        <v>#REF!</v>
      </c>
      <c r="X9" s="39" t="e">
        <f>ROUNDDOWN(#REF!*(1+#REF!),0)</f>
        <v>#REF!</v>
      </c>
      <c r="Y9" s="145" t="e">
        <f ca="1">OFFSET(#REF!,1,0)*dock_boats_hr * (1 + tech_4_1*#REF!)</f>
        <v>#REF!</v>
      </c>
      <c r="Z9" s="133"/>
      <c r="AA9" s="39" t="e">
        <f ca="1">#REF!*tax*#REF! + (Construction!AZ10+Construction!BX10)*(alch_plat+(Magic!AM9&gt;0)*alchemist_flame_bonus)</f>
        <v>#REF!</v>
      </c>
      <c r="AB9" s="39" t="e">
        <f>#REF!*farm_food +#REF!* dock_food</f>
        <v>#REF!</v>
      </c>
      <c r="AC9" s="39" t="e">
        <f>#REF!*ly_lumber +#REF!* fh_lumber</f>
        <v>#REF!</v>
      </c>
      <c r="AD9" s="39" t="e">
        <f ca="1">OFFSET(#REF!,1,0)*(tower_mana + tech_4_5*#REF!) + OFFSET(#REF!,1,0)*wg_mana_prod</f>
        <v>#REF!</v>
      </c>
      <c r="AE9" s="39" t="e">
        <f ca="1">OFFSET(#REF!,1,0)*om_ore+IF(race="Dwarf",ROUNDDOWN(#REF!*0.4,0),)</f>
        <v>#REF!</v>
      </c>
      <c r="AF9" s="39" t="e">
        <f ca="1">OFFSET(#REF!,1,0)*dm_gems</f>
        <v>#REF!</v>
      </c>
      <c r="AG9" s="134"/>
      <c r="AH9" s="135" t="e">
        <f>MIN(race_platinum_bonus + IF(#REF!&gt;0,alch_frost_bonus,IF(Magic!AD9&gt;0,midas_bonus)) +#REF! -#REF!*( 0.02 + tech_5_7*#REF!) + tech_1_5*#REF! + tech_4_4*#REF!, 0.5)</f>
        <v>#REF!</v>
      </c>
      <c r="AI9" s="132" t="e">
        <f>(1 + race_food_bonus + IF(#REF!&gt;0,gaias_blessing_food,IF(#REF!&gt;0,gaias_watch_bonus)) +#REF! + tech_1_1*#REF! + tech_1_4*#REF! + tech_5_1*#REF! +#REF!/ 100*prestige_food_bonus*(1 + tech_8_1*#REF!)) - 1</f>
        <v>#REF!</v>
      </c>
      <c r="AJ9" s="135" t="e">
        <f>race_lumber_bonus+ IF(#REF!&gt;0,gaias_blessing_lumber)+ tech_1_3*#REF! + tech_1_6*#REF! + tech_3_3*#REF!</f>
        <v>#REF!</v>
      </c>
      <c r="AK9" s="135" t="e">
        <f>race_mana_bonus+ 0 +#REF! + tech_1_2*#REF! + tech_3_4*#REF!</f>
        <v>#REF!</v>
      </c>
      <c r="AL9" s="135" t="e">
        <f>race_ore_bonus + IF(#REF!&gt;0,miners_sight_bonus,IF(#REF!&gt;0,mining_strength_bonus)) +  tech_1_6*#REF!</f>
        <v>#REF!</v>
      </c>
      <c r="AM9" s="135" t="e">
        <f>race_gem_bonus+ tech_3_2*#REF! + tech_4_3*#REF! + tech_6_2*#REF!</f>
        <v>#REF!</v>
      </c>
      <c r="AN9" s="134"/>
      <c r="AO9" s="39" t="e">
        <f>#REF!*food_decay * (1 + tech_2_1*#REF! + tech_2_8*#REF!)</f>
        <v>#REF!</v>
      </c>
      <c r="AP9" s="39" t="e">
        <f>(1+race_food_consumption)*#REF!*food_per_person*(1+tech_1_10*#REF!+tech_7_5*#REF!)</f>
        <v>#REF!</v>
      </c>
      <c r="AQ9" s="39" t="e">
        <f>#REF!*lumber_rot * (1 + tech_2_1*#REF! + tech_2_8*#REF! + tech_5_2*#REF!)</f>
        <v>#REF!</v>
      </c>
      <c r="AR9" s="39" t="e">
        <f>#REF!*mana_drain * (1 + tech_2_1*#REF! + tech_2_8*#REF!)</f>
        <v>#REF!</v>
      </c>
      <c r="AS9" s="133"/>
      <c r="AT9" s="39" t="e">
        <f>#REF!+#REF!+#REF!+#REF!+#REF!-#REF!</f>
        <v>#REF!</v>
      </c>
      <c r="AU9" s="39" t="e">
        <f>#REF!+#REF!-#REF! + Military!$CL$25*#REF!</f>
        <v>#REF!</v>
      </c>
      <c r="AV9" s="39" t="e">
        <f>#REF! + Military!$CL$26*#REF!</f>
        <v>#REF!</v>
      </c>
      <c r="AW9" s="39" t="e">
        <f>Military!$CL$24*#REF!+#REF!-#REF!</f>
        <v>#REF!</v>
      </c>
      <c r="AX9" s="39" t="e">
        <f>#REF!-#REF!</f>
        <v>#REF!</v>
      </c>
      <c r="AY9" s="134"/>
      <c r="AZ9" s="61" t="e">
        <f ca="1">IF(#REF!&lt;&gt;"",#REF!,OFFSET(#REF!,-1,0))</f>
        <v>#REF!</v>
      </c>
      <c r="BA9" s="144"/>
      <c r="BB9" s="3" t="e">
        <f>#REF!</f>
        <v>#REF!</v>
      </c>
      <c r="BC9" s="146" t="e">
        <f>-#REF! / 2 + -#REF! * 2 + -#REF! / 2</f>
        <v>#REF!</v>
      </c>
      <c r="BD9" s="146"/>
      <c r="BE9" s="146"/>
      <c r="BF9" s="146"/>
      <c r="BG9" s="147" t="e">
        <f>#REF!</f>
        <v>#REF!</v>
      </c>
      <c r="BH9" s="3" t="e">
        <f>IF(AND(#REF!=0,#REF!=0,#REF!=0,#REF!=0),"",IF(#REF!&gt;0,IF((#REF!+#REF!)/2+#REF!*2+ROUNDUP(#REF!/(1 + tech_2_2*Techs!Y9),0)=0,"Ok","Nope"),IF(#REF!&gt;0,IF((#REF!+#REF!)/2+#REF!*2+ROUNDUP(#REF!/(1 + tech_2_2*Techs!Y9),0)=0,"Ok","Nope"),IF(#REF!&gt;0,IF((#REF!+#REF!)/2+#REF!*2+ROUNDUP(#REF!/(1 + tech_2_2*Techs!Y9),0)=0,"Ok","Nope")))))</f>
        <v>#REF!</v>
      </c>
      <c r="BI9" s="39" t="e">
        <f>#REF!</f>
        <v>#REF!</v>
      </c>
      <c r="BJ9" s="39" t="e">
        <f>#REF!</f>
        <v>#REF!</v>
      </c>
      <c r="BK9" s="39" t="e">
        <f>#REF!</f>
        <v>#REF!</v>
      </c>
      <c r="BL9" s="39" t="e">
        <f>#REF!</f>
        <v>#REF!</v>
      </c>
      <c r="BM9" s="39" t="e">
        <f>#REF!</f>
        <v>#REF!</v>
      </c>
    </row>
    <row r="10" spans="1:65" x14ac:dyDescent="0.25">
      <c r="A10" s="130">
        <v>7</v>
      </c>
      <c r="B10" s="143" t="e">
        <f>#REF!</f>
        <v>#REF!</v>
      </c>
      <c r="C10" s="144"/>
      <c r="D10" s="133"/>
      <c r="E10" s="39" t="e">
        <f>#REF!</f>
        <v>#REF!</v>
      </c>
      <c r="F10" s="39" t="e">
        <f>#REF!</f>
        <v>#REF!</v>
      </c>
      <c r="G10" s="39" t="e">
        <f>#REF!</f>
        <v>#REF!</v>
      </c>
      <c r="H10" s="39" t="e">
        <f ca="1">OFFSET(#REF!,-1,0)+OFFSET(#REF!,-1,0) -#REF! + IF(#REF!,#REF!*4) + SUM(#REF!)*#REF!*tech_3_3_2*#REF!</f>
        <v>#REF!</v>
      </c>
      <c r="I10" s="39" t="e">
        <f ca="1">OFFSET(#REF!,-1,0)+OFFSET(#REF!,-1,0)+ROUNDUP((#REF!*80+#REF!*35)*(1+OFFSET(#REF!,-1,0)),0)</f>
        <v>#REF!</v>
      </c>
      <c r="J10" s="39" t="e">
        <f ca="1">OFFSET(#REF!,-1,0)+OFFSET(#REF!,-1,0) -#REF! + SUM(#REF!)*#REF!*tech_3_3_2*#REF!</f>
        <v>#REF!</v>
      </c>
      <c r="K10" s="39" t="e">
        <f ca="1">OFFSET(#REF!,-1,0)+OFFSET(#REF!,-1,0) -#REF!</f>
        <v>#REF!</v>
      </c>
      <c r="L10" s="39" t="e">
        <f ca="1">OFFSET(#REF!,-1,0)+OFFSET(#REF!,-1,0) -#REF!</f>
        <v>#REF!</v>
      </c>
      <c r="M10" s="39" t="e">
        <f ca="1">OFFSET(#REF!,-1,0)+OFFSET(#REF!,-1,0) -#REF!</f>
        <v>#REF!</v>
      </c>
      <c r="N10" s="39" t="e">
        <f ca="1">OFFSET(#REF!,-1,0)+OFFSET(#REF!,-1,0)</f>
        <v>#REF!</v>
      </c>
      <c r="O10" s="39" t="e">
        <f ca="1">OFFSET(#REF!,-1,0)</f>
        <v>#REF!</v>
      </c>
      <c r="P10" s="39" t="e">
        <f ca="1">ROUNDDOWN(OFFSET(#REF!,-1,0)+(1+research_bonus)*(MIN(#REF!,#REF!*school_max)*(1 - MIN((#REF!/(#REF!-#REF!)),school_max)))-#REF!*#REF!,0) + IF(#REF!&lt;&gt;"",350,0)</f>
        <v>#REF!</v>
      </c>
      <c r="Q10" s="39" t="e">
        <f ca="1">MAX(3750,_xlfn.CEILING.MATH(#REF!*2.5+OFFSET(#REF!,-1,0)*150))</f>
        <v>#REF!</v>
      </c>
      <c r="R10" s="134"/>
      <c r="S10" s="39" t="e">
        <f>ROUNDDOWN(#REF!*(1+#REF!),0)</f>
        <v>#REF!</v>
      </c>
      <c r="T10" s="39" t="e">
        <f>ROUND(#REF!*(1+#REF!)-#REF!-#REF!,0)</f>
        <v>#REF!</v>
      </c>
      <c r="U10" s="39" t="e">
        <f>ROUND(#REF!*(1+#REF!)-#REF!,0)</f>
        <v>#REF!</v>
      </c>
      <c r="V10" s="39" t="e">
        <f>ROUND(#REF!*(1+#REF!)-#REF!,0)</f>
        <v>#REF!</v>
      </c>
      <c r="W10" s="39" t="e">
        <f>ROUNDDOWN(#REF!*(1+#REF!),0)</f>
        <v>#REF!</v>
      </c>
      <c r="X10" s="39" t="e">
        <f>ROUNDDOWN(#REF!*(1+#REF!),0)</f>
        <v>#REF!</v>
      </c>
      <c r="Y10" s="145" t="e">
        <f ca="1">OFFSET(#REF!,1,0)*dock_boats_hr * (1 + tech_4_1*#REF!)</f>
        <v>#REF!</v>
      </c>
      <c r="Z10" s="133"/>
      <c r="AA10" s="39" t="e">
        <f ca="1">#REF!*tax*#REF! + (Construction!AZ11+Construction!BX11)*(alch_plat+(Magic!AM10&gt;0)*alchemist_flame_bonus)</f>
        <v>#REF!</v>
      </c>
      <c r="AB10" s="39" t="e">
        <f>#REF!*farm_food +#REF!* dock_food</f>
        <v>#REF!</v>
      </c>
      <c r="AC10" s="39" t="e">
        <f>#REF!*ly_lumber +#REF!* fh_lumber</f>
        <v>#REF!</v>
      </c>
      <c r="AD10" s="39" t="e">
        <f ca="1">OFFSET(#REF!,1,0)*(tower_mana + tech_4_5*#REF!) + OFFSET(#REF!,1,0)*wg_mana_prod</f>
        <v>#REF!</v>
      </c>
      <c r="AE10" s="39" t="e">
        <f ca="1">OFFSET(#REF!,1,0)*om_ore+IF(race="Dwarf",ROUNDDOWN(#REF!*0.4,0),)</f>
        <v>#REF!</v>
      </c>
      <c r="AF10" s="39" t="e">
        <f ca="1">OFFSET(#REF!,1,0)*dm_gems</f>
        <v>#REF!</v>
      </c>
      <c r="AG10" s="134"/>
      <c r="AH10" s="135" t="e">
        <f>MIN(race_platinum_bonus + IF(#REF!&gt;0,alch_frost_bonus,IF(Magic!AD10&gt;0,midas_bonus)) +#REF! -#REF!*( 0.02 + tech_5_7*#REF!) + tech_1_5*#REF! + tech_4_4*#REF!, 0.5)</f>
        <v>#REF!</v>
      </c>
      <c r="AI10" s="132" t="e">
        <f>(1 + race_food_bonus + IF(#REF!&gt;0,gaias_blessing_food,IF(#REF!&gt;0,gaias_watch_bonus)) +#REF! + tech_1_1*#REF! + tech_1_4*#REF! + tech_5_1*#REF! +#REF!/ 100*prestige_food_bonus*(1 + tech_8_1*#REF!)) - 1</f>
        <v>#REF!</v>
      </c>
      <c r="AJ10" s="135" t="e">
        <f>race_lumber_bonus+ IF(#REF!&gt;0,gaias_blessing_lumber)+ tech_1_3*#REF! + tech_1_6*#REF! + tech_3_3*#REF!</f>
        <v>#REF!</v>
      </c>
      <c r="AK10" s="135" t="e">
        <f>race_mana_bonus+ 0 +#REF! + tech_1_2*#REF! + tech_3_4*#REF!</f>
        <v>#REF!</v>
      </c>
      <c r="AL10" s="135" t="e">
        <f>race_ore_bonus + IF(#REF!&gt;0,miners_sight_bonus,IF(#REF!&gt;0,mining_strength_bonus)) +  tech_1_6*#REF!</f>
        <v>#REF!</v>
      </c>
      <c r="AM10" s="135" t="e">
        <f>race_gem_bonus+ tech_3_2*#REF! + tech_4_3*#REF! + tech_6_2*#REF!</f>
        <v>#REF!</v>
      </c>
      <c r="AN10" s="134"/>
      <c r="AO10" s="39" t="e">
        <f>#REF!*food_decay * (1 + tech_2_1*#REF! + tech_2_8*#REF!)</f>
        <v>#REF!</v>
      </c>
      <c r="AP10" s="39" t="e">
        <f>(1+race_food_consumption)*#REF!*food_per_person*(1+tech_1_10*#REF!+tech_7_5*#REF!)</f>
        <v>#REF!</v>
      </c>
      <c r="AQ10" s="39" t="e">
        <f>#REF!*lumber_rot * (1 + tech_2_1*#REF! + tech_2_8*#REF! + tech_5_2*#REF!)</f>
        <v>#REF!</v>
      </c>
      <c r="AR10" s="39" t="e">
        <f>#REF!*mana_drain * (1 + tech_2_1*#REF! + tech_2_8*#REF!)</f>
        <v>#REF!</v>
      </c>
      <c r="AS10" s="133"/>
      <c r="AT10" s="39" t="e">
        <f>#REF!+#REF!+#REF!+#REF!+#REF!-#REF!</f>
        <v>#REF!</v>
      </c>
      <c r="AU10" s="39" t="e">
        <f>#REF!+#REF!-#REF! + Military!$CL$25*#REF!</f>
        <v>#REF!</v>
      </c>
      <c r="AV10" s="39" t="e">
        <f>#REF! + Military!$CL$26*#REF!</f>
        <v>#REF!</v>
      </c>
      <c r="AW10" s="39" t="e">
        <f>Military!$CL$24*#REF!+#REF!-#REF!</f>
        <v>#REF!</v>
      </c>
      <c r="AX10" s="39" t="e">
        <f>#REF!-#REF!</f>
        <v>#REF!</v>
      </c>
      <c r="AY10" s="134"/>
      <c r="AZ10" s="61" t="e">
        <f ca="1">IF(#REF!&lt;&gt;"",#REF!,OFFSET(#REF!,-1,0))</f>
        <v>#REF!</v>
      </c>
      <c r="BA10" s="144"/>
      <c r="BB10" s="3" t="e">
        <f>#REF!</f>
        <v>#REF!</v>
      </c>
      <c r="BC10" s="146" t="e">
        <f>-#REF! / 2 + -#REF! * 2 + -#REF! / 2</f>
        <v>#REF!</v>
      </c>
      <c r="BD10" s="146"/>
      <c r="BE10" s="146"/>
      <c r="BF10" s="146"/>
      <c r="BG10" s="147" t="e">
        <f>#REF!</f>
        <v>#REF!</v>
      </c>
      <c r="BH10" s="3" t="e">
        <f>IF(AND(#REF!=0,#REF!=0,#REF!=0,#REF!=0),"",IF(#REF!&gt;0,IF((#REF!+#REF!)/2+#REF!*2+ROUNDUP(#REF!/(1 + tech_2_2*Techs!Y10),0)=0,"Ok","Nope"),IF(#REF!&gt;0,IF((#REF!+#REF!)/2+#REF!*2+ROUNDUP(#REF!/(1 + tech_2_2*Techs!Y10),0)=0,"Ok","Nope"),IF(#REF!&gt;0,IF((#REF!+#REF!)/2+#REF!*2+ROUNDUP(#REF!/(1 + tech_2_2*Techs!Y10),0)=0,"Ok","Nope")))))</f>
        <v>#REF!</v>
      </c>
      <c r="BI10" s="39" t="e">
        <f>#REF!</f>
        <v>#REF!</v>
      </c>
      <c r="BJ10" s="39" t="e">
        <f>#REF!</f>
        <v>#REF!</v>
      </c>
      <c r="BK10" s="39" t="e">
        <f>#REF!</f>
        <v>#REF!</v>
      </c>
      <c r="BL10" s="39" t="e">
        <f>#REF!</f>
        <v>#REF!</v>
      </c>
      <c r="BM10" s="39" t="e">
        <f>#REF!</f>
        <v>#REF!</v>
      </c>
    </row>
    <row r="11" spans="1:65" x14ac:dyDescent="0.25">
      <c r="A11" s="130">
        <v>8</v>
      </c>
      <c r="B11" s="143" t="e">
        <f>#REF!</f>
        <v>#REF!</v>
      </c>
      <c r="C11" s="144"/>
      <c r="D11" s="133"/>
      <c r="E11" s="39" t="e">
        <f>#REF!</f>
        <v>#REF!</v>
      </c>
      <c r="F11" s="39" t="e">
        <f>#REF!</f>
        <v>#REF!</v>
      </c>
      <c r="G11" s="39" t="e">
        <f>#REF!</f>
        <v>#REF!</v>
      </c>
      <c r="H11" s="39" t="e">
        <f ca="1">OFFSET(#REF!,-1,0)+OFFSET(#REF!,-1,0) -#REF! + IF(#REF!,#REF!*4) + SUM(#REF!)*#REF!*tech_3_3_2*#REF!</f>
        <v>#REF!</v>
      </c>
      <c r="I11" s="39" t="e">
        <f ca="1">OFFSET(#REF!,-1,0)+OFFSET(#REF!,-1,0)+ROUNDUP((#REF!*80+#REF!*35)*(1+OFFSET(#REF!,-1,0)),0)</f>
        <v>#REF!</v>
      </c>
      <c r="J11" s="39" t="e">
        <f ca="1">OFFSET(#REF!,-1,0)+OFFSET(#REF!,-1,0) -#REF! + SUM(#REF!)*#REF!*tech_3_3_2*#REF!</f>
        <v>#REF!</v>
      </c>
      <c r="K11" s="39" t="e">
        <f ca="1">OFFSET(#REF!,-1,0)+OFFSET(#REF!,-1,0) -#REF!</f>
        <v>#REF!</v>
      </c>
      <c r="L11" s="39" t="e">
        <f ca="1">OFFSET(#REF!,-1,0)+OFFSET(#REF!,-1,0) -#REF!</f>
        <v>#REF!</v>
      </c>
      <c r="M11" s="39" t="e">
        <f ca="1">OFFSET(#REF!,-1,0)+OFFSET(#REF!,-1,0) -#REF!</f>
        <v>#REF!</v>
      </c>
      <c r="N11" s="39" t="e">
        <f ca="1">OFFSET(#REF!,-1,0)+OFFSET(#REF!,-1,0)</f>
        <v>#REF!</v>
      </c>
      <c r="O11" s="39" t="e">
        <f ca="1">OFFSET(#REF!,-1,0)</f>
        <v>#REF!</v>
      </c>
      <c r="P11" s="39" t="e">
        <f ca="1">ROUNDDOWN(OFFSET(#REF!,-1,0)+(1+research_bonus)*(MIN(#REF!,#REF!*school_max)*(1 - MIN((#REF!/(#REF!-#REF!)),school_max)))-#REF!*#REF!,0) + IF(#REF!&lt;&gt;"",350,0)</f>
        <v>#REF!</v>
      </c>
      <c r="Q11" s="39" t="e">
        <f ca="1">MAX(3750,_xlfn.CEILING.MATH(#REF!*2.5+OFFSET(#REF!,-1,0)*150))</f>
        <v>#REF!</v>
      </c>
      <c r="R11" s="134"/>
      <c r="S11" s="39" t="e">
        <f>ROUNDDOWN(#REF!*(1+#REF!),0)</f>
        <v>#REF!</v>
      </c>
      <c r="T11" s="39" t="e">
        <f>ROUND(#REF!*(1+#REF!)-#REF!-#REF!,0)</f>
        <v>#REF!</v>
      </c>
      <c r="U11" s="39" t="e">
        <f>ROUND(#REF!*(1+#REF!)-#REF!,0)</f>
        <v>#REF!</v>
      </c>
      <c r="V11" s="39" t="e">
        <f>ROUND(#REF!*(1+#REF!)-#REF!,0)</f>
        <v>#REF!</v>
      </c>
      <c r="W11" s="39" t="e">
        <f>ROUNDDOWN(#REF!*(1+#REF!),0)</f>
        <v>#REF!</v>
      </c>
      <c r="X11" s="39" t="e">
        <f>ROUNDDOWN(#REF!*(1+#REF!),0)</f>
        <v>#REF!</v>
      </c>
      <c r="Y11" s="145" t="e">
        <f ca="1">OFFSET(#REF!,1,0)*dock_boats_hr * (1 + tech_4_1*#REF!)</f>
        <v>#REF!</v>
      </c>
      <c r="Z11" s="133"/>
      <c r="AA11" s="39" t="e">
        <f ca="1">#REF!*tax*#REF! + (Construction!AZ12+Construction!BX12)*(alch_plat+(Magic!AM11&gt;0)*alchemist_flame_bonus)</f>
        <v>#REF!</v>
      </c>
      <c r="AB11" s="39" t="e">
        <f>#REF!*farm_food +#REF!* dock_food</f>
        <v>#REF!</v>
      </c>
      <c r="AC11" s="39" t="e">
        <f>#REF!*ly_lumber +#REF!* fh_lumber</f>
        <v>#REF!</v>
      </c>
      <c r="AD11" s="39" t="e">
        <f ca="1">OFFSET(#REF!,1,0)*(tower_mana + tech_4_5*#REF!) + OFFSET(#REF!,1,0)*wg_mana_prod</f>
        <v>#REF!</v>
      </c>
      <c r="AE11" s="39" t="e">
        <f ca="1">OFFSET(#REF!,1,0)*om_ore+IF(race="Dwarf",ROUNDDOWN(#REF!*0.4,0),)</f>
        <v>#REF!</v>
      </c>
      <c r="AF11" s="39" t="e">
        <f ca="1">OFFSET(#REF!,1,0)*dm_gems</f>
        <v>#REF!</v>
      </c>
      <c r="AG11" s="134"/>
      <c r="AH11" s="135" t="e">
        <f>MIN(race_platinum_bonus + IF(#REF!&gt;0,alch_frost_bonus,IF(Magic!AD11&gt;0,midas_bonus)) +#REF! -#REF!*( 0.02 + tech_5_7*#REF!) + tech_1_5*#REF! + tech_4_4*#REF!, 0.5)</f>
        <v>#REF!</v>
      </c>
      <c r="AI11" s="132" t="e">
        <f>(1 + race_food_bonus + IF(#REF!&gt;0,gaias_blessing_food,IF(#REF!&gt;0,gaias_watch_bonus)) +#REF! + tech_1_1*#REF! + tech_1_4*#REF! + tech_5_1*#REF! +#REF!/ 100*prestige_food_bonus*(1 + tech_8_1*#REF!)) - 1</f>
        <v>#REF!</v>
      </c>
      <c r="AJ11" s="135" t="e">
        <f>race_lumber_bonus+ IF(#REF!&gt;0,gaias_blessing_lumber)+ tech_1_3*#REF! + tech_1_6*#REF! + tech_3_3*#REF!</f>
        <v>#REF!</v>
      </c>
      <c r="AK11" s="135" t="e">
        <f>race_mana_bonus+ 0 +#REF! + tech_1_2*#REF! + tech_3_4*#REF!</f>
        <v>#REF!</v>
      </c>
      <c r="AL11" s="135" t="e">
        <f>race_ore_bonus + IF(#REF!&gt;0,miners_sight_bonus,IF(#REF!&gt;0,mining_strength_bonus)) +  tech_1_6*#REF!</f>
        <v>#REF!</v>
      </c>
      <c r="AM11" s="135" t="e">
        <f>race_gem_bonus+ tech_3_2*#REF! + tech_4_3*#REF! + tech_6_2*#REF!</f>
        <v>#REF!</v>
      </c>
      <c r="AN11" s="134"/>
      <c r="AO11" s="39" t="e">
        <f>#REF!*food_decay * (1 + tech_2_1*#REF! + tech_2_8*#REF!)</f>
        <v>#REF!</v>
      </c>
      <c r="AP11" s="39" t="e">
        <f>(1+race_food_consumption)*#REF!*food_per_person*(1+tech_1_10*#REF!+tech_7_5*#REF!)</f>
        <v>#REF!</v>
      </c>
      <c r="AQ11" s="39" t="e">
        <f>#REF!*lumber_rot * (1 + tech_2_1*#REF! + tech_2_8*#REF! + tech_5_2*#REF!)</f>
        <v>#REF!</v>
      </c>
      <c r="AR11" s="39" t="e">
        <f>#REF!*mana_drain * (1 + tech_2_1*#REF! + tech_2_8*#REF!)</f>
        <v>#REF!</v>
      </c>
      <c r="AS11" s="133"/>
      <c r="AT11" s="39" t="e">
        <f>#REF!+#REF!+#REF!+#REF!+#REF!-#REF!</f>
        <v>#REF!</v>
      </c>
      <c r="AU11" s="39" t="e">
        <f>#REF!+#REF!-#REF! + Military!$CL$25*#REF!</f>
        <v>#REF!</v>
      </c>
      <c r="AV11" s="39" t="e">
        <f>#REF! + Military!$CL$26*#REF!</f>
        <v>#REF!</v>
      </c>
      <c r="AW11" s="39" t="e">
        <f>Military!$CL$24*#REF!+#REF!-#REF!</f>
        <v>#REF!</v>
      </c>
      <c r="AX11" s="39" t="e">
        <f>#REF!-#REF!</f>
        <v>#REF!</v>
      </c>
      <c r="AY11" s="134"/>
      <c r="AZ11" s="61" t="e">
        <f ca="1">IF(#REF!&lt;&gt;"",#REF!,OFFSET(#REF!,-1,0))</f>
        <v>#REF!</v>
      </c>
      <c r="BA11" s="144"/>
      <c r="BB11" s="3" t="e">
        <f>#REF!</f>
        <v>#REF!</v>
      </c>
      <c r="BC11" s="146" t="e">
        <f>-#REF! / 2 + -#REF! * 2 + -#REF! / 2</f>
        <v>#REF!</v>
      </c>
      <c r="BD11" s="146"/>
      <c r="BE11" s="146"/>
      <c r="BF11" s="146"/>
      <c r="BG11" s="147" t="e">
        <f>#REF!</f>
        <v>#REF!</v>
      </c>
      <c r="BH11" s="3" t="e">
        <f>IF(AND(#REF!=0,#REF!=0,#REF!=0,#REF!=0),"",IF(#REF!&gt;0,IF((#REF!+#REF!)/2+#REF!*2+ROUNDUP(#REF!/(1 + tech_2_2*Techs!Y11),0)=0,"Ok","Nope"),IF(#REF!&gt;0,IF((#REF!+#REF!)/2+#REF!*2+ROUNDUP(#REF!/(1 + tech_2_2*Techs!Y11),0)=0,"Ok","Nope"),IF(#REF!&gt;0,IF((#REF!+#REF!)/2+#REF!*2+ROUNDUP(#REF!/(1 + tech_2_2*Techs!Y11),0)=0,"Ok","Nope")))))</f>
        <v>#REF!</v>
      </c>
      <c r="BI11" s="39" t="e">
        <f>#REF!</f>
        <v>#REF!</v>
      </c>
      <c r="BJ11" s="39" t="e">
        <f>#REF!</f>
        <v>#REF!</v>
      </c>
      <c r="BK11" s="39" t="e">
        <f>#REF!</f>
        <v>#REF!</v>
      </c>
      <c r="BL11" s="39" t="e">
        <f>#REF!</f>
        <v>#REF!</v>
      </c>
      <c r="BM11" s="39" t="e">
        <f>#REF!</f>
        <v>#REF!</v>
      </c>
    </row>
    <row r="12" spans="1:65" x14ac:dyDescent="0.25">
      <c r="A12" s="130">
        <v>9</v>
      </c>
      <c r="B12" s="143" t="e">
        <f>#REF!</f>
        <v>#REF!</v>
      </c>
      <c r="C12" s="144"/>
      <c r="D12" s="133"/>
      <c r="E12" s="39" t="e">
        <f>#REF!</f>
        <v>#REF!</v>
      </c>
      <c r="F12" s="39" t="e">
        <f>#REF!</f>
        <v>#REF!</v>
      </c>
      <c r="G12" s="39" t="e">
        <f>#REF!</f>
        <v>#REF!</v>
      </c>
      <c r="H12" s="39" t="e">
        <f ca="1">OFFSET(#REF!,-1,0)+OFFSET(#REF!,-1,0) -#REF! + IF(#REF!,#REF!*4) + SUM(#REF!)*#REF!*tech_3_3_2*#REF!</f>
        <v>#REF!</v>
      </c>
      <c r="I12" s="39" t="e">
        <f ca="1">OFFSET(#REF!,-1,0)+OFFSET(#REF!,-1,0)+ROUNDUP((#REF!*80+#REF!*35)*(1+OFFSET(#REF!,-1,0)),0)</f>
        <v>#REF!</v>
      </c>
      <c r="J12" s="39" t="e">
        <f ca="1">OFFSET(#REF!,-1,0)+OFFSET(#REF!,-1,0) -#REF! + SUM(#REF!)*#REF!*tech_3_3_2*#REF!</f>
        <v>#REF!</v>
      </c>
      <c r="K12" s="39" t="e">
        <f ca="1">OFFSET(#REF!,-1,0)+OFFSET(#REF!,-1,0) -#REF!</f>
        <v>#REF!</v>
      </c>
      <c r="L12" s="39" t="e">
        <f ca="1">OFFSET(#REF!,-1,0)+OFFSET(#REF!,-1,0) -#REF!</f>
        <v>#REF!</v>
      </c>
      <c r="M12" s="39" t="e">
        <f ca="1">OFFSET(#REF!,-1,0)+OFFSET(#REF!,-1,0) -#REF!</f>
        <v>#REF!</v>
      </c>
      <c r="N12" s="39" t="e">
        <f ca="1">OFFSET(#REF!,-1,0)+OFFSET(#REF!,-1,0)</f>
        <v>#REF!</v>
      </c>
      <c r="O12" s="39" t="e">
        <f ca="1">OFFSET(#REF!,-1,0)</f>
        <v>#REF!</v>
      </c>
      <c r="P12" s="39" t="e">
        <f ca="1">ROUNDDOWN(OFFSET(#REF!,-1,0)+(1+research_bonus)*(MIN(#REF!,#REF!*school_max)*(1 - MIN((#REF!/(#REF!-#REF!)),school_max)))-#REF!*#REF!,0) + IF(#REF!&lt;&gt;"",350,0)</f>
        <v>#REF!</v>
      </c>
      <c r="Q12" s="39" t="e">
        <f ca="1">MAX(3750,_xlfn.CEILING.MATH(#REF!*2.5+OFFSET(#REF!,-1,0)*150))</f>
        <v>#REF!</v>
      </c>
      <c r="R12" s="134"/>
      <c r="S12" s="39" t="e">
        <f>ROUNDDOWN(#REF!*(1+#REF!),0)</f>
        <v>#REF!</v>
      </c>
      <c r="T12" s="39" t="e">
        <f>ROUND(#REF!*(1+#REF!)-#REF!-#REF!,0)</f>
        <v>#REF!</v>
      </c>
      <c r="U12" s="39" t="e">
        <f>ROUND(#REF!*(1+#REF!)-#REF!,0)</f>
        <v>#REF!</v>
      </c>
      <c r="V12" s="39" t="e">
        <f>ROUND(#REF!*(1+#REF!)-#REF!,0)</f>
        <v>#REF!</v>
      </c>
      <c r="W12" s="39" t="e">
        <f>ROUNDDOWN(#REF!*(1+#REF!),0)</f>
        <v>#REF!</v>
      </c>
      <c r="X12" s="39" t="e">
        <f>ROUNDDOWN(#REF!*(1+#REF!),0)</f>
        <v>#REF!</v>
      </c>
      <c r="Y12" s="145" t="e">
        <f ca="1">OFFSET(#REF!,1,0)*dock_boats_hr * (1 + tech_4_1*#REF!)</f>
        <v>#REF!</v>
      </c>
      <c r="Z12" s="133"/>
      <c r="AA12" s="39" t="e">
        <f ca="1">#REF!*tax*#REF! + (Construction!AZ13+Construction!BX13)*(alch_plat+(Magic!AM12&gt;0)*alchemist_flame_bonus)</f>
        <v>#REF!</v>
      </c>
      <c r="AB12" s="39" t="e">
        <f>#REF!*farm_food +#REF!* dock_food</f>
        <v>#REF!</v>
      </c>
      <c r="AC12" s="39" t="e">
        <f>#REF!*ly_lumber +#REF!* fh_lumber</f>
        <v>#REF!</v>
      </c>
      <c r="AD12" s="39" t="e">
        <f ca="1">OFFSET(#REF!,1,0)*(tower_mana + tech_4_5*#REF!) + OFFSET(#REF!,1,0)*wg_mana_prod</f>
        <v>#REF!</v>
      </c>
      <c r="AE12" s="39" t="e">
        <f ca="1">OFFSET(#REF!,1,0)*om_ore+IF(race="Dwarf",ROUNDDOWN(#REF!*0.4,0),)</f>
        <v>#REF!</v>
      </c>
      <c r="AF12" s="39" t="e">
        <f ca="1">OFFSET(#REF!,1,0)*dm_gems</f>
        <v>#REF!</v>
      </c>
      <c r="AG12" s="134"/>
      <c r="AH12" s="135" t="e">
        <f>MIN(race_platinum_bonus + IF(#REF!&gt;0,alch_frost_bonus,IF(Magic!AD12&gt;0,midas_bonus)) +#REF! -#REF!*( 0.02 + tech_5_7*#REF!) + tech_1_5*#REF! + tech_4_4*#REF!, 0.5)</f>
        <v>#REF!</v>
      </c>
      <c r="AI12" s="132" t="e">
        <f>(1 + race_food_bonus + IF(#REF!&gt;0,gaias_blessing_food,IF(#REF!&gt;0,gaias_watch_bonus)) +#REF! + tech_1_1*#REF! + tech_1_4*#REF! + tech_5_1*#REF! +#REF!/ 100*prestige_food_bonus*(1 + tech_8_1*#REF!)) - 1</f>
        <v>#REF!</v>
      </c>
      <c r="AJ12" s="135" t="e">
        <f>race_lumber_bonus+ IF(#REF!&gt;0,gaias_blessing_lumber)+ tech_1_3*#REF! + tech_1_6*#REF! + tech_3_3*#REF!</f>
        <v>#REF!</v>
      </c>
      <c r="AK12" s="135" t="e">
        <f>race_mana_bonus+ 0 +#REF! + tech_1_2*#REF! + tech_3_4*#REF!</f>
        <v>#REF!</v>
      </c>
      <c r="AL12" s="135" t="e">
        <f>race_ore_bonus + IF(#REF!&gt;0,miners_sight_bonus,IF(#REF!&gt;0,mining_strength_bonus)) +  tech_1_6*#REF!</f>
        <v>#REF!</v>
      </c>
      <c r="AM12" s="135" t="e">
        <f>race_gem_bonus+ tech_3_2*#REF! + tech_4_3*#REF! + tech_6_2*#REF!</f>
        <v>#REF!</v>
      </c>
      <c r="AN12" s="134"/>
      <c r="AO12" s="39" t="e">
        <f>#REF!*food_decay * (1 + tech_2_1*#REF! + tech_2_8*#REF!)</f>
        <v>#REF!</v>
      </c>
      <c r="AP12" s="39" t="e">
        <f>(1+race_food_consumption)*#REF!*food_per_person*(1+tech_1_10*#REF!+tech_7_5*#REF!)</f>
        <v>#REF!</v>
      </c>
      <c r="AQ12" s="39" t="e">
        <f>#REF!*lumber_rot * (1 + tech_2_1*#REF! + tech_2_8*#REF! + tech_5_2*#REF!)</f>
        <v>#REF!</v>
      </c>
      <c r="AR12" s="39" t="e">
        <f>#REF!*mana_drain * (1 + tech_2_1*#REF! + tech_2_8*#REF!)</f>
        <v>#REF!</v>
      </c>
      <c r="AS12" s="133"/>
      <c r="AT12" s="39" t="e">
        <f>#REF!+#REF!+#REF!+#REF!+#REF!-#REF!</f>
        <v>#REF!</v>
      </c>
      <c r="AU12" s="39" t="e">
        <f>#REF!+#REF!-#REF! + Military!$CL$25*#REF!</f>
        <v>#REF!</v>
      </c>
      <c r="AV12" s="39" t="e">
        <f>#REF! + Military!$CL$26*#REF!</f>
        <v>#REF!</v>
      </c>
      <c r="AW12" s="39" t="e">
        <f>Military!$CL$24*#REF!+#REF!-#REF!</f>
        <v>#REF!</v>
      </c>
      <c r="AX12" s="39" t="e">
        <f>#REF!-#REF!</f>
        <v>#REF!</v>
      </c>
      <c r="AY12" s="134"/>
      <c r="AZ12" s="61" t="e">
        <f ca="1">IF(#REF!&lt;&gt;"",#REF!,OFFSET(#REF!,-1,0))</f>
        <v>#REF!</v>
      </c>
      <c r="BA12" s="144"/>
      <c r="BB12" s="3" t="e">
        <f>#REF!</f>
        <v>#REF!</v>
      </c>
      <c r="BC12" s="146" t="e">
        <f>-#REF! / 2 + -#REF! * 2 + -#REF! / 2</f>
        <v>#REF!</v>
      </c>
      <c r="BD12" s="146"/>
      <c r="BE12" s="146"/>
      <c r="BF12" s="146"/>
      <c r="BG12" s="147" t="e">
        <f>#REF!</f>
        <v>#REF!</v>
      </c>
      <c r="BH12" s="3" t="e">
        <f>IF(AND(#REF!=0,#REF!=0,#REF!=0,#REF!=0),"",IF(#REF!&gt;0,IF((#REF!+#REF!)/2+#REF!*2+ROUNDUP(#REF!/(1 + tech_2_2*Techs!Y12),0)=0,"Ok","Nope"),IF(#REF!&gt;0,IF((#REF!+#REF!)/2+#REF!*2+ROUNDUP(#REF!/(1 + tech_2_2*Techs!Y12),0)=0,"Ok","Nope"),IF(#REF!&gt;0,IF((#REF!+#REF!)/2+#REF!*2+ROUNDUP(#REF!/(1 + tech_2_2*Techs!Y12),0)=0,"Ok","Nope")))))</f>
        <v>#REF!</v>
      </c>
      <c r="BI12" s="39" t="e">
        <f>#REF!</f>
        <v>#REF!</v>
      </c>
      <c r="BJ12" s="39" t="e">
        <f>#REF!</f>
        <v>#REF!</v>
      </c>
      <c r="BK12" s="39" t="e">
        <f>#REF!</f>
        <v>#REF!</v>
      </c>
      <c r="BL12" s="39" t="e">
        <f>#REF!</f>
        <v>#REF!</v>
      </c>
      <c r="BM12" s="39" t="e">
        <f>#REF!</f>
        <v>#REF!</v>
      </c>
    </row>
    <row r="13" spans="1:65" x14ac:dyDescent="0.25">
      <c r="A13" s="130">
        <v>10</v>
      </c>
      <c r="B13" s="143" t="e">
        <f>#REF!</f>
        <v>#REF!</v>
      </c>
      <c r="C13" s="144"/>
      <c r="D13" s="133"/>
      <c r="E13" s="39" t="e">
        <f>#REF!</f>
        <v>#REF!</v>
      </c>
      <c r="F13" s="39" t="e">
        <f>#REF!</f>
        <v>#REF!</v>
      </c>
      <c r="G13" s="39" t="e">
        <f>#REF!</f>
        <v>#REF!</v>
      </c>
      <c r="H13" s="39" t="e">
        <f ca="1">OFFSET(#REF!,-1,0)+OFFSET(#REF!,-1,0) -#REF! + IF(#REF!,#REF!*4) + SUM(#REF!)*#REF!*tech_3_3_2*#REF!</f>
        <v>#REF!</v>
      </c>
      <c r="I13" s="39" t="e">
        <f ca="1">OFFSET(#REF!,-1,0)+OFFSET(#REF!,-1,0)+ROUNDUP((#REF!*80+#REF!*35)*(1+OFFSET(#REF!,-1,0)),0)</f>
        <v>#REF!</v>
      </c>
      <c r="J13" s="39" t="e">
        <f ca="1">OFFSET(#REF!,-1,0)+OFFSET(#REF!,-1,0) -#REF! + SUM(#REF!)*#REF!*tech_3_3_2*#REF!</f>
        <v>#REF!</v>
      </c>
      <c r="K13" s="39" t="e">
        <f ca="1">OFFSET(#REF!,-1,0)+OFFSET(#REF!,-1,0) -#REF!</f>
        <v>#REF!</v>
      </c>
      <c r="L13" s="39" t="e">
        <f ca="1">OFFSET(#REF!,-1,0)+OFFSET(#REF!,-1,0) -#REF!</f>
        <v>#REF!</v>
      </c>
      <c r="M13" s="39" t="e">
        <f ca="1">OFFSET(#REF!,-1,0)+OFFSET(#REF!,-1,0) -#REF!</f>
        <v>#REF!</v>
      </c>
      <c r="N13" s="39" t="e">
        <f ca="1">OFFSET(#REF!,-1,0)+OFFSET(#REF!,-1,0)</f>
        <v>#REF!</v>
      </c>
      <c r="O13" s="39" t="e">
        <f ca="1">OFFSET(#REF!,-1,0)</f>
        <v>#REF!</v>
      </c>
      <c r="P13" s="39" t="e">
        <f ca="1">ROUNDDOWN(OFFSET(#REF!,-1,0)+(1+research_bonus)*(MIN(#REF!,#REF!*school_max)*(1 - MIN((#REF!/(#REF!-#REF!)),school_max)))-#REF!*#REF!,0) + IF(#REF!&lt;&gt;"",350,0)</f>
        <v>#REF!</v>
      </c>
      <c r="Q13" s="39" t="e">
        <f ca="1">MAX(3750,_xlfn.CEILING.MATH(#REF!*2.5+OFFSET(#REF!,-1,0)*150))</f>
        <v>#REF!</v>
      </c>
      <c r="R13" s="134"/>
      <c r="S13" s="39" t="e">
        <f>ROUNDDOWN(#REF!*(1+#REF!),0)</f>
        <v>#REF!</v>
      </c>
      <c r="T13" s="39" t="e">
        <f>ROUND(#REF!*(1+#REF!)-#REF!-#REF!,0)</f>
        <v>#REF!</v>
      </c>
      <c r="U13" s="39" t="e">
        <f>ROUND(#REF!*(1+#REF!)-#REF!,0)</f>
        <v>#REF!</v>
      </c>
      <c r="V13" s="39" t="e">
        <f>ROUND(#REF!*(1+#REF!)-#REF!,0)</f>
        <v>#REF!</v>
      </c>
      <c r="W13" s="39" t="e">
        <f>ROUNDDOWN(#REF!*(1+#REF!),0)</f>
        <v>#REF!</v>
      </c>
      <c r="X13" s="39" t="e">
        <f>ROUNDDOWN(#REF!*(1+#REF!),0)</f>
        <v>#REF!</v>
      </c>
      <c r="Y13" s="145" t="e">
        <f ca="1">OFFSET(#REF!,1,0)*dock_boats_hr * (1 + tech_4_1*#REF!)</f>
        <v>#REF!</v>
      </c>
      <c r="Z13" s="133"/>
      <c r="AA13" s="39" t="e">
        <f ca="1">#REF!*tax*#REF! + (Construction!AZ14+Construction!BX14)*(alch_plat+(Magic!AM13&gt;0)*alchemist_flame_bonus)</f>
        <v>#REF!</v>
      </c>
      <c r="AB13" s="39" t="e">
        <f>#REF!*farm_food +#REF!* dock_food</f>
        <v>#REF!</v>
      </c>
      <c r="AC13" s="39" t="e">
        <f>#REF!*ly_lumber +#REF!* fh_lumber</f>
        <v>#REF!</v>
      </c>
      <c r="AD13" s="39" t="e">
        <f ca="1">OFFSET(#REF!,1,0)*(tower_mana + tech_4_5*#REF!) + OFFSET(#REF!,1,0)*wg_mana_prod</f>
        <v>#REF!</v>
      </c>
      <c r="AE13" s="39" t="e">
        <f ca="1">OFFSET(#REF!,1,0)*om_ore+IF(race="Dwarf",ROUNDDOWN(#REF!*0.4,0),)</f>
        <v>#REF!</v>
      </c>
      <c r="AF13" s="39" t="e">
        <f ca="1">OFFSET(#REF!,1,0)*dm_gems</f>
        <v>#REF!</v>
      </c>
      <c r="AG13" s="134"/>
      <c r="AH13" s="135" t="e">
        <f>MIN(race_platinum_bonus + IF(#REF!&gt;0,alch_frost_bonus,IF(Magic!AD13&gt;0,midas_bonus)) +#REF! -#REF!*( 0.02 + tech_5_7*#REF!) + tech_1_5*#REF! + tech_4_4*#REF!, 0.5)</f>
        <v>#REF!</v>
      </c>
      <c r="AI13" s="132" t="e">
        <f>(1 + race_food_bonus + IF(#REF!&gt;0,gaias_blessing_food,IF(#REF!&gt;0,gaias_watch_bonus)) +#REF! + tech_1_1*#REF! + tech_1_4*#REF! + tech_5_1*#REF! +#REF!/ 100*prestige_food_bonus*(1 + tech_8_1*#REF!)) - 1</f>
        <v>#REF!</v>
      </c>
      <c r="AJ13" s="135" t="e">
        <f>race_lumber_bonus+ IF(#REF!&gt;0,gaias_blessing_lumber)+ tech_1_3*#REF! + tech_1_6*#REF! + tech_3_3*#REF!</f>
        <v>#REF!</v>
      </c>
      <c r="AK13" s="135" t="e">
        <f>race_mana_bonus+ 0 +#REF! + tech_1_2*#REF! + tech_3_4*#REF!</f>
        <v>#REF!</v>
      </c>
      <c r="AL13" s="135" t="e">
        <f>race_ore_bonus + IF(#REF!&gt;0,miners_sight_bonus,IF(#REF!&gt;0,mining_strength_bonus)) +  tech_1_6*#REF!</f>
        <v>#REF!</v>
      </c>
      <c r="AM13" s="135" t="e">
        <f>race_gem_bonus+ tech_3_2*#REF! + tech_4_3*#REF! + tech_6_2*#REF!</f>
        <v>#REF!</v>
      </c>
      <c r="AN13" s="134"/>
      <c r="AO13" s="39" t="e">
        <f>#REF!*food_decay * (1 + tech_2_1*#REF! + tech_2_8*#REF!)</f>
        <v>#REF!</v>
      </c>
      <c r="AP13" s="39" t="e">
        <f>(1+race_food_consumption)*#REF!*food_per_person*(1+tech_1_10*#REF!+tech_7_5*#REF!)</f>
        <v>#REF!</v>
      </c>
      <c r="AQ13" s="39" t="e">
        <f>#REF!*lumber_rot * (1 + tech_2_1*#REF! + tech_2_8*#REF! + tech_5_2*#REF!)</f>
        <v>#REF!</v>
      </c>
      <c r="AR13" s="39" t="e">
        <f>#REF!*mana_drain * (1 + tech_2_1*#REF! + tech_2_8*#REF!)</f>
        <v>#REF!</v>
      </c>
      <c r="AS13" s="133"/>
      <c r="AT13" s="39" t="e">
        <f>#REF!+#REF!+#REF!+#REF!+#REF!-#REF!</f>
        <v>#REF!</v>
      </c>
      <c r="AU13" s="39" t="e">
        <f>#REF!+#REF!-#REF! + Military!$CL$25*#REF!</f>
        <v>#REF!</v>
      </c>
      <c r="AV13" s="39" t="e">
        <f>#REF! + Military!$CL$26*#REF!</f>
        <v>#REF!</v>
      </c>
      <c r="AW13" s="39" t="e">
        <f>Military!$CL$24*#REF!+#REF!-#REF!</f>
        <v>#REF!</v>
      </c>
      <c r="AX13" s="39" t="e">
        <f>#REF!-#REF!</f>
        <v>#REF!</v>
      </c>
      <c r="AY13" s="134"/>
      <c r="AZ13" s="61" t="e">
        <f ca="1">IF(#REF!&lt;&gt;"",#REF!,OFFSET(#REF!,-1,0))</f>
        <v>#REF!</v>
      </c>
      <c r="BA13" s="144"/>
      <c r="BB13" s="3" t="e">
        <f>#REF!</f>
        <v>#REF!</v>
      </c>
      <c r="BC13" s="146" t="e">
        <f>-#REF! / 2 + -#REF! * 2 + -#REF! / 2</f>
        <v>#REF!</v>
      </c>
      <c r="BD13" s="146"/>
      <c r="BE13" s="146"/>
      <c r="BF13" s="146"/>
      <c r="BG13" s="147" t="e">
        <f>#REF!</f>
        <v>#REF!</v>
      </c>
      <c r="BH13" s="3" t="e">
        <f>IF(AND(#REF!=0,#REF!=0,#REF!=0,#REF!=0),"",IF(#REF!&gt;0,IF((#REF!+#REF!)/2+#REF!*2+ROUNDUP(#REF!/(1 + tech_2_2*Techs!Y13),0)=0,"Ok","Nope"),IF(#REF!&gt;0,IF((#REF!+#REF!)/2+#REF!*2+ROUNDUP(#REF!/(1 + tech_2_2*Techs!Y13),0)=0,"Ok","Nope"),IF(#REF!&gt;0,IF((#REF!+#REF!)/2+#REF!*2+ROUNDUP(#REF!/(1 + tech_2_2*Techs!Y13),0)=0,"Ok","Nope")))))</f>
        <v>#REF!</v>
      </c>
      <c r="BI13" s="39" t="e">
        <f>#REF!</f>
        <v>#REF!</v>
      </c>
      <c r="BJ13" s="39" t="e">
        <f>#REF!</f>
        <v>#REF!</v>
      </c>
      <c r="BK13" s="39" t="e">
        <f>#REF!</f>
        <v>#REF!</v>
      </c>
      <c r="BL13" s="39" t="e">
        <f>#REF!</f>
        <v>#REF!</v>
      </c>
      <c r="BM13" s="39" t="e">
        <f>#REF!</f>
        <v>#REF!</v>
      </c>
    </row>
    <row r="14" spans="1:65" x14ac:dyDescent="0.25">
      <c r="A14" s="130">
        <v>11</v>
      </c>
      <c r="B14" s="143" t="e">
        <f>#REF!</f>
        <v>#REF!</v>
      </c>
      <c r="C14" s="144"/>
      <c r="D14" s="133"/>
      <c r="E14" s="39" t="e">
        <f>#REF!</f>
        <v>#REF!</v>
      </c>
      <c r="F14" s="39" t="e">
        <f>#REF!</f>
        <v>#REF!</v>
      </c>
      <c r="G14" s="39" t="e">
        <f>#REF!</f>
        <v>#REF!</v>
      </c>
      <c r="H14" s="39" t="e">
        <f ca="1">OFFSET(#REF!,-1,0)+OFFSET(#REF!,-1,0) -#REF! + IF(#REF!,#REF!*4) + SUM(#REF!)*#REF!*tech_3_3_2*#REF!</f>
        <v>#REF!</v>
      </c>
      <c r="I14" s="39" t="e">
        <f ca="1">OFFSET(#REF!,-1,0)+OFFSET(#REF!,-1,0)+ROUNDUP((#REF!*80+#REF!*35)*(1+OFFSET(#REF!,-1,0)),0)</f>
        <v>#REF!</v>
      </c>
      <c r="J14" s="39" t="e">
        <f ca="1">OFFSET(#REF!,-1,0)+OFFSET(#REF!,-1,0) -#REF! + SUM(#REF!)*#REF!*tech_3_3_2*#REF!</f>
        <v>#REF!</v>
      </c>
      <c r="K14" s="39" t="e">
        <f ca="1">OFFSET(#REF!,-1,0)+OFFSET(#REF!,-1,0) -#REF!</f>
        <v>#REF!</v>
      </c>
      <c r="L14" s="39" t="e">
        <f ca="1">OFFSET(#REF!,-1,0)+OFFSET(#REF!,-1,0) -#REF!</f>
        <v>#REF!</v>
      </c>
      <c r="M14" s="39" t="e">
        <f ca="1">OFFSET(#REF!,-1,0)+OFFSET(#REF!,-1,0) -#REF!</f>
        <v>#REF!</v>
      </c>
      <c r="N14" s="39" t="e">
        <f ca="1">OFFSET(#REF!,-1,0)+OFFSET(#REF!,-1,0)</f>
        <v>#REF!</v>
      </c>
      <c r="O14" s="39" t="e">
        <f ca="1">OFFSET(#REF!,-1,0)</f>
        <v>#REF!</v>
      </c>
      <c r="P14" s="39" t="e">
        <f ca="1">ROUNDDOWN(OFFSET(#REF!,-1,0)+(1+research_bonus)*(MIN(#REF!,#REF!*school_max)*(1 - MIN((#REF!/(#REF!-#REF!)),school_max)))-#REF!*#REF!,0) + IF(#REF!&lt;&gt;"",350,0)</f>
        <v>#REF!</v>
      </c>
      <c r="Q14" s="39" t="e">
        <f ca="1">MAX(3750,_xlfn.CEILING.MATH(#REF!*2.5+OFFSET(#REF!,-1,0)*150))</f>
        <v>#REF!</v>
      </c>
      <c r="R14" s="134"/>
      <c r="S14" s="39" t="e">
        <f>ROUNDDOWN(#REF!*(1+#REF!),0)</f>
        <v>#REF!</v>
      </c>
      <c r="T14" s="39" t="e">
        <f>ROUND(#REF!*(1+#REF!)-#REF!-#REF!,0)</f>
        <v>#REF!</v>
      </c>
      <c r="U14" s="39" t="e">
        <f>ROUND(#REF!*(1+#REF!)-#REF!,0)</f>
        <v>#REF!</v>
      </c>
      <c r="V14" s="39" t="e">
        <f>ROUND(#REF!*(1+#REF!)-#REF!,0)</f>
        <v>#REF!</v>
      </c>
      <c r="W14" s="39" t="e">
        <f>ROUNDDOWN(#REF!*(1+#REF!),0)</f>
        <v>#REF!</v>
      </c>
      <c r="X14" s="39" t="e">
        <f>ROUNDDOWN(#REF!*(1+#REF!),0)</f>
        <v>#REF!</v>
      </c>
      <c r="Y14" s="145" t="e">
        <f ca="1">OFFSET(#REF!,1,0)*dock_boats_hr * (1 + tech_4_1*#REF!)</f>
        <v>#REF!</v>
      </c>
      <c r="Z14" s="133"/>
      <c r="AA14" s="39" t="e">
        <f ca="1">#REF!*tax*#REF! + (Construction!AZ15+Construction!BX15)*(alch_plat+(Magic!AM14&gt;0)*alchemist_flame_bonus)</f>
        <v>#REF!</v>
      </c>
      <c r="AB14" s="39" t="e">
        <f>#REF!*farm_food +#REF!* dock_food</f>
        <v>#REF!</v>
      </c>
      <c r="AC14" s="39" t="e">
        <f>#REF!*ly_lumber +#REF!* fh_lumber</f>
        <v>#REF!</v>
      </c>
      <c r="AD14" s="39" t="e">
        <f ca="1">OFFSET(#REF!,1,0)*(tower_mana + tech_4_5*#REF!) + OFFSET(#REF!,1,0)*wg_mana_prod</f>
        <v>#REF!</v>
      </c>
      <c r="AE14" s="39" t="e">
        <f ca="1">OFFSET(#REF!,1,0)*om_ore+IF(race="Dwarf",ROUNDDOWN(#REF!*0.4,0),)</f>
        <v>#REF!</v>
      </c>
      <c r="AF14" s="39" t="e">
        <f ca="1">OFFSET(#REF!,1,0)*dm_gems</f>
        <v>#REF!</v>
      </c>
      <c r="AG14" s="134"/>
      <c r="AH14" s="135" t="e">
        <f>MIN(race_platinum_bonus + IF(#REF!&gt;0,alch_frost_bonus,IF(Magic!AD14&gt;0,midas_bonus)) +#REF! -#REF!*( 0.02 + tech_5_7*#REF!) + tech_1_5*#REF! + tech_4_4*#REF!, 0.5)</f>
        <v>#REF!</v>
      </c>
      <c r="AI14" s="132" t="e">
        <f>(1 + race_food_bonus + IF(#REF!&gt;0,gaias_blessing_food,IF(#REF!&gt;0,gaias_watch_bonus)) +#REF! + tech_1_1*#REF! + tech_1_4*#REF! + tech_5_1*#REF! +#REF!/ 100*prestige_food_bonus*(1 + tech_8_1*#REF!)) - 1</f>
        <v>#REF!</v>
      </c>
      <c r="AJ14" s="135" t="e">
        <f>race_lumber_bonus+ IF(#REF!&gt;0,gaias_blessing_lumber)+ tech_1_3*#REF! + tech_1_6*#REF! + tech_3_3*#REF!</f>
        <v>#REF!</v>
      </c>
      <c r="AK14" s="135" t="e">
        <f>race_mana_bonus+ 0 +#REF! + tech_1_2*#REF! + tech_3_4*#REF!</f>
        <v>#REF!</v>
      </c>
      <c r="AL14" s="135" t="e">
        <f>race_ore_bonus + IF(#REF!&gt;0,miners_sight_bonus,IF(#REF!&gt;0,mining_strength_bonus)) +  tech_1_6*#REF!</f>
        <v>#REF!</v>
      </c>
      <c r="AM14" s="135" t="e">
        <f>race_gem_bonus+ tech_3_2*#REF! + tech_4_3*#REF! + tech_6_2*#REF!</f>
        <v>#REF!</v>
      </c>
      <c r="AN14" s="134"/>
      <c r="AO14" s="39" t="e">
        <f>#REF!*food_decay * (1 + tech_2_1*#REF! + tech_2_8*#REF!)</f>
        <v>#REF!</v>
      </c>
      <c r="AP14" s="39" t="e">
        <f>(1+race_food_consumption)*#REF!*food_per_person*(1+tech_1_10*#REF!+tech_7_5*#REF!)</f>
        <v>#REF!</v>
      </c>
      <c r="AQ14" s="39" t="e">
        <f>#REF!*lumber_rot * (1 + tech_2_1*#REF! + tech_2_8*#REF! + tech_5_2*#REF!)</f>
        <v>#REF!</v>
      </c>
      <c r="AR14" s="39" t="e">
        <f>#REF!*mana_drain * (1 + tech_2_1*#REF! + tech_2_8*#REF!)</f>
        <v>#REF!</v>
      </c>
      <c r="AS14" s="133"/>
      <c r="AT14" s="39" t="e">
        <f>#REF!+#REF!+#REF!+#REF!+#REF!-#REF!</f>
        <v>#REF!</v>
      </c>
      <c r="AU14" s="39" t="e">
        <f>#REF!+#REF!-#REF! + Military!$CL$25*#REF!</f>
        <v>#REF!</v>
      </c>
      <c r="AV14" s="39" t="e">
        <f>#REF! + Military!$CL$26*#REF!</f>
        <v>#REF!</v>
      </c>
      <c r="AW14" s="39" t="e">
        <f>Military!$CL$24*#REF!+#REF!-#REF!</f>
        <v>#REF!</v>
      </c>
      <c r="AX14" s="39" t="e">
        <f>#REF!-#REF!</f>
        <v>#REF!</v>
      </c>
      <c r="AY14" s="134"/>
      <c r="AZ14" s="61" t="e">
        <f ca="1">IF(#REF!&lt;&gt;"",#REF!,OFFSET(#REF!,-1,0))</f>
        <v>#REF!</v>
      </c>
      <c r="BA14" s="144"/>
      <c r="BB14" s="3" t="e">
        <f>#REF!</f>
        <v>#REF!</v>
      </c>
      <c r="BC14" s="146" t="e">
        <f>-#REF! / 2 + -#REF! * 2 + -#REF! / 2</f>
        <v>#REF!</v>
      </c>
      <c r="BD14" s="146"/>
      <c r="BE14" s="146"/>
      <c r="BF14" s="146"/>
      <c r="BG14" s="147" t="e">
        <f>#REF!</f>
        <v>#REF!</v>
      </c>
      <c r="BH14" s="3" t="e">
        <f>IF(AND(#REF!=0,#REF!=0,#REF!=0,#REF!=0),"",IF(#REF!&gt;0,IF((#REF!+#REF!)/2+#REF!*2+ROUNDUP(#REF!/(1 + tech_2_2*Techs!Y14),0)=0,"Ok","Nope"),IF(#REF!&gt;0,IF((#REF!+#REF!)/2+#REF!*2+ROUNDUP(#REF!/(1 + tech_2_2*Techs!Y14),0)=0,"Ok","Nope"),IF(#REF!&gt;0,IF((#REF!+#REF!)/2+#REF!*2+ROUNDUP(#REF!/(1 + tech_2_2*Techs!Y14),0)=0,"Ok","Nope")))))</f>
        <v>#REF!</v>
      </c>
      <c r="BI14" s="39" t="e">
        <f>#REF!</f>
        <v>#REF!</v>
      </c>
      <c r="BJ14" s="39" t="e">
        <f>#REF!</f>
        <v>#REF!</v>
      </c>
      <c r="BK14" s="39" t="e">
        <f>#REF!</f>
        <v>#REF!</v>
      </c>
      <c r="BL14" s="39" t="e">
        <f>#REF!</f>
        <v>#REF!</v>
      </c>
      <c r="BM14" s="39" t="e">
        <f>#REF!</f>
        <v>#REF!</v>
      </c>
    </row>
    <row r="15" spans="1:65" x14ac:dyDescent="0.25">
      <c r="A15" s="130">
        <v>12</v>
      </c>
      <c r="B15" s="143" t="e">
        <f>#REF!</f>
        <v>#REF!</v>
      </c>
      <c r="C15" s="144"/>
      <c r="D15" s="133"/>
      <c r="E15" s="39" t="e">
        <f>#REF!</f>
        <v>#REF!</v>
      </c>
      <c r="F15" s="39" t="e">
        <f>#REF!</f>
        <v>#REF!</v>
      </c>
      <c r="G15" s="39" t="e">
        <f>#REF!</f>
        <v>#REF!</v>
      </c>
      <c r="H15" s="39" t="e">
        <f ca="1">OFFSET(#REF!,-1,0)+OFFSET(#REF!,-1,0) -#REF! + IF(#REF!,#REF!*4) + SUM(#REF!)*#REF!*tech_3_3_2*#REF!</f>
        <v>#REF!</v>
      </c>
      <c r="I15" s="39" t="e">
        <f ca="1">OFFSET(#REF!,-1,0)+OFFSET(#REF!,-1,0)+ROUNDUP((#REF!*80+#REF!*35)*(1+OFFSET(#REF!,-1,0)),0)</f>
        <v>#REF!</v>
      </c>
      <c r="J15" s="39" t="e">
        <f ca="1">OFFSET(#REF!,-1,0)+OFFSET(#REF!,-1,0) -#REF! + SUM(#REF!)*#REF!*tech_3_3_2*#REF!</f>
        <v>#REF!</v>
      </c>
      <c r="K15" s="39" t="e">
        <f ca="1">OFFSET(#REF!,-1,0)+OFFSET(#REF!,-1,0) -#REF!</f>
        <v>#REF!</v>
      </c>
      <c r="L15" s="39" t="e">
        <f ca="1">OFFSET(#REF!,-1,0)+OFFSET(#REF!,-1,0) -#REF!</f>
        <v>#REF!</v>
      </c>
      <c r="M15" s="39" t="e">
        <f ca="1">OFFSET(#REF!,-1,0)+OFFSET(#REF!,-1,0) -#REF!</f>
        <v>#REF!</v>
      </c>
      <c r="N15" s="39" t="e">
        <f ca="1">OFFSET(#REF!,-1,0)+OFFSET(#REF!,-1,0)</f>
        <v>#REF!</v>
      </c>
      <c r="O15" s="39" t="e">
        <f ca="1">OFFSET(#REF!,-1,0)</f>
        <v>#REF!</v>
      </c>
      <c r="P15" s="39" t="e">
        <f ca="1">ROUNDDOWN(OFFSET(#REF!,-1,0)+(1+research_bonus)*(MIN(#REF!,#REF!*school_max)*(1 - MIN((#REF!/(#REF!-#REF!)),school_max)))-#REF!*#REF!,0) + IF(#REF!&lt;&gt;"",350,0)</f>
        <v>#REF!</v>
      </c>
      <c r="Q15" s="39" t="e">
        <f ca="1">MAX(3750,_xlfn.CEILING.MATH(#REF!*2.5+OFFSET(#REF!,-1,0)*150))</f>
        <v>#REF!</v>
      </c>
      <c r="R15" s="134"/>
      <c r="S15" s="39" t="e">
        <f>ROUNDDOWN(#REF!*(1+#REF!),0)</f>
        <v>#REF!</v>
      </c>
      <c r="T15" s="39" t="e">
        <f>ROUND(#REF!*(1+#REF!)-#REF!-#REF!,0)</f>
        <v>#REF!</v>
      </c>
      <c r="U15" s="39" t="e">
        <f>ROUND(#REF!*(1+#REF!)-#REF!,0)</f>
        <v>#REF!</v>
      </c>
      <c r="V15" s="39" t="e">
        <f>ROUND(#REF!*(1+#REF!)-#REF!,0)</f>
        <v>#REF!</v>
      </c>
      <c r="W15" s="39" t="e">
        <f>ROUNDDOWN(#REF!*(1+#REF!),0)</f>
        <v>#REF!</v>
      </c>
      <c r="X15" s="39" t="e">
        <f>ROUNDDOWN(#REF!*(1+#REF!),0)</f>
        <v>#REF!</v>
      </c>
      <c r="Y15" s="145" t="e">
        <f ca="1">OFFSET(#REF!,1,0)*dock_boats_hr * (1 + tech_4_1*#REF!)</f>
        <v>#REF!</v>
      </c>
      <c r="Z15" s="133"/>
      <c r="AA15" s="39" t="e">
        <f ca="1">#REF!*tax*#REF! + (Construction!AZ16+Construction!BX16)*(alch_plat+(Magic!AM15&gt;0)*alchemist_flame_bonus)</f>
        <v>#REF!</v>
      </c>
      <c r="AB15" s="39" t="e">
        <f>#REF!*farm_food +#REF!* dock_food</f>
        <v>#REF!</v>
      </c>
      <c r="AC15" s="39" t="e">
        <f>#REF!*ly_lumber +#REF!* fh_lumber</f>
        <v>#REF!</v>
      </c>
      <c r="AD15" s="39" t="e">
        <f ca="1">OFFSET(#REF!,1,0)*(tower_mana + tech_4_5*#REF!) + OFFSET(#REF!,1,0)*wg_mana_prod</f>
        <v>#REF!</v>
      </c>
      <c r="AE15" s="39" t="e">
        <f ca="1">OFFSET(#REF!,1,0)*om_ore+IF(race="Dwarf",ROUNDDOWN(#REF!*0.4,0),)</f>
        <v>#REF!</v>
      </c>
      <c r="AF15" s="39" t="e">
        <f ca="1">OFFSET(#REF!,1,0)*dm_gems</f>
        <v>#REF!</v>
      </c>
      <c r="AG15" s="134"/>
      <c r="AH15" s="135" t="e">
        <f>MIN(race_platinum_bonus + IF(#REF!&gt;0,alch_frost_bonus,IF(Magic!AD15&gt;0,midas_bonus)) +#REF! -#REF!*( 0.02 + tech_5_7*#REF!) + tech_1_5*#REF! + tech_4_4*#REF!, 0.5)</f>
        <v>#REF!</v>
      </c>
      <c r="AI15" s="132" t="e">
        <f>(1 + race_food_bonus + IF(#REF!&gt;0,gaias_blessing_food,IF(#REF!&gt;0,gaias_watch_bonus)) +#REF! + tech_1_1*#REF! + tech_1_4*#REF! + tech_5_1*#REF! +#REF!/ 100*prestige_food_bonus*(1 + tech_8_1*#REF!)) - 1</f>
        <v>#REF!</v>
      </c>
      <c r="AJ15" s="135" t="e">
        <f>race_lumber_bonus+ IF(#REF!&gt;0,gaias_blessing_lumber)+ tech_1_3*#REF! + tech_1_6*#REF! + tech_3_3*#REF!</f>
        <v>#REF!</v>
      </c>
      <c r="AK15" s="135" t="e">
        <f>race_mana_bonus+ 0 +#REF! + tech_1_2*#REF! + tech_3_4*#REF!</f>
        <v>#REF!</v>
      </c>
      <c r="AL15" s="135" t="e">
        <f>race_ore_bonus + IF(#REF!&gt;0,miners_sight_bonus,IF(#REF!&gt;0,mining_strength_bonus)) +  tech_1_6*#REF!</f>
        <v>#REF!</v>
      </c>
      <c r="AM15" s="135" t="e">
        <f>race_gem_bonus+ tech_3_2*#REF! + tech_4_3*#REF! + tech_6_2*#REF!</f>
        <v>#REF!</v>
      </c>
      <c r="AN15" s="134"/>
      <c r="AO15" s="39" t="e">
        <f>#REF!*food_decay * (1 + tech_2_1*#REF! + tech_2_8*#REF!)</f>
        <v>#REF!</v>
      </c>
      <c r="AP15" s="39" t="e">
        <f>(1+race_food_consumption)*#REF!*food_per_person*(1+tech_1_10*#REF!+tech_7_5*#REF!)</f>
        <v>#REF!</v>
      </c>
      <c r="AQ15" s="39" t="e">
        <f>#REF!*lumber_rot * (1 + tech_2_1*#REF! + tech_2_8*#REF! + tech_5_2*#REF!)</f>
        <v>#REF!</v>
      </c>
      <c r="AR15" s="39" t="e">
        <f>#REF!*mana_drain * (1 + tech_2_1*#REF! + tech_2_8*#REF!)</f>
        <v>#REF!</v>
      </c>
      <c r="AS15" s="133"/>
      <c r="AT15" s="39" t="e">
        <f>#REF!+#REF!+#REF!+#REF!+#REF!-#REF!</f>
        <v>#REF!</v>
      </c>
      <c r="AU15" s="39" t="e">
        <f>#REF!+#REF!-#REF! + Military!$CL$25*#REF!</f>
        <v>#REF!</v>
      </c>
      <c r="AV15" s="39" t="e">
        <f>#REF! + Military!$CL$26*#REF!</f>
        <v>#REF!</v>
      </c>
      <c r="AW15" s="39" t="e">
        <f>Military!$CL$24*#REF!+#REF!-#REF!</f>
        <v>#REF!</v>
      </c>
      <c r="AX15" s="39" t="e">
        <f>#REF!-#REF!</f>
        <v>#REF!</v>
      </c>
      <c r="AY15" s="134"/>
      <c r="AZ15" s="61" t="e">
        <f ca="1">IF(#REF!&lt;&gt;"",#REF!,OFFSET(#REF!,-1,0))</f>
        <v>#REF!</v>
      </c>
      <c r="BA15" s="144"/>
      <c r="BB15" s="3" t="e">
        <f>#REF!</f>
        <v>#REF!</v>
      </c>
      <c r="BC15" s="146" t="e">
        <f>-#REF! / 2 + -#REF! * 2 + -#REF! / 2</f>
        <v>#REF!</v>
      </c>
      <c r="BD15" s="146"/>
      <c r="BE15" s="146"/>
      <c r="BF15" s="146"/>
      <c r="BG15" s="147" t="e">
        <f>#REF!</f>
        <v>#REF!</v>
      </c>
      <c r="BH15" s="3" t="e">
        <f>IF(AND(#REF!=0,#REF!=0,#REF!=0,#REF!=0),"",IF(#REF!&gt;0,IF((#REF!+#REF!)/2+#REF!*2+ROUNDUP(#REF!/(1 + tech_2_2*Techs!Y15),0)=0,"Ok","Nope"),IF(#REF!&gt;0,IF((#REF!+#REF!)/2+#REF!*2+ROUNDUP(#REF!/(1 + tech_2_2*Techs!Y15),0)=0,"Ok","Nope"),IF(#REF!&gt;0,IF((#REF!+#REF!)/2+#REF!*2+ROUNDUP(#REF!/(1 + tech_2_2*Techs!Y15),0)=0,"Ok","Nope")))))</f>
        <v>#REF!</v>
      </c>
      <c r="BI15" s="39" t="e">
        <f>#REF!</f>
        <v>#REF!</v>
      </c>
      <c r="BJ15" s="39" t="e">
        <f>#REF!</f>
        <v>#REF!</v>
      </c>
      <c r="BK15" s="39" t="e">
        <f>#REF!</f>
        <v>#REF!</v>
      </c>
      <c r="BL15" s="39" t="e">
        <f>#REF!</f>
        <v>#REF!</v>
      </c>
      <c r="BM15" s="39" t="e">
        <f>#REF!</f>
        <v>#REF!</v>
      </c>
    </row>
    <row r="16" spans="1:65" x14ac:dyDescent="0.25">
      <c r="A16" s="130">
        <v>13</v>
      </c>
      <c r="B16" s="143" t="e">
        <f>#REF!</f>
        <v>#REF!</v>
      </c>
      <c r="C16" s="144"/>
      <c r="D16" s="133"/>
      <c r="E16" s="39" t="e">
        <f>#REF!</f>
        <v>#REF!</v>
      </c>
      <c r="F16" s="39" t="e">
        <f>#REF!</f>
        <v>#REF!</v>
      </c>
      <c r="G16" s="39" t="e">
        <f>#REF!</f>
        <v>#REF!</v>
      </c>
      <c r="H16" s="39" t="e">
        <f ca="1">OFFSET(#REF!,-1,0)+OFFSET(#REF!,-1,0) -#REF! + IF(#REF!,#REF!*4) + SUM(#REF!)*#REF!*tech_3_3_2*#REF!</f>
        <v>#REF!</v>
      </c>
      <c r="I16" s="39" t="e">
        <f ca="1">OFFSET(#REF!,-1,0)+OFFSET(#REF!,-1,0)+ROUNDUP((#REF!*80+#REF!*35)*(1+OFFSET(#REF!,-1,0)),0)</f>
        <v>#REF!</v>
      </c>
      <c r="J16" s="39" t="e">
        <f ca="1">OFFSET(#REF!,-1,0)+OFFSET(#REF!,-1,0) -#REF! + SUM(#REF!)*#REF!*tech_3_3_2*#REF!</f>
        <v>#REF!</v>
      </c>
      <c r="K16" s="39" t="e">
        <f ca="1">OFFSET(#REF!,-1,0)+OFFSET(#REF!,-1,0) -#REF!</f>
        <v>#REF!</v>
      </c>
      <c r="L16" s="39" t="e">
        <f ca="1">OFFSET(#REF!,-1,0)+OFFSET(#REF!,-1,0) -#REF!</f>
        <v>#REF!</v>
      </c>
      <c r="M16" s="39" t="e">
        <f ca="1">OFFSET(#REF!,-1,0)+OFFSET(#REF!,-1,0) -#REF!</f>
        <v>#REF!</v>
      </c>
      <c r="N16" s="39" t="e">
        <f ca="1">OFFSET(#REF!,-1,0)+OFFSET(#REF!,-1,0)</f>
        <v>#REF!</v>
      </c>
      <c r="O16" s="39" t="e">
        <f ca="1">OFFSET(#REF!,-1,0)</f>
        <v>#REF!</v>
      </c>
      <c r="P16" s="39" t="e">
        <f ca="1">ROUNDDOWN(OFFSET(#REF!,-1,0)+(1+research_bonus)*(MIN(#REF!,#REF!*school_max)*(1 - MIN((#REF!/(#REF!-#REF!)),school_max)))-#REF!*#REF!,0) + IF(#REF!&lt;&gt;"",350,0)</f>
        <v>#REF!</v>
      </c>
      <c r="Q16" s="39" t="e">
        <f ca="1">MAX(3750,_xlfn.CEILING.MATH(#REF!*2.5+OFFSET(#REF!,-1,0)*150))</f>
        <v>#REF!</v>
      </c>
      <c r="R16" s="134"/>
      <c r="S16" s="39" t="e">
        <f>ROUNDDOWN(#REF!*(1+#REF!),0)</f>
        <v>#REF!</v>
      </c>
      <c r="T16" s="39" t="e">
        <f>ROUND(#REF!*(1+#REF!)-#REF!-#REF!,0)</f>
        <v>#REF!</v>
      </c>
      <c r="U16" s="39" t="e">
        <f>ROUND(#REF!*(1+#REF!)-#REF!,0)</f>
        <v>#REF!</v>
      </c>
      <c r="V16" s="39" t="e">
        <f>ROUND(#REF!*(1+#REF!)-#REF!,0)</f>
        <v>#REF!</v>
      </c>
      <c r="W16" s="39" t="e">
        <f>ROUNDDOWN(#REF!*(1+#REF!),0)</f>
        <v>#REF!</v>
      </c>
      <c r="X16" s="39" t="e">
        <f>ROUNDDOWN(#REF!*(1+#REF!),0)</f>
        <v>#REF!</v>
      </c>
      <c r="Y16" s="145" t="e">
        <f ca="1">OFFSET(#REF!,1,0)*dock_boats_hr * (1 + tech_4_1*#REF!)</f>
        <v>#REF!</v>
      </c>
      <c r="Z16" s="133"/>
      <c r="AA16" s="39" t="e">
        <f ca="1">#REF!*tax*#REF! + (Construction!AZ17+Construction!BX17)*(alch_plat+(Magic!AM16&gt;0)*alchemist_flame_bonus)</f>
        <v>#REF!</v>
      </c>
      <c r="AB16" s="39" t="e">
        <f>#REF!*farm_food +#REF!* dock_food</f>
        <v>#REF!</v>
      </c>
      <c r="AC16" s="39" t="e">
        <f>#REF!*ly_lumber +#REF!* fh_lumber</f>
        <v>#REF!</v>
      </c>
      <c r="AD16" s="39" t="e">
        <f ca="1">OFFSET(#REF!,1,0)*(tower_mana + tech_4_5*#REF!) + OFFSET(#REF!,1,0)*wg_mana_prod</f>
        <v>#REF!</v>
      </c>
      <c r="AE16" s="39" t="e">
        <f ca="1">OFFSET(#REF!,1,0)*om_ore+IF(race="Dwarf",ROUNDDOWN(#REF!*0.4,0),)</f>
        <v>#REF!</v>
      </c>
      <c r="AF16" s="39" t="e">
        <f ca="1">OFFSET(#REF!,1,0)*dm_gems</f>
        <v>#REF!</v>
      </c>
      <c r="AG16" s="134"/>
      <c r="AH16" s="135" t="e">
        <f>MIN(race_platinum_bonus + IF(#REF!&gt;0,alch_frost_bonus,IF(Magic!AD16&gt;0,midas_bonus)) +#REF! -#REF!*( 0.02 + tech_5_7*#REF!) + tech_1_5*#REF! + tech_4_4*#REF!, 0.5)</f>
        <v>#REF!</v>
      </c>
      <c r="AI16" s="132" t="e">
        <f>(1 + race_food_bonus + IF(#REF!&gt;0,gaias_blessing_food,IF(#REF!&gt;0,gaias_watch_bonus)) +#REF! + tech_1_1*#REF! + tech_1_4*#REF! + tech_5_1*#REF! +#REF!/ 100*prestige_food_bonus*(1 + tech_8_1*#REF!)) - 1</f>
        <v>#REF!</v>
      </c>
      <c r="AJ16" s="135" t="e">
        <f>race_lumber_bonus+ IF(#REF!&gt;0,gaias_blessing_lumber)+ tech_1_3*#REF! + tech_1_6*#REF! + tech_3_3*#REF!</f>
        <v>#REF!</v>
      </c>
      <c r="AK16" s="135" t="e">
        <f>race_mana_bonus+ 0 +#REF! + tech_1_2*#REF! + tech_3_4*#REF!</f>
        <v>#REF!</v>
      </c>
      <c r="AL16" s="135" t="e">
        <f>race_ore_bonus + IF(#REF!&gt;0,miners_sight_bonus,IF(#REF!&gt;0,mining_strength_bonus)) +  tech_1_6*#REF!</f>
        <v>#REF!</v>
      </c>
      <c r="AM16" s="135" t="e">
        <f>race_gem_bonus+ tech_3_2*#REF! + tech_4_3*#REF! + tech_6_2*#REF!</f>
        <v>#REF!</v>
      </c>
      <c r="AN16" s="134"/>
      <c r="AO16" s="39" t="e">
        <f>#REF!*food_decay * (1 + tech_2_1*#REF! + tech_2_8*#REF!)</f>
        <v>#REF!</v>
      </c>
      <c r="AP16" s="39" t="e">
        <f>(1+race_food_consumption)*#REF!*food_per_person*(1+tech_1_10*#REF!+tech_7_5*#REF!)</f>
        <v>#REF!</v>
      </c>
      <c r="AQ16" s="39" t="e">
        <f>#REF!*lumber_rot * (1 + tech_2_1*#REF! + tech_2_8*#REF! + tech_5_2*#REF!)</f>
        <v>#REF!</v>
      </c>
      <c r="AR16" s="39" t="e">
        <f>#REF!*mana_drain * (1 + tech_2_1*#REF! + tech_2_8*#REF!)</f>
        <v>#REF!</v>
      </c>
      <c r="AS16" s="133"/>
      <c r="AT16" s="39" t="e">
        <f>#REF!+#REF!+#REF!+#REF!+#REF!-#REF!</f>
        <v>#REF!</v>
      </c>
      <c r="AU16" s="39" t="e">
        <f>#REF!+#REF!-#REF! + Military!$CL$25*#REF!</f>
        <v>#REF!</v>
      </c>
      <c r="AV16" s="39" t="e">
        <f>#REF! + Military!$CL$26*#REF!</f>
        <v>#REF!</v>
      </c>
      <c r="AW16" s="39" t="e">
        <f>Military!$CL$24*#REF!+#REF!-#REF!</f>
        <v>#REF!</v>
      </c>
      <c r="AX16" s="39" t="e">
        <f>#REF!-#REF!</f>
        <v>#REF!</v>
      </c>
      <c r="AY16" s="134"/>
      <c r="AZ16" s="61" t="e">
        <f ca="1">IF(#REF!&lt;&gt;"",#REF!,OFFSET(#REF!,-1,0))</f>
        <v>#REF!</v>
      </c>
      <c r="BA16" s="144"/>
      <c r="BB16" s="3" t="e">
        <f>#REF!</f>
        <v>#REF!</v>
      </c>
      <c r="BC16" s="146" t="e">
        <f>-#REF! / 2 + -#REF! * 2 + -#REF! / 2</f>
        <v>#REF!</v>
      </c>
      <c r="BD16" s="146"/>
      <c r="BE16" s="146"/>
      <c r="BF16" s="146"/>
      <c r="BG16" s="147" t="e">
        <f>#REF!</f>
        <v>#REF!</v>
      </c>
      <c r="BH16" s="3" t="e">
        <f>IF(AND(#REF!=0,#REF!=0,#REF!=0,#REF!=0),"",IF(#REF!&gt;0,IF((#REF!+#REF!)/2+#REF!*2+ROUNDUP(#REF!/(1 + tech_2_2*Techs!Y16),0)=0,"Ok","Nope"),IF(#REF!&gt;0,IF((#REF!+#REF!)/2+#REF!*2+ROUNDUP(#REF!/(1 + tech_2_2*Techs!Y16),0)=0,"Ok","Nope"),IF(#REF!&gt;0,IF((#REF!+#REF!)/2+#REF!*2+ROUNDUP(#REF!/(1 + tech_2_2*Techs!Y16),0)=0,"Ok","Nope")))))</f>
        <v>#REF!</v>
      </c>
      <c r="BI16" s="39" t="e">
        <f>#REF!</f>
        <v>#REF!</v>
      </c>
      <c r="BJ16" s="39" t="e">
        <f>#REF!</f>
        <v>#REF!</v>
      </c>
      <c r="BK16" s="39" t="e">
        <f>#REF!</f>
        <v>#REF!</v>
      </c>
      <c r="BL16" s="39" t="e">
        <f>#REF!</f>
        <v>#REF!</v>
      </c>
      <c r="BM16" s="39" t="e">
        <f>#REF!</f>
        <v>#REF!</v>
      </c>
    </row>
    <row r="17" spans="1:65" x14ac:dyDescent="0.25">
      <c r="A17" s="130">
        <v>14</v>
      </c>
      <c r="B17" s="143" t="e">
        <f>#REF!</f>
        <v>#REF!</v>
      </c>
      <c r="C17" s="144"/>
      <c r="D17" s="133"/>
      <c r="E17" s="39" t="e">
        <f>#REF!</f>
        <v>#REF!</v>
      </c>
      <c r="F17" s="39" t="e">
        <f>#REF!</f>
        <v>#REF!</v>
      </c>
      <c r="G17" s="39" t="e">
        <f>#REF!</f>
        <v>#REF!</v>
      </c>
      <c r="H17" s="39" t="e">
        <f ca="1">OFFSET(#REF!,-1,0)+OFFSET(#REF!,-1,0) -#REF! + IF(#REF!,#REF!*4) + SUM(#REF!)*#REF!*tech_3_3_2*#REF!</f>
        <v>#REF!</v>
      </c>
      <c r="I17" s="39" t="e">
        <f ca="1">OFFSET(#REF!,-1,0)+OFFSET(#REF!,-1,0)+ROUNDUP((#REF!*80+#REF!*35)*(1+OFFSET(#REF!,-1,0)),0)</f>
        <v>#REF!</v>
      </c>
      <c r="J17" s="39" t="e">
        <f ca="1">OFFSET(#REF!,-1,0)+OFFSET(#REF!,-1,0) -#REF! + SUM(#REF!)*#REF!*tech_3_3_2*#REF!</f>
        <v>#REF!</v>
      </c>
      <c r="K17" s="39" t="e">
        <f ca="1">OFFSET(#REF!,-1,0)+OFFSET(#REF!,-1,0) -#REF!</f>
        <v>#REF!</v>
      </c>
      <c r="L17" s="39" t="e">
        <f ca="1">OFFSET(#REF!,-1,0)+OFFSET(#REF!,-1,0) -#REF!</f>
        <v>#REF!</v>
      </c>
      <c r="M17" s="39" t="e">
        <f ca="1">OFFSET(#REF!,-1,0)+OFFSET(#REF!,-1,0) -#REF!</f>
        <v>#REF!</v>
      </c>
      <c r="N17" s="39" t="e">
        <f ca="1">OFFSET(#REF!,-1,0)+OFFSET(#REF!,-1,0)</f>
        <v>#REF!</v>
      </c>
      <c r="O17" s="39" t="e">
        <f ca="1">OFFSET(#REF!,-1,0)</f>
        <v>#REF!</v>
      </c>
      <c r="P17" s="39" t="e">
        <f ca="1">ROUNDDOWN(OFFSET(#REF!,-1,0)+(1+research_bonus)*(MIN(#REF!,#REF!*school_max)*(1 - MIN((#REF!/(#REF!-#REF!)),school_max)))-#REF!*#REF!,0) + IF(#REF!&lt;&gt;"",350,0)</f>
        <v>#REF!</v>
      </c>
      <c r="Q17" s="39" t="e">
        <f ca="1">MAX(3750,_xlfn.CEILING.MATH(#REF!*2.5+OFFSET(#REF!,-1,0)*150))</f>
        <v>#REF!</v>
      </c>
      <c r="R17" s="134"/>
      <c r="S17" s="39" t="e">
        <f>ROUNDDOWN(#REF!*(1+#REF!),0)</f>
        <v>#REF!</v>
      </c>
      <c r="T17" s="39" t="e">
        <f>ROUND(#REF!*(1+#REF!)-#REF!-#REF!,0)</f>
        <v>#REF!</v>
      </c>
      <c r="U17" s="39" t="e">
        <f>ROUND(#REF!*(1+#REF!)-#REF!,0)</f>
        <v>#REF!</v>
      </c>
      <c r="V17" s="39" t="e">
        <f>ROUND(#REF!*(1+#REF!)-#REF!,0)</f>
        <v>#REF!</v>
      </c>
      <c r="W17" s="39" t="e">
        <f>ROUNDDOWN(#REF!*(1+#REF!),0)</f>
        <v>#REF!</v>
      </c>
      <c r="X17" s="39" t="e">
        <f>ROUNDDOWN(#REF!*(1+#REF!),0)</f>
        <v>#REF!</v>
      </c>
      <c r="Y17" s="145" t="e">
        <f ca="1">OFFSET(#REF!,1,0)*dock_boats_hr * (1 + tech_4_1*#REF!)</f>
        <v>#REF!</v>
      </c>
      <c r="Z17" s="133"/>
      <c r="AA17" s="39" t="e">
        <f ca="1">#REF!*tax*#REF! + (Construction!AZ18+Construction!BX18)*(alch_plat+(Magic!AM17&gt;0)*alchemist_flame_bonus)</f>
        <v>#REF!</v>
      </c>
      <c r="AB17" s="39" t="e">
        <f>#REF!*farm_food +#REF!* dock_food</f>
        <v>#REF!</v>
      </c>
      <c r="AC17" s="39" t="e">
        <f>#REF!*ly_lumber +#REF!* fh_lumber</f>
        <v>#REF!</v>
      </c>
      <c r="AD17" s="39" t="e">
        <f ca="1">OFFSET(#REF!,1,0)*(tower_mana + tech_4_5*#REF!) + OFFSET(#REF!,1,0)*wg_mana_prod</f>
        <v>#REF!</v>
      </c>
      <c r="AE17" s="39" t="e">
        <f ca="1">OFFSET(#REF!,1,0)*om_ore+IF(race="Dwarf",ROUNDDOWN(#REF!*0.4,0),)</f>
        <v>#REF!</v>
      </c>
      <c r="AF17" s="39" t="e">
        <f ca="1">OFFSET(#REF!,1,0)*dm_gems</f>
        <v>#REF!</v>
      </c>
      <c r="AG17" s="134"/>
      <c r="AH17" s="135" t="e">
        <f>MIN(race_platinum_bonus + IF(#REF!&gt;0,alch_frost_bonus,IF(Magic!AD17&gt;0,midas_bonus)) +#REF! -#REF!*( 0.02 + tech_5_7*#REF!) + tech_1_5*#REF! + tech_4_4*#REF!, 0.5)</f>
        <v>#REF!</v>
      </c>
      <c r="AI17" s="132" t="e">
        <f>(1 + race_food_bonus + IF(#REF!&gt;0,gaias_blessing_food,IF(#REF!&gt;0,gaias_watch_bonus)) +#REF! + tech_1_1*#REF! + tech_1_4*#REF! + tech_5_1*#REF! +#REF!/ 100*prestige_food_bonus*(1 + tech_8_1*#REF!)) - 1</f>
        <v>#REF!</v>
      </c>
      <c r="AJ17" s="135" t="e">
        <f>race_lumber_bonus+ IF(#REF!&gt;0,gaias_blessing_lumber)+ tech_1_3*#REF! + tech_1_6*#REF! + tech_3_3*#REF!</f>
        <v>#REF!</v>
      </c>
      <c r="AK17" s="135" t="e">
        <f>race_mana_bonus+ 0 +#REF! + tech_1_2*#REF! + tech_3_4*#REF!</f>
        <v>#REF!</v>
      </c>
      <c r="AL17" s="135" t="e">
        <f>race_ore_bonus + IF(#REF!&gt;0,miners_sight_bonus,IF(#REF!&gt;0,mining_strength_bonus)) +  tech_1_6*#REF!</f>
        <v>#REF!</v>
      </c>
      <c r="AM17" s="135" t="e">
        <f>race_gem_bonus+ tech_3_2*#REF! + tech_4_3*#REF! + tech_6_2*#REF!</f>
        <v>#REF!</v>
      </c>
      <c r="AN17" s="134"/>
      <c r="AO17" s="39" t="e">
        <f>#REF!*food_decay * (1 + tech_2_1*#REF! + tech_2_8*#REF!)</f>
        <v>#REF!</v>
      </c>
      <c r="AP17" s="39" t="e">
        <f>(1+race_food_consumption)*#REF!*food_per_person*(1+tech_1_10*#REF!+tech_7_5*#REF!)</f>
        <v>#REF!</v>
      </c>
      <c r="AQ17" s="39" t="e">
        <f>#REF!*lumber_rot * (1 + tech_2_1*#REF! + tech_2_8*#REF! + tech_5_2*#REF!)</f>
        <v>#REF!</v>
      </c>
      <c r="AR17" s="39" t="e">
        <f>#REF!*mana_drain * (1 + tech_2_1*#REF! + tech_2_8*#REF!)</f>
        <v>#REF!</v>
      </c>
      <c r="AS17" s="133"/>
      <c r="AT17" s="39" t="e">
        <f>#REF!+#REF!+#REF!+#REF!+#REF!-#REF!</f>
        <v>#REF!</v>
      </c>
      <c r="AU17" s="39" t="e">
        <f>#REF!+#REF!-#REF! + Military!$CL$25*#REF!</f>
        <v>#REF!</v>
      </c>
      <c r="AV17" s="39" t="e">
        <f>#REF! + Military!$CL$26*#REF!</f>
        <v>#REF!</v>
      </c>
      <c r="AW17" s="39" t="e">
        <f>Military!$CL$24*#REF!+#REF!-#REF!</f>
        <v>#REF!</v>
      </c>
      <c r="AX17" s="39" t="e">
        <f>#REF!-#REF!</f>
        <v>#REF!</v>
      </c>
      <c r="AY17" s="134"/>
      <c r="AZ17" s="61" t="e">
        <f ca="1">IF(#REF!&lt;&gt;"",#REF!,OFFSET(#REF!,-1,0))</f>
        <v>#REF!</v>
      </c>
      <c r="BA17" s="144"/>
      <c r="BB17" s="3" t="e">
        <f>#REF!</f>
        <v>#REF!</v>
      </c>
      <c r="BC17" s="146" t="e">
        <f>-#REF! / 2 + -#REF! * 2 + -#REF! / 2</f>
        <v>#REF!</v>
      </c>
      <c r="BD17" s="146"/>
      <c r="BE17" s="146"/>
      <c r="BF17" s="146"/>
      <c r="BG17" s="147" t="e">
        <f>#REF!</f>
        <v>#REF!</v>
      </c>
      <c r="BH17" s="3" t="e">
        <f>IF(AND(#REF!=0,#REF!=0,#REF!=0,#REF!=0),"",IF(#REF!&gt;0,IF((#REF!+#REF!)/2+#REF!*2+ROUNDUP(#REF!/(1 + tech_2_2*Techs!Y17),0)=0,"Ok","Nope"),IF(#REF!&gt;0,IF((#REF!+#REF!)/2+#REF!*2+ROUNDUP(#REF!/(1 + tech_2_2*Techs!Y17),0)=0,"Ok","Nope"),IF(#REF!&gt;0,IF((#REF!+#REF!)/2+#REF!*2+ROUNDUP(#REF!/(1 + tech_2_2*Techs!Y17),0)=0,"Ok","Nope")))))</f>
        <v>#REF!</v>
      </c>
      <c r="BI17" s="39" t="e">
        <f>#REF!</f>
        <v>#REF!</v>
      </c>
      <c r="BJ17" s="39" t="e">
        <f>#REF!</f>
        <v>#REF!</v>
      </c>
      <c r="BK17" s="39" t="e">
        <f>#REF!</f>
        <v>#REF!</v>
      </c>
      <c r="BL17" s="39" t="e">
        <f>#REF!</f>
        <v>#REF!</v>
      </c>
      <c r="BM17" s="39" t="e">
        <f>#REF!</f>
        <v>#REF!</v>
      </c>
    </row>
    <row r="18" spans="1:65" x14ac:dyDescent="0.25">
      <c r="A18" s="130">
        <v>15</v>
      </c>
      <c r="B18" s="143" t="e">
        <f>#REF!</f>
        <v>#REF!</v>
      </c>
      <c r="C18" s="144"/>
      <c r="D18" s="133"/>
      <c r="E18" s="39" t="e">
        <f>#REF!</f>
        <v>#REF!</v>
      </c>
      <c r="F18" s="39" t="e">
        <f>#REF!</f>
        <v>#REF!</v>
      </c>
      <c r="G18" s="39" t="e">
        <f>#REF!</f>
        <v>#REF!</v>
      </c>
      <c r="H18" s="39" t="e">
        <f ca="1">OFFSET(#REF!,-1,0)+OFFSET(#REF!,-1,0) -#REF! + IF(#REF!,#REF!*4) + SUM(#REF!)*#REF!*tech_3_3_2*#REF!</f>
        <v>#REF!</v>
      </c>
      <c r="I18" s="39" t="e">
        <f ca="1">OFFSET(#REF!,-1,0)+OFFSET(#REF!,-1,0)+ROUNDUP((#REF!*80+#REF!*35)*(1+OFFSET(#REF!,-1,0)),0)</f>
        <v>#REF!</v>
      </c>
      <c r="J18" s="39" t="e">
        <f ca="1">OFFSET(#REF!,-1,0)+OFFSET(#REF!,-1,0) -#REF! + SUM(#REF!)*#REF!*tech_3_3_2*#REF!</f>
        <v>#REF!</v>
      </c>
      <c r="K18" s="39" t="e">
        <f ca="1">OFFSET(#REF!,-1,0)+OFFSET(#REF!,-1,0) -#REF!</f>
        <v>#REF!</v>
      </c>
      <c r="L18" s="39" t="e">
        <f ca="1">OFFSET(#REF!,-1,0)+OFFSET(#REF!,-1,0) -#REF!</f>
        <v>#REF!</v>
      </c>
      <c r="M18" s="39" t="e">
        <f ca="1">OFFSET(#REF!,-1,0)+OFFSET(#REF!,-1,0) -#REF!</f>
        <v>#REF!</v>
      </c>
      <c r="N18" s="39" t="e">
        <f ca="1">OFFSET(#REF!,-1,0)+OFFSET(#REF!,-1,0)</f>
        <v>#REF!</v>
      </c>
      <c r="O18" s="39" t="e">
        <f ca="1">OFFSET(#REF!,-1,0)</f>
        <v>#REF!</v>
      </c>
      <c r="P18" s="39" t="e">
        <f ca="1">ROUNDDOWN(OFFSET(#REF!,-1,0)+(1+research_bonus)*(MIN(#REF!,#REF!*school_max)*(1 - MIN((#REF!/(#REF!-#REF!)),school_max)))-#REF!*#REF!,0) + IF(#REF!&lt;&gt;"",350,0)</f>
        <v>#REF!</v>
      </c>
      <c r="Q18" s="39" t="e">
        <f ca="1">MAX(3750,_xlfn.CEILING.MATH(#REF!*2.5+OFFSET(#REF!,-1,0)*150))</f>
        <v>#REF!</v>
      </c>
      <c r="R18" s="134"/>
      <c r="S18" s="39" t="e">
        <f>ROUNDDOWN(#REF!*(1+#REF!),0)</f>
        <v>#REF!</v>
      </c>
      <c r="T18" s="39" t="e">
        <f>ROUND(#REF!*(1+#REF!)-#REF!-#REF!,0)</f>
        <v>#REF!</v>
      </c>
      <c r="U18" s="39" t="e">
        <f>ROUND(#REF!*(1+#REF!)-#REF!,0)</f>
        <v>#REF!</v>
      </c>
      <c r="V18" s="39" t="e">
        <f>ROUND(#REF!*(1+#REF!)-#REF!,0)</f>
        <v>#REF!</v>
      </c>
      <c r="W18" s="39" t="e">
        <f>ROUNDDOWN(#REF!*(1+#REF!),0)</f>
        <v>#REF!</v>
      </c>
      <c r="X18" s="39" t="e">
        <f>ROUNDDOWN(#REF!*(1+#REF!),0)</f>
        <v>#REF!</v>
      </c>
      <c r="Y18" s="145" t="e">
        <f ca="1">OFFSET(#REF!,1,0)*dock_boats_hr * (1 + tech_4_1*#REF!)</f>
        <v>#REF!</v>
      </c>
      <c r="Z18" s="133"/>
      <c r="AA18" s="39" t="e">
        <f ca="1">#REF!*tax*#REF! + (Construction!AZ19+Construction!BX19)*(alch_plat+(Magic!AM18&gt;0)*alchemist_flame_bonus)</f>
        <v>#REF!</v>
      </c>
      <c r="AB18" s="39" t="e">
        <f>#REF!*farm_food +#REF!* dock_food</f>
        <v>#REF!</v>
      </c>
      <c r="AC18" s="39" t="e">
        <f>#REF!*ly_lumber +#REF!* fh_lumber</f>
        <v>#REF!</v>
      </c>
      <c r="AD18" s="39" t="e">
        <f ca="1">OFFSET(#REF!,1,0)*(tower_mana + tech_4_5*#REF!) + OFFSET(#REF!,1,0)*wg_mana_prod</f>
        <v>#REF!</v>
      </c>
      <c r="AE18" s="39" t="e">
        <f ca="1">OFFSET(#REF!,1,0)*om_ore+IF(race="Dwarf",ROUNDDOWN(#REF!*0.4,0),)</f>
        <v>#REF!</v>
      </c>
      <c r="AF18" s="39" t="e">
        <f ca="1">OFFSET(#REF!,1,0)*dm_gems</f>
        <v>#REF!</v>
      </c>
      <c r="AG18" s="134"/>
      <c r="AH18" s="135" t="e">
        <f>MIN(race_platinum_bonus + IF(#REF!&gt;0,alch_frost_bonus,IF(Magic!AD18&gt;0,midas_bonus)) +#REF! -#REF!*( 0.02 + tech_5_7*#REF!) + tech_1_5*#REF! + tech_4_4*#REF!, 0.5)</f>
        <v>#REF!</v>
      </c>
      <c r="AI18" s="132" t="e">
        <f>(1 + race_food_bonus + IF(#REF!&gt;0,gaias_blessing_food,IF(#REF!&gt;0,gaias_watch_bonus)) +#REF! + tech_1_1*#REF! + tech_1_4*#REF! + tech_5_1*#REF! +#REF!/ 100*prestige_food_bonus*(1 + tech_8_1*#REF!)) - 1</f>
        <v>#REF!</v>
      </c>
      <c r="AJ18" s="135" t="e">
        <f>race_lumber_bonus+ IF(#REF!&gt;0,gaias_blessing_lumber)+ tech_1_3*#REF! + tech_1_6*#REF! + tech_3_3*#REF!</f>
        <v>#REF!</v>
      </c>
      <c r="AK18" s="135" t="e">
        <f>race_mana_bonus+ 0 +#REF! + tech_1_2*#REF! + tech_3_4*#REF!</f>
        <v>#REF!</v>
      </c>
      <c r="AL18" s="135" t="e">
        <f>race_ore_bonus + IF(#REF!&gt;0,miners_sight_bonus,IF(#REF!&gt;0,mining_strength_bonus)) +  tech_1_6*#REF!</f>
        <v>#REF!</v>
      </c>
      <c r="AM18" s="135" t="e">
        <f>race_gem_bonus+ tech_3_2*#REF! + tech_4_3*#REF! + tech_6_2*#REF!</f>
        <v>#REF!</v>
      </c>
      <c r="AN18" s="134"/>
      <c r="AO18" s="39" t="e">
        <f>#REF!*food_decay * (1 + tech_2_1*#REF! + tech_2_8*#REF!)</f>
        <v>#REF!</v>
      </c>
      <c r="AP18" s="39" t="e">
        <f>(1+race_food_consumption)*#REF!*food_per_person*(1+tech_1_10*#REF!+tech_7_5*#REF!)</f>
        <v>#REF!</v>
      </c>
      <c r="AQ18" s="39" t="e">
        <f>#REF!*lumber_rot * (1 + tech_2_1*#REF! + tech_2_8*#REF! + tech_5_2*#REF!)</f>
        <v>#REF!</v>
      </c>
      <c r="AR18" s="39" t="e">
        <f>#REF!*mana_drain * (1 + tech_2_1*#REF! + tech_2_8*#REF!)</f>
        <v>#REF!</v>
      </c>
      <c r="AS18" s="133"/>
      <c r="AT18" s="39" t="e">
        <f>#REF!+#REF!+#REF!+#REF!+#REF!-#REF!</f>
        <v>#REF!</v>
      </c>
      <c r="AU18" s="39" t="e">
        <f>#REF!+#REF!-#REF! + Military!$CL$25*#REF!</f>
        <v>#REF!</v>
      </c>
      <c r="AV18" s="39" t="e">
        <f>#REF! + Military!$CL$26*#REF!</f>
        <v>#REF!</v>
      </c>
      <c r="AW18" s="39" t="e">
        <f>Military!$CL$24*#REF!+#REF!-#REF!</f>
        <v>#REF!</v>
      </c>
      <c r="AX18" s="39" t="e">
        <f>#REF!-#REF!</f>
        <v>#REF!</v>
      </c>
      <c r="AY18" s="134"/>
      <c r="AZ18" s="61" t="e">
        <f ca="1">IF(#REF!&lt;&gt;"",#REF!,OFFSET(#REF!,-1,0))</f>
        <v>#REF!</v>
      </c>
      <c r="BA18" s="144"/>
      <c r="BB18" s="3" t="e">
        <f>#REF!</f>
        <v>#REF!</v>
      </c>
      <c r="BC18" s="146" t="e">
        <f>-#REF! / 2 + -#REF! * 2 + -#REF! / 2</f>
        <v>#REF!</v>
      </c>
      <c r="BD18" s="146"/>
      <c r="BE18" s="146"/>
      <c r="BF18" s="146"/>
      <c r="BG18" s="147" t="e">
        <f>#REF!</f>
        <v>#REF!</v>
      </c>
      <c r="BH18" s="3" t="e">
        <f>IF(AND(#REF!=0,#REF!=0,#REF!=0,#REF!=0),"",IF(#REF!&gt;0,IF((#REF!+#REF!)/2+#REF!*2+ROUNDUP(#REF!/(1 + tech_2_2*Techs!Y18),0)=0,"Ok","Nope"),IF(#REF!&gt;0,IF((#REF!+#REF!)/2+#REF!*2+ROUNDUP(#REF!/(1 + tech_2_2*Techs!Y18),0)=0,"Ok","Nope"),IF(#REF!&gt;0,IF((#REF!+#REF!)/2+#REF!*2+ROUNDUP(#REF!/(1 + tech_2_2*Techs!Y18),0)=0,"Ok","Nope")))))</f>
        <v>#REF!</v>
      </c>
      <c r="BI18" s="39" t="e">
        <f>#REF!</f>
        <v>#REF!</v>
      </c>
      <c r="BJ18" s="39" t="e">
        <f>#REF!</f>
        <v>#REF!</v>
      </c>
      <c r="BK18" s="39" t="e">
        <f>#REF!</f>
        <v>#REF!</v>
      </c>
      <c r="BL18" s="39" t="e">
        <f>#REF!</f>
        <v>#REF!</v>
      </c>
      <c r="BM18" s="39" t="e">
        <f>#REF!</f>
        <v>#REF!</v>
      </c>
    </row>
    <row r="19" spans="1:65" x14ac:dyDescent="0.25">
      <c r="A19" s="130">
        <v>16</v>
      </c>
      <c r="B19" s="143" t="e">
        <f>#REF!</f>
        <v>#REF!</v>
      </c>
      <c r="C19" s="144"/>
      <c r="D19" s="133"/>
      <c r="E19" s="39" t="e">
        <f>#REF!</f>
        <v>#REF!</v>
      </c>
      <c r="F19" s="39" t="e">
        <f>#REF!</f>
        <v>#REF!</v>
      </c>
      <c r="G19" s="39" t="e">
        <f>#REF!</f>
        <v>#REF!</v>
      </c>
      <c r="H19" s="39" t="e">
        <f ca="1">OFFSET(#REF!,-1,0)+OFFSET(#REF!,-1,0) -#REF! + IF(#REF!,#REF!*4) + SUM(#REF!)*#REF!*tech_3_3_2*#REF!</f>
        <v>#REF!</v>
      </c>
      <c r="I19" s="39" t="e">
        <f ca="1">OFFSET(#REF!,-1,0)+OFFSET(#REF!,-1,0)+ROUNDUP((#REF!*80+#REF!*35)*(1+OFFSET(#REF!,-1,0)),0)</f>
        <v>#REF!</v>
      </c>
      <c r="J19" s="39" t="e">
        <f ca="1">OFFSET(#REF!,-1,0)+OFFSET(#REF!,-1,0) -#REF! + SUM(#REF!)*#REF!*tech_3_3_2*#REF!</f>
        <v>#REF!</v>
      </c>
      <c r="K19" s="39" t="e">
        <f ca="1">OFFSET(#REF!,-1,0)+OFFSET(#REF!,-1,0) -#REF!</f>
        <v>#REF!</v>
      </c>
      <c r="L19" s="39" t="e">
        <f ca="1">OFFSET(#REF!,-1,0)+OFFSET(#REF!,-1,0) -#REF!</f>
        <v>#REF!</v>
      </c>
      <c r="M19" s="39" t="e">
        <f ca="1">OFFSET(#REF!,-1,0)+OFFSET(#REF!,-1,0) -#REF!</f>
        <v>#REF!</v>
      </c>
      <c r="N19" s="39" t="e">
        <f ca="1">OFFSET(#REF!,-1,0)+OFFSET(#REF!,-1,0)</f>
        <v>#REF!</v>
      </c>
      <c r="O19" s="39" t="e">
        <f ca="1">OFFSET(#REF!,-1,0)</f>
        <v>#REF!</v>
      </c>
      <c r="P19" s="39" t="e">
        <f ca="1">ROUNDDOWN(OFFSET(#REF!,-1,0)+(1+research_bonus)*(MIN(#REF!,#REF!*school_max)*(1 - MIN((#REF!/(#REF!-#REF!)),school_max)))-#REF!*#REF!,0) + IF(#REF!&lt;&gt;"",350,0)</f>
        <v>#REF!</v>
      </c>
      <c r="Q19" s="39" t="e">
        <f ca="1">MAX(3750,_xlfn.CEILING.MATH(#REF!*2.5+OFFSET(#REF!,-1,0)*150))</f>
        <v>#REF!</v>
      </c>
      <c r="R19" s="134"/>
      <c r="S19" s="39" t="e">
        <f>ROUNDDOWN(#REF!*(1+#REF!),0)</f>
        <v>#REF!</v>
      </c>
      <c r="T19" s="39" t="e">
        <f>ROUND(#REF!*(1+#REF!)-#REF!-#REF!,0)</f>
        <v>#REF!</v>
      </c>
      <c r="U19" s="39" t="e">
        <f>ROUND(#REF!*(1+#REF!)-#REF!,0)</f>
        <v>#REF!</v>
      </c>
      <c r="V19" s="39" t="e">
        <f>ROUND(#REF!*(1+#REF!)-#REF!,0)</f>
        <v>#REF!</v>
      </c>
      <c r="W19" s="39" t="e">
        <f>ROUNDDOWN(#REF!*(1+#REF!),0)</f>
        <v>#REF!</v>
      </c>
      <c r="X19" s="39" t="e">
        <f>ROUNDDOWN(#REF!*(1+#REF!),0)</f>
        <v>#REF!</v>
      </c>
      <c r="Y19" s="145" t="e">
        <f ca="1">OFFSET(#REF!,1,0)*dock_boats_hr * (1 + tech_4_1*#REF!)</f>
        <v>#REF!</v>
      </c>
      <c r="Z19" s="133"/>
      <c r="AA19" s="39" t="e">
        <f ca="1">#REF!*tax*#REF! + (Construction!AZ20+Construction!BX20)*(alch_plat+(Magic!AM19&gt;0)*alchemist_flame_bonus)</f>
        <v>#REF!</v>
      </c>
      <c r="AB19" s="39" t="e">
        <f>#REF!*farm_food +#REF!* dock_food</f>
        <v>#REF!</v>
      </c>
      <c r="AC19" s="39" t="e">
        <f>#REF!*ly_lumber +#REF!* fh_lumber</f>
        <v>#REF!</v>
      </c>
      <c r="AD19" s="39" t="e">
        <f ca="1">OFFSET(#REF!,1,0)*(tower_mana + tech_4_5*#REF!) + OFFSET(#REF!,1,0)*wg_mana_prod</f>
        <v>#REF!</v>
      </c>
      <c r="AE19" s="39" t="e">
        <f ca="1">OFFSET(#REF!,1,0)*om_ore+IF(race="Dwarf",ROUNDDOWN(#REF!*0.4,0),)</f>
        <v>#REF!</v>
      </c>
      <c r="AF19" s="39" t="e">
        <f ca="1">OFFSET(#REF!,1,0)*dm_gems</f>
        <v>#REF!</v>
      </c>
      <c r="AG19" s="134"/>
      <c r="AH19" s="135" t="e">
        <f>MIN(race_platinum_bonus + IF(#REF!&gt;0,alch_frost_bonus,IF(Magic!AD19&gt;0,midas_bonus)) +#REF! -#REF!*( 0.02 + tech_5_7*#REF!) + tech_1_5*#REF! + tech_4_4*#REF!, 0.5)</f>
        <v>#REF!</v>
      </c>
      <c r="AI19" s="132" t="e">
        <f>(1 + race_food_bonus + IF(#REF!&gt;0,gaias_blessing_food,IF(#REF!&gt;0,gaias_watch_bonus)) +#REF! + tech_1_1*#REF! + tech_1_4*#REF! + tech_5_1*#REF! +#REF!/ 100*prestige_food_bonus*(1 + tech_8_1*#REF!)) - 1</f>
        <v>#REF!</v>
      </c>
      <c r="AJ19" s="135" t="e">
        <f>race_lumber_bonus+ IF(#REF!&gt;0,gaias_blessing_lumber)+ tech_1_3*#REF! + tech_1_6*#REF! + tech_3_3*#REF!</f>
        <v>#REF!</v>
      </c>
      <c r="AK19" s="135" t="e">
        <f>race_mana_bonus+ 0 +#REF! + tech_1_2*#REF! + tech_3_4*#REF!</f>
        <v>#REF!</v>
      </c>
      <c r="AL19" s="135" t="e">
        <f>race_ore_bonus + IF(#REF!&gt;0,miners_sight_bonus,IF(#REF!&gt;0,mining_strength_bonus)) +  tech_1_6*#REF!</f>
        <v>#REF!</v>
      </c>
      <c r="AM19" s="135" t="e">
        <f>race_gem_bonus+ tech_3_2*#REF! + tech_4_3*#REF! + tech_6_2*#REF!</f>
        <v>#REF!</v>
      </c>
      <c r="AN19" s="134"/>
      <c r="AO19" s="39" t="e">
        <f>#REF!*food_decay * (1 + tech_2_1*#REF! + tech_2_8*#REF!)</f>
        <v>#REF!</v>
      </c>
      <c r="AP19" s="39" t="e">
        <f>(1+race_food_consumption)*#REF!*food_per_person*(1+tech_1_10*#REF!+tech_7_5*#REF!)</f>
        <v>#REF!</v>
      </c>
      <c r="AQ19" s="39" t="e">
        <f>#REF!*lumber_rot * (1 + tech_2_1*#REF! + tech_2_8*#REF! + tech_5_2*#REF!)</f>
        <v>#REF!</v>
      </c>
      <c r="AR19" s="39" t="e">
        <f>#REF!*mana_drain * (1 + tech_2_1*#REF! + tech_2_8*#REF!)</f>
        <v>#REF!</v>
      </c>
      <c r="AS19" s="133"/>
      <c r="AT19" s="39" t="e">
        <f>#REF!+#REF!+#REF!+#REF!+#REF!-#REF!</f>
        <v>#REF!</v>
      </c>
      <c r="AU19" s="39" t="e">
        <f>#REF!+#REF!-#REF! + Military!$CL$25*#REF!</f>
        <v>#REF!</v>
      </c>
      <c r="AV19" s="39" t="e">
        <f>#REF! + Military!$CL$26*#REF!</f>
        <v>#REF!</v>
      </c>
      <c r="AW19" s="39" t="e">
        <f>Military!$CL$24*#REF!+#REF!-#REF!</f>
        <v>#REF!</v>
      </c>
      <c r="AX19" s="39" t="e">
        <f>#REF!-#REF!</f>
        <v>#REF!</v>
      </c>
      <c r="AY19" s="134"/>
      <c r="AZ19" s="61" t="e">
        <f ca="1">IF(#REF!&lt;&gt;"",#REF!,OFFSET(#REF!,-1,0))</f>
        <v>#REF!</v>
      </c>
      <c r="BA19" s="144"/>
      <c r="BB19" s="3" t="e">
        <f>#REF!</f>
        <v>#REF!</v>
      </c>
      <c r="BC19" s="146" t="e">
        <f>-#REF! / 2 + -#REF! * 2 + -#REF! / 2</f>
        <v>#REF!</v>
      </c>
      <c r="BD19" s="146"/>
      <c r="BE19" s="146"/>
      <c r="BF19" s="146"/>
      <c r="BG19" s="147" t="e">
        <f>#REF!</f>
        <v>#REF!</v>
      </c>
      <c r="BH19" s="3" t="e">
        <f>IF(AND(#REF!=0,#REF!=0,#REF!=0,#REF!=0),"",IF(#REF!&gt;0,IF((#REF!+#REF!)/2+#REF!*2+ROUNDUP(#REF!/(1 + tech_2_2*Techs!Y19),0)=0,"Ok","Nope"),IF(#REF!&gt;0,IF((#REF!+#REF!)/2+#REF!*2+ROUNDUP(#REF!/(1 + tech_2_2*Techs!Y19),0)=0,"Ok","Nope"),IF(#REF!&gt;0,IF((#REF!+#REF!)/2+#REF!*2+ROUNDUP(#REF!/(1 + tech_2_2*Techs!Y19),0)=0,"Ok","Nope")))))</f>
        <v>#REF!</v>
      </c>
      <c r="BI19" s="39" t="e">
        <f>#REF!</f>
        <v>#REF!</v>
      </c>
      <c r="BJ19" s="39" t="e">
        <f>#REF!</f>
        <v>#REF!</v>
      </c>
      <c r="BK19" s="39" t="e">
        <f>#REF!</f>
        <v>#REF!</v>
      </c>
      <c r="BL19" s="39" t="e">
        <f>#REF!</f>
        <v>#REF!</v>
      </c>
      <c r="BM19" s="39" t="e">
        <f>#REF!</f>
        <v>#REF!</v>
      </c>
    </row>
    <row r="20" spans="1:65" x14ac:dyDescent="0.25">
      <c r="A20" s="130">
        <v>17</v>
      </c>
      <c r="B20" s="143" t="e">
        <f>#REF!</f>
        <v>#REF!</v>
      </c>
      <c r="C20" s="144"/>
      <c r="D20" s="133"/>
      <c r="E20" s="39" t="e">
        <f>#REF!</f>
        <v>#REF!</v>
      </c>
      <c r="F20" s="39" t="e">
        <f>#REF!</f>
        <v>#REF!</v>
      </c>
      <c r="G20" s="39" t="e">
        <f>#REF!</f>
        <v>#REF!</v>
      </c>
      <c r="H20" s="39" t="e">
        <f ca="1">OFFSET(#REF!,-1,0)+OFFSET(#REF!,-1,0) -#REF! + IF(#REF!,#REF!*4) + SUM(#REF!)*#REF!*tech_3_3_2*#REF!</f>
        <v>#REF!</v>
      </c>
      <c r="I20" s="39" t="e">
        <f ca="1">OFFSET(#REF!,-1,0)+OFFSET(#REF!,-1,0)+ROUNDUP((#REF!*80+#REF!*35)*(1+OFFSET(#REF!,-1,0)),0)</f>
        <v>#REF!</v>
      </c>
      <c r="J20" s="39" t="e">
        <f ca="1">OFFSET(#REF!,-1,0)+OFFSET(#REF!,-1,0) -#REF! + SUM(#REF!)*#REF!*tech_3_3_2*#REF!</f>
        <v>#REF!</v>
      </c>
      <c r="K20" s="39" t="e">
        <f ca="1">OFFSET(#REF!,-1,0)+OFFSET(#REF!,-1,0) -#REF!</f>
        <v>#REF!</v>
      </c>
      <c r="L20" s="39" t="e">
        <f ca="1">OFFSET(#REF!,-1,0)+OFFSET(#REF!,-1,0) -#REF!</f>
        <v>#REF!</v>
      </c>
      <c r="M20" s="39" t="e">
        <f ca="1">OFFSET(#REF!,-1,0)+OFFSET(#REF!,-1,0) -#REF!</f>
        <v>#REF!</v>
      </c>
      <c r="N20" s="39" t="e">
        <f ca="1">OFFSET(#REF!,-1,0)+OFFSET(#REF!,-1,0)</f>
        <v>#REF!</v>
      </c>
      <c r="O20" s="39" t="e">
        <f ca="1">OFFSET(#REF!,-1,0)</f>
        <v>#REF!</v>
      </c>
      <c r="P20" s="39" t="e">
        <f ca="1">ROUNDDOWN(OFFSET(#REF!,-1,0)+(1+research_bonus)*(MIN(#REF!,#REF!*school_max)*(1 - MIN((#REF!/(#REF!-#REF!)),school_max)))-#REF!*#REF!,0) + IF(#REF!&lt;&gt;"",350,0)</f>
        <v>#REF!</v>
      </c>
      <c r="Q20" s="39" t="e">
        <f ca="1">MAX(3750,_xlfn.CEILING.MATH(#REF!*2.5+OFFSET(#REF!,-1,0)*150))</f>
        <v>#REF!</v>
      </c>
      <c r="R20" s="134"/>
      <c r="S20" s="39" t="e">
        <f>ROUNDDOWN(#REF!*(1+#REF!),0)</f>
        <v>#REF!</v>
      </c>
      <c r="T20" s="39" t="e">
        <f>ROUND(#REF!*(1+#REF!)-#REF!-#REF!,0)</f>
        <v>#REF!</v>
      </c>
      <c r="U20" s="39" t="e">
        <f>ROUND(#REF!*(1+#REF!)-#REF!,0)</f>
        <v>#REF!</v>
      </c>
      <c r="V20" s="39" t="e">
        <f>ROUND(#REF!*(1+#REF!)-#REF!,0)</f>
        <v>#REF!</v>
      </c>
      <c r="W20" s="39" t="e">
        <f>ROUNDDOWN(#REF!*(1+#REF!),0)</f>
        <v>#REF!</v>
      </c>
      <c r="X20" s="39" t="e">
        <f>ROUNDDOWN(#REF!*(1+#REF!),0)</f>
        <v>#REF!</v>
      </c>
      <c r="Y20" s="145" t="e">
        <f ca="1">OFFSET(#REF!,1,0)*dock_boats_hr * (1 + tech_4_1*#REF!)</f>
        <v>#REF!</v>
      </c>
      <c r="Z20" s="133"/>
      <c r="AA20" s="39" t="e">
        <f ca="1">#REF!*tax*#REF! + (Construction!AZ21+Construction!BX21)*(alch_plat+(Magic!AM20&gt;0)*alchemist_flame_bonus)</f>
        <v>#REF!</v>
      </c>
      <c r="AB20" s="39" t="e">
        <f>#REF!*farm_food +#REF!* dock_food</f>
        <v>#REF!</v>
      </c>
      <c r="AC20" s="39" t="e">
        <f>#REF!*ly_lumber +#REF!* fh_lumber</f>
        <v>#REF!</v>
      </c>
      <c r="AD20" s="39" t="e">
        <f ca="1">OFFSET(#REF!,1,0)*(tower_mana + tech_4_5*#REF!) + OFFSET(#REF!,1,0)*wg_mana_prod</f>
        <v>#REF!</v>
      </c>
      <c r="AE20" s="39" t="e">
        <f ca="1">OFFSET(#REF!,1,0)*om_ore+IF(race="Dwarf",ROUNDDOWN(#REF!*0.4,0),)</f>
        <v>#REF!</v>
      </c>
      <c r="AF20" s="39" t="e">
        <f ca="1">OFFSET(#REF!,1,0)*dm_gems</f>
        <v>#REF!</v>
      </c>
      <c r="AG20" s="134"/>
      <c r="AH20" s="135" t="e">
        <f>MIN(race_platinum_bonus + IF(#REF!&gt;0,alch_frost_bonus,IF(Magic!AD20&gt;0,midas_bonus)) +#REF! -#REF!*( 0.02 + tech_5_7*#REF!) + tech_1_5*#REF! + tech_4_4*#REF!, 0.5)</f>
        <v>#REF!</v>
      </c>
      <c r="AI20" s="132" t="e">
        <f>(1 + race_food_bonus + IF(#REF!&gt;0,gaias_blessing_food,IF(#REF!&gt;0,gaias_watch_bonus)) +#REF! + tech_1_1*#REF! + tech_1_4*#REF! + tech_5_1*#REF! +#REF!/ 100*prestige_food_bonus*(1 + tech_8_1*#REF!)) - 1</f>
        <v>#REF!</v>
      </c>
      <c r="AJ20" s="135" t="e">
        <f>race_lumber_bonus+ IF(#REF!&gt;0,gaias_blessing_lumber)+ tech_1_3*#REF! + tech_1_6*#REF! + tech_3_3*#REF!</f>
        <v>#REF!</v>
      </c>
      <c r="AK20" s="135" t="e">
        <f>race_mana_bonus+ 0 +#REF! + tech_1_2*#REF! + tech_3_4*#REF!</f>
        <v>#REF!</v>
      </c>
      <c r="AL20" s="135" t="e">
        <f>race_ore_bonus + IF(#REF!&gt;0,miners_sight_bonus,IF(#REF!&gt;0,mining_strength_bonus)) +  tech_1_6*#REF!</f>
        <v>#REF!</v>
      </c>
      <c r="AM20" s="135" t="e">
        <f>race_gem_bonus+ tech_3_2*#REF! + tech_4_3*#REF! + tech_6_2*#REF!</f>
        <v>#REF!</v>
      </c>
      <c r="AN20" s="134"/>
      <c r="AO20" s="39" t="e">
        <f>#REF!*food_decay * (1 + tech_2_1*#REF! + tech_2_8*#REF!)</f>
        <v>#REF!</v>
      </c>
      <c r="AP20" s="39" t="e">
        <f>(1+race_food_consumption)*#REF!*food_per_person*(1+tech_1_10*#REF!+tech_7_5*#REF!)</f>
        <v>#REF!</v>
      </c>
      <c r="AQ20" s="39" t="e">
        <f>#REF!*lumber_rot * (1 + tech_2_1*#REF! + tech_2_8*#REF! + tech_5_2*#REF!)</f>
        <v>#REF!</v>
      </c>
      <c r="AR20" s="39" t="e">
        <f>#REF!*mana_drain * (1 + tech_2_1*#REF! + tech_2_8*#REF!)</f>
        <v>#REF!</v>
      </c>
      <c r="AS20" s="133"/>
      <c r="AT20" s="39" t="e">
        <f>#REF!+#REF!+#REF!+#REF!+#REF!-#REF!</f>
        <v>#REF!</v>
      </c>
      <c r="AU20" s="39" t="e">
        <f>#REF!+#REF!-#REF! + Military!$CL$25*#REF!</f>
        <v>#REF!</v>
      </c>
      <c r="AV20" s="39" t="e">
        <f>#REF! + Military!$CL$26*#REF!</f>
        <v>#REF!</v>
      </c>
      <c r="AW20" s="39" t="e">
        <f>Military!$CL$24*#REF!+#REF!-#REF!</f>
        <v>#REF!</v>
      </c>
      <c r="AX20" s="39" t="e">
        <f>#REF!-#REF!</f>
        <v>#REF!</v>
      </c>
      <c r="AY20" s="134"/>
      <c r="AZ20" s="61" t="e">
        <f ca="1">IF(#REF!&lt;&gt;"",#REF!,OFFSET(#REF!,-1,0))</f>
        <v>#REF!</v>
      </c>
      <c r="BA20" s="144"/>
      <c r="BB20" s="3" t="e">
        <f>#REF!</f>
        <v>#REF!</v>
      </c>
      <c r="BC20" s="146" t="e">
        <f>-#REF! / 2 + -#REF! * 2 + -#REF! / 2</f>
        <v>#REF!</v>
      </c>
      <c r="BD20" s="146"/>
      <c r="BE20" s="146"/>
      <c r="BF20" s="146"/>
      <c r="BG20" s="147" t="e">
        <f>#REF!</f>
        <v>#REF!</v>
      </c>
      <c r="BH20" s="3" t="e">
        <f>IF(AND(#REF!=0,#REF!=0,#REF!=0,#REF!=0),"",IF(#REF!&gt;0,IF((#REF!+#REF!)/2+#REF!*2+ROUNDUP(#REF!/(1 + tech_2_2*Techs!Y20),0)=0,"Ok","Nope"),IF(#REF!&gt;0,IF((#REF!+#REF!)/2+#REF!*2+ROUNDUP(#REF!/(1 + tech_2_2*Techs!Y20),0)=0,"Ok","Nope"),IF(#REF!&gt;0,IF((#REF!+#REF!)/2+#REF!*2+ROUNDUP(#REF!/(1 + tech_2_2*Techs!Y20),0)=0,"Ok","Nope")))))</f>
        <v>#REF!</v>
      </c>
      <c r="BI20" s="39" t="e">
        <f>#REF!</f>
        <v>#REF!</v>
      </c>
      <c r="BJ20" s="39" t="e">
        <f>#REF!</f>
        <v>#REF!</v>
      </c>
      <c r="BK20" s="39" t="e">
        <f>#REF!</f>
        <v>#REF!</v>
      </c>
      <c r="BL20" s="39" t="e">
        <f>#REF!</f>
        <v>#REF!</v>
      </c>
      <c r="BM20" s="39" t="e">
        <f>#REF!</f>
        <v>#REF!</v>
      </c>
    </row>
    <row r="21" spans="1:65" x14ac:dyDescent="0.25">
      <c r="A21" s="130">
        <v>18</v>
      </c>
      <c r="B21" s="143" t="e">
        <f>#REF!</f>
        <v>#REF!</v>
      </c>
      <c r="C21" s="144"/>
      <c r="D21" s="133"/>
      <c r="E21" s="39" t="e">
        <f>#REF!</f>
        <v>#REF!</v>
      </c>
      <c r="F21" s="39" t="e">
        <f>#REF!</f>
        <v>#REF!</v>
      </c>
      <c r="G21" s="39" t="e">
        <f>#REF!</f>
        <v>#REF!</v>
      </c>
      <c r="H21" s="39" t="e">
        <f ca="1">OFFSET(#REF!,-1,0)+OFFSET(#REF!,-1,0) -#REF! + IF(#REF!,#REF!*4) + SUM(#REF!)*#REF!*tech_3_3_2*#REF!</f>
        <v>#REF!</v>
      </c>
      <c r="I21" s="39" t="e">
        <f ca="1">OFFSET(#REF!,-1,0)+OFFSET(#REF!,-1,0)+ROUNDUP((#REF!*80+#REF!*35)*(1+OFFSET(#REF!,-1,0)),0)</f>
        <v>#REF!</v>
      </c>
      <c r="J21" s="39" t="e">
        <f ca="1">OFFSET(#REF!,-1,0)+OFFSET(#REF!,-1,0) -#REF! + SUM(#REF!)*#REF!*tech_3_3_2*#REF!</f>
        <v>#REF!</v>
      </c>
      <c r="K21" s="39" t="e">
        <f ca="1">OFFSET(#REF!,-1,0)+OFFSET(#REF!,-1,0) -#REF!</f>
        <v>#REF!</v>
      </c>
      <c r="L21" s="39" t="e">
        <f ca="1">OFFSET(#REF!,-1,0)+OFFSET(#REF!,-1,0) -#REF!</f>
        <v>#REF!</v>
      </c>
      <c r="M21" s="39" t="e">
        <f ca="1">OFFSET(#REF!,-1,0)+OFFSET(#REF!,-1,0) -#REF!</f>
        <v>#REF!</v>
      </c>
      <c r="N21" s="39" t="e">
        <f ca="1">OFFSET(#REF!,-1,0)+OFFSET(#REF!,-1,0)</f>
        <v>#REF!</v>
      </c>
      <c r="O21" s="39" t="e">
        <f ca="1">OFFSET(#REF!,-1,0)</f>
        <v>#REF!</v>
      </c>
      <c r="P21" s="39" t="e">
        <f ca="1">ROUNDDOWN(OFFSET(#REF!,-1,0)+(1+research_bonus)*(MIN(#REF!,#REF!*school_max)*(1 - MIN((#REF!/(#REF!-#REF!)),school_max)))-#REF!*#REF!,0) + IF(#REF!&lt;&gt;"",350,0)</f>
        <v>#REF!</v>
      </c>
      <c r="Q21" s="39" t="e">
        <f ca="1">MAX(3750,_xlfn.CEILING.MATH(#REF!*2.5+OFFSET(#REF!,-1,0)*150))</f>
        <v>#REF!</v>
      </c>
      <c r="R21" s="134"/>
      <c r="S21" s="39" t="e">
        <f>ROUNDDOWN(#REF!*(1+#REF!),0)</f>
        <v>#REF!</v>
      </c>
      <c r="T21" s="39" t="e">
        <f>ROUND(#REF!*(1+#REF!)-#REF!-#REF!,0)</f>
        <v>#REF!</v>
      </c>
      <c r="U21" s="39" t="e">
        <f>ROUND(#REF!*(1+#REF!)-#REF!,0)</f>
        <v>#REF!</v>
      </c>
      <c r="V21" s="39" t="e">
        <f>ROUND(#REF!*(1+#REF!)-#REF!,0)</f>
        <v>#REF!</v>
      </c>
      <c r="W21" s="39" t="e">
        <f>ROUNDDOWN(#REF!*(1+#REF!),0)</f>
        <v>#REF!</v>
      </c>
      <c r="X21" s="39" t="e">
        <f>ROUNDDOWN(#REF!*(1+#REF!),0)</f>
        <v>#REF!</v>
      </c>
      <c r="Y21" s="145" t="e">
        <f ca="1">OFFSET(#REF!,1,0)*dock_boats_hr * (1 + tech_4_1*#REF!)</f>
        <v>#REF!</v>
      </c>
      <c r="Z21" s="133"/>
      <c r="AA21" s="39" t="e">
        <f ca="1">#REF!*tax*#REF! + (Construction!AZ22+Construction!BX22)*(alch_plat+(Magic!AM21&gt;0)*alchemist_flame_bonus)</f>
        <v>#REF!</v>
      </c>
      <c r="AB21" s="39" t="e">
        <f>#REF!*farm_food +#REF!* dock_food</f>
        <v>#REF!</v>
      </c>
      <c r="AC21" s="39" t="e">
        <f>#REF!*ly_lumber +#REF!* fh_lumber</f>
        <v>#REF!</v>
      </c>
      <c r="AD21" s="39" t="e">
        <f ca="1">OFFSET(#REF!,1,0)*(tower_mana + tech_4_5*#REF!) + OFFSET(#REF!,1,0)*wg_mana_prod</f>
        <v>#REF!</v>
      </c>
      <c r="AE21" s="39" t="e">
        <f ca="1">OFFSET(#REF!,1,0)*om_ore+IF(race="Dwarf",ROUNDDOWN(#REF!*0.4,0),)</f>
        <v>#REF!</v>
      </c>
      <c r="AF21" s="39" t="e">
        <f ca="1">OFFSET(#REF!,1,0)*dm_gems</f>
        <v>#REF!</v>
      </c>
      <c r="AG21" s="134"/>
      <c r="AH21" s="135" t="e">
        <f>MIN(race_platinum_bonus + IF(#REF!&gt;0,alch_frost_bonus,IF(Magic!AD21&gt;0,midas_bonus)) +#REF! -#REF!*( 0.02 + tech_5_7*#REF!) + tech_1_5*#REF! + tech_4_4*#REF!, 0.5)</f>
        <v>#REF!</v>
      </c>
      <c r="AI21" s="132" t="e">
        <f>(1 + race_food_bonus + IF(#REF!&gt;0,gaias_blessing_food,IF(#REF!&gt;0,gaias_watch_bonus)) +#REF! + tech_1_1*#REF! + tech_1_4*#REF! + tech_5_1*#REF! +#REF!/ 100*prestige_food_bonus*(1 + tech_8_1*#REF!)) - 1</f>
        <v>#REF!</v>
      </c>
      <c r="AJ21" s="135" t="e">
        <f>race_lumber_bonus+ IF(#REF!&gt;0,gaias_blessing_lumber)+ tech_1_3*#REF! + tech_1_6*#REF! + tech_3_3*#REF!</f>
        <v>#REF!</v>
      </c>
      <c r="AK21" s="135" t="e">
        <f>race_mana_bonus+ 0 +#REF! + tech_1_2*#REF! + tech_3_4*#REF!</f>
        <v>#REF!</v>
      </c>
      <c r="AL21" s="135" t="e">
        <f>race_ore_bonus + IF(#REF!&gt;0,miners_sight_bonus,IF(#REF!&gt;0,mining_strength_bonus)) +  tech_1_6*#REF!</f>
        <v>#REF!</v>
      </c>
      <c r="AM21" s="135" t="e">
        <f>race_gem_bonus+ tech_3_2*#REF! + tech_4_3*#REF! + tech_6_2*#REF!</f>
        <v>#REF!</v>
      </c>
      <c r="AN21" s="134"/>
      <c r="AO21" s="39" t="e">
        <f>#REF!*food_decay * (1 + tech_2_1*#REF! + tech_2_8*#REF!)</f>
        <v>#REF!</v>
      </c>
      <c r="AP21" s="39" t="e">
        <f>(1+race_food_consumption)*#REF!*food_per_person*(1+tech_1_10*#REF!+tech_7_5*#REF!)</f>
        <v>#REF!</v>
      </c>
      <c r="AQ21" s="39" t="e">
        <f>#REF!*lumber_rot * (1 + tech_2_1*#REF! + tech_2_8*#REF! + tech_5_2*#REF!)</f>
        <v>#REF!</v>
      </c>
      <c r="AR21" s="39" t="e">
        <f>#REF!*mana_drain * (1 + tech_2_1*#REF! + tech_2_8*#REF!)</f>
        <v>#REF!</v>
      </c>
      <c r="AS21" s="133"/>
      <c r="AT21" s="39" t="e">
        <f>#REF!+#REF!+#REF!+#REF!+#REF!-#REF!</f>
        <v>#REF!</v>
      </c>
      <c r="AU21" s="39" t="e">
        <f>#REF!+#REF!-#REF! + Military!$CL$25*#REF!</f>
        <v>#REF!</v>
      </c>
      <c r="AV21" s="39" t="e">
        <f>#REF! + Military!$CL$26*#REF!</f>
        <v>#REF!</v>
      </c>
      <c r="AW21" s="39" t="e">
        <f>Military!$CL$24*#REF!+#REF!-#REF!</f>
        <v>#REF!</v>
      </c>
      <c r="AX21" s="39" t="e">
        <f>#REF!-#REF!</f>
        <v>#REF!</v>
      </c>
      <c r="AY21" s="134"/>
      <c r="AZ21" s="61" t="e">
        <f ca="1">IF(#REF!&lt;&gt;"",#REF!,OFFSET(#REF!,-1,0))</f>
        <v>#REF!</v>
      </c>
      <c r="BA21" s="144"/>
      <c r="BB21" s="3" t="e">
        <f>#REF!</f>
        <v>#REF!</v>
      </c>
      <c r="BC21" s="146" t="e">
        <f>-#REF! / 2 + -#REF! * 2 + -#REF! / 2</f>
        <v>#REF!</v>
      </c>
      <c r="BD21" s="146"/>
      <c r="BE21" s="146"/>
      <c r="BF21" s="146"/>
      <c r="BG21" s="147" t="e">
        <f>#REF!</f>
        <v>#REF!</v>
      </c>
      <c r="BH21" s="3" t="e">
        <f>IF(AND(#REF!=0,#REF!=0,#REF!=0,#REF!=0),"",IF(#REF!&gt;0,IF((#REF!+#REF!)/2+#REF!*2+ROUNDUP(#REF!/(1 + tech_2_2*Techs!Y21),0)=0,"Ok","Nope"),IF(#REF!&gt;0,IF((#REF!+#REF!)/2+#REF!*2+ROUNDUP(#REF!/(1 + tech_2_2*Techs!Y21),0)=0,"Ok","Nope"),IF(#REF!&gt;0,IF((#REF!+#REF!)/2+#REF!*2+ROUNDUP(#REF!/(1 + tech_2_2*Techs!Y21),0)=0,"Ok","Nope")))))</f>
        <v>#REF!</v>
      </c>
      <c r="BI21" s="39" t="e">
        <f>#REF!</f>
        <v>#REF!</v>
      </c>
      <c r="BJ21" s="39" t="e">
        <f>#REF!</f>
        <v>#REF!</v>
      </c>
      <c r="BK21" s="39" t="e">
        <f>#REF!</f>
        <v>#REF!</v>
      </c>
      <c r="BL21" s="39" t="e">
        <f>#REF!</f>
        <v>#REF!</v>
      </c>
      <c r="BM21" s="39" t="e">
        <f>#REF!</f>
        <v>#REF!</v>
      </c>
    </row>
    <row r="22" spans="1:65" x14ac:dyDescent="0.25">
      <c r="A22" s="130">
        <v>19</v>
      </c>
      <c r="B22" s="143" t="e">
        <f>#REF!</f>
        <v>#REF!</v>
      </c>
      <c r="C22" s="144"/>
      <c r="D22" s="133"/>
      <c r="E22" s="39" t="e">
        <f>#REF!</f>
        <v>#REF!</v>
      </c>
      <c r="F22" s="39" t="e">
        <f>#REF!</f>
        <v>#REF!</v>
      </c>
      <c r="G22" s="39" t="e">
        <f>#REF!</f>
        <v>#REF!</v>
      </c>
      <c r="H22" s="39" t="e">
        <f ca="1">OFFSET(#REF!,-1,0)+OFFSET(#REF!,-1,0) -#REF! + IF(#REF!,#REF!*4) + SUM(#REF!)*#REF!*tech_3_3_2*#REF!</f>
        <v>#REF!</v>
      </c>
      <c r="I22" s="39" t="e">
        <f ca="1">OFFSET(#REF!,-1,0)+OFFSET(#REF!,-1,0)+ROUNDUP((#REF!*80+#REF!*35)*(1+OFFSET(#REF!,-1,0)),0)</f>
        <v>#REF!</v>
      </c>
      <c r="J22" s="39" t="e">
        <f ca="1">OFFSET(#REF!,-1,0)+OFFSET(#REF!,-1,0) -#REF! + SUM(#REF!)*#REF!*tech_3_3_2*#REF!</f>
        <v>#REF!</v>
      </c>
      <c r="K22" s="39" t="e">
        <f ca="1">OFFSET(#REF!,-1,0)+OFFSET(#REF!,-1,0) -#REF!</f>
        <v>#REF!</v>
      </c>
      <c r="L22" s="39" t="e">
        <f ca="1">OFFSET(#REF!,-1,0)+OFFSET(#REF!,-1,0) -#REF!</f>
        <v>#REF!</v>
      </c>
      <c r="M22" s="39" t="e">
        <f ca="1">OFFSET(#REF!,-1,0)+OFFSET(#REF!,-1,0) -#REF!</f>
        <v>#REF!</v>
      </c>
      <c r="N22" s="39" t="e">
        <f ca="1">OFFSET(#REF!,-1,0)+OFFSET(#REF!,-1,0)</f>
        <v>#REF!</v>
      </c>
      <c r="O22" s="39" t="e">
        <f ca="1">OFFSET(#REF!,-1,0)</f>
        <v>#REF!</v>
      </c>
      <c r="P22" s="39" t="e">
        <f ca="1">ROUNDDOWN(OFFSET(#REF!,-1,0)+(1+research_bonus)*(MIN(#REF!,#REF!*school_max)*(1 - MIN((#REF!/(#REF!-#REF!)),school_max)))-#REF!*#REF!,0) + IF(#REF!&lt;&gt;"",350,0)</f>
        <v>#REF!</v>
      </c>
      <c r="Q22" s="39" t="e">
        <f ca="1">MAX(3750,_xlfn.CEILING.MATH(#REF!*2.5+OFFSET(#REF!,-1,0)*150))</f>
        <v>#REF!</v>
      </c>
      <c r="R22" s="134"/>
      <c r="S22" s="39" t="e">
        <f>ROUNDDOWN(#REF!*(1+#REF!),0)</f>
        <v>#REF!</v>
      </c>
      <c r="T22" s="39" t="e">
        <f>ROUND(#REF!*(1+#REF!)-#REF!-#REF!,0)</f>
        <v>#REF!</v>
      </c>
      <c r="U22" s="39" t="e">
        <f>ROUND(#REF!*(1+#REF!)-#REF!,0)</f>
        <v>#REF!</v>
      </c>
      <c r="V22" s="39" t="e">
        <f>ROUND(#REF!*(1+#REF!)-#REF!,0)</f>
        <v>#REF!</v>
      </c>
      <c r="W22" s="39" t="e">
        <f>ROUNDDOWN(#REF!*(1+#REF!),0)</f>
        <v>#REF!</v>
      </c>
      <c r="X22" s="39" t="e">
        <f>ROUNDDOWN(#REF!*(1+#REF!),0)</f>
        <v>#REF!</v>
      </c>
      <c r="Y22" s="145" t="e">
        <f ca="1">OFFSET(#REF!,1,0)*dock_boats_hr * (1 + tech_4_1*#REF!)</f>
        <v>#REF!</v>
      </c>
      <c r="Z22" s="133"/>
      <c r="AA22" s="39" t="e">
        <f ca="1">#REF!*tax*#REF! + (Construction!AZ23+Construction!BX23)*(alch_plat+(Magic!AM22&gt;0)*alchemist_flame_bonus)</f>
        <v>#REF!</v>
      </c>
      <c r="AB22" s="39" t="e">
        <f>#REF!*farm_food +#REF!* dock_food</f>
        <v>#REF!</v>
      </c>
      <c r="AC22" s="39" t="e">
        <f>#REF!*ly_lumber +#REF!* fh_lumber</f>
        <v>#REF!</v>
      </c>
      <c r="AD22" s="39" t="e">
        <f ca="1">OFFSET(#REF!,1,0)*(tower_mana + tech_4_5*#REF!) + OFFSET(#REF!,1,0)*wg_mana_prod</f>
        <v>#REF!</v>
      </c>
      <c r="AE22" s="39" t="e">
        <f ca="1">OFFSET(#REF!,1,0)*om_ore+IF(race="Dwarf",ROUNDDOWN(#REF!*0.4,0),)</f>
        <v>#REF!</v>
      </c>
      <c r="AF22" s="39" t="e">
        <f ca="1">OFFSET(#REF!,1,0)*dm_gems</f>
        <v>#REF!</v>
      </c>
      <c r="AG22" s="134"/>
      <c r="AH22" s="135" t="e">
        <f>MIN(race_platinum_bonus + IF(#REF!&gt;0,alch_frost_bonus,IF(Magic!AD22&gt;0,midas_bonus)) +#REF! -#REF!*( 0.02 + tech_5_7*#REF!) + tech_1_5*#REF! + tech_4_4*#REF!, 0.5)</f>
        <v>#REF!</v>
      </c>
      <c r="AI22" s="132" t="e">
        <f>(1 + race_food_bonus + IF(#REF!&gt;0,gaias_blessing_food,IF(#REF!&gt;0,gaias_watch_bonus)) +#REF! + tech_1_1*#REF! + tech_1_4*#REF! + tech_5_1*#REF! +#REF!/ 100*prestige_food_bonus*(1 + tech_8_1*#REF!)) - 1</f>
        <v>#REF!</v>
      </c>
      <c r="AJ22" s="135" t="e">
        <f>race_lumber_bonus+ IF(#REF!&gt;0,gaias_blessing_lumber)+ tech_1_3*#REF! + tech_1_6*#REF! + tech_3_3*#REF!</f>
        <v>#REF!</v>
      </c>
      <c r="AK22" s="135" t="e">
        <f>race_mana_bonus+ 0 +#REF! + tech_1_2*#REF! + tech_3_4*#REF!</f>
        <v>#REF!</v>
      </c>
      <c r="AL22" s="135" t="e">
        <f>race_ore_bonus + IF(#REF!&gt;0,miners_sight_bonus,IF(#REF!&gt;0,mining_strength_bonus)) +  tech_1_6*#REF!</f>
        <v>#REF!</v>
      </c>
      <c r="AM22" s="135" t="e">
        <f>race_gem_bonus+ tech_3_2*#REF! + tech_4_3*#REF! + tech_6_2*#REF!</f>
        <v>#REF!</v>
      </c>
      <c r="AN22" s="134"/>
      <c r="AO22" s="39" t="e">
        <f>#REF!*food_decay * (1 + tech_2_1*#REF! + tech_2_8*#REF!)</f>
        <v>#REF!</v>
      </c>
      <c r="AP22" s="39" t="e">
        <f>(1+race_food_consumption)*#REF!*food_per_person*(1+tech_1_10*#REF!+tech_7_5*#REF!)</f>
        <v>#REF!</v>
      </c>
      <c r="AQ22" s="39" t="e">
        <f>#REF!*lumber_rot * (1 + tech_2_1*#REF! + tech_2_8*#REF! + tech_5_2*#REF!)</f>
        <v>#REF!</v>
      </c>
      <c r="AR22" s="39" t="e">
        <f>#REF!*mana_drain * (1 + tech_2_1*#REF! + tech_2_8*#REF!)</f>
        <v>#REF!</v>
      </c>
      <c r="AS22" s="133"/>
      <c r="AT22" s="39" t="e">
        <f>#REF!+#REF!+#REF!+#REF!+#REF!-#REF!</f>
        <v>#REF!</v>
      </c>
      <c r="AU22" s="39" t="e">
        <f>#REF!+#REF!-#REF! + Military!$CL$25*#REF!</f>
        <v>#REF!</v>
      </c>
      <c r="AV22" s="39" t="e">
        <f>#REF! + Military!$CL$26*#REF!</f>
        <v>#REF!</v>
      </c>
      <c r="AW22" s="39" t="e">
        <f>Military!$CL$24*#REF!+#REF!-#REF!</f>
        <v>#REF!</v>
      </c>
      <c r="AX22" s="39" t="e">
        <f>#REF!-#REF!</f>
        <v>#REF!</v>
      </c>
      <c r="AY22" s="134"/>
      <c r="AZ22" s="61" t="e">
        <f ca="1">IF(#REF!&lt;&gt;"",#REF!,OFFSET(#REF!,-1,0))</f>
        <v>#REF!</v>
      </c>
      <c r="BA22" s="144"/>
      <c r="BB22" s="3" t="e">
        <f>#REF!</f>
        <v>#REF!</v>
      </c>
      <c r="BC22" s="146" t="e">
        <f>-#REF! / 2 + -#REF! * 2 + -#REF! / 2</f>
        <v>#REF!</v>
      </c>
      <c r="BD22" s="146"/>
      <c r="BE22" s="146"/>
      <c r="BF22" s="146"/>
      <c r="BG22" s="147" t="e">
        <f>#REF!</f>
        <v>#REF!</v>
      </c>
      <c r="BH22" s="3" t="e">
        <f>IF(AND(#REF!=0,#REF!=0,#REF!=0,#REF!=0),"",IF(#REF!&gt;0,IF((#REF!+#REF!)/2+#REF!*2+ROUNDUP(#REF!/(1 + tech_2_2*Techs!Y22),0)=0,"Ok","Nope"),IF(#REF!&gt;0,IF((#REF!+#REF!)/2+#REF!*2+ROUNDUP(#REF!/(1 + tech_2_2*Techs!Y22),0)=0,"Ok","Nope"),IF(#REF!&gt;0,IF((#REF!+#REF!)/2+#REF!*2+ROUNDUP(#REF!/(1 + tech_2_2*Techs!Y22),0)=0,"Ok","Nope")))))</f>
        <v>#REF!</v>
      </c>
      <c r="BI22" s="39" t="e">
        <f>#REF!</f>
        <v>#REF!</v>
      </c>
      <c r="BJ22" s="39" t="e">
        <f>#REF!</f>
        <v>#REF!</v>
      </c>
      <c r="BK22" s="39" t="e">
        <f>#REF!</f>
        <v>#REF!</v>
      </c>
      <c r="BL22" s="39" t="e">
        <f>#REF!</f>
        <v>#REF!</v>
      </c>
      <c r="BM22" s="39" t="e">
        <f>#REF!</f>
        <v>#REF!</v>
      </c>
    </row>
    <row r="23" spans="1:65" x14ac:dyDescent="0.25">
      <c r="A23" s="130">
        <v>20</v>
      </c>
      <c r="B23" s="143" t="e">
        <f>#REF!</f>
        <v>#REF!</v>
      </c>
      <c r="C23" s="144"/>
      <c r="D23" s="133"/>
      <c r="E23" s="39" t="e">
        <f>#REF!</f>
        <v>#REF!</v>
      </c>
      <c r="F23" s="39" t="e">
        <f>#REF!</f>
        <v>#REF!</v>
      </c>
      <c r="G23" s="39" t="e">
        <f>#REF!</f>
        <v>#REF!</v>
      </c>
      <c r="H23" s="39" t="e">
        <f ca="1">OFFSET(#REF!,-1,0)+OFFSET(#REF!,-1,0) -#REF! + IF(#REF!,#REF!*4) + SUM(#REF!)*#REF!*tech_3_3_2*#REF!</f>
        <v>#REF!</v>
      </c>
      <c r="I23" s="39" t="e">
        <f ca="1">OFFSET(#REF!,-1,0)+OFFSET(#REF!,-1,0)+ROUNDUP((#REF!*80+#REF!*35)*(1+OFFSET(#REF!,-1,0)),0)</f>
        <v>#REF!</v>
      </c>
      <c r="J23" s="39" t="e">
        <f ca="1">OFFSET(#REF!,-1,0)+OFFSET(#REF!,-1,0) -#REF! + SUM(#REF!)*#REF!*tech_3_3_2*#REF!</f>
        <v>#REF!</v>
      </c>
      <c r="K23" s="39" t="e">
        <f ca="1">OFFSET(#REF!,-1,0)+OFFSET(#REF!,-1,0) -#REF!</f>
        <v>#REF!</v>
      </c>
      <c r="L23" s="39" t="e">
        <f ca="1">OFFSET(#REF!,-1,0)+OFFSET(#REF!,-1,0) -#REF!</f>
        <v>#REF!</v>
      </c>
      <c r="M23" s="39" t="e">
        <f ca="1">OFFSET(#REF!,-1,0)+OFFSET(#REF!,-1,0) -#REF!</f>
        <v>#REF!</v>
      </c>
      <c r="N23" s="39" t="e">
        <f ca="1">OFFSET(#REF!,-1,0)+OFFSET(#REF!,-1,0)</f>
        <v>#REF!</v>
      </c>
      <c r="O23" s="39" t="e">
        <f ca="1">OFFSET(#REF!,-1,0)</f>
        <v>#REF!</v>
      </c>
      <c r="P23" s="39" t="e">
        <f ca="1">ROUNDDOWN(OFFSET(#REF!,-1,0)+(1+research_bonus)*(MIN(#REF!,#REF!*school_max)*(1 - MIN((#REF!/(#REF!-#REF!)),school_max)))-#REF!*#REF!,0) + IF(#REF!&lt;&gt;"",350,0)</f>
        <v>#REF!</v>
      </c>
      <c r="Q23" s="39" t="e">
        <f ca="1">MAX(3750,_xlfn.CEILING.MATH(#REF!*2.5+OFFSET(#REF!,-1,0)*150))</f>
        <v>#REF!</v>
      </c>
      <c r="R23" s="134"/>
      <c r="S23" s="39" t="e">
        <f>ROUNDDOWN(#REF!*(1+#REF!),0)</f>
        <v>#REF!</v>
      </c>
      <c r="T23" s="39" t="e">
        <f>ROUND(#REF!*(1+#REF!)-#REF!-#REF!,0)</f>
        <v>#REF!</v>
      </c>
      <c r="U23" s="39" t="e">
        <f>ROUND(#REF!*(1+#REF!)-#REF!,0)</f>
        <v>#REF!</v>
      </c>
      <c r="V23" s="39" t="e">
        <f>ROUND(#REF!*(1+#REF!)-#REF!,0)</f>
        <v>#REF!</v>
      </c>
      <c r="W23" s="39" t="e">
        <f>ROUNDDOWN(#REF!*(1+#REF!),0)</f>
        <v>#REF!</v>
      </c>
      <c r="X23" s="39" t="e">
        <f>ROUNDDOWN(#REF!*(1+#REF!),0)</f>
        <v>#REF!</v>
      </c>
      <c r="Y23" s="145" t="e">
        <f ca="1">OFFSET(#REF!,1,0)*dock_boats_hr * (1 + tech_4_1*#REF!)</f>
        <v>#REF!</v>
      </c>
      <c r="Z23" s="133"/>
      <c r="AA23" s="39" t="e">
        <f ca="1">#REF!*tax*#REF! + (Construction!AZ24+Construction!BX24)*(alch_plat+(Magic!AM23&gt;0)*alchemist_flame_bonus)</f>
        <v>#REF!</v>
      </c>
      <c r="AB23" s="39" t="e">
        <f>#REF!*farm_food +#REF!* dock_food</f>
        <v>#REF!</v>
      </c>
      <c r="AC23" s="39" t="e">
        <f>#REF!*ly_lumber +#REF!* fh_lumber</f>
        <v>#REF!</v>
      </c>
      <c r="AD23" s="39" t="e">
        <f ca="1">OFFSET(#REF!,1,0)*(tower_mana + tech_4_5*#REF!) + OFFSET(#REF!,1,0)*wg_mana_prod</f>
        <v>#REF!</v>
      </c>
      <c r="AE23" s="39" t="e">
        <f ca="1">OFFSET(#REF!,1,0)*om_ore+IF(race="Dwarf",ROUNDDOWN(#REF!*0.4,0),)</f>
        <v>#REF!</v>
      </c>
      <c r="AF23" s="39" t="e">
        <f ca="1">OFFSET(#REF!,1,0)*dm_gems</f>
        <v>#REF!</v>
      </c>
      <c r="AG23" s="134"/>
      <c r="AH23" s="135" t="e">
        <f>MIN(race_platinum_bonus + IF(#REF!&gt;0,alch_frost_bonus,IF(Magic!AD23&gt;0,midas_bonus)) +#REF! -#REF!*( 0.02 + tech_5_7*#REF!) + tech_1_5*#REF! + tech_4_4*#REF!, 0.5)</f>
        <v>#REF!</v>
      </c>
      <c r="AI23" s="132" t="e">
        <f>(1 + race_food_bonus + IF(#REF!&gt;0,gaias_blessing_food,IF(#REF!&gt;0,gaias_watch_bonus)) +#REF! + tech_1_1*#REF! + tech_1_4*#REF! + tech_5_1*#REF! +#REF!/ 100*prestige_food_bonus*(1 + tech_8_1*#REF!)) - 1</f>
        <v>#REF!</v>
      </c>
      <c r="AJ23" s="135" t="e">
        <f>race_lumber_bonus+ IF(#REF!&gt;0,gaias_blessing_lumber)+ tech_1_3*#REF! + tech_1_6*#REF! + tech_3_3*#REF!</f>
        <v>#REF!</v>
      </c>
      <c r="AK23" s="135" t="e">
        <f>race_mana_bonus+ 0 +#REF! + tech_1_2*#REF! + tech_3_4*#REF!</f>
        <v>#REF!</v>
      </c>
      <c r="AL23" s="135" t="e">
        <f>race_ore_bonus + IF(#REF!&gt;0,miners_sight_bonus,IF(#REF!&gt;0,mining_strength_bonus)) +  tech_1_6*#REF!</f>
        <v>#REF!</v>
      </c>
      <c r="AM23" s="135" t="e">
        <f>race_gem_bonus+ tech_3_2*#REF! + tech_4_3*#REF! + tech_6_2*#REF!</f>
        <v>#REF!</v>
      </c>
      <c r="AN23" s="134"/>
      <c r="AO23" s="39" t="e">
        <f>#REF!*food_decay * (1 + tech_2_1*#REF! + tech_2_8*#REF!)</f>
        <v>#REF!</v>
      </c>
      <c r="AP23" s="39" t="e">
        <f>(1+race_food_consumption)*#REF!*food_per_person*(1+tech_1_10*#REF!+tech_7_5*#REF!)</f>
        <v>#REF!</v>
      </c>
      <c r="AQ23" s="39" t="e">
        <f>#REF!*lumber_rot * (1 + tech_2_1*#REF! + tech_2_8*#REF! + tech_5_2*#REF!)</f>
        <v>#REF!</v>
      </c>
      <c r="AR23" s="39" t="e">
        <f>#REF!*mana_drain * (1 + tech_2_1*#REF! + tech_2_8*#REF!)</f>
        <v>#REF!</v>
      </c>
      <c r="AS23" s="133"/>
      <c r="AT23" s="39" t="e">
        <f>#REF!+#REF!+#REF!+#REF!+#REF!-#REF!</f>
        <v>#REF!</v>
      </c>
      <c r="AU23" s="39" t="e">
        <f>#REF!+#REF!-#REF! + Military!$CL$25*#REF!</f>
        <v>#REF!</v>
      </c>
      <c r="AV23" s="39" t="e">
        <f>#REF! + Military!$CL$26*#REF!</f>
        <v>#REF!</v>
      </c>
      <c r="AW23" s="39" t="e">
        <f>Military!$CL$24*#REF!+#REF!-#REF!</f>
        <v>#REF!</v>
      </c>
      <c r="AX23" s="39" t="e">
        <f>#REF!-#REF!</f>
        <v>#REF!</v>
      </c>
      <c r="AY23" s="134"/>
      <c r="AZ23" s="61" t="e">
        <f ca="1">IF(#REF!&lt;&gt;"",#REF!,OFFSET(#REF!,-1,0))</f>
        <v>#REF!</v>
      </c>
      <c r="BA23" s="144"/>
      <c r="BB23" s="3" t="e">
        <f>#REF!</f>
        <v>#REF!</v>
      </c>
      <c r="BC23" s="146" t="e">
        <f>-#REF! / 2 + -#REF! * 2 + -#REF! / 2</f>
        <v>#REF!</v>
      </c>
      <c r="BD23" s="146"/>
      <c r="BE23" s="146"/>
      <c r="BF23" s="146"/>
      <c r="BG23" s="147" t="e">
        <f>#REF!</f>
        <v>#REF!</v>
      </c>
      <c r="BH23" s="3" t="e">
        <f>IF(AND(#REF!=0,#REF!=0,#REF!=0,#REF!=0),"",IF(#REF!&gt;0,IF((#REF!+#REF!)/2+#REF!*2+ROUNDUP(#REF!/(1 + tech_2_2*Techs!Y23),0)=0,"Ok","Nope"),IF(#REF!&gt;0,IF((#REF!+#REF!)/2+#REF!*2+ROUNDUP(#REF!/(1 + tech_2_2*Techs!Y23),0)=0,"Ok","Nope"),IF(#REF!&gt;0,IF((#REF!+#REF!)/2+#REF!*2+ROUNDUP(#REF!/(1 + tech_2_2*Techs!Y23),0)=0,"Ok","Nope")))))</f>
        <v>#REF!</v>
      </c>
      <c r="BI23" s="39" t="e">
        <f>#REF!</f>
        <v>#REF!</v>
      </c>
      <c r="BJ23" s="39" t="e">
        <f>#REF!</f>
        <v>#REF!</v>
      </c>
      <c r="BK23" s="39" t="e">
        <f>#REF!</f>
        <v>#REF!</v>
      </c>
      <c r="BL23" s="39" t="e">
        <f>#REF!</f>
        <v>#REF!</v>
      </c>
      <c r="BM23" s="39" t="e">
        <f>#REF!</f>
        <v>#REF!</v>
      </c>
    </row>
    <row r="24" spans="1:65" x14ac:dyDescent="0.25">
      <c r="A24" s="130">
        <v>21</v>
      </c>
      <c r="B24" s="143" t="e">
        <f>#REF!</f>
        <v>#REF!</v>
      </c>
      <c r="C24" s="144"/>
      <c r="D24" s="133"/>
      <c r="E24" s="39" t="e">
        <f>#REF!</f>
        <v>#REF!</v>
      </c>
      <c r="F24" s="39" t="e">
        <f>#REF!</f>
        <v>#REF!</v>
      </c>
      <c r="G24" s="39" t="e">
        <f>#REF!</f>
        <v>#REF!</v>
      </c>
      <c r="H24" s="39" t="e">
        <f ca="1">OFFSET(#REF!,-1,0)+OFFSET(#REF!,-1,0) -#REF! + IF(#REF!,#REF!*4) + SUM(#REF!)*#REF!*tech_3_3_2*#REF!</f>
        <v>#REF!</v>
      </c>
      <c r="I24" s="39" t="e">
        <f ca="1">OFFSET(#REF!,-1,0)+OFFSET(#REF!,-1,0)+ROUNDUP((#REF!*80+#REF!*35)*(1+OFFSET(#REF!,-1,0)),0)</f>
        <v>#REF!</v>
      </c>
      <c r="J24" s="39" t="e">
        <f ca="1">OFFSET(#REF!,-1,0)+OFFSET(#REF!,-1,0) -#REF! + SUM(#REF!)*#REF!*tech_3_3_2*#REF!</f>
        <v>#REF!</v>
      </c>
      <c r="K24" s="39" t="e">
        <f ca="1">OFFSET(#REF!,-1,0)+OFFSET(#REF!,-1,0) -#REF!</f>
        <v>#REF!</v>
      </c>
      <c r="L24" s="39" t="e">
        <f ca="1">OFFSET(#REF!,-1,0)+OFFSET(#REF!,-1,0) -#REF!</f>
        <v>#REF!</v>
      </c>
      <c r="M24" s="39" t="e">
        <f ca="1">OFFSET(#REF!,-1,0)+OFFSET(#REF!,-1,0) -#REF!</f>
        <v>#REF!</v>
      </c>
      <c r="N24" s="39" t="e">
        <f ca="1">OFFSET(#REF!,-1,0)+OFFSET(#REF!,-1,0)</f>
        <v>#REF!</v>
      </c>
      <c r="O24" s="39" t="e">
        <f ca="1">OFFSET(#REF!,-1,0)</f>
        <v>#REF!</v>
      </c>
      <c r="P24" s="39" t="e">
        <f ca="1">ROUNDDOWN(OFFSET(#REF!,-1,0)+(1+research_bonus)*(MIN(#REF!,#REF!*school_max)*(1 - MIN((#REF!/(#REF!-#REF!)),school_max)))-#REF!*#REF!,0) + IF(#REF!&lt;&gt;"",350,0)</f>
        <v>#REF!</v>
      </c>
      <c r="Q24" s="39" t="e">
        <f ca="1">MAX(3750,_xlfn.CEILING.MATH(#REF!*2.5+OFFSET(#REF!,-1,0)*150))</f>
        <v>#REF!</v>
      </c>
      <c r="R24" s="134"/>
      <c r="S24" s="39" t="e">
        <f>ROUNDDOWN(#REF!*(1+#REF!),0)</f>
        <v>#REF!</v>
      </c>
      <c r="T24" s="39" t="e">
        <f>ROUND(#REF!*(1+#REF!)-#REF!-#REF!,0)</f>
        <v>#REF!</v>
      </c>
      <c r="U24" s="39" t="e">
        <f>ROUND(#REF!*(1+#REF!)-#REF!,0)</f>
        <v>#REF!</v>
      </c>
      <c r="V24" s="39" t="e">
        <f>ROUND(#REF!*(1+#REF!)-#REF!,0)</f>
        <v>#REF!</v>
      </c>
      <c r="W24" s="39" t="e">
        <f>ROUNDDOWN(#REF!*(1+#REF!),0)</f>
        <v>#REF!</v>
      </c>
      <c r="X24" s="39" t="e">
        <f>ROUNDDOWN(#REF!*(1+#REF!),0)</f>
        <v>#REF!</v>
      </c>
      <c r="Y24" s="145" t="e">
        <f ca="1">OFFSET(#REF!,1,0)*dock_boats_hr * (1 + tech_4_1*#REF!)</f>
        <v>#REF!</v>
      </c>
      <c r="Z24" s="133"/>
      <c r="AA24" s="39" t="e">
        <f ca="1">#REF!*tax*#REF! + (Construction!AZ25+Construction!BX25)*(alch_plat+(Magic!AM24&gt;0)*alchemist_flame_bonus)</f>
        <v>#REF!</v>
      </c>
      <c r="AB24" s="39" t="e">
        <f>#REF!*farm_food +#REF!* dock_food</f>
        <v>#REF!</v>
      </c>
      <c r="AC24" s="39" t="e">
        <f>#REF!*ly_lumber +#REF!* fh_lumber</f>
        <v>#REF!</v>
      </c>
      <c r="AD24" s="39" t="e">
        <f ca="1">OFFSET(#REF!,1,0)*(tower_mana + tech_4_5*#REF!) + OFFSET(#REF!,1,0)*wg_mana_prod</f>
        <v>#REF!</v>
      </c>
      <c r="AE24" s="39" t="e">
        <f ca="1">OFFSET(#REF!,1,0)*om_ore+IF(race="Dwarf",ROUNDDOWN(#REF!*0.4,0),)</f>
        <v>#REF!</v>
      </c>
      <c r="AF24" s="39" t="e">
        <f ca="1">OFFSET(#REF!,1,0)*dm_gems</f>
        <v>#REF!</v>
      </c>
      <c r="AG24" s="134"/>
      <c r="AH24" s="135" t="e">
        <f>MIN(race_platinum_bonus + IF(#REF!&gt;0,alch_frost_bonus,IF(Magic!AD24&gt;0,midas_bonus)) +#REF! -#REF!*( 0.02 + tech_5_7*#REF!) + tech_1_5*#REF! + tech_4_4*#REF!, 0.5)</f>
        <v>#REF!</v>
      </c>
      <c r="AI24" s="132" t="e">
        <f>(1 + race_food_bonus + IF(#REF!&gt;0,gaias_blessing_food,IF(#REF!&gt;0,gaias_watch_bonus)) +#REF! + tech_1_1*#REF! + tech_1_4*#REF! + tech_5_1*#REF! +#REF!/ 100*prestige_food_bonus*(1 + tech_8_1*#REF!)) - 1</f>
        <v>#REF!</v>
      </c>
      <c r="AJ24" s="135" t="e">
        <f>race_lumber_bonus+ IF(#REF!&gt;0,gaias_blessing_lumber)+ tech_1_3*#REF! + tech_1_6*#REF! + tech_3_3*#REF!</f>
        <v>#REF!</v>
      </c>
      <c r="AK24" s="135" t="e">
        <f>race_mana_bonus+ 0 +#REF! + tech_1_2*#REF! + tech_3_4*#REF!</f>
        <v>#REF!</v>
      </c>
      <c r="AL24" s="135" t="e">
        <f>race_ore_bonus + IF(#REF!&gt;0,miners_sight_bonus,IF(#REF!&gt;0,mining_strength_bonus)) +  tech_1_6*#REF!</f>
        <v>#REF!</v>
      </c>
      <c r="AM24" s="135" t="e">
        <f>race_gem_bonus+ tech_3_2*#REF! + tech_4_3*#REF! + tech_6_2*#REF!</f>
        <v>#REF!</v>
      </c>
      <c r="AN24" s="134"/>
      <c r="AO24" s="39" t="e">
        <f>#REF!*food_decay * (1 + tech_2_1*#REF! + tech_2_8*#REF!)</f>
        <v>#REF!</v>
      </c>
      <c r="AP24" s="39" t="e">
        <f>(1+race_food_consumption)*#REF!*food_per_person*(1+tech_1_10*#REF!+tech_7_5*#REF!)</f>
        <v>#REF!</v>
      </c>
      <c r="AQ24" s="39" t="e">
        <f>#REF!*lumber_rot * (1 + tech_2_1*#REF! + tech_2_8*#REF! + tech_5_2*#REF!)</f>
        <v>#REF!</v>
      </c>
      <c r="AR24" s="39" t="e">
        <f>#REF!*mana_drain * (1 + tech_2_1*#REF! + tech_2_8*#REF!)</f>
        <v>#REF!</v>
      </c>
      <c r="AS24" s="133"/>
      <c r="AT24" s="39" t="e">
        <f>#REF!+#REF!+#REF!+#REF!+#REF!-#REF!</f>
        <v>#REF!</v>
      </c>
      <c r="AU24" s="39" t="e">
        <f>#REF!+#REF!-#REF! + Military!$CL$25*#REF!</f>
        <v>#REF!</v>
      </c>
      <c r="AV24" s="39" t="e">
        <f>#REF! + Military!$CL$26*#REF!</f>
        <v>#REF!</v>
      </c>
      <c r="AW24" s="39" t="e">
        <f>Military!$CL$24*#REF!+#REF!-#REF!</f>
        <v>#REF!</v>
      </c>
      <c r="AX24" s="39" t="e">
        <f>#REF!-#REF!</f>
        <v>#REF!</v>
      </c>
      <c r="AY24" s="134"/>
      <c r="AZ24" s="61" t="e">
        <f ca="1">IF(#REF!&lt;&gt;"",#REF!,OFFSET(#REF!,-1,0))</f>
        <v>#REF!</v>
      </c>
      <c r="BA24" s="144"/>
      <c r="BB24" s="3" t="e">
        <f>#REF!</f>
        <v>#REF!</v>
      </c>
      <c r="BC24" s="146" t="e">
        <f>-#REF! / 2 + -#REF! * 2 + -#REF! / 2</f>
        <v>#REF!</v>
      </c>
      <c r="BD24" s="146"/>
      <c r="BE24" s="146"/>
      <c r="BF24" s="146"/>
      <c r="BG24" s="147" t="e">
        <f>#REF!</f>
        <v>#REF!</v>
      </c>
      <c r="BH24" s="3" t="e">
        <f>IF(AND(#REF!=0,#REF!=0,#REF!=0,#REF!=0),"",IF(#REF!&gt;0,IF((#REF!+#REF!)/2+#REF!*2+ROUNDUP(#REF!/(1 + tech_2_2*Techs!Y24),0)=0,"Ok","Nope"),IF(#REF!&gt;0,IF((#REF!+#REF!)/2+#REF!*2+ROUNDUP(#REF!/(1 + tech_2_2*Techs!Y24),0)=0,"Ok","Nope"),IF(#REF!&gt;0,IF((#REF!+#REF!)/2+#REF!*2+ROUNDUP(#REF!/(1 + tech_2_2*Techs!Y24),0)=0,"Ok","Nope")))))</f>
        <v>#REF!</v>
      </c>
      <c r="BI24" s="39" t="e">
        <f>#REF!</f>
        <v>#REF!</v>
      </c>
      <c r="BJ24" s="39" t="e">
        <f>#REF!</f>
        <v>#REF!</v>
      </c>
      <c r="BK24" s="39" t="e">
        <f>#REF!</f>
        <v>#REF!</v>
      </c>
      <c r="BL24" s="39" t="e">
        <f>#REF!</f>
        <v>#REF!</v>
      </c>
      <c r="BM24" s="39" t="e">
        <f>#REF!</f>
        <v>#REF!</v>
      </c>
    </row>
    <row r="25" spans="1:65" x14ac:dyDescent="0.25">
      <c r="A25" s="130">
        <v>22</v>
      </c>
      <c r="B25" s="143" t="e">
        <f>#REF!</f>
        <v>#REF!</v>
      </c>
      <c r="C25" s="144"/>
      <c r="D25" s="133"/>
      <c r="E25" s="39" t="e">
        <f>#REF!</f>
        <v>#REF!</v>
      </c>
      <c r="F25" s="39" t="e">
        <f>#REF!</f>
        <v>#REF!</v>
      </c>
      <c r="G25" s="39" t="e">
        <f>#REF!</f>
        <v>#REF!</v>
      </c>
      <c r="H25" s="39" t="e">
        <f ca="1">OFFSET(#REF!,-1,0)+OFFSET(#REF!,-1,0) -#REF! + IF(#REF!,#REF!*4) + SUM(#REF!)*#REF!*tech_3_3_2*#REF!</f>
        <v>#REF!</v>
      </c>
      <c r="I25" s="39" t="e">
        <f ca="1">OFFSET(#REF!,-1,0)+OFFSET(#REF!,-1,0)+ROUNDUP((#REF!*80+#REF!*35)*(1+OFFSET(#REF!,-1,0)),0)</f>
        <v>#REF!</v>
      </c>
      <c r="J25" s="39" t="e">
        <f ca="1">OFFSET(#REF!,-1,0)+OFFSET(#REF!,-1,0) -#REF! + SUM(#REF!)*#REF!*tech_3_3_2*#REF!</f>
        <v>#REF!</v>
      </c>
      <c r="K25" s="39" t="e">
        <f ca="1">OFFSET(#REF!,-1,0)+OFFSET(#REF!,-1,0) -#REF!</f>
        <v>#REF!</v>
      </c>
      <c r="L25" s="39" t="e">
        <f ca="1">OFFSET(#REF!,-1,0)+OFFSET(#REF!,-1,0) -#REF!</f>
        <v>#REF!</v>
      </c>
      <c r="M25" s="39" t="e">
        <f ca="1">OFFSET(#REF!,-1,0)+OFFSET(#REF!,-1,0) -#REF!</f>
        <v>#REF!</v>
      </c>
      <c r="N25" s="39" t="e">
        <f ca="1">OFFSET(#REF!,-1,0)+OFFSET(#REF!,-1,0)</f>
        <v>#REF!</v>
      </c>
      <c r="O25" s="39" t="e">
        <f ca="1">OFFSET(#REF!,-1,0)</f>
        <v>#REF!</v>
      </c>
      <c r="P25" s="39" t="e">
        <f ca="1">ROUNDDOWN(OFFSET(#REF!,-1,0)+(1+research_bonus)*(MIN(#REF!,#REF!*school_max)*(1 - MIN((#REF!/(#REF!-#REF!)),school_max)))-#REF!*#REF!,0) + IF(#REF!&lt;&gt;"",350,0)</f>
        <v>#REF!</v>
      </c>
      <c r="Q25" s="39" t="e">
        <f ca="1">MAX(3750,_xlfn.CEILING.MATH(#REF!*2.5+OFFSET(#REF!,-1,0)*150))</f>
        <v>#REF!</v>
      </c>
      <c r="R25" s="134"/>
      <c r="S25" s="39" t="e">
        <f>ROUNDDOWN(#REF!*(1+#REF!),0)</f>
        <v>#REF!</v>
      </c>
      <c r="T25" s="39" t="e">
        <f>ROUND(#REF!*(1+#REF!)-#REF!-#REF!,0)</f>
        <v>#REF!</v>
      </c>
      <c r="U25" s="39" t="e">
        <f>ROUND(#REF!*(1+#REF!)-#REF!,0)</f>
        <v>#REF!</v>
      </c>
      <c r="V25" s="39" t="e">
        <f>ROUND(#REF!*(1+#REF!)-#REF!,0)</f>
        <v>#REF!</v>
      </c>
      <c r="W25" s="39" t="e">
        <f>ROUNDDOWN(#REF!*(1+#REF!),0)</f>
        <v>#REF!</v>
      </c>
      <c r="X25" s="39" t="e">
        <f>ROUNDDOWN(#REF!*(1+#REF!),0)</f>
        <v>#REF!</v>
      </c>
      <c r="Y25" s="145" t="e">
        <f ca="1">OFFSET(#REF!,1,0)*dock_boats_hr * (1 + tech_4_1*#REF!)</f>
        <v>#REF!</v>
      </c>
      <c r="Z25" s="133"/>
      <c r="AA25" s="39" t="e">
        <f ca="1">#REF!*tax*#REF! + (Construction!AZ26+Construction!BX26)*(alch_plat+(Magic!AM25&gt;0)*alchemist_flame_bonus)</f>
        <v>#REF!</v>
      </c>
      <c r="AB25" s="39" t="e">
        <f>#REF!*farm_food +#REF!* dock_food</f>
        <v>#REF!</v>
      </c>
      <c r="AC25" s="39" t="e">
        <f>#REF!*ly_lumber +#REF!* fh_lumber</f>
        <v>#REF!</v>
      </c>
      <c r="AD25" s="39" t="e">
        <f ca="1">OFFSET(#REF!,1,0)*(tower_mana + tech_4_5*#REF!) + OFFSET(#REF!,1,0)*wg_mana_prod</f>
        <v>#REF!</v>
      </c>
      <c r="AE25" s="39" t="e">
        <f ca="1">OFFSET(#REF!,1,0)*om_ore+IF(race="Dwarf",ROUNDDOWN(#REF!*0.4,0),)</f>
        <v>#REF!</v>
      </c>
      <c r="AF25" s="39" t="e">
        <f ca="1">OFFSET(#REF!,1,0)*dm_gems</f>
        <v>#REF!</v>
      </c>
      <c r="AG25" s="134"/>
      <c r="AH25" s="135" t="e">
        <f>MIN(race_platinum_bonus + IF(#REF!&gt;0,alch_frost_bonus,IF(Magic!AD25&gt;0,midas_bonus)) +#REF! -#REF!*( 0.02 + tech_5_7*#REF!) + tech_1_5*#REF! + tech_4_4*#REF!, 0.5)</f>
        <v>#REF!</v>
      </c>
      <c r="AI25" s="132" t="e">
        <f>(1 + race_food_bonus + IF(#REF!&gt;0,gaias_blessing_food,IF(#REF!&gt;0,gaias_watch_bonus)) +#REF! + tech_1_1*#REF! + tech_1_4*#REF! + tech_5_1*#REF! +#REF!/ 100*prestige_food_bonus*(1 + tech_8_1*#REF!)) - 1</f>
        <v>#REF!</v>
      </c>
      <c r="AJ25" s="135" t="e">
        <f>race_lumber_bonus+ IF(#REF!&gt;0,gaias_blessing_lumber)+ tech_1_3*#REF! + tech_1_6*#REF! + tech_3_3*#REF!</f>
        <v>#REF!</v>
      </c>
      <c r="AK25" s="135" t="e">
        <f>race_mana_bonus+ 0 +#REF! + tech_1_2*#REF! + tech_3_4*#REF!</f>
        <v>#REF!</v>
      </c>
      <c r="AL25" s="135" t="e">
        <f>race_ore_bonus + IF(#REF!&gt;0,miners_sight_bonus,IF(#REF!&gt;0,mining_strength_bonus)) +  tech_1_6*#REF!</f>
        <v>#REF!</v>
      </c>
      <c r="AM25" s="135" t="e">
        <f>race_gem_bonus+ tech_3_2*#REF! + tech_4_3*#REF! + tech_6_2*#REF!</f>
        <v>#REF!</v>
      </c>
      <c r="AN25" s="134"/>
      <c r="AO25" s="39" t="e">
        <f>#REF!*food_decay * (1 + tech_2_1*#REF! + tech_2_8*#REF!)</f>
        <v>#REF!</v>
      </c>
      <c r="AP25" s="39" t="e">
        <f>(1+race_food_consumption)*#REF!*food_per_person*(1+tech_1_10*#REF!+tech_7_5*#REF!)</f>
        <v>#REF!</v>
      </c>
      <c r="AQ25" s="39" t="e">
        <f>#REF!*lumber_rot * (1 + tech_2_1*#REF! + tech_2_8*#REF! + tech_5_2*#REF!)</f>
        <v>#REF!</v>
      </c>
      <c r="AR25" s="39" t="e">
        <f>#REF!*mana_drain * (1 + tech_2_1*#REF! + tech_2_8*#REF!)</f>
        <v>#REF!</v>
      </c>
      <c r="AS25" s="133"/>
      <c r="AT25" s="39" t="e">
        <f>#REF!+#REF!+#REF!+#REF!+#REF!-#REF!</f>
        <v>#REF!</v>
      </c>
      <c r="AU25" s="39" t="e">
        <f>#REF!+#REF!-#REF! + Military!$CL$25*#REF!</f>
        <v>#REF!</v>
      </c>
      <c r="AV25" s="39" t="e">
        <f>#REF! + Military!$CL$26*#REF!</f>
        <v>#REF!</v>
      </c>
      <c r="AW25" s="39" t="e">
        <f>Military!$CL$24*#REF!+#REF!-#REF!</f>
        <v>#REF!</v>
      </c>
      <c r="AX25" s="39" t="e">
        <f>#REF!-#REF!</f>
        <v>#REF!</v>
      </c>
      <c r="AY25" s="134"/>
      <c r="AZ25" s="61" t="e">
        <f ca="1">IF(#REF!&lt;&gt;"",#REF!,OFFSET(#REF!,-1,0))</f>
        <v>#REF!</v>
      </c>
      <c r="BA25" s="144"/>
      <c r="BB25" s="3" t="e">
        <f>#REF!</f>
        <v>#REF!</v>
      </c>
      <c r="BC25" s="146" t="e">
        <f>-#REF! / 2 + -#REF! * 2 + -#REF! / 2</f>
        <v>#REF!</v>
      </c>
      <c r="BD25" s="146"/>
      <c r="BE25" s="146"/>
      <c r="BF25" s="146"/>
      <c r="BG25" s="147" t="e">
        <f>#REF!</f>
        <v>#REF!</v>
      </c>
      <c r="BH25" s="3" t="e">
        <f>IF(AND(#REF!=0,#REF!=0,#REF!=0,#REF!=0),"",IF(#REF!&gt;0,IF((#REF!+#REF!)/2+#REF!*2+ROUNDUP(#REF!/(1 + tech_2_2*Techs!Y25),0)=0,"Ok","Nope"),IF(#REF!&gt;0,IF((#REF!+#REF!)/2+#REF!*2+ROUNDUP(#REF!/(1 + tech_2_2*Techs!Y25),0)=0,"Ok","Nope"),IF(#REF!&gt;0,IF((#REF!+#REF!)/2+#REF!*2+ROUNDUP(#REF!/(1 + tech_2_2*Techs!Y25),0)=0,"Ok","Nope")))))</f>
        <v>#REF!</v>
      </c>
      <c r="BI25" s="39" t="e">
        <f>#REF!</f>
        <v>#REF!</v>
      </c>
      <c r="BJ25" s="39" t="e">
        <f>#REF!</f>
        <v>#REF!</v>
      </c>
      <c r="BK25" s="39" t="e">
        <f>#REF!</f>
        <v>#REF!</v>
      </c>
      <c r="BL25" s="39" t="e">
        <f>#REF!</f>
        <v>#REF!</v>
      </c>
      <c r="BM25" s="39" t="e">
        <f>#REF!</f>
        <v>#REF!</v>
      </c>
    </row>
    <row r="26" spans="1:65" x14ac:dyDescent="0.25">
      <c r="A26" s="130">
        <v>23</v>
      </c>
      <c r="B26" s="143" t="e">
        <f>#REF!</f>
        <v>#REF!</v>
      </c>
      <c r="C26" s="144"/>
      <c r="D26" s="133"/>
      <c r="E26" s="39" t="e">
        <f>#REF!</f>
        <v>#REF!</v>
      </c>
      <c r="F26" s="39" t="e">
        <f>#REF!</f>
        <v>#REF!</v>
      </c>
      <c r="G26" s="39" t="e">
        <f>#REF!</f>
        <v>#REF!</v>
      </c>
      <c r="H26" s="39" t="e">
        <f ca="1">OFFSET(#REF!,-1,0)+OFFSET(#REF!,-1,0) -#REF! + IF(#REF!,#REF!*4) + SUM(#REF!)*#REF!*tech_3_3_2*#REF!</f>
        <v>#REF!</v>
      </c>
      <c r="I26" s="39" t="e">
        <f ca="1">OFFSET(#REF!,-1,0)+OFFSET(#REF!,-1,0)+ROUNDUP((#REF!*80+#REF!*35)*(1+OFFSET(#REF!,-1,0)),0)</f>
        <v>#REF!</v>
      </c>
      <c r="J26" s="39" t="e">
        <f ca="1">OFFSET(#REF!,-1,0)+OFFSET(#REF!,-1,0) -#REF! + SUM(#REF!)*#REF!*tech_3_3_2*#REF!</f>
        <v>#REF!</v>
      </c>
      <c r="K26" s="39" t="e">
        <f ca="1">OFFSET(#REF!,-1,0)+OFFSET(#REF!,-1,0) -#REF!</f>
        <v>#REF!</v>
      </c>
      <c r="L26" s="39" t="e">
        <f ca="1">OFFSET(#REF!,-1,0)+OFFSET(#REF!,-1,0) -#REF!</f>
        <v>#REF!</v>
      </c>
      <c r="M26" s="39" t="e">
        <f ca="1">OFFSET(#REF!,-1,0)+OFFSET(#REF!,-1,0) -#REF!</f>
        <v>#REF!</v>
      </c>
      <c r="N26" s="39" t="e">
        <f ca="1">OFFSET(#REF!,-1,0)+OFFSET(#REF!,-1,0)</f>
        <v>#REF!</v>
      </c>
      <c r="O26" s="39" t="e">
        <f ca="1">OFFSET(#REF!,-1,0)</f>
        <v>#REF!</v>
      </c>
      <c r="P26" s="39" t="e">
        <f ca="1">ROUNDDOWN(OFFSET(#REF!,-1,0)+(1+research_bonus)*(MIN(#REF!,#REF!*school_max)*(1 - MIN((#REF!/(#REF!-#REF!)),school_max)))-#REF!*#REF!,0) + IF(#REF!&lt;&gt;"",350,0)</f>
        <v>#REF!</v>
      </c>
      <c r="Q26" s="39" t="e">
        <f ca="1">MAX(3750,_xlfn.CEILING.MATH(#REF!*2.5+OFFSET(#REF!,-1,0)*150))</f>
        <v>#REF!</v>
      </c>
      <c r="R26" s="134"/>
      <c r="S26" s="39" t="e">
        <f>ROUNDDOWN(#REF!*(1+#REF!),0)</f>
        <v>#REF!</v>
      </c>
      <c r="T26" s="39" t="e">
        <f>ROUND(#REF!*(1+#REF!)-#REF!-#REF!,0)</f>
        <v>#REF!</v>
      </c>
      <c r="U26" s="39" t="e">
        <f>ROUND(#REF!*(1+#REF!)-#REF!,0)</f>
        <v>#REF!</v>
      </c>
      <c r="V26" s="39" t="e">
        <f>ROUND(#REF!*(1+#REF!)-#REF!,0)</f>
        <v>#REF!</v>
      </c>
      <c r="W26" s="39" t="e">
        <f>ROUNDDOWN(#REF!*(1+#REF!),0)</f>
        <v>#REF!</v>
      </c>
      <c r="X26" s="39" t="e">
        <f>ROUNDDOWN(#REF!*(1+#REF!),0)</f>
        <v>#REF!</v>
      </c>
      <c r="Y26" s="145" t="e">
        <f ca="1">OFFSET(#REF!,1,0)*dock_boats_hr * (1 + tech_4_1*#REF!)</f>
        <v>#REF!</v>
      </c>
      <c r="Z26" s="133"/>
      <c r="AA26" s="39" t="e">
        <f ca="1">#REF!*tax*#REF! + (Construction!AZ27+Construction!BX27)*(alch_plat+(Magic!AM26&gt;0)*alchemist_flame_bonus)</f>
        <v>#REF!</v>
      </c>
      <c r="AB26" s="39" t="e">
        <f>#REF!*farm_food +#REF!* dock_food</f>
        <v>#REF!</v>
      </c>
      <c r="AC26" s="39" t="e">
        <f>#REF!*ly_lumber +#REF!* fh_lumber</f>
        <v>#REF!</v>
      </c>
      <c r="AD26" s="39" t="e">
        <f ca="1">OFFSET(#REF!,1,0)*(tower_mana + tech_4_5*#REF!) + OFFSET(#REF!,1,0)*wg_mana_prod</f>
        <v>#REF!</v>
      </c>
      <c r="AE26" s="39" t="e">
        <f ca="1">OFFSET(#REF!,1,0)*om_ore+IF(race="Dwarf",ROUNDDOWN(#REF!*0.4,0),)</f>
        <v>#REF!</v>
      </c>
      <c r="AF26" s="39" t="e">
        <f ca="1">OFFSET(#REF!,1,0)*dm_gems</f>
        <v>#REF!</v>
      </c>
      <c r="AG26" s="134"/>
      <c r="AH26" s="135" t="e">
        <f>MIN(race_platinum_bonus + IF(#REF!&gt;0,alch_frost_bonus,IF(Magic!AD26&gt;0,midas_bonus)) +#REF! -#REF!*( 0.02 + tech_5_7*#REF!) + tech_1_5*#REF! + tech_4_4*#REF!, 0.5)</f>
        <v>#REF!</v>
      </c>
      <c r="AI26" s="132" t="e">
        <f>(1 + race_food_bonus + IF(#REF!&gt;0,gaias_blessing_food,IF(#REF!&gt;0,gaias_watch_bonus)) +#REF! + tech_1_1*#REF! + tech_1_4*#REF! + tech_5_1*#REF! +#REF!/ 100*prestige_food_bonus*(1 + tech_8_1*#REF!)) - 1</f>
        <v>#REF!</v>
      </c>
      <c r="AJ26" s="135" t="e">
        <f>race_lumber_bonus+ IF(#REF!&gt;0,gaias_blessing_lumber)+ tech_1_3*#REF! + tech_1_6*#REF! + tech_3_3*#REF!</f>
        <v>#REF!</v>
      </c>
      <c r="AK26" s="135" t="e">
        <f>race_mana_bonus+ 0 +#REF! + tech_1_2*#REF! + tech_3_4*#REF!</f>
        <v>#REF!</v>
      </c>
      <c r="AL26" s="135" t="e">
        <f>race_ore_bonus + IF(#REF!&gt;0,miners_sight_bonus,IF(#REF!&gt;0,mining_strength_bonus)) +  tech_1_6*#REF!</f>
        <v>#REF!</v>
      </c>
      <c r="AM26" s="135" t="e">
        <f>race_gem_bonus+ tech_3_2*#REF! + tech_4_3*#REF! + tech_6_2*#REF!</f>
        <v>#REF!</v>
      </c>
      <c r="AN26" s="134"/>
      <c r="AO26" s="39" t="e">
        <f>#REF!*food_decay * (1 + tech_2_1*#REF! + tech_2_8*#REF!)</f>
        <v>#REF!</v>
      </c>
      <c r="AP26" s="39" t="e">
        <f>(1+race_food_consumption)*#REF!*food_per_person*(1+tech_1_10*#REF!+tech_7_5*#REF!)</f>
        <v>#REF!</v>
      </c>
      <c r="AQ26" s="39" t="e">
        <f>#REF!*lumber_rot * (1 + tech_2_1*#REF! + tech_2_8*#REF! + tech_5_2*#REF!)</f>
        <v>#REF!</v>
      </c>
      <c r="AR26" s="39" t="e">
        <f>#REF!*mana_drain * (1 + tech_2_1*#REF! + tech_2_8*#REF!)</f>
        <v>#REF!</v>
      </c>
      <c r="AS26" s="133"/>
      <c r="AT26" s="39" t="e">
        <f>#REF!+#REF!+#REF!+#REF!+#REF!-#REF!</f>
        <v>#REF!</v>
      </c>
      <c r="AU26" s="39" t="e">
        <f>#REF!+#REF!-#REF! + Military!$CL$25*#REF!</f>
        <v>#REF!</v>
      </c>
      <c r="AV26" s="39" t="e">
        <f>#REF! + Military!$CL$26*#REF!</f>
        <v>#REF!</v>
      </c>
      <c r="AW26" s="39" t="e">
        <f>Military!$CL$24*#REF!+#REF!-#REF!</f>
        <v>#REF!</v>
      </c>
      <c r="AX26" s="39" t="e">
        <f>#REF!-#REF!</f>
        <v>#REF!</v>
      </c>
      <c r="AY26" s="134"/>
      <c r="AZ26" s="61" t="e">
        <f ca="1">IF(#REF!&lt;&gt;"",#REF!,OFFSET(#REF!,-1,0))</f>
        <v>#REF!</v>
      </c>
      <c r="BA26" s="144"/>
      <c r="BB26" s="3" t="e">
        <f>#REF!</f>
        <v>#REF!</v>
      </c>
      <c r="BC26" s="146" t="e">
        <f>-#REF! / 2 + -#REF! * 2 + -#REF! / 2</f>
        <v>#REF!</v>
      </c>
      <c r="BD26" s="146"/>
      <c r="BE26" s="146"/>
      <c r="BF26" s="146"/>
      <c r="BG26" s="147" t="e">
        <f>#REF!</f>
        <v>#REF!</v>
      </c>
      <c r="BH26" s="3" t="e">
        <f>IF(AND(#REF!=0,#REF!=0,#REF!=0,#REF!=0),"",IF(#REF!&gt;0,IF((#REF!+#REF!)/2+#REF!*2+ROUNDUP(#REF!/(1 + tech_2_2*Techs!Y26),0)=0,"Ok","Nope"),IF(#REF!&gt;0,IF((#REF!+#REF!)/2+#REF!*2+ROUNDUP(#REF!/(1 + tech_2_2*Techs!Y26),0)=0,"Ok","Nope"),IF(#REF!&gt;0,IF((#REF!+#REF!)/2+#REF!*2+ROUNDUP(#REF!/(1 + tech_2_2*Techs!Y26),0)=0,"Ok","Nope")))))</f>
        <v>#REF!</v>
      </c>
      <c r="BI26" s="39" t="e">
        <f>#REF!</f>
        <v>#REF!</v>
      </c>
      <c r="BJ26" s="39" t="e">
        <f>#REF!</f>
        <v>#REF!</v>
      </c>
      <c r="BK26" s="39" t="e">
        <f>#REF!</f>
        <v>#REF!</v>
      </c>
      <c r="BL26" s="39" t="e">
        <f>#REF!</f>
        <v>#REF!</v>
      </c>
      <c r="BM26" s="39" t="e">
        <f>#REF!</f>
        <v>#REF!</v>
      </c>
    </row>
    <row r="27" spans="1:65" x14ac:dyDescent="0.25">
      <c r="A27" s="130">
        <v>24</v>
      </c>
      <c r="B27" s="143" t="e">
        <f>#REF!</f>
        <v>#REF!</v>
      </c>
      <c r="C27" s="144"/>
      <c r="D27" s="133"/>
      <c r="E27" s="39" t="e">
        <f>#REF!</f>
        <v>#REF!</v>
      </c>
      <c r="F27" s="39" t="e">
        <f>#REF!</f>
        <v>#REF!</v>
      </c>
      <c r="G27" s="39" t="e">
        <f>#REF!</f>
        <v>#REF!</v>
      </c>
      <c r="H27" s="39" t="e">
        <f ca="1">OFFSET(#REF!,-1,0)+OFFSET(#REF!,-1,0) -#REF! + IF(#REF!,#REF!*4) + SUM(#REF!)*#REF!*tech_3_3_2*#REF!</f>
        <v>#REF!</v>
      </c>
      <c r="I27" s="39" t="e">
        <f ca="1">OFFSET(#REF!,-1,0)+OFFSET(#REF!,-1,0)+ROUNDUP((#REF!*80+#REF!*35)*(1+OFFSET(#REF!,-1,0)),0)</f>
        <v>#REF!</v>
      </c>
      <c r="J27" s="39" t="e">
        <f ca="1">OFFSET(#REF!,-1,0)+OFFSET(#REF!,-1,0) -#REF! + SUM(#REF!)*#REF!*tech_3_3_2*#REF!</f>
        <v>#REF!</v>
      </c>
      <c r="K27" s="39" t="e">
        <f ca="1">OFFSET(#REF!,-1,0)+OFFSET(#REF!,-1,0) -#REF!</f>
        <v>#REF!</v>
      </c>
      <c r="L27" s="39" t="e">
        <f ca="1">OFFSET(#REF!,-1,0)+OFFSET(#REF!,-1,0) -#REF!</f>
        <v>#REF!</v>
      </c>
      <c r="M27" s="39" t="e">
        <f ca="1">OFFSET(#REF!,-1,0)+OFFSET(#REF!,-1,0) -#REF!</f>
        <v>#REF!</v>
      </c>
      <c r="N27" s="39" t="e">
        <f ca="1">OFFSET(#REF!,-1,0)+OFFSET(#REF!,-1,0)</f>
        <v>#REF!</v>
      </c>
      <c r="O27" s="39" t="e">
        <f ca="1">OFFSET(#REF!,-1,0)</f>
        <v>#REF!</v>
      </c>
      <c r="P27" s="39" t="e">
        <f ca="1">ROUNDDOWN(OFFSET(#REF!,-1,0)+(1+research_bonus)*(MIN(#REF!,#REF!*school_max)*(1 - MIN((#REF!/(#REF!-#REF!)),school_max)))-#REF!*#REF!,0) + IF(#REF!&lt;&gt;"",350,0)</f>
        <v>#REF!</v>
      </c>
      <c r="Q27" s="39" t="e">
        <f ca="1">MAX(3750,_xlfn.CEILING.MATH(#REF!*2.5+OFFSET(#REF!,-1,0)*150))</f>
        <v>#REF!</v>
      </c>
      <c r="R27" s="134"/>
      <c r="S27" s="39" t="e">
        <f>ROUNDDOWN(#REF!*(1+#REF!),0)</f>
        <v>#REF!</v>
      </c>
      <c r="T27" s="39" t="e">
        <f>ROUND(#REF!*(1+#REF!)-#REF!-#REF!,0)</f>
        <v>#REF!</v>
      </c>
      <c r="U27" s="39" t="e">
        <f>ROUND(#REF!*(1+#REF!)-#REF!,0)</f>
        <v>#REF!</v>
      </c>
      <c r="V27" s="39" t="e">
        <f>ROUND(#REF!*(1+#REF!)-#REF!,0)</f>
        <v>#REF!</v>
      </c>
      <c r="W27" s="39" t="e">
        <f>ROUNDDOWN(#REF!*(1+#REF!),0)</f>
        <v>#REF!</v>
      </c>
      <c r="X27" s="39" t="e">
        <f>ROUNDDOWN(#REF!*(1+#REF!),0)</f>
        <v>#REF!</v>
      </c>
      <c r="Y27" s="145" t="e">
        <f ca="1">OFFSET(#REF!,1,0)*dock_boats_hr * (1 + tech_4_1*#REF!)</f>
        <v>#REF!</v>
      </c>
      <c r="Z27" s="133"/>
      <c r="AA27" s="39" t="e">
        <f ca="1">#REF!*tax*#REF! + (Construction!AZ28+Construction!BX28)*(alch_plat+(Magic!AM27&gt;0)*alchemist_flame_bonus)</f>
        <v>#REF!</v>
      </c>
      <c r="AB27" s="39" t="e">
        <f>#REF!*farm_food +#REF!* dock_food</f>
        <v>#REF!</v>
      </c>
      <c r="AC27" s="39" t="e">
        <f>#REF!*ly_lumber +#REF!* fh_lumber</f>
        <v>#REF!</v>
      </c>
      <c r="AD27" s="39" t="e">
        <f ca="1">OFFSET(#REF!,1,0)*(tower_mana + tech_4_5*#REF!) + OFFSET(#REF!,1,0)*wg_mana_prod</f>
        <v>#REF!</v>
      </c>
      <c r="AE27" s="39" t="e">
        <f ca="1">OFFSET(#REF!,1,0)*om_ore+IF(race="Dwarf",ROUNDDOWN(#REF!*0.4,0),)</f>
        <v>#REF!</v>
      </c>
      <c r="AF27" s="39" t="e">
        <f ca="1">OFFSET(#REF!,1,0)*dm_gems</f>
        <v>#REF!</v>
      </c>
      <c r="AG27" s="134"/>
      <c r="AH27" s="135" t="e">
        <f>MIN(race_platinum_bonus + IF(#REF!&gt;0,alch_frost_bonus,IF(Magic!AD27&gt;0,midas_bonus)) +#REF! -#REF!*( 0.02 + tech_5_7*#REF!) + tech_1_5*#REF! + tech_4_4*#REF!, 0.5)</f>
        <v>#REF!</v>
      </c>
      <c r="AI27" s="132" t="e">
        <f>(1 + race_food_bonus + IF(#REF!&gt;0,gaias_blessing_food,IF(#REF!&gt;0,gaias_watch_bonus)) +#REF! + tech_1_1*#REF! + tech_1_4*#REF! + tech_5_1*#REF! +#REF!/ 100*prestige_food_bonus*(1 + tech_8_1*#REF!)) - 1</f>
        <v>#REF!</v>
      </c>
      <c r="AJ27" s="135" t="e">
        <f>race_lumber_bonus+ IF(#REF!&gt;0,gaias_blessing_lumber)+ tech_1_3*#REF! + tech_1_6*#REF! + tech_3_3*#REF!</f>
        <v>#REF!</v>
      </c>
      <c r="AK27" s="135" t="e">
        <f>race_mana_bonus+ 0 +#REF! + tech_1_2*#REF! + tech_3_4*#REF!</f>
        <v>#REF!</v>
      </c>
      <c r="AL27" s="135" t="e">
        <f>race_ore_bonus + IF(#REF!&gt;0,miners_sight_bonus,IF(#REF!&gt;0,mining_strength_bonus)) +  tech_1_6*#REF!</f>
        <v>#REF!</v>
      </c>
      <c r="AM27" s="135" t="e">
        <f>race_gem_bonus+ tech_3_2*#REF! + tech_4_3*#REF! + tech_6_2*#REF!</f>
        <v>#REF!</v>
      </c>
      <c r="AN27" s="134"/>
      <c r="AO27" s="39" t="e">
        <f>#REF!*food_decay * (1 + tech_2_1*#REF! + tech_2_8*#REF!)</f>
        <v>#REF!</v>
      </c>
      <c r="AP27" s="39" t="e">
        <f>(1+race_food_consumption)*#REF!*food_per_person*(1+tech_1_10*#REF!+tech_7_5*#REF!)</f>
        <v>#REF!</v>
      </c>
      <c r="AQ27" s="39" t="e">
        <f>#REF!*lumber_rot * (1 + tech_2_1*#REF! + tech_2_8*#REF! + tech_5_2*#REF!)</f>
        <v>#REF!</v>
      </c>
      <c r="AR27" s="39" t="e">
        <f>#REF!*mana_drain * (1 + tech_2_1*#REF! + tech_2_8*#REF!)</f>
        <v>#REF!</v>
      </c>
      <c r="AS27" s="133"/>
      <c r="AT27" s="39" t="e">
        <f>#REF!+#REF!+#REF!+#REF!+#REF!-#REF!</f>
        <v>#REF!</v>
      </c>
      <c r="AU27" s="39" t="e">
        <f>#REF!+#REF!-#REF! + Military!$CL$25*#REF!</f>
        <v>#REF!</v>
      </c>
      <c r="AV27" s="39" t="e">
        <f>#REF! + Military!$CL$26*#REF!</f>
        <v>#REF!</v>
      </c>
      <c r="AW27" s="39" t="e">
        <f>Military!$CL$24*#REF!+#REF!-#REF!</f>
        <v>#REF!</v>
      </c>
      <c r="AX27" s="39" t="e">
        <f>#REF!-#REF!</f>
        <v>#REF!</v>
      </c>
      <c r="AY27" s="134"/>
      <c r="AZ27" s="61" t="e">
        <f ca="1">IF(#REF!&lt;&gt;"",#REF!,OFFSET(#REF!,-1,0))</f>
        <v>#REF!</v>
      </c>
      <c r="BA27" s="144"/>
      <c r="BB27" s="3" t="e">
        <f>#REF!</f>
        <v>#REF!</v>
      </c>
      <c r="BC27" s="146" t="e">
        <f>-#REF! / 2 + -#REF! * 2 + -#REF! / 2</f>
        <v>#REF!</v>
      </c>
      <c r="BD27" s="146"/>
      <c r="BE27" s="146"/>
      <c r="BF27" s="146"/>
      <c r="BG27" s="147" t="e">
        <f>#REF!</f>
        <v>#REF!</v>
      </c>
      <c r="BH27" s="3" t="e">
        <f>IF(AND(#REF!=0,#REF!=0,#REF!=0,#REF!=0),"",IF(#REF!&gt;0,IF((#REF!+#REF!)/2+#REF!*2+ROUNDUP(#REF!/(1 + tech_2_2*Techs!Y27),0)=0,"Ok","Nope"),IF(#REF!&gt;0,IF((#REF!+#REF!)/2+#REF!*2+ROUNDUP(#REF!/(1 + tech_2_2*Techs!Y27),0)=0,"Ok","Nope"),IF(#REF!&gt;0,IF((#REF!+#REF!)/2+#REF!*2+ROUNDUP(#REF!/(1 + tech_2_2*Techs!Y27),0)=0,"Ok","Nope")))))</f>
        <v>#REF!</v>
      </c>
      <c r="BI27" s="39" t="e">
        <f>#REF!</f>
        <v>#REF!</v>
      </c>
      <c r="BJ27" s="39" t="e">
        <f>#REF!</f>
        <v>#REF!</v>
      </c>
      <c r="BK27" s="39" t="e">
        <f>#REF!</f>
        <v>#REF!</v>
      </c>
      <c r="BL27" s="39" t="e">
        <f>#REF!</f>
        <v>#REF!</v>
      </c>
      <c r="BM27" s="39" t="e">
        <f>#REF!</f>
        <v>#REF!</v>
      </c>
    </row>
    <row r="28" spans="1:65" x14ac:dyDescent="0.25">
      <c r="A28" s="130">
        <v>25</v>
      </c>
      <c r="B28" s="143" t="e">
        <f>#REF!</f>
        <v>#REF!</v>
      </c>
      <c r="C28" s="144"/>
      <c r="D28" s="133"/>
      <c r="E28" s="39" t="e">
        <f>#REF!</f>
        <v>#REF!</v>
      </c>
      <c r="F28" s="39" t="e">
        <f>#REF!</f>
        <v>#REF!</v>
      </c>
      <c r="G28" s="39" t="e">
        <f>#REF!</f>
        <v>#REF!</v>
      </c>
      <c r="H28" s="39" t="e">
        <f ca="1">OFFSET(#REF!,-1,0)+OFFSET(#REF!,-1,0) -#REF! + IF(#REF!,#REF!*4) + SUM(#REF!)*#REF!*tech_3_3_2*#REF!</f>
        <v>#REF!</v>
      </c>
      <c r="I28" s="39" t="e">
        <f ca="1">OFFSET(#REF!,-1,0)+OFFSET(#REF!,-1,0)+ROUNDUP((#REF!*80+#REF!*35)*(1+OFFSET(#REF!,-1,0)),0)</f>
        <v>#REF!</v>
      </c>
      <c r="J28" s="39" t="e">
        <f ca="1">OFFSET(#REF!,-1,0)+OFFSET(#REF!,-1,0) -#REF! + SUM(#REF!)*#REF!*tech_3_3_2*#REF!</f>
        <v>#REF!</v>
      </c>
      <c r="K28" s="39" t="e">
        <f ca="1">OFFSET(#REF!,-1,0)+OFFSET(#REF!,-1,0) -#REF!</f>
        <v>#REF!</v>
      </c>
      <c r="L28" s="39" t="e">
        <f ca="1">OFFSET(#REF!,-1,0)+OFFSET(#REF!,-1,0) -#REF!</f>
        <v>#REF!</v>
      </c>
      <c r="M28" s="39" t="e">
        <f ca="1">OFFSET(#REF!,-1,0)+OFFSET(#REF!,-1,0) -#REF!</f>
        <v>#REF!</v>
      </c>
      <c r="N28" s="39" t="e">
        <f ca="1">OFFSET(#REF!,-1,0)+OFFSET(#REF!,-1,0)</f>
        <v>#REF!</v>
      </c>
      <c r="O28" s="39" t="e">
        <f ca="1">OFFSET(#REF!,-1,0)</f>
        <v>#REF!</v>
      </c>
      <c r="P28" s="39" t="e">
        <f ca="1">ROUNDDOWN(OFFSET(#REF!,-1,0)+(1+research_bonus)*(MIN(#REF!,#REF!*school_max)*(1 - MIN((#REF!/(#REF!-#REF!)),school_max)))-#REF!*#REF!,0) + IF(#REF!&lt;&gt;"",350,0)</f>
        <v>#REF!</v>
      </c>
      <c r="Q28" s="39" t="e">
        <f ca="1">MAX(3750,_xlfn.CEILING.MATH(#REF!*2.5+OFFSET(#REF!,-1,0)*150))</f>
        <v>#REF!</v>
      </c>
      <c r="R28" s="134"/>
      <c r="S28" s="39" t="e">
        <f>ROUNDDOWN(#REF!*(1+#REF!),0)</f>
        <v>#REF!</v>
      </c>
      <c r="T28" s="39" t="e">
        <f>ROUND(#REF!*(1+#REF!)-#REF!-#REF!,0)</f>
        <v>#REF!</v>
      </c>
      <c r="U28" s="39" t="e">
        <f>ROUND(#REF!*(1+#REF!)-#REF!,0)</f>
        <v>#REF!</v>
      </c>
      <c r="V28" s="39" t="e">
        <f>ROUND(#REF!*(1+#REF!)-#REF!,0)</f>
        <v>#REF!</v>
      </c>
      <c r="W28" s="39" t="e">
        <f>ROUNDDOWN(#REF!*(1+#REF!),0)</f>
        <v>#REF!</v>
      </c>
      <c r="X28" s="39" t="e">
        <f>ROUNDDOWN(#REF!*(1+#REF!),0)</f>
        <v>#REF!</v>
      </c>
      <c r="Y28" s="145" t="e">
        <f ca="1">OFFSET(#REF!,1,0)*dock_boats_hr * (1 + tech_4_1*#REF!)</f>
        <v>#REF!</v>
      </c>
      <c r="Z28" s="133"/>
      <c r="AA28" s="39" t="e">
        <f ca="1">#REF!*tax*#REF! + (Construction!AZ29+Construction!BX29)*(alch_plat+(Magic!AM28&gt;0)*alchemist_flame_bonus)</f>
        <v>#REF!</v>
      </c>
      <c r="AB28" s="39" t="e">
        <f>#REF!*farm_food +#REF!* dock_food</f>
        <v>#REF!</v>
      </c>
      <c r="AC28" s="39" t="e">
        <f>#REF!*ly_lumber +#REF!* fh_lumber</f>
        <v>#REF!</v>
      </c>
      <c r="AD28" s="39" t="e">
        <f ca="1">OFFSET(#REF!,1,0)*(tower_mana + tech_4_5*#REF!) + OFFSET(#REF!,1,0)*wg_mana_prod</f>
        <v>#REF!</v>
      </c>
      <c r="AE28" s="39" t="e">
        <f ca="1">OFFSET(#REF!,1,0)*om_ore+IF(race="Dwarf",ROUNDDOWN(#REF!*0.4,0),)</f>
        <v>#REF!</v>
      </c>
      <c r="AF28" s="39" t="e">
        <f ca="1">OFFSET(#REF!,1,0)*dm_gems</f>
        <v>#REF!</v>
      </c>
      <c r="AG28" s="134"/>
      <c r="AH28" s="135" t="e">
        <f>MIN(race_platinum_bonus + IF(#REF!&gt;0,alch_frost_bonus,IF(Magic!AD28&gt;0,midas_bonus)) +#REF! -#REF!*( 0.02 + tech_5_7*#REF!) + tech_1_5*#REF! + tech_4_4*#REF!, 0.5)</f>
        <v>#REF!</v>
      </c>
      <c r="AI28" s="132" t="e">
        <f>(1 + race_food_bonus + IF(#REF!&gt;0,gaias_blessing_food,IF(#REF!&gt;0,gaias_watch_bonus)) +#REF! + tech_1_1*#REF! + tech_1_4*#REF! + tech_5_1*#REF! +#REF!/ 100*prestige_food_bonus*(1 + tech_8_1*#REF!)) - 1</f>
        <v>#REF!</v>
      </c>
      <c r="AJ28" s="135" t="e">
        <f>race_lumber_bonus+ IF(#REF!&gt;0,gaias_blessing_lumber)+ tech_1_3*#REF! + tech_1_6*#REF! + tech_3_3*#REF!</f>
        <v>#REF!</v>
      </c>
      <c r="AK28" s="135" t="e">
        <f>race_mana_bonus+ 0 +#REF! + tech_1_2*#REF! + tech_3_4*#REF!</f>
        <v>#REF!</v>
      </c>
      <c r="AL28" s="135" t="e">
        <f>race_ore_bonus + IF(#REF!&gt;0,miners_sight_bonus,IF(#REF!&gt;0,mining_strength_bonus)) +  tech_1_6*#REF!</f>
        <v>#REF!</v>
      </c>
      <c r="AM28" s="135" t="e">
        <f>race_gem_bonus+ tech_3_2*#REF! + tech_4_3*#REF! + tech_6_2*#REF!</f>
        <v>#REF!</v>
      </c>
      <c r="AN28" s="134"/>
      <c r="AO28" s="39" t="e">
        <f>#REF!*food_decay * (1 + tech_2_1*#REF! + tech_2_8*#REF!)</f>
        <v>#REF!</v>
      </c>
      <c r="AP28" s="39" t="e">
        <f>(1+race_food_consumption)*#REF!*food_per_person*(1+tech_1_10*#REF!+tech_7_5*#REF!)</f>
        <v>#REF!</v>
      </c>
      <c r="AQ28" s="39" t="e">
        <f>#REF!*lumber_rot * (1 + tech_2_1*#REF! + tech_2_8*#REF! + tech_5_2*#REF!)</f>
        <v>#REF!</v>
      </c>
      <c r="AR28" s="39" t="e">
        <f>#REF!*mana_drain * (1 + tech_2_1*#REF! + tech_2_8*#REF!)</f>
        <v>#REF!</v>
      </c>
      <c r="AS28" s="133"/>
      <c r="AT28" s="39" t="e">
        <f>#REF!+#REF!+#REF!+#REF!+#REF!-#REF!</f>
        <v>#REF!</v>
      </c>
      <c r="AU28" s="39" t="e">
        <f>#REF!+#REF!-#REF! + Military!$CL$25*#REF!</f>
        <v>#REF!</v>
      </c>
      <c r="AV28" s="39" t="e">
        <f>#REF! + Military!$CL$26*#REF!</f>
        <v>#REF!</v>
      </c>
      <c r="AW28" s="39" t="e">
        <f>Military!$CL$24*#REF!+#REF!-#REF!</f>
        <v>#REF!</v>
      </c>
      <c r="AX28" s="39" t="e">
        <f>#REF!-#REF!</f>
        <v>#REF!</v>
      </c>
      <c r="AY28" s="134"/>
      <c r="AZ28" s="61" t="e">
        <f ca="1">IF(#REF!&lt;&gt;"",#REF!,OFFSET(#REF!,-1,0))</f>
        <v>#REF!</v>
      </c>
      <c r="BA28" s="144"/>
      <c r="BB28" s="3" t="e">
        <f>#REF!</f>
        <v>#REF!</v>
      </c>
      <c r="BC28" s="146" t="e">
        <f>-#REF! / 2 + -#REF! * 2 + -#REF! / 2</f>
        <v>#REF!</v>
      </c>
      <c r="BD28" s="146"/>
      <c r="BE28" s="146"/>
      <c r="BF28" s="146"/>
      <c r="BG28" s="147" t="e">
        <f>#REF!</f>
        <v>#REF!</v>
      </c>
      <c r="BH28" s="3" t="e">
        <f>IF(AND(#REF!=0,#REF!=0,#REF!=0,#REF!=0),"",IF(#REF!&gt;0,IF((#REF!+#REF!)/2+#REF!*2+ROUNDUP(#REF!/(1 + tech_2_2*Techs!Y28),0)=0,"Ok","Nope"),IF(#REF!&gt;0,IF((#REF!+#REF!)/2+#REF!*2+ROUNDUP(#REF!/(1 + tech_2_2*Techs!Y28),0)=0,"Ok","Nope"),IF(#REF!&gt;0,IF((#REF!+#REF!)/2+#REF!*2+ROUNDUP(#REF!/(1 + tech_2_2*Techs!Y28),0)=0,"Ok","Nope")))))</f>
        <v>#REF!</v>
      </c>
      <c r="BI28" s="39" t="e">
        <f>#REF!</f>
        <v>#REF!</v>
      </c>
      <c r="BJ28" s="39" t="e">
        <f>#REF!</f>
        <v>#REF!</v>
      </c>
      <c r="BK28" s="39" t="e">
        <f>#REF!</f>
        <v>#REF!</v>
      </c>
      <c r="BL28" s="39" t="e">
        <f>#REF!</f>
        <v>#REF!</v>
      </c>
      <c r="BM28" s="39" t="e">
        <f>#REF!</f>
        <v>#REF!</v>
      </c>
    </row>
    <row r="29" spans="1:65" x14ac:dyDescent="0.25">
      <c r="A29" s="130">
        <v>26</v>
      </c>
      <c r="B29" s="143" t="e">
        <f>#REF!</f>
        <v>#REF!</v>
      </c>
      <c r="C29" s="144"/>
      <c r="D29" s="133"/>
      <c r="E29" s="39" t="e">
        <f>#REF!</f>
        <v>#REF!</v>
      </c>
      <c r="F29" s="39" t="e">
        <f>#REF!</f>
        <v>#REF!</v>
      </c>
      <c r="G29" s="39" t="e">
        <f>#REF!</f>
        <v>#REF!</v>
      </c>
      <c r="H29" s="39" t="e">
        <f ca="1">OFFSET(#REF!,-1,0)+OFFSET(#REF!,-1,0) -#REF! + IF(#REF!,#REF!*4) + SUM(#REF!)*#REF!*tech_3_3_2*#REF!</f>
        <v>#REF!</v>
      </c>
      <c r="I29" s="39" t="e">
        <f ca="1">OFFSET(#REF!,-1,0)+OFFSET(#REF!,-1,0)+ROUNDUP((#REF!*80+#REF!*35)*(1+OFFSET(#REF!,-1,0)),0)</f>
        <v>#REF!</v>
      </c>
      <c r="J29" s="39" t="e">
        <f ca="1">OFFSET(#REF!,-1,0)+OFFSET(#REF!,-1,0) -#REF! + SUM(#REF!)*#REF!*tech_3_3_2*#REF!</f>
        <v>#REF!</v>
      </c>
      <c r="K29" s="39" t="e">
        <f ca="1">OFFSET(#REF!,-1,0)+OFFSET(#REF!,-1,0) -#REF!</f>
        <v>#REF!</v>
      </c>
      <c r="L29" s="39" t="e">
        <f ca="1">OFFSET(#REF!,-1,0)+OFFSET(#REF!,-1,0) -#REF!</f>
        <v>#REF!</v>
      </c>
      <c r="M29" s="39" t="e">
        <f ca="1">OFFSET(#REF!,-1,0)+OFFSET(#REF!,-1,0) -#REF!</f>
        <v>#REF!</v>
      </c>
      <c r="N29" s="39" t="e">
        <f ca="1">OFFSET(#REF!,-1,0)+OFFSET(#REF!,-1,0)</f>
        <v>#REF!</v>
      </c>
      <c r="O29" s="39" t="e">
        <f ca="1">OFFSET(#REF!,-1,0)</f>
        <v>#REF!</v>
      </c>
      <c r="P29" s="39" t="e">
        <f ca="1">ROUNDDOWN(OFFSET(#REF!,-1,0)+(1+research_bonus)*(MIN(#REF!,#REF!*school_max)*(1 - MIN((#REF!/(#REF!-#REF!)),school_max)))-#REF!*#REF!,0) + IF(#REF!&lt;&gt;"",350,0)</f>
        <v>#REF!</v>
      </c>
      <c r="Q29" s="39" t="e">
        <f ca="1">MAX(3750,_xlfn.CEILING.MATH(#REF!*2.5+OFFSET(#REF!,-1,0)*150))</f>
        <v>#REF!</v>
      </c>
      <c r="R29" s="134"/>
      <c r="S29" s="39" t="e">
        <f>ROUNDDOWN(#REF!*(1+#REF!),0)</f>
        <v>#REF!</v>
      </c>
      <c r="T29" s="39" t="e">
        <f>ROUND(#REF!*(1+#REF!)-#REF!-#REF!,0)</f>
        <v>#REF!</v>
      </c>
      <c r="U29" s="39" t="e">
        <f>ROUND(#REF!*(1+#REF!)-#REF!,0)</f>
        <v>#REF!</v>
      </c>
      <c r="V29" s="39" t="e">
        <f>ROUND(#REF!*(1+#REF!)-#REF!,0)</f>
        <v>#REF!</v>
      </c>
      <c r="W29" s="39" t="e">
        <f>ROUNDDOWN(#REF!*(1+#REF!),0)</f>
        <v>#REF!</v>
      </c>
      <c r="X29" s="39" t="e">
        <f>ROUNDDOWN(#REF!*(1+#REF!),0)</f>
        <v>#REF!</v>
      </c>
      <c r="Y29" s="145" t="e">
        <f ca="1">OFFSET(#REF!,1,0)*dock_boats_hr * (1 + tech_4_1*#REF!)</f>
        <v>#REF!</v>
      </c>
      <c r="Z29" s="133"/>
      <c r="AA29" s="39" t="e">
        <f ca="1">#REF!*tax*#REF! + (Construction!AZ30+Construction!BX30)*(alch_plat+(Magic!AM29&gt;0)*alchemist_flame_bonus)</f>
        <v>#REF!</v>
      </c>
      <c r="AB29" s="39" t="e">
        <f>#REF!*farm_food +#REF!* dock_food</f>
        <v>#REF!</v>
      </c>
      <c r="AC29" s="39" t="e">
        <f>#REF!*ly_lumber +#REF!* fh_lumber</f>
        <v>#REF!</v>
      </c>
      <c r="AD29" s="39" t="e">
        <f ca="1">OFFSET(#REF!,1,0)*(tower_mana + tech_4_5*#REF!) + OFFSET(#REF!,1,0)*wg_mana_prod</f>
        <v>#REF!</v>
      </c>
      <c r="AE29" s="39" t="e">
        <f ca="1">OFFSET(#REF!,1,0)*om_ore+IF(race="Dwarf",ROUNDDOWN(#REF!*0.4,0),)</f>
        <v>#REF!</v>
      </c>
      <c r="AF29" s="39" t="e">
        <f ca="1">OFFSET(#REF!,1,0)*dm_gems</f>
        <v>#REF!</v>
      </c>
      <c r="AG29" s="134"/>
      <c r="AH29" s="135" t="e">
        <f>MIN(race_platinum_bonus + IF(#REF!&gt;0,alch_frost_bonus,IF(Magic!AD29&gt;0,midas_bonus)) +#REF! -#REF!*( 0.02 + tech_5_7*#REF!) + tech_1_5*#REF! + tech_4_4*#REF!, 0.5)</f>
        <v>#REF!</v>
      </c>
      <c r="AI29" s="132" t="e">
        <f>(1 + race_food_bonus + IF(#REF!&gt;0,gaias_blessing_food,IF(#REF!&gt;0,gaias_watch_bonus)) +#REF! + tech_1_1*#REF! + tech_1_4*#REF! + tech_5_1*#REF! +#REF!/ 100*prestige_food_bonus*(1 + tech_8_1*#REF!)) - 1</f>
        <v>#REF!</v>
      </c>
      <c r="AJ29" s="135" t="e">
        <f>race_lumber_bonus+ IF(#REF!&gt;0,gaias_blessing_lumber)+ tech_1_3*#REF! + tech_1_6*#REF! + tech_3_3*#REF!</f>
        <v>#REF!</v>
      </c>
      <c r="AK29" s="135" t="e">
        <f>race_mana_bonus+ 0 +#REF! + tech_1_2*#REF! + tech_3_4*#REF!</f>
        <v>#REF!</v>
      </c>
      <c r="AL29" s="135" t="e">
        <f>race_ore_bonus + IF(#REF!&gt;0,miners_sight_bonus,IF(#REF!&gt;0,mining_strength_bonus)) +  tech_1_6*#REF!</f>
        <v>#REF!</v>
      </c>
      <c r="AM29" s="135" t="e">
        <f>race_gem_bonus+ tech_3_2*#REF! + tech_4_3*#REF! + tech_6_2*#REF!</f>
        <v>#REF!</v>
      </c>
      <c r="AN29" s="134"/>
      <c r="AO29" s="39" t="e">
        <f>#REF!*food_decay * (1 + tech_2_1*#REF! + tech_2_8*#REF!)</f>
        <v>#REF!</v>
      </c>
      <c r="AP29" s="39" t="e">
        <f>(1+race_food_consumption)*#REF!*food_per_person*(1+tech_1_10*#REF!+tech_7_5*#REF!)</f>
        <v>#REF!</v>
      </c>
      <c r="AQ29" s="39" t="e">
        <f>#REF!*lumber_rot * (1 + tech_2_1*#REF! + tech_2_8*#REF! + tech_5_2*#REF!)</f>
        <v>#REF!</v>
      </c>
      <c r="AR29" s="39" t="e">
        <f>#REF!*mana_drain * (1 + tech_2_1*#REF! + tech_2_8*#REF!)</f>
        <v>#REF!</v>
      </c>
      <c r="AS29" s="133"/>
      <c r="AT29" s="39" t="e">
        <f>#REF!+#REF!+#REF!+#REF!+#REF!-#REF!</f>
        <v>#REF!</v>
      </c>
      <c r="AU29" s="39" t="e">
        <f>#REF!+#REF!-#REF! + Military!$CL$25*#REF!</f>
        <v>#REF!</v>
      </c>
      <c r="AV29" s="39" t="e">
        <f>#REF! + Military!$CL$26*#REF!</f>
        <v>#REF!</v>
      </c>
      <c r="AW29" s="39" t="e">
        <f>Military!$CL$24*#REF!+#REF!-#REF!</f>
        <v>#REF!</v>
      </c>
      <c r="AX29" s="39" t="e">
        <f>#REF!-#REF!</f>
        <v>#REF!</v>
      </c>
      <c r="AY29" s="134"/>
      <c r="AZ29" s="61" t="e">
        <f ca="1">IF(#REF!&lt;&gt;"",#REF!,OFFSET(#REF!,-1,0))</f>
        <v>#REF!</v>
      </c>
      <c r="BA29" s="144"/>
      <c r="BB29" s="3" t="e">
        <f>#REF!</f>
        <v>#REF!</v>
      </c>
      <c r="BC29" s="146" t="e">
        <f>-#REF! / 2 + -#REF! * 2 + -#REF! / 2</f>
        <v>#REF!</v>
      </c>
      <c r="BD29" s="146"/>
      <c r="BE29" s="146"/>
      <c r="BF29" s="146"/>
      <c r="BG29" s="147" t="e">
        <f>#REF!</f>
        <v>#REF!</v>
      </c>
      <c r="BH29" s="3" t="e">
        <f>IF(AND(#REF!=0,#REF!=0,#REF!=0,#REF!=0),"",IF(#REF!&gt;0,IF((#REF!+#REF!)/2+#REF!*2+ROUNDUP(#REF!/(1 + tech_2_2*Techs!Y29),0)=0,"Ok","Nope"),IF(#REF!&gt;0,IF((#REF!+#REF!)/2+#REF!*2+ROUNDUP(#REF!/(1 + tech_2_2*Techs!Y29),0)=0,"Ok","Nope"),IF(#REF!&gt;0,IF((#REF!+#REF!)/2+#REF!*2+ROUNDUP(#REF!/(1 + tech_2_2*Techs!Y29),0)=0,"Ok","Nope")))))</f>
        <v>#REF!</v>
      </c>
      <c r="BI29" s="39" t="e">
        <f>#REF!</f>
        <v>#REF!</v>
      </c>
      <c r="BJ29" s="39" t="e">
        <f>#REF!</f>
        <v>#REF!</v>
      </c>
      <c r="BK29" s="39" t="e">
        <f>#REF!</f>
        <v>#REF!</v>
      </c>
      <c r="BL29" s="39" t="e">
        <f>#REF!</f>
        <v>#REF!</v>
      </c>
      <c r="BM29" s="39" t="e">
        <f>#REF!</f>
        <v>#REF!</v>
      </c>
    </row>
    <row r="30" spans="1:65" x14ac:dyDescent="0.25">
      <c r="A30" s="130">
        <v>27</v>
      </c>
      <c r="B30" s="143" t="e">
        <f>#REF!</f>
        <v>#REF!</v>
      </c>
      <c r="C30" s="144"/>
      <c r="D30" s="133"/>
      <c r="E30" s="39" t="e">
        <f>#REF!</f>
        <v>#REF!</v>
      </c>
      <c r="F30" s="39" t="e">
        <f>#REF!</f>
        <v>#REF!</v>
      </c>
      <c r="G30" s="39" t="e">
        <f>#REF!</f>
        <v>#REF!</v>
      </c>
      <c r="H30" s="39" t="e">
        <f ca="1">OFFSET(#REF!,-1,0)+OFFSET(#REF!,-1,0) -#REF! + IF(#REF!,#REF!*4) + SUM(#REF!)*#REF!*tech_3_3_2*#REF!</f>
        <v>#REF!</v>
      </c>
      <c r="I30" s="39" t="e">
        <f ca="1">OFFSET(#REF!,-1,0)+OFFSET(#REF!,-1,0)+ROUNDUP((#REF!*80+#REF!*35)*(1+OFFSET(#REF!,-1,0)),0)</f>
        <v>#REF!</v>
      </c>
      <c r="J30" s="39" t="e">
        <f ca="1">OFFSET(#REF!,-1,0)+OFFSET(#REF!,-1,0) -#REF! + SUM(#REF!)*#REF!*tech_3_3_2*#REF!</f>
        <v>#REF!</v>
      </c>
      <c r="K30" s="39" t="e">
        <f ca="1">OFFSET(#REF!,-1,0)+OFFSET(#REF!,-1,0) -#REF!</f>
        <v>#REF!</v>
      </c>
      <c r="L30" s="39" t="e">
        <f ca="1">OFFSET(#REF!,-1,0)+OFFSET(#REF!,-1,0) -#REF!</f>
        <v>#REF!</v>
      </c>
      <c r="M30" s="39" t="e">
        <f ca="1">OFFSET(#REF!,-1,0)+OFFSET(#REF!,-1,0) -#REF!</f>
        <v>#REF!</v>
      </c>
      <c r="N30" s="39" t="e">
        <f ca="1">OFFSET(#REF!,-1,0)+OFFSET(#REF!,-1,0)</f>
        <v>#REF!</v>
      </c>
      <c r="O30" s="39" t="e">
        <f ca="1">OFFSET(#REF!,-1,0)</f>
        <v>#REF!</v>
      </c>
      <c r="P30" s="39" t="e">
        <f ca="1">ROUNDDOWN(OFFSET(#REF!,-1,0)+(1+research_bonus)*(MIN(#REF!,#REF!*school_max)*(1 - MIN((#REF!/(#REF!-#REF!)),school_max)))-#REF!*#REF!,0) + IF(#REF!&lt;&gt;"",350,0)</f>
        <v>#REF!</v>
      </c>
      <c r="Q30" s="39" t="e">
        <f ca="1">MAX(3750,_xlfn.CEILING.MATH(#REF!*2.5+OFFSET(#REF!,-1,0)*150))</f>
        <v>#REF!</v>
      </c>
      <c r="R30" s="134"/>
      <c r="S30" s="39" t="e">
        <f>ROUNDDOWN(#REF!*(1+#REF!),0)</f>
        <v>#REF!</v>
      </c>
      <c r="T30" s="39" t="e">
        <f>ROUND(#REF!*(1+#REF!)-#REF!-#REF!,0)</f>
        <v>#REF!</v>
      </c>
      <c r="U30" s="39" t="e">
        <f>ROUND(#REF!*(1+#REF!)-#REF!,0)</f>
        <v>#REF!</v>
      </c>
      <c r="V30" s="39" t="e">
        <f>ROUND(#REF!*(1+#REF!)-#REF!,0)</f>
        <v>#REF!</v>
      </c>
      <c r="W30" s="39" t="e">
        <f>ROUNDDOWN(#REF!*(1+#REF!),0)</f>
        <v>#REF!</v>
      </c>
      <c r="X30" s="39" t="e">
        <f>ROUNDDOWN(#REF!*(1+#REF!),0)</f>
        <v>#REF!</v>
      </c>
      <c r="Y30" s="145" t="e">
        <f ca="1">OFFSET(#REF!,1,0)*dock_boats_hr * (1 + tech_4_1*#REF!)</f>
        <v>#REF!</v>
      </c>
      <c r="Z30" s="133"/>
      <c r="AA30" s="39" t="e">
        <f ca="1">#REF!*tax*#REF! + (Construction!AZ31+Construction!BX31)*(alch_plat+(Magic!AM30&gt;0)*alchemist_flame_bonus)</f>
        <v>#REF!</v>
      </c>
      <c r="AB30" s="39" t="e">
        <f>#REF!*farm_food +#REF!* dock_food</f>
        <v>#REF!</v>
      </c>
      <c r="AC30" s="39" t="e">
        <f>#REF!*ly_lumber +#REF!* fh_lumber</f>
        <v>#REF!</v>
      </c>
      <c r="AD30" s="39" t="e">
        <f ca="1">OFFSET(#REF!,1,0)*(tower_mana + tech_4_5*#REF!) + OFFSET(#REF!,1,0)*wg_mana_prod</f>
        <v>#REF!</v>
      </c>
      <c r="AE30" s="39" t="e">
        <f ca="1">OFFSET(#REF!,1,0)*om_ore+IF(race="Dwarf",ROUNDDOWN(#REF!*0.4,0),)</f>
        <v>#REF!</v>
      </c>
      <c r="AF30" s="39" t="e">
        <f ca="1">OFFSET(#REF!,1,0)*dm_gems</f>
        <v>#REF!</v>
      </c>
      <c r="AG30" s="134"/>
      <c r="AH30" s="135" t="e">
        <f>MIN(race_platinum_bonus + IF(#REF!&gt;0,alch_frost_bonus,IF(Magic!AD30&gt;0,midas_bonus)) +#REF! -#REF!*( 0.02 + tech_5_7*#REF!) + tech_1_5*#REF! + tech_4_4*#REF!, 0.5)</f>
        <v>#REF!</v>
      </c>
      <c r="AI30" s="132" t="e">
        <f>(1 + race_food_bonus + IF(#REF!&gt;0,gaias_blessing_food,IF(#REF!&gt;0,gaias_watch_bonus)) +#REF! + tech_1_1*#REF! + tech_1_4*#REF! + tech_5_1*#REF! +#REF!/ 100*prestige_food_bonus*(1 + tech_8_1*#REF!)) - 1</f>
        <v>#REF!</v>
      </c>
      <c r="AJ30" s="135" t="e">
        <f>race_lumber_bonus+ IF(#REF!&gt;0,gaias_blessing_lumber)+ tech_1_3*#REF! + tech_1_6*#REF! + tech_3_3*#REF!</f>
        <v>#REF!</v>
      </c>
      <c r="AK30" s="135" t="e">
        <f>race_mana_bonus+ 0 +#REF! + tech_1_2*#REF! + tech_3_4*#REF!</f>
        <v>#REF!</v>
      </c>
      <c r="AL30" s="135" t="e">
        <f>race_ore_bonus + IF(#REF!&gt;0,miners_sight_bonus,IF(#REF!&gt;0,mining_strength_bonus)) +  tech_1_6*#REF!</f>
        <v>#REF!</v>
      </c>
      <c r="AM30" s="135" t="e">
        <f>race_gem_bonus+ tech_3_2*#REF! + tech_4_3*#REF! + tech_6_2*#REF!</f>
        <v>#REF!</v>
      </c>
      <c r="AN30" s="134"/>
      <c r="AO30" s="39" t="e">
        <f>#REF!*food_decay * (1 + tech_2_1*#REF! + tech_2_8*#REF!)</f>
        <v>#REF!</v>
      </c>
      <c r="AP30" s="39" t="e">
        <f>(1+race_food_consumption)*#REF!*food_per_person*(1+tech_1_10*#REF!+tech_7_5*#REF!)</f>
        <v>#REF!</v>
      </c>
      <c r="AQ30" s="39" t="e">
        <f>#REF!*lumber_rot * (1 + tech_2_1*#REF! + tech_2_8*#REF! + tech_5_2*#REF!)</f>
        <v>#REF!</v>
      </c>
      <c r="AR30" s="39" t="e">
        <f>#REF!*mana_drain * (1 + tech_2_1*#REF! + tech_2_8*#REF!)</f>
        <v>#REF!</v>
      </c>
      <c r="AS30" s="133"/>
      <c r="AT30" s="39" t="e">
        <f>#REF!+#REF!+#REF!+#REF!+#REF!-#REF!</f>
        <v>#REF!</v>
      </c>
      <c r="AU30" s="39" t="e">
        <f>#REF!+#REF!-#REF! + Military!$CL$25*#REF!</f>
        <v>#REF!</v>
      </c>
      <c r="AV30" s="39" t="e">
        <f>#REF! + Military!$CL$26*#REF!</f>
        <v>#REF!</v>
      </c>
      <c r="AW30" s="39" t="e">
        <f>Military!$CL$24*#REF!+#REF!-#REF!</f>
        <v>#REF!</v>
      </c>
      <c r="AX30" s="39" t="e">
        <f>#REF!-#REF!</f>
        <v>#REF!</v>
      </c>
      <c r="AY30" s="134"/>
      <c r="AZ30" s="61" t="e">
        <f ca="1">IF(#REF!&lt;&gt;"",#REF!,OFFSET(#REF!,-1,0))</f>
        <v>#REF!</v>
      </c>
      <c r="BA30" s="144"/>
      <c r="BB30" s="3" t="e">
        <f>#REF!</f>
        <v>#REF!</v>
      </c>
      <c r="BC30" s="146" t="e">
        <f>-#REF! / 2 + -#REF! * 2 + -#REF! / 2</f>
        <v>#REF!</v>
      </c>
      <c r="BD30" s="146"/>
      <c r="BE30" s="146"/>
      <c r="BF30" s="146"/>
      <c r="BG30" s="147" t="e">
        <f>#REF!</f>
        <v>#REF!</v>
      </c>
      <c r="BH30" s="3" t="e">
        <f>IF(AND(#REF!=0,#REF!=0,#REF!=0,#REF!=0),"",IF(#REF!&gt;0,IF((#REF!+#REF!)/2+#REF!*2+ROUNDUP(#REF!/(1 + tech_2_2*Techs!Y30),0)=0,"Ok","Nope"),IF(#REF!&gt;0,IF((#REF!+#REF!)/2+#REF!*2+ROUNDUP(#REF!/(1 + tech_2_2*Techs!Y30),0)=0,"Ok","Nope"),IF(#REF!&gt;0,IF((#REF!+#REF!)/2+#REF!*2+ROUNDUP(#REF!/(1 + tech_2_2*Techs!Y30),0)=0,"Ok","Nope")))))</f>
        <v>#REF!</v>
      </c>
      <c r="BI30" s="39" t="e">
        <f>#REF!</f>
        <v>#REF!</v>
      </c>
      <c r="BJ30" s="39" t="e">
        <f>#REF!</f>
        <v>#REF!</v>
      </c>
      <c r="BK30" s="39" t="e">
        <f>#REF!</f>
        <v>#REF!</v>
      </c>
      <c r="BL30" s="39" t="e">
        <f>#REF!</f>
        <v>#REF!</v>
      </c>
      <c r="BM30" s="39" t="e">
        <f>#REF!</f>
        <v>#REF!</v>
      </c>
    </row>
    <row r="31" spans="1:65" x14ac:dyDescent="0.25">
      <c r="A31" s="130">
        <v>28</v>
      </c>
      <c r="B31" s="143" t="e">
        <f>#REF!</f>
        <v>#REF!</v>
      </c>
      <c r="C31" s="144"/>
      <c r="D31" s="133"/>
      <c r="E31" s="39" t="e">
        <f>#REF!</f>
        <v>#REF!</v>
      </c>
      <c r="F31" s="39" t="e">
        <f>#REF!</f>
        <v>#REF!</v>
      </c>
      <c r="G31" s="39" t="e">
        <f>#REF!</f>
        <v>#REF!</v>
      </c>
      <c r="H31" s="39" t="e">
        <f ca="1">OFFSET(#REF!,-1,0)+OFFSET(#REF!,-1,0) -#REF! + IF(#REF!,#REF!*4) + SUM(#REF!)*#REF!*tech_3_3_2*#REF!</f>
        <v>#REF!</v>
      </c>
      <c r="I31" s="39" t="e">
        <f ca="1">OFFSET(#REF!,-1,0)+OFFSET(#REF!,-1,0)+ROUNDUP((#REF!*80+#REF!*35)*(1+OFFSET(#REF!,-1,0)),0)</f>
        <v>#REF!</v>
      </c>
      <c r="J31" s="39" t="e">
        <f ca="1">OFFSET(#REF!,-1,0)+OFFSET(#REF!,-1,0) -#REF! + SUM(#REF!)*#REF!*tech_3_3_2*#REF!</f>
        <v>#REF!</v>
      </c>
      <c r="K31" s="39" t="e">
        <f ca="1">OFFSET(#REF!,-1,0)+OFFSET(#REF!,-1,0) -#REF!</f>
        <v>#REF!</v>
      </c>
      <c r="L31" s="39" t="e">
        <f ca="1">OFFSET(#REF!,-1,0)+OFFSET(#REF!,-1,0) -#REF!</f>
        <v>#REF!</v>
      </c>
      <c r="M31" s="39" t="e">
        <f ca="1">OFFSET(#REF!,-1,0)+OFFSET(#REF!,-1,0) -#REF!</f>
        <v>#REF!</v>
      </c>
      <c r="N31" s="39" t="e">
        <f ca="1">OFFSET(#REF!,-1,0)+OFFSET(#REF!,-1,0)</f>
        <v>#REF!</v>
      </c>
      <c r="O31" s="39" t="e">
        <f ca="1">OFFSET(#REF!,-1,0)</f>
        <v>#REF!</v>
      </c>
      <c r="P31" s="39" t="e">
        <f ca="1">ROUNDDOWN(OFFSET(#REF!,-1,0)+(1+research_bonus)*(MIN(#REF!,#REF!*school_max)*(1 - MIN((#REF!/(#REF!-#REF!)),school_max)))-#REF!*#REF!,0) + IF(#REF!&lt;&gt;"",350,0)</f>
        <v>#REF!</v>
      </c>
      <c r="Q31" s="39" t="e">
        <f ca="1">MAX(3750,_xlfn.CEILING.MATH(#REF!*2.5+OFFSET(#REF!,-1,0)*150))</f>
        <v>#REF!</v>
      </c>
      <c r="R31" s="134"/>
      <c r="S31" s="39" t="e">
        <f>ROUNDDOWN(#REF!*(1+#REF!),0)</f>
        <v>#REF!</v>
      </c>
      <c r="T31" s="39" t="e">
        <f>ROUND(#REF!*(1+#REF!)-#REF!-#REF!,0)</f>
        <v>#REF!</v>
      </c>
      <c r="U31" s="39" t="e">
        <f>ROUND(#REF!*(1+#REF!)-#REF!,0)</f>
        <v>#REF!</v>
      </c>
      <c r="V31" s="39" t="e">
        <f>ROUND(#REF!*(1+#REF!)-#REF!,0)</f>
        <v>#REF!</v>
      </c>
      <c r="W31" s="39" t="e">
        <f>ROUNDDOWN(#REF!*(1+#REF!),0)</f>
        <v>#REF!</v>
      </c>
      <c r="X31" s="39" t="e">
        <f>ROUNDDOWN(#REF!*(1+#REF!),0)</f>
        <v>#REF!</v>
      </c>
      <c r="Y31" s="145" t="e">
        <f ca="1">OFFSET(#REF!,1,0)*dock_boats_hr * (1 + tech_4_1*#REF!)</f>
        <v>#REF!</v>
      </c>
      <c r="Z31" s="133"/>
      <c r="AA31" s="39" t="e">
        <f ca="1">#REF!*tax*#REF! + (Construction!AZ32+Construction!BX32)*(alch_plat+(Magic!AM31&gt;0)*alchemist_flame_bonus)</f>
        <v>#REF!</v>
      </c>
      <c r="AB31" s="39" t="e">
        <f>#REF!*farm_food +#REF!* dock_food</f>
        <v>#REF!</v>
      </c>
      <c r="AC31" s="39" t="e">
        <f>#REF!*ly_lumber +#REF!* fh_lumber</f>
        <v>#REF!</v>
      </c>
      <c r="AD31" s="39" t="e">
        <f ca="1">OFFSET(#REF!,1,0)*(tower_mana + tech_4_5*#REF!) + OFFSET(#REF!,1,0)*wg_mana_prod</f>
        <v>#REF!</v>
      </c>
      <c r="AE31" s="39" t="e">
        <f ca="1">OFFSET(#REF!,1,0)*om_ore+IF(race="Dwarf",ROUNDDOWN(#REF!*0.4,0),)</f>
        <v>#REF!</v>
      </c>
      <c r="AF31" s="39" t="e">
        <f ca="1">OFFSET(#REF!,1,0)*dm_gems</f>
        <v>#REF!</v>
      </c>
      <c r="AG31" s="134"/>
      <c r="AH31" s="135" t="e">
        <f>MIN(race_platinum_bonus + IF(#REF!&gt;0,alch_frost_bonus,IF(Magic!AD31&gt;0,midas_bonus)) +#REF! -#REF!*( 0.02 + tech_5_7*#REF!) + tech_1_5*#REF! + tech_4_4*#REF!, 0.5)</f>
        <v>#REF!</v>
      </c>
      <c r="AI31" s="132" t="e">
        <f>(1 + race_food_bonus + IF(#REF!&gt;0,gaias_blessing_food,IF(#REF!&gt;0,gaias_watch_bonus)) +#REF! + tech_1_1*#REF! + tech_1_4*#REF! + tech_5_1*#REF! +#REF!/ 100*prestige_food_bonus*(1 + tech_8_1*#REF!)) - 1</f>
        <v>#REF!</v>
      </c>
      <c r="AJ31" s="135" t="e">
        <f>race_lumber_bonus+ IF(#REF!&gt;0,gaias_blessing_lumber)+ tech_1_3*#REF! + tech_1_6*#REF! + tech_3_3*#REF!</f>
        <v>#REF!</v>
      </c>
      <c r="AK31" s="135" t="e">
        <f>race_mana_bonus+ 0 +#REF! + tech_1_2*#REF! + tech_3_4*#REF!</f>
        <v>#REF!</v>
      </c>
      <c r="AL31" s="135" t="e">
        <f>race_ore_bonus + IF(#REF!&gt;0,miners_sight_bonus,IF(#REF!&gt;0,mining_strength_bonus)) +  tech_1_6*#REF!</f>
        <v>#REF!</v>
      </c>
      <c r="AM31" s="135" t="e">
        <f>race_gem_bonus+ tech_3_2*#REF! + tech_4_3*#REF! + tech_6_2*#REF!</f>
        <v>#REF!</v>
      </c>
      <c r="AN31" s="134"/>
      <c r="AO31" s="39" t="e">
        <f>#REF!*food_decay * (1 + tech_2_1*#REF! + tech_2_8*#REF!)</f>
        <v>#REF!</v>
      </c>
      <c r="AP31" s="39" t="e">
        <f>(1+race_food_consumption)*#REF!*food_per_person*(1+tech_1_10*#REF!+tech_7_5*#REF!)</f>
        <v>#REF!</v>
      </c>
      <c r="AQ31" s="39" t="e">
        <f>#REF!*lumber_rot * (1 + tech_2_1*#REF! + tech_2_8*#REF! + tech_5_2*#REF!)</f>
        <v>#REF!</v>
      </c>
      <c r="AR31" s="39" t="e">
        <f>#REF!*mana_drain * (1 + tech_2_1*#REF! + tech_2_8*#REF!)</f>
        <v>#REF!</v>
      </c>
      <c r="AS31" s="133"/>
      <c r="AT31" s="39" t="e">
        <f>#REF!+#REF!+#REF!+#REF!+#REF!-#REF!</f>
        <v>#REF!</v>
      </c>
      <c r="AU31" s="39" t="e">
        <f>#REF!+#REF!-#REF! + Military!$CL$25*#REF!</f>
        <v>#REF!</v>
      </c>
      <c r="AV31" s="39" t="e">
        <f>#REF! + Military!$CL$26*#REF!</f>
        <v>#REF!</v>
      </c>
      <c r="AW31" s="39" t="e">
        <f>Military!$CL$24*#REF!+#REF!-#REF!</f>
        <v>#REF!</v>
      </c>
      <c r="AX31" s="39" t="e">
        <f>#REF!-#REF!</f>
        <v>#REF!</v>
      </c>
      <c r="AY31" s="134"/>
      <c r="AZ31" s="61" t="e">
        <f ca="1">IF(#REF!&lt;&gt;"",#REF!,OFFSET(#REF!,-1,0))</f>
        <v>#REF!</v>
      </c>
      <c r="BA31" s="144"/>
      <c r="BB31" s="3" t="e">
        <f>#REF!</f>
        <v>#REF!</v>
      </c>
      <c r="BC31" s="146" t="e">
        <f>-#REF! / 2 + -#REF! * 2 + -#REF! / 2</f>
        <v>#REF!</v>
      </c>
      <c r="BD31" s="146"/>
      <c r="BE31" s="146"/>
      <c r="BF31" s="146"/>
      <c r="BG31" s="147" t="e">
        <f>#REF!</f>
        <v>#REF!</v>
      </c>
      <c r="BH31" s="3" t="e">
        <f>IF(AND(#REF!=0,#REF!=0,#REF!=0,#REF!=0),"",IF(#REF!&gt;0,IF((#REF!+#REF!)/2+#REF!*2+ROUNDUP(#REF!/(1 + tech_2_2*Techs!Y31),0)=0,"Ok","Nope"),IF(#REF!&gt;0,IF((#REF!+#REF!)/2+#REF!*2+ROUNDUP(#REF!/(1 + tech_2_2*Techs!Y31),0)=0,"Ok","Nope"),IF(#REF!&gt;0,IF((#REF!+#REF!)/2+#REF!*2+ROUNDUP(#REF!/(1 + tech_2_2*Techs!Y31),0)=0,"Ok","Nope")))))</f>
        <v>#REF!</v>
      </c>
      <c r="BI31" s="39" t="e">
        <f>#REF!</f>
        <v>#REF!</v>
      </c>
      <c r="BJ31" s="39" t="e">
        <f>#REF!</f>
        <v>#REF!</v>
      </c>
      <c r="BK31" s="39" t="e">
        <f>#REF!</f>
        <v>#REF!</v>
      </c>
      <c r="BL31" s="39" t="e">
        <f>#REF!</f>
        <v>#REF!</v>
      </c>
      <c r="BM31" s="39" t="e">
        <f>#REF!</f>
        <v>#REF!</v>
      </c>
    </row>
    <row r="32" spans="1:65" x14ac:dyDescent="0.25">
      <c r="A32" s="130">
        <v>29</v>
      </c>
      <c r="B32" s="143" t="e">
        <f>#REF!</f>
        <v>#REF!</v>
      </c>
      <c r="C32" s="144"/>
      <c r="D32" s="133"/>
      <c r="E32" s="39" t="e">
        <f>#REF!</f>
        <v>#REF!</v>
      </c>
      <c r="F32" s="39" t="e">
        <f>#REF!</f>
        <v>#REF!</v>
      </c>
      <c r="G32" s="39" t="e">
        <f>#REF!</f>
        <v>#REF!</v>
      </c>
      <c r="H32" s="39" t="e">
        <f ca="1">OFFSET(#REF!,-1,0)+OFFSET(#REF!,-1,0) -#REF! + IF(#REF!,#REF!*4) + SUM(#REF!)*#REF!*tech_3_3_2*#REF!</f>
        <v>#REF!</v>
      </c>
      <c r="I32" s="39" t="e">
        <f ca="1">OFFSET(#REF!,-1,0)+OFFSET(#REF!,-1,0)+ROUNDUP((#REF!*80+#REF!*35)*(1+OFFSET(#REF!,-1,0)),0)</f>
        <v>#REF!</v>
      </c>
      <c r="J32" s="39" t="e">
        <f ca="1">OFFSET(#REF!,-1,0)+OFFSET(#REF!,-1,0) -#REF! + SUM(#REF!)*#REF!*tech_3_3_2*#REF!</f>
        <v>#REF!</v>
      </c>
      <c r="K32" s="39" t="e">
        <f ca="1">OFFSET(#REF!,-1,0)+OFFSET(#REF!,-1,0) -#REF!</f>
        <v>#REF!</v>
      </c>
      <c r="L32" s="39" t="e">
        <f ca="1">OFFSET(#REF!,-1,0)+OFFSET(#REF!,-1,0) -#REF!</f>
        <v>#REF!</v>
      </c>
      <c r="M32" s="39" t="e">
        <f ca="1">OFFSET(#REF!,-1,0)+OFFSET(#REF!,-1,0) -#REF!</f>
        <v>#REF!</v>
      </c>
      <c r="N32" s="39" t="e">
        <f ca="1">OFFSET(#REF!,-1,0)+OFFSET(#REF!,-1,0)</f>
        <v>#REF!</v>
      </c>
      <c r="O32" s="39" t="e">
        <f ca="1">OFFSET(#REF!,-1,0)</f>
        <v>#REF!</v>
      </c>
      <c r="P32" s="39" t="e">
        <f ca="1">ROUNDDOWN(OFFSET(#REF!,-1,0)+(1+research_bonus)*(MIN(#REF!,#REF!*school_max)*(1 - MIN((#REF!/(#REF!-#REF!)),school_max)))-#REF!*#REF!,0) + IF(#REF!&lt;&gt;"",350,0)</f>
        <v>#REF!</v>
      </c>
      <c r="Q32" s="39" t="e">
        <f ca="1">MAX(3750,_xlfn.CEILING.MATH(#REF!*2.5+OFFSET(#REF!,-1,0)*150))</f>
        <v>#REF!</v>
      </c>
      <c r="R32" s="134"/>
      <c r="S32" s="39" t="e">
        <f>ROUNDDOWN(#REF!*(1+#REF!),0)</f>
        <v>#REF!</v>
      </c>
      <c r="T32" s="39" t="e">
        <f>ROUND(#REF!*(1+#REF!)-#REF!-#REF!,0)</f>
        <v>#REF!</v>
      </c>
      <c r="U32" s="39" t="e">
        <f>ROUND(#REF!*(1+#REF!)-#REF!,0)</f>
        <v>#REF!</v>
      </c>
      <c r="V32" s="39" t="e">
        <f>ROUND(#REF!*(1+#REF!)-#REF!,0)</f>
        <v>#REF!</v>
      </c>
      <c r="W32" s="39" t="e">
        <f>ROUNDDOWN(#REF!*(1+#REF!),0)</f>
        <v>#REF!</v>
      </c>
      <c r="X32" s="39" t="e">
        <f>ROUNDDOWN(#REF!*(1+#REF!),0)</f>
        <v>#REF!</v>
      </c>
      <c r="Y32" s="145" t="e">
        <f ca="1">OFFSET(#REF!,1,0)*dock_boats_hr * (1 + tech_4_1*#REF!)</f>
        <v>#REF!</v>
      </c>
      <c r="Z32" s="133"/>
      <c r="AA32" s="39" t="e">
        <f ca="1">#REF!*tax*#REF! + (Construction!AZ33+Construction!BX33)*(alch_plat+(Magic!AM32&gt;0)*alchemist_flame_bonus)</f>
        <v>#REF!</v>
      </c>
      <c r="AB32" s="39" t="e">
        <f>#REF!*farm_food +#REF!* dock_food</f>
        <v>#REF!</v>
      </c>
      <c r="AC32" s="39" t="e">
        <f>#REF!*ly_lumber +#REF!* fh_lumber</f>
        <v>#REF!</v>
      </c>
      <c r="AD32" s="39" t="e">
        <f ca="1">OFFSET(#REF!,1,0)*(tower_mana + tech_4_5*#REF!) + OFFSET(#REF!,1,0)*wg_mana_prod</f>
        <v>#REF!</v>
      </c>
      <c r="AE32" s="39" t="e">
        <f ca="1">OFFSET(#REF!,1,0)*om_ore+IF(race="Dwarf",ROUNDDOWN(#REF!*0.4,0),)</f>
        <v>#REF!</v>
      </c>
      <c r="AF32" s="39" t="e">
        <f ca="1">OFFSET(#REF!,1,0)*dm_gems</f>
        <v>#REF!</v>
      </c>
      <c r="AG32" s="134"/>
      <c r="AH32" s="135" t="e">
        <f>MIN(race_platinum_bonus + IF(#REF!&gt;0,alch_frost_bonus,IF(Magic!AD32&gt;0,midas_bonus)) +#REF! -#REF!*( 0.02 + tech_5_7*#REF!) + tech_1_5*#REF! + tech_4_4*#REF!, 0.5)</f>
        <v>#REF!</v>
      </c>
      <c r="AI32" s="132" t="e">
        <f>(1 + race_food_bonus + IF(#REF!&gt;0,gaias_blessing_food,IF(#REF!&gt;0,gaias_watch_bonus)) +#REF! + tech_1_1*#REF! + tech_1_4*#REF! + tech_5_1*#REF! +#REF!/ 100*prestige_food_bonus*(1 + tech_8_1*#REF!)) - 1</f>
        <v>#REF!</v>
      </c>
      <c r="AJ32" s="135" t="e">
        <f>race_lumber_bonus+ IF(#REF!&gt;0,gaias_blessing_lumber)+ tech_1_3*#REF! + tech_1_6*#REF! + tech_3_3*#REF!</f>
        <v>#REF!</v>
      </c>
      <c r="AK32" s="135" t="e">
        <f>race_mana_bonus+ 0 +#REF! + tech_1_2*#REF! + tech_3_4*#REF!</f>
        <v>#REF!</v>
      </c>
      <c r="AL32" s="135" t="e">
        <f>race_ore_bonus + IF(#REF!&gt;0,miners_sight_bonus,IF(#REF!&gt;0,mining_strength_bonus)) +  tech_1_6*#REF!</f>
        <v>#REF!</v>
      </c>
      <c r="AM32" s="135" t="e">
        <f>race_gem_bonus+ tech_3_2*#REF! + tech_4_3*#REF! + tech_6_2*#REF!</f>
        <v>#REF!</v>
      </c>
      <c r="AN32" s="134"/>
      <c r="AO32" s="39" t="e">
        <f>#REF!*food_decay * (1 + tech_2_1*#REF! + tech_2_8*#REF!)</f>
        <v>#REF!</v>
      </c>
      <c r="AP32" s="39" t="e">
        <f>(1+race_food_consumption)*#REF!*food_per_person*(1+tech_1_10*#REF!+tech_7_5*#REF!)</f>
        <v>#REF!</v>
      </c>
      <c r="AQ32" s="39" t="e">
        <f>#REF!*lumber_rot * (1 + tech_2_1*#REF! + tech_2_8*#REF! + tech_5_2*#REF!)</f>
        <v>#REF!</v>
      </c>
      <c r="AR32" s="39" t="e">
        <f>#REF!*mana_drain * (1 + tech_2_1*#REF! + tech_2_8*#REF!)</f>
        <v>#REF!</v>
      </c>
      <c r="AS32" s="133"/>
      <c r="AT32" s="39" t="e">
        <f>#REF!+#REF!+#REF!+#REF!+#REF!-#REF!</f>
        <v>#REF!</v>
      </c>
      <c r="AU32" s="39" t="e">
        <f>#REF!+#REF!-#REF! + Military!$CL$25*#REF!</f>
        <v>#REF!</v>
      </c>
      <c r="AV32" s="39" t="e">
        <f>#REF! + Military!$CL$26*#REF!</f>
        <v>#REF!</v>
      </c>
      <c r="AW32" s="39" t="e">
        <f>Military!$CL$24*#REF!+#REF!-#REF!</f>
        <v>#REF!</v>
      </c>
      <c r="AX32" s="39" t="e">
        <f>#REF!-#REF!</f>
        <v>#REF!</v>
      </c>
      <c r="AY32" s="134"/>
      <c r="AZ32" s="61" t="e">
        <f ca="1">IF(#REF!&lt;&gt;"",#REF!,OFFSET(#REF!,-1,0))</f>
        <v>#REF!</v>
      </c>
      <c r="BA32" s="144"/>
      <c r="BB32" s="3" t="e">
        <f>#REF!</f>
        <v>#REF!</v>
      </c>
      <c r="BC32" s="146" t="e">
        <f>-#REF! / 2 + -#REF! * 2 + -#REF! / 2</f>
        <v>#REF!</v>
      </c>
      <c r="BD32" s="146"/>
      <c r="BE32" s="146"/>
      <c r="BF32" s="146"/>
      <c r="BG32" s="147" t="e">
        <f>#REF!</f>
        <v>#REF!</v>
      </c>
      <c r="BH32" s="3" t="e">
        <f>IF(AND(#REF!=0,#REF!=0,#REF!=0,#REF!=0),"",IF(#REF!&gt;0,IF((#REF!+#REF!)/2+#REF!*2+ROUNDUP(#REF!/(1 + tech_2_2*Techs!Y32),0)=0,"Ok","Nope"),IF(#REF!&gt;0,IF((#REF!+#REF!)/2+#REF!*2+ROUNDUP(#REF!/(1 + tech_2_2*Techs!Y32),0)=0,"Ok","Nope"),IF(#REF!&gt;0,IF((#REF!+#REF!)/2+#REF!*2+ROUNDUP(#REF!/(1 + tech_2_2*Techs!Y32),0)=0,"Ok","Nope")))))</f>
        <v>#REF!</v>
      </c>
      <c r="BI32" s="39" t="e">
        <f>#REF!</f>
        <v>#REF!</v>
      </c>
      <c r="BJ32" s="39" t="e">
        <f>#REF!</f>
        <v>#REF!</v>
      </c>
      <c r="BK32" s="39" t="e">
        <f>#REF!</f>
        <v>#REF!</v>
      </c>
      <c r="BL32" s="39" t="e">
        <f>#REF!</f>
        <v>#REF!</v>
      </c>
      <c r="BM32" s="39" t="e">
        <f>#REF!</f>
        <v>#REF!</v>
      </c>
    </row>
    <row r="33" spans="1:65" x14ac:dyDescent="0.25">
      <c r="A33" s="130">
        <v>30</v>
      </c>
      <c r="B33" s="143" t="e">
        <f>#REF!</f>
        <v>#REF!</v>
      </c>
      <c r="C33" s="144"/>
      <c r="D33" s="133"/>
      <c r="E33" s="39" t="e">
        <f>#REF!</f>
        <v>#REF!</v>
      </c>
      <c r="F33" s="39" t="e">
        <f>#REF!</f>
        <v>#REF!</v>
      </c>
      <c r="G33" s="39" t="e">
        <f>#REF!</f>
        <v>#REF!</v>
      </c>
      <c r="H33" s="39" t="e">
        <f ca="1">OFFSET(#REF!,-1,0)+OFFSET(#REF!,-1,0) -#REF! + IF(#REF!,#REF!*4) + SUM(#REF!)*#REF!*tech_3_3_2*#REF!</f>
        <v>#REF!</v>
      </c>
      <c r="I33" s="39" t="e">
        <f ca="1">OFFSET(#REF!,-1,0)+OFFSET(#REF!,-1,0)+ROUNDUP((#REF!*80+#REF!*35)*(1+OFFSET(#REF!,-1,0)),0)</f>
        <v>#REF!</v>
      </c>
      <c r="J33" s="39" t="e">
        <f ca="1">OFFSET(#REF!,-1,0)+OFFSET(#REF!,-1,0) -#REF! + SUM(#REF!)*#REF!*tech_3_3_2*#REF!</f>
        <v>#REF!</v>
      </c>
      <c r="K33" s="39" t="e">
        <f ca="1">OFFSET(#REF!,-1,0)+OFFSET(#REF!,-1,0) -#REF!</f>
        <v>#REF!</v>
      </c>
      <c r="L33" s="39" t="e">
        <f ca="1">OFFSET(#REF!,-1,0)+OFFSET(#REF!,-1,0) -#REF!</f>
        <v>#REF!</v>
      </c>
      <c r="M33" s="39" t="e">
        <f ca="1">OFFSET(#REF!,-1,0)+OFFSET(#REF!,-1,0) -#REF!</f>
        <v>#REF!</v>
      </c>
      <c r="N33" s="39" t="e">
        <f ca="1">OFFSET(#REF!,-1,0)+OFFSET(#REF!,-1,0)</f>
        <v>#REF!</v>
      </c>
      <c r="O33" s="39" t="e">
        <f ca="1">OFFSET(#REF!,-1,0)</f>
        <v>#REF!</v>
      </c>
      <c r="P33" s="39" t="e">
        <f ca="1">ROUNDDOWN(OFFSET(#REF!,-1,0)+(1+research_bonus)*(MIN(#REF!,#REF!*school_max)*(1 - MIN((#REF!/(#REF!-#REF!)),school_max)))-#REF!*#REF!,0) + IF(#REF!&lt;&gt;"",350,0)</f>
        <v>#REF!</v>
      </c>
      <c r="Q33" s="39" t="e">
        <f ca="1">MAX(3750,_xlfn.CEILING.MATH(#REF!*2.5+OFFSET(#REF!,-1,0)*150))</f>
        <v>#REF!</v>
      </c>
      <c r="R33" s="134"/>
      <c r="S33" s="39" t="e">
        <f>ROUNDDOWN(#REF!*(1+#REF!),0)</f>
        <v>#REF!</v>
      </c>
      <c r="T33" s="39" t="e">
        <f>ROUND(#REF!*(1+#REF!)-#REF!-#REF!,0)</f>
        <v>#REF!</v>
      </c>
      <c r="U33" s="39" t="e">
        <f>ROUND(#REF!*(1+#REF!)-#REF!,0)</f>
        <v>#REF!</v>
      </c>
      <c r="V33" s="39" t="e">
        <f>ROUND(#REF!*(1+#REF!)-#REF!,0)</f>
        <v>#REF!</v>
      </c>
      <c r="W33" s="39" t="e">
        <f>ROUNDDOWN(#REF!*(1+#REF!),0)</f>
        <v>#REF!</v>
      </c>
      <c r="X33" s="39" t="e">
        <f>ROUNDDOWN(#REF!*(1+#REF!),0)</f>
        <v>#REF!</v>
      </c>
      <c r="Y33" s="145" t="e">
        <f ca="1">OFFSET(#REF!,1,0)*dock_boats_hr * (1 + tech_4_1*#REF!)</f>
        <v>#REF!</v>
      </c>
      <c r="Z33" s="133"/>
      <c r="AA33" s="39" t="e">
        <f ca="1">#REF!*tax*#REF! + (Construction!AZ34+Construction!BX34)*(alch_plat+(Magic!AM33&gt;0)*alchemist_flame_bonus)</f>
        <v>#REF!</v>
      </c>
      <c r="AB33" s="39" t="e">
        <f>#REF!*farm_food +#REF!* dock_food</f>
        <v>#REF!</v>
      </c>
      <c r="AC33" s="39" t="e">
        <f>#REF!*ly_lumber +#REF!* fh_lumber</f>
        <v>#REF!</v>
      </c>
      <c r="AD33" s="39" t="e">
        <f ca="1">OFFSET(#REF!,1,0)*(tower_mana + tech_4_5*#REF!) + OFFSET(#REF!,1,0)*wg_mana_prod</f>
        <v>#REF!</v>
      </c>
      <c r="AE33" s="39" t="e">
        <f ca="1">OFFSET(#REF!,1,0)*om_ore+IF(race="Dwarf",ROUNDDOWN(#REF!*0.4,0),)</f>
        <v>#REF!</v>
      </c>
      <c r="AF33" s="39" t="e">
        <f ca="1">OFFSET(#REF!,1,0)*dm_gems</f>
        <v>#REF!</v>
      </c>
      <c r="AG33" s="134"/>
      <c r="AH33" s="135" t="e">
        <f>MIN(race_platinum_bonus + IF(#REF!&gt;0,alch_frost_bonus,IF(Magic!AD33&gt;0,midas_bonus)) +#REF! -#REF!*( 0.02 + tech_5_7*#REF!) + tech_1_5*#REF! + tech_4_4*#REF!, 0.5)</f>
        <v>#REF!</v>
      </c>
      <c r="AI33" s="132" t="e">
        <f>(1 + race_food_bonus + IF(#REF!&gt;0,gaias_blessing_food,IF(#REF!&gt;0,gaias_watch_bonus)) +#REF! + tech_1_1*#REF! + tech_1_4*#REF! + tech_5_1*#REF! +#REF!/ 100*prestige_food_bonus*(1 + tech_8_1*#REF!)) - 1</f>
        <v>#REF!</v>
      </c>
      <c r="AJ33" s="135" t="e">
        <f>race_lumber_bonus+ IF(#REF!&gt;0,gaias_blessing_lumber)+ tech_1_3*#REF! + tech_1_6*#REF! + tech_3_3*#REF!</f>
        <v>#REF!</v>
      </c>
      <c r="AK33" s="135" t="e">
        <f>race_mana_bonus+ 0 +#REF! + tech_1_2*#REF! + tech_3_4*#REF!</f>
        <v>#REF!</v>
      </c>
      <c r="AL33" s="135" t="e">
        <f>race_ore_bonus + IF(#REF!&gt;0,miners_sight_bonus,IF(#REF!&gt;0,mining_strength_bonus)) +  tech_1_6*#REF!</f>
        <v>#REF!</v>
      </c>
      <c r="AM33" s="135" t="e">
        <f>race_gem_bonus+ tech_3_2*#REF! + tech_4_3*#REF! + tech_6_2*#REF!</f>
        <v>#REF!</v>
      </c>
      <c r="AN33" s="134"/>
      <c r="AO33" s="39" t="e">
        <f>#REF!*food_decay * (1 + tech_2_1*#REF! + tech_2_8*#REF!)</f>
        <v>#REF!</v>
      </c>
      <c r="AP33" s="39" t="e">
        <f>(1+race_food_consumption)*#REF!*food_per_person*(1+tech_1_10*#REF!+tech_7_5*#REF!)</f>
        <v>#REF!</v>
      </c>
      <c r="AQ33" s="39" t="e">
        <f>#REF!*lumber_rot * (1 + tech_2_1*#REF! + tech_2_8*#REF! + tech_5_2*#REF!)</f>
        <v>#REF!</v>
      </c>
      <c r="AR33" s="39" t="e">
        <f>#REF!*mana_drain * (1 + tech_2_1*#REF! + tech_2_8*#REF!)</f>
        <v>#REF!</v>
      </c>
      <c r="AS33" s="133"/>
      <c r="AT33" s="39" t="e">
        <f>#REF!+#REF!+#REF!+#REF!+#REF!-#REF!</f>
        <v>#REF!</v>
      </c>
      <c r="AU33" s="39" t="e">
        <f>#REF!+#REF!-#REF! + Military!$CL$25*#REF!</f>
        <v>#REF!</v>
      </c>
      <c r="AV33" s="39" t="e">
        <f>#REF! + Military!$CL$26*#REF!</f>
        <v>#REF!</v>
      </c>
      <c r="AW33" s="39" t="e">
        <f>Military!$CL$24*#REF!+#REF!-#REF!</f>
        <v>#REF!</v>
      </c>
      <c r="AX33" s="39" t="e">
        <f>#REF!-#REF!</f>
        <v>#REF!</v>
      </c>
      <c r="AY33" s="134"/>
      <c r="AZ33" s="61" t="e">
        <f ca="1">IF(#REF!&lt;&gt;"",#REF!,OFFSET(#REF!,-1,0))</f>
        <v>#REF!</v>
      </c>
      <c r="BA33" s="144"/>
      <c r="BB33" s="3" t="e">
        <f>#REF!</f>
        <v>#REF!</v>
      </c>
      <c r="BC33" s="146" t="e">
        <f>-#REF! / 2 + -#REF! * 2 + -#REF! / 2</f>
        <v>#REF!</v>
      </c>
      <c r="BD33" s="146"/>
      <c r="BE33" s="146"/>
      <c r="BF33" s="146"/>
      <c r="BG33" s="147" t="e">
        <f>#REF!</f>
        <v>#REF!</v>
      </c>
      <c r="BH33" s="3" t="e">
        <f>IF(AND(#REF!=0,#REF!=0,#REF!=0,#REF!=0),"",IF(#REF!&gt;0,IF((#REF!+#REF!)/2+#REF!*2+ROUNDUP(#REF!/(1 + tech_2_2*Techs!Y33),0)=0,"Ok","Nope"),IF(#REF!&gt;0,IF((#REF!+#REF!)/2+#REF!*2+ROUNDUP(#REF!/(1 + tech_2_2*Techs!Y33),0)=0,"Ok","Nope"),IF(#REF!&gt;0,IF((#REF!+#REF!)/2+#REF!*2+ROUNDUP(#REF!/(1 + tech_2_2*Techs!Y33),0)=0,"Ok","Nope")))))</f>
        <v>#REF!</v>
      </c>
      <c r="BI33" s="39" t="e">
        <f>#REF!</f>
        <v>#REF!</v>
      </c>
      <c r="BJ33" s="39" t="e">
        <f>#REF!</f>
        <v>#REF!</v>
      </c>
      <c r="BK33" s="39" t="e">
        <f>#REF!</f>
        <v>#REF!</v>
      </c>
      <c r="BL33" s="39" t="e">
        <f>#REF!</f>
        <v>#REF!</v>
      </c>
      <c r="BM33" s="39" t="e">
        <f>#REF!</f>
        <v>#REF!</v>
      </c>
    </row>
    <row r="34" spans="1:65" x14ac:dyDescent="0.25">
      <c r="A34" s="130">
        <v>31</v>
      </c>
      <c r="B34" s="143" t="e">
        <f>#REF!</f>
        <v>#REF!</v>
      </c>
      <c r="C34" s="144"/>
      <c r="D34" s="133"/>
      <c r="E34" s="39" t="e">
        <f>#REF!</f>
        <v>#REF!</v>
      </c>
      <c r="F34" s="39" t="e">
        <f>#REF!</f>
        <v>#REF!</v>
      </c>
      <c r="G34" s="39" t="e">
        <f>#REF!</f>
        <v>#REF!</v>
      </c>
      <c r="H34" s="39" t="e">
        <f ca="1">OFFSET(#REF!,-1,0)+OFFSET(#REF!,-1,0) -#REF! + IF(#REF!,#REF!*4) + SUM(#REF!)*#REF!*tech_3_3_2*#REF!</f>
        <v>#REF!</v>
      </c>
      <c r="I34" s="39" t="e">
        <f ca="1">OFFSET(#REF!,-1,0)+OFFSET(#REF!,-1,0)+ROUNDUP((#REF!*80+#REF!*35)*(1+OFFSET(#REF!,-1,0)),0)</f>
        <v>#REF!</v>
      </c>
      <c r="J34" s="39" t="e">
        <f ca="1">OFFSET(#REF!,-1,0)+OFFSET(#REF!,-1,0) -#REF! + SUM(#REF!)*#REF!*tech_3_3_2*#REF!</f>
        <v>#REF!</v>
      </c>
      <c r="K34" s="39" t="e">
        <f ca="1">OFFSET(#REF!,-1,0)+OFFSET(#REF!,-1,0) -#REF!</f>
        <v>#REF!</v>
      </c>
      <c r="L34" s="39" t="e">
        <f ca="1">OFFSET(#REF!,-1,0)+OFFSET(#REF!,-1,0) -#REF!</f>
        <v>#REF!</v>
      </c>
      <c r="M34" s="39" t="e">
        <f ca="1">OFFSET(#REF!,-1,0)+OFFSET(#REF!,-1,0) -#REF!</f>
        <v>#REF!</v>
      </c>
      <c r="N34" s="39" t="e">
        <f ca="1">OFFSET(#REF!,-1,0)+OFFSET(#REF!,-1,0)</f>
        <v>#REF!</v>
      </c>
      <c r="O34" s="39" t="e">
        <f ca="1">OFFSET(#REF!,-1,0)</f>
        <v>#REF!</v>
      </c>
      <c r="P34" s="39" t="e">
        <f ca="1">ROUNDDOWN(OFFSET(#REF!,-1,0)+(1+research_bonus)*(MIN(#REF!,#REF!*school_max)*(1 - MIN((#REF!/(#REF!-#REF!)),school_max)))-#REF!*#REF!,0) + IF(#REF!&lt;&gt;"",350,0)</f>
        <v>#REF!</v>
      </c>
      <c r="Q34" s="39" t="e">
        <f ca="1">MAX(3750,_xlfn.CEILING.MATH(#REF!*2.5+OFFSET(#REF!,-1,0)*150))</f>
        <v>#REF!</v>
      </c>
      <c r="R34" s="134"/>
      <c r="S34" s="39" t="e">
        <f>ROUNDDOWN(#REF!*(1+#REF!),0)</f>
        <v>#REF!</v>
      </c>
      <c r="T34" s="39" t="e">
        <f>ROUND(#REF!*(1+#REF!)-#REF!-#REF!,0)</f>
        <v>#REF!</v>
      </c>
      <c r="U34" s="39" t="e">
        <f>ROUND(#REF!*(1+#REF!)-#REF!,0)</f>
        <v>#REF!</v>
      </c>
      <c r="V34" s="39" t="e">
        <f>ROUND(#REF!*(1+#REF!)-#REF!,0)</f>
        <v>#REF!</v>
      </c>
      <c r="W34" s="39" t="e">
        <f>ROUNDDOWN(#REF!*(1+#REF!),0)</f>
        <v>#REF!</v>
      </c>
      <c r="X34" s="39" t="e">
        <f>ROUNDDOWN(#REF!*(1+#REF!),0)</f>
        <v>#REF!</v>
      </c>
      <c r="Y34" s="145" t="e">
        <f ca="1">OFFSET(#REF!,1,0)*dock_boats_hr * (1 + tech_4_1*#REF!)</f>
        <v>#REF!</v>
      </c>
      <c r="Z34" s="133"/>
      <c r="AA34" s="39" t="e">
        <f ca="1">#REF!*tax*#REF! + (Construction!AZ35+Construction!BX35)*(alch_plat+(Magic!AM34&gt;0)*alchemist_flame_bonus)</f>
        <v>#REF!</v>
      </c>
      <c r="AB34" s="39" t="e">
        <f>#REF!*farm_food +#REF!* dock_food</f>
        <v>#REF!</v>
      </c>
      <c r="AC34" s="39" t="e">
        <f>#REF!*ly_lumber +#REF!* fh_lumber</f>
        <v>#REF!</v>
      </c>
      <c r="AD34" s="39" t="e">
        <f ca="1">OFFSET(#REF!,1,0)*(tower_mana + tech_4_5*#REF!) + OFFSET(#REF!,1,0)*wg_mana_prod</f>
        <v>#REF!</v>
      </c>
      <c r="AE34" s="39" t="e">
        <f ca="1">OFFSET(#REF!,1,0)*om_ore+IF(race="Dwarf",ROUNDDOWN(#REF!*0.4,0),)</f>
        <v>#REF!</v>
      </c>
      <c r="AF34" s="39" t="e">
        <f ca="1">OFFSET(#REF!,1,0)*dm_gems</f>
        <v>#REF!</v>
      </c>
      <c r="AG34" s="134"/>
      <c r="AH34" s="135" t="e">
        <f>MIN(race_platinum_bonus + IF(#REF!&gt;0,alch_frost_bonus,IF(Magic!AD34&gt;0,midas_bonus)) +#REF! -#REF!*( 0.02 + tech_5_7*#REF!) + tech_1_5*#REF! + tech_4_4*#REF!, 0.5)</f>
        <v>#REF!</v>
      </c>
      <c r="AI34" s="132" t="e">
        <f>(1 + race_food_bonus + IF(#REF!&gt;0,gaias_blessing_food,IF(#REF!&gt;0,gaias_watch_bonus)) +#REF! + tech_1_1*#REF! + tech_1_4*#REF! + tech_5_1*#REF! +#REF!/ 100*prestige_food_bonus*(1 + tech_8_1*#REF!)) - 1</f>
        <v>#REF!</v>
      </c>
      <c r="AJ34" s="135" t="e">
        <f>race_lumber_bonus+ IF(#REF!&gt;0,gaias_blessing_lumber)+ tech_1_3*#REF! + tech_1_6*#REF! + tech_3_3*#REF!</f>
        <v>#REF!</v>
      </c>
      <c r="AK34" s="135" t="e">
        <f>race_mana_bonus+ 0 +#REF! + tech_1_2*#REF! + tech_3_4*#REF!</f>
        <v>#REF!</v>
      </c>
      <c r="AL34" s="135" t="e">
        <f>race_ore_bonus + IF(#REF!&gt;0,miners_sight_bonus,IF(#REF!&gt;0,mining_strength_bonus)) +  tech_1_6*#REF!</f>
        <v>#REF!</v>
      </c>
      <c r="AM34" s="135" t="e">
        <f>race_gem_bonus+ tech_3_2*#REF! + tech_4_3*#REF! + tech_6_2*#REF!</f>
        <v>#REF!</v>
      </c>
      <c r="AN34" s="134"/>
      <c r="AO34" s="39" t="e">
        <f>#REF!*food_decay * (1 + tech_2_1*#REF! + tech_2_8*#REF!)</f>
        <v>#REF!</v>
      </c>
      <c r="AP34" s="39" t="e">
        <f>(1+race_food_consumption)*#REF!*food_per_person*(1+tech_1_10*#REF!+tech_7_5*#REF!)</f>
        <v>#REF!</v>
      </c>
      <c r="AQ34" s="39" t="e">
        <f>#REF!*lumber_rot * (1 + tech_2_1*#REF! + tech_2_8*#REF! + tech_5_2*#REF!)</f>
        <v>#REF!</v>
      </c>
      <c r="AR34" s="39" t="e">
        <f>#REF!*mana_drain * (1 + tech_2_1*#REF! + tech_2_8*#REF!)</f>
        <v>#REF!</v>
      </c>
      <c r="AS34" s="133"/>
      <c r="AT34" s="39" t="e">
        <f>#REF!+#REF!+#REF!+#REF!+#REF!-#REF!</f>
        <v>#REF!</v>
      </c>
      <c r="AU34" s="39" t="e">
        <f>#REF!+#REF!-#REF! + Military!$CL$25*#REF!</f>
        <v>#REF!</v>
      </c>
      <c r="AV34" s="39" t="e">
        <f>#REF! + Military!$CL$26*#REF!</f>
        <v>#REF!</v>
      </c>
      <c r="AW34" s="39" t="e">
        <f>Military!$CL$24*#REF!+#REF!-#REF!</f>
        <v>#REF!</v>
      </c>
      <c r="AX34" s="39" t="e">
        <f>#REF!-#REF!</f>
        <v>#REF!</v>
      </c>
      <c r="AY34" s="134"/>
      <c r="AZ34" s="61" t="e">
        <f ca="1">IF(#REF!&lt;&gt;"",#REF!,OFFSET(#REF!,-1,0))</f>
        <v>#REF!</v>
      </c>
      <c r="BA34" s="144"/>
      <c r="BB34" s="3" t="e">
        <f>#REF!</f>
        <v>#REF!</v>
      </c>
      <c r="BC34" s="146" t="e">
        <f>-#REF! / 2 + -#REF! * 2 + -#REF! / 2</f>
        <v>#REF!</v>
      </c>
      <c r="BD34" s="146"/>
      <c r="BE34" s="146"/>
      <c r="BF34" s="146"/>
      <c r="BG34" s="147" t="e">
        <f>#REF!</f>
        <v>#REF!</v>
      </c>
      <c r="BH34" s="3" t="e">
        <f>IF(AND(#REF!=0,#REF!=0,#REF!=0,#REF!=0),"",IF(#REF!&gt;0,IF((#REF!+#REF!)/2+#REF!*2+ROUNDUP(#REF!/(1 + tech_2_2*Techs!Y34),0)=0,"Ok","Nope"),IF(#REF!&gt;0,IF((#REF!+#REF!)/2+#REF!*2+ROUNDUP(#REF!/(1 + tech_2_2*Techs!Y34),0)=0,"Ok","Nope"),IF(#REF!&gt;0,IF((#REF!+#REF!)/2+#REF!*2+ROUNDUP(#REF!/(1 + tech_2_2*Techs!Y34),0)=0,"Ok","Nope")))))</f>
        <v>#REF!</v>
      </c>
      <c r="BI34" s="39" t="e">
        <f>#REF!</f>
        <v>#REF!</v>
      </c>
      <c r="BJ34" s="39" t="e">
        <f>#REF!</f>
        <v>#REF!</v>
      </c>
      <c r="BK34" s="39" t="e">
        <f>#REF!</f>
        <v>#REF!</v>
      </c>
      <c r="BL34" s="39" t="e">
        <f>#REF!</f>
        <v>#REF!</v>
      </c>
      <c r="BM34" s="39" t="e">
        <f>#REF!</f>
        <v>#REF!</v>
      </c>
    </row>
    <row r="35" spans="1:65" x14ac:dyDescent="0.25">
      <c r="A35" s="130">
        <v>32</v>
      </c>
      <c r="B35" s="143" t="e">
        <f>#REF!</f>
        <v>#REF!</v>
      </c>
      <c r="C35" s="144"/>
      <c r="D35" s="133"/>
      <c r="E35" s="39" t="e">
        <f>#REF!</f>
        <v>#REF!</v>
      </c>
      <c r="F35" s="39" t="e">
        <f>#REF!</f>
        <v>#REF!</v>
      </c>
      <c r="G35" s="39" t="e">
        <f>#REF!</f>
        <v>#REF!</v>
      </c>
      <c r="H35" s="39" t="e">
        <f ca="1">OFFSET(#REF!,-1,0)+OFFSET(#REF!,-1,0) -#REF! + IF(#REF!,#REF!*4) + SUM(#REF!)*#REF!*tech_3_3_2*#REF!</f>
        <v>#REF!</v>
      </c>
      <c r="I35" s="39" t="e">
        <f ca="1">OFFSET(#REF!,-1,0)+OFFSET(#REF!,-1,0)+ROUNDUP((#REF!*80+#REF!*35)*(1+OFFSET(#REF!,-1,0)),0)</f>
        <v>#REF!</v>
      </c>
      <c r="J35" s="39" t="e">
        <f ca="1">OFFSET(#REF!,-1,0)+OFFSET(#REF!,-1,0) -#REF! + SUM(#REF!)*#REF!*tech_3_3_2*#REF!</f>
        <v>#REF!</v>
      </c>
      <c r="K35" s="39" t="e">
        <f ca="1">OFFSET(#REF!,-1,0)+OFFSET(#REF!,-1,0) -#REF!</f>
        <v>#REF!</v>
      </c>
      <c r="L35" s="39" t="e">
        <f ca="1">OFFSET(#REF!,-1,0)+OFFSET(#REF!,-1,0) -#REF!</f>
        <v>#REF!</v>
      </c>
      <c r="M35" s="39" t="e">
        <f ca="1">OFFSET(#REF!,-1,0)+OFFSET(#REF!,-1,0) -#REF!</f>
        <v>#REF!</v>
      </c>
      <c r="N35" s="39" t="e">
        <f ca="1">OFFSET(#REF!,-1,0)+OFFSET(#REF!,-1,0)</f>
        <v>#REF!</v>
      </c>
      <c r="O35" s="39" t="e">
        <f ca="1">OFFSET(#REF!,-1,0)</f>
        <v>#REF!</v>
      </c>
      <c r="P35" s="39" t="e">
        <f ca="1">ROUNDDOWN(OFFSET(#REF!,-1,0)+(1+research_bonus)*(MIN(#REF!,#REF!*school_max)*(1 - MIN((#REF!/(#REF!-#REF!)),school_max)))-#REF!*#REF!,0) + IF(#REF!&lt;&gt;"",350,0)</f>
        <v>#REF!</v>
      </c>
      <c r="Q35" s="39" t="e">
        <f ca="1">MAX(3750,_xlfn.CEILING.MATH(#REF!*2.5+OFFSET(#REF!,-1,0)*150))</f>
        <v>#REF!</v>
      </c>
      <c r="R35" s="134"/>
      <c r="S35" s="39" t="e">
        <f>ROUNDDOWN(#REF!*(1+#REF!),0)</f>
        <v>#REF!</v>
      </c>
      <c r="T35" s="39" t="e">
        <f>ROUND(#REF!*(1+#REF!)-#REF!-#REF!,0)</f>
        <v>#REF!</v>
      </c>
      <c r="U35" s="39" t="e">
        <f>ROUND(#REF!*(1+#REF!)-#REF!,0)</f>
        <v>#REF!</v>
      </c>
      <c r="V35" s="39" t="e">
        <f>ROUND(#REF!*(1+#REF!)-#REF!,0)</f>
        <v>#REF!</v>
      </c>
      <c r="W35" s="39" t="e">
        <f>ROUNDDOWN(#REF!*(1+#REF!),0)</f>
        <v>#REF!</v>
      </c>
      <c r="X35" s="39" t="e">
        <f>ROUNDDOWN(#REF!*(1+#REF!),0)</f>
        <v>#REF!</v>
      </c>
      <c r="Y35" s="145" t="e">
        <f ca="1">OFFSET(#REF!,1,0)*dock_boats_hr * (1 + tech_4_1*#REF!)</f>
        <v>#REF!</v>
      </c>
      <c r="Z35" s="133"/>
      <c r="AA35" s="39" t="e">
        <f ca="1">#REF!*tax*#REF! + (Construction!AZ36+Construction!BX36)*(alch_plat+(Magic!AM35&gt;0)*alchemist_flame_bonus)</f>
        <v>#REF!</v>
      </c>
      <c r="AB35" s="39" t="e">
        <f>#REF!*farm_food +#REF!* dock_food</f>
        <v>#REF!</v>
      </c>
      <c r="AC35" s="39" t="e">
        <f>#REF!*ly_lumber +#REF!* fh_lumber</f>
        <v>#REF!</v>
      </c>
      <c r="AD35" s="39" t="e">
        <f ca="1">OFFSET(#REF!,1,0)*(tower_mana + tech_4_5*#REF!) + OFFSET(#REF!,1,0)*wg_mana_prod</f>
        <v>#REF!</v>
      </c>
      <c r="AE35" s="39" t="e">
        <f ca="1">OFFSET(#REF!,1,0)*om_ore+IF(race="Dwarf",ROUNDDOWN(#REF!*0.4,0),)</f>
        <v>#REF!</v>
      </c>
      <c r="AF35" s="39" t="e">
        <f ca="1">OFFSET(#REF!,1,0)*dm_gems</f>
        <v>#REF!</v>
      </c>
      <c r="AG35" s="134"/>
      <c r="AH35" s="135" t="e">
        <f>MIN(race_platinum_bonus + IF(#REF!&gt;0,alch_frost_bonus,IF(Magic!AD35&gt;0,midas_bonus)) +#REF! -#REF!*( 0.02 + tech_5_7*#REF!) + tech_1_5*#REF! + tech_4_4*#REF!, 0.5)</f>
        <v>#REF!</v>
      </c>
      <c r="AI35" s="132" t="e">
        <f>(1 + race_food_bonus + IF(#REF!&gt;0,gaias_blessing_food,IF(#REF!&gt;0,gaias_watch_bonus)) +#REF! + tech_1_1*#REF! + tech_1_4*#REF! + tech_5_1*#REF! +#REF!/ 100*prestige_food_bonus*(1 + tech_8_1*#REF!)) - 1</f>
        <v>#REF!</v>
      </c>
      <c r="AJ35" s="135" t="e">
        <f>race_lumber_bonus+ IF(#REF!&gt;0,gaias_blessing_lumber)+ tech_1_3*#REF! + tech_1_6*#REF! + tech_3_3*#REF!</f>
        <v>#REF!</v>
      </c>
      <c r="AK35" s="135" t="e">
        <f>race_mana_bonus+ 0 +#REF! + tech_1_2*#REF! + tech_3_4*#REF!</f>
        <v>#REF!</v>
      </c>
      <c r="AL35" s="135" t="e">
        <f>race_ore_bonus + IF(#REF!&gt;0,miners_sight_bonus,IF(#REF!&gt;0,mining_strength_bonus)) +  tech_1_6*#REF!</f>
        <v>#REF!</v>
      </c>
      <c r="AM35" s="135" t="e">
        <f>race_gem_bonus+ tech_3_2*#REF! + tech_4_3*#REF! + tech_6_2*#REF!</f>
        <v>#REF!</v>
      </c>
      <c r="AN35" s="134"/>
      <c r="AO35" s="39" t="e">
        <f>#REF!*food_decay * (1 + tech_2_1*#REF! + tech_2_8*#REF!)</f>
        <v>#REF!</v>
      </c>
      <c r="AP35" s="39" t="e">
        <f>(1+race_food_consumption)*#REF!*food_per_person*(1+tech_1_10*#REF!+tech_7_5*#REF!)</f>
        <v>#REF!</v>
      </c>
      <c r="AQ35" s="39" t="e">
        <f>#REF!*lumber_rot * (1 + tech_2_1*#REF! + tech_2_8*#REF! + tech_5_2*#REF!)</f>
        <v>#REF!</v>
      </c>
      <c r="AR35" s="39" t="e">
        <f>#REF!*mana_drain * (1 + tech_2_1*#REF! + tech_2_8*#REF!)</f>
        <v>#REF!</v>
      </c>
      <c r="AS35" s="133"/>
      <c r="AT35" s="39" t="e">
        <f>#REF!+#REF!+#REF!+#REF!+#REF!-#REF!</f>
        <v>#REF!</v>
      </c>
      <c r="AU35" s="39" t="e">
        <f>#REF!+#REF!-#REF! + Military!$CL$25*#REF!</f>
        <v>#REF!</v>
      </c>
      <c r="AV35" s="39" t="e">
        <f>#REF! + Military!$CL$26*#REF!</f>
        <v>#REF!</v>
      </c>
      <c r="AW35" s="39" t="e">
        <f>Military!$CL$24*#REF!+#REF!-#REF!</f>
        <v>#REF!</v>
      </c>
      <c r="AX35" s="39" t="e">
        <f>#REF!-#REF!</f>
        <v>#REF!</v>
      </c>
      <c r="AY35" s="134"/>
      <c r="AZ35" s="61" t="e">
        <f ca="1">IF(#REF!&lt;&gt;"",#REF!,OFFSET(#REF!,-1,0))</f>
        <v>#REF!</v>
      </c>
      <c r="BA35" s="144"/>
      <c r="BB35" s="3" t="e">
        <f>#REF!</f>
        <v>#REF!</v>
      </c>
      <c r="BC35" s="146" t="e">
        <f>-#REF! / 2 + -#REF! * 2 + -#REF! / 2</f>
        <v>#REF!</v>
      </c>
      <c r="BD35" s="146"/>
      <c r="BE35" s="146"/>
      <c r="BF35" s="146"/>
      <c r="BG35" s="147" t="e">
        <f>#REF!</f>
        <v>#REF!</v>
      </c>
      <c r="BH35" s="3" t="e">
        <f>IF(AND(#REF!=0,#REF!=0,#REF!=0,#REF!=0),"",IF(#REF!&gt;0,IF((#REF!+#REF!)/2+#REF!*2+ROUNDUP(#REF!/(1 + tech_2_2*Techs!Y35),0)=0,"Ok","Nope"),IF(#REF!&gt;0,IF((#REF!+#REF!)/2+#REF!*2+ROUNDUP(#REF!/(1 + tech_2_2*Techs!Y35),0)=0,"Ok","Nope"),IF(#REF!&gt;0,IF((#REF!+#REF!)/2+#REF!*2+ROUNDUP(#REF!/(1 + tech_2_2*Techs!Y35),0)=0,"Ok","Nope")))))</f>
        <v>#REF!</v>
      </c>
      <c r="BI35" s="39" t="e">
        <f>#REF!</f>
        <v>#REF!</v>
      </c>
      <c r="BJ35" s="39" t="e">
        <f>#REF!</f>
        <v>#REF!</v>
      </c>
      <c r="BK35" s="39" t="e">
        <f>#REF!</f>
        <v>#REF!</v>
      </c>
      <c r="BL35" s="39" t="e">
        <f>#REF!</f>
        <v>#REF!</v>
      </c>
      <c r="BM35" s="39" t="e">
        <f>#REF!</f>
        <v>#REF!</v>
      </c>
    </row>
    <row r="36" spans="1:65" x14ac:dyDescent="0.25">
      <c r="A36" s="130">
        <v>33</v>
      </c>
      <c r="B36" s="143" t="e">
        <f>#REF!</f>
        <v>#REF!</v>
      </c>
      <c r="C36" s="144"/>
      <c r="D36" s="133"/>
      <c r="E36" s="39" t="e">
        <f>#REF!</f>
        <v>#REF!</v>
      </c>
      <c r="F36" s="39" t="e">
        <f>#REF!</f>
        <v>#REF!</v>
      </c>
      <c r="G36" s="39" t="e">
        <f>#REF!</f>
        <v>#REF!</v>
      </c>
      <c r="H36" s="39" t="e">
        <f ca="1">OFFSET(#REF!,-1,0)+OFFSET(#REF!,-1,0) -#REF! + IF(#REF!,#REF!*4) + SUM(#REF!)*#REF!*tech_3_3_2*#REF!</f>
        <v>#REF!</v>
      </c>
      <c r="I36" s="39" t="e">
        <f ca="1">OFFSET(#REF!,-1,0)+OFFSET(#REF!,-1,0)+ROUNDUP((#REF!*80+#REF!*35)*(1+OFFSET(#REF!,-1,0)),0)</f>
        <v>#REF!</v>
      </c>
      <c r="J36" s="39" t="e">
        <f ca="1">OFFSET(#REF!,-1,0)+OFFSET(#REF!,-1,0) -#REF! + SUM(#REF!)*#REF!*tech_3_3_2*#REF!</f>
        <v>#REF!</v>
      </c>
      <c r="K36" s="39" t="e">
        <f ca="1">OFFSET(#REF!,-1,0)+OFFSET(#REF!,-1,0) -#REF!</f>
        <v>#REF!</v>
      </c>
      <c r="L36" s="39" t="e">
        <f ca="1">OFFSET(#REF!,-1,0)+OFFSET(#REF!,-1,0) -#REF!</f>
        <v>#REF!</v>
      </c>
      <c r="M36" s="39" t="e">
        <f ca="1">OFFSET(#REF!,-1,0)+OFFSET(#REF!,-1,0) -#REF!</f>
        <v>#REF!</v>
      </c>
      <c r="N36" s="39" t="e">
        <f ca="1">OFFSET(#REF!,-1,0)+OFFSET(#REF!,-1,0)</f>
        <v>#REF!</v>
      </c>
      <c r="O36" s="39" t="e">
        <f ca="1">OFFSET(#REF!,-1,0)</f>
        <v>#REF!</v>
      </c>
      <c r="P36" s="39" t="e">
        <f ca="1">ROUNDDOWN(OFFSET(#REF!,-1,0)+(1+research_bonus)*(MIN(#REF!,#REF!*school_max)*(1 - MIN((#REF!/(#REF!-#REF!)),school_max)))-#REF!*#REF!,0) + IF(#REF!&lt;&gt;"",350,0)</f>
        <v>#REF!</v>
      </c>
      <c r="Q36" s="39" t="e">
        <f ca="1">MAX(3750,_xlfn.CEILING.MATH(#REF!*2.5+OFFSET(#REF!,-1,0)*150))</f>
        <v>#REF!</v>
      </c>
      <c r="R36" s="134"/>
      <c r="S36" s="39" t="e">
        <f>ROUNDDOWN(#REF!*(1+#REF!),0)</f>
        <v>#REF!</v>
      </c>
      <c r="T36" s="39" t="e">
        <f>ROUND(#REF!*(1+#REF!)-#REF!-#REF!,0)</f>
        <v>#REF!</v>
      </c>
      <c r="U36" s="39" t="e">
        <f>ROUND(#REF!*(1+#REF!)-#REF!,0)</f>
        <v>#REF!</v>
      </c>
      <c r="V36" s="39" t="e">
        <f>ROUND(#REF!*(1+#REF!)-#REF!,0)</f>
        <v>#REF!</v>
      </c>
      <c r="W36" s="39" t="e">
        <f>ROUNDDOWN(#REF!*(1+#REF!),0)</f>
        <v>#REF!</v>
      </c>
      <c r="X36" s="39" t="e">
        <f>ROUNDDOWN(#REF!*(1+#REF!),0)</f>
        <v>#REF!</v>
      </c>
      <c r="Y36" s="145" t="e">
        <f ca="1">OFFSET(#REF!,1,0)*dock_boats_hr * (1 + tech_4_1*#REF!)</f>
        <v>#REF!</v>
      </c>
      <c r="Z36" s="133"/>
      <c r="AA36" s="39" t="e">
        <f ca="1">#REF!*tax*#REF! + (Construction!AZ37+Construction!BX37)*(alch_plat+(Magic!AM36&gt;0)*alchemist_flame_bonus)</f>
        <v>#REF!</v>
      </c>
      <c r="AB36" s="39" t="e">
        <f>#REF!*farm_food +#REF!* dock_food</f>
        <v>#REF!</v>
      </c>
      <c r="AC36" s="39" t="e">
        <f>#REF!*ly_lumber +#REF!* fh_lumber</f>
        <v>#REF!</v>
      </c>
      <c r="AD36" s="39" t="e">
        <f ca="1">OFFSET(#REF!,1,0)*(tower_mana + tech_4_5*#REF!) + OFFSET(#REF!,1,0)*wg_mana_prod</f>
        <v>#REF!</v>
      </c>
      <c r="AE36" s="39" t="e">
        <f ca="1">OFFSET(#REF!,1,0)*om_ore+IF(race="Dwarf",ROUNDDOWN(#REF!*0.4,0),)</f>
        <v>#REF!</v>
      </c>
      <c r="AF36" s="39" t="e">
        <f ca="1">OFFSET(#REF!,1,0)*dm_gems</f>
        <v>#REF!</v>
      </c>
      <c r="AG36" s="134"/>
      <c r="AH36" s="135" t="e">
        <f>MIN(race_platinum_bonus + IF(#REF!&gt;0,alch_frost_bonus,IF(Magic!AD36&gt;0,midas_bonus)) +#REF! -#REF!*( 0.02 + tech_5_7*#REF!) + tech_1_5*#REF! + tech_4_4*#REF!, 0.5)</f>
        <v>#REF!</v>
      </c>
      <c r="AI36" s="132" t="e">
        <f>(1 + race_food_bonus + IF(#REF!&gt;0,gaias_blessing_food,IF(#REF!&gt;0,gaias_watch_bonus)) +#REF! + tech_1_1*#REF! + tech_1_4*#REF! + tech_5_1*#REF! +#REF!/ 100*prestige_food_bonus*(1 + tech_8_1*#REF!)) - 1</f>
        <v>#REF!</v>
      </c>
      <c r="AJ36" s="135" t="e">
        <f>race_lumber_bonus+ IF(#REF!&gt;0,gaias_blessing_lumber)+ tech_1_3*#REF! + tech_1_6*#REF! + tech_3_3*#REF!</f>
        <v>#REF!</v>
      </c>
      <c r="AK36" s="135" t="e">
        <f>race_mana_bonus+ 0 +#REF! + tech_1_2*#REF! + tech_3_4*#REF!</f>
        <v>#REF!</v>
      </c>
      <c r="AL36" s="135" t="e">
        <f>race_ore_bonus + IF(#REF!&gt;0,miners_sight_bonus,IF(#REF!&gt;0,mining_strength_bonus)) +  tech_1_6*#REF!</f>
        <v>#REF!</v>
      </c>
      <c r="AM36" s="135" t="e">
        <f>race_gem_bonus+ tech_3_2*#REF! + tech_4_3*#REF! + tech_6_2*#REF!</f>
        <v>#REF!</v>
      </c>
      <c r="AN36" s="134"/>
      <c r="AO36" s="39" t="e">
        <f>#REF!*food_decay * (1 + tech_2_1*#REF! + tech_2_8*#REF!)</f>
        <v>#REF!</v>
      </c>
      <c r="AP36" s="39" t="e">
        <f>(1+race_food_consumption)*#REF!*food_per_person*(1+tech_1_10*#REF!+tech_7_5*#REF!)</f>
        <v>#REF!</v>
      </c>
      <c r="AQ36" s="39" t="e">
        <f>#REF!*lumber_rot * (1 + tech_2_1*#REF! + tech_2_8*#REF! + tech_5_2*#REF!)</f>
        <v>#REF!</v>
      </c>
      <c r="AR36" s="39" t="e">
        <f>#REF!*mana_drain * (1 + tech_2_1*#REF! + tech_2_8*#REF!)</f>
        <v>#REF!</v>
      </c>
      <c r="AS36" s="133"/>
      <c r="AT36" s="39" t="e">
        <f>#REF!+#REF!+#REF!+#REF!+#REF!-#REF!</f>
        <v>#REF!</v>
      </c>
      <c r="AU36" s="39" t="e">
        <f>#REF!+#REF!-#REF! + Military!$CL$25*#REF!</f>
        <v>#REF!</v>
      </c>
      <c r="AV36" s="39" t="e">
        <f>#REF! + Military!$CL$26*#REF!</f>
        <v>#REF!</v>
      </c>
      <c r="AW36" s="39" t="e">
        <f>Military!$CL$24*#REF!+#REF!-#REF!</f>
        <v>#REF!</v>
      </c>
      <c r="AX36" s="39" t="e">
        <f>#REF!-#REF!</f>
        <v>#REF!</v>
      </c>
      <c r="AY36" s="134"/>
      <c r="AZ36" s="61" t="e">
        <f ca="1">IF(#REF!&lt;&gt;"",#REF!,OFFSET(#REF!,-1,0))</f>
        <v>#REF!</v>
      </c>
      <c r="BA36" s="144"/>
      <c r="BB36" s="3" t="e">
        <f>#REF!</f>
        <v>#REF!</v>
      </c>
      <c r="BC36" s="146" t="e">
        <f>-#REF! / 2 + -#REF! * 2 + -#REF! / 2</f>
        <v>#REF!</v>
      </c>
      <c r="BD36" s="146"/>
      <c r="BE36" s="146"/>
      <c r="BF36" s="146"/>
      <c r="BG36" s="147" t="e">
        <f>#REF!</f>
        <v>#REF!</v>
      </c>
      <c r="BH36" s="3" t="e">
        <f>IF(AND(#REF!=0,#REF!=0,#REF!=0,#REF!=0),"",IF(#REF!&gt;0,IF((#REF!+#REF!)/2+#REF!*2+ROUNDUP(#REF!/(1 + tech_2_2*Techs!Y36),0)=0,"Ok","Nope"),IF(#REF!&gt;0,IF((#REF!+#REF!)/2+#REF!*2+ROUNDUP(#REF!/(1 + tech_2_2*Techs!Y36),0)=0,"Ok","Nope"),IF(#REF!&gt;0,IF((#REF!+#REF!)/2+#REF!*2+ROUNDUP(#REF!/(1 + tech_2_2*Techs!Y36),0)=0,"Ok","Nope")))))</f>
        <v>#REF!</v>
      </c>
      <c r="BI36" s="39" t="e">
        <f>#REF!</f>
        <v>#REF!</v>
      </c>
      <c r="BJ36" s="39" t="e">
        <f>#REF!</f>
        <v>#REF!</v>
      </c>
      <c r="BK36" s="39" t="e">
        <f>#REF!</f>
        <v>#REF!</v>
      </c>
      <c r="BL36" s="39" t="e">
        <f>#REF!</f>
        <v>#REF!</v>
      </c>
      <c r="BM36" s="39" t="e">
        <f>#REF!</f>
        <v>#REF!</v>
      </c>
    </row>
    <row r="37" spans="1:65" x14ac:dyDescent="0.25">
      <c r="A37" s="130">
        <v>34</v>
      </c>
      <c r="B37" s="143" t="e">
        <f>#REF!</f>
        <v>#REF!</v>
      </c>
      <c r="C37" s="144"/>
      <c r="D37" s="133"/>
      <c r="E37" s="39" t="e">
        <f>#REF!</f>
        <v>#REF!</v>
      </c>
      <c r="F37" s="39" t="e">
        <f>#REF!</f>
        <v>#REF!</v>
      </c>
      <c r="G37" s="39" t="e">
        <f>#REF!</f>
        <v>#REF!</v>
      </c>
      <c r="H37" s="39" t="e">
        <f ca="1">OFFSET(#REF!,-1,0)+OFFSET(#REF!,-1,0) -#REF! + IF(#REF!,#REF!*4) + SUM(#REF!)*#REF!*tech_3_3_2*#REF!</f>
        <v>#REF!</v>
      </c>
      <c r="I37" s="39" t="e">
        <f ca="1">OFFSET(#REF!,-1,0)+OFFSET(#REF!,-1,0)+ROUNDUP((#REF!*80+#REF!*35)*(1+OFFSET(#REF!,-1,0)),0)</f>
        <v>#REF!</v>
      </c>
      <c r="J37" s="39" t="e">
        <f ca="1">OFFSET(#REF!,-1,0)+OFFSET(#REF!,-1,0) -#REF! + SUM(#REF!)*#REF!*tech_3_3_2*#REF!</f>
        <v>#REF!</v>
      </c>
      <c r="K37" s="39" t="e">
        <f ca="1">OFFSET(#REF!,-1,0)+OFFSET(#REF!,-1,0) -#REF!</f>
        <v>#REF!</v>
      </c>
      <c r="L37" s="39" t="e">
        <f ca="1">OFFSET(#REF!,-1,0)+OFFSET(#REF!,-1,0) -#REF!</f>
        <v>#REF!</v>
      </c>
      <c r="M37" s="39" t="e">
        <f ca="1">OFFSET(#REF!,-1,0)+OFFSET(#REF!,-1,0) -#REF!</f>
        <v>#REF!</v>
      </c>
      <c r="N37" s="39" t="e">
        <f ca="1">OFFSET(#REF!,-1,0)+OFFSET(#REF!,-1,0)</f>
        <v>#REF!</v>
      </c>
      <c r="O37" s="39" t="e">
        <f ca="1">OFFSET(#REF!,-1,0)</f>
        <v>#REF!</v>
      </c>
      <c r="P37" s="39" t="e">
        <f ca="1">ROUNDDOWN(OFFSET(#REF!,-1,0)+(1+research_bonus)*(MIN(#REF!,#REF!*school_max)*(1 - MIN((#REF!/(#REF!-#REF!)),school_max)))-#REF!*#REF!,0) + IF(#REF!&lt;&gt;"",350,0)</f>
        <v>#REF!</v>
      </c>
      <c r="Q37" s="39" t="e">
        <f ca="1">MAX(3750,_xlfn.CEILING.MATH(#REF!*2.5+OFFSET(#REF!,-1,0)*150))</f>
        <v>#REF!</v>
      </c>
      <c r="R37" s="134"/>
      <c r="S37" s="39" t="e">
        <f>ROUNDDOWN(#REF!*(1+#REF!),0)</f>
        <v>#REF!</v>
      </c>
      <c r="T37" s="39" t="e">
        <f>ROUND(#REF!*(1+#REF!)-#REF!-#REF!,0)</f>
        <v>#REF!</v>
      </c>
      <c r="U37" s="39" t="e">
        <f>ROUND(#REF!*(1+#REF!)-#REF!,0)</f>
        <v>#REF!</v>
      </c>
      <c r="V37" s="39" t="e">
        <f>ROUND(#REF!*(1+#REF!)-#REF!,0)</f>
        <v>#REF!</v>
      </c>
      <c r="W37" s="39" t="e">
        <f>ROUNDDOWN(#REF!*(1+#REF!),0)</f>
        <v>#REF!</v>
      </c>
      <c r="X37" s="39" t="e">
        <f>ROUNDDOWN(#REF!*(1+#REF!),0)</f>
        <v>#REF!</v>
      </c>
      <c r="Y37" s="145" t="e">
        <f ca="1">OFFSET(#REF!,1,0)*dock_boats_hr * (1 + tech_4_1*#REF!)</f>
        <v>#REF!</v>
      </c>
      <c r="Z37" s="133"/>
      <c r="AA37" s="39" t="e">
        <f ca="1">#REF!*tax*#REF! + (Construction!AZ38+Construction!BX38)*(alch_plat+(Magic!AM37&gt;0)*alchemist_flame_bonus)</f>
        <v>#REF!</v>
      </c>
      <c r="AB37" s="39" t="e">
        <f>#REF!*farm_food +#REF!* dock_food</f>
        <v>#REF!</v>
      </c>
      <c r="AC37" s="39" t="e">
        <f>#REF!*ly_lumber +#REF!* fh_lumber</f>
        <v>#REF!</v>
      </c>
      <c r="AD37" s="39" t="e">
        <f ca="1">OFFSET(#REF!,1,0)*(tower_mana + tech_4_5*#REF!) + OFFSET(#REF!,1,0)*wg_mana_prod</f>
        <v>#REF!</v>
      </c>
      <c r="AE37" s="39" t="e">
        <f ca="1">OFFSET(#REF!,1,0)*om_ore+IF(race="Dwarf",ROUNDDOWN(#REF!*0.4,0),)</f>
        <v>#REF!</v>
      </c>
      <c r="AF37" s="39" t="e">
        <f ca="1">OFFSET(#REF!,1,0)*dm_gems</f>
        <v>#REF!</v>
      </c>
      <c r="AG37" s="134"/>
      <c r="AH37" s="135" t="e">
        <f>MIN(race_platinum_bonus + IF(#REF!&gt;0,alch_frost_bonus,IF(Magic!AD37&gt;0,midas_bonus)) +#REF! -#REF!*( 0.02 + tech_5_7*#REF!) + tech_1_5*#REF! + tech_4_4*#REF!, 0.5)</f>
        <v>#REF!</v>
      </c>
      <c r="AI37" s="132" t="e">
        <f>(1 + race_food_bonus + IF(#REF!&gt;0,gaias_blessing_food,IF(#REF!&gt;0,gaias_watch_bonus)) +#REF! + tech_1_1*#REF! + tech_1_4*#REF! + tech_5_1*#REF! +#REF!/ 100*prestige_food_bonus*(1 + tech_8_1*#REF!)) - 1</f>
        <v>#REF!</v>
      </c>
      <c r="AJ37" s="135" t="e">
        <f>race_lumber_bonus+ IF(#REF!&gt;0,gaias_blessing_lumber)+ tech_1_3*#REF! + tech_1_6*#REF! + tech_3_3*#REF!</f>
        <v>#REF!</v>
      </c>
      <c r="AK37" s="135" t="e">
        <f>race_mana_bonus+ 0 +#REF! + tech_1_2*#REF! + tech_3_4*#REF!</f>
        <v>#REF!</v>
      </c>
      <c r="AL37" s="135" t="e">
        <f>race_ore_bonus + IF(#REF!&gt;0,miners_sight_bonus,IF(#REF!&gt;0,mining_strength_bonus)) +  tech_1_6*#REF!</f>
        <v>#REF!</v>
      </c>
      <c r="AM37" s="135" t="e">
        <f>race_gem_bonus+ tech_3_2*#REF! + tech_4_3*#REF! + tech_6_2*#REF!</f>
        <v>#REF!</v>
      </c>
      <c r="AN37" s="134"/>
      <c r="AO37" s="39" t="e">
        <f>#REF!*food_decay * (1 + tech_2_1*#REF! + tech_2_8*#REF!)</f>
        <v>#REF!</v>
      </c>
      <c r="AP37" s="39" t="e">
        <f>(1+race_food_consumption)*#REF!*food_per_person*(1+tech_1_10*#REF!+tech_7_5*#REF!)</f>
        <v>#REF!</v>
      </c>
      <c r="AQ37" s="39" t="e">
        <f>#REF!*lumber_rot * (1 + tech_2_1*#REF! + tech_2_8*#REF! + tech_5_2*#REF!)</f>
        <v>#REF!</v>
      </c>
      <c r="AR37" s="39" t="e">
        <f>#REF!*mana_drain * (1 + tech_2_1*#REF! + tech_2_8*#REF!)</f>
        <v>#REF!</v>
      </c>
      <c r="AS37" s="133"/>
      <c r="AT37" s="39" t="e">
        <f>#REF!+#REF!+#REF!+#REF!+#REF!-#REF!</f>
        <v>#REF!</v>
      </c>
      <c r="AU37" s="39" t="e">
        <f>#REF!+#REF!-#REF! + Military!$CL$25*#REF!</f>
        <v>#REF!</v>
      </c>
      <c r="AV37" s="39" t="e">
        <f>#REF! + Military!$CL$26*#REF!</f>
        <v>#REF!</v>
      </c>
      <c r="AW37" s="39" t="e">
        <f>Military!$CL$24*#REF!+#REF!-#REF!</f>
        <v>#REF!</v>
      </c>
      <c r="AX37" s="39" t="e">
        <f>#REF!-#REF!</f>
        <v>#REF!</v>
      </c>
      <c r="AY37" s="134"/>
      <c r="AZ37" s="61" t="e">
        <f ca="1">IF(#REF!&lt;&gt;"",#REF!,OFFSET(#REF!,-1,0))</f>
        <v>#REF!</v>
      </c>
      <c r="BA37" s="144"/>
      <c r="BB37" s="3" t="e">
        <f>#REF!</f>
        <v>#REF!</v>
      </c>
      <c r="BC37" s="146" t="e">
        <f>-#REF! / 2 + -#REF! * 2 + -#REF! / 2</f>
        <v>#REF!</v>
      </c>
      <c r="BD37" s="146"/>
      <c r="BE37" s="146"/>
      <c r="BF37" s="146"/>
      <c r="BG37" s="147" t="e">
        <f>#REF!</f>
        <v>#REF!</v>
      </c>
      <c r="BH37" s="3" t="e">
        <f>IF(AND(#REF!=0,#REF!=0,#REF!=0,#REF!=0),"",IF(#REF!&gt;0,IF((#REF!+#REF!)/2+#REF!*2+ROUNDUP(#REF!/(1 + tech_2_2*Techs!Y37),0)=0,"Ok","Nope"),IF(#REF!&gt;0,IF((#REF!+#REF!)/2+#REF!*2+ROUNDUP(#REF!/(1 + tech_2_2*Techs!Y37),0)=0,"Ok","Nope"),IF(#REF!&gt;0,IF((#REF!+#REF!)/2+#REF!*2+ROUNDUP(#REF!/(1 + tech_2_2*Techs!Y37),0)=0,"Ok","Nope")))))</f>
        <v>#REF!</v>
      </c>
      <c r="BI37" s="39" t="e">
        <f>#REF!</f>
        <v>#REF!</v>
      </c>
      <c r="BJ37" s="39" t="e">
        <f>#REF!</f>
        <v>#REF!</v>
      </c>
      <c r="BK37" s="39" t="e">
        <f>#REF!</f>
        <v>#REF!</v>
      </c>
      <c r="BL37" s="39" t="e">
        <f>#REF!</f>
        <v>#REF!</v>
      </c>
      <c r="BM37" s="39" t="e">
        <f>#REF!</f>
        <v>#REF!</v>
      </c>
    </row>
    <row r="38" spans="1:65" x14ac:dyDescent="0.25">
      <c r="A38" s="130">
        <v>35</v>
      </c>
      <c r="B38" s="143" t="e">
        <f>#REF!</f>
        <v>#REF!</v>
      </c>
      <c r="C38" s="144"/>
      <c r="D38" s="133"/>
      <c r="E38" s="39" t="e">
        <f>#REF!</f>
        <v>#REF!</v>
      </c>
      <c r="F38" s="39" t="e">
        <f>#REF!</f>
        <v>#REF!</v>
      </c>
      <c r="G38" s="39" t="e">
        <f>#REF!</f>
        <v>#REF!</v>
      </c>
      <c r="H38" s="39" t="e">
        <f ca="1">OFFSET(#REF!,-1,0)+OFFSET(#REF!,-1,0) -#REF! + IF(#REF!,#REF!*4) + SUM(#REF!)*#REF!*tech_3_3_2*#REF!</f>
        <v>#REF!</v>
      </c>
      <c r="I38" s="39" t="e">
        <f ca="1">OFFSET(#REF!,-1,0)+OFFSET(#REF!,-1,0)+ROUNDUP((#REF!*80+#REF!*35)*(1+OFFSET(#REF!,-1,0)),0)</f>
        <v>#REF!</v>
      </c>
      <c r="J38" s="39" t="e">
        <f ca="1">OFFSET(#REF!,-1,0)+OFFSET(#REF!,-1,0) -#REF! + SUM(#REF!)*#REF!*tech_3_3_2*#REF!</f>
        <v>#REF!</v>
      </c>
      <c r="K38" s="39" t="e">
        <f ca="1">OFFSET(#REF!,-1,0)+OFFSET(#REF!,-1,0) -#REF!</f>
        <v>#REF!</v>
      </c>
      <c r="L38" s="39" t="e">
        <f ca="1">OFFSET(#REF!,-1,0)+OFFSET(#REF!,-1,0) -#REF!</f>
        <v>#REF!</v>
      </c>
      <c r="M38" s="39" t="e">
        <f ca="1">OFFSET(#REF!,-1,0)+OFFSET(#REF!,-1,0) -#REF!</f>
        <v>#REF!</v>
      </c>
      <c r="N38" s="39" t="e">
        <f ca="1">OFFSET(#REF!,-1,0)+OFFSET(#REF!,-1,0)</f>
        <v>#REF!</v>
      </c>
      <c r="O38" s="39" t="e">
        <f ca="1">OFFSET(#REF!,-1,0)</f>
        <v>#REF!</v>
      </c>
      <c r="P38" s="39" t="e">
        <f ca="1">ROUNDDOWN(OFFSET(#REF!,-1,0)+(1+research_bonus)*(MIN(#REF!,#REF!*school_max)*(1 - MIN((#REF!/(#REF!-#REF!)),school_max)))-#REF!*#REF!,0) + IF(#REF!&lt;&gt;"",350,0)</f>
        <v>#REF!</v>
      </c>
      <c r="Q38" s="39" t="e">
        <f ca="1">MAX(3750,_xlfn.CEILING.MATH(#REF!*2.5+OFFSET(#REF!,-1,0)*150))</f>
        <v>#REF!</v>
      </c>
      <c r="R38" s="134"/>
      <c r="S38" s="39" t="e">
        <f>ROUNDDOWN(#REF!*(1+#REF!),0)</f>
        <v>#REF!</v>
      </c>
      <c r="T38" s="39" t="e">
        <f>ROUND(#REF!*(1+#REF!)-#REF!-#REF!,0)</f>
        <v>#REF!</v>
      </c>
      <c r="U38" s="39" t="e">
        <f>ROUND(#REF!*(1+#REF!)-#REF!,0)</f>
        <v>#REF!</v>
      </c>
      <c r="V38" s="39" t="e">
        <f>ROUND(#REF!*(1+#REF!)-#REF!,0)</f>
        <v>#REF!</v>
      </c>
      <c r="W38" s="39" t="e">
        <f>ROUNDDOWN(#REF!*(1+#REF!),0)</f>
        <v>#REF!</v>
      </c>
      <c r="X38" s="39" t="e">
        <f>ROUNDDOWN(#REF!*(1+#REF!),0)</f>
        <v>#REF!</v>
      </c>
      <c r="Y38" s="145" t="e">
        <f ca="1">OFFSET(#REF!,1,0)*dock_boats_hr * (1 + tech_4_1*#REF!)</f>
        <v>#REF!</v>
      </c>
      <c r="Z38" s="133"/>
      <c r="AA38" s="39" t="e">
        <f ca="1">#REF!*tax*#REF! + (Construction!AZ39+Construction!BX39)*(alch_plat+(Magic!AM38&gt;0)*alchemist_flame_bonus)</f>
        <v>#REF!</v>
      </c>
      <c r="AB38" s="39" t="e">
        <f>#REF!*farm_food +#REF!* dock_food</f>
        <v>#REF!</v>
      </c>
      <c r="AC38" s="39" t="e">
        <f>#REF!*ly_lumber +#REF!* fh_lumber</f>
        <v>#REF!</v>
      </c>
      <c r="AD38" s="39" t="e">
        <f ca="1">OFFSET(#REF!,1,0)*(tower_mana + tech_4_5*#REF!) + OFFSET(#REF!,1,0)*wg_mana_prod</f>
        <v>#REF!</v>
      </c>
      <c r="AE38" s="39" t="e">
        <f ca="1">OFFSET(#REF!,1,0)*om_ore+IF(race="Dwarf",ROUNDDOWN(#REF!*0.4,0),)</f>
        <v>#REF!</v>
      </c>
      <c r="AF38" s="39" t="e">
        <f ca="1">OFFSET(#REF!,1,0)*dm_gems</f>
        <v>#REF!</v>
      </c>
      <c r="AG38" s="134"/>
      <c r="AH38" s="135" t="e">
        <f>MIN(race_platinum_bonus + IF(#REF!&gt;0,alch_frost_bonus,IF(Magic!AD38&gt;0,midas_bonus)) +#REF! -#REF!*( 0.02 + tech_5_7*#REF!) + tech_1_5*#REF! + tech_4_4*#REF!, 0.5)</f>
        <v>#REF!</v>
      </c>
      <c r="AI38" s="132" t="e">
        <f>(1 + race_food_bonus + IF(#REF!&gt;0,gaias_blessing_food,IF(#REF!&gt;0,gaias_watch_bonus)) +#REF! + tech_1_1*#REF! + tech_1_4*#REF! + tech_5_1*#REF! +#REF!/ 100*prestige_food_bonus*(1 + tech_8_1*#REF!)) - 1</f>
        <v>#REF!</v>
      </c>
      <c r="AJ38" s="135" t="e">
        <f>race_lumber_bonus+ IF(#REF!&gt;0,gaias_blessing_lumber)+ tech_1_3*#REF! + tech_1_6*#REF! + tech_3_3*#REF!</f>
        <v>#REF!</v>
      </c>
      <c r="AK38" s="135" t="e">
        <f>race_mana_bonus+ 0 +#REF! + tech_1_2*#REF! + tech_3_4*#REF!</f>
        <v>#REF!</v>
      </c>
      <c r="AL38" s="135" t="e">
        <f>race_ore_bonus + IF(#REF!&gt;0,miners_sight_bonus,IF(#REF!&gt;0,mining_strength_bonus)) +  tech_1_6*#REF!</f>
        <v>#REF!</v>
      </c>
      <c r="AM38" s="135" t="e">
        <f>race_gem_bonus+ tech_3_2*#REF! + tech_4_3*#REF! + tech_6_2*#REF!</f>
        <v>#REF!</v>
      </c>
      <c r="AN38" s="134"/>
      <c r="AO38" s="39" t="e">
        <f>#REF!*food_decay * (1 + tech_2_1*#REF! + tech_2_8*#REF!)</f>
        <v>#REF!</v>
      </c>
      <c r="AP38" s="39" t="e">
        <f>(1+race_food_consumption)*#REF!*food_per_person*(1+tech_1_10*#REF!+tech_7_5*#REF!)</f>
        <v>#REF!</v>
      </c>
      <c r="AQ38" s="39" t="e">
        <f>#REF!*lumber_rot * (1 + tech_2_1*#REF! + tech_2_8*#REF! + tech_5_2*#REF!)</f>
        <v>#REF!</v>
      </c>
      <c r="AR38" s="39" t="e">
        <f>#REF!*mana_drain * (1 + tech_2_1*#REF! + tech_2_8*#REF!)</f>
        <v>#REF!</v>
      </c>
      <c r="AS38" s="133"/>
      <c r="AT38" s="39" t="e">
        <f>#REF!+#REF!+#REF!+#REF!+#REF!-#REF!</f>
        <v>#REF!</v>
      </c>
      <c r="AU38" s="39" t="e">
        <f>#REF!+#REF!-#REF! + Military!$CL$25*#REF!</f>
        <v>#REF!</v>
      </c>
      <c r="AV38" s="39" t="e">
        <f>#REF! + Military!$CL$26*#REF!</f>
        <v>#REF!</v>
      </c>
      <c r="AW38" s="39" t="e">
        <f>Military!$CL$24*#REF!+#REF!-#REF!</f>
        <v>#REF!</v>
      </c>
      <c r="AX38" s="39" t="e">
        <f>#REF!-#REF!</f>
        <v>#REF!</v>
      </c>
      <c r="AY38" s="134"/>
      <c r="AZ38" s="61" t="e">
        <f ca="1">IF(#REF!&lt;&gt;"",#REF!,OFFSET(#REF!,-1,0))</f>
        <v>#REF!</v>
      </c>
      <c r="BA38" s="144"/>
      <c r="BB38" s="3" t="e">
        <f>#REF!</f>
        <v>#REF!</v>
      </c>
      <c r="BC38" s="146" t="e">
        <f>-#REF! / 2 + -#REF! * 2 + -#REF! / 2</f>
        <v>#REF!</v>
      </c>
      <c r="BD38" s="146"/>
      <c r="BE38" s="146"/>
      <c r="BF38" s="146"/>
      <c r="BG38" s="147" t="e">
        <f>#REF!</f>
        <v>#REF!</v>
      </c>
      <c r="BH38" s="3" t="e">
        <f>IF(AND(#REF!=0,#REF!=0,#REF!=0,#REF!=0),"",IF(#REF!&gt;0,IF((#REF!+#REF!)/2+#REF!*2+ROUNDUP(#REF!/(1 + tech_2_2*Techs!Y38),0)=0,"Ok","Nope"),IF(#REF!&gt;0,IF((#REF!+#REF!)/2+#REF!*2+ROUNDUP(#REF!/(1 + tech_2_2*Techs!Y38),0)=0,"Ok","Nope"),IF(#REF!&gt;0,IF((#REF!+#REF!)/2+#REF!*2+ROUNDUP(#REF!/(1 + tech_2_2*Techs!Y38),0)=0,"Ok","Nope")))))</f>
        <v>#REF!</v>
      </c>
      <c r="BI38" s="39" t="e">
        <f>#REF!</f>
        <v>#REF!</v>
      </c>
      <c r="BJ38" s="39" t="e">
        <f>#REF!</f>
        <v>#REF!</v>
      </c>
      <c r="BK38" s="39" t="e">
        <f>#REF!</f>
        <v>#REF!</v>
      </c>
      <c r="BL38" s="39" t="e">
        <f>#REF!</f>
        <v>#REF!</v>
      </c>
      <c r="BM38" s="39" t="e">
        <f>#REF!</f>
        <v>#REF!</v>
      </c>
    </row>
    <row r="39" spans="1:65" x14ac:dyDescent="0.25">
      <c r="A39" s="130">
        <v>36</v>
      </c>
      <c r="B39" s="143" t="e">
        <f>#REF!</f>
        <v>#REF!</v>
      </c>
      <c r="C39" s="144"/>
      <c r="D39" s="133"/>
      <c r="E39" s="39" t="e">
        <f>#REF!</f>
        <v>#REF!</v>
      </c>
      <c r="F39" s="39" t="e">
        <f>#REF!</f>
        <v>#REF!</v>
      </c>
      <c r="G39" s="39" t="e">
        <f>#REF!</f>
        <v>#REF!</v>
      </c>
      <c r="H39" s="39" t="e">
        <f ca="1">OFFSET(#REF!,-1,0)+OFFSET(#REF!,-1,0) -#REF! + IF(#REF!,#REF!*4) + SUM(#REF!)*#REF!*tech_3_3_2*#REF!</f>
        <v>#REF!</v>
      </c>
      <c r="I39" s="39" t="e">
        <f ca="1">OFFSET(#REF!,-1,0)+OFFSET(#REF!,-1,0)+ROUNDUP((#REF!*80+#REF!*35)*(1+OFFSET(#REF!,-1,0)),0)</f>
        <v>#REF!</v>
      </c>
      <c r="J39" s="39" t="e">
        <f ca="1">OFFSET(#REF!,-1,0)+OFFSET(#REF!,-1,0) -#REF! + SUM(#REF!)*#REF!*tech_3_3_2*#REF!</f>
        <v>#REF!</v>
      </c>
      <c r="K39" s="39" t="e">
        <f ca="1">OFFSET(#REF!,-1,0)+OFFSET(#REF!,-1,0) -#REF!</f>
        <v>#REF!</v>
      </c>
      <c r="L39" s="39" t="e">
        <f ca="1">OFFSET(#REF!,-1,0)+OFFSET(#REF!,-1,0) -#REF!</f>
        <v>#REF!</v>
      </c>
      <c r="M39" s="39" t="e">
        <f ca="1">OFFSET(#REF!,-1,0)+OFFSET(#REF!,-1,0) -#REF!</f>
        <v>#REF!</v>
      </c>
      <c r="N39" s="39" t="e">
        <f ca="1">OFFSET(#REF!,-1,0)+OFFSET(#REF!,-1,0)</f>
        <v>#REF!</v>
      </c>
      <c r="O39" s="39" t="e">
        <f ca="1">OFFSET(#REF!,-1,0)</f>
        <v>#REF!</v>
      </c>
      <c r="P39" s="39" t="e">
        <f ca="1">ROUNDDOWN(OFFSET(#REF!,-1,0)+(1+research_bonus)*(MIN(#REF!,#REF!*school_max)*(1 - MIN((#REF!/(#REF!-#REF!)),school_max)))-#REF!*#REF!,0) + IF(#REF!&lt;&gt;"",350,0)</f>
        <v>#REF!</v>
      </c>
      <c r="Q39" s="39" t="e">
        <f ca="1">MAX(3750,_xlfn.CEILING.MATH(#REF!*2.5+OFFSET(#REF!,-1,0)*150))</f>
        <v>#REF!</v>
      </c>
      <c r="R39" s="134"/>
      <c r="S39" s="39" t="e">
        <f>ROUNDDOWN(#REF!*(1+#REF!),0)</f>
        <v>#REF!</v>
      </c>
      <c r="T39" s="39" t="e">
        <f>ROUND(#REF!*(1+#REF!)-#REF!-#REF!,0)</f>
        <v>#REF!</v>
      </c>
      <c r="U39" s="39" t="e">
        <f>ROUND(#REF!*(1+#REF!)-#REF!,0)</f>
        <v>#REF!</v>
      </c>
      <c r="V39" s="39" t="e">
        <f>ROUND(#REF!*(1+#REF!)-#REF!,0)</f>
        <v>#REF!</v>
      </c>
      <c r="W39" s="39" t="e">
        <f>ROUNDDOWN(#REF!*(1+#REF!),0)</f>
        <v>#REF!</v>
      </c>
      <c r="X39" s="39" t="e">
        <f>ROUNDDOWN(#REF!*(1+#REF!),0)</f>
        <v>#REF!</v>
      </c>
      <c r="Y39" s="145" t="e">
        <f ca="1">OFFSET(#REF!,1,0)*dock_boats_hr * (1 + tech_4_1*#REF!)</f>
        <v>#REF!</v>
      </c>
      <c r="Z39" s="133"/>
      <c r="AA39" s="39" t="e">
        <f ca="1">#REF!*tax*#REF! + (Construction!AZ40+Construction!BX40)*(alch_plat+(Magic!AM39&gt;0)*alchemist_flame_bonus)</f>
        <v>#REF!</v>
      </c>
      <c r="AB39" s="39" t="e">
        <f>#REF!*farm_food +#REF!* dock_food</f>
        <v>#REF!</v>
      </c>
      <c r="AC39" s="39" t="e">
        <f>#REF!*ly_lumber +#REF!* fh_lumber</f>
        <v>#REF!</v>
      </c>
      <c r="AD39" s="39" t="e">
        <f ca="1">OFFSET(#REF!,1,0)*(tower_mana + tech_4_5*#REF!) + OFFSET(#REF!,1,0)*wg_mana_prod</f>
        <v>#REF!</v>
      </c>
      <c r="AE39" s="39" t="e">
        <f ca="1">OFFSET(#REF!,1,0)*om_ore+IF(race="Dwarf",ROUNDDOWN(#REF!*0.4,0),)</f>
        <v>#REF!</v>
      </c>
      <c r="AF39" s="39" t="e">
        <f ca="1">OFFSET(#REF!,1,0)*dm_gems</f>
        <v>#REF!</v>
      </c>
      <c r="AG39" s="134"/>
      <c r="AH39" s="135" t="e">
        <f>MIN(race_platinum_bonus + IF(#REF!&gt;0,alch_frost_bonus,IF(Magic!AD39&gt;0,midas_bonus)) +#REF! -#REF!*( 0.02 + tech_5_7*#REF!) + tech_1_5*#REF! + tech_4_4*#REF!, 0.5)</f>
        <v>#REF!</v>
      </c>
      <c r="AI39" s="132" t="e">
        <f>(1 + race_food_bonus + IF(#REF!&gt;0,gaias_blessing_food,IF(#REF!&gt;0,gaias_watch_bonus)) +#REF! + tech_1_1*#REF! + tech_1_4*#REF! + tech_5_1*#REF! +#REF!/ 100*prestige_food_bonus*(1 + tech_8_1*#REF!)) - 1</f>
        <v>#REF!</v>
      </c>
      <c r="AJ39" s="135" t="e">
        <f>race_lumber_bonus+ IF(#REF!&gt;0,gaias_blessing_lumber)+ tech_1_3*#REF! + tech_1_6*#REF! + tech_3_3*#REF!</f>
        <v>#REF!</v>
      </c>
      <c r="AK39" s="135" t="e">
        <f>race_mana_bonus+ 0 +#REF! + tech_1_2*#REF! + tech_3_4*#REF!</f>
        <v>#REF!</v>
      </c>
      <c r="AL39" s="135" t="e">
        <f>race_ore_bonus + IF(#REF!&gt;0,miners_sight_bonus,IF(#REF!&gt;0,mining_strength_bonus)) +  tech_1_6*#REF!</f>
        <v>#REF!</v>
      </c>
      <c r="AM39" s="135" t="e">
        <f>race_gem_bonus+ tech_3_2*#REF! + tech_4_3*#REF! + tech_6_2*#REF!</f>
        <v>#REF!</v>
      </c>
      <c r="AN39" s="134"/>
      <c r="AO39" s="39" t="e">
        <f>#REF!*food_decay * (1 + tech_2_1*#REF! + tech_2_8*#REF!)</f>
        <v>#REF!</v>
      </c>
      <c r="AP39" s="39" t="e">
        <f>(1+race_food_consumption)*#REF!*food_per_person*(1+tech_1_10*#REF!+tech_7_5*#REF!)</f>
        <v>#REF!</v>
      </c>
      <c r="AQ39" s="39" t="e">
        <f>#REF!*lumber_rot * (1 + tech_2_1*#REF! + tech_2_8*#REF! + tech_5_2*#REF!)</f>
        <v>#REF!</v>
      </c>
      <c r="AR39" s="39" t="e">
        <f>#REF!*mana_drain * (1 + tech_2_1*#REF! + tech_2_8*#REF!)</f>
        <v>#REF!</v>
      </c>
      <c r="AS39" s="133"/>
      <c r="AT39" s="39" t="e">
        <f>#REF!+#REF!+#REF!+#REF!+#REF!-#REF!</f>
        <v>#REF!</v>
      </c>
      <c r="AU39" s="39" t="e">
        <f>#REF!+#REF!-#REF! + Military!$CL$25*#REF!</f>
        <v>#REF!</v>
      </c>
      <c r="AV39" s="39" t="e">
        <f>#REF! + Military!$CL$26*#REF!</f>
        <v>#REF!</v>
      </c>
      <c r="AW39" s="39" t="e">
        <f>Military!$CL$24*#REF!+#REF!-#REF!</f>
        <v>#REF!</v>
      </c>
      <c r="AX39" s="39" t="e">
        <f>#REF!-#REF!</f>
        <v>#REF!</v>
      </c>
      <c r="AY39" s="134"/>
      <c r="AZ39" s="61" t="e">
        <f ca="1">IF(#REF!&lt;&gt;"",#REF!,OFFSET(#REF!,-1,0))</f>
        <v>#REF!</v>
      </c>
      <c r="BA39" s="144"/>
      <c r="BB39" s="3" t="e">
        <f>#REF!</f>
        <v>#REF!</v>
      </c>
      <c r="BC39" s="146" t="e">
        <f>-#REF! / 2 + -#REF! * 2 + -#REF! / 2</f>
        <v>#REF!</v>
      </c>
      <c r="BD39" s="146"/>
      <c r="BE39" s="146"/>
      <c r="BF39" s="146"/>
      <c r="BG39" s="147" t="e">
        <f>#REF!</f>
        <v>#REF!</v>
      </c>
      <c r="BH39" s="3" t="e">
        <f>IF(AND(#REF!=0,#REF!=0,#REF!=0,#REF!=0),"",IF(#REF!&gt;0,IF((#REF!+#REF!)/2+#REF!*2+ROUNDUP(#REF!/(1 + tech_2_2*Techs!Y39),0)=0,"Ok","Nope"),IF(#REF!&gt;0,IF((#REF!+#REF!)/2+#REF!*2+ROUNDUP(#REF!/(1 + tech_2_2*Techs!Y39),0)=0,"Ok","Nope"),IF(#REF!&gt;0,IF((#REF!+#REF!)/2+#REF!*2+ROUNDUP(#REF!/(1 + tech_2_2*Techs!Y39),0)=0,"Ok","Nope")))))</f>
        <v>#REF!</v>
      </c>
      <c r="BI39" s="39" t="e">
        <f>#REF!</f>
        <v>#REF!</v>
      </c>
      <c r="BJ39" s="39" t="e">
        <f>#REF!</f>
        <v>#REF!</v>
      </c>
      <c r="BK39" s="39" t="e">
        <f>#REF!</f>
        <v>#REF!</v>
      </c>
      <c r="BL39" s="39" t="e">
        <f>#REF!</f>
        <v>#REF!</v>
      </c>
      <c r="BM39" s="39" t="e">
        <f>#REF!</f>
        <v>#REF!</v>
      </c>
    </row>
    <row r="40" spans="1:65" x14ac:dyDescent="0.25">
      <c r="A40" s="130">
        <v>37</v>
      </c>
      <c r="B40" s="143" t="e">
        <f>#REF!</f>
        <v>#REF!</v>
      </c>
      <c r="C40" s="144"/>
      <c r="D40" s="133"/>
      <c r="E40" s="39" t="e">
        <f>#REF!</f>
        <v>#REF!</v>
      </c>
      <c r="F40" s="39" t="e">
        <f>#REF!</f>
        <v>#REF!</v>
      </c>
      <c r="G40" s="39" t="e">
        <f>#REF!</f>
        <v>#REF!</v>
      </c>
      <c r="H40" s="39" t="e">
        <f ca="1">OFFSET(#REF!,-1,0)+OFFSET(#REF!,-1,0) -#REF! + IF(#REF!,#REF!*4) + SUM(#REF!)*#REF!*tech_3_3_2*#REF!</f>
        <v>#REF!</v>
      </c>
      <c r="I40" s="39" t="e">
        <f ca="1">OFFSET(#REF!,-1,0)+OFFSET(#REF!,-1,0)+ROUNDUP((#REF!*80+#REF!*35)*(1+OFFSET(#REF!,-1,0)),0)</f>
        <v>#REF!</v>
      </c>
      <c r="J40" s="39" t="e">
        <f ca="1">OFFSET(#REF!,-1,0)+OFFSET(#REF!,-1,0) -#REF! + SUM(#REF!)*#REF!*tech_3_3_2*#REF!</f>
        <v>#REF!</v>
      </c>
      <c r="K40" s="39" t="e">
        <f ca="1">OFFSET(#REF!,-1,0)+OFFSET(#REF!,-1,0) -#REF!</f>
        <v>#REF!</v>
      </c>
      <c r="L40" s="39" t="e">
        <f ca="1">OFFSET(#REF!,-1,0)+OFFSET(#REF!,-1,0) -#REF!</f>
        <v>#REF!</v>
      </c>
      <c r="M40" s="39" t="e">
        <f ca="1">OFFSET(#REF!,-1,0)+OFFSET(#REF!,-1,0) -#REF!</f>
        <v>#REF!</v>
      </c>
      <c r="N40" s="39" t="e">
        <f ca="1">OFFSET(#REF!,-1,0)+OFFSET(#REF!,-1,0)</f>
        <v>#REF!</v>
      </c>
      <c r="O40" s="39" t="e">
        <f ca="1">OFFSET(#REF!,-1,0)</f>
        <v>#REF!</v>
      </c>
      <c r="P40" s="39" t="e">
        <f ca="1">ROUNDDOWN(OFFSET(#REF!,-1,0)+(1+research_bonus)*(MIN(#REF!,#REF!*school_max)*(1 - MIN((#REF!/(#REF!-#REF!)),school_max)))-#REF!*#REF!,0) + IF(#REF!&lt;&gt;"",350,0)</f>
        <v>#REF!</v>
      </c>
      <c r="Q40" s="39" t="e">
        <f ca="1">MAX(3750,_xlfn.CEILING.MATH(#REF!*2.5+OFFSET(#REF!,-1,0)*150))</f>
        <v>#REF!</v>
      </c>
      <c r="R40" s="134"/>
      <c r="S40" s="39" t="e">
        <f>ROUNDDOWN(#REF!*(1+#REF!),0)</f>
        <v>#REF!</v>
      </c>
      <c r="T40" s="39" t="e">
        <f>ROUND(#REF!*(1+#REF!)-#REF!-#REF!,0)</f>
        <v>#REF!</v>
      </c>
      <c r="U40" s="39" t="e">
        <f>ROUND(#REF!*(1+#REF!)-#REF!,0)</f>
        <v>#REF!</v>
      </c>
      <c r="V40" s="39" t="e">
        <f>ROUND(#REF!*(1+#REF!)-#REF!,0)</f>
        <v>#REF!</v>
      </c>
      <c r="W40" s="39" t="e">
        <f>ROUNDDOWN(#REF!*(1+#REF!),0)</f>
        <v>#REF!</v>
      </c>
      <c r="X40" s="39" t="e">
        <f>ROUNDDOWN(#REF!*(1+#REF!),0)</f>
        <v>#REF!</v>
      </c>
      <c r="Y40" s="145" t="e">
        <f ca="1">OFFSET(#REF!,1,0)*dock_boats_hr * (1 + tech_4_1*#REF!)</f>
        <v>#REF!</v>
      </c>
      <c r="Z40" s="133"/>
      <c r="AA40" s="39" t="e">
        <f ca="1">#REF!*tax*#REF! + (Construction!AZ41+Construction!BX41)*(alch_plat+(Magic!AM40&gt;0)*alchemist_flame_bonus)</f>
        <v>#REF!</v>
      </c>
      <c r="AB40" s="39" t="e">
        <f>#REF!*farm_food +#REF!* dock_food</f>
        <v>#REF!</v>
      </c>
      <c r="AC40" s="39" t="e">
        <f>#REF!*ly_lumber +#REF!* fh_lumber</f>
        <v>#REF!</v>
      </c>
      <c r="AD40" s="39" t="e">
        <f ca="1">OFFSET(#REF!,1,0)*(tower_mana + tech_4_5*#REF!) + OFFSET(#REF!,1,0)*wg_mana_prod</f>
        <v>#REF!</v>
      </c>
      <c r="AE40" s="39" t="e">
        <f ca="1">OFFSET(#REF!,1,0)*om_ore+IF(race="Dwarf",ROUNDDOWN(#REF!*0.4,0),)</f>
        <v>#REF!</v>
      </c>
      <c r="AF40" s="39" t="e">
        <f ca="1">OFFSET(#REF!,1,0)*dm_gems</f>
        <v>#REF!</v>
      </c>
      <c r="AG40" s="134"/>
      <c r="AH40" s="135" t="e">
        <f>MIN(race_platinum_bonus + IF(#REF!&gt;0,alch_frost_bonus,IF(Magic!AD40&gt;0,midas_bonus)) +#REF! -#REF!*( 0.02 + tech_5_7*#REF!) + tech_1_5*#REF! + tech_4_4*#REF!, 0.5)</f>
        <v>#REF!</v>
      </c>
      <c r="AI40" s="132" t="e">
        <f>(1 + race_food_bonus + IF(#REF!&gt;0,gaias_blessing_food,IF(#REF!&gt;0,gaias_watch_bonus)) +#REF! + tech_1_1*#REF! + tech_1_4*#REF! + tech_5_1*#REF! +#REF!/ 100*prestige_food_bonus*(1 + tech_8_1*#REF!)) - 1</f>
        <v>#REF!</v>
      </c>
      <c r="AJ40" s="135" t="e">
        <f>race_lumber_bonus+ IF(#REF!&gt;0,gaias_blessing_lumber)+ tech_1_3*#REF! + tech_1_6*#REF! + tech_3_3*#REF!</f>
        <v>#REF!</v>
      </c>
      <c r="AK40" s="135" t="e">
        <f>race_mana_bonus+ 0 +#REF! + tech_1_2*#REF! + tech_3_4*#REF!</f>
        <v>#REF!</v>
      </c>
      <c r="AL40" s="135" t="e">
        <f>race_ore_bonus + IF(#REF!&gt;0,miners_sight_bonus,IF(#REF!&gt;0,mining_strength_bonus)) +  tech_1_6*#REF!</f>
        <v>#REF!</v>
      </c>
      <c r="AM40" s="135" t="e">
        <f>race_gem_bonus+ tech_3_2*#REF! + tech_4_3*#REF! + tech_6_2*#REF!</f>
        <v>#REF!</v>
      </c>
      <c r="AN40" s="134"/>
      <c r="AO40" s="39" t="e">
        <f>#REF!*food_decay * (1 + tech_2_1*#REF! + tech_2_8*#REF!)</f>
        <v>#REF!</v>
      </c>
      <c r="AP40" s="39" t="e">
        <f>(1+race_food_consumption)*#REF!*food_per_person*(1+tech_1_10*#REF!+tech_7_5*#REF!)</f>
        <v>#REF!</v>
      </c>
      <c r="AQ40" s="39" t="e">
        <f>#REF!*lumber_rot * (1 + tech_2_1*#REF! + tech_2_8*#REF! + tech_5_2*#REF!)</f>
        <v>#REF!</v>
      </c>
      <c r="AR40" s="39" t="e">
        <f>#REF!*mana_drain * (1 + tech_2_1*#REF! + tech_2_8*#REF!)</f>
        <v>#REF!</v>
      </c>
      <c r="AS40" s="133"/>
      <c r="AT40" s="39" t="e">
        <f>#REF!+#REF!+#REF!+#REF!+#REF!-#REF!</f>
        <v>#REF!</v>
      </c>
      <c r="AU40" s="39" t="e">
        <f>#REF!+#REF!-#REF! + Military!$CL$25*#REF!</f>
        <v>#REF!</v>
      </c>
      <c r="AV40" s="39" t="e">
        <f>#REF! + Military!$CL$26*#REF!</f>
        <v>#REF!</v>
      </c>
      <c r="AW40" s="39" t="e">
        <f>Military!$CL$24*#REF!+#REF!-#REF!</f>
        <v>#REF!</v>
      </c>
      <c r="AX40" s="39" t="e">
        <f>#REF!-#REF!</f>
        <v>#REF!</v>
      </c>
      <c r="AY40" s="134"/>
      <c r="AZ40" s="61" t="e">
        <f ca="1">IF(#REF!&lt;&gt;"",#REF!,OFFSET(#REF!,-1,0))</f>
        <v>#REF!</v>
      </c>
      <c r="BA40" s="144"/>
      <c r="BB40" s="3" t="e">
        <f>#REF!</f>
        <v>#REF!</v>
      </c>
      <c r="BC40" s="146" t="e">
        <f>-#REF! / 2 + -#REF! * 2 + -#REF! / 2</f>
        <v>#REF!</v>
      </c>
      <c r="BD40" s="146"/>
      <c r="BE40" s="146"/>
      <c r="BF40" s="146"/>
      <c r="BG40" s="147" t="e">
        <f>#REF!</f>
        <v>#REF!</v>
      </c>
      <c r="BH40" s="3" t="e">
        <f>IF(AND(#REF!=0,#REF!=0,#REF!=0,#REF!=0),"",IF(#REF!&gt;0,IF((#REF!+#REF!)/2+#REF!*2+ROUNDUP(#REF!/(1 + tech_2_2*Techs!Y40),0)=0,"Ok","Nope"),IF(#REF!&gt;0,IF((#REF!+#REF!)/2+#REF!*2+ROUNDUP(#REF!/(1 + tech_2_2*Techs!Y40),0)=0,"Ok","Nope"),IF(#REF!&gt;0,IF((#REF!+#REF!)/2+#REF!*2+ROUNDUP(#REF!/(1 + tech_2_2*Techs!Y40),0)=0,"Ok","Nope")))))</f>
        <v>#REF!</v>
      </c>
      <c r="BI40" s="39" t="e">
        <f>#REF!</f>
        <v>#REF!</v>
      </c>
      <c r="BJ40" s="39" t="e">
        <f>#REF!</f>
        <v>#REF!</v>
      </c>
      <c r="BK40" s="39" t="e">
        <f>#REF!</f>
        <v>#REF!</v>
      </c>
      <c r="BL40" s="39" t="e">
        <f>#REF!</f>
        <v>#REF!</v>
      </c>
      <c r="BM40" s="39" t="e">
        <f>#REF!</f>
        <v>#REF!</v>
      </c>
    </row>
    <row r="41" spans="1:65" x14ac:dyDescent="0.25">
      <c r="A41" s="130">
        <v>38</v>
      </c>
      <c r="B41" s="143" t="e">
        <f>#REF!</f>
        <v>#REF!</v>
      </c>
      <c r="C41" s="144"/>
      <c r="D41" s="133"/>
      <c r="E41" s="39" t="e">
        <f>#REF!</f>
        <v>#REF!</v>
      </c>
      <c r="F41" s="39" t="e">
        <f>#REF!</f>
        <v>#REF!</v>
      </c>
      <c r="G41" s="39" t="e">
        <f>#REF!</f>
        <v>#REF!</v>
      </c>
      <c r="H41" s="39" t="e">
        <f ca="1">OFFSET(#REF!,-1,0)+OFFSET(#REF!,-1,0) -#REF! + IF(#REF!,#REF!*4) + SUM(#REF!)*#REF!*tech_3_3_2*#REF!</f>
        <v>#REF!</v>
      </c>
      <c r="I41" s="39" t="e">
        <f ca="1">OFFSET(#REF!,-1,0)+OFFSET(#REF!,-1,0)+ROUNDUP((#REF!*80+#REF!*35)*(1+OFFSET(#REF!,-1,0)),0)</f>
        <v>#REF!</v>
      </c>
      <c r="J41" s="39" t="e">
        <f ca="1">OFFSET(#REF!,-1,0)+OFFSET(#REF!,-1,0) -#REF! + SUM(#REF!)*#REF!*tech_3_3_2*#REF!</f>
        <v>#REF!</v>
      </c>
      <c r="K41" s="39" t="e">
        <f ca="1">OFFSET(#REF!,-1,0)+OFFSET(#REF!,-1,0) -#REF!</f>
        <v>#REF!</v>
      </c>
      <c r="L41" s="39" t="e">
        <f ca="1">OFFSET(#REF!,-1,0)+OFFSET(#REF!,-1,0) -#REF!</f>
        <v>#REF!</v>
      </c>
      <c r="M41" s="39" t="e">
        <f ca="1">OFFSET(#REF!,-1,0)+OFFSET(#REF!,-1,0) -#REF!</f>
        <v>#REF!</v>
      </c>
      <c r="N41" s="39" t="e">
        <f ca="1">OFFSET(#REF!,-1,0)+OFFSET(#REF!,-1,0)</f>
        <v>#REF!</v>
      </c>
      <c r="O41" s="39" t="e">
        <f ca="1">OFFSET(#REF!,-1,0)</f>
        <v>#REF!</v>
      </c>
      <c r="P41" s="39" t="e">
        <f ca="1">ROUNDDOWN(OFFSET(#REF!,-1,0)+(1+research_bonus)*(MIN(#REF!,#REF!*school_max)*(1 - MIN((#REF!/(#REF!-#REF!)),school_max)))-#REF!*#REF!,0) + IF(#REF!&lt;&gt;"",350,0)</f>
        <v>#REF!</v>
      </c>
      <c r="Q41" s="39" t="e">
        <f ca="1">MAX(3750,_xlfn.CEILING.MATH(#REF!*2.5+OFFSET(#REF!,-1,0)*150))</f>
        <v>#REF!</v>
      </c>
      <c r="R41" s="134"/>
      <c r="S41" s="39" t="e">
        <f>ROUNDDOWN(#REF!*(1+#REF!),0)</f>
        <v>#REF!</v>
      </c>
      <c r="T41" s="39" t="e">
        <f>ROUND(#REF!*(1+#REF!)-#REF!-#REF!,0)</f>
        <v>#REF!</v>
      </c>
      <c r="U41" s="39" t="e">
        <f>ROUND(#REF!*(1+#REF!)-#REF!,0)</f>
        <v>#REF!</v>
      </c>
      <c r="V41" s="39" t="e">
        <f>ROUND(#REF!*(1+#REF!)-#REF!,0)</f>
        <v>#REF!</v>
      </c>
      <c r="W41" s="39" t="e">
        <f>ROUNDDOWN(#REF!*(1+#REF!),0)</f>
        <v>#REF!</v>
      </c>
      <c r="X41" s="39" t="e">
        <f>ROUNDDOWN(#REF!*(1+#REF!),0)</f>
        <v>#REF!</v>
      </c>
      <c r="Y41" s="145" t="e">
        <f ca="1">OFFSET(#REF!,1,0)*dock_boats_hr * (1 + tech_4_1*#REF!)</f>
        <v>#REF!</v>
      </c>
      <c r="Z41" s="133"/>
      <c r="AA41" s="39" t="e">
        <f ca="1">#REF!*tax*#REF! + (Construction!AZ42+Construction!BX42)*(alch_plat+(Magic!AM41&gt;0)*alchemist_flame_bonus)</f>
        <v>#REF!</v>
      </c>
      <c r="AB41" s="39" t="e">
        <f>#REF!*farm_food +#REF!* dock_food</f>
        <v>#REF!</v>
      </c>
      <c r="AC41" s="39" t="e">
        <f>#REF!*ly_lumber +#REF!* fh_lumber</f>
        <v>#REF!</v>
      </c>
      <c r="AD41" s="39" t="e">
        <f ca="1">OFFSET(#REF!,1,0)*(tower_mana + tech_4_5*#REF!) + OFFSET(#REF!,1,0)*wg_mana_prod</f>
        <v>#REF!</v>
      </c>
      <c r="AE41" s="39" t="e">
        <f ca="1">OFFSET(#REF!,1,0)*om_ore+IF(race="Dwarf",ROUNDDOWN(#REF!*0.4,0),)</f>
        <v>#REF!</v>
      </c>
      <c r="AF41" s="39" t="e">
        <f ca="1">OFFSET(#REF!,1,0)*dm_gems</f>
        <v>#REF!</v>
      </c>
      <c r="AG41" s="134"/>
      <c r="AH41" s="135" t="e">
        <f>MIN(race_platinum_bonus + IF(#REF!&gt;0,alch_frost_bonus,IF(Magic!AD41&gt;0,midas_bonus)) +#REF! -#REF!*( 0.02 + tech_5_7*#REF!) + tech_1_5*#REF! + tech_4_4*#REF!, 0.5)</f>
        <v>#REF!</v>
      </c>
      <c r="AI41" s="132" t="e">
        <f>(1 + race_food_bonus + IF(#REF!&gt;0,gaias_blessing_food,IF(#REF!&gt;0,gaias_watch_bonus)) +#REF! + tech_1_1*#REF! + tech_1_4*#REF! + tech_5_1*#REF! +#REF!/ 100*prestige_food_bonus*(1 + tech_8_1*#REF!)) - 1</f>
        <v>#REF!</v>
      </c>
      <c r="AJ41" s="135" t="e">
        <f>race_lumber_bonus+ IF(#REF!&gt;0,gaias_blessing_lumber)+ tech_1_3*#REF! + tech_1_6*#REF! + tech_3_3*#REF!</f>
        <v>#REF!</v>
      </c>
      <c r="AK41" s="135" t="e">
        <f>race_mana_bonus+ 0 +#REF! + tech_1_2*#REF! + tech_3_4*#REF!</f>
        <v>#REF!</v>
      </c>
      <c r="AL41" s="135" t="e">
        <f>race_ore_bonus + IF(#REF!&gt;0,miners_sight_bonus,IF(#REF!&gt;0,mining_strength_bonus)) +  tech_1_6*#REF!</f>
        <v>#REF!</v>
      </c>
      <c r="AM41" s="135" t="e">
        <f>race_gem_bonus+ tech_3_2*#REF! + tech_4_3*#REF! + tech_6_2*#REF!</f>
        <v>#REF!</v>
      </c>
      <c r="AN41" s="134"/>
      <c r="AO41" s="39" t="e">
        <f>#REF!*food_decay * (1 + tech_2_1*#REF! + tech_2_8*#REF!)</f>
        <v>#REF!</v>
      </c>
      <c r="AP41" s="39" t="e">
        <f>(1+race_food_consumption)*#REF!*food_per_person*(1+tech_1_10*#REF!+tech_7_5*#REF!)</f>
        <v>#REF!</v>
      </c>
      <c r="AQ41" s="39" t="e">
        <f>#REF!*lumber_rot * (1 + tech_2_1*#REF! + tech_2_8*#REF! + tech_5_2*#REF!)</f>
        <v>#REF!</v>
      </c>
      <c r="AR41" s="39" t="e">
        <f>#REF!*mana_drain * (1 + tech_2_1*#REF! + tech_2_8*#REF!)</f>
        <v>#REF!</v>
      </c>
      <c r="AS41" s="133"/>
      <c r="AT41" s="39" t="e">
        <f>#REF!+#REF!+#REF!+#REF!+#REF!-#REF!</f>
        <v>#REF!</v>
      </c>
      <c r="AU41" s="39" t="e">
        <f>#REF!+#REF!-#REF! + Military!$CL$25*#REF!</f>
        <v>#REF!</v>
      </c>
      <c r="AV41" s="39" t="e">
        <f>#REF! + Military!$CL$26*#REF!</f>
        <v>#REF!</v>
      </c>
      <c r="AW41" s="39" t="e">
        <f>Military!$CL$24*#REF!+#REF!-#REF!</f>
        <v>#REF!</v>
      </c>
      <c r="AX41" s="39" t="e">
        <f>#REF!-#REF!</f>
        <v>#REF!</v>
      </c>
      <c r="AY41" s="134"/>
      <c r="AZ41" s="61" t="e">
        <f ca="1">IF(#REF!&lt;&gt;"",#REF!,OFFSET(#REF!,-1,0))</f>
        <v>#REF!</v>
      </c>
      <c r="BA41" s="144"/>
      <c r="BB41" s="3" t="e">
        <f>#REF!</f>
        <v>#REF!</v>
      </c>
      <c r="BC41" s="146" t="e">
        <f>-#REF! / 2 + -#REF! * 2 + -#REF! / 2</f>
        <v>#REF!</v>
      </c>
      <c r="BD41" s="146"/>
      <c r="BE41" s="146"/>
      <c r="BF41" s="146"/>
      <c r="BG41" s="147" t="e">
        <f>#REF!</f>
        <v>#REF!</v>
      </c>
      <c r="BH41" s="3" t="e">
        <f>IF(AND(#REF!=0,#REF!=0,#REF!=0,#REF!=0),"",IF(#REF!&gt;0,IF((#REF!+#REF!)/2+#REF!*2+ROUNDUP(#REF!/(1 + tech_2_2*Techs!Y41),0)=0,"Ok","Nope"),IF(#REF!&gt;0,IF((#REF!+#REF!)/2+#REF!*2+ROUNDUP(#REF!/(1 + tech_2_2*Techs!Y41),0)=0,"Ok","Nope"),IF(#REF!&gt;0,IF((#REF!+#REF!)/2+#REF!*2+ROUNDUP(#REF!/(1 + tech_2_2*Techs!Y41),0)=0,"Ok","Nope")))))</f>
        <v>#REF!</v>
      </c>
      <c r="BI41" s="39" t="e">
        <f>#REF!</f>
        <v>#REF!</v>
      </c>
      <c r="BJ41" s="39" t="e">
        <f>#REF!</f>
        <v>#REF!</v>
      </c>
      <c r="BK41" s="39" t="e">
        <f>#REF!</f>
        <v>#REF!</v>
      </c>
      <c r="BL41" s="39" t="e">
        <f>#REF!</f>
        <v>#REF!</v>
      </c>
      <c r="BM41" s="39" t="e">
        <f>#REF!</f>
        <v>#REF!</v>
      </c>
    </row>
    <row r="42" spans="1:65" x14ac:dyDescent="0.25">
      <c r="A42" s="130">
        <v>39</v>
      </c>
      <c r="B42" s="143" t="e">
        <f>#REF!</f>
        <v>#REF!</v>
      </c>
      <c r="C42" s="144"/>
      <c r="D42" s="133"/>
      <c r="E42" s="39" t="e">
        <f>#REF!</f>
        <v>#REF!</v>
      </c>
      <c r="F42" s="39" t="e">
        <f>#REF!</f>
        <v>#REF!</v>
      </c>
      <c r="G42" s="39" t="e">
        <f>#REF!</f>
        <v>#REF!</v>
      </c>
      <c r="H42" s="39" t="e">
        <f ca="1">OFFSET(#REF!,-1,0)+OFFSET(#REF!,-1,0) -#REF! + IF(#REF!,#REF!*4) + SUM(#REF!)*#REF!*tech_3_3_2*#REF!</f>
        <v>#REF!</v>
      </c>
      <c r="I42" s="39" t="e">
        <f ca="1">OFFSET(#REF!,-1,0)+OFFSET(#REF!,-1,0)+ROUNDUP((#REF!*80+#REF!*35)*(1+OFFSET(#REF!,-1,0)),0)</f>
        <v>#REF!</v>
      </c>
      <c r="J42" s="39" t="e">
        <f ca="1">OFFSET(#REF!,-1,0)+OFFSET(#REF!,-1,0) -#REF! + SUM(#REF!)*#REF!*tech_3_3_2*#REF!</f>
        <v>#REF!</v>
      </c>
      <c r="K42" s="39" t="e">
        <f ca="1">OFFSET(#REF!,-1,0)+OFFSET(#REF!,-1,0) -#REF!</f>
        <v>#REF!</v>
      </c>
      <c r="L42" s="39" t="e">
        <f ca="1">OFFSET(#REF!,-1,0)+OFFSET(#REF!,-1,0) -#REF!</f>
        <v>#REF!</v>
      </c>
      <c r="M42" s="39" t="e">
        <f ca="1">OFFSET(#REF!,-1,0)+OFFSET(#REF!,-1,0) -#REF!</f>
        <v>#REF!</v>
      </c>
      <c r="N42" s="39" t="e">
        <f ca="1">OFFSET(#REF!,-1,0)+OFFSET(#REF!,-1,0)</f>
        <v>#REF!</v>
      </c>
      <c r="O42" s="39" t="e">
        <f ca="1">OFFSET(#REF!,-1,0)</f>
        <v>#REF!</v>
      </c>
      <c r="P42" s="39" t="e">
        <f ca="1">ROUNDDOWN(OFFSET(#REF!,-1,0)+(1+research_bonus)*(MIN(#REF!,#REF!*school_max)*(1 - MIN((#REF!/(#REF!-#REF!)),school_max)))-#REF!*#REF!,0) + IF(#REF!&lt;&gt;"",350,0)</f>
        <v>#REF!</v>
      </c>
      <c r="Q42" s="39" t="e">
        <f ca="1">MAX(3750,_xlfn.CEILING.MATH(#REF!*2.5+OFFSET(#REF!,-1,0)*150))</f>
        <v>#REF!</v>
      </c>
      <c r="R42" s="134"/>
      <c r="S42" s="39" t="e">
        <f>ROUNDDOWN(#REF!*(1+#REF!),0)</f>
        <v>#REF!</v>
      </c>
      <c r="T42" s="39" t="e">
        <f>ROUND(#REF!*(1+#REF!)-#REF!-#REF!,0)</f>
        <v>#REF!</v>
      </c>
      <c r="U42" s="39" t="e">
        <f>ROUND(#REF!*(1+#REF!)-#REF!,0)</f>
        <v>#REF!</v>
      </c>
      <c r="V42" s="39" t="e">
        <f>ROUND(#REF!*(1+#REF!)-#REF!,0)</f>
        <v>#REF!</v>
      </c>
      <c r="W42" s="39" t="e">
        <f>ROUNDDOWN(#REF!*(1+#REF!),0)</f>
        <v>#REF!</v>
      </c>
      <c r="X42" s="39" t="e">
        <f>ROUNDDOWN(#REF!*(1+#REF!),0)</f>
        <v>#REF!</v>
      </c>
      <c r="Y42" s="145" t="e">
        <f ca="1">OFFSET(#REF!,1,0)*dock_boats_hr * (1 + tech_4_1*#REF!)</f>
        <v>#REF!</v>
      </c>
      <c r="Z42" s="133"/>
      <c r="AA42" s="39" t="e">
        <f ca="1">#REF!*tax*#REF! + (Construction!AZ43+Construction!BX43)*(alch_plat+(Magic!AM42&gt;0)*alchemist_flame_bonus)</f>
        <v>#REF!</v>
      </c>
      <c r="AB42" s="39" t="e">
        <f>#REF!*farm_food +#REF!* dock_food</f>
        <v>#REF!</v>
      </c>
      <c r="AC42" s="39" t="e">
        <f>#REF!*ly_lumber +#REF!* fh_lumber</f>
        <v>#REF!</v>
      </c>
      <c r="AD42" s="39" t="e">
        <f ca="1">OFFSET(#REF!,1,0)*(tower_mana + tech_4_5*#REF!) + OFFSET(#REF!,1,0)*wg_mana_prod</f>
        <v>#REF!</v>
      </c>
      <c r="AE42" s="39" t="e">
        <f ca="1">OFFSET(#REF!,1,0)*om_ore+IF(race="Dwarf",ROUNDDOWN(#REF!*0.4,0),)</f>
        <v>#REF!</v>
      </c>
      <c r="AF42" s="39" t="e">
        <f ca="1">OFFSET(#REF!,1,0)*dm_gems</f>
        <v>#REF!</v>
      </c>
      <c r="AG42" s="134"/>
      <c r="AH42" s="135" t="e">
        <f>MIN(race_platinum_bonus + IF(#REF!&gt;0,alch_frost_bonus,IF(Magic!AD42&gt;0,midas_bonus)) +#REF! -#REF!*( 0.02 + tech_5_7*#REF!) + tech_1_5*#REF! + tech_4_4*#REF!, 0.5)</f>
        <v>#REF!</v>
      </c>
      <c r="AI42" s="132" t="e">
        <f>(1 + race_food_bonus + IF(#REF!&gt;0,gaias_blessing_food,IF(#REF!&gt;0,gaias_watch_bonus)) +#REF! + tech_1_1*#REF! + tech_1_4*#REF! + tech_5_1*#REF! +#REF!/ 100*prestige_food_bonus*(1 + tech_8_1*#REF!)) - 1</f>
        <v>#REF!</v>
      </c>
      <c r="AJ42" s="135" t="e">
        <f>race_lumber_bonus+ IF(#REF!&gt;0,gaias_blessing_lumber)+ tech_1_3*#REF! + tech_1_6*#REF! + tech_3_3*#REF!</f>
        <v>#REF!</v>
      </c>
      <c r="AK42" s="135" t="e">
        <f>race_mana_bonus+ 0 +#REF! + tech_1_2*#REF! + tech_3_4*#REF!</f>
        <v>#REF!</v>
      </c>
      <c r="AL42" s="135" t="e">
        <f>race_ore_bonus + IF(#REF!&gt;0,miners_sight_bonus,IF(#REF!&gt;0,mining_strength_bonus)) +  tech_1_6*#REF!</f>
        <v>#REF!</v>
      </c>
      <c r="AM42" s="135" t="e">
        <f>race_gem_bonus+ tech_3_2*#REF! + tech_4_3*#REF! + tech_6_2*#REF!</f>
        <v>#REF!</v>
      </c>
      <c r="AN42" s="134"/>
      <c r="AO42" s="39" t="e">
        <f>#REF!*food_decay * (1 + tech_2_1*#REF! + tech_2_8*#REF!)</f>
        <v>#REF!</v>
      </c>
      <c r="AP42" s="39" t="e">
        <f>(1+race_food_consumption)*#REF!*food_per_person*(1+tech_1_10*#REF!+tech_7_5*#REF!)</f>
        <v>#REF!</v>
      </c>
      <c r="AQ42" s="39" t="e">
        <f>#REF!*lumber_rot * (1 + tech_2_1*#REF! + tech_2_8*#REF! + tech_5_2*#REF!)</f>
        <v>#REF!</v>
      </c>
      <c r="AR42" s="39" t="e">
        <f>#REF!*mana_drain * (1 + tech_2_1*#REF! + tech_2_8*#REF!)</f>
        <v>#REF!</v>
      </c>
      <c r="AS42" s="133"/>
      <c r="AT42" s="39" t="e">
        <f>#REF!+#REF!+#REF!+#REF!+#REF!-#REF!</f>
        <v>#REF!</v>
      </c>
      <c r="AU42" s="39" t="e">
        <f>#REF!+#REF!-#REF! + Military!$CL$25*#REF!</f>
        <v>#REF!</v>
      </c>
      <c r="AV42" s="39" t="e">
        <f>#REF! + Military!$CL$26*#REF!</f>
        <v>#REF!</v>
      </c>
      <c r="AW42" s="39" t="e">
        <f>Military!$CL$24*#REF!+#REF!-#REF!</f>
        <v>#REF!</v>
      </c>
      <c r="AX42" s="39" t="e">
        <f>#REF!-#REF!</f>
        <v>#REF!</v>
      </c>
      <c r="AY42" s="134"/>
      <c r="AZ42" s="61" t="e">
        <f ca="1">IF(#REF!&lt;&gt;"",#REF!,OFFSET(#REF!,-1,0))</f>
        <v>#REF!</v>
      </c>
      <c r="BA42" s="144"/>
      <c r="BB42" s="3" t="e">
        <f>#REF!</f>
        <v>#REF!</v>
      </c>
      <c r="BC42" s="146" t="e">
        <f>-#REF! / 2 + -#REF! * 2 + -#REF! / 2</f>
        <v>#REF!</v>
      </c>
      <c r="BD42" s="146"/>
      <c r="BE42" s="146"/>
      <c r="BF42" s="146"/>
      <c r="BG42" s="147" t="e">
        <f>#REF!</f>
        <v>#REF!</v>
      </c>
      <c r="BH42" s="3" t="e">
        <f>IF(AND(#REF!=0,#REF!=0,#REF!=0,#REF!=0),"",IF(#REF!&gt;0,IF((#REF!+#REF!)/2+#REF!*2+ROUNDUP(#REF!/(1 + tech_2_2*Techs!Y42),0)=0,"Ok","Nope"),IF(#REF!&gt;0,IF((#REF!+#REF!)/2+#REF!*2+ROUNDUP(#REF!/(1 + tech_2_2*Techs!Y42),0)=0,"Ok","Nope"),IF(#REF!&gt;0,IF((#REF!+#REF!)/2+#REF!*2+ROUNDUP(#REF!/(1 + tech_2_2*Techs!Y42),0)=0,"Ok","Nope")))))</f>
        <v>#REF!</v>
      </c>
      <c r="BI42" s="39" t="e">
        <f>#REF!</f>
        <v>#REF!</v>
      </c>
      <c r="BJ42" s="39" t="e">
        <f>#REF!</f>
        <v>#REF!</v>
      </c>
      <c r="BK42" s="39" t="e">
        <f>#REF!</f>
        <v>#REF!</v>
      </c>
      <c r="BL42" s="39" t="e">
        <f>#REF!</f>
        <v>#REF!</v>
      </c>
      <c r="BM42" s="39" t="e">
        <f>#REF!</f>
        <v>#REF!</v>
      </c>
    </row>
    <row r="43" spans="1:65" x14ac:dyDescent="0.25">
      <c r="A43" s="130">
        <v>40</v>
      </c>
      <c r="B43" s="143" t="e">
        <f>#REF!</f>
        <v>#REF!</v>
      </c>
      <c r="C43" s="144"/>
      <c r="D43" s="133"/>
      <c r="E43" s="39" t="e">
        <f>#REF!</f>
        <v>#REF!</v>
      </c>
      <c r="F43" s="39" t="e">
        <f>#REF!</f>
        <v>#REF!</v>
      </c>
      <c r="G43" s="39" t="e">
        <f>#REF!</f>
        <v>#REF!</v>
      </c>
      <c r="H43" s="39" t="e">
        <f ca="1">OFFSET(#REF!,-1,0)+OFFSET(#REF!,-1,0) -#REF! + IF(#REF!,#REF!*4) + SUM(#REF!)*#REF!*tech_3_3_2*#REF!</f>
        <v>#REF!</v>
      </c>
      <c r="I43" s="39" t="e">
        <f ca="1">OFFSET(#REF!,-1,0)+OFFSET(#REF!,-1,0)+ROUNDUP((#REF!*80+#REF!*35)*(1+OFFSET(#REF!,-1,0)),0)</f>
        <v>#REF!</v>
      </c>
      <c r="J43" s="39" t="e">
        <f ca="1">OFFSET(#REF!,-1,0)+OFFSET(#REF!,-1,0) -#REF! + SUM(#REF!)*#REF!*tech_3_3_2*#REF!</f>
        <v>#REF!</v>
      </c>
      <c r="K43" s="39" t="e">
        <f ca="1">OFFSET(#REF!,-1,0)+OFFSET(#REF!,-1,0) -#REF!</f>
        <v>#REF!</v>
      </c>
      <c r="L43" s="39" t="e">
        <f ca="1">OFFSET(#REF!,-1,0)+OFFSET(#REF!,-1,0) -#REF!</f>
        <v>#REF!</v>
      </c>
      <c r="M43" s="39" t="e">
        <f ca="1">OFFSET(#REF!,-1,0)+OFFSET(#REF!,-1,0) -#REF!</f>
        <v>#REF!</v>
      </c>
      <c r="N43" s="39" t="e">
        <f ca="1">OFFSET(#REF!,-1,0)+OFFSET(#REF!,-1,0)</f>
        <v>#REF!</v>
      </c>
      <c r="O43" s="39" t="e">
        <f ca="1">OFFSET(#REF!,-1,0)</f>
        <v>#REF!</v>
      </c>
      <c r="P43" s="39" t="e">
        <f ca="1">ROUNDDOWN(OFFSET(#REF!,-1,0)+(1+research_bonus)*(MIN(#REF!,#REF!*school_max)*(1 - MIN((#REF!/(#REF!-#REF!)),school_max)))-#REF!*#REF!,0) + IF(#REF!&lt;&gt;"",350,0)</f>
        <v>#REF!</v>
      </c>
      <c r="Q43" s="39" t="e">
        <f ca="1">MAX(3750,_xlfn.CEILING.MATH(#REF!*2.5+OFFSET(#REF!,-1,0)*150))</f>
        <v>#REF!</v>
      </c>
      <c r="R43" s="134"/>
      <c r="S43" s="39" t="e">
        <f>ROUNDDOWN(#REF!*(1+#REF!),0)</f>
        <v>#REF!</v>
      </c>
      <c r="T43" s="39" t="e">
        <f>ROUND(#REF!*(1+#REF!)-#REF!-#REF!,0)</f>
        <v>#REF!</v>
      </c>
      <c r="U43" s="39" t="e">
        <f>ROUND(#REF!*(1+#REF!)-#REF!,0)</f>
        <v>#REF!</v>
      </c>
      <c r="V43" s="39" t="e">
        <f>ROUND(#REF!*(1+#REF!)-#REF!,0)</f>
        <v>#REF!</v>
      </c>
      <c r="W43" s="39" t="e">
        <f>ROUNDDOWN(#REF!*(1+#REF!),0)</f>
        <v>#REF!</v>
      </c>
      <c r="X43" s="39" t="e">
        <f>ROUNDDOWN(#REF!*(1+#REF!),0)</f>
        <v>#REF!</v>
      </c>
      <c r="Y43" s="145" t="e">
        <f ca="1">OFFSET(#REF!,1,0)*dock_boats_hr * (1 + tech_4_1*#REF!)</f>
        <v>#REF!</v>
      </c>
      <c r="Z43" s="133"/>
      <c r="AA43" s="39" t="e">
        <f ca="1">#REF!*tax*#REF! + (Construction!AZ44+Construction!BX44)*(alch_plat+(Magic!AM43&gt;0)*alchemist_flame_bonus)</f>
        <v>#REF!</v>
      </c>
      <c r="AB43" s="39" t="e">
        <f>#REF!*farm_food +#REF!* dock_food</f>
        <v>#REF!</v>
      </c>
      <c r="AC43" s="39" t="e">
        <f>#REF!*ly_lumber +#REF!* fh_lumber</f>
        <v>#REF!</v>
      </c>
      <c r="AD43" s="39" t="e">
        <f ca="1">OFFSET(#REF!,1,0)*(tower_mana + tech_4_5*#REF!) + OFFSET(#REF!,1,0)*wg_mana_prod</f>
        <v>#REF!</v>
      </c>
      <c r="AE43" s="39" t="e">
        <f ca="1">OFFSET(#REF!,1,0)*om_ore+IF(race="Dwarf",ROUNDDOWN(#REF!*0.4,0),)</f>
        <v>#REF!</v>
      </c>
      <c r="AF43" s="39" t="e">
        <f ca="1">OFFSET(#REF!,1,0)*dm_gems</f>
        <v>#REF!</v>
      </c>
      <c r="AG43" s="134"/>
      <c r="AH43" s="135" t="e">
        <f>MIN(race_platinum_bonus + IF(#REF!&gt;0,alch_frost_bonus,IF(Magic!AD43&gt;0,midas_bonus)) +#REF! -#REF!*( 0.02 + tech_5_7*#REF!) + tech_1_5*#REF! + tech_4_4*#REF!, 0.5)</f>
        <v>#REF!</v>
      </c>
      <c r="AI43" s="132" t="e">
        <f>(1 + race_food_bonus + IF(#REF!&gt;0,gaias_blessing_food,IF(#REF!&gt;0,gaias_watch_bonus)) +#REF! + tech_1_1*#REF! + tech_1_4*#REF! + tech_5_1*#REF! +#REF!/ 100*prestige_food_bonus*(1 + tech_8_1*#REF!)) - 1</f>
        <v>#REF!</v>
      </c>
      <c r="AJ43" s="135" t="e">
        <f>race_lumber_bonus+ IF(#REF!&gt;0,gaias_blessing_lumber)+ tech_1_3*#REF! + tech_1_6*#REF! + tech_3_3*#REF!</f>
        <v>#REF!</v>
      </c>
      <c r="AK43" s="135" t="e">
        <f>race_mana_bonus+ 0 +#REF! + tech_1_2*#REF! + tech_3_4*#REF!</f>
        <v>#REF!</v>
      </c>
      <c r="AL43" s="135" t="e">
        <f>race_ore_bonus + IF(#REF!&gt;0,miners_sight_bonus,IF(#REF!&gt;0,mining_strength_bonus)) +  tech_1_6*#REF!</f>
        <v>#REF!</v>
      </c>
      <c r="AM43" s="135" t="e">
        <f>race_gem_bonus+ tech_3_2*#REF! + tech_4_3*#REF! + tech_6_2*#REF!</f>
        <v>#REF!</v>
      </c>
      <c r="AN43" s="134"/>
      <c r="AO43" s="39" t="e">
        <f>#REF!*food_decay * (1 + tech_2_1*#REF! + tech_2_8*#REF!)</f>
        <v>#REF!</v>
      </c>
      <c r="AP43" s="39" t="e">
        <f>(1+race_food_consumption)*#REF!*food_per_person*(1+tech_1_10*#REF!+tech_7_5*#REF!)</f>
        <v>#REF!</v>
      </c>
      <c r="AQ43" s="39" t="e">
        <f>#REF!*lumber_rot * (1 + tech_2_1*#REF! + tech_2_8*#REF! + tech_5_2*#REF!)</f>
        <v>#REF!</v>
      </c>
      <c r="AR43" s="39" t="e">
        <f>#REF!*mana_drain * (1 + tech_2_1*#REF! + tech_2_8*#REF!)</f>
        <v>#REF!</v>
      </c>
      <c r="AS43" s="133"/>
      <c r="AT43" s="39" t="e">
        <f>#REF!+#REF!+#REF!+#REF!+#REF!-#REF!</f>
        <v>#REF!</v>
      </c>
      <c r="AU43" s="39" t="e">
        <f>#REF!+#REF!-#REF! + Military!$CL$25*#REF!</f>
        <v>#REF!</v>
      </c>
      <c r="AV43" s="39" t="e">
        <f>#REF! + Military!$CL$26*#REF!</f>
        <v>#REF!</v>
      </c>
      <c r="AW43" s="39" t="e">
        <f>Military!$CL$24*#REF!+#REF!-#REF!</f>
        <v>#REF!</v>
      </c>
      <c r="AX43" s="39" t="e">
        <f>#REF!-#REF!</f>
        <v>#REF!</v>
      </c>
      <c r="AY43" s="134"/>
      <c r="AZ43" s="61" t="e">
        <f ca="1">IF(#REF!&lt;&gt;"",#REF!,OFFSET(#REF!,-1,0))</f>
        <v>#REF!</v>
      </c>
      <c r="BA43" s="144"/>
      <c r="BB43" s="3" t="e">
        <f>#REF!</f>
        <v>#REF!</v>
      </c>
      <c r="BC43" s="146" t="e">
        <f>-#REF! / 2 + -#REF! * 2 + -#REF! / 2</f>
        <v>#REF!</v>
      </c>
      <c r="BD43" s="146"/>
      <c r="BE43" s="146"/>
      <c r="BF43" s="146"/>
      <c r="BG43" s="147" t="e">
        <f>#REF!</f>
        <v>#REF!</v>
      </c>
      <c r="BH43" s="3" t="e">
        <f>IF(AND(#REF!=0,#REF!=0,#REF!=0,#REF!=0),"",IF(#REF!&gt;0,IF((#REF!+#REF!)/2+#REF!*2+ROUNDUP(#REF!/(1 + tech_2_2*Techs!Y43),0)=0,"Ok","Nope"),IF(#REF!&gt;0,IF((#REF!+#REF!)/2+#REF!*2+ROUNDUP(#REF!/(1 + tech_2_2*Techs!Y43),0)=0,"Ok","Nope"),IF(#REF!&gt;0,IF((#REF!+#REF!)/2+#REF!*2+ROUNDUP(#REF!/(1 + tech_2_2*Techs!Y43),0)=0,"Ok","Nope")))))</f>
        <v>#REF!</v>
      </c>
      <c r="BI43" s="39" t="e">
        <f>#REF!</f>
        <v>#REF!</v>
      </c>
      <c r="BJ43" s="39" t="e">
        <f>#REF!</f>
        <v>#REF!</v>
      </c>
      <c r="BK43" s="39" t="e">
        <f>#REF!</f>
        <v>#REF!</v>
      </c>
      <c r="BL43" s="39" t="e">
        <f>#REF!</f>
        <v>#REF!</v>
      </c>
      <c r="BM43" s="39" t="e">
        <f>#REF!</f>
        <v>#REF!</v>
      </c>
    </row>
    <row r="44" spans="1:65" x14ac:dyDescent="0.25">
      <c r="A44" s="130">
        <v>41</v>
      </c>
      <c r="B44" s="143" t="e">
        <f>#REF!</f>
        <v>#REF!</v>
      </c>
      <c r="C44" s="144"/>
      <c r="D44" s="133"/>
      <c r="E44" s="39" t="e">
        <f>#REF!</f>
        <v>#REF!</v>
      </c>
      <c r="F44" s="39" t="e">
        <f>#REF!</f>
        <v>#REF!</v>
      </c>
      <c r="G44" s="39" t="e">
        <f>#REF!</f>
        <v>#REF!</v>
      </c>
      <c r="H44" s="39" t="e">
        <f ca="1">OFFSET(#REF!,-1,0)+OFFSET(#REF!,-1,0) -#REF! + IF(#REF!,#REF!*4) + SUM(#REF!)*#REF!*tech_3_3_2*#REF!</f>
        <v>#REF!</v>
      </c>
      <c r="I44" s="39" t="e">
        <f ca="1">OFFSET(#REF!,-1,0)+OFFSET(#REF!,-1,0)+ROUNDUP((#REF!*80+#REF!*35)*(1+OFFSET(#REF!,-1,0)),0)</f>
        <v>#REF!</v>
      </c>
      <c r="J44" s="39" t="e">
        <f ca="1">OFFSET(#REF!,-1,0)+OFFSET(#REF!,-1,0) -#REF! + SUM(#REF!)*#REF!*tech_3_3_2*#REF!</f>
        <v>#REF!</v>
      </c>
      <c r="K44" s="39" t="e">
        <f ca="1">OFFSET(#REF!,-1,0)+OFFSET(#REF!,-1,0) -#REF!</f>
        <v>#REF!</v>
      </c>
      <c r="L44" s="39" t="e">
        <f ca="1">OFFSET(#REF!,-1,0)+OFFSET(#REF!,-1,0) -#REF!</f>
        <v>#REF!</v>
      </c>
      <c r="M44" s="39" t="e">
        <f ca="1">OFFSET(#REF!,-1,0)+OFFSET(#REF!,-1,0) -#REF!</f>
        <v>#REF!</v>
      </c>
      <c r="N44" s="39" t="e">
        <f ca="1">OFFSET(#REF!,-1,0)+OFFSET(#REF!,-1,0)</f>
        <v>#REF!</v>
      </c>
      <c r="O44" s="39" t="e">
        <f ca="1">OFFSET(#REF!,-1,0)</f>
        <v>#REF!</v>
      </c>
      <c r="P44" s="39" t="e">
        <f ca="1">ROUNDDOWN(OFFSET(#REF!,-1,0)+(1+research_bonus)*(MIN(#REF!,#REF!*school_max)*(1 - MIN((#REF!/(#REF!-#REF!)),school_max)))-#REF!*#REF!,0) + IF(#REF!&lt;&gt;"",350,0)</f>
        <v>#REF!</v>
      </c>
      <c r="Q44" s="39" t="e">
        <f ca="1">MAX(3750,_xlfn.CEILING.MATH(#REF!*2.5+OFFSET(#REF!,-1,0)*150))</f>
        <v>#REF!</v>
      </c>
      <c r="R44" s="134"/>
      <c r="S44" s="39" t="e">
        <f>ROUNDDOWN(#REF!*(1+#REF!),0)</f>
        <v>#REF!</v>
      </c>
      <c r="T44" s="39" t="e">
        <f>ROUND(#REF!*(1+#REF!)-#REF!-#REF!,0)</f>
        <v>#REF!</v>
      </c>
      <c r="U44" s="39" t="e">
        <f>ROUND(#REF!*(1+#REF!)-#REF!,0)</f>
        <v>#REF!</v>
      </c>
      <c r="V44" s="39" t="e">
        <f>ROUND(#REF!*(1+#REF!)-#REF!,0)</f>
        <v>#REF!</v>
      </c>
      <c r="W44" s="39" t="e">
        <f>ROUNDDOWN(#REF!*(1+#REF!),0)</f>
        <v>#REF!</v>
      </c>
      <c r="X44" s="39" t="e">
        <f>ROUNDDOWN(#REF!*(1+#REF!),0)</f>
        <v>#REF!</v>
      </c>
      <c r="Y44" s="145" t="e">
        <f ca="1">OFFSET(#REF!,1,0)*dock_boats_hr * (1 + tech_4_1*#REF!)</f>
        <v>#REF!</v>
      </c>
      <c r="Z44" s="133"/>
      <c r="AA44" s="39" t="e">
        <f ca="1">#REF!*tax*#REF! + (Construction!AZ45+Construction!BX45)*(alch_plat+(Magic!AM44&gt;0)*alchemist_flame_bonus)</f>
        <v>#REF!</v>
      </c>
      <c r="AB44" s="39" t="e">
        <f>#REF!*farm_food +#REF!* dock_food</f>
        <v>#REF!</v>
      </c>
      <c r="AC44" s="39" t="e">
        <f>#REF!*ly_lumber +#REF!* fh_lumber</f>
        <v>#REF!</v>
      </c>
      <c r="AD44" s="39" t="e">
        <f ca="1">OFFSET(#REF!,1,0)*(tower_mana + tech_4_5*#REF!) + OFFSET(#REF!,1,0)*wg_mana_prod</f>
        <v>#REF!</v>
      </c>
      <c r="AE44" s="39" t="e">
        <f ca="1">OFFSET(#REF!,1,0)*om_ore+IF(race="Dwarf",ROUNDDOWN(#REF!*0.4,0),)</f>
        <v>#REF!</v>
      </c>
      <c r="AF44" s="39" t="e">
        <f ca="1">OFFSET(#REF!,1,0)*dm_gems</f>
        <v>#REF!</v>
      </c>
      <c r="AG44" s="134"/>
      <c r="AH44" s="135" t="e">
        <f>MIN(race_platinum_bonus + IF(#REF!&gt;0,alch_frost_bonus,IF(Magic!AD44&gt;0,midas_bonus)) +#REF! -#REF!*( 0.02 + tech_5_7*#REF!) + tech_1_5*#REF! + tech_4_4*#REF!, 0.5)</f>
        <v>#REF!</v>
      </c>
      <c r="AI44" s="132" t="e">
        <f>(1 + race_food_bonus + IF(#REF!&gt;0,gaias_blessing_food,IF(#REF!&gt;0,gaias_watch_bonus)) +#REF! + tech_1_1*#REF! + tech_1_4*#REF! + tech_5_1*#REF! +#REF!/ 100*prestige_food_bonus*(1 + tech_8_1*#REF!)) - 1</f>
        <v>#REF!</v>
      </c>
      <c r="AJ44" s="135" t="e">
        <f>race_lumber_bonus+ IF(#REF!&gt;0,gaias_blessing_lumber)+ tech_1_3*#REF! + tech_1_6*#REF! + tech_3_3*#REF!</f>
        <v>#REF!</v>
      </c>
      <c r="AK44" s="135" t="e">
        <f>race_mana_bonus+ 0 +#REF! + tech_1_2*#REF! + tech_3_4*#REF!</f>
        <v>#REF!</v>
      </c>
      <c r="AL44" s="135" t="e">
        <f>race_ore_bonus + IF(#REF!&gt;0,miners_sight_bonus,IF(#REF!&gt;0,mining_strength_bonus)) +  tech_1_6*#REF!</f>
        <v>#REF!</v>
      </c>
      <c r="AM44" s="135" t="e">
        <f>race_gem_bonus+ tech_3_2*#REF! + tech_4_3*#REF! + tech_6_2*#REF!</f>
        <v>#REF!</v>
      </c>
      <c r="AN44" s="134"/>
      <c r="AO44" s="39" t="e">
        <f>#REF!*food_decay * (1 + tech_2_1*#REF! + tech_2_8*#REF!)</f>
        <v>#REF!</v>
      </c>
      <c r="AP44" s="39" t="e">
        <f>(1+race_food_consumption)*#REF!*food_per_person*(1+tech_1_10*#REF!+tech_7_5*#REF!)</f>
        <v>#REF!</v>
      </c>
      <c r="AQ44" s="39" t="e">
        <f>#REF!*lumber_rot * (1 + tech_2_1*#REF! + tech_2_8*#REF! + tech_5_2*#REF!)</f>
        <v>#REF!</v>
      </c>
      <c r="AR44" s="39" t="e">
        <f>#REF!*mana_drain * (1 + tech_2_1*#REF! + tech_2_8*#REF!)</f>
        <v>#REF!</v>
      </c>
      <c r="AS44" s="133"/>
      <c r="AT44" s="39" t="e">
        <f>#REF!+#REF!+#REF!+#REF!+#REF!-#REF!</f>
        <v>#REF!</v>
      </c>
      <c r="AU44" s="39" t="e">
        <f>#REF!+#REF!-#REF! + Military!$CL$25*#REF!</f>
        <v>#REF!</v>
      </c>
      <c r="AV44" s="39" t="e">
        <f>#REF! + Military!$CL$26*#REF!</f>
        <v>#REF!</v>
      </c>
      <c r="AW44" s="39" t="e">
        <f>Military!$CL$24*#REF!+#REF!-#REF!</f>
        <v>#REF!</v>
      </c>
      <c r="AX44" s="39" t="e">
        <f>#REF!-#REF!</f>
        <v>#REF!</v>
      </c>
      <c r="AY44" s="134"/>
      <c r="AZ44" s="61" t="e">
        <f ca="1">IF(#REF!&lt;&gt;"",#REF!,OFFSET(#REF!,-1,0))</f>
        <v>#REF!</v>
      </c>
      <c r="BA44" s="144"/>
      <c r="BB44" s="3" t="e">
        <f>#REF!</f>
        <v>#REF!</v>
      </c>
      <c r="BC44" s="146" t="e">
        <f>-#REF! / 2 + -#REF! * 2 + -#REF! / 2</f>
        <v>#REF!</v>
      </c>
      <c r="BD44" s="146"/>
      <c r="BE44" s="146"/>
      <c r="BF44" s="146"/>
      <c r="BG44" s="147" t="e">
        <f>#REF!</f>
        <v>#REF!</v>
      </c>
      <c r="BH44" s="3" t="e">
        <f>IF(AND(#REF!=0,#REF!=0,#REF!=0,#REF!=0),"",IF(#REF!&gt;0,IF((#REF!+#REF!)/2+#REF!*2+ROUNDUP(#REF!/(1 + tech_2_2*Techs!Y44),0)=0,"Ok","Nope"),IF(#REF!&gt;0,IF((#REF!+#REF!)/2+#REF!*2+ROUNDUP(#REF!/(1 + tech_2_2*Techs!Y44),0)=0,"Ok","Nope"),IF(#REF!&gt;0,IF((#REF!+#REF!)/2+#REF!*2+ROUNDUP(#REF!/(1 + tech_2_2*Techs!Y44),0)=0,"Ok","Nope")))))</f>
        <v>#REF!</v>
      </c>
      <c r="BI44" s="39" t="e">
        <f>#REF!</f>
        <v>#REF!</v>
      </c>
      <c r="BJ44" s="39" t="e">
        <f>#REF!</f>
        <v>#REF!</v>
      </c>
      <c r="BK44" s="39" t="e">
        <f>#REF!</f>
        <v>#REF!</v>
      </c>
      <c r="BL44" s="39" t="e">
        <f>#REF!</f>
        <v>#REF!</v>
      </c>
      <c r="BM44" s="39" t="e">
        <f>#REF!</f>
        <v>#REF!</v>
      </c>
    </row>
    <row r="45" spans="1:65" x14ac:dyDescent="0.25">
      <c r="A45" s="130">
        <v>42</v>
      </c>
      <c r="B45" s="143" t="e">
        <f>#REF!</f>
        <v>#REF!</v>
      </c>
      <c r="C45" s="144"/>
      <c r="D45" s="133"/>
      <c r="E45" s="39" t="e">
        <f>#REF!</f>
        <v>#REF!</v>
      </c>
      <c r="F45" s="39" t="e">
        <f>#REF!</f>
        <v>#REF!</v>
      </c>
      <c r="G45" s="39" t="e">
        <f>#REF!</f>
        <v>#REF!</v>
      </c>
      <c r="H45" s="39" t="e">
        <f ca="1">OFFSET(#REF!,-1,0)+OFFSET(#REF!,-1,0) -#REF! + IF(#REF!,#REF!*4) + SUM(#REF!)*#REF!*tech_3_3_2*#REF!</f>
        <v>#REF!</v>
      </c>
      <c r="I45" s="39" t="e">
        <f ca="1">OFFSET(#REF!,-1,0)+OFFSET(#REF!,-1,0)+ROUNDUP((#REF!*80+#REF!*35)*(1+OFFSET(#REF!,-1,0)),0)</f>
        <v>#REF!</v>
      </c>
      <c r="J45" s="39" t="e">
        <f ca="1">OFFSET(#REF!,-1,0)+OFFSET(#REF!,-1,0) -#REF! + SUM(#REF!)*#REF!*tech_3_3_2*#REF!</f>
        <v>#REF!</v>
      </c>
      <c r="K45" s="39" t="e">
        <f ca="1">OFFSET(#REF!,-1,0)+OFFSET(#REF!,-1,0) -#REF!</f>
        <v>#REF!</v>
      </c>
      <c r="L45" s="39" t="e">
        <f ca="1">OFFSET(#REF!,-1,0)+OFFSET(#REF!,-1,0) -#REF!</f>
        <v>#REF!</v>
      </c>
      <c r="M45" s="39" t="e">
        <f ca="1">OFFSET(#REF!,-1,0)+OFFSET(#REF!,-1,0) -#REF!</f>
        <v>#REF!</v>
      </c>
      <c r="N45" s="39" t="e">
        <f ca="1">OFFSET(#REF!,-1,0)+OFFSET(#REF!,-1,0)</f>
        <v>#REF!</v>
      </c>
      <c r="O45" s="39" t="e">
        <f ca="1">OFFSET(#REF!,-1,0)</f>
        <v>#REF!</v>
      </c>
      <c r="P45" s="39" t="e">
        <f ca="1">ROUNDDOWN(OFFSET(#REF!,-1,0)+(1+research_bonus)*(MIN(#REF!,#REF!*school_max)*(1 - MIN((#REF!/(#REF!-#REF!)),school_max)))-#REF!*#REF!,0) + IF(#REF!&lt;&gt;"",350,0)</f>
        <v>#REF!</v>
      </c>
      <c r="Q45" s="39" t="e">
        <f ca="1">MAX(3750,_xlfn.CEILING.MATH(#REF!*2.5+OFFSET(#REF!,-1,0)*150))</f>
        <v>#REF!</v>
      </c>
      <c r="R45" s="134"/>
      <c r="S45" s="39" t="e">
        <f>ROUNDDOWN(#REF!*(1+#REF!),0)</f>
        <v>#REF!</v>
      </c>
      <c r="T45" s="39" t="e">
        <f>ROUND(#REF!*(1+#REF!)-#REF!-#REF!,0)</f>
        <v>#REF!</v>
      </c>
      <c r="U45" s="39" t="e">
        <f>ROUND(#REF!*(1+#REF!)-#REF!,0)</f>
        <v>#REF!</v>
      </c>
      <c r="V45" s="39" t="e">
        <f>ROUND(#REF!*(1+#REF!)-#REF!,0)</f>
        <v>#REF!</v>
      </c>
      <c r="W45" s="39" t="e">
        <f>ROUNDDOWN(#REF!*(1+#REF!),0)</f>
        <v>#REF!</v>
      </c>
      <c r="X45" s="39" t="e">
        <f>ROUNDDOWN(#REF!*(1+#REF!),0)</f>
        <v>#REF!</v>
      </c>
      <c r="Y45" s="145" t="e">
        <f ca="1">OFFSET(#REF!,1,0)*dock_boats_hr * (1 + tech_4_1*#REF!)</f>
        <v>#REF!</v>
      </c>
      <c r="Z45" s="133"/>
      <c r="AA45" s="39" t="e">
        <f ca="1">#REF!*tax*#REF! + (Construction!AZ46+Construction!BX46)*(alch_plat+(Magic!AM45&gt;0)*alchemist_flame_bonus)</f>
        <v>#REF!</v>
      </c>
      <c r="AB45" s="39" t="e">
        <f>#REF!*farm_food +#REF!* dock_food</f>
        <v>#REF!</v>
      </c>
      <c r="AC45" s="39" t="e">
        <f>#REF!*ly_lumber +#REF!* fh_lumber</f>
        <v>#REF!</v>
      </c>
      <c r="AD45" s="39" t="e">
        <f ca="1">OFFSET(#REF!,1,0)*(tower_mana + tech_4_5*#REF!) + OFFSET(#REF!,1,0)*wg_mana_prod</f>
        <v>#REF!</v>
      </c>
      <c r="AE45" s="39" t="e">
        <f ca="1">OFFSET(#REF!,1,0)*om_ore+IF(race="Dwarf",ROUNDDOWN(#REF!*0.4,0),)</f>
        <v>#REF!</v>
      </c>
      <c r="AF45" s="39" t="e">
        <f ca="1">OFFSET(#REF!,1,0)*dm_gems</f>
        <v>#REF!</v>
      </c>
      <c r="AG45" s="134"/>
      <c r="AH45" s="135" t="e">
        <f>MIN(race_platinum_bonus + IF(#REF!&gt;0,alch_frost_bonus,IF(Magic!AD45&gt;0,midas_bonus)) +#REF! -#REF!*( 0.02 + tech_5_7*#REF!) + tech_1_5*#REF! + tech_4_4*#REF!, 0.5)</f>
        <v>#REF!</v>
      </c>
      <c r="AI45" s="132" t="e">
        <f>(1 + race_food_bonus + IF(#REF!&gt;0,gaias_blessing_food,IF(#REF!&gt;0,gaias_watch_bonus)) +#REF! + tech_1_1*#REF! + tech_1_4*#REF! + tech_5_1*#REF! +#REF!/ 100*prestige_food_bonus*(1 + tech_8_1*#REF!)) - 1</f>
        <v>#REF!</v>
      </c>
      <c r="AJ45" s="135" t="e">
        <f>race_lumber_bonus+ IF(#REF!&gt;0,gaias_blessing_lumber)+ tech_1_3*#REF! + tech_1_6*#REF! + tech_3_3*#REF!</f>
        <v>#REF!</v>
      </c>
      <c r="AK45" s="135" t="e">
        <f>race_mana_bonus+ 0 +#REF! + tech_1_2*#REF! + tech_3_4*#REF!</f>
        <v>#REF!</v>
      </c>
      <c r="AL45" s="135" t="e">
        <f>race_ore_bonus + IF(#REF!&gt;0,miners_sight_bonus,IF(#REF!&gt;0,mining_strength_bonus)) +  tech_1_6*#REF!</f>
        <v>#REF!</v>
      </c>
      <c r="AM45" s="135" t="e">
        <f>race_gem_bonus+ tech_3_2*#REF! + tech_4_3*#REF! + tech_6_2*#REF!</f>
        <v>#REF!</v>
      </c>
      <c r="AN45" s="134"/>
      <c r="AO45" s="39" t="e">
        <f>#REF!*food_decay * (1 + tech_2_1*#REF! + tech_2_8*#REF!)</f>
        <v>#REF!</v>
      </c>
      <c r="AP45" s="39" t="e">
        <f>(1+race_food_consumption)*#REF!*food_per_person*(1+tech_1_10*#REF!+tech_7_5*#REF!)</f>
        <v>#REF!</v>
      </c>
      <c r="AQ45" s="39" t="e">
        <f>#REF!*lumber_rot * (1 + tech_2_1*#REF! + tech_2_8*#REF! + tech_5_2*#REF!)</f>
        <v>#REF!</v>
      </c>
      <c r="AR45" s="39" t="e">
        <f>#REF!*mana_drain * (1 + tech_2_1*#REF! + tech_2_8*#REF!)</f>
        <v>#REF!</v>
      </c>
      <c r="AS45" s="133"/>
      <c r="AT45" s="39" t="e">
        <f>#REF!+#REF!+#REF!+#REF!+#REF!-#REF!</f>
        <v>#REF!</v>
      </c>
      <c r="AU45" s="39" t="e">
        <f>#REF!+#REF!-#REF! + Military!$CL$25*#REF!</f>
        <v>#REF!</v>
      </c>
      <c r="AV45" s="39" t="e">
        <f>#REF! + Military!$CL$26*#REF!</f>
        <v>#REF!</v>
      </c>
      <c r="AW45" s="39" t="e">
        <f>Military!$CL$24*#REF!+#REF!-#REF!</f>
        <v>#REF!</v>
      </c>
      <c r="AX45" s="39" t="e">
        <f>#REF!-#REF!</f>
        <v>#REF!</v>
      </c>
      <c r="AY45" s="134"/>
      <c r="AZ45" s="61" t="e">
        <f ca="1">IF(#REF!&lt;&gt;"",#REF!,OFFSET(#REF!,-1,0))</f>
        <v>#REF!</v>
      </c>
      <c r="BA45" s="144"/>
      <c r="BB45" s="3" t="e">
        <f>#REF!</f>
        <v>#REF!</v>
      </c>
      <c r="BC45" s="146" t="e">
        <f>-#REF! / 2 + -#REF! * 2 + -#REF! / 2</f>
        <v>#REF!</v>
      </c>
      <c r="BD45" s="146"/>
      <c r="BE45" s="146"/>
      <c r="BF45" s="146"/>
      <c r="BG45" s="147" t="e">
        <f>#REF!</f>
        <v>#REF!</v>
      </c>
      <c r="BH45" s="3" t="e">
        <f>IF(AND(#REF!=0,#REF!=0,#REF!=0,#REF!=0),"",IF(#REF!&gt;0,IF((#REF!+#REF!)/2+#REF!*2+ROUNDUP(#REF!/(1 + tech_2_2*Techs!Y45),0)=0,"Ok","Nope"),IF(#REF!&gt;0,IF((#REF!+#REF!)/2+#REF!*2+ROUNDUP(#REF!/(1 + tech_2_2*Techs!Y45),0)=0,"Ok","Nope"),IF(#REF!&gt;0,IF((#REF!+#REF!)/2+#REF!*2+ROUNDUP(#REF!/(1 + tech_2_2*Techs!Y45),0)=0,"Ok","Nope")))))</f>
        <v>#REF!</v>
      </c>
      <c r="BI45" s="39" t="e">
        <f>#REF!</f>
        <v>#REF!</v>
      </c>
      <c r="BJ45" s="39" t="e">
        <f>#REF!</f>
        <v>#REF!</v>
      </c>
      <c r="BK45" s="39" t="e">
        <f>#REF!</f>
        <v>#REF!</v>
      </c>
      <c r="BL45" s="39" t="e">
        <f>#REF!</f>
        <v>#REF!</v>
      </c>
      <c r="BM45" s="39" t="e">
        <f>#REF!</f>
        <v>#REF!</v>
      </c>
    </row>
    <row r="46" spans="1:65" x14ac:dyDescent="0.25">
      <c r="A46" s="130">
        <v>43</v>
      </c>
      <c r="B46" s="143" t="e">
        <f>#REF!</f>
        <v>#REF!</v>
      </c>
      <c r="C46" s="144"/>
      <c r="D46" s="133"/>
      <c r="E46" s="39" t="e">
        <f>#REF!</f>
        <v>#REF!</v>
      </c>
      <c r="F46" s="39" t="e">
        <f>#REF!</f>
        <v>#REF!</v>
      </c>
      <c r="G46" s="39" t="e">
        <f>#REF!</f>
        <v>#REF!</v>
      </c>
      <c r="H46" s="39" t="e">
        <f ca="1">OFFSET(#REF!,-1,0)+OFFSET(#REF!,-1,0) -#REF! + IF(#REF!,#REF!*4) + SUM(#REF!)*#REF!*tech_3_3_2*#REF!</f>
        <v>#REF!</v>
      </c>
      <c r="I46" s="39" t="e">
        <f ca="1">OFFSET(#REF!,-1,0)+OFFSET(#REF!,-1,0)+ROUNDUP((#REF!*80+#REF!*35)*(1+OFFSET(#REF!,-1,0)),0)</f>
        <v>#REF!</v>
      </c>
      <c r="J46" s="39" t="e">
        <f ca="1">OFFSET(#REF!,-1,0)+OFFSET(#REF!,-1,0) -#REF! + SUM(#REF!)*#REF!*tech_3_3_2*#REF!</f>
        <v>#REF!</v>
      </c>
      <c r="K46" s="39" t="e">
        <f ca="1">OFFSET(#REF!,-1,0)+OFFSET(#REF!,-1,0) -#REF!</f>
        <v>#REF!</v>
      </c>
      <c r="L46" s="39" t="e">
        <f ca="1">OFFSET(#REF!,-1,0)+OFFSET(#REF!,-1,0) -#REF!</f>
        <v>#REF!</v>
      </c>
      <c r="M46" s="39" t="e">
        <f ca="1">OFFSET(#REF!,-1,0)+OFFSET(#REF!,-1,0) -#REF!</f>
        <v>#REF!</v>
      </c>
      <c r="N46" s="39" t="e">
        <f ca="1">OFFSET(#REF!,-1,0)+OFFSET(#REF!,-1,0)</f>
        <v>#REF!</v>
      </c>
      <c r="O46" s="39" t="e">
        <f ca="1">OFFSET(#REF!,-1,0)</f>
        <v>#REF!</v>
      </c>
      <c r="P46" s="39" t="e">
        <f ca="1">ROUNDDOWN(OFFSET(#REF!,-1,0)+(1+research_bonus)*(MIN(#REF!,#REF!*school_max)*(1 - MIN((#REF!/(#REF!-#REF!)),school_max)))-#REF!*#REF!,0) + IF(#REF!&lt;&gt;"",350,0)</f>
        <v>#REF!</v>
      </c>
      <c r="Q46" s="39" t="e">
        <f ca="1">MAX(3750,_xlfn.CEILING.MATH(#REF!*2.5+OFFSET(#REF!,-1,0)*150))</f>
        <v>#REF!</v>
      </c>
      <c r="R46" s="134"/>
      <c r="S46" s="39" t="e">
        <f>ROUNDDOWN(#REF!*(1+#REF!),0)</f>
        <v>#REF!</v>
      </c>
      <c r="T46" s="39" t="e">
        <f>ROUND(#REF!*(1+#REF!)-#REF!-#REF!,0)</f>
        <v>#REF!</v>
      </c>
      <c r="U46" s="39" t="e">
        <f>ROUND(#REF!*(1+#REF!)-#REF!,0)</f>
        <v>#REF!</v>
      </c>
      <c r="V46" s="39" t="e">
        <f>ROUND(#REF!*(1+#REF!)-#REF!,0)</f>
        <v>#REF!</v>
      </c>
      <c r="W46" s="39" t="e">
        <f>ROUNDDOWN(#REF!*(1+#REF!),0)</f>
        <v>#REF!</v>
      </c>
      <c r="X46" s="39" t="e">
        <f>ROUNDDOWN(#REF!*(1+#REF!),0)</f>
        <v>#REF!</v>
      </c>
      <c r="Y46" s="145" t="e">
        <f ca="1">OFFSET(#REF!,1,0)*dock_boats_hr * (1 + tech_4_1*#REF!)</f>
        <v>#REF!</v>
      </c>
      <c r="Z46" s="133"/>
      <c r="AA46" s="39" t="e">
        <f ca="1">#REF!*tax*#REF! + (Construction!AZ47+Construction!BX47)*(alch_plat+(Magic!AM46&gt;0)*alchemist_flame_bonus)</f>
        <v>#REF!</v>
      </c>
      <c r="AB46" s="39" t="e">
        <f>#REF!*farm_food +#REF!* dock_food</f>
        <v>#REF!</v>
      </c>
      <c r="AC46" s="39" t="e">
        <f>#REF!*ly_lumber +#REF!* fh_lumber</f>
        <v>#REF!</v>
      </c>
      <c r="AD46" s="39" t="e">
        <f ca="1">OFFSET(#REF!,1,0)*(tower_mana + tech_4_5*#REF!) + OFFSET(#REF!,1,0)*wg_mana_prod</f>
        <v>#REF!</v>
      </c>
      <c r="AE46" s="39" t="e">
        <f ca="1">OFFSET(#REF!,1,0)*om_ore+IF(race="Dwarf",ROUNDDOWN(#REF!*0.4,0),)</f>
        <v>#REF!</v>
      </c>
      <c r="AF46" s="39" t="e">
        <f ca="1">OFFSET(#REF!,1,0)*dm_gems</f>
        <v>#REF!</v>
      </c>
      <c r="AG46" s="134"/>
      <c r="AH46" s="135" t="e">
        <f>MIN(race_platinum_bonus + IF(#REF!&gt;0,alch_frost_bonus,IF(Magic!AD46&gt;0,midas_bonus)) +#REF! -#REF!*( 0.02 + tech_5_7*#REF!) + tech_1_5*#REF! + tech_4_4*#REF!, 0.5)</f>
        <v>#REF!</v>
      </c>
      <c r="AI46" s="132" t="e">
        <f>(1 + race_food_bonus + IF(#REF!&gt;0,gaias_blessing_food,IF(#REF!&gt;0,gaias_watch_bonus)) +#REF! + tech_1_1*#REF! + tech_1_4*#REF! + tech_5_1*#REF! +#REF!/ 100*prestige_food_bonus*(1 + tech_8_1*#REF!)) - 1</f>
        <v>#REF!</v>
      </c>
      <c r="AJ46" s="135" t="e">
        <f>race_lumber_bonus+ IF(#REF!&gt;0,gaias_blessing_lumber)+ tech_1_3*#REF! + tech_1_6*#REF! + tech_3_3*#REF!</f>
        <v>#REF!</v>
      </c>
      <c r="AK46" s="135" t="e">
        <f>race_mana_bonus+ 0 +#REF! + tech_1_2*#REF! + tech_3_4*#REF!</f>
        <v>#REF!</v>
      </c>
      <c r="AL46" s="135" t="e">
        <f>race_ore_bonus + IF(#REF!&gt;0,miners_sight_bonus,IF(#REF!&gt;0,mining_strength_bonus)) +  tech_1_6*#REF!</f>
        <v>#REF!</v>
      </c>
      <c r="AM46" s="135" t="e">
        <f>race_gem_bonus+ tech_3_2*#REF! + tech_4_3*#REF! + tech_6_2*#REF!</f>
        <v>#REF!</v>
      </c>
      <c r="AN46" s="134"/>
      <c r="AO46" s="39" t="e">
        <f>#REF!*food_decay * (1 + tech_2_1*#REF! + tech_2_8*#REF!)</f>
        <v>#REF!</v>
      </c>
      <c r="AP46" s="39" t="e">
        <f>(1+race_food_consumption)*#REF!*food_per_person*(1+tech_1_10*#REF!+tech_7_5*#REF!)</f>
        <v>#REF!</v>
      </c>
      <c r="AQ46" s="39" t="e">
        <f>#REF!*lumber_rot * (1 + tech_2_1*#REF! + tech_2_8*#REF! + tech_5_2*#REF!)</f>
        <v>#REF!</v>
      </c>
      <c r="AR46" s="39" t="e">
        <f>#REF!*mana_drain * (1 + tech_2_1*#REF! + tech_2_8*#REF!)</f>
        <v>#REF!</v>
      </c>
      <c r="AS46" s="133"/>
      <c r="AT46" s="39" t="e">
        <f>#REF!+#REF!+#REF!+#REF!+#REF!-#REF!</f>
        <v>#REF!</v>
      </c>
      <c r="AU46" s="39" t="e">
        <f>#REF!+#REF!-#REF! + Military!$CL$25*#REF!</f>
        <v>#REF!</v>
      </c>
      <c r="AV46" s="39" t="e">
        <f>#REF! + Military!$CL$26*#REF!</f>
        <v>#REF!</v>
      </c>
      <c r="AW46" s="39" t="e">
        <f>Military!$CL$24*#REF!+#REF!-#REF!</f>
        <v>#REF!</v>
      </c>
      <c r="AX46" s="39" t="e">
        <f>#REF!-#REF!</f>
        <v>#REF!</v>
      </c>
      <c r="AY46" s="134"/>
      <c r="AZ46" s="61" t="e">
        <f ca="1">IF(#REF!&lt;&gt;"",#REF!,OFFSET(#REF!,-1,0))</f>
        <v>#REF!</v>
      </c>
      <c r="BA46" s="144"/>
      <c r="BB46" s="3" t="e">
        <f>#REF!</f>
        <v>#REF!</v>
      </c>
      <c r="BC46" s="146" t="e">
        <f>-#REF! / 2 + -#REF! * 2 + -#REF! / 2</f>
        <v>#REF!</v>
      </c>
      <c r="BD46" s="146"/>
      <c r="BE46" s="146"/>
      <c r="BF46" s="146"/>
      <c r="BG46" s="147" t="e">
        <f>#REF!</f>
        <v>#REF!</v>
      </c>
      <c r="BH46" s="3" t="e">
        <f>IF(AND(#REF!=0,#REF!=0,#REF!=0,#REF!=0),"",IF(#REF!&gt;0,IF((#REF!+#REF!)/2+#REF!*2+ROUNDUP(#REF!/(1 + tech_2_2*Techs!Y46),0)=0,"Ok","Nope"),IF(#REF!&gt;0,IF((#REF!+#REF!)/2+#REF!*2+ROUNDUP(#REF!/(1 + tech_2_2*Techs!Y46),0)=0,"Ok","Nope"),IF(#REF!&gt;0,IF((#REF!+#REF!)/2+#REF!*2+ROUNDUP(#REF!/(1 + tech_2_2*Techs!Y46),0)=0,"Ok","Nope")))))</f>
        <v>#REF!</v>
      </c>
      <c r="BI46" s="39" t="e">
        <f>#REF!</f>
        <v>#REF!</v>
      </c>
      <c r="BJ46" s="39" t="e">
        <f>#REF!</f>
        <v>#REF!</v>
      </c>
      <c r="BK46" s="39" t="e">
        <f>#REF!</f>
        <v>#REF!</v>
      </c>
      <c r="BL46" s="39" t="e">
        <f>#REF!</f>
        <v>#REF!</v>
      </c>
      <c r="BM46" s="39" t="e">
        <f>#REF!</f>
        <v>#REF!</v>
      </c>
    </row>
    <row r="47" spans="1:65" x14ac:dyDescent="0.25">
      <c r="A47" s="130">
        <v>44</v>
      </c>
      <c r="B47" s="143" t="e">
        <f>#REF!</f>
        <v>#REF!</v>
      </c>
      <c r="C47" s="144"/>
      <c r="D47" s="133"/>
      <c r="E47" s="39" t="e">
        <f>#REF!</f>
        <v>#REF!</v>
      </c>
      <c r="F47" s="39" t="e">
        <f>#REF!</f>
        <v>#REF!</v>
      </c>
      <c r="G47" s="39" t="e">
        <f>#REF!</f>
        <v>#REF!</v>
      </c>
      <c r="H47" s="39" t="e">
        <f ca="1">OFFSET(#REF!,-1,0)+OFFSET(#REF!,-1,0) -#REF! + IF(#REF!,#REF!*4) + SUM(#REF!)*#REF!*tech_3_3_2*#REF!</f>
        <v>#REF!</v>
      </c>
      <c r="I47" s="39" t="e">
        <f ca="1">OFFSET(#REF!,-1,0)+OFFSET(#REF!,-1,0)+ROUNDUP((#REF!*80+#REF!*35)*(1+OFFSET(#REF!,-1,0)),0)</f>
        <v>#REF!</v>
      </c>
      <c r="J47" s="39" t="e">
        <f ca="1">OFFSET(#REF!,-1,0)+OFFSET(#REF!,-1,0) -#REF! + SUM(#REF!)*#REF!*tech_3_3_2*#REF!</f>
        <v>#REF!</v>
      </c>
      <c r="K47" s="39" t="e">
        <f ca="1">OFFSET(#REF!,-1,0)+OFFSET(#REF!,-1,0) -#REF!</f>
        <v>#REF!</v>
      </c>
      <c r="L47" s="39" t="e">
        <f ca="1">OFFSET(#REF!,-1,0)+OFFSET(#REF!,-1,0) -#REF!</f>
        <v>#REF!</v>
      </c>
      <c r="M47" s="39" t="e">
        <f ca="1">OFFSET(#REF!,-1,0)+OFFSET(#REF!,-1,0) -#REF!</f>
        <v>#REF!</v>
      </c>
      <c r="N47" s="39" t="e">
        <f ca="1">OFFSET(#REF!,-1,0)+OFFSET(#REF!,-1,0)</f>
        <v>#REF!</v>
      </c>
      <c r="O47" s="39" t="e">
        <f ca="1">OFFSET(#REF!,-1,0)</f>
        <v>#REF!</v>
      </c>
      <c r="P47" s="39" t="e">
        <f ca="1">ROUNDDOWN(OFFSET(#REF!,-1,0)+(1+research_bonus)*(MIN(#REF!,#REF!*school_max)*(1 - MIN((#REF!/(#REF!-#REF!)),school_max)))-#REF!*#REF!,0) + IF(#REF!&lt;&gt;"",350,0)</f>
        <v>#REF!</v>
      </c>
      <c r="Q47" s="39" t="e">
        <f ca="1">MAX(3750,_xlfn.CEILING.MATH(#REF!*2.5+OFFSET(#REF!,-1,0)*150))</f>
        <v>#REF!</v>
      </c>
      <c r="R47" s="134"/>
      <c r="S47" s="39" t="e">
        <f>ROUNDDOWN(#REF!*(1+#REF!),0)</f>
        <v>#REF!</v>
      </c>
      <c r="T47" s="39" t="e">
        <f>ROUND(#REF!*(1+#REF!)-#REF!-#REF!,0)</f>
        <v>#REF!</v>
      </c>
      <c r="U47" s="39" t="e">
        <f>ROUND(#REF!*(1+#REF!)-#REF!,0)</f>
        <v>#REF!</v>
      </c>
      <c r="V47" s="39" t="e">
        <f>ROUND(#REF!*(1+#REF!)-#REF!,0)</f>
        <v>#REF!</v>
      </c>
      <c r="W47" s="39" t="e">
        <f>ROUNDDOWN(#REF!*(1+#REF!),0)</f>
        <v>#REF!</v>
      </c>
      <c r="X47" s="39" t="e">
        <f>ROUNDDOWN(#REF!*(1+#REF!),0)</f>
        <v>#REF!</v>
      </c>
      <c r="Y47" s="145" t="e">
        <f ca="1">OFFSET(#REF!,1,0)*dock_boats_hr * (1 + tech_4_1*#REF!)</f>
        <v>#REF!</v>
      </c>
      <c r="Z47" s="133"/>
      <c r="AA47" s="39" t="e">
        <f ca="1">#REF!*tax*#REF! + (Construction!AZ48+Construction!BX48)*(alch_plat+(Magic!AM47&gt;0)*alchemist_flame_bonus)</f>
        <v>#REF!</v>
      </c>
      <c r="AB47" s="39" t="e">
        <f>#REF!*farm_food +#REF!* dock_food</f>
        <v>#REF!</v>
      </c>
      <c r="AC47" s="39" t="e">
        <f>#REF!*ly_lumber +#REF!* fh_lumber</f>
        <v>#REF!</v>
      </c>
      <c r="AD47" s="39" t="e">
        <f ca="1">OFFSET(#REF!,1,0)*(tower_mana + tech_4_5*#REF!) + OFFSET(#REF!,1,0)*wg_mana_prod</f>
        <v>#REF!</v>
      </c>
      <c r="AE47" s="39" t="e">
        <f ca="1">OFFSET(#REF!,1,0)*om_ore+IF(race="Dwarf",ROUNDDOWN(#REF!*0.4,0),)</f>
        <v>#REF!</v>
      </c>
      <c r="AF47" s="39" t="e">
        <f ca="1">OFFSET(#REF!,1,0)*dm_gems</f>
        <v>#REF!</v>
      </c>
      <c r="AG47" s="134"/>
      <c r="AH47" s="135" t="e">
        <f>MIN(race_platinum_bonus + IF(#REF!&gt;0,alch_frost_bonus,IF(Magic!AD47&gt;0,midas_bonus)) +#REF! -#REF!*( 0.02 + tech_5_7*#REF!) + tech_1_5*#REF! + tech_4_4*#REF!, 0.5)</f>
        <v>#REF!</v>
      </c>
      <c r="AI47" s="132" t="e">
        <f>(1 + race_food_bonus + IF(#REF!&gt;0,gaias_blessing_food,IF(#REF!&gt;0,gaias_watch_bonus)) +#REF! + tech_1_1*#REF! + tech_1_4*#REF! + tech_5_1*#REF! +#REF!/ 100*prestige_food_bonus*(1 + tech_8_1*#REF!)) - 1</f>
        <v>#REF!</v>
      </c>
      <c r="AJ47" s="135" t="e">
        <f>race_lumber_bonus+ IF(#REF!&gt;0,gaias_blessing_lumber)+ tech_1_3*#REF! + tech_1_6*#REF! + tech_3_3*#REF!</f>
        <v>#REF!</v>
      </c>
      <c r="AK47" s="135" t="e">
        <f>race_mana_bonus+ 0 +#REF! + tech_1_2*#REF! + tech_3_4*#REF!</f>
        <v>#REF!</v>
      </c>
      <c r="AL47" s="135" t="e">
        <f>race_ore_bonus + IF(#REF!&gt;0,miners_sight_bonus,IF(#REF!&gt;0,mining_strength_bonus)) +  tech_1_6*#REF!</f>
        <v>#REF!</v>
      </c>
      <c r="AM47" s="135" t="e">
        <f>race_gem_bonus+ tech_3_2*#REF! + tech_4_3*#REF! + tech_6_2*#REF!</f>
        <v>#REF!</v>
      </c>
      <c r="AN47" s="134"/>
      <c r="AO47" s="39" t="e">
        <f>#REF!*food_decay * (1 + tech_2_1*#REF! + tech_2_8*#REF!)</f>
        <v>#REF!</v>
      </c>
      <c r="AP47" s="39" t="e">
        <f>(1+race_food_consumption)*#REF!*food_per_person*(1+tech_1_10*#REF!+tech_7_5*#REF!)</f>
        <v>#REF!</v>
      </c>
      <c r="AQ47" s="39" t="e">
        <f>#REF!*lumber_rot * (1 + tech_2_1*#REF! + tech_2_8*#REF! + tech_5_2*#REF!)</f>
        <v>#REF!</v>
      </c>
      <c r="AR47" s="39" t="e">
        <f>#REF!*mana_drain * (1 + tech_2_1*#REF! + tech_2_8*#REF!)</f>
        <v>#REF!</v>
      </c>
      <c r="AS47" s="133"/>
      <c r="AT47" s="39" t="e">
        <f>#REF!+#REF!+#REF!+#REF!+#REF!-#REF!</f>
        <v>#REF!</v>
      </c>
      <c r="AU47" s="39" t="e">
        <f>#REF!+#REF!-#REF! + Military!$CL$25*#REF!</f>
        <v>#REF!</v>
      </c>
      <c r="AV47" s="39" t="e">
        <f>#REF! + Military!$CL$26*#REF!</f>
        <v>#REF!</v>
      </c>
      <c r="AW47" s="39" t="e">
        <f>Military!$CL$24*#REF!+#REF!-#REF!</f>
        <v>#REF!</v>
      </c>
      <c r="AX47" s="39" t="e">
        <f>#REF!-#REF!</f>
        <v>#REF!</v>
      </c>
      <c r="AY47" s="134"/>
      <c r="AZ47" s="61" t="e">
        <f ca="1">IF(#REF!&lt;&gt;"",#REF!,OFFSET(#REF!,-1,0))</f>
        <v>#REF!</v>
      </c>
      <c r="BA47" s="144"/>
      <c r="BB47" s="3" t="e">
        <f>#REF!</f>
        <v>#REF!</v>
      </c>
      <c r="BC47" s="146" t="e">
        <f>-#REF! / 2 + -#REF! * 2 + -#REF! / 2</f>
        <v>#REF!</v>
      </c>
      <c r="BD47" s="146"/>
      <c r="BE47" s="146"/>
      <c r="BF47" s="146"/>
      <c r="BG47" s="147" t="e">
        <f>#REF!</f>
        <v>#REF!</v>
      </c>
      <c r="BH47" s="3" t="e">
        <f>IF(AND(#REF!=0,#REF!=0,#REF!=0,#REF!=0),"",IF(#REF!&gt;0,IF((#REF!+#REF!)/2+#REF!*2+ROUNDUP(#REF!/(1 + tech_2_2*Techs!Y47),0)=0,"Ok","Nope"),IF(#REF!&gt;0,IF((#REF!+#REF!)/2+#REF!*2+ROUNDUP(#REF!/(1 + tech_2_2*Techs!Y47),0)=0,"Ok","Nope"),IF(#REF!&gt;0,IF((#REF!+#REF!)/2+#REF!*2+ROUNDUP(#REF!/(1 + tech_2_2*Techs!Y47),0)=0,"Ok","Nope")))))</f>
        <v>#REF!</v>
      </c>
      <c r="BI47" s="39" t="e">
        <f>#REF!</f>
        <v>#REF!</v>
      </c>
      <c r="BJ47" s="39" t="e">
        <f>#REF!</f>
        <v>#REF!</v>
      </c>
      <c r="BK47" s="39" t="e">
        <f>#REF!</f>
        <v>#REF!</v>
      </c>
      <c r="BL47" s="39" t="e">
        <f>#REF!</f>
        <v>#REF!</v>
      </c>
      <c r="BM47" s="39" t="e">
        <f>#REF!</f>
        <v>#REF!</v>
      </c>
    </row>
    <row r="48" spans="1:65" x14ac:dyDescent="0.25">
      <c r="A48" s="130">
        <v>45</v>
      </c>
      <c r="B48" s="143" t="e">
        <f>#REF!</f>
        <v>#REF!</v>
      </c>
      <c r="C48" s="144"/>
      <c r="D48" s="133"/>
      <c r="E48" s="39" t="e">
        <f>#REF!</f>
        <v>#REF!</v>
      </c>
      <c r="F48" s="39" t="e">
        <f>#REF!</f>
        <v>#REF!</v>
      </c>
      <c r="G48" s="39" t="e">
        <f>#REF!</f>
        <v>#REF!</v>
      </c>
      <c r="H48" s="39" t="e">
        <f ca="1">OFFSET(#REF!,-1,0)+OFFSET(#REF!,-1,0) -#REF! + IF(#REF!,#REF!*4) + SUM(#REF!)*#REF!*tech_3_3_2*#REF!</f>
        <v>#REF!</v>
      </c>
      <c r="I48" s="39" t="e">
        <f ca="1">OFFSET(#REF!,-1,0)+OFFSET(#REF!,-1,0)+ROUNDUP((#REF!*80+#REF!*35)*(1+OFFSET(#REF!,-1,0)),0)</f>
        <v>#REF!</v>
      </c>
      <c r="J48" s="39" t="e">
        <f ca="1">OFFSET(#REF!,-1,0)+OFFSET(#REF!,-1,0) -#REF! + SUM(#REF!)*#REF!*tech_3_3_2*#REF!</f>
        <v>#REF!</v>
      </c>
      <c r="K48" s="39" t="e">
        <f ca="1">OFFSET(#REF!,-1,0)+OFFSET(#REF!,-1,0) -#REF!</f>
        <v>#REF!</v>
      </c>
      <c r="L48" s="39" t="e">
        <f ca="1">OFFSET(#REF!,-1,0)+OFFSET(#REF!,-1,0) -#REF!</f>
        <v>#REF!</v>
      </c>
      <c r="M48" s="39" t="e">
        <f ca="1">OFFSET(#REF!,-1,0)+OFFSET(#REF!,-1,0) -#REF!</f>
        <v>#REF!</v>
      </c>
      <c r="N48" s="39" t="e">
        <f ca="1">OFFSET(#REF!,-1,0)+OFFSET(#REF!,-1,0)</f>
        <v>#REF!</v>
      </c>
      <c r="O48" s="39" t="e">
        <f ca="1">OFFSET(#REF!,-1,0)</f>
        <v>#REF!</v>
      </c>
      <c r="P48" s="39" t="e">
        <f ca="1">ROUNDDOWN(OFFSET(#REF!,-1,0)+(1+research_bonus)*(MIN(#REF!,#REF!*school_max)*(1 - MIN((#REF!/(#REF!-#REF!)),school_max)))-#REF!*#REF!,0) + IF(#REF!&lt;&gt;"",350,0)</f>
        <v>#REF!</v>
      </c>
      <c r="Q48" s="39" t="e">
        <f ca="1">MAX(3750,_xlfn.CEILING.MATH(#REF!*2.5+OFFSET(#REF!,-1,0)*150))</f>
        <v>#REF!</v>
      </c>
      <c r="R48" s="134"/>
      <c r="S48" s="39" t="e">
        <f>ROUNDDOWN(#REF!*(1+#REF!),0)</f>
        <v>#REF!</v>
      </c>
      <c r="T48" s="39" t="e">
        <f>ROUND(#REF!*(1+#REF!)-#REF!-#REF!,0)</f>
        <v>#REF!</v>
      </c>
      <c r="U48" s="39" t="e">
        <f>ROUND(#REF!*(1+#REF!)-#REF!,0)</f>
        <v>#REF!</v>
      </c>
      <c r="V48" s="39" t="e">
        <f>ROUND(#REF!*(1+#REF!)-#REF!,0)</f>
        <v>#REF!</v>
      </c>
      <c r="W48" s="39" t="e">
        <f>ROUNDDOWN(#REF!*(1+#REF!),0)</f>
        <v>#REF!</v>
      </c>
      <c r="X48" s="39" t="e">
        <f>ROUNDDOWN(#REF!*(1+#REF!),0)</f>
        <v>#REF!</v>
      </c>
      <c r="Y48" s="145" t="e">
        <f ca="1">OFFSET(#REF!,1,0)*dock_boats_hr * (1 + tech_4_1*#REF!)</f>
        <v>#REF!</v>
      </c>
      <c r="Z48" s="133"/>
      <c r="AA48" s="39" t="e">
        <f ca="1">#REF!*tax*#REF! + (Construction!AZ49+Construction!BX49)*(alch_plat+(Magic!AM48&gt;0)*alchemist_flame_bonus)</f>
        <v>#REF!</v>
      </c>
      <c r="AB48" s="39" t="e">
        <f>#REF!*farm_food +#REF!* dock_food</f>
        <v>#REF!</v>
      </c>
      <c r="AC48" s="39" t="e">
        <f>#REF!*ly_lumber +#REF!* fh_lumber</f>
        <v>#REF!</v>
      </c>
      <c r="AD48" s="39" t="e">
        <f ca="1">OFFSET(#REF!,1,0)*(tower_mana + tech_4_5*#REF!) + OFFSET(#REF!,1,0)*wg_mana_prod</f>
        <v>#REF!</v>
      </c>
      <c r="AE48" s="39" t="e">
        <f ca="1">OFFSET(#REF!,1,0)*om_ore+IF(race="Dwarf",ROUNDDOWN(#REF!*0.4,0),)</f>
        <v>#REF!</v>
      </c>
      <c r="AF48" s="39" t="e">
        <f ca="1">OFFSET(#REF!,1,0)*dm_gems</f>
        <v>#REF!</v>
      </c>
      <c r="AG48" s="134"/>
      <c r="AH48" s="135" t="e">
        <f>MIN(race_platinum_bonus + IF(#REF!&gt;0,alch_frost_bonus,IF(Magic!AD48&gt;0,midas_bonus)) +#REF! -#REF!*( 0.02 + tech_5_7*#REF!) + tech_1_5*#REF! + tech_4_4*#REF!, 0.5)</f>
        <v>#REF!</v>
      </c>
      <c r="AI48" s="132" t="e">
        <f>(1 + race_food_bonus + IF(#REF!&gt;0,gaias_blessing_food,IF(#REF!&gt;0,gaias_watch_bonus)) +#REF! + tech_1_1*#REF! + tech_1_4*#REF! + tech_5_1*#REF! +#REF!/ 100*prestige_food_bonus*(1 + tech_8_1*#REF!)) - 1</f>
        <v>#REF!</v>
      </c>
      <c r="AJ48" s="135" t="e">
        <f>race_lumber_bonus+ IF(#REF!&gt;0,gaias_blessing_lumber)+ tech_1_3*#REF! + tech_1_6*#REF! + tech_3_3*#REF!</f>
        <v>#REF!</v>
      </c>
      <c r="AK48" s="135" t="e">
        <f>race_mana_bonus+ 0 +#REF! + tech_1_2*#REF! + tech_3_4*#REF!</f>
        <v>#REF!</v>
      </c>
      <c r="AL48" s="135" t="e">
        <f>race_ore_bonus + IF(#REF!&gt;0,miners_sight_bonus,IF(#REF!&gt;0,mining_strength_bonus)) +  tech_1_6*#REF!</f>
        <v>#REF!</v>
      </c>
      <c r="AM48" s="135" t="e">
        <f>race_gem_bonus+ tech_3_2*#REF! + tech_4_3*#REF! + tech_6_2*#REF!</f>
        <v>#REF!</v>
      </c>
      <c r="AN48" s="134"/>
      <c r="AO48" s="39" t="e">
        <f>#REF!*food_decay * (1 + tech_2_1*#REF! + tech_2_8*#REF!)</f>
        <v>#REF!</v>
      </c>
      <c r="AP48" s="39" t="e">
        <f>(1+race_food_consumption)*#REF!*food_per_person*(1+tech_1_10*#REF!+tech_7_5*#REF!)</f>
        <v>#REF!</v>
      </c>
      <c r="AQ48" s="39" t="e">
        <f>#REF!*lumber_rot * (1 + tech_2_1*#REF! + tech_2_8*#REF! + tech_5_2*#REF!)</f>
        <v>#REF!</v>
      </c>
      <c r="AR48" s="39" t="e">
        <f>#REF!*mana_drain * (1 + tech_2_1*#REF! + tech_2_8*#REF!)</f>
        <v>#REF!</v>
      </c>
      <c r="AS48" s="133"/>
      <c r="AT48" s="39" t="e">
        <f>#REF!+#REF!+#REF!+#REF!+#REF!-#REF!</f>
        <v>#REF!</v>
      </c>
      <c r="AU48" s="39" t="e">
        <f>#REF!+#REF!-#REF! + Military!$CL$25*#REF!</f>
        <v>#REF!</v>
      </c>
      <c r="AV48" s="39" t="e">
        <f>#REF! + Military!$CL$26*#REF!</f>
        <v>#REF!</v>
      </c>
      <c r="AW48" s="39" t="e">
        <f>Military!$CL$24*#REF!+#REF!-#REF!</f>
        <v>#REF!</v>
      </c>
      <c r="AX48" s="39" t="e">
        <f>#REF!-#REF!</f>
        <v>#REF!</v>
      </c>
      <c r="AY48" s="134"/>
      <c r="AZ48" s="61" t="e">
        <f ca="1">IF(#REF!&lt;&gt;"",#REF!,OFFSET(#REF!,-1,0))</f>
        <v>#REF!</v>
      </c>
      <c r="BA48" s="144"/>
      <c r="BB48" s="3" t="e">
        <f>#REF!</f>
        <v>#REF!</v>
      </c>
      <c r="BC48" s="146" t="e">
        <f>-#REF! / 2 + -#REF! * 2 + -#REF! / 2</f>
        <v>#REF!</v>
      </c>
      <c r="BD48" s="146"/>
      <c r="BE48" s="146"/>
      <c r="BF48" s="146"/>
      <c r="BG48" s="147" t="e">
        <f>#REF!</f>
        <v>#REF!</v>
      </c>
      <c r="BH48" s="3" t="e">
        <f>IF(AND(#REF!=0,#REF!=0,#REF!=0,#REF!=0),"",IF(#REF!&gt;0,IF((#REF!+#REF!)/2+#REF!*2+ROUNDUP(#REF!/(1 + tech_2_2*Techs!Y48),0)=0,"Ok","Nope"),IF(#REF!&gt;0,IF((#REF!+#REF!)/2+#REF!*2+ROUNDUP(#REF!/(1 + tech_2_2*Techs!Y48),0)=0,"Ok","Nope"),IF(#REF!&gt;0,IF((#REF!+#REF!)/2+#REF!*2+ROUNDUP(#REF!/(1 + tech_2_2*Techs!Y48),0)=0,"Ok","Nope")))))</f>
        <v>#REF!</v>
      </c>
      <c r="BI48" s="39" t="e">
        <f>#REF!</f>
        <v>#REF!</v>
      </c>
      <c r="BJ48" s="39" t="e">
        <f>#REF!</f>
        <v>#REF!</v>
      </c>
      <c r="BK48" s="39" t="e">
        <f>#REF!</f>
        <v>#REF!</v>
      </c>
      <c r="BL48" s="39" t="e">
        <f>#REF!</f>
        <v>#REF!</v>
      </c>
      <c r="BM48" s="39" t="e">
        <f>#REF!</f>
        <v>#REF!</v>
      </c>
    </row>
    <row r="49" spans="1:65" x14ac:dyDescent="0.25">
      <c r="A49" s="130">
        <v>46</v>
      </c>
      <c r="B49" s="143" t="e">
        <f>#REF!</f>
        <v>#REF!</v>
      </c>
      <c r="C49" s="144"/>
      <c r="D49" s="133"/>
      <c r="E49" s="39" t="e">
        <f>#REF!</f>
        <v>#REF!</v>
      </c>
      <c r="F49" s="39" t="e">
        <f>#REF!</f>
        <v>#REF!</v>
      </c>
      <c r="G49" s="39" t="e">
        <f>#REF!</f>
        <v>#REF!</v>
      </c>
      <c r="H49" s="39" t="e">
        <f ca="1">OFFSET(#REF!,-1,0)+OFFSET(#REF!,-1,0) -#REF! + IF(#REF!,#REF!*4) + SUM(#REF!)*#REF!*tech_3_3_2*#REF!</f>
        <v>#REF!</v>
      </c>
      <c r="I49" s="39" t="e">
        <f ca="1">OFFSET(#REF!,-1,0)+OFFSET(#REF!,-1,0)+ROUNDUP((#REF!*80+#REF!*35)*(1+OFFSET(#REF!,-1,0)),0)</f>
        <v>#REF!</v>
      </c>
      <c r="J49" s="39" t="e">
        <f ca="1">OFFSET(#REF!,-1,0)+OFFSET(#REF!,-1,0) -#REF! + SUM(#REF!)*#REF!*tech_3_3_2*#REF!</f>
        <v>#REF!</v>
      </c>
      <c r="K49" s="39" t="e">
        <f ca="1">OFFSET(#REF!,-1,0)+OFFSET(#REF!,-1,0) -#REF!</f>
        <v>#REF!</v>
      </c>
      <c r="L49" s="39" t="e">
        <f ca="1">OFFSET(#REF!,-1,0)+OFFSET(#REF!,-1,0) -#REF!</f>
        <v>#REF!</v>
      </c>
      <c r="M49" s="39" t="e">
        <f ca="1">OFFSET(#REF!,-1,0)+OFFSET(#REF!,-1,0) -#REF!</f>
        <v>#REF!</v>
      </c>
      <c r="N49" s="39" t="e">
        <f ca="1">OFFSET(#REF!,-1,0)+OFFSET(#REF!,-1,0)</f>
        <v>#REF!</v>
      </c>
      <c r="O49" s="39" t="e">
        <f ca="1">OFFSET(#REF!,-1,0)</f>
        <v>#REF!</v>
      </c>
      <c r="P49" s="39" t="e">
        <f ca="1">ROUNDDOWN(OFFSET(#REF!,-1,0)+(1+research_bonus)*(MIN(#REF!,#REF!*school_max)*(1 - MIN((#REF!/(#REF!-#REF!)),school_max)))-#REF!*#REF!,0) + IF(#REF!&lt;&gt;"",350,0)</f>
        <v>#REF!</v>
      </c>
      <c r="Q49" s="39" t="e">
        <f ca="1">MAX(3750,_xlfn.CEILING.MATH(#REF!*2.5+OFFSET(#REF!,-1,0)*150))</f>
        <v>#REF!</v>
      </c>
      <c r="R49" s="134"/>
      <c r="S49" s="39" t="e">
        <f>ROUNDDOWN(#REF!*(1+#REF!),0)</f>
        <v>#REF!</v>
      </c>
      <c r="T49" s="39" t="e">
        <f>ROUND(#REF!*(1+#REF!)-#REF!-#REF!,0)</f>
        <v>#REF!</v>
      </c>
      <c r="U49" s="39" t="e">
        <f>ROUND(#REF!*(1+#REF!)-#REF!,0)</f>
        <v>#REF!</v>
      </c>
      <c r="V49" s="39" t="e">
        <f>ROUND(#REF!*(1+#REF!)-#REF!,0)</f>
        <v>#REF!</v>
      </c>
      <c r="W49" s="39" t="e">
        <f>ROUNDDOWN(#REF!*(1+#REF!),0)</f>
        <v>#REF!</v>
      </c>
      <c r="X49" s="39" t="e">
        <f>ROUNDDOWN(#REF!*(1+#REF!),0)</f>
        <v>#REF!</v>
      </c>
      <c r="Y49" s="145" t="e">
        <f ca="1">OFFSET(#REF!,1,0)*dock_boats_hr * (1 + tech_4_1*#REF!)</f>
        <v>#REF!</v>
      </c>
      <c r="Z49" s="133"/>
      <c r="AA49" s="39" t="e">
        <f ca="1">#REF!*tax*#REF! + (Construction!AZ50+Construction!BX50)*(alch_plat+(Magic!AM49&gt;0)*alchemist_flame_bonus)</f>
        <v>#REF!</v>
      </c>
      <c r="AB49" s="39" t="e">
        <f>#REF!*farm_food +#REF!* dock_food</f>
        <v>#REF!</v>
      </c>
      <c r="AC49" s="39" t="e">
        <f>#REF!*ly_lumber +#REF!* fh_lumber</f>
        <v>#REF!</v>
      </c>
      <c r="AD49" s="39" t="e">
        <f ca="1">OFFSET(#REF!,1,0)*(tower_mana + tech_4_5*#REF!) + OFFSET(#REF!,1,0)*wg_mana_prod</f>
        <v>#REF!</v>
      </c>
      <c r="AE49" s="39" t="e">
        <f ca="1">OFFSET(#REF!,1,0)*om_ore+IF(race="Dwarf",ROUNDDOWN(#REF!*0.4,0),)</f>
        <v>#REF!</v>
      </c>
      <c r="AF49" s="39" t="e">
        <f ca="1">OFFSET(#REF!,1,0)*dm_gems</f>
        <v>#REF!</v>
      </c>
      <c r="AG49" s="134"/>
      <c r="AH49" s="135" t="e">
        <f>MIN(race_platinum_bonus + IF(#REF!&gt;0,alch_frost_bonus,IF(Magic!AD49&gt;0,midas_bonus)) +#REF! -#REF!*( 0.02 + tech_5_7*#REF!) + tech_1_5*#REF! + tech_4_4*#REF!, 0.5)</f>
        <v>#REF!</v>
      </c>
      <c r="AI49" s="132" t="e">
        <f>(1 + race_food_bonus + IF(#REF!&gt;0,gaias_blessing_food,IF(#REF!&gt;0,gaias_watch_bonus)) +#REF! + tech_1_1*#REF! + tech_1_4*#REF! + tech_5_1*#REF! +#REF!/ 100*prestige_food_bonus*(1 + tech_8_1*#REF!)) - 1</f>
        <v>#REF!</v>
      </c>
      <c r="AJ49" s="135" t="e">
        <f>race_lumber_bonus+ IF(#REF!&gt;0,gaias_blessing_lumber)+ tech_1_3*#REF! + tech_1_6*#REF! + tech_3_3*#REF!</f>
        <v>#REF!</v>
      </c>
      <c r="AK49" s="135" t="e">
        <f>race_mana_bonus+ 0 +#REF! + tech_1_2*#REF! + tech_3_4*#REF!</f>
        <v>#REF!</v>
      </c>
      <c r="AL49" s="135" t="e">
        <f>race_ore_bonus + IF(#REF!&gt;0,miners_sight_bonus,IF(#REF!&gt;0,mining_strength_bonus)) +  tech_1_6*#REF!</f>
        <v>#REF!</v>
      </c>
      <c r="AM49" s="135" t="e">
        <f>race_gem_bonus+ tech_3_2*#REF! + tech_4_3*#REF! + tech_6_2*#REF!</f>
        <v>#REF!</v>
      </c>
      <c r="AN49" s="134"/>
      <c r="AO49" s="39" t="e">
        <f>#REF!*food_decay * (1 + tech_2_1*#REF! + tech_2_8*#REF!)</f>
        <v>#REF!</v>
      </c>
      <c r="AP49" s="39" t="e">
        <f>(1+race_food_consumption)*#REF!*food_per_person*(1+tech_1_10*#REF!+tech_7_5*#REF!)</f>
        <v>#REF!</v>
      </c>
      <c r="AQ49" s="39" t="e">
        <f>#REF!*lumber_rot * (1 + tech_2_1*#REF! + tech_2_8*#REF! + tech_5_2*#REF!)</f>
        <v>#REF!</v>
      </c>
      <c r="AR49" s="39" t="e">
        <f>#REF!*mana_drain * (1 + tech_2_1*#REF! + tech_2_8*#REF!)</f>
        <v>#REF!</v>
      </c>
      <c r="AS49" s="133"/>
      <c r="AT49" s="39" t="e">
        <f>#REF!+#REF!+#REF!+#REF!+#REF!-#REF!</f>
        <v>#REF!</v>
      </c>
      <c r="AU49" s="39" t="e">
        <f>#REF!+#REF!-#REF! + Military!$CL$25*#REF!</f>
        <v>#REF!</v>
      </c>
      <c r="AV49" s="39" t="e">
        <f>#REF! + Military!$CL$26*#REF!</f>
        <v>#REF!</v>
      </c>
      <c r="AW49" s="39" t="e">
        <f>Military!$CL$24*#REF!+#REF!-#REF!</f>
        <v>#REF!</v>
      </c>
      <c r="AX49" s="39" t="e">
        <f>#REF!-#REF!</f>
        <v>#REF!</v>
      </c>
      <c r="AY49" s="134"/>
      <c r="AZ49" s="61" t="e">
        <f ca="1">IF(#REF!&lt;&gt;"",#REF!,OFFSET(#REF!,-1,0))</f>
        <v>#REF!</v>
      </c>
      <c r="BA49" s="144"/>
      <c r="BB49" s="3" t="e">
        <f>#REF!</f>
        <v>#REF!</v>
      </c>
      <c r="BC49" s="146" t="e">
        <f>-#REF! / 2 + -#REF! * 2 + -#REF! / 2</f>
        <v>#REF!</v>
      </c>
      <c r="BD49" s="146"/>
      <c r="BE49" s="146"/>
      <c r="BF49" s="146"/>
      <c r="BG49" s="147" t="e">
        <f>#REF!</f>
        <v>#REF!</v>
      </c>
      <c r="BH49" s="3" t="e">
        <f>IF(AND(#REF!=0,#REF!=0,#REF!=0,#REF!=0),"",IF(#REF!&gt;0,IF((#REF!+#REF!)/2+#REF!*2+ROUNDUP(#REF!/(1 + tech_2_2*Techs!Y49),0)=0,"Ok","Nope"),IF(#REF!&gt;0,IF((#REF!+#REF!)/2+#REF!*2+ROUNDUP(#REF!/(1 + tech_2_2*Techs!Y49),0)=0,"Ok","Nope"),IF(#REF!&gt;0,IF((#REF!+#REF!)/2+#REF!*2+ROUNDUP(#REF!/(1 + tech_2_2*Techs!Y49),0)=0,"Ok","Nope")))))</f>
        <v>#REF!</v>
      </c>
      <c r="BI49" s="39" t="e">
        <f>#REF!</f>
        <v>#REF!</v>
      </c>
      <c r="BJ49" s="39" t="e">
        <f>#REF!</f>
        <v>#REF!</v>
      </c>
      <c r="BK49" s="39" t="e">
        <f>#REF!</f>
        <v>#REF!</v>
      </c>
      <c r="BL49" s="39" t="e">
        <f>#REF!</f>
        <v>#REF!</v>
      </c>
      <c r="BM49" s="39" t="e">
        <f>#REF!</f>
        <v>#REF!</v>
      </c>
    </row>
    <row r="50" spans="1:65" x14ac:dyDescent="0.25">
      <c r="A50" s="130">
        <v>47</v>
      </c>
      <c r="B50" s="143" t="e">
        <f>#REF!</f>
        <v>#REF!</v>
      </c>
      <c r="C50" s="144"/>
      <c r="D50" s="133"/>
      <c r="E50" s="39" t="e">
        <f>#REF!</f>
        <v>#REF!</v>
      </c>
      <c r="F50" s="39" t="e">
        <f>#REF!</f>
        <v>#REF!</v>
      </c>
      <c r="G50" s="39" t="e">
        <f>#REF!</f>
        <v>#REF!</v>
      </c>
      <c r="H50" s="39" t="e">
        <f ca="1">OFFSET(#REF!,-1,0)+OFFSET(#REF!,-1,0) -#REF! + IF(#REF!,#REF!*4) + SUM(#REF!)*#REF!*tech_3_3_2*#REF!</f>
        <v>#REF!</v>
      </c>
      <c r="I50" s="39" t="e">
        <f ca="1">OFFSET(#REF!,-1,0)+OFFSET(#REF!,-1,0)+ROUNDUP((#REF!*80+#REF!*35)*(1+OFFSET(#REF!,-1,0)),0)</f>
        <v>#REF!</v>
      </c>
      <c r="J50" s="39" t="e">
        <f ca="1">OFFSET(#REF!,-1,0)+OFFSET(#REF!,-1,0) -#REF! + SUM(#REF!)*#REF!*tech_3_3_2*#REF!</f>
        <v>#REF!</v>
      </c>
      <c r="K50" s="39" t="e">
        <f ca="1">OFFSET(#REF!,-1,0)+OFFSET(#REF!,-1,0) -#REF!</f>
        <v>#REF!</v>
      </c>
      <c r="L50" s="39" t="e">
        <f ca="1">OFFSET(#REF!,-1,0)+OFFSET(#REF!,-1,0) -#REF!</f>
        <v>#REF!</v>
      </c>
      <c r="M50" s="39" t="e">
        <f ca="1">OFFSET(#REF!,-1,0)+OFFSET(#REF!,-1,0) -#REF!</f>
        <v>#REF!</v>
      </c>
      <c r="N50" s="39" t="e">
        <f ca="1">OFFSET(#REF!,-1,0)+OFFSET(#REF!,-1,0)</f>
        <v>#REF!</v>
      </c>
      <c r="O50" s="39" t="e">
        <f ca="1">OFFSET(#REF!,-1,0)</f>
        <v>#REF!</v>
      </c>
      <c r="P50" s="39" t="e">
        <f ca="1">ROUNDDOWN(OFFSET(#REF!,-1,0)+(1+research_bonus)*(MIN(#REF!,#REF!*school_max)*(1 - MIN((#REF!/(#REF!-#REF!)),school_max)))-#REF!*#REF!,0) + IF(#REF!&lt;&gt;"",350,0)</f>
        <v>#REF!</v>
      </c>
      <c r="Q50" s="39" t="e">
        <f ca="1">MAX(3750,_xlfn.CEILING.MATH(#REF!*2.5+OFFSET(#REF!,-1,0)*150))</f>
        <v>#REF!</v>
      </c>
      <c r="R50" s="134"/>
      <c r="S50" s="39" t="e">
        <f>ROUNDDOWN(#REF!*(1+#REF!),0)</f>
        <v>#REF!</v>
      </c>
      <c r="T50" s="39" t="e">
        <f>ROUND(#REF!*(1+#REF!)-#REF!-#REF!,0)</f>
        <v>#REF!</v>
      </c>
      <c r="U50" s="39" t="e">
        <f>ROUND(#REF!*(1+#REF!)-#REF!,0)</f>
        <v>#REF!</v>
      </c>
      <c r="V50" s="39" t="e">
        <f>ROUND(#REF!*(1+#REF!)-#REF!,0)</f>
        <v>#REF!</v>
      </c>
      <c r="W50" s="39" t="e">
        <f>ROUNDDOWN(#REF!*(1+#REF!),0)</f>
        <v>#REF!</v>
      </c>
      <c r="X50" s="39" t="e">
        <f>ROUNDDOWN(#REF!*(1+#REF!),0)</f>
        <v>#REF!</v>
      </c>
      <c r="Y50" s="145" t="e">
        <f ca="1">OFFSET(#REF!,1,0)*dock_boats_hr * (1 + tech_4_1*#REF!)</f>
        <v>#REF!</v>
      </c>
      <c r="Z50" s="133"/>
      <c r="AA50" s="39" t="e">
        <f ca="1">#REF!*tax*#REF! + (Construction!AZ51+Construction!BX51)*(alch_plat+(Magic!AM50&gt;0)*alchemist_flame_bonus)</f>
        <v>#REF!</v>
      </c>
      <c r="AB50" s="39" t="e">
        <f>#REF!*farm_food +#REF!* dock_food</f>
        <v>#REF!</v>
      </c>
      <c r="AC50" s="39" t="e">
        <f>#REF!*ly_lumber +#REF!* fh_lumber</f>
        <v>#REF!</v>
      </c>
      <c r="AD50" s="39" t="e">
        <f ca="1">OFFSET(#REF!,1,0)*(tower_mana + tech_4_5*#REF!) + OFFSET(#REF!,1,0)*wg_mana_prod</f>
        <v>#REF!</v>
      </c>
      <c r="AE50" s="39" t="e">
        <f ca="1">OFFSET(#REF!,1,0)*om_ore+IF(race="Dwarf",ROUNDDOWN(#REF!*0.4,0),)</f>
        <v>#REF!</v>
      </c>
      <c r="AF50" s="39" t="e">
        <f ca="1">OFFSET(#REF!,1,0)*dm_gems</f>
        <v>#REF!</v>
      </c>
      <c r="AG50" s="134"/>
      <c r="AH50" s="135" t="e">
        <f>MIN(race_platinum_bonus + IF(#REF!&gt;0,alch_frost_bonus,IF(Magic!AD50&gt;0,midas_bonus)) +#REF! -#REF!*( 0.02 + tech_5_7*#REF!) + tech_1_5*#REF! + tech_4_4*#REF!, 0.5)</f>
        <v>#REF!</v>
      </c>
      <c r="AI50" s="132" t="e">
        <f>(1 + race_food_bonus + IF(#REF!&gt;0,gaias_blessing_food,IF(#REF!&gt;0,gaias_watch_bonus)) +#REF! + tech_1_1*#REF! + tech_1_4*#REF! + tech_5_1*#REF! +#REF!/ 100*prestige_food_bonus*(1 + tech_8_1*#REF!)) - 1</f>
        <v>#REF!</v>
      </c>
      <c r="AJ50" s="135" t="e">
        <f>race_lumber_bonus+ IF(#REF!&gt;0,gaias_blessing_lumber)+ tech_1_3*#REF! + tech_1_6*#REF! + tech_3_3*#REF!</f>
        <v>#REF!</v>
      </c>
      <c r="AK50" s="135" t="e">
        <f>race_mana_bonus+ 0 +#REF! + tech_1_2*#REF! + tech_3_4*#REF!</f>
        <v>#REF!</v>
      </c>
      <c r="AL50" s="135" t="e">
        <f>race_ore_bonus + IF(#REF!&gt;0,miners_sight_bonus,IF(#REF!&gt;0,mining_strength_bonus)) +  tech_1_6*#REF!</f>
        <v>#REF!</v>
      </c>
      <c r="AM50" s="135" t="e">
        <f>race_gem_bonus+ tech_3_2*#REF! + tech_4_3*#REF! + tech_6_2*#REF!</f>
        <v>#REF!</v>
      </c>
      <c r="AN50" s="134"/>
      <c r="AO50" s="39" t="e">
        <f>#REF!*food_decay * (1 + tech_2_1*#REF! + tech_2_8*#REF!)</f>
        <v>#REF!</v>
      </c>
      <c r="AP50" s="39" t="e">
        <f>(1+race_food_consumption)*#REF!*food_per_person*(1+tech_1_10*#REF!+tech_7_5*#REF!)</f>
        <v>#REF!</v>
      </c>
      <c r="AQ50" s="39" t="e">
        <f>#REF!*lumber_rot * (1 + tech_2_1*#REF! + tech_2_8*#REF! + tech_5_2*#REF!)</f>
        <v>#REF!</v>
      </c>
      <c r="AR50" s="39" t="e">
        <f>#REF!*mana_drain * (1 + tech_2_1*#REF! + tech_2_8*#REF!)</f>
        <v>#REF!</v>
      </c>
      <c r="AS50" s="133"/>
      <c r="AT50" s="39" t="e">
        <f>#REF!+#REF!+#REF!+#REF!+#REF!-#REF!</f>
        <v>#REF!</v>
      </c>
      <c r="AU50" s="39" t="e">
        <f>#REF!+#REF!-#REF! + Military!$CL$25*#REF!</f>
        <v>#REF!</v>
      </c>
      <c r="AV50" s="39" t="e">
        <f>#REF! + Military!$CL$26*#REF!</f>
        <v>#REF!</v>
      </c>
      <c r="AW50" s="39" t="e">
        <f>Military!$CL$24*#REF!+#REF!-#REF!</f>
        <v>#REF!</v>
      </c>
      <c r="AX50" s="39" t="e">
        <f>#REF!-#REF!</f>
        <v>#REF!</v>
      </c>
      <c r="AY50" s="134"/>
      <c r="AZ50" s="61" t="e">
        <f ca="1">IF(#REF!&lt;&gt;"",#REF!,OFFSET(#REF!,-1,0))</f>
        <v>#REF!</v>
      </c>
      <c r="BA50" s="144"/>
      <c r="BB50" s="3" t="e">
        <f>#REF!</f>
        <v>#REF!</v>
      </c>
      <c r="BC50" s="146" t="e">
        <f>-#REF! / 2 + -#REF! * 2 + -#REF! / 2</f>
        <v>#REF!</v>
      </c>
      <c r="BD50" s="146"/>
      <c r="BE50" s="146"/>
      <c r="BF50" s="146"/>
      <c r="BG50" s="147" t="e">
        <f>#REF!</f>
        <v>#REF!</v>
      </c>
      <c r="BH50" s="3" t="e">
        <f>IF(AND(#REF!=0,#REF!=0,#REF!=0,#REF!=0),"",IF(#REF!&gt;0,IF((#REF!+#REF!)/2+#REF!*2+ROUNDUP(#REF!/(1 + tech_2_2*Techs!Y50),0)=0,"Ok","Nope"),IF(#REF!&gt;0,IF((#REF!+#REF!)/2+#REF!*2+ROUNDUP(#REF!/(1 + tech_2_2*Techs!Y50),0)=0,"Ok","Nope"),IF(#REF!&gt;0,IF((#REF!+#REF!)/2+#REF!*2+ROUNDUP(#REF!/(1 + tech_2_2*Techs!Y50),0)=0,"Ok","Nope")))))</f>
        <v>#REF!</v>
      </c>
      <c r="BI50" s="39" t="e">
        <f>#REF!</f>
        <v>#REF!</v>
      </c>
      <c r="BJ50" s="39" t="e">
        <f>#REF!</f>
        <v>#REF!</v>
      </c>
      <c r="BK50" s="39" t="e">
        <f>#REF!</f>
        <v>#REF!</v>
      </c>
      <c r="BL50" s="39" t="e">
        <f>#REF!</f>
        <v>#REF!</v>
      </c>
      <c r="BM50" s="39" t="e">
        <f>#REF!</f>
        <v>#REF!</v>
      </c>
    </row>
    <row r="51" spans="1:65" x14ac:dyDescent="0.25">
      <c r="A51" s="130">
        <v>48</v>
      </c>
      <c r="B51" s="143" t="e">
        <f>#REF!</f>
        <v>#REF!</v>
      </c>
      <c r="C51" s="144"/>
      <c r="D51" s="133"/>
      <c r="E51" s="39" t="e">
        <f>#REF!</f>
        <v>#REF!</v>
      </c>
      <c r="F51" s="39" t="e">
        <f>#REF!</f>
        <v>#REF!</v>
      </c>
      <c r="G51" s="39" t="e">
        <f>#REF!</f>
        <v>#REF!</v>
      </c>
      <c r="H51" s="39" t="e">
        <f ca="1">OFFSET(#REF!,-1,0)+OFFSET(#REF!,-1,0) -#REF! + IF(#REF!,#REF!*4) + SUM(#REF!)*#REF!*tech_3_3_2*#REF!</f>
        <v>#REF!</v>
      </c>
      <c r="I51" s="39" t="e">
        <f ca="1">OFFSET(#REF!,-1,0)+OFFSET(#REF!,-1,0)+ROUNDUP((#REF!*80+#REF!*35)*(1+OFFSET(#REF!,-1,0)),0)</f>
        <v>#REF!</v>
      </c>
      <c r="J51" s="39" t="e">
        <f ca="1">OFFSET(#REF!,-1,0)+OFFSET(#REF!,-1,0) -#REF! + SUM(#REF!)*#REF!*tech_3_3_2*#REF!</f>
        <v>#REF!</v>
      </c>
      <c r="K51" s="39" t="e">
        <f ca="1">OFFSET(#REF!,-1,0)+OFFSET(#REF!,-1,0) -#REF!</f>
        <v>#REF!</v>
      </c>
      <c r="L51" s="39" t="e">
        <f ca="1">OFFSET(#REF!,-1,0)+OFFSET(#REF!,-1,0) -#REF!</f>
        <v>#REF!</v>
      </c>
      <c r="M51" s="39" t="e">
        <f ca="1">OFFSET(#REF!,-1,0)+OFFSET(#REF!,-1,0) -#REF!</f>
        <v>#REF!</v>
      </c>
      <c r="N51" s="39" t="e">
        <f ca="1">OFFSET(#REF!,-1,0)+OFFSET(#REF!,-1,0)</f>
        <v>#REF!</v>
      </c>
      <c r="O51" s="39" t="e">
        <f ca="1">OFFSET(#REF!,-1,0)</f>
        <v>#REF!</v>
      </c>
      <c r="P51" s="39" t="e">
        <f ca="1">ROUNDDOWN(OFFSET(#REF!,-1,0)+(1+research_bonus)*(MIN(#REF!,#REF!*school_max)*(1 - MIN((#REF!/(#REF!-#REF!)),school_max)))-#REF!*#REF!,0) + IF(#REF!&lt;&gt;"",350,0)</f>
        <v>#REF!</v>
      </c>
      <c r="Q51" s="39" t="e">
        <f ca="1">MAX(3750,_xlfn.CEILING.MATH(#REF!*2.5+OFFSET(#REF!,-1,0)*150))</f>
        <v>#REF!</v>
      </c>
      <c r="R51" s="134"/>
      <c r="S51" s="39" t="e">
        <f>ROUNDDOWN(#REF!*(1+#REF!),0)</f>
        <v>#REF!</v>
      </c>
      <c r="T51" s="39" t="e">
        <f>ROUND(#REF!*(1+#REF!)-#REF!-#REF!,0)</f>
        <v>#REF!</v>
      </c>
      <c r="U51" s="39" t="e">
        <f>ROUND(#REF!*(1+#REF!)-#REF!,0)</f>
        <v>#REF!</v>
      </c>
      <c r="V51" s="39" t="e">
        <f>ROUND(#REF!*(1+#REF!)-#REF!,0)</f>
        <v>#REF!</v>
      </c>
      <c r="W51" s="39" t="e">
        <f>ROUNDDOWN(#REF!*(1+#REF!),0)</f>
        <v>#REF!</v>
      </c>
      <c r="X51" s="39" t="e">
        <f>ROUNDDOWN(#REF!*(1+#REF!),0)</f>
        <v>#REF!</v>
      </c>
      <c r="Y51" s="145" t="e">
        <f ca="1">OFFSET(#REF!,1,0)*dock_boats_hr * (1 + tech_4_1*#REF!)</f>
        <v>#REF!</v>
      </c>
      <c r="Z51" s="133"/>
      <c r="AA51" s="39" t="e">
        <f ca="1">#REF!*tax*#REF! + (Construction!AZ52+Construction!BX52)*(alch_plat+(Magic!AM51&gt;0)*alchemist_flame_bonus)</f>
        <v>#REF!</v>
      </c>
      <c r="AB51" s="39" t="e">
        <f>#REF!*farm_food +#REF!* dock_food</f>
        <v>#REF!</v>
      </c>
      <c r="AC51" s="39" t="e">
        <f>#REF!*ly_lumber +#REF!* fh_lumber</f>
        <v>#REF!</v>
      </c>
      <c r="AD51" s="39" t="e">
        <f ca="1">OFFSET(#REF!,1,0)*(tower_mana + tech_4_5*#REF!) + OFFSET(#REF!,1,0)*wg_mana_prod</f>
        <v>#REF!</v>
      </c>
      <c r="AE51" s="39" t="e">
        <f ca="1">OFFSET(#REF!,1,0)*om_ore+IF(race="Dwarf",ROUNDDOWN(#REF!*0.4,0),)</f>
        <v>#REF!</v>
      </c>
      <c r="AF51" s="39" t="e">
        <f ca="1">OFFSET(#REF!,1,0)*dm_gems</f>
        <v>#REF!</v>
      </c>
      <c r="AG51" s="134"/>
      <c r="AH51" s="135" t="e">
        <f>MIN(race_platinum_bonus + IF(#REF!&gt;0,alch_frost_bonus,IF(Magic!AD51&gt;0,midas_bonus)) +#REF! -#REF!*( 0.02 + tech_5_7*#REF!) + tech_1_5*#REF! + tech_4_4*#REF!, 0.5)</f>
        <v>#REF!</v>
      </c>
      <c r="AI51" s="132" t="e">
        <f>(1 + race_food_bonus + IF(#REF!&gt;0,gaias_blessing_food,IF(#REF!&gt;0,gaias_watch_bonus)) +#REF! + tech_1_1*#REF! + tech_1_4*#REF! + tech_5_1*#REF! +#REF!/ 100*prestige_food_bonus*(1 + tech_8_1*#REF!)) - 1</f>
        <v>#REF!</v>
      </c>
      <c r="AJ51" s="135" t="e">
        <f>race_lumber_bonus+ IF(#REF!&gt;0,gaias_blessing_lumber)+ tech_1_3*#REF! + tech_1_6*#REF! + tech_3_3*#REF!</f>
        <v>#REF!</v>
      </c>
      <c r="AK51" s="135" t="e">
        <f>race_mana_bonus+ 0 +#REF! + tech_1_2*#REF! + tech_3_4*#REF!</f>
        <v>#REF!</v>
      </c>
      <c r="AL51" s="135" t="e">
        <f>race_ore_bonus + IF(#REF!&gt;0,miners_sight_bonus,IF(#REF!&gt;0,mining_strength_bonus)) +  tech_1_6*#REF!</f>
        <v>#REF!</v>
      </c>
      <c r="AM51" s="135" t="e">
        <f>race_gem_bonus+ tech_3_2*#REF! + tech_4_3*#REF! + tech_6_2*#REF!</f>
        <v>#REF!</v>
      </c>
      <c r="AN51" s="134"/>
      <c r="AO51" s="39" t="e">
        <f>#REF!*food_decay * (1 + tech_2_1*#REF! + tech_2_8*#REF!)</f>
        <v>#REF!</v>
      </c>
      <c r="AP51" s="39" t="e">
        <f>(1+race_food_consumption)*#REF!*food_per_person*(1+tech_1_10*#REF!+tech_7_5*#REF!)</f>
        <v>#REF!</v>
      </c>
      <c r="AQ51" s="39" t="e">
        <f>#REF!*lumber_rot * (1 + tech_2_1*#REF! + tech_2_8*#REF! + tech_5_2*#REF!)</f>
        <v>#REF!</v>
      </c>
      <c r="AR51" s="39" t="e">
        <f>#REF!*mana_drain * (1 + tech_2_1*#REF! + tech_2_8*#REF!)</f>
        <v>#REF!</v>
      </c>
      <c r="AS51" s="133"/>
      <c r="AT51" s="39" t="e">
        <f>#REF!+#REF!+#REF!+#REF!+#REF!-#REF!</f>
        <v>#REF!</v>
      </c>
      <c r="AU51" s="39" t="e">
        <f>#REF!+#REF!-#REF! + Military!$CL$25*#REF!</f>
        <v>#REF!</v>
      </c>
      <c r="AV51" s="39" t="e">
        <f>#REF! + Military!$CL$26*#REF!</f>
        <v>#REF!</v>
      </c>
      <c r="AW51" s="39" t="e">
        <f>Military!$CL$24*#REF!+#REF!-#REF!</f>
        <v>#REF!</v>
      </c>
      <c r="AX51" s="39" t="e">
        <f>#REF!-#REF!</f>
        <v>#REF!</v>
      </c>
      <c r="AY51" s="134"/>
      <c r="AZ51" s="61" t="e">
        <f ca="1">IF(#REF!&lt;&gt;"",#REF!,OFFSET(#REF!,-1,0))</f>
        <v>#REF!</v>
      </c>
      <c r="BA51" s="144"/>
      <c r="BB51" s="3" t="e">
        <f>#REF!</f>
        <v>#REF!</v>
      </c>
      <c r="BC51" s="146" t="e">
        <f>-#REF! / 2 + -#REF! * 2 + -#REF! / 2</f>
        <v>#REF!</v>
      </c>
      <c r="BD51" s="146"/>
      <c r="BE51" s="146"/>
      <c r="BF51" s="146"/>
      <c r="BG51" s="147" t="e">
        <f>#REF!</f>
        <v>#REF!</v>
      </c>
      <c r="BH51" s="3" t="e">
        <f>IF(AND(#REF!=0,#REF!=0,#REF!=0,#REF!=0),"",IF(#REF!&gt;0,IF((#REF!+#REF!)/2+#REF!*2+ROUNDUP(#REF!/(1 + tech_2_2*Techs!Y51),0)=0,"Ok","Nope"),IF(#REF!&gt;0,IF((#REF!+#REF!)/2+#REF!*2+ROUNDUP(#REF!/(1 + tech_2_2*Techs!Y51),0)=0,"Ok","Nope"),IF(#REF!&gt;0,IF((#REF!+#REF!)/2+#REF!*2+ROUNDUP(#REF!/(1 + tech_2_2*Techs!Y51),0)=0,"Ok","Nope")))))</f>
        <v>#REF!</v>
      </c>
      <c r="BI51" s="39" t="e">
        <f>#REF!</f>
        <v>#REF!</v>
      </c>
      <c r="BJ51" s="39" t="e">
        <f>#REF!</f>
        <v>#REF!</v>
      </c>
      <c r="BK51" s="39" t="e">
        <f>#REF!</f>
        <v>#REF!</v>
      </c>
      <c r="BL51" s="39" t="e">
        <f>#REF!</f>
        <v>#REF!</v>
      </c>
      <c r="BM51" s="39" t="e">
        <f>#REF!</f>
        <v>#REF!</v>
      </c>
    </row>
    <row r="52" spans="1:65" x14ac:dyDescent="0.25">
      <c r="A52" s="130">
        <v>49</v>
      </c>
      <c r="B52" s="143" t="e">
        <f>#REF!</f>
        <v>#REF!</v>
      </c>
      <c r="C52" s="144"/>
      <c r="D52" s="133"/>
      <c r="E52" s="39" t="e">
        <f>#REF!</f>
        <v>#REF!</v>
      </c>
      <c r="F52" s="39" t="e">
        <f>#REF!</f>
        <v>#REF!</v>
      </c>
      <c r="G52" s="39" t="e">
        <f>#REF!</f>
        <v>#REF!</v>
      </c>
      <c r="H52" s="39" t="e">
        <f ca="1">OFFSET(#REF!,-1,0)+OFFSET(#REF!,-1,0) -#REF! + IF(#REF!,#REF!*4) + SUM(#REF!)*#REF!*tech_3_3_2*#REF!</f>
        <v>#REF!</v>
      </c>
      <c r="I52" s="39" t="e">
        <f ca="1">OFFSET(#REF!,-1,0)+OFFSET(#REF!,-1,0)+ROUNDUP((#REF!*80+#REF!*35)*(1+OFFSET(#REF!,-1,0)),0)</f>
        <v>#REF!</v>
      </c>
      <c r="J52" s="39" t="e">
        <f ca="1">OFFSET(#REF!,-1,0)+OFFSET(#REF!,-1,0) -#REF! + SUM(#REF!)*#REF!*tech_3_3_2*#REF!</f>
        <v>#REF!</v>
      </c>
      <c r="K52" s="39" t="e">
        <f ca="1">OFFSET(#REF!,-1,0)+OFFSET(#REF!,-1,0) -#REF!</f>
        <v>#REF!</v>
      </c>
      <c r="L52" s="39" t="e">
        <f ca="1">OFFSET(#REF!,-1,0)+OFFSET(#REF!,-1,0) -#REF!</f>
        <v>#REF!</v>
      </c>
      <c r="M52" s="39" t="e">
        <f ca="1">OFFSET(#REF!,-1,0)+OFFSET(#REF!,-1,0) -#REF!</f>
        <v>#REF!</v>
      </c>
      <c r="N52" s="39" t="e">
        <f ca="1">OFFSET(#REF!,-1,0)+OFFSET(#REF!,-1,0)</f>
        <v>#REF!</v>
      </c>
      <c r="O52" s="39" t="e">
        <f ca="1">OFFSET(#REF!,-1,0)</f>
        <v>#REF!</v>
      </c>
      <c r="P52" s="39" t="e">
        <f ca="1">ROUNDDOWN(OFFSET(#REF!,-1,0)+(1+research_bonus)*(MIN(#REF!,#REF!*school_max)*(1 - MIN((#REF!/(#REF!-#REF!)),school_max)))-#REF!*#REF!,0) + IF(#REF!&lt;&gt;"",350,0)</f>
        <v>#REF!</v>
      </c>
      <c r="Q52" s="39" t="e">
        <f ca="1">MAX(3750,_xlfn.CEILING.MATH(#REF!*2.5+OFFSET(#REF!,-1,0)*150))</f>
        <v>#REF!</v>
      </c>
      <c r="R52" s="134"/>
      <c r="S52" s="39" t="e">
        <f>ROUNDDOWN(#REF!*(1+#REF!),0)</f>
        <v>#REF!</v>
      </c>
      <c r="T52" s="39" t="e">
        <f>ROUND(#REF!*(1+#REF!)-#REF!-#REF!,0)</f>
        <v>#REF!</v>
      </c>
      <c r="U52" s="39" t="e">
        <f>ROUND(#REF!*(1+#REF!)-#REF!,0)</f>
        <v>#REF!</v>
      </c>
      <c r="V52" s="39" t="e">
        <f>ROUND(#REF!*(1+#REF!)-#REF!,0)</f>
        <v>#REF!</v>
      </c>
      <c r="W52" s="39" t="e">
        <f>ROUNDDOWN(#REF!*(1+#REF!),0)</f>
        <v>#REF!</v>
      </c>
      <c r="X52" s="39" t="e">
        <f>ROUNDDOWN(#REF!*(1+#REF!),0)</f>
        <v>#REF!</v>
      </c>
      <c r="Y52" s="145" t="e">
        <f ca="1">OFFSET(#REF!,1,0)*dock_boats_hr * (1 + tech_4_1*#REF!)</f>
        <v>#REF!</v>
      </c>
      <c r="Z52" s="133"/>
      <c r="AA52" s="39" t="e">
        <f ca="1">#REF!*tax*#REF! + (Construction!AZ53+Construction!BX53)*(alch_plat+(Magic!AM52&gt;0)*alchemist_flame_bonus)</f>
        <v>#REF!</v>
      </c>
      <c r="AB52" s="39" t="e">
        <f>#REF!*farm_food +#REF!* dock_food</f>
        <v>#REF!</v>
      </c>
      <c r="AC52" s="39" t="e">
        <f>#REF!*ly_lumber +#REF!* fh_lumber</f>
        <v>#REF!</v>
      </c>
      <c r="AD52" s="39" t="e">
        <f ca="1">OFFSET(#REF!,1,0)*(tower_mana + tech_4_5*#REF!) + OFFSET(#REF!,1,0)*wg_mana_prod</f>
        <v>#REF!</v>
      </c>
      <c r="AE52" s="39" t="e">
        <f ca="1">OFFSET(#REF!,1,0)*om_ore+IF(race="Dwarf",ROUNDDOWN(#REF!*0.4,0),)</f>
        <v>#REF!</v>
      </c>
      <c r="AF52" s="39" t="e">
        <f ca="1">OFFSET(#REF!,1,0)*dm_gems</f>
        <v>#REF!</v>
      </c>
      <c r="AG52" s="134"/>
      <c r="AH52" s="135" t="e">
        <f>MIN(race_platinum_bonus + IF(#REF!&gt;0,alch_frost_bonus,IF(Magic!AD52&gt;0,midas_bonus)) +#REF! -#REF!*( 0.02 + tech_5_7*#REF!) + tech_1_5*#REF! + tech_4_4*#REF!, 0.5)</f>
        <v>#REF!</v>
      </c>
      <c r="AI52" s="132" t="e">
        <f>(1 + race_food_bonus + IF(#REF!&gt;0,gaias_blessing_food,IF(#REF!&gt;0,gaias_watch_bonus)) +#REF! + tech_1_1*#REF! + tech_1_4*#REF! + tech_5_1*#REF! +#REF!/ 100*prestige_food_bonus*(1 + tech_8_1*#REF!)) - 1</f>
        <v>#REF!</v>
      </c>
      <c r="AJ52" s="135" t="e">
        <f>race_lumber_bonus+ IF(#REF!&gt;0,gaias_blessing_lumber)+ tech_1_3*#REF! + tech_1_6*#REF! + tech_3_3*#REF!</f>
        <v>#REF!</v>
      </c>
      <c r="AK52" s="135" t="e">
        <f>race_mana_bonus+ 0 +#REF! + tech_1_2*#REF! + tech_3_4*#REF!</f>
        <v>#REF!</v>
      </c>
      <c r="AL52" s="135" t="e">
        <f>race_ore_bonus + IF(#REF!&gt;0,miners_sight_bonus,IF(#REF!&gt;0,mining_strength_bonus)) +  tech_1_6*#REF!</f>
        <v>#REF!</v>
      </c>
      <c r="AM52" s="135" t="e">
        <f>race_gem_bonus+ tech_3_2*#REF! + tech_4_3*#REF! + tech_6_2*#REF!</f>
        <v>#REF!</v>
      </c>
      <c r="AN52" s="134"/>
      <c r="AO52" s="39" t="e">
        <f>#REF!*food_decay * (1 + tech_2_1*#REF! + tech_2_8*#REF!)</f>
        <v>#REF!</v>
      </c>
      <c r="AP52" s="39" t="e">
        <f>(1+race_food_consumption)*#REF!*food_per_person*(1+tech_1_10*#REF!+tech_7_5*#REF!)</f>
        <v>#REF!</v>
      </c>
      <c r="AQ52" s="39" t="e">
        <f>#REF!*lumber_rot * (1 + tech_2_1*#REF! + tech_2_8*#REF! + tech_5_2*#REF!)</f>
        <v>#REF!</v>
      </c>
      <c r="AR52" s="39" t="e">
        <f>#REF!*mana_drain * (1 + tech_2_1*#REF! + tech_2_8*#REF!)</f>
        <v>#REF!</v>
      </c>
      <c r="AS52" s="133"/>
      <c r="AT52" s="39" t="e">
        <f>#REF!+#REF!+#REF!+#REF!+#REF!-#REF!</f>
        <v>#REF!</v>
      </c>
      <c r="AU52" s="39" t="e">
        <f>#REF!+#REF!-#REF! + Military!$CL$25*#REF!</f>
        <v>#REF!</v>
      </c>
      <c r="AV52" s="39" t="e">
        <f>#REF! + Military!$CL$26*#REF!</f>
        <v>#REF!</v>
      </c>
      <c r="AW52" s="39" t="e">
        <f>Military!$CL$24*#REF!+#REF!-#REF!</f>
        <v>#REF!</v>
      </c>
      <c r="AX52" s="39" t="e">
        <f>#REF!-#REF!</f>
        <v>#REF!</v>
      </c>
      <c r="AY52" s="134"/>
      <c r="AZ52" s="61" t="e">
        <f ca="1">IF(#REF!&lt;&gt;"",#REF!,OFFSET(#REF!,-1,0))</f>
        <v>#REF!</v>
      </c>
      <c r="BA52" s="144"/>
      <c r="BB52" s="3" t="e">
        <f>#REF!</f>
        <v>#REF!</v>
      </c>
      <c r="BC52" s="146" t="e">
        <f>-#REF! / 2 + -#REF! * 2 + -#REF! / 2</f>
        <v>#REF!</v>
      </c>
      <c r="BD52" s="146"/>
      <c r="BE52" s="146"/>
      <c r="BF52" s="146"/>
      <c r="BG52" s="147" t="e">
        <f>#REF!</f>
        <v>#REF!</v>
      </c>
      <c r="BH52" s="3" t="e">
        <f>IF(AND(#REF!=0,#REF!=0,#REF!=0,#REF!=0),"",IF(#REF!&gt;0,IF((#REF!+#REF!)/2+#REF!*2+ROUNDUP(#REF!/(1 + tech_2_2*Techs!Y52),0)=0,"Ok","Nope"),IF(#REF!&gt;0,IF((#REF!+#REF!)/2+#REF!*2+ROUNDUP(#REF!/(1 + tech_2_2*Techs!Y52),0)=0,"Ok","Nope"),IF(#REF!&gt;0,IF((#REF!+#REF!)/2+#REF!*2+ROUNDUP(#REF!/(1 + tech_2_2*Techs!Y52),0)=0,"Ok","Nope")))))</f>
        <v>#REF!</v>
      </c>
      <c r="BI52" s="39" t="e">
        <f>#REF!</f>
        <v>#REF!</v>
      </c>
      <c r="BJ52" s="39" t="e">
        <f>#REF!</f>
        <v>#REF!</v>
      </c>
      <c r="BK52" s="39" t="e">
        <f>#REF!</f>
        <v>#REF!</v>
      </c>
      <c r="BL52" s="39" t="e">
        <f>#REF!</f>
        <v>#REF!</v>
      </c>
      <c r="BM52" s="39" t="e">
        <f>#REF!</f>
        <v>#REF!</v>
      </c>
    </row>
    <row r="53" spans="1:65" x14ac:dyDescent="0.25">
      <c r="A53" s="130">
        <v>50</v>
      </c>
      <c r="B53" s="143" t="e">
        <f>#REF!</f>
        <v>#REF!</v>
      </c>
      <c r="C53" s="144"/>
      <c r="D53" s="133"/>
      <c r="E53" s="39" t="e">
        <f>#REF!</f>
        <v>#REF!</v>
      </c>
      <c r="F53" s="39" t="e">
        <f>#REF!</f>
        <v>#REF!</v>
      </c>
      <c r="G53" s="39" t="e">
        <f>#REF!</f>
        <v>#REF!</v>
      </c>
      <c r="H53" s="39" t="e">
        <f ca="1">OFFSET(#REF!,-1,0)+OFFSET(#REF!,-1,0) -#REF! + IF(#REF!,#REF!*4) + SUM(#REF!)*#REF!*tech_3_3_2*#REF!</f>
        <v>#REF!</v>
      </c>
      <c r="I53" s="39" t="e">
        <f ca="1">OFFSET(#REF!,-1,0)+OFFSET(#REF!,-1,0)+ROUNDUP((#REF!*80+#REF!*35)*(1+OFFSET(#REF!,-1,0)),0)</f>
        <v>#REF!</v>
      </c>
      <c r="J53" s="39" t="e">
        <f ca="1">OFFSET(#REF!,-1,0)+OFFSET(#REF!,-1,0) -#REF! + SUM(#REF!)*#REF!*tech_3_3_2*#REF!</f>
        <v>#REF!</v>
      </c>
      <c r="K53" s="39" t="e">
        <f ca="1">OFFSET(#REF!,-1,0)+OFFSET(#REF!,-1,0) -#REF!</f>
        <v>#REF!</v>
      </c>
      <c r="L53" s="39" t="e">
        <f ca="1">OFFSET(#REF!,-1,0)+OFFSET(#REF!,-1,0) -#REF!</f>
        <v>#REF!</v>
      </c>
      <c r="M53" s="39" t="e">
        <f ca="1">OFFSET(#REF!,-1,0)+OFFSET(#REF!,-1,0) -#REF!</f>
        <v>#REF!</v>
      </c>
      <c r="N53" s="39" t="e">
        <f ca="1">OFFSET(#REF!,-1,0)+OFFSET(#REF!,-1,0)</f>
        <v>#REF!</v>
      </c>
      <c r="O53" s="39" t="e">
        <f ca="1">OFFSET(#REF!,-1,0)</f>
        <v>#REF!</v>
      </c>
      <c r="P53" s="39" t="e">
        <f ca="1">ROUNDDOWN(OFFSET(#REF!,-1,0)+(1+research_bonus)*(MIN(#REF!,#REF!*school_max)*(1 - MIN((#REF!/(#REF!-#REF!)),school_max)))-#REF!*#REF!,0) + IF(#REF!&lt;&gt;"",350,0)</f>
        <v>#REF!</v>
      </c>
      <c r="Q53" s="39" t="e">
        <f ca="1">MAX(3750,_xlfn.CEILING.MATH(#REF!*2.5+OFFSET(#REF!,-1,0)*150))</f>
        <v>#REF!</v>
      </c>
      <c r="R53" s="134"/>
      <c r="S53" s="39" t="e">
        <f>ROUNDDOWN(#REF!*(1+#REF!),0)</f>
        <v>#REF!</v>
      </c>
      <c r="T53" s="39" t="e">
        <f>ROUND(#REF!*(1+#REF!)-#REF!-#REF!,0)</f>
        <v>#REF!</v>
      </c>
      <c r="U53" s="39" t="e">
        <f>ROUND(#REF!*(1+#REF!)-#REF!,0)</f>
        <v>#REF!</v>
      </c>
      <c r="V53" s="39" t="e">
        <f>ROUND(#REF!*(1+#REF!)-#REF!,0)</f>
        <v>#REF!</v>
      </c>
      <c r="W53" s="39" t="e">
        <f>ROUNDDOWN(#REF!*(1+#REF!),0)</f>
        <v>#REF!</v>
      </c>
      <c r="X53" s="39" t="e">
        <f>ROUNDDOWN(#REF!*(1+#REF!),0)</f>
        <v>#REF!</v>
      </c>
      <c r="Y53" s="145" t="e">
        <f ca="1">OFFSET(#REF!,1,0)*dock_boats_hr * (1 + tech_4_1*#REF!)</f>
        <v>#REF!</v>
      </c>
      <c r="Z53" s="133"/>
      <c r="AA53" s="39" t="e">
        <f ca="1">#REF!*tax*#REF! + (Construction!AZ54+Construction!BX54)*(alch_plat+(Magic!AM53&gt;0)*alchemist_flame_bonus)</f>
        <v>#REF!</v>
      </c>
      <c r="AB53" s="39" t="e">
        <f>#REF!*farm_food +#REF!* dock_food</f>
        <v>#REF!</v>
      </c>
      <c r="AC53" s="39" t="e">
        <f>#REF!*ly_lumber +#REF!* fh_lumber</f>
        <v>#REF!</v>
      </c>
      <c r="AD53" s="39" t="e">
        <f ca="1">OFFSET(#REF!,1,0)*(tower_mana + tech_4_5*#REF!) + OFFSET(#REF!,1,0)*wg_mana_prod</f>
        <v>#REF!</v>
      </c>
      <c r="AE53" s="39" t="e">
        <f ca="1">OFFSET(#REF!,1,0)*om_ore+IF(race="Dwarf",ROUNDDOWN(#REF!*0.4,0),)</f>
        <v>#REF!</v>
      </c>
      <c r="AF53" s="39" t="e">
        <f ca="1">OFFSET(#REF!,1,0)*dm_gems</f>
        <v>#REF!</v>
      </c>
      <c r="AG53" s="134"/>
      <c r="AH53" s="135" t="e">
        <f>MIN(race_platinum_bonus + IF(#REF!&gt;0,alch_frost_bonus,IF(Magic!AD53&gt;0,midas_bonus)) +#REF! -#REF!*( 0.02 + tech_5_7*#REF!) + tech_1_5*#REF! + tech_4_4*#REF!, 0.5)</f>
        <v>#REF!</v>
      </c>
      <c r="AI53" s="132" t="e">
        <f>(1 + race_food_bonus + IF(#REF!&gt;0,gaias_blessing_food,IF(#REF!&gt;0,gaias_watch_bonus)) +#REF! + tech_1_1*#REF! + tech_1_4*#REF! + tech_5_1*#REF! +#REF!/ 100*prestige_food_bonus*(1 + tech_8_1*#REF!)) - 1</f>
        <v>#REF!</v>
      </c>
      <c r="AJ53" s="135" t="e">
        <f>race_lumber_bonus+ IF(#REF!&gt;0,gaias_blessing_lumber)+ tech_1_3*#REF! + tech_1_6*#REF! + tech_3_3*#REF!</f>
        <v>#REF!</v>
      </c>
      <c r="AK53" s="135" t="e">
        <f>race_mana_bonus+ 0 +#REF! + tech_1_2*#REF! + tech_3_4*#REF!</f>
        <v>#REF!</v>
      </c>
      <c r="AL53" s="135" t="e">
        <f>race_ore_bonus + IF(#REF!&gt;0,miners_sight_bonus,IF(#REF!&gt;0,mining_strength_bonus)) +  tech_1_6*#REF!</f>
        <v>#REF!</v>
      </c>
      <c r="AM53" s="135" t="e">
        <f>race_gem_bonus+ tech_3_2*#REF! + tech_4_3*#REF! + tech_6_2*#REF!</f>
        <v>#REF!</v>
      </c>
      <c r="AN53" s="134"/>
      <c r="AO53" s="39" t="e">
        <f>#REF!*food_decay * (1 + tech_2_1*#REF! + tech_2_8*#REF!)</f>
        <v>#REF!</v>
      </c>
      <c r="AP53" s="39" t="e">
        <f>(1+race_food_consumption)*#REF!*food_per_person*(1+tech_1_10*#REF!+tech_7_5*#REF!)</f>
        <v>#REF!</v>
      </c>
      <c r="AQ53" s="39" t="e">
        <f>#REF!*lumber_rot * (1 + tech_2_1*#REF! + tech_2_8*#REF! + tech_5_2*#REF!)</f>
        <v>#REF!</v>
      </c>
      <c r="AR53" s="39" t="e">
        <f>#REF!*mana_drain * (1 + tech_2_1*#REF! + tech_2_8*#REF!)</f>
        <v>#REF!</v>
      </c>
      <c r="AS53" s="133"/>
      <c r="AT53" s="39" t="e">
        <f>#REF!+#REF!+#REF!+#REF!+#REF!-#REF!</f>
        <v>#REF!</v>
      </c>
      <c r="AU53" s="39" t="e">
        <f>#REF!+#REF!-#REF! + Military!$CL$25*#REF!</f>
        <v>#REF!</v>
      </c>
      <c r="AV53" s="39" t="e">
        <f>#REF! + Military!$CL$26*#REF!</f>
        <v>#REF!</v>
      </c>
      <c r="AW53" s="39" t="e">
        <f>Military!$CL$24*#REF!+#REF!-#REF!</f>
        <v>#REF!</v>
      </c>
      <c r="AX53" s="39" t="e">
        <f>#REF!-#REF!</f>
        <v>#REF!</v>
      </c>
      <c r="AY53" s="134"/>
      <c r="AZ53" s="61" t="e">
        <f ca="1">IF(#REF!&lt;&gt;"",#REF!,OFFSET(#REF!,-1,0))</f>
        <v>#REF!</v>
      </c>
      <c r="BA53" s="144"/>
      <c r="BB53" s="3" t="e">
        <f>#REF!</f>
        <v>#REF!</v>
      </c>
      <c r="BC53" s="146" t="e">
        <f>-#REF! / 2 + -#REF! * 2 + -#REF! / 2</f>
        <v>#REF!</v>
      </c>
      <c r="BD53" s="146"/>
      <c r="BE53" s="146"/>
      <c r="BF53" s="146"/>
      <c r="BG53" s="147" t="e">
        <f>#REF!</f>
        <v>#REF!</v>
      </c>
      <c r="BH53" s="3" t="e">
        <f>IF(AND(#REF!=0,#REF!=0,#REF!=0,#REF!=0),"",IF(#REF!&gt;0,IF((#REF!+#REF!)/2+#REF!*2+ROUNDUP(#REF!/(1 + tech_2_2*Techs!Y53),0)=0,"Ok","Nope"),IF(#REF!&gt;0,IF((#REF!+#REF!)/2+#REF!*2+ROUNDUP(#REF!/(1 + tech_2_2*Techs!Y53),0)=0,"Ok","Nope"),IF(#REF!&gt;0,IF((#REF!+#REF!)/2+#REF!*2+ROUNDUP(#REF!/(1 + tech_2_2*Techs!Y53),0)=0,"Ok","Nope")))))</f>
        <v>#REF!</v>
      </c>
      <c r="BI53" s="39" t="e">
        <f>#REF!</f>
        <v>#REF!</v>
      </c>
      <c r="BJ53" s="39" t="e">
        <f>#REF!</f>
        <v>#REF!</v>
      </c>
      <c r="BK53" s="39" t="e">
        <f>#REF!</f>
        <v>#REF!</v>
      </c>
      <c r="BL53" s="39" t="e">
        <f>#REF!</f>
        <v>#REF!</v>
      </c>
      <c r="BM53" s="39" t="e">
        <f>#REF!</f>
        <v>#REF!</v>
      </c>
    </row>
    <row r="54" spans="1:65" x14ac:dyDescent="0.25">
      <c r="A54" s="130">
        <v>51</v>
      </c>
      <c r="B54" s="143" t="e">
        <f>#REF!</f>
        <v>#REF!</v>
      </c>
      <c r="C54" s="144"/>
      <c r="D54" s="133"/>
      <c r="E54" s="39" t="e">
        <f>#REF!</f>
        <v>#REF!</v>
      </c>
      <c r="F54" s="39" t="e">
        <f>#REF!</f>
        <v>#REF!</v>
      </c>
      <c r="G54" s="39" t="e">
        <f>#REF!</f>
        <v>#REF!</v>
      </c>
      <c r="H54" s="39" t="e">
        <f ca="1">OFFSET(#REF!,-1,0)+OFFSET(#REF!,-1,0) -#REF! + IF(#REF!,#REF!*4) + SUM(#REF!)*#REF!*tech_3_3_2*#REF!</f>
        <v>#REF!</v>
      </c>
      <c r="I54" s="39" t="e">
        <f ca="1">OFFSET(#REF!,-1,0)+OFFSET(#REF!,-1,0)+ROUNDUP((#REF!*80+#REF!*35)*(1+OFFSET(#REF!,-1,0)),0)</f>
        <v>#REF!</v>
      </c>
      <c r="J54" s="39" t="e">
        <f ca="1">OFFSET(#REF!,-1,0)+OFFSET(#REF!,-1,0) -#REF! + SUM(#REF!)*#REF!*tech_3_3_2*#REF!</f>
        <v>#REF!</v>
      </c>
      <c r="K54" s="39" t="e">
        <f ca="1">OFFSET(#REF!,-1,0)+OFFSET(#REF!,-1,0) -#REF!</f>
        <v>#REF!</v>
      </c>
      <c r="L54" s="39" t="e">
        <f ca="1">OFFSET(#REF!,-1,0)+OFFSET(#REF!,-1,0) -#REF!</f>
        <v>#REF!</v>
      </c>
      <c r="M54" s="39" t="e">
        <f ca="1">OFFSET(#REF!,-1,0)+OFFSET(#REF!,-1,0) -#REF!</f>
        <v>#REF!</v>
      </c>
      <c r="N54" s="39" t="e">
        <f ca="1">OFFSET(#REF!,-1,0)+OFFSET(#REF!,-1,0)</f>
        <v>#REF!</v>
      </c>
      <c r="O54" s="39" t="e">
        <f ca="1">OFFSET(#REF!,-1,0)</f>
        <v>#REF!</v>
      </c>
      <c r="P54" s="39" t="e">
        <f ca="1">ROUNDDOWN(OFFSET(#REF!,-1,0)+(1+research_bonus)*(MIN(#REF!,#REF!*school_max)*(1 - MIN((#REF!/(#REF!-#REF!)),school_max)))-#REF!*#REF!,0) + IF(#REF!&lt;&gt;"",350,0)</f>
        <v>#REF!</v>
      </c>
      <c r="Q54" s="39" t="e">
        <f ca="1">MAX(3750,_xlfn.CEILING.MATH(#REF!*2.5+OFFSET(#REF!,-1,0)*150))</f>
        <v>#REF!</v>
      </c>
      <c r="R54" s="134"/>
      <c r="S54" s="39" t="e">
        <f>ROUNDDOWN(#REF!*(1+#REF!),0)</f>
        <v>#REF!</v>
      </c>
      <c r="T54" s="39" t="e">
        <f>ROUND(#REF!*(1+#REF!)-#REF!-#REF!,0)</f>
        <v>#REF!</v>
      </c>
      <c r="U54" s="39" t="e">
        <f>ROUND(#REF!*(1+#REF!)-#REF!,0)</f>
        <v>#REF!</v>
      </c>
      <c r="V54" s="39" t="e">
        <f>ROUND(#REF!*(1+#REF!)-#REF!,0)</f>
        <v>#REF!</v>
      </c>
      <c r="W54" s="39" t="e">
        <f>ROUNDDOWN(#REF!*(1+#REF!),0)</f>
        <v>#REF!</v>
      </c>
      <c r="X54" s="39" t="e">
        <f>ROUNDDOWN(#REF!*(1+#REF!),0)</f>
        <v>#REF!</v>
      </c>
      <c r="Y54" s="145" t="e">
        <f ca="1">OFFSET(#REF!,1,0)*dock_boats_hr * (1 + tech_4_1*#REF!)</f>
        <v>#REF!</v>
      </c>
      <c r="Z54" s="133"/>
      <c r="AA54" s="39" t="e">
        <f ca="1">#REF!*tax*#REF! + (Construction!AZ55+Construction!BX55)*(alch_plat+(Magic!AM54&gt;0)*alchemist_flame_bonus)</f>
        <v>#REF!</v>
      </c>
      <c r="AB54" s="39" t="e">
        <f>#REF!*farm_food +#REF!* dock_food</f>
        <v>#REF!</v>
      </c>
      <c r="AC54" s="39" t="e">
        <f>#REF!*ly_lumber +#REF!* fh_lumber</f>
        <v>#REF!</v>
      </c>
      <c r="AD54" s="39" t="e">
        <f ca="1">OFFSET(#REF!,1,0)*(tower_mana + tech_4_5*#REF!) + OFFSET(#REF!,1,0)*wg_mana_prod</f>
        <v>#REF!</v>
      </c>
      <c r="AE54" s="39" t="e">
        <f ca="1">OFFSET(#REF!,1,0)*om_ore+IF(race="Dwarf",ROUNDDOWN(#REF!*0.4,0),)</f>
        <v>#REF!</v>
      </c>
      <c r="AF54" s="39" t="e">
        <f ca="1">OFFSET(#REF!,1,0)*dm_gems</f>
        <v>#REF!</v>
      </c>
      <c r="AG54" s="134"/>
      <c r="AH54" s="135" t="e">
        <f>MIN(race_platinum_bonus + IF(#REF!&gt;0,alch_frost_bonus,IF(Magic!AD54&gt;0,midas_bonus)) +#REF! -#REF!*( 0.02 + tech_5_7*#REF!) + tech_1_5*#REF! + tech_4_4*#REF!, 0.5)</f>
        <v>#REF!</v>
      </c>
      <c r="AI54" s="132" t="e">
        <f>(1 + race_food_bonus + IF(#REF!&gt;0,gaias_blessing_food,IF(#REF!&gt;0,gaias_watch_bonus)) +#REF! + tech_1_1*#REF! + tech_1_4*#REF! + tech_5_1*#REF! +#REF!/ 100*prestige_food_bonus*(1 + tech_8_1*#REF!)) - 1</f>
        <v>#REF!</v>
      </c>
      <c r="AJ54" s="135" t="e">
        <f>race_lumber_bonus+ IF(#REF!&gt;0,gaias_blessing_lumber)+ tech_1_3*#REF! + tech_1_6*#REF! + tech_3_3*#REF!</f>
        <v>#REF!</v>
      </c>
      <c r="AK54" s="135" t="e">
        <f>race_mana_bonus+ 0 +#REF! + tech_1_2*#REF! + tech_3_4*#REF!</f>
        <v>#REF!</v>
      </c>
      <c r="AL54" s="135" t="e">
        <f>race_ore_bonus + IF(#REF!&gt;0,miners_sight_bonus,IF(#REF!&gt;0,mining_strength_bonus)) +  tech_1_6*#REF!</f>
        <v>#REF!</v>
      </c>
      <c r="AM54" s="135" t="e">
        <f>race_gem_bonus+ tech_3_2*#REF! + tech_4_3*#REF! + tech_6_2*#REF!</f>
        <v>#REF!</v>
      </c>
      <c r="AN54" s="134"/>
      <c r="AO54" s="39" t="e">
        <f>#REF!*food_decay * (1 + tech_2_1*#REF! + tech_2_8*#REF!)</f>
        <v>#REF!</v>
      </c>
      <c r="AP54" s="39" t="e">
        <f>(1+race_food_consumption)*#REF!*food_per_person*(1+tech_1_10*#REF!+tech_7_5*#REF!)</f>
        <v>#REF!</v>
      </c>
      <c r="AQ54" s="39" t="e">
        <f>#REF!*lumber_rot * (1 + tech_2_1*#REF! + tech_2_8*#REF! + tech_5_2*#REF!)</f>
        <v>#REF!</v>
      </c>
      <c r="AR54" s="39" t="e">
        <f>#REF!*mana_drain * (1 + tech_2_1*#REF! + tech_2_8*#REF!)</f>
        <v>#REF!</v>
      </c>
      <c r="AS54" s="133"/>
      <c r="AT54" s="39" t="e">
        <f>#REF!+#REF!+#REF!+#REF!+#REF!-#REF!</f>
        <v>#REF!</v>
      </c>
      <c r="AU54" s="39" t="e">
        <f>#REF!+#REF!-#REF! + Military!$CL$25*#REF!</f>
        <v>#REF!</v>
      </c>
      <c r="AV54" s="39" t="e">
        <f>#REF! + Military!$CL$26*#REF!</f>
        <v>#REF!</v>
      </c>
      <c r="AW54" s="39" t="e">
        <f>Military!$CL$24*#REF!+#REF!-#REF!</f>
        <v>#REF!</v>
      </c>
      <c r="AX54" s="39" t="e">
        <f>#REF!-#REF!</f>
        <v>#REF!</v>
      </c>
      <c r="AY54" s="134"/>
      <c r="AZ54" s="61" t="e">
        <f ca="1">IF(#REF!&lt;&gt;"",#REF!,OFFSET(#REF!,-1,0))</f>
        <v>#REF!</v>
      </c>
      <c r="BA54" s="144"/>
      <c r="BB54" s="3" t="e">
        <f>#REF!</f>
        <v>#REF!</v>
      </c>
      <c r="BC54" s="146" t="e">
        <f>-#REF! / 2 + -#REF! * 2 + -#REF! / 2</f>
        <v>#REF!</v>
      </c>
      <c r="BD54" s="146"/>
      <c r="BE54" s="146"/>
      <c r="BF54" s="146"/>
      <c r="BG54" s="147" t="e">
        <f>#REF!</f>
        <v>#REF!</v>
      </c>
      <c r="BH54" s="3" t="e">
        <f>IF(AND(#REF!=0,#REF!=0,#REF!=0,#REF!=0),"",IF(#REF!&gt;0,IF((#REF!+#REF!)/2+#REF!*2+ROUNDUP(#REF!/(1 + tech_2_2*Techs!Y54),0)=0,"Ok","Nope"),IF(#REF!&gt;0,IF((#REF!+#REF!)/2+#REF!*2+ROUNDUP(#REF!/(1 + tech_2_2*Techs!Y54),0)=0,"Ok","Nope"),IF(#REF!&gt;0,IF((#REF!+#REF!)/2+#REF!*2+ROUNDUP(#REF!/(1 + tech_2_2*Techs!Y54),0)=0,"Ok","Nope")))))</f>
        <v>#REF!</v>
      </c>
      <c r="BI54" s="39" t="e">
        <f>#REF!</f>
        <v>#REF!</v>
      </c>
      <c r="BJ54" s="39" t="e">
        <f>#REF!</f>
        <v>#REF!</v>
      </c>
      <c r="BK54" s="39" t="e">
        <f>#REF!</f>
        <v>#REF!</v>
      </c>
      <c r="BL54" s="39" t="e">
        <f>#REF!</f>
        <v>#REF!</v>
      </c>
      <c r="BM54" s="39" t="e">
        <f>#REF!</f>
        <v>#REF!</v>
      </c>
    </row>
    <row r="55" spans="1:65" x14ac:dyDescent="0.25">
      <c r="A55" s="130">
        <v>52</v>
      </c>
      <c r="B55" s="143" t="e">
        <f>#REF!</f>
        <v>#REF!</v>
      </c>
      <c r="C55" s="144"/>
      <c r="D55" s="133"/>
      <c r="E55" s="39" t="e">
        <f>#REF!</f>
        <v>#REF!</v>
      </c>
      <c r="F55" s="39" t="e">
        <f>#REF!</f>
        <v>#REF!</v>
      </c>
      <c r="G55" s="39" t="e">
        <f>#REF!</f>
        <v>#REF!</v>
      </c>
      <c r="H55" s="39" t="e">
        <f ca="1">OFFSET(#REF!,-1,0)+OFFSET(#REF!,-1,0) -#REF! + IF(#REF!,#REF!*4) + SUM(#REF!)*#REF!*tech_3_3_2*#REF!</f>
        <v>#REF!</v>
      </c>
      <c r="I55" s="39" t="e">
        <f ca="1">OFFSET(#REF!,-1,0)+OFFSET(#REF!,-1,0)+ROUNDUP((#REF!*80+#REF!*35)*(1+OFFSET(#REF!,-1,0)),0)</f>
        <v>#REF!</v>
      </c>
      <c r="J55" s="39" t="e">
        <f ca="1">OFFSET(#REF!,-1,0)+OFFSET(#REF!,-1,0) -#REF! + SUM(#REF!)*#REF!*tech_3_3_2*#REF!</f>
        <v>#REF!</v>
      </c>
      <c r="K55" s="39" t="e">
        <f ca="1">OFFSET(#REF!,-1,0)+OFFSET(#REF!,-1,0) -#REF!</f>
        <v>#REF!</v>
      </c>
      <c r="L55" s="39" t="e">
        <f ca="1">OFFSET(#REF!,-1,0)+OFFSET(#REF!,-1,0) -#REF!</f>
        <v>#REF!</v>
      </c>
      <c r="M55" s="39" t="e">
        <f ca="1">OFFSET(#REF!,-1,0)+OFFSET(#REF!,-1,0) -#REF!</f>
        <v>#REF!</v>
      </c>
      <c r="N55" s="39" t="e">
        <f ca="1">OFFSET(#REF!,-1,0)+OFFSET(#REF!,-1,0)</f>
        <v>#REF!</v>
      </c>
      <c r="O55" s="39" t="e">
        <f ca="1">OFFSET(#REF!,-1,0)</f>
        <v>#REF!</v>
      </c>
      <c r="P55" s="39" t="e">
        <f ca="1">ROUNDDOWN(OFFSET(#REF!,-1,0)+(1+research_bonus)*(MIN(#REF!,#REF!*school_max)*(1 - MIN((#REF!/(#REF!-#REF!)),school_max)))-#REF!*#REF!,0) + IF(#REF!&lt;&gt;"",350,0)</f>
        <v>#REF!</v>
      </c>
      <c r="Q55" s="39" t="e">
        <f ca="1">MAX(3750,_xlfn.CEILING.MATH(#REF!*2.5+OFFSET(#REF!,-1,0)*150))</f>
        <v>#REF!</v>
      </c>
      <c r="R55" s="134"/>
      <c r="S55" s="39" t="e">
        <f>ROUNDDOWN(#REF!*(1+#REF!),0)</f>
        <v>#REF!</v>
      </c>
      <c r="T55" s="39" t="e">
        <f>ROUND(#REF!*(1+#REF!)-#REF!-#REF!,0)</f>
        <v>#REF!</v>
      </c>
      <c r="U55" s="39" t="e">
        <f>ROUND(#REF!*(1+#REF!)-#REF!,0)</f>
        <v>#REF!</v>
      </c>
      <c r="V55" s="39" t="e">
        <f>ROUND(#REF!*(1+#REF!)-#REF!,0)</f>
        <v>#REF!</v>
      </c>
      <c r="W55" s="39" t="e">
        <f>ROUNDDOWN(#REF!*(1+#REF!),0)</f>
        <v>#REF!</v>
      </c>
      <c r="X55" s="39" t="e">
        <f>ROUNDDOWN(#REF!*(1+#REF!),0)</f>
        <v>#REF!</v>
      </c>
      <c r="Y55" s="145" t="e">
        <f ca="1">OFFSET(#REF!,1,0)*dock_boats_hr * (1 + tech_4_1*#REF!)</f>
        <v>#REF!</v>
      </c>
      <c r="Z55" s="133"/>
      <c r="AA55" s="39" t="e">
        <f ca="1">#REF!*tax*#REF! + (Construction!AZ56+Construction!BX56)*(alch_plat+(Magic!AM55&gt;0)*alchemist_flame_bonus)</f>
        <v>#REF!</v>
      </c>
      <c r="AB55" s="39" t="e">
        <f>#REF!*farm_food +#REF!* dock_food</f>
        <v>#REF!</v>
      </c>
      <c r="AC55" s="39" t="e">
        <f>#REF!*ly_lumber +#REF!* fh_lumber</f>
        <v>#REF!</v>
      </c>
      <c r="AD55" s="39" t="e">
        <f ca="1">OFFSET(#REF!,1,0)*(tower_mana + tech_4_5*#REF!) + OFFSET(#REF!,1,0)*wg_mana_prod</f>
        <v>#REF!</v>
      </c>
      <c r="AE55" s="39" t="e">
        <f ca="1">OFFSET(#REF!,1,0)*om_ore+IF(race="Dwarf",ROUNDDOWN(#REF!*0.4,0),)</f>
        <v>#REF!</v>
      </c>
      <c r="AF55" s="39" t="e">
        <f ca="1">OFFSET(#REF!,1,0)*dm_gems</f>
        <v>#REF!</v>
      </c>
      <c r="AG55" s="134"/>
      <c r="AH55" s="135" t="e">
        <f>MIN(race_platinum_bonus + IF(#REF!&gt;0,alch_frost_bonus,IF(Magic!AD55&gt;0,midas_bonus)) +#REF! -#REF!*( 0.02 + tech_5_7*#REF!) + tech_1_5*#REF! + tech_4_4*#REF!, 0.5)</f>
        <v>#REF!</v>
      </c>
      <c r="AI55" s="132" t="e">
        <f>(1 + race_food_bonus + IF(#REF!&gt;0,gaias_blessing_food,IF(#REF!&gt;0,gaias_watch_bonus)) +#REF! + tech_1_1*#REF! + tech_1_4*#REF! + tech_5_1*#REF! +#REF!/ 100*prestige_food_bonus*(1 + tech_8_1*#REF!)) - 1</f>
        <v>#REF!</v>
      </c>
      <c r="AJ55" s="135" t="e">
        <f>race_lumber_bonus+ IF(#REF!&gt;0,gaias_blessing_lumber)+ tech_1_3*#REF! + tech_1_6*#REF! + tech_3_3*#REF!</f>
        <v>#REF!</v>
      </c>
      <c r="AK55" s="135" t="e">
        <f>race_mana_bonus+ 0 +#REF! + tech_1_2*#REF! + tech_3_4*#REF!</f>
        <v>#REF!</v>
      </c>
      <c r="AL55" s="135" t="e">
        <f>race_ore_bonus + IF(#REF!&gt;0,miners_sight_bonus,IF(#REF!&gt;0,mining_strength_bonus)) +  tech_1_6*#REF!</f>
        <v>#REF!</v>
      </c>
      <c r="AM55" s="135" t="e">
        <f>race_gem_bonus+ tech_3_2*#REF! + tech_4_3*#REF! + tech_6_2*#REF!</f>
        <v>#REF!</v>
      </c>
      <c r="AN55" s="134"/>
      <c r="AO55" s="39" t="e">
        <f>#REF!*food_decay * (1 + tech_2_1*#REF! + tech_2_8*#REF!)</f>
        <v>#REF!</v>
      </c>
      <c r="AP55" s="39" t="e">
        <f>(1+race_food_consumption)*#REF!*food_per_person*(1+tech_1_10*#REF!+tech_7_5*#REF!)</f>
        <v>#REF!</v>
      </c>
      <c r="AQ55" s="39" t="e">
        <f>#REF!*lumber_rot * (1 + tech_2_1*#REF! + tech_2_8*#REF! + tech_5_2*#REF!)</f>
        <v>#REF!</v>
      </c>
      <c r="AR55" s="39" t="e">
        <f>#REF!*mana_drain * (1 + tech_2_1*#REF! + tech_2_8*#REF!)</f>
        <v>#REF!</v>
      </c>
      <c r="AS55" s="133"/>
      <c r="AT55" s="39" t="e">
        <f>#REF!+#REF!+#REF!+#REF!+#REF!-#REF!</f>
        <v>#REF!</v>
      </c>
      <c r="AU55" s="39" t="e">
        <f>#REF!+#REF!-#REF! + Military!$CL$25*#REF!</f>
        <v>#REF!</v>
      </c>
      <c r="AV55" s="39" t="e">
        <f>#REF! + Military!$CL$26*#REF!</f>
        <v>#REF!</v>
      </c>
      <c r="AW55" s="39" t="e">
        <f>Military!$CL$24*#REF!+#REF!-#REF!</f>
        <v>#REF!</v>
      </c>
      <c r="AX55" s="39" t="e">
        <f>#REF!-#REF!</f>
        <v>#REF!</v>
      </c>
      <c r="AY55" s="134"/>
      <c r="AZ55" s="61" t="e">
        <f ca="1">IF(#REF!&lt;&gt;"",#REF!,OFFSET(#REF!,-1,0))</f>
        <v>#REF!</v>
      </c>
      <c r="BA55" s="144"/>
      <c r="BB55" s="3" t="e">
        <f>#REF!</f>
        <v>#REF!</v>
      </c>
      <c r="BC55" s="146" t="e">
        <f>-#REF! / 2 + -#REF! * 2 + -#REF! / 2</f>
        <v>#REF!</v>
      </c>
      <c r="BD55" s="146"/>
      <c r="BE55" s="146"/>
      <c r="BF55" s="146"/>
      <c r="BG55" s="147" t="e">
        <f>#REF!</f>
        <v>#REF!</v>
      </c>
      <c r="BH55" s="3" t="e">
        <f>IF(AND(#REF!=0,#REF!=0,#REF!=0,#REF!=0),"",IF(#REF!&gt;0,IF((#REF!+#REF!)/2+#REF!*2+ROUNDUP(#REF!/(1 + tech_2_2*Techs!Y55),0)=0,"Ok","Nope"),IF(#REF!&gt;0,IF((#REF!+#REF!)/2+#REF!*2+ROUNDUP(#REF!/(1 + tech_2_2*Techs!Y55),0)=0,"Ok","Nope"),IF(#REF!&gt;0,IF((#REF!+#REF!)/2+#REF!*2+ROUNDUP(#REF!/(1 + tech_2_2*Techs!Y55),0)=0,"Ok","Nope")))))</f>
        <v>#REF!</v>
      </c>
      <c r="BI55" s="39" t="e">
        <f>#REF!</f>
        <v>#REF!</v>
      </c>
      <c r="BJ55" s="39" t="e">
        <f>#REF!</f>
        <v>#REF!</v>
      </c>
      <c r="BK55" s="39" t="e">
        <f>#REF!</f>
        <v>#REF!</v>
      </c>
      <c r="BL55" s="39" t="e">
        <f>#REF!</f>
        <v>#REF!</v>
      </c>
      <c r="BM55" s="39" t="e">
        <f>#REF!</f>
        <v>#REF!</v>
      </c>
    </row>
    <row r="56" spans="1:65" x14ac:dyDescent="0.25">
      <c r="A56" s="130">
        <v>53</v>
      </c>
      <c r="B56" s="143" t="e">
        <f>#REF!</f>
        <v>#REF!</v>
      </c>
      <c r="C56" s="144"/>
      <c r="D56" s="133"/>
      <c r="E56" s="39" t="e">
        <f>#REF!</f>
        <v>#REF!</v>
      </c>
      <c r="F56" s="39" t="e">
        <f>#REF!</f>
        <v>#REF!</v>
      </c>
      <c r="G56" s="39" t="e">
        <f>#REF!</f>
        <v>#REF!</v>
      </c>
      <c r="H56" s="39" t="e">
        <f ca="1">OFFSET(#REF!,-1,0)+OFFSET(#REF!,-1,0) -#REF! + IF(#REF!,#REF!*4) + SUM(#REF!)*#REF!*tech_3_3_2*#REF!</f>
        <v>#REF!</v>
      </c>
      <c r="I56" s="39" t="e">
        <f ca="1">OFFSET(#REF!,-1,0)+OFFSET(#REF!,-1,0)+ROUNDUP((#REF!*80+#REF!*35)*(1+OFFSET(#REF!,-1,0)),0)</f>
        <v>#REF!</v>
      </c>
      <c r="J56" s="39" t="e">
        <f ca="1">OFFSET(#REF!,-1,0)+OFFSET(#REF!,-1,0) -#REF! + SUM(#REF!)*#REF!*tech_3_3_2*#REF!</f>
        <v>#REF!</v>
      </c>
      <c r="K56" s="39" t="e">
        <f ca="1">OFFSET(#REF!,-1,0)+OFFSET(#REF!,-1,0) -#REF!</f>
        <v>#REF!</v>
      </c>
      <c r="L56" s="39" t="e">
        <f ca="1">OFFSET(#REF!,-1,0)+OFFSET(#REF!,-1,0) -#REF!</f>
        <v>#REF!</v>
      </c>
      <c r="M56" s="39" t="e">
        <f ca="1">OFFSET(#REF!,-1,0)+OFFSET(#REF!,-1,0) -#REF!</f>
        <v>#REF!</v>
      </c>
      <c r="N56" s="39" t="e">
        <f ca="1">OFFSET(#REF!,-1,0)+OFFSET(#REF!,-1,0)</f>
        <v>#REF!</v>
      </c>
      <c r="O56" s="39" t="e">
        <f ca="1">OFFSET(#REF!,-1,0)</f>
        <v>#REF!</v>
      </c>
      <c r="P56" s="39" t="e">
        <f ca="1">ROUNDDOWN(OFFSET(#REF!,-1,0)+(1+research_bonus)*(MIN(#REF!,#REF!*school_max)*(1 - MIN((#REF!/(#REF!-#REF!)),school_max)))-#REF!*#REF!,0) + IF(#REF!&lt;&gt;"",350,0)</f>
        <v>#REF!</v>
      </c>
      <c r="Q56" s="39" t="e">
        <f ca="1">MAX(3750,_xlfn.CEILING.MATH(#REF!*2.5+OFFSET(#REF!,-1,0)*150))</f>
        <v>#REF!</v>
      </c>
      <c r="R56" s="134"/>
      <c r="S56" s="39" t="e">
        <f>ROUNDDOWN(#REF!*(1+#REF!),0)</f>
        <v>#REF!</v>
      </c>
      <c r="T56" s="39" t="e">
        <f>ROUND(#REF!*(1+#REF!)-#REF!-#REF!,0)</f>
        <v>#REF!</v>
      </c>
      <c r="U56" s="39" t="e">
        <f>ROUND(#REF!*(1+#REF!)-#REF!,0)</f>
        <v>#REF!</v>
      </c>
      <c r="V56" s="39" t="e">
        <f>ROUND(#REF!*(1+#REF!)-#REF!,0)</f>
        <v>#REF!</v>
      </c>
      <c r="W56" s="39" t="e">
        <f>ROUNDDOWN(#REF!*(1+#REF!),0)</f>
        <v>#REF!</v>
      </c>
      <c r="X56" s="39" t="e">
        <f>ROUNDDOWN(#REF!*(1+#REF!),0)</f>
        <v>#REF!</v>
      </c>
      <c r="Y56" s="145" t="e">
        <f ca="1">OFFSET(#REF!,1,0)*dock_boats_hr * (1 + tech_4_1*#REF!)</f>
        <v>#REF!</v>
      </c>
      <c r="Z56" s="133"/>
      <c r="AA56" s="39" t="e">
        <f ca="1">#REF!*tax*#REF! + (Construction!AZ57+Construction!BX57)*(alch_plat+(Magic!AM56&gt;0)*alchemist_flame_bonus)</f>
        <v>#REF!</v>
      </c>
      <c r="AB56" s="39" t="e">
        <f>#REF!*farm_food +#REF!* dock_food</f>
        <v>#REF!</v>
      </c>
      <c r="AC56" s="39" t="e">
        <f>#REF!*ly_lumber +#REF!* fh_lumber</f>
        <v>#REF!</v>
      </c>
      <c r="AD56" s="39" t="e">
        <f ca="1">OFFSET(#REF!,1,0)*(tower_mana + tech_4_5*#REF!) + OFFSET(#REF!,1,0)*wg_mana_prod</f>
        <v>#REF!</v>
      </c>
      <c r="AE56" s="39" t="e">
        <f ca="1">OFFSET(#REF!,1,0)*om_ore+IF(race="Dwarf",ROUNDDOWN(#REF!*0.4,0),)</f>
        <v>#REF!</v>
      </c>
      <c r="AF56" s="39" t="e">
        <f ca="1">OFFSET(#REF!,1,0)*dm_gems</f>
        <v>#REF!</v>
      </c>
      <c r="AG56" s="134"/>
      <c r="AH56" s="135" t="e">
        <f>MIN(race_platinum_bonus + IF(#REF!&gt;0,alch_frost_bonus,IF(Magic!AD56&gt;0,midas_bonus)) +#REF! -#REF!*( 0.02 + tech_5_7*#REF!) + tech_1_5*#REF! + tech_4_4*#REF!, 0.5)</f>
        <v>#REF!</v>
      </c>
      <c r="AI56" s="132" t="e">
        <f>(1 + race_food_bonus + IF(#REF!&gt;0,gaias_blessing_food,IF(#REF!&gt;0,gaias_watch_bonus)) +#REF! + tech_1_1*#REF! + tech_1_4*#REF! + tech_5_1*#REF! +#REF!/ 100*prestige_food_bonus*(1 + tech_8_1*#REF!)) - 1</f>
        <v>#REF!</v>
      </c>
      <c r="AJ56" s="135" t="e">
        <f>race_lumber_bonus+ IF(#REF!&gt;0,gaias_blessing_lumber)+ tech_1_3*#REF! + tech_1_6*#REF! + tech_3_3*#REF!</f>
        <v>#REF!</v>
      </c>
      <c r="AK56" s="135" t="e">
        <f>race_mana_bonus+ 0 +#REF! + tech_1_2*#REF! + tech_3_4*#REF!</f>
        <v>#REF!</v>
      </c>
      <c r="AL56" s="135" t="e">
        <f>race_ore_bonus + IF(#REF!&gt;0,miners_sight_bonus,IF(#REF!&gt;0,mining_strength_bonus)) +  tech_1_6*#REF!</f>
        <v>#REF!</v>
      </c>
      <c r="AM56" s="135" t="e">
        <f>race_gem_bonus+ tech_3_2*#REF! + tech_4_3*#REF! + tech_6_2*#REF!</f>
        <v>#REF!</v>
      </c>
      <c r="AN56" s="134"/>
      <c r="AO56" s="39" t="e">
        <f>#REF!*food_decay * (1 + tech_2_1*#REF! + tech_2_8*#REF!)</f>
        <v>#REF!</v>
      </c>
      <c r="AP56" s="39" t="e">
        <f>(1+race_food_consumption)*#REF!*food_per_person*(1+tech_1_10*#REF!+tech_7_5*#REF!)</f>
        <v>#REF!</v>
      </c>
      <c r="AQ56" s="39" t="e">
        <f>#REF!*lumber_rot * (1 + tech_2_1*#REF! + tech_2_8*#REF! + tech_5_2*#REF!)</f>
        <v>#REF!</v>
      </c>
      <c r="AR56" s="39" t="e">
        <f>#REF!*mana_drain * (1 + tech_2_1*#REF! + tech_2_8*#REF!)</f>
        <v>#REF!</v>
      </c>
      <c r="AS56" s="133"/>
      <c r="AT56" s="39" t="e">
        <f>#REF!+#REF!+#REF!+#REF!+#REF!-#REF!</f>
        <v>#REF!</v>
      </c>
      <c r="AU56" s="39" t="e">
        <f>#REF!+#REF!-#REF! + Military!$CL$25*#REF!</f>
        <v>#REF!</v>
      </c>
      <c r="AV56" s="39" t="e">
        <f>#REF! + Military!$CL$26*#REF!</f>
        <v>#REF!</v>
      </c>
      <c r="AW56" s="39" t="e">
        <f>Military!$CL$24*#REF!+#REF!-#REF!</f>
        <v>#REF!</v>
      </c>
      <c r="AX56" s="39" t="e">
        <f>#REF!-#REF!</f>
        <v>#REF!</v>
      </c>
      <c r="AY56" s="134"/>
      <c r="AZ56" s="61" t="e">
        <f ca="1">IF(#REF!&lt;&gt;"",#REF!,OFFSET(#REF!,-1,0))</f>
        <v>#REF!</v>
      </c>
      <c r="BA56" s="144"/>
      <c r="BB56" s="3" t="e">
        <f>#REF!</f>
        <v>#REF!</v>
      </c>
      <c r="BC56" s="146" t="e">
        <f>-#REF! / 2 + -#REF! * 2 + -#REF! / 2</f>
        <v>#REF!</v>
      </c>
      <c r="BD56" s="146"/>
      <c r="BE56" s="146"/>
      <c r="BF56" s="146"/>
      <c r="BG56" s="147" t="e">
        <f>#REF!</f>
        <v>#REF!</v>
      </c>
      <c r="BH56" s="3" t="e">
        <f>IF(AND(#REF!=0,#REF!=0,#REF!=0,#REF!=0),"",IF(#REF!&gt;0,IF((#REF!+#REF!)/2+#REF!*2+ROUNDUP(#REF!/(1 + tech_2_2*Techs!Y56),0)=0,"Ok","Nope"),IF(#REF!&gt;0,IF((#REF!+#REF!)/2+#REF!*2+ROUNDUP(#REF!/(1 + tech_2_2*Techs!Y56),0)=0,"Ok","Nope"),IF(#REF!&gt;0,IF((#REF!+#REF!)/2+#REF!*2+ROUNDUP(#REF!/(1 + tech_2_2*Techs!Y56),0)=0,"Ok","Nope")))))</f>
        <v>#REF!</v>
      </c>
      <c r="BI56" s="39" t="e">
        <f>#REF!</f>
        <v>#REF!</v>
      </c>
      <c r="BJ56" s="39" t="e">
        <f>#REF!</f>
        <v>#REF!</v>
      </c>
      <c r="BK56" s="39" t="e">
        <f>#REF!</f>
        <v>#REF!</v>
      </c>
      <c r="BL56" s="39" t="e">
        <f>#REF!</f>
        <v>#REF!</v>
      </c>
      <c r="BM56" s="39" t="e">
        <f>#REF!</f>
        <v>#REF!</v>
      </c>
    </row>
    <row r="57" spans="1:65" x14ac:dyDescent="0.25">
      <c r="A57" s="130">
        <v>54</v>
      </c>
      <c r="B57" s="143" t="e">
        <f>#REF!</f>
        <v>#REF!</v>
      </c>
      <c r="C57" s="144"/>
      <c r="D57" s="133"/>
      <c r="E57" s="39" t="e">
        <f>#REF!</f>
        <v>#REF!</v>
      </c>
      <c r="F57" s="39" t="e">
        <f>#REF!</f>
        <v>#REF!</v>
      </c>
      <c r="G57" s="39" t="e">
        <f>#REF!</f>
        <v>#REF!</v>
      </c>
      <c r="H57" s="39" t="e">
        <f ca="1">OFFSET(#REF!,-1,0)+OFFSET(#REF!,-1,0) -#REF! + IF(#REF!,#REF!*4) + SUM(#REF!)*#REF!*tech_3_3_2*#REF!</f>
        <v>#REF!</v>
      </c>
      <c r="I57" s="39" t="e">
        <f ca="1">OFFSET(#REF!,-1,0)+OFFSET(#REF!,-1,0)+ROUNDUP((#REF!*80+#REF!*35)*(1+OFFSET(#REF!,-1,0)),0)</f>
        <v>#REF!</v>
      </c>
      <c r="J57" s="39" t="e">
        <f ca="1">OFFSET(#REF!,-1,0)+OFFSET(#REF!,-1,0) -#REF! + SUM(#REF!)*#REF!*tech_3_3_2*#REF!</f>
        <v>#REF!</v>
      </c>
      <c r="K57" s="39" t="e">
        <f ca="1">OFFSET(#REF!,-1,0)+OFFSET(#REF!,-1,0) -#REF!</f>
        <v>#REF!</v>
      </c>
      <c r="L57" s="39" t="e">
        <f ca="1">OFFSET(#REF!,-1,0)+OFFSET(#REF!,-1,0) -#REF!</f>
        <v>#REF!</v>
      </c>
      <c r="M57" s="39" t="e">
        <f ca="1">OFFSET(#REF!,-1,0)+OFFSET(#REF!,-1,0) -#REF!</f>
        <v>#REF!</v>
      </c>
      <c r="N57" s="39" t="e">
        <f ca="1">OFFSET(#REF!,-1,0)+OFFSET(#REF!,-1,0)</f>
        <v>#REF!</v>
      </c>
      <c r="O57" s="39" t="e">
        <f ca="1">OFFSET(#REF!,-1,0)</f>
        <v>#REF!</v>
      </c>
      <c r="P57" s="39" t="e">
        <f ca="1">ROUNDDOWN(OFFSET(#REF!,-1,0)+(1+research_bonus)*(MIN(#REF!,#REF!*school_max)*(1 - MIN((#REF!/(#REF!-#REF!)),school_max)))-#REF!*#REF!,0) + IF(#REF!&lt;&gt;"",350,0)</f>
        <v>#REF!</v>
      </c>
      <c r="Q57" s="39" t="e">
        <f ca="1">MAX(3750,_xlfn.CEILING.MATH(#REF!*2.5+OFFSET(#REF!,-1,0)*150))</f>
        <v>#REF!</v>
      </c>
      <c r="R57" s="134"/>
      <c r="S57" s="39" t="e">
        <f>ROUNDDOWN(#REF!*(1+#REF!),0)</f>
        <v>#REF!</v>
      </c>
      <c r="T57" s="39" t="e">
        <f>ROUND(#REF!*(1+#REF!)-#REF!-#REF!,0)</f>
        <v>#REF!</v>
      </c>
      <c r="U57" s="39" t="e">
        <f>ROUND(#REF!*(1+#REF!)-#REF!,0)</f>
        <v>#REF!</v>
      </c>
      <c r="V57" s="39" t="e">
        <f>ROUND(#REF!*(1+#REF!)-#REF!,0)</f>
        <v>#REF!</v>
      </c>
      <c r="W57" s="39" t="e">
        <f>ROUNDDOWN(#REF!*(1+#REF!),0)</f>
        <v>#REF!</v>
      </c>
      <c r="X57" s="39" t="e">
        <f>ROUNDDOWN(#REF!*(1+#REF!),0)</f>
        <v>#REF!</v>
      </c>
      <c r="Y57" s="145" t="e">
        <f ca="1">OFFSET(#REF!,1,0)*dock_boats_hr * (1 + tech_4_1*#REF!)</f>
        <v>#REF!</v>
      </c>
      <c r="Z57" s="133"/>
      <c r="AA57" s="39" t="e">
        <f ca="1">#REF!*tax*#REF! + (Construction!AZ58+Construction!BX58)*(alch_plat+(Magic!AM57&gt;0)*alchemist_flame_bonus)</f>
        <v>#REF!</v>
      </c>
      <c r="AB57" s="39" t="e">
        <f>#REF!*farm_food +#REF!* dock_food</f>
        <v>#REF!</v>
      </c>
      <c r="AC57" s="39" t="e">
        <f>#REF!*ly_lumber +#REF!* fh_lumber</f>
        <v>#REF!</v>
      </c>
      <c r="AD57" s="39" t="e">
        <f ca="1">OFFSET(#REF!,1,0)*(tower_mana + tech_4_5*#REF!) + OFFSET(#REF!,1,0)*wg_mana_prod</f>
        <v>#REF!</v>
      </c>
      <c r="AE57" s="39" t="e">
        <f ca="1">OFFSET(#REF!,1,0)*om_ore+IF(race="Dwarf",ROUNDDOWN(#REF!*0.4,0),)</f>
        <v>#REF!</v>
      </c>
      <c r="AF57" s="39" t="e">
        <f ca="1">OFFSET(#REF!,1,0)*dm_gems</f>
        <v>#REF!</v>
      </c>
      <c r="AG57" s="134"/>
      <c r="AH57" s="135" t="e">
        <f>MIN(race_platinum_bonus + IF(#REF!&gt;0,alch_frost_bonus,IF(Magic!AD57&gt;0,midas_bonus)) +#REF! -#REF!*( 0.02 + tech_5_7*#REF!) + tech_1_5*#REF! + tech_4_4*#REF!, 0.5)</f>
        <v>#REF!</v>
      </c>
      <c r="AI57" s="132" t="e">
        <f>(1 + race_food_bonus + IF(#REF!&gt;0,gaias_blessing_food,IF(#REF!&gt;0,gaias_watch_bonus)) +#REF! + tech_1_1*#REF! + tech_1_4*#REF! + tech_5_1*#REF! +#REF!/ 100*prestige_food_bonus*(1 + tech_8_1*#REF!)) - 1</f>
        <v>#REF!</v>
      </c>
      <c r="AJ57" s="135" t="e">
        <f>race_lumber_bonus+ IF(#REF!&gt;0,gaias_blessing_lumber)+ tech_1_3*#REF! + tech_1_6*#REF! + tech_3_3*#REF!</f>
        <v>#REF!</v>
      </c>
      <c r="AK57" s="135" t="e">
        <f>race_mana_bonus+ 0 +#REF! + tech_1_2*#REF! + tech_3_4*#REF!</f>
        <v>#REF!</v>
      </c>
      <c r="AL57" s="135" t="e">
        <f>race_ore_bonus + IF(#REF!&gt;0,miners_sight_bonus,IF(#REF!&gt;0,mining_strength_bonus)) +  tech_1_6*#REF!</f>
        <v>#REF!</v>
      </c>
      <c r="AM57" s="135" t="e">
        <f>race_gem_bonus+ tech_3_2*#REF! + tech_4_3*#REF! + tech_6_2*#REF!</f>
        <v>#REF!</v>
      </c>
      <c r="AN57" s="134"/>
      <c r="AO57" s="39" t="e">
        <f>#REF!*food_decay * (1 + tech_2_1*#REF! + tech_2_8*#REF!)</f>
        <v>#REF!</v>
      </c>
      <c r="AP57" s="39" t="e">
        <f>(1+race_food_consumption)*#REF!*food_per_person*(1+tech_1_10*#REF!+tech_7_5*#REF!)</f>
        <v>#REF!</v>
      </c>
      <c r="AQ57" s="39" t="e">
        <f>#REF!*lumber_rot * (1 + tech_2_1*#REF! + tech_2_8*#REF! + tech_5_2*#REF!)</f>
        <v>#REF!</v>
      </c>
      <c r="AR57" s="39" t="e">
        <f>#REF!*mana_drain * (1 + tech_2_1*#REF! + tech_2_8*#REF!)</f>
        <v>#REF!</v>
      </c>
      <c r="AS57" s="133"/>
      <c r="AT57" s="39" t="e">
        <f>#REF!+#REF!+#REF!+#REF!+#REF!-#REF!</f>
        <v>#REF!</v>
      </c>
      <c r="AU57" s="39" t="e">
        <f>#REF!+#REF!-#REF! + Military!$CL$25*#REF!</f>
        <v>#REF!</v>
      </c>
      <c r="AV57" s="39" t="e">
        <f>#REF! + Military!$CL$26*#REF!</f>
        <v>#REF!</v>
      </c>
      <c r="AW57" s="39" t="e">
        <f>Military!$CL$24*#REF!+#REF!-#REF!</f>
        <v>#REF!</v>
      </c>
      <c r="AX57" s="39" t="e">
        <f>#REF!-#REF!</f>
        <v>#REF!</v>
      </c>
      <c r="AY57" s="134"/>
      <c r="AZ57" s="61" t="e">
        <f ca="1">IF(#REF!&lt;&gt;"",#REF!,OFFSET(#REF!,-1,0))</f>
        <v>#REF!</v>
      </c>
      <c r="BA57" s="144"/>
      <c r="BB57" s="3" t="e">
        <f>#REF!</f>
        <v>#REF!</v>
      </c>
      <c r="BC57" s="146" t="e">
        <f>-#REF! / 2 + -#REF! * 2 + -#REF! / 2</f>
        <v>#REF!</v>
      </c>
      <c r="BD57" s="146"/>
      <c r="BE57" s="146"/>
      <c r="BF57" s="146"/>
      <c r="BG57" s="147" t="e">
        <f>#REF!</f>
        <v>#REF!</v>
      </c>
      <c r="BH57" s="3" t="e">
        <f>IF(AND(#REF!=0,#REF!=0,#REF!=0,#REF!=0),"",IF(#REF!&gt;0,IF((#REF!+#REF!)/2+#REF!*2+ROUNDUP(#REF!/(1 + tech_2_2*Techs!Y57),0)=0,"Ok","Nope"),IF(#REF!&gt;0,IF((#REF!+#REF!)/2+#REF!*2+ROUNDUP(#REF!/(1 + tech_2_2*Techs!Y57),0)=0,"Ok","Nope"),IF(#REF!&gt;0,IF((#REF!+#REF!)/2+#REF!*2+ROUNDUP(#REF!/(1 + tech_2_2*Techs!Y57),0)=0,"Ok","Nope")))))</f>
        <v>#REF!</v>
      </c>
      <c r="BI57" s="39" t="e">
        <f>#REF!</f>
        <v>#REF!</v>
      </c>
      <c r="BJ57" s="39" t="e">
        <f>#REF!</f>
        <v>#REF!</v>
      </c>
      <c r="BK57" s="39" t="e">
        <f>#REF!</f>
        <v>#REF!</v>
      </c>
      <c r="BL57" s="39" t="e">
        <f>#REF!</f>
        <v>#REF!</v>
      </c>
      <c r="BM57" s="39" t="e">
        <f>#REF!</f>
        <v>#REF!</v>
      </c>
    </row>
    <row r="58" spans="1:65" x14ac:dyDescent="0.25">
      <c r="A58" s="130">
        <v>55</v>
      </c>
      <c r="B58" s="143" t="e">
        <f>#REF!</f>
        <v>#REF!</v>
      </c>
      <c r="C58" s="144"/>
      <c r="D58" s="133"/>
      <c r="E58" s="39" t="e">
        <f>#REF!</f>
        <v>#REF!</v>
      </c>
      <c r="F58" s="39" t="e">
        <f>#REF!</f>
        <v>#REF!</v>
      </c>
      <c r="G58" s="39" t="e">
        <f>#REF!</f>
        <v>#REF!</v>
      </c>
      <c r="H58" s="39" t="e">
        <f ca="1">OFFSET(#REF!,-1,0)+OFFSET(#REF!,-1,0) -#REF! + IF(#REF!,#REF!*4) + SUM(#REF!)*#REF!*tech_3_3_2*#REF!</f>
        <v>#REF!</v>
      </c>
      <c r="I58" s="39" t="e">
        <f ca="1">OFFSET(#REF!,-1,0)+OFFSET(#REF!,-1,0)+ROUNDUP((#REF!*80+#REF!*35)*(1+OFFSET(#REF!,-1,0)),0)</f>
        <v>#REF!</v>
      </c>
      <c r="J58" s="39" t="e">
        <f ca="1">OFFSET(#REF!,-1,0)+OFFSET(#REF!,-1,0) -#REF! + SUM(#REF!)*#REF!*tech_3_3_2*#REF!</f>
        <v>#REF!</v>
      </c>
      <c r="K58" s="39" t="e">
        <f ca="1">OFFSET(#REF!,-1,0)+OFFSET(#REF!,-1,0) -#REF!</f>
        <v>#REF!</v>
      </c>
      <c r="L58" s="39" t="e">
        <f ca="1">OFFSET(#REF!,-1,0)+OFFSET(#REF!,-1,0) -#REF!</f>
        <v>#REF!</v>
      </c>
      <c r="M58" s="39" t="e">
        <f ca="1">OFFSET(#REF!,-1,0)+OFFSET(#REF!,-1,0) -#REF!</f>
        <v>#REF!</v>
      </c>
      <c r="N58" s="39" t="e">
        <f ca="1">OFFSET(#REF!,-1,0)+OFFSET(#REF!,-1,0)</f>
        <v>#REF!</v>
      </c>
      <c r="O58" s="39" t="e">
        <f ca="1">OFFSET(#REF!,-1,0)</f>
        <v>#REF!</v>
      </c>
      <c r="P58" s="39" t="e">
        <f ca="1">ROUNDDOWN(OFFSET(#REF!,-1,0)+(1+research_bonus)*(MIN(#REF!,#REF!*school_max)*(1 - MIN((#REF!/(#REF!-#REF!)),school_max)))-#REF!*#REF!,0) + IF(#REF!&lt;&gt;"",350,0)</f>
        <v>#REF!</v>
      </c>
      <c r="Q58" s="39" t="e">
        <f ca="1">MAX(3750,_xlfn.CEILING.MATH(#REF!*2.5+OFFSET(#REF!,-1,0)*150))</f>
        <v>#REF!</v>
      </c>
      <c r="R58" s="134"/>
      <c r="S58" s="39" t="e">
        <f>ROUNDDOWN(#REF!*(1+#REF!),0)</f>
        <v>#REF!</v>
      </c>
      <c r="T58" s="39" t="e">
        <f>ROUND(#REF!*(1+#REF!)-#REF!-#REF!,0)</f>
        <v>#REF!</v>
      </c>
      <c r="U58" s="39" t="e">
        <f>ROUND(#REF!*(1+#REF!)-#REF!,0)</f>
        <v>#REF!</v>
      </c>
      <c r="V58" s="39" t="e">
        <f>ROUND(#REF!*(1+#REF!)-#REF!,0)</f>
        <v>#REF!</v>
      </c>
      <c r="W58" s="39" t="e">
        <f>ROUNDDOWN(#REF!*(1+#REF!),0)</f>
        <v>#REF!</v>
      </c>
      <c r="X58" s="39" t="e">
        <f>ROUNDDOWN(#REF!*(1+#REF!),0)</f>
        <v>#REF!</v>
      </c>
      <c r="Y58" s="145" t="e">
        <f ca="1">OFFSET(#REF!,1,0)*dock_boats_hr * (1 + tech_4_1*#REF!)</f>
        <v>#REF!</v>
      </c>
      <c r="Z58" s="133"/>
      <c r="AA58" s="39" t="e">
        <f ca="1">#REF!*tax*#REF! + (Construction!AZ59+Construction!BX59)*(alch_plat+(Magic!AM58&gt;0)*alchemist_flame_bonus)</f>
        <v>#REF!</v>
      </c>
      <c r="AB58" s="39" t="e">
        <f>#REF!*farm_food +#REF!* dock_food</f>
        <v>#REF!</v>
      </c>
      <c r="AC58" s="39" t="e">
        <f>#REF!*ly_lumber +#REF!* fh_lumber</f>
        <v>#REF!</v>
      </c>
      <c r="AD58" s="39" t="e">
        <f ca="1">OFFSET(#REF!,1,0)*(tower_mana + tech_4_5*#REF!) + OFFSET(#REF!,1,0)*wg_mana_prod</f>
        <v>#REF!</v>
      </c>
      <c r="AE58" s="39" t="e">
        <f ca="1">OFFSET(#REF!,1,0)*om_ore+IF(race="Dwarf",ROUNDDOWN(#REF!*0.4,0),)</f>
        <v>#REF!</v>
      </c>
      <c r="AF58" s="39" t="e">
        <f ca="1">OFFSET(#REF!,1,0)*dm_gems</f>
        <v>#REF!</v>
      </c>
      <c r="AG58" s="134"/>
      <c r="AH58" s="135" t="e">
        <f>MIN(race_platinum_bonus + IF(#REF!&gt;0,alch_frost_bonus,IF(Magic!AD58&gt;0,midas_bonus)) +#REF! -#REF!*( 0.02 + tech_5_7*#REF!) + tech_1_5*#REF! + tech_4_4*#REF!, 0.5)</f>
        <v>#REF!</v>
      </c>
      <c r="AI58" s="132" t="e">
        <f>(1 + race_food_bonus + IF(#REF!&gt;0,gaias_blessing_food,IF(#REF!&gt;0,gaias_watch_bonus)) +#REF! + tech_1_1*#REF! + tech_1_4*#REF! + tech_5_1*#REF! +#REF!/ 100*prestige_food_bonus*(1 + tech_8_1*#REF!)) - 1</f>
        <v>#REF!</v>
      </c>
      <c r="AJ58" s="135" t="e">
        <f>race_lumber_bonus+ IF(#REF!&gt;0,gaias_blessing_lumber)+ tech_1_3*#REF! + tech_1_6*#REF! + tech_3_3*#REF!</f>
        <v>#REF!</v>
      </c>
      <c r="AK58" s="135" t="e">
        <f>race_mana_bonus+ 0 +#REF! + tech_1_2*#REF! + tech_3_4*#REF!</f>
        <v>#REF!</v>
      </c>
      <c r="AL58" s="135" t="e">
        <f>race_ore_bonus + IF(#REF!&gt;0,miners_sight_bonus,IF(#REF!&gt;0,mining_strength_bonus)) +  tech_1_6*#REF!</f>
        <v>#REF!</v>
      </c>
      <c r="AM58" s="135" t="e">
        <f>race_gem_bonus+ tech_3_2*#REF! + tech_4_3*#REF! + tech_6_2*#REF!</f>
        <v>#REF!</v>
      </c>
      <c r="AN58" s="134"/>
      <c r="AO58" s="39" t="e">
        <f>#REF!*food_decay * (1 + tech_2_1*#REF! + tech_2_8*#REF!)</f>
        <v>#REF!</v>
      </c>
      <c r="AP58" s="39" t="e">
        <f>(1+race_food_consumption)*#REF!*food_per_person*(1+tech_1_10*#REF!+tech_7_5*#REF!)</f>
        <v>#REF!</v>
      </c>
      <c r="AQ58" s="39" t="e">
        <f>#REF!*lumber_rot * (1 + tech_2_1*#REF! + tech_2_8*#REF! + tech_5_2*#REF!)</f>
        <v>#REF!</v>
      </c>
      <c r="AR58" s="39" t="e">
        <f>#REF!*mana_drain * (1 + tech_2_1*#REF! + tech_2_8*#REF!)</f>
        <v>#REF!</v>
      </c>
      <c r="AS58" s="133"/>
      <c r="AT58" s="39" t="e">
        <f>#REF!+#REF!+#REF!+#REF!+#REF!-#REF!</f>
        <v>#REF!</v>
      </c>
      <c r="AU58" s="39" t="e">
        <f>#REF!+#REF!-#REF! + Military!$CL$25*#REF!</f>
        <v>#REF!</v>
      </c>
      <c r="AV58" s="39" t="e">
        <f>#REF! + Military!$CL$26*#REF!</f>
        <v>#REF!</v>
      </c>
      <c r="AW58" s="39" t="e">
        <f>Military!$CL$24*#REF!+#REF!-#REF!</f>
        <v>#REF!</v>
      </c>
      <c r="AX58" s="39" t="e">
        <f>#REF!-#REF!</f>
        <v>#REF!</v>
      </c>
      <c r="AY58" s="134"/>
      <c r="AZ58" s="61" t="e">
        <f ca="1">IF(#REF!&lt;&gt;"",#REF!,OFFSET(#REF!,-1,0))</f>
        <v>#REF!</v>
      </c>
      <c r="BA58" s="144"/>
      <c r="BB58" s="3" t="e">
        <f>#REF!</f>
        <v>#REF!</v>
      </c>
      <c r="BC58" s="146" t="e">
        <f>-#REF! / 2 + -#REF! * 2 + -#REF! / 2</f>
        <v>#REF!</v>
      </c>
      <c r="BD58" s="146"/>
      <c r="BE58" s="146"/>
      <c r="BF58" s="146"/>
      <c r="BG58" s="147" t="e">
        <f>#REF!</f>
        <v>#REF!</v>
      </c>
      <c r="BH58" s="3" t="e">
        <f>IF(AND(#REF!=0,#REF!=0,#REF!=0,#REF!=0),"",IF(#REF!&gt;0,IF((#REF!+#REF!)/2+#REF!*2+ROUNDUP(#REF!/(1 + tech_2_2*Techs!Y58),0)=0,"Ok","Nope"),IF(#REF!&gt;0,IF((#REF!+#REF!)/2+#REF!*2+ROUNDUP(#REF!/(1 + tech_2_2*Techs!Y58),0)=0,"Ok","Nope"),IF(#REF!&gt;0,IF((#REF!+#REF!)/2+#REF!*2+ROUNDUP(#REF!/(1 + tech_2_2*Techs!Y58),0)=0,"Ok","Nope")))))</f>
        <v>#REF!</v>
      </c>
      <c r="BI58" s="39" t="e">
        <f>#REF!</f>
        <v>#REF!</v>
      </c>
      <c r="BJ58" s="39" t="e">
        <f>#REF!</f>
        <v>#REF!</v>
      </c>
      <c r="BK58" s="39" t="e">
        <f>#REF!</f>
        <v>#REF!</v>
      </c>
      <c r="BL58" s="39" t="e">
        <f>#REF!</f>
        <v>#REF!</v>
      </c>
      <c r="BM58" s="39" t="e">
        <f>#REF!</f>
        <v>#REF!</v>
      </c>
    </row>
    <row r="59" spans="1:65" x14ac:dyDescent="0.25">
      <c r="A59" s="130">
        <v>56</v>
      </c>
      <c r="B59" s="143" t="e">
        <f>#REF!</f>
        <v>#REF!</v>
      </c>
      <c r="C59" s="144"/>
      <c r="D59" s="133"/>
      <c r="E59" s="39" t="e">
        <f>#REF!</f>
        <v>#REF!</v>
      </c>
      <c r="F59" s="39" t="e">
        <f>#REF!</f>
        <v>#REF!</v>
      </c>
      <c r="G59" s="39" t="e">
        <f>#REF!</f>
        <v>#REF!</v>
      </c>
      <c r="H59" s="39" t="e">
        <f ca="1">OFFSET(#REF!,-1,0)+OFFSET(#REF!,-1,0) -#REF! + IF(#REF!,#REF!*4) + SUM(#REF!)*#REF!*tech_3_3_2*#REF!</f>
        <v>#REF!</v>
      </c>
      <c r="I59" s="39" t="e">
        <f ca="1">OFFSET(#REF!,-1,0)+OFFSET(#REF!,-1,0)+ROUNDUP((#REF!*80+#REF!*35)*(1+OFFSET(#REF!,-1,0)),0)</f>
        <v>#REF!</v>
      </c>
      <c r="J59" s="39" t="e">
        <f ca="1">OFFSET(#REF!,-1,0)+OFFSET(#REF!,-1,0) -#REF! + SUM(#REF!)*#REF!*tech_3_3_2*#REF!</f>
        <v>#REF!</v>
      </c>
      <c r="K59" s="39" t="e">
        <f ca="1">OFFSET(#REF!,-1,0)+OFFSET(#REF!,-1,0) -#REF!</f>
        <v>#REF!</v>
      </c>
      <c r="L59" s="39" t="e">
        <f ca="1">OFFSET(#REF!,-1,0)+OFFSET(#REF!,-1,0) -#REF!</f>
        <v>#REF!</v>
      </c>
      <c r="M59" s="39" t="e">
        <f ca="1">OFFSET(#REF!,-1,0)+OFFSET(#REF!,-1,0) -#REF!</f>
        <v>#REF!</v>
      </c>
      <c r="N59" s="39" t="e">
        <f ca="1">OFFSET(#REF!,-1,0)+OFFSET(#REF!,-1,0)</f>
        <v>#REF!</v>
      </c>
      <c r="O59" s="39" t="e">
        <f ca="1">OFFSET(#REF!,-1,0)</f>
        <v>#REF!</v>
      </c>
      <c r="P59" s="39" t="e">
        <f ca="1">ROUNDDOWN(OFFSET(#REF!,-1,0)+(1+research_bonus)*(MIN(#REF!,#REF!*school_max)*(1 - MIN((#REF!/(#REF!-#REF!)),school_max)))-#REF!*#REF!,0) + IF(#REF!&lt;&gt;"",350,0)</f>
        <v>#REF!</v>
      </c>
      <c r="Q59" s="39" t="e">
        <f ca="1">MAX(3750,_xlfn.CEILING.MATH(#REF!*2.5+OFFSET(#REF!,-1,0)*150))</f>
        <v>#REF!</v>
      </c>
      <c r="R59" s="134"/>
      <c r="S59" s="39" t="e">
        <f>ROUNDDOWN(#REF!*(1+#REF!),0)</f>
        <v>#REF!</v>
      </c>
      <c r="T59" s="39" t="e">
        <f>ROUND(#REF!*(1+#REF!)-#REF!-#REF!,0)</f>
        <v>#REF!</v>
      </c>
      <c r="U59" s="39" t="e">
        <f>ROUND(#REF!*(1+#REF!)-#REF!,0)</f>
        <v>#REF!</v>
      </c>
      <c r="V59" s="39" t="e">
        <f>ROUND(#REF!*(1+#REF!)-#REF!,0)</f>
        <v>#REF!</v>
      </c>
      <c r="W59" s="39" t="e">
        <f>ROUNDDOWN(#REF!*(1+#REF!),0)</f>
        <v>#REF!</v>
      </c>
      <c r="X59" s="39" t="e">
        <f>ROUNDDOWN(#REF!*(1+#REF!),0)</f>
        <v>#REF!</v>
      </c>
      <c r="Y59" s="145" t="e">
        <f ca="1">OFFSET(#REF!,1,0)*dock_boats_hr * (1 + tech_4_1*#REF!)</f>
        <v>#REF!</v>
      </c>
      <c r="Z59" s="133"/>
      <c r="AA59" s="39" t="e">
        <f ca="1">#REF!*tax*#REF! + (Construction!AZ60+Construction!BX60)*(alch_plat+(Magic!AM59&gt;0)*alchemist_flame_bonus)</f>
        <v>#REF!</v>
      </c>
      <c r="AB59" s="39" t="e">
        <f>#REF!*farm_food +#REF!* dock_food</f>
        <v>#REF!</v>
      </c>
      <c r="AC59" s="39" t="e">
        <f>#REF!*ly_lumber +#REF!* fh_lumber</f>
        <v>#REF!</v>
      </c>
      <c r="AD59" s="39" t="e">
        <f ca="1">OFFSET(#REF!,1,0)*(tower_mana + tech_4_5*#REF!) + OFFSET(#REF!,1,0)*wg_mana_prod</f>
        <v>#REF!</v>
      </c>
      <c r="AE59" s="39" t="e">
        <f ca="1">OFFSET(#REF!,1,0)*om_ore+IF(race="Dwarf",ROUNDDOWN(#REF!*0.4,0),)</f>
        <v>#REF!</v>
      </c>
      <c r="AF59" s="39" t="e">
        <f ca="1">OFFSET(#REF!,1,0)*dm_gems</f>
        <v>#REF!</v>
      </c>
      <c r="AG59" s="134"/>
      <c r="AH59" s="135" t="e">
        <f>MIN(race_platinum_bonus + IF(#REF!&gt;0,alch_frost_bonus,IF(Magic!AD59&gt;0,midas_bonus)) +#REF! -#REF!*( 0.02 + tech_5_7*#REF!) + tech_1_5*#REF! + tech_4_4*#REF!, 0.5)</f>
        <v>#REF!</v>
      </c>
      <c r="AI59" s="132" t="e">
        <f>(1 + race_food_bonus + IF(#REF!&gt;0,gaias_blessing_food,IF(#REF!&gt;0,gaias_watch_bonus)) +#REF! + tech_1_1*#REF! + tech_1_4*#REF! + tech_5_1*#REF! +#REF!/ 100*prestige_food_bonus*(1 + tech_8_1*#REF!)) - 1</f>
        <v>#REF!</v>
      </c>
      <c r="AJ59" s="135" t="e">
        <f>race_lumber_bonus+ IF(#REF!&gt;0,gaias_blessing_lumber)+ tech_1_3*#REF! + tech_1_6*#REF! + tech_3_3*#REF!</f>
        <v>#REF!</v>
      </c>
      <c r="AK59" s="135" t="e">
        <f>race_mana_bonus+ 0 +#REF! + tech_1_2*#REF! + tech_3_4*#REF!</f>
        <v>#REF!</v>
      </c>
      <c r="AL59" s="135" t="e">
        <f>race_ore_bonus + IF(#REF!&gt;0,miners_sight_bonus,IF(#REF!&gt;0,mining_strength_bonus)) +  tech_1_6*#REF!</f>
        <v>#REF!</v>
      </c>
      <c r="AM59" s="135" t="e">
        <f>race_gem_bonus+ tech_3_2*#REF! + tech_4_3*#REF! + tech_6_2*#REF!</f>
        <v>#REF!</v>
      </c>
      <c r="AN59" s="134"/>
      <c r="AO59" s="39" t="e">
        <f>#REF!*food_decay * (1 + tech_2_1*#REF! + tech_2_8*#REF!)</f>
        <v>#REF!</v>
      </c>
      <c r="AP59" s="39" t="e">
        <f>(1+race_food_consumption)*#REF!*food_per_person*(1+tech_1_10*#REF!+tech_7_5*#REF!)</f>
        <v>#REF!</v>
      </c>
      <c r="AQ59" s="39" t="e">
        <f>#REF!*lumber_rot * (1 + tech_2_1*#REF! + tech_2_8*#REF! + tech_5_2*#REF!)</f>
        <v>#REF!</v>
      </c>
      <c r="AR59" s="39" t="e">
        <f>#REF!*mana_drain * (1 + tech_2_1*#REF! + tech_2_8*#REF!)</f>
        <v>#REF!</v>
      </c>
      <c r="AS59" s="133"/>
      <c r="AT59" s="39" t="e">
        <f>#REF!+#REF!+#REF!+#REF!+#REF!-#REF!</f>
        <v>#REF!</v>
      </c>
      <c r="AU59" s="39" t="e">
        <f>#REF!+#REF!-#REF! + Military!$CL$25*#REF!</f>
        <v>#REF!</v>
      </c>
      <c r="AV59" s="39" t="e">
        <f>#REF! + Military!$CL$26*#REF!</f>
        <v>#REF!</v>
      </c>
      <c r="AW59" s="39" t="e">
        <f>Military!$CL$24*#REF!+#REF!-#REF!</f>
        <v>#REF!</v>
      </c>
      <c r="AX59" s="39" t="e">
        <f>#REF!-#REF!</f>
        <v>#REF!</v>
      </c>
      <c r="AY59" s="134"/>
      <c r="AZ59" s="61" t="e">
        <f ca="1">IF(#REF!&lt;&gt;"",#REF!,OFFSET(#REF!,-1,0))</f>
        <v>#REF!</v>
      </c>
      <c r="BA59" s="144"/>
      <c r="BB59" s="3" t="e">
        <f>#REF!</f>
        <v>#REF!</v>
      </c>
      <c r="BC59" s="146" t="e">
        <f>-#REF! / 2 + -#REF! * 2 + -#REF! / 2</f>
        <v>#REF!</v>
      </c>
      <c r="BD59" s="146"/>
      <c r="BE59" s="146"/>
      <c r="BF59" s="146"/>
      <c r="BG59" s="147" t="e">
        <f>#REF!</f>
        <v>#REF!</v>
      </c>
      <c r="BH59" s="3" t="e">
        <f>IF(AND(#REF!=0,#REF!=0,#REF!=0,#REF!=0),"",IF(#REF!&gt;0,IF((#REF!+#REF!)/2+#REF!*2+ROUNDUP(#REF!/(1 + tech_2_2*Techs!Y59),0)=0,"Ok","Nope"),IF(#REF!&gt;0,IF((#REF!+#REF!)/2+#REF!*2+ROUNDUP(#REF!/(1 + tech_2_2*Techs!Y59),0)=0,"Ok","Nope"),IF(#REF!&gt;0,IF((#REF!+#REF!)/2+#REF!*2+ROUNDUP(#REF!/(1 + tech_2_2*Techs!Y59),0)=0,"Ok","Nope")))))</f>
        <v>#REF!</v>
      </c>
      <c r="BI59" s="39" t="e">
        <f>#REF!</f>
        <v>#REF!</v>
      </c>
      <c r="BJ59" s="39" t="e">
        <f>#REF!</f>
        <v>#REF!</v>
      </c>
      <c r="BK59" s="39" t="e">
        <f>#REF!</f>
        <v>#REF!</v>
      </c>
      <c r="BL59" s="39" t="e">
        <f>#REF!</f>
        <v>#REF!</v>
      </c>
      <c r="BM59" s="39" t="e">
        <f>#REF!</f>
        <v>#REF!</v>
      </c>
    </row>
    <row r="60" spans="1:65" x14ac:dyDescent="0.25">
      <c r="A60" s="130">
        <v>57</v>
      </c>
      <c r="B60" s="143" t="e">
        <f>#REF!</f>
        <v>#REF!</v>
      </c>
      <c r="C60" s="144"/>
      <c r="D60" s="133"/>
      <c r="E60" s="39" t="e">
        <f>#REF!</f>
        <v>#REF!</v>
      </c>
      <c r="F60" s="39" t="e">
        <f>#REF!</f>
        <v>#REF!</v>
      </c>
      <c r="G60" s="39" t="e">
        <f>#REF!</f>
        <v>#REF!</v>
      </c>
      <c r="H60" s="39" t="e">
        <f ca="1">OFFSET(#REF!,-1,0)+OFFSET(#REF!,-1,0) -#REF! + IF(#REF!,#REF!*4) + SUM(#REF!)*#REF!*tech_3_3_2*#REF!</f>
        <v>#REF!</v>
      </c>
      <c r="I60" s="39" t="e">
        <f ca="1">OFFSET(#REF!,-1,0)+OFFSET(#REF!,-1,0)+ROUNDUP((#REF!*80+#REF!*35)*(1+OFFSET(#REF!,-1,0)),0)</f>
        <v>#REF!</v>
      </c>
      <c r="J60" s="39" t="e">
        <f ca="1">OFFSET(#REF!,-1,0)+OFFSET(#REF!,-1,0) -#REF! + SUM(#REF!)*#REF!*tech_3_3_2*#REF!</f>
        <v>#REF!</v>
      </c>
      <c r="K60" s="39" t="e">
        <f ca="1">OFFSET(#REF!,-1,0)+OFFSET(#REF!,-1,0) -#REF!</f>
        <v>#REF!</v>
      </c>
      <c r="L60" s="39" t="e">
        <f ca="1">OFFSET(#REF!,-1,0)+OFFSET(#REF!,-1,0) -#REF!</f>
        <v>#REF!</v>
      </c>
      <c r="M60" s="39" t="e">
        <f ca="1">OFFSET(#REF!,-1,0)+OFFSET(#REF!,-1,0) -#REF!</f>
        <v>#REF!</v>
      </c>
      <c r="N60" s="39" t="e">
        <f ca="1">OFFSET(#REF!,-1,0)+OFFSET(#REF!,-1,0)</f>
        <v>#REF!</v>
      </c>
      <c r="O60" s="39" t="e">
        <f ca="1">OFFSET(#REF!,-1,0)</f>
        <v>#REF!</v>
      </c>
      <c r="P60" s="39" t="e">
        <f ca="1">ROUNDDOWN(OFFSET(#REF!,-1,0)+(1+research_bonus)*(MIN(#REF!,#REF!*school_max)*(1 - MIN((#REF!/(#REF!-#REF!)),school_max)))-#REF!*#REF!,0) + IF(#REF!&lt;&gt;"",350,0)</f>
        <v>#REF!</v>
      </c>
      <c r="Q60" s="39" t="e">
        <f ca="1">MAX(3750,_xlfn.CEILING.MATH(#REF!*2.5+OFFSET(#REF!,-1,0)*150))</f>
        <v>#REF!</v>
      </c>
      <c r="R60" s="134"/>
      <c r="S60" s="39" t="e">
        <f>ROUNDDOWN(#REF!*(1+#REF!),0)</f>
        <v>#REF!</v>
      </c>
      <c r="T60" s="39" t="e">
        <f>ROUND(#REF!*(1+#REF!)-#REF!-#REF!,0)</f>
        <v>#REF!</v>
      </c>
      <c r="U60" s="39" t="e">
        <f>ROUND(#REF!*(1+#REF!)-#REF!,0)</f>
        <v>#REF!</v>
      </c>
      <c r="V60" s="39" t="e">
        <f>ROUND(#REF!*(1+#REF!)-#REF!,0)</f>
        <v>#REF!</v>
      </c>
      <c r="W60" s="39" t="e">
        <f>ROUNDDOWN(#REF!*(1+#REF!),0)</f>
        <v>#REF!</v>
      </c>
      <c r="X60" s="39" t="e">
        <f>ROUNDDOWN(#REF!*(1+#REF!),0)</f>
        <v>#REF!</v>
      </c>
      <c r="Y60" s="145" t="e">
        <f ca="1">OFFSET(#REF!,1,0)*dock_boats_hr * (1 + tech_4_1*#REF!)</f>
        <v>#REF!</v>
      </c>
      <c r="Z60" s="133"/>
      <c r="AA60" s="39" t="e">
        <f ca="1">#REF!*tax*#REF! + (Construction!AZ61+Construction!BX61)*(alch_plat+(Magic!AM60&gt;0)*alchemist_flame_bonus)</f>
        <v>#REF!</v>
      </c>
      <c r="AB60" s="39" t="e">
        <f>#REF!*farm_food +#REF!* dock_food</f>
        <v>#REF!</v>
      </c>
      <c r="AC60" s="39" t="e">
        <f>#REF!*ly_lumber +#REF!* fh_lumber</f>
        <v>#REF!</v>
      </c>
      <c r="AD60" s="39" t="e">
        <f ca="1">OFFSET(#REF!,1,0)*(tower_mana + tech_4_5*#REF!) + OFFSET(#REF!,1,0)*wg_mana_prod</f>
        <v>#REF!</v>
      </c>
      <c r="AE60" s="39" t="e">
        <f ca="1">OFFSET(#REF!,1,0)*om_ore+IF(race="Dwarf",ROUNDDOWN(#REF!*0.4,0),)</f>
        <v>#REF!</v>
      </c>
      <c r="AF60" s="39" t="e">
        <f ca="1">OFFSET(#REF!,1,0)*dm_gems</f>
        <v>#REF!</v>
      </c>
      <c r="AG60" s="134"/>
      <c r="AH60" s="135" t="e">
        <f>MIN(race_platinum_bonus + IF(#REF!&gt;0,alch_frost_bonus,IF(Magic!AD60&gt;0,midas_bonus)) +#REF! -#REF!*( 0.02 + tech_5_7*#REF!) + tech_1_5*#REF! + tech_4_4*#REF!, 0.5)</f>
        <v>#REF!</v>
      </c>
      <c r="AI60" s="132" t="e">
        <f>(1 + race_food_bonus + IF(#REF!&gt;0,gaias_blessing_food,IF(#REF!&gt;0,gaias_watch_bonus)) +#REF! + tech_1_1*#REF! + tech_1_4*#REF! + tech_5_1*#REF! +#REF!/ 100*prestige_food_bonus*(1 + tech_8_1*#REF!)) - 1</f>
        <v>#REF!</v>
      </c>
      <c r="AJ60" s="135" t="e">
        <f>race_lumber_bonus+ IF(#REF!&gt;0,gaias_blessing_lumber)+ tech_1_3*#REF! + tech_1_6*#REF! + tech_3_3*#REF!</f>
        <v>#REF!</v>
      </c>
      <c r="AK60" s="135" t="e">
        <f>race_mana_bonus+ 0 +#REF! + tech_1_2*#REF! + tech_3_4*#REF!</f>
        <v>#REF!</v>
      </c>
      <c r="AL60" s="135" t="e">
        <f>race_ore_bonus + IF(#REF!&gt;0,miners_sight_bonus,IF(#REF!&gt;0,mining_strength_bonus)) +  tech_1_6*#REF!</f>
        <v>#REF!</v>
      </c>
      <c r="AM60" s="135" t="e">
        <f>race_gem_bonus+ tech_3_2*#REF! + tech_4_3*#REF! + tech_6_2*#REF!</f>
        <v>#REF!</v>
      </c>
      <c r="AN60" s="134"/>
      <c r="AO60" s="39" t="e">
        <f>#REF!*food_decay * (1 + tech_2_1*#REF! + tech_2_8*#REF!)</f>
        <v>#REF!</v>
      </c>
      <c r="AP60" s="39" t="e">
        <f>(1+race_food_consumption)*#REF!*food_per_person*(1+tech_1_10*#REF!+tech_7_5*#REF!)</f>
        <v>#REF!</v>
      </c>
      <c r="AQ60" s="39" t="e">
        <f>#REF!*lumber_rot * (1 + tech_2_1*#REF! + tech_2_8*#REF! + tech_5_2*#REF!)</f>
        <v>#REF!</v>
      </c>
      <c r="AR60" s="39" t="e">
        <f>#REF!*mana_drain * (1 + tech_2_1*#REF! + tech_2_8*#REF!)</f>
        <v>#REF!</v>
      </c>
      <c r="AS60" s="133"/>
      <c r="AT60" s="39" t="e">
        <f>#REF!+#REF!+#REF!+#REF!+#REF!-#REF!</f>
        <v>#REF!</v>
      </c>
      <c r="AU60" s="39" t="e">
        <f>#REF!+#REF!-#REF! + Military!$CL$25*#REF!</f>
        <v>#REF!</v>
      </c>
      <c r="AV60" s="39" t="e">
        <f>#REF! + Military!$CL$26*#REF!</f>
        <v>#REF!</v>
      </c>
      <c r="AW60" s="39" t="e">
        <f>Military!$CL$24*#REF!+#REF!-#REF!</f>
        <v>#REF!</v>
      </c>
      <c r="AX60" s="39" t="e">
        <f>#REF!-#REF!</f>
        <v>#REF!</v>
      </c>
      <c r="AY60" s="134"/>
      <c r="AZ60" s="61" t="e">
        <f ca="1">IF(#REF!&lt;&gt;"",#REF!,OFFSET(#REF!,-1,0))</f>
        <v>#REF!</v>
      </c>
      <c r="BA60" s="144"/>
      <c r="BB60" s="3" t="e">
        <f>#REF!</f>
        <v>#REF!</v>
      </c>
      <c r="BC60" s="146" t="e">
        <f>-#REF! / 2 + -#REF! * 2 + -#REF! / 2</f>
        <v>#REF!</v>
      </c>
      <c r="BD60" s="146"/>
      <c r="BE60" s="146"/>
      <c r="BF60" s="146"/>
      <c r="BG60" s="147" t="e">
        <f>#REF!</f>
        <v>#REF!</v>
      </c>
      <c r="BH60" s="3" t="e">
        <f>IF(AND(#REF!=0,#REF!=0,#REF!=0,#REF!=0),"",IF(#REF!&gt;0,IF((#REF!+#REF!)/2+#REF!*2+ROUNDUP(#REF!/(1 + tech_2_2*Techs!Y60),0)=0,"Ok","Nope"),IF(#REF!&gt;0,IF((#REF!+#REF!)/2+#REF!*2+ROUNDUP(#REF!/(1 + tech_2_2*Techs!Y60),0)=0,"Ok","Nope"),IF(#REF!&gt;0,IF((#REF!+#REF!)/2+#REF!*2+ROUNDUP(#REF!/(1 + tech_2_2*Techs!Y60),0)=0,"Ok","Nope")))))</f>
        <v>#REF!</v>
      </c>
      <c r="BI60" s="39" t="e">
        <f>#REF!</f>
        <v>#REF!</v>
      </c>
      <c r="BJ60" s="39" t="e">
        <f>#REF!</f>
        <v>#REF!</v>
      </c>
      <c r="BK60" s="39" t="e">
        <f>#REF!</f>
        <v>#REF!</v>
      </c>
      <c r="BL60" s="39" t="e">
        <f>#REF!</f>
        <v>#REF!</v>
      </c>
      <c r="BM60" s="39" t="e">
        <f>#REF!</f>
        <v>#REF!</v>
      </c>
    </row>
    <row r="61" spans="1:65" x14ac:dyDescent="0.25">
      <c r="A61" s="130">
        <v>58</v>
      </c>
      <c r="B61" s="143" t="e">
        <f>#REF!</f>
        <v>#REF!</v>
      </c>
      <c r="C61" s="144"/>
      <c r="D61" s="133"/>
      <c r="E61" s="39" t="e">
        <f>#REF!</f>
        <v>#REF!</v>
      </c>
      <c r="F61" s="39" t="e">
        <f>#REF!</f>
        <v>#REF!</v>
      </c>
      <c r="G61" s="39" t="e">
        <f>#REF!</f>
        <v>#REF!</v>
      </c>
      <c r="H61" s="39" t="e">
        <f ca="1">OFFSET(#REF!,-1,0)+OFFSET(#REF!,-1,0) -#REF! + IF(#REF!,#REF!*4) + SUM(#REF!)*#REF!*tech_3_3_2*#REF!</f>
        <v>#REF!</v>
      </c>
      <c r="I61" s="39" t="e">
        <f ca="1">OFFSET(#REF!,-1,0)+OFFSET(#REF!,-1,0)+ROUNDUP((#REF!*80+#REF!*35)*(1+OFFSET(#REF!,-1,0)),0)</f>
        <v>#REF!</v>
      </c>
      <c r="J61" s="39" t="e">
        <f ca="1">OFFSET(#REF!,-1,0)+OFFSET(#REF!,-1,0) -#REF! + SUM(#REF!)*#REF!*tech_3_3_2*#REF!</f>
        <v>#REF!</v>
      </c>
      <c r="K61" s="39" t="e">
        <f ca="1">OFFSET(#REF!,-1,0)+OFFSET(#REF!,-1,0) -#REF!</f>
        <v>#REF!</v>
      </c>
      <c r="L61" s="39" t="e">
        <f ca="1">OFFSET(#REF!,-1,0)+OFFSET(#REF!,-1,0) -#REF!</f>
        <v>#REF!</v>
      </c>
      <c r="M61" s="39" t="e">
        <f ca="1">OFFSET(#REF!,-1,0)+OFFSET(#REF!,-1,0) -#REF!</f>
        <v>#REF!</v>
      </c>
      <c r="N61" s="39" t="e">
        <f ca="1">OFFSET(#REF!,-1,0)+OFFSET(#REF!,-1,0)</f>
        <v>#REF!</v>
      </c>
      <c r="O61" s="39" t="e">
        <f ca="1">OFFSET(#REF!,-1,0)</f>
        <v>#REF!</v>
      </c>
      <c r="P61" s="39" t="e">
        <f ca="1">ROUNDDOWN(OFFSET(#REF!,-1,0)+(1+research_bonus)*(MIN(#REF!,#REF!*school_max)*(1 - MIN((#REF!/(#REF!-#REF!)),school_max)))-#REF!*#REF!,0) + IF(#REF!&lt;&gt;"",350,0)</f>
        <v>#REF!</v>
      </c>
      <c r="Q61" s="39" t="e">
        <f ca="1">MAX(3750,_xlfn.CEILING.MATH(#REF!*2.5+OFFSET(#REF!,-1,0)*150))</f>
        <v>#REF!</v>
      </c>
      <c r="R61" s="134"/>
      <c r="S61" s="39" t="e">
        <f>ROUNDDOWN(#REF!*(1+#REF!),0)</f>
        <v>#REF!</v>
      </c>
      <c r="T61" s="39" t="e">
        <f>ROUND(#REF!*(1+#REF!)-#REF!-#REF!,0)</f>
        <v>#REF!</v>
      </c>
      <c r="U61" s="39" t="e">
        <f>ROUND(#REF!*(1+#REF!)-#REF!,0)</f>
        <v>#REF!</v>
      </c>
      <c r="V61" s="39" t="e">
        <f>ROUND(#REF!*(1+#REF!)-#REF!,0)</f>
        <v>#REF!</v>
      </c>
      <c r="W61" s="39" t="e">
        <f>ROUNDDOWN(#REF!*(1+#REF!),0)</f>
        <v>#REF!</v>
      </c>
      <c r="X61" s="39" t="e">
        <f>ROUNDDOWN(#REF!*(1+#REF!),0)</f>
        <v>#REF!</v>
      </c>
      <c r="Y61" s="145" t="e">
        <f ca="1">OFFSET(#REF!,1,0)*dock_boats_hr * (1 + tech_4_1*#REF!)</f>
        <v>#REF!</v>
      </c>
      <c r="Z61" s="133"/>
      <c r="AA61" s="39" t="e">
        <f ca="1">#REF!*tax*#REF! + (Construction!AZ62+Construction!BX62)*(alch_plat+(Magic!AM61&gt;0)*alchemist_flame_bonus)</f>
        <v>#REF!</v>
      </c>
      <c r="AB61" s="39" t="e">
        <f>#REF!*farm_food +#REF!* dock_food</f>
        <v>#REF!</v>
      </c>
      <c r="AC61" s="39" t="e">
        <f>#REF!*ly_lumber +#REF!* fh_lumber</f>
        <v>#REF!</v>
      </c>
      <c r="AD61" s="39" t="e">
        <f ca="1">OFFSET(#REF!,1,0)*(tower_mana + tech_4_5*#REF!) + OFFSET(#REF!,1,0)*wg_mana_prod</f>
        <v>#REF!</v>
      </c>
      <c r="AE61" s="39" t="e">
        <f ca="1">OFFSET(#REF!,1,0)*om_ore+IF(race="Dwarf",ROUNDDOWN(#REF!*0.4,0),)</f>
        <v>#REF!</v>
      </c>
      <c r="AF61" s="39" t="e">
        <f ca="1">OFFSET(#REF!,1,0)*dm_gems</f>
        <v>#REF!</v>
      </c>
      <c r="AG61" s="134"/>
      <c r="AH61" s="135" t="e">
        <f>MIN(race_platinum_bonus + IF(#REF!&gt;0,alch_frost_bonus,IF(Magic!AD61&gt;0,midas_bonus)) +#REF! -#REF!*( 0.02 + tech_5_7*#REF!) + tech_1_5*#REF! + tech_4_4*#REF!, 0.5)</f>
        <v>#REF!</v>
      </c>
      <c r="AI61" s="132" t="e">
        <f>(1 + race_food_bonus + IF(#REF!&gt;0,gaias_blessing_food,IF(#REF!&gt;0,gaias_watch_bonus)) +#REF! + tech_1_1*#REF! + tech_1_4*#REF! + tech_5_1*#REF! +#REF!/ 100*prestige_food_bonus*(1 + tech_8_1*#REF!)) - 1</f>
        <v>#REF!</v>
      </c>
      <c r="AJ61" s="135" t="e">
        <f>race_lumber_bonus+ IF(#REF!&gt;0,gaias_blessing_lumber)+ tech_1_3*#REF! + tech_1_6*#REF! + tech_3_3*#REF!</f>
        <v>#REF!</v>
      </c>
      <c r="AK61" s="135" t="e">
        <f>race_mana_bonus+ 0 +#REF! + tech_1_2*#REF! + tech_3_4*#REF!</f>
        <v>#REF!</v>
      </c>
      <c r="AL61" s="135" t="e">
        <f>race_ore_bonus + IF(#REF!&gt;0,miners_sight_bonus,IF(#REF!&gt;0,mining_strength_bonus)) +  tech_1_6*#REF!</f>
        <v>#REF!</v>
      </c>
      <c r="AM61" s="135" t="e">
        <f>race_gem_bonus+ tech_3_2*#REF! + tech_4_3*#REF! + tech_6_2*#REF!</f>
        <v>#REF!</v>
      </c>
      <c r="AN61" s="134"/>
      <c r="AO61" s="39" t="e">
        <f>#REF!*food_decay * (1 + tech_2_1*#REF! + tech_2_8*#REF!)</f>
        <v>#REF!</v>
      </c>
      <c r="AP61" s="39" t="e">
        <f>(1+race_food_consumption)*#REF!*food_per_person*(1+tech_1_10*#REF!+tech_7_5*#REF!)</f>
        <v>#REF!</v>
      </c>
      <c r="AQ61" s="39" t="e">
        <f>#REF!*lumber_rot * (1 + tech_2_1*#REF! + tech_2_8*#REF! + tech_5_2*#REF!)</f>
        <v>#REF!</v>
      </c>
      <c r="AR61" s="39" t="e">
        <f>#REF!*mana_drain * (1 + tech_2_1*#REF! + tech_2_8*#REF!)</f>
        <v>#REF!</v>
      </c>
      <c r="AS61" s="133"/>
      <c r="AT61" s="39" t="e">
        <f>#REF!+#REF!+#REF!+#REF!+#REF!-#REF!</f>
        <v>#REF!</v>
      </c>
      <c r="AU61" s="39" t="e">
        <f>#REF!+#REF!-#REF! + Military!$CL$25*#REF!</f>
        <v>#REF!</v>
      </c>
      <c r="AV61" s="39" t="e">
        <f>#REF! + Military!$CL$26*#REF!</f>
        <v>#REF!</v>
      </c>
      <c r="AW61" s="39" t="e">
        <f>Military!$CL$24*#REF!+#REF!-#REF!</f>
        <v>#REF!</v>
      </c>
      <c r="AX61" s="39" t="e">
        <f>#REF!-#REF!</f>
        <v>#REF!</v>
      </c>
      <c r="AY61" s="134"/>
      <c r="AZ61" s="61" t="e">
        <f ca="1">IF(#REF!&lt;&gt;"",#REF!,OFFSET(#REF!,-1,0))</f>
        <v>#REF!</v>
      </c>
      <c r="BA61" s="144"/>
      <c r="BB61" s="3" t="e">
        <f>#REF!</f>
        <v>#REF!</v>
      </c>
      <c r="BC61" s="146" t="e">
        <f>-#REF! / 2 + -#REF! * 2 + -#REF! / 2</f>
        <v>#REF!</v>
      </c>
      <c r="BD61" s="146"/>
      <c r="BE61" s="146"/>
      <c r="BF61" s="146"/>
      <c r="BG61" s="147" t="e">
        <f>#REF!</f>
        <v>#REF!</v>
      </c>
      <c r="BH61" s="3" t="e">
        <f>IF(AND(#REF!=0,#REF!=0,#REF!=0,#REF!=0),"",IF(#REF!&gt;0,IF((#REF!+#REF!)/2+#REF!*2+ROUNDUP(#REF!/(1 + tech_2_2*Techs!Y61),0)=0,"Ok","Nope"),IF(#REF!&gt;0,IF((#REF!+#REF!)/2+#REF!*2+ROUNDUP(#REF!/(1 + tech_2_2*Techs!Y61),0)=0,"Ok","Nope"),IF(#REF!&gt;0,IF((#REF!+#REF!)/2+#REF!*2+ROUNDUP(#REF!/(1 + tech_2_2*Techs!Y61),0)=0,"Ok","Nope")))))</f>
        <v>#REF!</v>
      </c>
      <c r="BI61" s="39" t="e">
        <f>#REF!</f>
        <v>#REF!</v>
      </c>
      <c r="BJ61" s="39" t="e">
        <f>#REF!</f>
        <v>#REF!</v>
      </c>
      <c r="BK61" s="39" t="e">
        <f>#REF!</f>
        <v>#REF!</v>
      </c>
      <c r="BL61" s="39" t="e">
        <f>#REF!</f>
        <v>#REF!</v>
      </c>
      <c r="BM61" s="39" t="e">
        <f>#REF!</f>
        <v>#REF!</v>
      </c>
    </row>
    <row r="62" spans="1:65" x14ac:dyDescent="0.25">
      <c r="A62" s="130">
        <v>59</v>
      </c>
      <c r="B62" s="143" t="e">
        <f>#REF!</f>
        <v>#REF!</v>
      </c>
      <c r="C62" s="144"/>
      <c r="D62" s="133"/>
      <c r="E62" s="39" t="e">
        <f>#REF!</f>
        <v>#REF!</v>
      </c>
      <c r="F62" s="39" t="e">
        <f>#REF!</f>
        <v>#REF!</v>
      </c>
      <c r="G62" s="39" t="e">
        <f>#REF!</f>
        <v>#REF!</v>
      </c>
      <c r="H62" s="39" t="e">
        <f ca="1">OFFSET(#REF!,-1,0)+OFFSET(#REF!,-1,0) -#REF! + IF(#REF!,#REF!*4) + SUM(#REF!)*#REF!*tech_3_3_2*#REF!</f>
        <v>#REF!</v>
      </c>
      <c r="I62" s="39" t="e">
        <f ca="1">OFFSET(#REF!,-1,0)+OFFSET(#REF!,-1,0)+ROUNDUP((#REF!*80+#REF!*35)*(1+OFFSET(#REF!,-1,0)),0)</f>
        <v>#REF!</v>
      </c>
      <c r="J62" s="39" t="e">
        <f ca="1">OFFSET(#REF!,-1,0)+OFFSET(#REF!,-1,0) -#REF! + SUM(#REF!)*#REF!*tech_3_3_2*#REF!</f>
        <v>#REF!</v>
      </c>
      <c r="K62" s="39" t="e">
        <f ca="1">OFFSET(#REF!,-1,0)+OFFSET(#REF!,-1,0) -#REF!</f>
        <v>#REF!</v>
      </c>
      <c r="L62" s="39" t="e">
        <f ca="1">OFFSET(#REF!,-1,0)+OFFSET(#REF!,-1,0) -#REF!</f>
        <v>#REF!</v>
      </c>
      <c r="M62" s="39" t="e">
        <f ca="1">OFFSET(#REF!,-1,0)+OFFSET(#REF!,-1,0) -#REF!</f>
        <v>#REF!</v>
      </c>
      <c r="N62" s="39" t="e">
        <f ca="1">OFFSET(#REF!,-1,0)+OFFSET(#REF!,-1,0)</f>
        <v>#REF!</v>
      </c>
      <c r="O62" s="39" t="e">
        <f ca="1">OFFSET(#REF!,-1,0)</f>
        <v>#REF!</v>
      </c>
      <c r="P62" s="39" t="e">
        <f ca="1">ROUNDDOWN(OFFSET(#REF!,-1,0)+(1+research_bonus)*(MIN(#REF!,#REF!*school_max)*(1 - MIN((#REF!/(#REF!-#REF!)),school_max)))-#REF!*#REF!,0) + IF(#REF!&lt;&gt;"",350,0)</f>
        <v>#REF!</v>
      </c>
      <c r="Q62" s="39" t="e">
        <f ca="1">MAX(3750,_xlfn.CEILING.MATH(#REF!*2.5+OFFSET(#REF!,-1,0)*150))</f>
        <v>#REF!</v>
      </c>
      <c r="R62" s="134"/>
      <c r="S62" s="39" t="e">
        <f>ROUNDDOWN(#REF!*(1+#REF!),0)</f>
        <v>#REF!</v>
      </c>
      <c r="T62" s="39" t="e">
        <f>ROUND(#REF!*(1+#REF!)-#REF!-#REF!,0)</f>
        <v>#REF!</v>
      </c>
      <c r="U62" s="39" t="e">
        <f>ROUND(#REF!*(1+#REF!)-#REF!,0)</f>
        <v>#REF!</v>
      </c>
      <c r="V62" s="39" t="e">
        <f>ROUND(#REF!*(1+#REF!)-#REF!,0)</f>
        <v>#REF!</v>
      </c>
      <c r="W62" s="39" t="e">
        <f>ROUNDDOWN(#REF!*(1+#REF!),0)</f>
        <v>#REF!</v>
      </c>
      <c r="X62" s="39" t="e">
        <f>ROUNDDOWN(#REF!*(1+#REF!),0)</f>
        <v>#REF!</v>
      </c>
      <c r="Y62" s="145" t="e">
        <f ca="1">OFFSET(#REF!,1,0)*dock_boats_hr * (1 + tech_4_1*#REF!)</f>
        <v>#REF!</v>
      </c>
      <c r="Z62" s="133"/>
      <c r="AA62" s="39" t="e">
        <f ca="1">#REF!*tax*#REF! + (Construction!AZ63+Construction!BX63)*(alch_plat+(Magic!AM62&gt;0)*alchemist_flame_bonus)</f>
        <v>#REF!</v>
      </c>
      <c r="AB62" s="39" t="e">
        <f>#REF!*farm_food +#REF!* dock_food</f>
        <v>#REF!</v>
      </c>
      <c r="AC62" s="39" t="e">
        <f>#REF!*ly_lumber +#REF!* fh_lumber</f>
        <v>#REF!</v>
      </c>
      <c r="AD62" s="39" t="e">
        <f ca="1">OFFSET(#REF!,1,0)*(tower_mana + tech_4_5*#REF!) + OFFSET(#REF!,1,0)*wg_mana_prod</f>
        <v>#REF!</v>
      </c>
      <c r="AE62" s="39" t="e">
        <f ca="1">OFFSET(#REF!,1,0)*om_ore+IF(race="Dwarf",ROUNDDOWN(#REF!*0.4,0),)</f>
        <v>#REF!</v>
      </c>
      <c r="AF62" s="39" t="e">
        <f ca="1">OFFSET(#REF!,1,0)*dm_gems</f>
        <v>#REF!</v>
      </c>
      <c r="AG62" s="134"/>
      <c r="AH62" s="135" t="e">
        <f>MIN(race_platinum_bonus + IF(#REF!&gt;0,alch_frost_bonus,IF(Magic!AD62&gt;0,midas_bonus)) +#REF! -#REF!*( 0.02 + tech_5_7*#REF!) + tech_1_5*#REF! + tech_4_4*#REF!, 0.5)</f>
        <v>#REF!</v>
      </c>
      <c r="AI62" s="132" t="e">
        <f>(1 + race_food_bonus + IF(#REF!&gt;0,gaias_blessing_food,IF(#REF!&gt;0,gaias_watch_bonus)) +#REF! + tech_1_1*#REF! + tech_1_4*#REF! + tech_5_1*#REF! +#REF!/ 100*prestige_food_bonus*(1 + tech_8_1*#REF!)) - 1</f>
        <v>#REF!</v>
      </c>
      <c r="AJ62" s="135" t="e">
        <f>race_lumber_bonus+ IF(#REF!&gt;0,gaias_blessing_lumber)+ tech_1_3*#REF! + tech_1_6*#REF! + tech_3_3*#REF!</f>
        <v>#REF!</v>
      </c>
      <c r="AK62" s="135" t="e">
        <f>race_mana_bonus+ 0 +#REF! + tech_1_2*#REF! + tech_3_4*#REF!</f>
        <v>#REF!</v>
      </c>
      <c r="AL62" s="135" t="e">
        <f>race_ore_bonus + IF(#REF!&gt;0,miners_sight_bonus,IF(#REF!&gt;0,mining_strength_bonus)) +  tech_1_6*#REF!</f>
        <v>#REF!</v>
      </c>
      <c r="AM62" s="135" t="e">
        <f>race_gem_bonus+ tech_3_2*#REF! + tech_4_3*#REF! + tech_6_2*#REF!</f>
        <v>#REF!</v>
      </c>
      <c r="AN62" s="134"/>
      <c r="AO62" s="39" t="e">
        <f>#REF!*food_decay * (1 + tech_2_1*#REF! + tech_2_8*#REF!)</f>
        <v>#REF!</v>
      </c>
      <c r="AP62" s="39" t="e">
        <f>(1+race_food_consumption)*#REF!*food_per_person*(1+tech_1_10*#REF!+tech_7_5*#REF!)</f>
        <v>#REF!</v>
      </c>
      <c r="AQ62" s="39" t="e">
        <f>#REF!*lumber_rot * (1 + tech_2_1*#REF! + tech_2_8*#REF! + tech_5_2*#REF!)</f>
        <v>#REF!</v>
      </c>
      <c r="AR62" s="39" t="e">
        <f>#REF!*mana_drain * (1 + tech_2_1*#REF! + tech_2_8*#REF!)</f>
        <v>#REF!</v>
      </c>
      <c r="AS62" s="133"/>
      <c r="AT62" s="39" t="e">
        <f>#REF!+#REF!+#REF!+#REF!+#REF!-#REF!</f>
        <v>#REF!</v>
      </c>
      <c r="AU62" s="39" t="e">
        <f>#REF!+#REF!-#REF! + Military!$CL$25*#REF!</f>
        <v>#REF!</v>
      </c>
      <c r="AV62" s="39" t="e">
        <f>#REF! + Military!$CL$26*#REF!</f>
        <v>#REF!</v>
      </c>
      <c r="AW62" s="39" t="e">
        <f>Military!$CL$24*#REF!+#REF!-#REF!</f>
        <v>#REF!</v>
      </c>
      <c r="AX62" s="39" t="e">
        <f>#REF!-#REF!</f>
        <v>#REF!</v>
      </c>
      <c r="AY62" s="134"/>
      <c r="AZ62" s="61" t="e">
        <f ca="1">IF(#REF!&lt;&gt;"",#REF!,OFFSET(#REF!,-1,0))</f>
        <v>#REF!</v>
      </c>
      <c r="BA62" s="144"/>
      <c r="BB62" s="3" t="e">
        <f>#REF!</f>
        <v>#REF!</v>
      </c>
      <c r="BC62" s="146" t="e">
        <f>-#REF! / 2 + -#REF! * 2 + -#REF! / 2</f>
        <v>#REF!</v>
      </c>
      <c r="BD62" s="146"/>
      <c r="BE62" s="146"/>
      <c r="BF62" s="146"/>
      <c r="BG62" s="147" t="e">
        <f>#REF!</f>
        <v>#REF!</v>
      </c>
      <c r="BH62" s="3" t="e">
        <f>IF(AND(#REF!=0,#REF!=0,#REF!=0,#REF!=0),"",IF(#REF!&gt;0,IF((#REF!+#REF!)/2+#REF!*2+ROUNDUP(#REF!/(1 + tech_2_2*Techs!Y62),0)=0,"Ok","Nope"),IF(#REF!&gt;0,IF((#REF!+#REF!)/2+#REF!*2+ROUNDUP(#REF!/(1 + tech_2_2*Techs!Y62),0)=0,"Ok","Nope"),IF(#REF!&gt;0,IF((#REF!+#REF!)/2+#REF!*2+ROUNDUP(#REF!/(1 + tech_2_2*Techs!Y62),0)=0,"Ok","Nope")))))</f>
        <v>#REF!</v>
      </c>
      <c r="BI62" s="39" t="e">
        <f>#REF!</f>
        <v>#REF!</v>
      </c>
      <c r="BJ62" s="39" t="e">
        <f>#REF!</f>
        <v>#REF!</v>
      </c>
      <c r="BK62" s="39" t="e">
        <f>#REF!</f>
        <v>#REF!</v>
      </c>
      <c r="BL62" s="39" t="e">
        <f>#REF!</f>
        <v>#REF!</v>
      </c>
      <c r="BM62" s="39" t="e">
        <f>#REF!</f>
        <v>#REF!</v>
      </c>
    </row>
    <row r="63" spans="1:65" x14ac:dyDescent="0.25">
      <c r="A63" s="130">
        <v>60</v>
      </c>
      <c r="B63" s="143" t="e">
        <f>#REF!</f>
        <v>#REF!</v>
      </c>
      <c r="C63" s="144"/>
      <c r="D63" s="133"/>
      <c r="E63" s="39" t="e">
        <f>#REF!</f>
        <v>#REF!</v>
      </c>
      <c r="F63" s="39" t="e">
        <f>#REF!</f>
        <v>#REF!</v>
      </c>
      <c r="G63" s="39" t="e">
        <f>#REF!</f>
        <v>#REF!</v>
      </c>
      <c r="H63" s="39" t="e">
        <f ca="1">OFFSET(#REF!,-1,0)+OFFSET(#REF!,-1,0) -#REF! + IF(#REF!,#REF!*4) + SUM(#REF!)*#REF!*tech_3_3_2*#REF!</f>
        <v>#REF!</v>
      </c>
      <c r="I63" s="39" t="e">
        <f ca="1">OFFSET(#REF!,-1,0)+OFFSET(#REF!,-1,0)+ROUNDUP((#REF!*80+#REF!*35)*(1+OFFSET(#REF!,-1,0)),0)</f>
        <v>#REF!</v>
      </c>
      <c r="J63" s="39" t="e">
        <f ca="1">OFFSET(#REF!,-1,0)+OFFSET(#REF!,-1,0) -#REF! + SUM(#REF!)*#REF!*tech_3_3_2*#REF!</f>
        <v>#REF!</v>
      </c>
      <c r="K63" s="39" t="e">
        <f ca="1">OFFSET(#REF!,-1,0)+OFFSET(#REF!,-1,0) -#REF!</f>
        <v>#REF!</v>
      </c>
      <c r="L63" s="39" t="e">
        <f ca="1">OFFSET(#REF!,-1,0)+OFFSET(#REF!,-1,0) -#REF!</f>
        <v>#REF!</v>
      </c>
      <c r="M63" s="39" t="e">
        <f ca="1">OFFSET(#REF!,-1,0)+OFFSET(#REF!,-1,0) -#REF!</f>
        <v>#REF!</v>
      </c>
      <c r="N63" s="39" t="e">
        <f ca="1">OFFSET(#REF!,-1,0)+OFFSET(#REF!,-1,0)</f>
        <v>#REF!</v>
      </c>
      <c r="O63" s="39" t="e">
        <f ca="1">OFFSET(#REF!,-1,0)</f>
        <v>#REF!</v>
      </c>
      <c r="P63" s="39" t="e">
        <f ca="1">ROUNDDOWN(OFFSET(#REF!,-1,0)+(1+research_bonus)*(MIN(#REF!,#REF!*school_max)*(1 - MIN((#REF!/(#REF!-#REF!)),school_max)))-#REF!*#REF!,0) + IF(#REF!&lt;&gt;"",350,0)</f>
        <v>#REF!</v>
      </c>
      <c r="Q63" s="39" t="e">
        <f ca="1">MAX(3750,_xlfn.CEILING.MATH(#REF!*2.5+OFFSET(#REF!,-1,0)*150))</f>
        <v>#REF!</v>
      </c>
      <c r="R63" s="134"/>
      <c r="S63" s="39" t="e">
        <f>ROUNDDOWN(#REF!*(1+#REF!),0)</f>
        <v>#REF!</v>
      </c>
      <c r="T63" s="39" t="e">
        <f>ROUND(#REF!*(1+#REF!)-#REF!-#REF!,0)</f>
        <v>#REF!</v>
      </c>
      <c r="U63" s="39" t="e">
        <f>ROUND(#REF!*(1+#REF!)-#REF!,0)</f>
        <v>#REF!</v>
      </c>
      <c r="V63" s="39" t="e">
        <f>ROUND(#REF!*(1+#REF!)-#REF!,0)</f>
        <v>#REF!</v>
      </c>
      <c r="W63" s="39" t="e">
        <f>ROUNDDOWN(#REF!*(1+#REF!),0)</f>
        <v>#REF!</v>
      </c>
      <c r="X63" s="39" t="e">
        <f>ROUNDDOWN(#REF!*(1+#REF!),0)</f>
        <v>#REF!</v>
      </c>
      <c r="Y63" s="145" t="e">
        <f ca="1">OFFSET(#REF!,1,0)*dock_boats_hr * (1 + tech_4_1*#REF!)</f>
        <v>#REF!</v>
      </c>
      <c r="Z63" s="133"/>
      <c r="AA63" s="39" t="e">
        <f ca="1">#REF!*tax*#REF! + (Construction!AZ64+Construction!BX64)*(alch_plat+(Magic!AM63&gt;0)*alchemist_flame_bonus)</f>
        <v>#REF!</v>
      </c>
      <c r="AB63" s="39" t="e">
        <f>#REF!*farm_food +#REF!* dock_food</f>
        <v>#REF!</v>
      </c>
      <c r="AC63" s="39" t="e">
        <f>#REF!*ly_lumber +#REF!* fh_lumber</f>
        <v>#REF!</v>
      </c>
      <c r="AD63" s="39" t="e">
        <f ca="1">OFFSET(#REF!,1,0)*(tower_mana + tech_4_5*#REF!) + OFFSET(#REF!,1,0)*wg_mana_prod</f>
        <v>#REF!</v>
      </c>
      <c r="AE63" s="39" t="e">
        <f ca="1">OFFSET(#REF!,1,0)*om_ore+IF(race="Dwarf",ROUNDDOWN(#REF!*0.4,0),)</f>
        <v>#REF!</v>
      </c>
      <c r="AF63" s="39" t="e">
        <f ca="1">OFFSET(#REF!,1,0)*dm_gems</f>
        <v>#REF!</v>
      </c>
      <c r="AG63" s="134"/>
      <c r="AH63" s="135" t="e">
        <f>MIN(race_platinum_bonus + IF(#REF!&gt;0,alch_frost_bonus,IF(Magic!AD63&gt;0,midas_bonus)) +#REF! -#REF!*( 0.02 + tech_5_7*#REF!) + tech_1_5*#REF! + tech_4_4*#REF!, 0.5)</f>
        <v>#REF!</v>
      </c>
      <c r="AI63" s="132" t="e">
        <f>(1 + race_food_bonus + IF(#REF!&gt;0,gaias_blessing_food,IF(#REF!&gt;0,gaias_watch_bonus)) +#REF! + tech_1_1*#REF! + tech_1_4*#REF! + tech_5_1*#REF! +#REF!/ 100*prestige_food_bonus*(1 + tech_8_1*#REF!)) - 1</f>
        <v>#REF!</v>
      </c>
      <c r="AJ63" s="135" t="e">
        <f>race_lumber_bonus+ IF(#REF!&gt;0,gaias_blessing_lumber)+ tech_1_3*#REF! + tech_1_6*#REF! + tech_3_3*#REF!</f>
        <v>#REF!</v>
      </c>
      <c r="AK63" s="135" t="e">
        <f>race_mana_bonus+ 0 +#REF! + tech_1_2*#REF! + tech_3_4*#REF!</f>
        <v>#REF!</v>
      </c>
      <c r="AL63" s="135" t="e">
        <f>race_ore_bonus + IF(#REF!&gt;0,miners_sight_bonus,IF(#REF!&gt;0,mining_strength_bonus)) +  tech_1_6*#REF!</f>
        <v>#REF!</v>
      </c>
      <c r="AM63" s="135" t="e">
        <f>race_gem_bonus+ tech_3_2*#REF! + tech_4_3*#REF! + tech_6_2*#REF!</f>
        <v>#REF!</v>
      </c>
      <c r="AN63" s="134"/>
      <c r="AO63" s="39" t="e">
        <f>#REF!*food_decay * (1 + tech_2_1*#REF! + tech_2_8*#REF!)</f>
        <v>#REF!</v>
      </c>
      <c r="AP63" s="39" t="e">
        <f>(1+race_food_consumption)*#REF!*food_per_person*(1+tech_1_10*#REF!+tech_7_5*#REF!)</f>
        <v>#REF!</v>
      </c>
      <c r="AQ63" s="39" t="e">
        <f>#REF!*lumber_rot * (1 + tech_2_1*#REF! + tech_2_8*#REF! + tech_5_2*#REF!)</f>
        <v>#REF!</v>
      </c>
      <c r="AR63" s="39" t="e">
        <f>#REF!*mana_drain * (1 + tech_2_1*#REF! + tech_2_8*#REF!)</f>
        <v>#REF!</v>
      </c>
      <c r="AS63" s="133"/>
      <c r="AT63" s="39" t="e">
        <f>#REF!+#REF!+#REF!+#REF!+#REF!-#REF!</f>
        <v>#REF!</v>
      </c>
      <c r="AU63" s="39" t="e">
        <f>#REF!+#REF!-#REF! + Military!$CL$25*#REF!</f>
        <v>#REF!</v>
      </c>
      <c r="AV63" s="39" t="e">
        <f>#REF! + Military!$CL$26*#REF!</f>
        <v>#REF!</v>
      </c>
      <c r="AW63" s="39" t="e">
        <f>Military!$CL$24*#REF!+#REF!-#REF!</f>
        <v>#REF!</v>
      </c>
      <c r="AX63" s="39" t="e">
        <f>#REF!-#REF!</f>
        <v>#REF!</v>
      </c>
      <c r="AY63" s="134"/>
      <c r="AZ63" s="61" t="e">
        <f ca="1">IF(#REF!&lt;&gt;"",#REF!,OFFSET(#REF!,-1,0))</f>
        <v>#REF!</v>
      </c>
      <c r="BA63" s="144"/>
      <c r="BB63" s="3" t="e">
        <f>#REF!</f>
        <v>#REF!</v>
      </c>
      <c r="BC63" s="146" t="e">
        <f>-#REF! / 2 + -#REF! * 2 + -#REF! / 2</f>
        <v>#REF!</v>
      </c>
      <c r="BD63" s="146"/>
      <c r="BE63" s="146"/>
      <c r="BF63" s="146"/>
      <c r="BG63" s="147" t="e">
        <f>#REF!</f>
        <v>#REF!</v>
      </c>
      <c r="BH63" s="3" t="e">
        <f>IF(AND(#REF!=0,#REF!=0,#REF!=0,#REF!=0),"",IF(#REF!&gt;0,IF((#REF!+#REF!)/2+#REF!*2+ROUNDUP(#REF!/(1 + tech_2_2*Techs!Y63),0)=0,"Ok","Nope"),IF(#REF!&gt;0,IF((#REF!+#REF!)/2+#REF!*2+ROUNDUP(#REF!/(1 + tech_2_2*Techs!Y63),0)=0,"Ok","Nope"),IF(#REF!&gt;0,IF((#REF!+#REF!)/2+#REF!*2+ROUNDUP(#REF!/(1 + tech_2_2*Techs!Y63),0)=0,"Ok","Nope")))))</f>
        <v>#REF!</v>
      </c>
      <c r="BI63" s="39" t="e">
        <f>#REF!</f>
        <v>#REF!</v>
      </c>
      <c r="BJ63" s="39" t="e">
        <f>#REF!</f>
        <v>#REF!</v>
      </c>
      <c r="BK63" s="39" t="e">
        <f>#REF!</f>
        <v>#REF!</v>
      </c>
      <c r="BL63" s="39" t="e">
        <f>#REF!</f>
        <v>#REF!</v>
      </c>
      <c r="BM63" s="39" t="e">
        <f>#REF!</f>
        <v>#REF!</v>
      </c>
    </row>
    <row r="64" spans="1:65" x14ac:dyDescent="0.25">
      <c r="A64" s="130">
        <v>61</v>
      </c>
      <c r="B64" s="143" t="e">
        <f>#REF!</f>
        <v>#REF!</v>
      </c>
      <c r="C64" s="144"/>
      <c r="D64" s="133"/>
      <c r="E64" s="39" t="e">
        <f>#REF!</f>
        <v>#REF!</v>
      </c>
      <c r="F64" s="39" t="e">
        <f>#REF!</f>
        <v>#REF!</v>
      </c>
      <c r="G64" s="39" t="e">
        <f>#REF!</f>
        <v>#REF!</v>
      </c>
      <c r="H64" s="39" t="e">
        <f ca="1">OFFSET(#REF!,-1,0)+OFFSET(#REF!,-1,0) -#REF! + IF(#REF!,#REF!*4) + SUM(#REF!)*#REF!*tech_3_3_2*#REF!</f>
        <v>#REF!</v>
      </c>
      <c r="I64" s="39" t="e">
        <f ca="1">OFFSET(#REF!,-1,0)+OFFSET(#REF!,-1,0)+ROUNDUP((#REF!*80+#REF!*35)*(1+OFFSET(#REF!,-1,0)),0)</f>
        <v>#REF!</v>
      </c>
      <c r="J64" s="39" t="e">
        <f ca="1">OFFSET(#REF!,-1,0)+OFFSET(#REF!,-1,0) -#REF! + SUM(#REF!)*#REF!*tech_3_3_2*#REF!</f>
        <v>#REF!</v>
      </c>
      <c r="K64" s="39" t="e">
        <f ca="1">OFFSET(#REF!,-1,0)+OFFSET(#REF!,-1,0) -#REF!</f>
        <v>#REF!</v>
      </c>
      <c r="L64" s="39" t="e">
        <f ca="1">OFFSET(#REF!,-1,0)+OFFSET(#REF!,-1,0) -#REF!</f>
        <v>#REF!</v>
      </c>
      <c r="M64" s="39" t="e">
        <f ca="1">OFFSET(#REF!,-1,0)+OFFSET(#REF!,-1,0) -#REF!</f>
        <v>#REF!</v>
      </c>
      <c r="N64" s="39" t="e">
        <f ca="1">OFFSET(#REF!,-1,0)+OFFSET(#REF!,-1,0)</f>
        <v>#REF!</v>
      </c>
      <c r="O64" s="39" t="e">
        <f ca="1">OFFSET(#REF!,-1,0)</f>
        <v>#REF!</v>
      </c>
      <c r="P64" s="39" t="e">
        <f ca="1">ROUNDDOWN(OFFSET(#REF!,-1,0)+(1+research_bonus)*(MIN(#REF!,#REF!*school_max)*(1 - MIN((#REF!/(#REF!-#REF!)),school_max)))-#REF!*#REF!,0) + IF(#REF!&lt;&gt;"",350,0)</f>
        <v>#REF!</v>
      </c>
      <c r="Q64" s="39" t="e">
        <f ca="1">MAX(3750,_xlfn.CEILING.MATH(#REF!*2.5+OFFSET(#REF!,-1,0)*150))</f>
        <v>#REF!</v>
      </c>
      <c r="R64" s="134"/>
      <c r="S64" s="39" t="e">
        <f>ROUNDDOWN(#REF!*(1+#REF!),0)</f>
        <v>#REF!</v>
      </c>
      <c r="T64" s="39" t="e">
        <f>ROUND(#REF!*(1+#REF!)-#REF!-#REF!,0)</f>
        <v>#REF!</v>
      </c>
      <c r="U64" s="39" t="e">
        <f>ROUND(#REF!*(1+#REF!)-#REF!,0)</f>
        <v>#REF!</v>
      </c>
      <c r="V64" s="39" t="e">
        <f>ROUND(#REF!*(1+#REF!)-#REF!,0)</f>
        <v>#REF!</v>
      </c>
      <c r="W64" s="39" t="e">
        <f>ROUNDDOWN(#REF!*(1+#REF!),0)</f>
        <v>#REF!</v>
      </c>
      <c r="X64" s="39" t="e">
        <f>ROUNDDOWN(#REF!*(1+#REF!),0)</f>
        <v>#REF!</v>
      </c>
      <c r="Y64" s="145" t="e">
        <f ca="1">OFFSET(#REF!,1,0)*dock_boats_hr * (1 + tech_4_1*#REF!)</f>
        <v>#REF!</v>
      </c>
      <c r="Z64" s="133"/>
      <c r="AA64" s="39" t="e">
        <f ca="1">#REF!*tax*#REF! + (Construction!AZ65+Construction!BX65)*(alch_plat+(Magic!AM64&gt;0)*alchemist_flame_bonus)</f>
        <v>#REF!</v>
      </c>
      <c r="AB64" s="39" t="e">
        <f>#REF!*farm_food +#REF!* dock_food</f>
        <v>#REF!</v>
      </c>
      <c r="AC64" s="39" t="e">
        <f>#REF!*ly_lumber +#REF!* fh_lumber</f>
        <v>#REF!</v>
      </c>
      <c r="AD64" s="39" t="e">
        <f ca="1">OFFSET(#REF!,1,0)*(tower_mana + tech_4_5*#REF!) + OFFSET(#REF!,1,0)*wg_mana_prod</f>
        <v>#REF!</v>
      </c>
      <c r="AE64" s="39" t="e">
        <f ca="1">OFFSET(#REF!,1,0)*om_ore+IF(race="Dwarf",ROUNDDOWN(#REF!*0.4,0),)</f>
        <v>#REF!</v>
      </c>
      <c r="AF64" s="39" t="e">
        <f ca="1">OFFSET(#REF!,1,0)*dm_gems</f>
        <v>#REF!</v>
      </c>
      <c r="AG64" s="134"/>
      <c r="AH64" s="135" t="e">
        <f>MIN(race_platinum_bonus + IF(#REF!&gt;0,alch_frost_bonus,IF(Magic!AD64&gt;0,midas_bonus)) +#REF! -#REF!*( 0.02 + tech_5_7*#REF!) + tech_1_5*#REF! + tech_4_4*#REF!, 0.5)</f>
        <v>#REF!</v>
      </c>
      <c r="AI64" s="132" t="e">
        <f>(1 + race_food_bonus + IF(#REF!&gt;0,gaias_blessing_food,IF(#REF!&gt;0,gaias_watch_bonus)) +#REF! + tech_1_1*#REF! + tech_1_4*#REF! + tech_5_1*#REF! +#REF!/ 100*prestige_food_bonus*(1 + tech_8_1*#REF!)) - 1</f>
        <v>#REF!</v>
      </c>
      <c r="AJ64" s="135" t="e">
        <f>race_lumber_bonus+ IF(#REF!&gt;0,gaias_blessing_lumber)+ tech_1_3*#REF! + tech_1_6*#REF! + tech_3_3*#REF!</f>
        <v>#REF!</v>
      </c>
      <c r="AK64" s="135" t="e">
        <f>race_mana_bonus+ 0 +#REF! + tech_1_2*#REF! + tech_3_4*#REF!</f>
        <v>#REF!</v>
      </c>
      <c r="AL64" s="135" t="e">
        <f>race_ore_bonus + IF(#REF!&gt;0,miners_sight_bonus,IF(#REF!&gt;0,mining_strength_bonus)) +  tech_1_6*#REF!</f>
        <v>#REF!</v>
      </c>
      <c r="AM64" s="135" t="e">
        <f>race_gem_bonus+ tech_3_2*#REF! + tech_4_3*#REF! + tech_6_2*#REF!</f>
        <v>#REF!</v>
      </c>
      <c r="AN64" s="134"/>
      <c r="AO64" s="39" t="e">
        <f>#REF!*food_decay * (1 + tech_2_1*#REF! + tech_2_8*#REF!)</f>
        <v>#REF!</v>
      </c>
      <c r="AP64" s="39" t="e">
        <f>(1+race_food_consumption)*#REF!*food_per_person*(1+tech_1_10*#REF!+tech_7_5*#REF!)</f>
        <v>#REF!</v>
      </c>
      <c r="AQ64" s="39" t="e">
        <f>#REF!*lumber_rot * (1 + tech_2_1*#REF! + tech_2_8*#REF! + tech_5_2*#REF!)</f>
        <v>#REF!</v>
      </c>
      <c r="AR64" s="39" t="e">
        <f>#REF!*mana_drain * (1 + tech_2_1*#REF! + tech_2_8*#REF!)</f>
        <v>#REF!</v>
      </c>
      <c r="AS64" s="133"/>
      <c r="AT64" s="39" t="e">
        <f>#REF!+#REF!+#REF!+#REF!+#REF!-#REF!</f>
        <v>#REF!</v>
      </c>
      <c r="AU64" s="39" t="e">
        <f>#REF!+#REF!-#REF! + Military!$CL$25*#REF!</f>
        <v>#REF!</v>
      </c>
      <c r="AV64" s="39" t="e">
        <f>#REF! + Military!$CL$26*#REF!</f>
        <v>#REF!</v>
      </c>
      <c r="AW64" s="39" t="e">
        <f>Military!$CL$24*#REF!+#REF!-#REF!</f>
        <v>#REF!</v>
      </c>
      <c r="AX64" s="39" t="e">
        <f>#REF!-#REF!</f>
        <v>#REF!</v>
      </c>
      <c r="AY64" s="134"/>
      <c r="AZ64" s="61" t="e">
        <f ca="1">IF(#REF!&lt;&gt;"",#REF!,OFFSET(#REF!,-1,0))</f>
        <v>#REF!</v>
      </c>
      <c r="BA64" s="144"/>
      <c r="BB64" s="3" t="e">
        <f>#REF!</f>
        <v>#REF!</v>
      </c>
      <c r="BC64" s="146" t="e">
        <f>-#REF! / 2 + -#REF! * 2 + -#REF! / 2</f>
        <v>#REF!</v>
      </c>
      <c r="BD64" s="146"/>
      <c r="BE64" s="146"/>
      <c r="BF64" s="146"/>
      <c r="BG64" s="147" t="e">
        <f>#REF!</f>
        <v>#REF!</v>
      </c>
      <c r="BH64" s="3" t="e">
        <f>IF(AND(#REF!=0,#REF!=0,#REF!=0,#REF!=0),"",IF(#REF!&gt;0,IF((#REF!+#REF!)/2+#REF!*2+ROUNDUP(#REF!/(1 + tech_2_2*Techs!Y64),0)=0,"Ok","Nope"),IF(#REF!&gt;0,IF((#REF!+#REF!)/2+#REF!*2+ROUNDUP(#REF!/(1 + tech_2_2*Techs!Y64),0)=0,"Ok","Nope"),IF(#REF!&gt;0,IF((#REF!+#REF!)/2+#REF!*2+ROUNDUP(#REF!/(1 + tech_2_2*Techs!Y64),0)=0,"Ok","Nope")))))</f>
        <v>#REF!</v>
      </c>
      <c r="BI64" s="39" t="e">
        <f>#REF!</f>
        <v>#REF!</v>
      </c>
      <c r="BJ64" s="39" t="e">
        <f>#REF!</f>
        <v>#REF!</v>
      </c>
      <c r="BK64" s="39" t="e">
        <f>#REF!</f>
        <v>#REF!</v>
      </c>
      <c r="BL64" s="39" t="e">
        <f>#REF!</f>
        <v>#REF!</v>
      </c>
      <c r="BM64" s="39" t="e">
        <f>#REF!</f>
        <v>#REF!</v>
      </c>
    </row>
    <row r="65" spans="1:65" x14ac:dyDescent="0.25">
      <c r="A65" s="130">
        <v>62</v>
      </c>
      <c r="B65" s="143" t="e">
        <f>#REF!</f>
        <v>#REF!</v>
      </c>
      <c r="C65" s="144"/>
      <c r="D65" s="133"/>
      <c r="E65" s="39" t="e">
        <f>#REF!</f>
        <v>#REF!</v>
      </c>
      <c r="F65" s="39" t="e">
        <f>#REF!</f>
        <v>#REF!</v>
      </c>
      <c r="G65" s="39" t="e">
        <f>#REF!</f>
        <v>#REF!</v>
      </c>
      <c r="H65" s="39" t="e">
        <f ca="1">OFFSET(#REF!,-1,0)+OFFSET(#REF!,-1,0) -#REF! + IF(#REF!,#REF!*4) + SUM(#REF!)*#REF!*tech_3_3_2*#REF!</f>
        <v>#REF!</v>
      </c>
      <c r="I65" s="39" t="e">
        <f ca="1">OFFSET(#REF!,-1,0)+OFFSET(#REF!,-1,0)+ROUNDUP((#REF!*80+#REF!*35)*(1+OFFSET(#REF!,-1,0)),0)</f>
        <v>#REF!</v>
      </c>
      <c r="J65" s="39" t="e">
        <f ca="1">OFFSET(#REF!,-1,0)+OFFSET(#REF!,-1,0) -#REF! + SUM(#REF!)*#REF!*tech_3_3_2*#REF!</f>
        <v>#REF!</v>
      </c>
      <c r="K65" s="39" t="e">
        <f ca="1">OFFSET(#REF!,-1,0)+OFFSET(#REF!,-1,0) -#REF!</f>
        <v>#REF!</v>
      </c>
      <c r="L65" s="39" t="e">
        <f ca="1">OFFSET(#REF!,-1,0)+OFFSET(#REF!,-1,0) -#REF!</f>
        <v>#REF!</v>
      </c>
      <c r="M65" s="39" t="e">
        <f ca="1">OFFSET(#REF!,-1,0)+OFFSET(#REF!,-1,0) -#REF!</f>
        <v>#REF!</v>
      </c>
      <c r="N65" s="39" t="e">
        <f ca="1">OFFSET(#REF!,-1,0)+OFFSET(#REF!,-1,0)</f>
        <v>#REF!</v>
      </c>
      <c r="O65" s="39" t="e">
        <f ca="1">OFFSET(#REF!,-1,0)</f>
        <v>#REF!</v>
      </c>
      <c r="P65" s="39" t="e">
        <f ca="1">ROUNDDOWN(OFFSET(#REF!,-1,0)+(1+research_bonus)*(MIN(#REF!,#REF!*school_max)*(1 - MIN((#REF!/(#REF!-#REF!)),school_max)))-#REF!*#REF!,0) + IF(#REF!&lt;&gt;"",350,0)</f>
        <v>#REF!</v>
      </c>
      <c r="Q65" s="39" t="e">
        <f ca="1">MAX(3750,_xlfn.CEILING.MATH(#REF!*2.5+OFFSET(#REF!,-1,0)*150))</f>
        <v>#REF!</v>
      </c>
      <c r="R65" s="134"/>
      <c r="S65" s="39" t="e">
        <f>ROUNDDOWN(#REF!*(1+#REF!),0)</f>
        <v>#REF!</v>
      </c>
      <c r="T65" s="39" t="e">
        <f>ROUND(#REF!*(1+#REF!)-#REF!-#REF!,0)</f>
        <v>#REF!</v>
      </c>
      <c r="U65" s="39" t="e">
        <f>ROUND(#REF!*(1+#REF!)-#REF!,0)</f>
        <v>#REF!</v>
      </c>
      <c r="V65" s="39" t="e">
        <f>ROUND(#REF!*(1+#REF!)-#REF!,0)</f>
        <v>#REF!</v>
      </c>
      <c r="W65" s="39" t="e">
        <f>ROUNDDOWN(#REF!*(1+#REF!),0)</f>
        <v>#REF!</v>
      </c>
      <c r="X65" s="39" t="e">
        <f>ROUNDDOWN(#REF!*(1+#REF!),0)</f>
        <v>#REF!</v>
      </c>
      <c r="Y65" s="145" t="e">
        <f ca="1">OFFSET(#REF!,1,0)*dock_boats_hr * (1 + tech_4_1*#REF!)</f>
        <v>#REF!</v>
      </c>
      <c r="Z65" s="133"/>
      <c r="AA65" s="39" t="e">
        <f ca="1">#REF!*tax*#REF! + (Construction!AZ66+Construction!BX66)*(alch_plat+(Magic!AM65&gt;0)*alchemist_flame_bonus)</f>
        <v>#REF!</v>
      </c>
      <c r="AB65" s="39" t="e">
        <f>#REF!*farm_food +#REF!* dock_food</f>
        <v>#REF!</v>
      </c>
      <c r="AC65" s="39" t="e">
        <f>#REF!*ly_lumber +#REF!* fh_lumber</f>
        <v>#REF!</v>
      </c>
      <c r="AD65" s="39" t="e">
        <f ca="1">OFFSET(#REF!,1,0)*(tower_mana + tech_4_5*#REF!) + OFFSET(#REF!,1,0)*wg_mana_prod</f>
        <v>#REF!</v>
      </c>
      <c r="AE65" s="39" t="e">
        <f ca="1">OFFSET(#REF!,1,0)*om_ore+IF(race="Dwarf",ROUNDDOWN(#REF!*0.4,0),)</f>
        <v>#REF!</v>
      </c>
      <c r="AF65" s="39" t="e">
        <f ca="1">OFFSET(#REF!,1,0)*dm_gems</f>
        <v>#REF!</v>
      </c>
      <c r="AG65" s="134"/>
      <c r="AH65" s="135" t="e">
        <f>MIN(race_platinum_bonus + IF(#REF!&gt;0,alch_frost_bonus,IF(Magic!AD65&gt;0,midas_bonus)) +#REF! -#REF!*( 0.02 + tech_5_7*#REF!) + tech_1_5*#REF! + tech_4_4*#REF!, 0.5)</f>
        <v>#REF!</v>
      </c>
      <c r="AI65" s="132" t="e">
        <f>(1 + race_food_bonus + IF(#REF!&gt;0,gaias_blessing_food,IF(#REF!&gt;0,gaias_watch_bonus)) +#REF! + tech_1_1*#REF! + tech_1_4*#REF! + tech_5_1*#REF! +#REF!/ 100*prestige_food_bonus*(1 + tech_8_1*#REF!)) - 1</f>
        <v>#REF!</v>
      </c>
      <c r="AJ65" s="135" t="e">
        <f>race_lumber_bonus+ IF(#REF!&gt;0,gaias_blessing_lumber)+ tech_1_3*#REF! + tech_1_6*#REF! + tech_3_3*#REF!</f>
        <v>#REF!</v>
      </c>
      <c r="AK65" s="135" t="e">
        <f>race_mana_bonus+ 0 +#REF! + tech_1_2*#REF! + tech_3_4*#REF!</f>
        <v>#REF!</v>
      </c>
      <c r="AL65" s="135" t="e">
        <f>race_ore_bonus + IF(#REF!&gt;0,miners_sight_bonus,IF(#REF!&gt;0,mining_strength_bonus)) +  tech_1_6*#REF!</f>
        <v>#REF!</v>
      </c>
      <c r="AM65" s="135" t="e">
        <f>race_gem_bonus+ tech_3_2*#REF! + tech_4_3*#REF! + tech_6_2*#REF!</f>
        <v>#REF!</v>
      </c>
      <c r="AN65" s="134"/>
      <c r="AO65" s="39" t="e">
        <f>#REF!*food_decay * (1 + tech_2_1*#REF! + tech_2_8*#REF!)</f>
        <v>#REF!</v>
      </c>
      <c r="AP65" s="39" t="e">
        <f>(1+race_food_consumption)*#REF!*food_per_person*(1+tech_1_10*#REF!+tech_7_5*#REF!)</f>
        <v>#REF!</v>
      </c>
      <c r="AQ65" s="39" t="e">
        <f>#REF!*lumber_rot * (1 + tech_2_1*#REF! + tech_2_8*#REF! + tech_5_2*#REF!)</f>
        <v>#REF!</v>
      </c>
      <c r="AR65" s="39" t="e">
        <f>#REF!*mana_drain * (1 + tech_2_1*#REF! + tech_2_8*#REF!)</f>
        <v>#REF!</v>
      </c>
      <c r="AS65" s="133"/>
      <c r="AT65" s="39" t="e">
        <f>#REF!+#REF!+#REF!+#REF!+#REF!-#REF!</f>
        <v>#REF!</v>
      </c>
      <c r="AU65" s="39" t="e">
        <f>#REF!+#REF!-#REF! + Military!$CL$25*#REF!</f>
        <v>#REF!</v>
      </c>
      <c r="AV65" s="39" t="e">
        <f>#REF! + Military!$CL$26*#REF!</f>
        <v>#REF!</v>
      </c>
      <c r="AW65" s="39" t="e">
        <f>Military!$CL$24*#REF!+#REF!-#REF!</f>
        <v>#REF!</v>
      </c>
      <c r="AX65" s="39" t="e">
        <f>#REF!-#REF!</f>
        <v>#REF!</v>
      </c>
      <c r="AY65" s="134"/>
      <c r="AZ65" s="61" t="e">
        <f ca="1">IF(#REF!&lt;&gt;"",#REF!,OFFSET(#REF!,-1,0))</f>
        <v>#REF!</v>
      </c>
      <c r="BA65" s="144"/>
      <c r="BB65" s="3" t="e">
        <f>#REF!</f>
        <v>#REF!</v>
      </c>
      <c r="BC65" s="146" t="e">
        <f>-#REF! / 2 + -#REF! * 2 + -#REF! / 2</f>
        <v>#REF!</v>
      </c>
      <c r="BD65" s="146"/>
      <c r="BE65" s="146"/>
      <c r="BF65" s="146"/>
      <c r="BG65" s="147" t="e">
        <f>#REF!</f>
        <v>#REF!</v>
      </c>
      <c r="BH65" s="3" t="e">
        <f>IF(AND(#REF!=0,#REF!=0,#REF!=0,#REF!=0),"",IF(#REF!&gt;0,IF((#REF!+#REF!)/2+#REF!*2+ROUNDUP(#REF!/(1 + tech_2_2*Techs!Y65),0)=0,"Ok","Nope"),IF(#REF!&gt;0,IF((#REF!+#REF!)/2+#REF!*2+ROUNDUP(#REF!/(1 + tech_2_2*Techs!Y65),0)=0,"Ok","Nope"),IF(#REF!&gt;0,IF((#REF!+#REF!)/2+#REF!*2+ROUNDUP(#REF!/(1 + tech_2_2*Techs!Y65),0)=0,"Ok","Nope")))))</f>
        <v>#REF!</v>
      </c>
      <c r="BI65" s="39" t="e">
        <f>#REF!</f>
        <v>#REF!</v>
      </c>
      <c r="BJ65" s="39" t="e">
        <f>#REF!</f>
        <v>#REF!</v>
      </c>
      <c r="BK65" s="39" t="e">
        <f>#REF!</f>
        <v>#REF!</v>
      </c>
      <c r="BL65" s="39" t="e">
        <f>#REF!</f>
        <v>#REF!</v>
      </c>
      <c r="BM65" s="39" t="e">
        <f>#REF!</f>
        <v>#REF!</v>
      </c>
    </row>
    <row r="66" spans="1:65" x14ac:dyDescent="0.25">
      <c r="A66" s="130">
        <v>63</v>
      </c>
      <c r="B66" s="143" t="e">
        <f>#REF!</f>
        <v>#REF!</v>
      </c>
      <c r="C66" s="144"/>
      <c r="D66" s="133"/>
      <c r="E66" s="39" t="e">
        <f>#REF!</f>
        <v>#REF!</v>
      </c>
      <c r="F66" s="39" t="e">
        <f>#REF!</f>
        <v>#REF!</v>
      </c>
      <c r="G66" s="39" t="e">
        <f>#REF!</f>
        <v>#REF!</v>
      </c>
      <c r="H66" s="39" t="e">
        <f ca="1">OFFSET(#REF!,-1,0)+OFFSET(#REF!,-1,0) -#REF! + IF(#REF!,#REF!*4) + SUM(#REF!)*#REF!*tech_3_3_2*#REF!</f>
        <v>#REF!</v>
      </c>
      <c r="I66" s="39" t="e">
        <f ca="1">OFFSET(#REF!,-1,0)+OFFSET(#REF!,-1,0)+ROUNDUP((#REF!*80+#REF!*35)*(1+OFFSET(#REF!,-1,0)),0)</f>
        <v>#REF!</v>
      </c>
      <c r="J66" s="39" t="e">
        <f ca="1">OFFSET(#REF!,-1,0)+OFFSET(#REF!,-1,0) -#REF! + SUM(#REF!)*#REF!*tech_3_3_2*#REF!</f>
        <v>#REF!</v>
      </c>
      <c r="K66" s="39" t="e">
        <f ca="1">OFFSET(#REF!,-1,0)+OFFSET(#REF!,-1,0) -#REF!</f>
        <v>#REF!</v>
      </c>
      <c r="L66" s="39" t="e">
        <f ca="1">OFFSET(#REF!,-1,0)+OFFSET(#REF!,-1,0) -#REF!</f>
        <v>#REF!</v>
      </c>
      <c r="M66" s="39" t="e">
        <f ca="1">OFFSET(#REF!,-1,0)+OFFSET(#REF!,-1,0) -#REF!</f>
        <v>#REF!</v>
      </c>
      <c r="N66" s="39" t="e">
        <f ca="1">OFFSET(#REF!,-1,0)+OFFSET(#REF!,-1,0)</f>
        <v>#REF!</v>
      </c>
      <c r="O66" s="39" t="e">
        <f ca="1">OFFSET(#REF!,-1,0)</f>
        <v>#REF!</v>
      </c>
      <c r="P66" s="39" t="e">
        <f ca="1">ROUNDDOWN(OFFSET(#REF!,-1,0)+(1+research_bonus)*(MIN(#REF!,#REF!*school_max)*(1 - MIN((#REF!/(#REF!-#REF!)),school_max)))-#REF!*#REF!,0) + IF(#REF!&lt;&gt;"",350,0)</f>
        <v>#REF!</v>
      </c>
      <c r="Q66" s="39" t="e">
        <f ca="1">MAX(3750,_xlfn.CEILING.MATH(#REF!*2.5+OFFSET(#REF!,-1,0)*150))</f>
        <v>#REF!</v>
      </c>
      <c r="R66" s="134"/>
      <c r="S66" s="39" t="e">
        <f>ROUNDDOWN(#REF!*(1+#REF!),0)</f>
        <v>#REF!</v>
      </c>
      <c r="T66" s="39" t="e">
        <f>ROUND(#REF!*(1+#REF!)-#REF!-#REF!,0)</f>
        <v>#REF!</v>
      </c>
      <c r="U66" s="39" t="e">
        <f>ROUND(#REF!*(1+#REF!)-#REF!,0)</f>
        <v>#REF!</v>
      </c>
      <c r="V66" s="39" t="e">
        <f>ROUND(#REF!*(1+#REF!)-#REF!,0)</f>
        <v>#REF!</v>
      </c>
      <c r="W66" s="39" t="e">
        <f>ROUNDDOWN(#REF!*(1+#REF!),0)</f>
        <v>#REF!</v>
      </c>
      <c r="X66" s="39" t="e">
        <f>ROUNDDOWN(#REF!*(1+#REF!),0)</f>
        <v>#REF!</v>
      </c>
      <c r="Y66" s="145" t="e">
        <f ca="1">OFFSET(#REF!,1,0)*dock_boats_hr * (1 + tech_4_1*#REF!)</f>
        <v>#REF!</v>
      </c>
      <c r="Z66" s="133"/>
      <c r="AA66" s="39" t="e">
        <f ca="1">#REF!*tax*#REF! + (Construction!AZ67+Construction!BX67)*(alch_plat+(Magic!AM66&gt;0)*alchemist_flame_bonus)</f>
        <v>#REF!</v>
      </c>
      <c r="AB66" s="39" t="e">
        <f>#REF!*farm_food +#REF!* dock_food</f>
        <v>#REF!</v>
      </c>
      <c r="AC66" s="39" t="e">
        <f>#REF!*ly_lumber +#REF!* fh_lumber</f>
        <v>#REF!</v>
      </c>
      <c r="AD66" s="39" t="e">
        <f ca="1">OFFSET(#REF!,1,0)*(tower_mana + tech_4_5*#REF!) + OFFSET(#REF!,1,0)*wg_mana_prod</f>
        <v>#REF!</v>
      </c>
      <c r="AE66" s="39" t="e">
        <f ca="1">OFFSET(#REF!,1,0)*om_ore+IF(race="Dwarf",ROUNDDOWN(#REF!*0.4,0),)</f>
        <v>#REF!</v>
      </c>
      <c r="AF66" s="39" t="e">
        <f ca="1">OFFSET(#REF!,1,0)*dm_gems</f>
        <v>#REF!</v>
      </c>
      <c r="AG66" s="134"/>
      <c r="AH66" s="135" t="e">
        <f>MIN(race_platinum_bonus + IF(#REF!&gt;0,alch_frost_bonus,IF(Magic!AD66&gt;0,midas_bonus)) +#REF! -#REF!*( 0.02 + tech_5_7*#REF!) + tech_1_5*#REF! + tech_4_4*#REF!, 0.5)</f>
        <v>#REF!</v>
      </c>
      <c r="AI66" s="132" t="e">
        <f>(1 + race_food_bonus + IF(#REF!&gt;0,gaias_blessing_food,IF(#REF!&gt;0,gaias_watch_bonus)) +#REF! + tech_1_1*#REF! + tech_1_4*#REF! + tech_5_1*#REF! +#REF!/ 100*prestige_food_bonus*(1 + tech_8_1*#REF!)) - 1</f>
        <v>#REF!</v>
      </c>
      <c r="AJ66" s="135" t="e">
        <f>race_lumber_bonus+ IF(#REF!&gt;0,gaias_blessing_lumber)+ tech_1_3*#REF! + tech_1_6*#REF! + tech_3_3*#REF!</f>
        <v>#REF!</v>
      </c>
      <c r="AK66" s="135" t="e">
        <f>race_mana_bonus+ 0 +#REF! + tech_1_2*#REF! + tech_3_4*#REF!</f>
        <v>#REF!</v>
      </c>
      <c r="AL66" s="135" t="e">
        <f>race_ore_bonus + IF(#REF!&gt;0,miners_sight_bonus,IF(#REF!&gt;0,mining_strength_bonus)) +  tech_1_6*#REF!</f>
        <v>#REF!</v>
      </c>
      <c r="AM66" s="135" t="e">
        <f>race_gem_bonus+ tech_3_2*#REF! + tech_4_3*#REF! + tech_6_2*#REF!</f>
        <v>#REF!</v>
      </c>
      <c r="AN66" s="134"/>
      <c r="AO66" s="39" t="e">
        <f>#REF!*food_decay * (1 + tech_2_1*#REF! + tech_2_8*#REF!)</f>
        <v>#REF!</v>
      </c>
      <c r="AP66" s="39" t="e">
        <f>(1+race_food_consumption)*#REF!*food_per_person*(1+tech_1_10*#REF!+tech_7_5*#REF!)</f>
        <v>#REF!</v>
      </c>
      <c r="AQ66" s="39" t="e">
        <f>#REF!*lumber_rot * (1 + tech_2_1*#REF! + tech_2_8*#REF! + tech_5_2*#REF!)</f>
        <v>#REF!</v>
      </c>
      <c r="AR66" s="39" t="e">
        <f>#REF!*mana_drain * (1 + tech_2_1*#REF! + tech_2_8*#REF!)</f>
        <v>#REF!</v>
      </c>
      <c r="AS66" s="133"/>
      <c r="AT66" s="39" t="e">
        <f>#REF!+#REF!+#REF!+#REF!+#REF!-#REF!</f>
        <v>#REF!</v>
      </c>
      <c r="AU66" s="39" t="e">
        <f>#REF!+#REF!-#REF! + Military!$CL$25*#REF!</f>
        <v>#REF!</v>
      </c>
      <c r="AV66" s="39" t="e">
        <f>#REF! + Military!$CL$26*#REF!</f>
        <v>#REF!</v>
      </c>
      <c r="AW66" s="39" t="e">
        <f>Military!$CL$24*#REF!+#REF!-#REF!</f>
        <v>#REF!</v>
      </c>
      <c r="AX66" s="39" t="e">
        <f>#REF!-#REF!</f>
        <v>#REF!</v>
      </c>
      <c r="AY66" s="134"/>
      <c r="AZ66" s="61" t="e">
        <f ca="1">IF(#REF!&lt;&gt;"",#REF!,OFFSET(#REF!,-1,0))</f>
        <v>#REF!</v>
      </c>
      <c r="BA66" s="144"/>
      <c r="BB66" s="3" t="e">
        <f>#REF!</f>
        <v>#REF!</v>
      </c>
      <c r="BC66" s="146" t="e">
        <f>-#REF! / 2 + -#REF! * 2 + -#REF! / 2</f>
        <v>#REF!</v>
      </c>
      <c r="BD66" s="146"/>
      <c r="BE66" s="146"/>
      <c r="BF66" s="146"/>
      <c r="BG66" s="147" t="e">
        <f>#REF!</f>
        <v>#REF!</v>
      </c>
      <c r="BH66" s="3" t="e">
        <f>IF(AND(#REF!=0,#REF!=0,#REF!=0,#REF!=0),"",IF(#REF!&gt;0,IF((#REF!+#REF!)/2+#REF!*2+ROUNDUP(#REF!/(1 + tech_2_2*Techs!Y66),0)=0,"Ok","Nope"),IF(#REF!&gt;0,IF((#REF!+#REF!)/2+#REF!*2+ROUNDUP(#REF!/(1 + tech_2_2*Techs!Y66),0)=0,"Ok","Nope"),IF(#REF!&gt;0,IF((#REF!+#REF!)/2+#REF!*2+ROUNDUP(#REF!/(1 + tech_2_2*Techs!Y66),0)=0,"Ok","Nope")))))</f>
        <v>#REF!</v>
      </c>
      <c r="BI66" s="39" t="e">
        <f>#REF!</f>
        <v>#REF!</v>
      </c>
      <c r="BJ66" s="39" t="e">
        <f>#REF!</f>
        <v>#REF!</v>
      </c>
      <c r="BK66" s="39" t="e">
        <f>#REF!</f>
        <v>#REF!</v>
      </c>
      <c r="BL66" s="39" t="e">
        <f>#REF!</f>
        <v>#REF!</v>
      </c>
      <c r="BM66" s="39" t="e">
        <f>#REF!</f>
        <v>#REF!</v>
      </c>
    </row>
    <row r="67" spans="1:65" x14ac:dyDescent="0.25">
      <c r="A67" s="130">
        <v>64</v>
      </c>
      <c r="B67" s="143" t="e">
        <f>#REF!</f>
        <v>#REF!</v>
      </c>
      <c r="C67" s="144"/>
      <c r="D67" s="133"/>
      <c r="E67" s="39" t="e">
        <f>#REF!</f>
        <v>#REF!</v>
      </c>
      <c r="F67" s="39" t="e">
        <f>#REF!</f>
        <v>#REF!</v>
      </c>
      <c r="G67" s="39" t="e">
        <f>#REF!</f>
        <v>#REF!</v>
      </c>
      <c r="H67" s="39" t="e">
        <f ca="1">OFFSET(#REF!,-1,0)+OFFSET(#REF!,-1,0) -#REF! + IF(#REF!,#REF!*4) + SUM(#REF!)*#REF!*tech_3_3_2*#REF!</f>
        <v>#REF!</v>
      </c>
      <c r="I67" s="39" t="e">
        <f ca="1">OFFSET(#REF!,-1,0)+OFFSET(#REF!,-1,0)+ROUNDUP((#REF!*80+#REF!*35)*(1+OFFSET(#REF!,-1,0)),0)</f>
        <v>#REF!</v>
      </c>
      <c r="J67" s="39" t="e">
        <f ca="1">OFFSET(#REF!,-1,0)+OFFSET(#REF!,-1,0) -#REF! + SUM(#REF!)*#REF!*tech_3_3_2*#REF!</f>
        <v>#REF!</v>
      </c>
      <c r="K67" s="39" t="e">
        <f ca="1">OFFSET(#REF!,-1,0)+OFFSET(#REF!,-1,0) -#REF!</f>
        <v>#REF!</v>
      </c>
      <c r="L67" s="39" t="e">
        <f ca="1">OFFSET(#REF!,-1,0)+OFFSET(#REF!,-1,0) -#REF!</f>
        <v>#REF!</v>
      </c>
      <c r="M67" s="39" t="e">
        <f ca="1">OFFSET(#REF!,-1,0)+OFFSET(#REF!,-1,0) -#REF!</f>
        <v>#REF!</v>
      </c>
      <c r="N67" s="39" t="e">
        <f ca="1">OFFSET(#REF!,-1,0)+OFFSET(#REF!,-1,0)</f>
        <v>#REF!</v>
      </c>
      <c r="O67" s="39" t="e">
        <f ca="1">OFFSET(#REF!,-1,0)</f>
        <v>#REF!</v>
      </c>
      <c r="P67" s="39" t="e">
        <f ca="1">ROUNDDOWN(OFFSET(#REF!,-1,0)+(1+research_bonus)*(MIN(#REF!,#REF!*school_max)*(1 - MIN((#REF!/(#REF!-#REF!)),school_max)))-#REF!*#REF!,0) + IF(#REF!&lt;&gt;"",350,0)</f>
        <v>#REF!</v>
      </c>
      <c r="Q67" s="39" t="e">
        <f ca="1">MAX(3750,_xlfn.CEILING.MATH(#REF!*2.5+OFFSET(#REF!,-1,0)*150))</f>
        <v>#REF!</v>
      </c>
      <c r="R67" s="134"/>
      <c r="S67" s="39" t="e">
        <f>ROUNDDOWN(#REF!*(1+#REF!),0)</f>
        <v>#REF!</v>
      </c>
      <c r="T67" s="39" t="e">
        <f>ROUND(#REF!*(1+#REF!)-#REF!-#REF!,0)</f>
        <v>#REF!</v>
      </c>
      <c r="U67" s="39" t="e">
        <f>ROUND(#REF!*(1+#REF!)-#REF!,0)</f>
        <v>#REF!</v>
      </c>
      <c r="V67" s="39" t="e">
        <f>ROUND(#REF!*(1+#REF!)-#REF!,0)</f>
        <v>#REF!</v>
      </c>
      <c r="W67" s="39" t="e">
        <f>ROUNDDOWN(#REF!*(1+#REF!),0)</f>
        <v>#REF!</v>
      </c>
      <c r="X67" s="39" t="e">
        <f>ROUNDDOWN(#REF!*(1+#REF!),0)</f>
        <v>#REF!</v>
      </c>
      <c r="Y67" s="145" t="e">
        <f ca="1">OFFSET(#REF!,1,0)*dock_boats_hr * (1 + tech_4_1*#REF!)</f>
        <v>#REF!</v>
      </c>
      <c r="Z67" s="133"/>
      <c r="AA67" s="39" t="e">
        <f ca="1">#REF!*tax*#REF! + (Construction!AZ68+Construction!BX68)*(alch_plat+(Magic!AM67&gt;0)*alchemist_flame_bonus)</f>
        <v>#REF!</v>
      </c>
      <c r="AB67" s="39" t="e">
        <f>#REF!*farm_food +#REF!* dock_food</f>
        <v>#REF!</v>
      </c>
      <c r="AC67" s="39" t="e">
        <f>#REF!*ly_lumber +#REF!* fh_lumber</f>
        <v>#REF!</v>
      </c>
      <c r="AD67" s="39" t="e">
        <f ca="1">OFFSET(#REF!,1,0)*(tower_mana + tech_4_5*#REF!) + OFFSET(#REF!,1,0)*wg_mana_prod</f>
        <v>#REF!</v>
      </c>
      <c r="AE67" s="39" t="e">
        <f ca="1">OFFSET(#REF!,1,0)*om_ore+IF(race="Dwarf",ROUNDDOWN(#REF!*0.4,0),)</f>
        <v>#REF!</v>
      </c>
      <c r="AF67" s="39" t="e">
        <f ca="1">OFFSET(#REF!,1,0)*dm_gems</f>
        <v>#REF!</v>
      </c>
      <c r="AG67" s="134"/>
      <c r="AH67" s="135" t="e">
        <f>MIN(race_platinum_bonus + IF(#REF!&gt;0,alch_frost_bonus,IF(Magic!AD67&gt;0,midas_bonus)) +#REF! -#REF!*( 0.02 + tech_5_7*#REF!) + tech_1_5*#REF! + tech_4_4*#REF!, 0.5)</f>
        <v>#REF!</v>
      </c>
      <c r="AI67" s="132" t="e">
        <f>(1 + race_food_bonus + IF(#REF!&gt;0,gaias_blessing_food,IF(#REF!&gt;0,gaias_watch_bonus)) +#REF! + tech_1_1*#REF! + tech_1_4*#REF! + tech_5_1*#REF! +#REF!/ 100*prestige_food_bonus*(1 + tech_8_1*#REF!)) - 1</f>
        <v>#REF!</v>
      </c>
      <c r="AJ67" s="135" t="e">
        <f>race_lumber_bonus+ IF(#REF!&gt;0,gaias_blessing_lumber)+ tech_1_3*#REF! + tech_1_6*#REF! + tech_3_3*#REF!</f>
        <v>#REF!</v>
      </c>
      <c r="AK67" s="135" t="e">
        <f>race_mana_bonus+ 0 +#REF! + tech_1_2*#REF! + tech_3_4*#REF!</f>
        <v>#REF!</v>
      </c>
      <c r="AL67" s="135" t="e">
        <f>race_ore_bonus + IF(#REF!&gt;0,miners_sight_bonus,IF(#REF!&gt;0,mining_strength_bonus)) +  tech_1_6*#REF!</f>
        <v>#REF!</v>
      </c>
      <c r="AM67" s="135" t="e">
        <f>race_gem_bonus+ tech_3_2*#REF! + tech_4_3*#REF! + tech_6_2*#REF!</f>
        <v>#REF!</v>
      </c>
      <c r="AN67" s="134"/>
      <c r="AO67" s="39" t="e">
        <f>#REF!*food_decay * (1 + tech_2_1*#REF! + tech_2_8*#REF!)</f>
        <v>#REF!</v>
      </c>
      <c r="AP67" s="39" t="e">
        <f>(1+race_food_consumption)*#REF!*food_per_person*(1+tech_1_10*#REF!+tech_7_5*#REF!)</f>
        <v>#REF!</v>
      </c>
      <c r="AQ67" s="39" t="e">
        <f>#REF!*lumber_rot * (1 + tech_2_1*#REF! + tech_2_8*#REF! + tech_5_2*#REF!)</f>
        <v>#REF!</v>
      </c>
      <c r="AR67" s="39" t="e">
        <f>#REF!*mana_drain * (1 + tech_2_1*#REF! + tech_2_8*#REF!)</f>
        <v>#REF!</v>
      </c>
      <c r="AS67" s="133"/>
      <c r="AT67" s="39" t="e">
        <f>#REF!+#REF!+#REF!+#REF!+#REF!-#REF!</f>
        <v>#REF!</v>
      </c>
      <c r="AU67" s="39" t="e">
        <f>#REF!+#REF!-#REF! + Military!$CL$25*#REF!</f>
        <v>#REF!</v>
      </c>
      <c r="AV67" s="39" t="e">
        <f>#REF! + Military!$CL$26*#REF!</f>
        <v>#REF!</v>
      </c>
      <c r="AW67" s="39" t="e">
        <f>Military!$CL$24*#REF!+#REF!-#REF!</f>
        <v>#REF!</v>
      </c>
      <c r="AX67" s="39" t="e">
        <f>#REF!-#REF!</f>
        <v>#REF!</v>
      </c>
      <c r="AY67" s="134"/>
      <c r="AZ67" s="61" t="e">
        <f ca="1">IF(#REF!&lt;&gt;"",#REF!,OFFSET(#REF!,-1,0))</f>
        <v>#REF!</v>
      </c>
      <c r="BA67" s="144"/>
      <c r="BB67" s="3" t="e">
        <f>#REF!</f>
        <v>#REF!</v>
      </c>
      <c r="BC67" s="146" t="e">
        <f>-#REF! / 2 + -#REF! * 2 + -#REF! / 2</f>
        <v>#REF!</v>
      </c>
      <c r="BD67" s="146"/>
      <c r="BE67" s="146"/>
      <c r="BF67" s="146"/>
      <c r="BG67" s="147" t="e">
        <f>#REF!</f>
        <v>#REF!</v>
      </c>
      <c r="BH67" s="3" t="e">
        <f>IF(AND(#REF!=0,#REF!=0,#REF!=0,#REF!=0),"",IF(#REF!&gt;0,IF((#REF!+#REF!)/2+#REF!*2+ROUNDUP(#REF!/(1 + tech_2_2*Techs!Y67),0)=0,"Ok","Nope"),IF(#REF!&gt;0,IF((#REF!+#REF!)/2+#REF!*2+ROUNDUP(#REF!/(1 + tech_2_2*Techs!Y67),0)=0,"Ok","Nope"),IF(#REF!&gt;0,IF((#REF!+#REF!)/2+#REF!*2+ROUNDUP(#REF!/(1 + tech_2_2*Techs!Y67),0)=0,"Ok","Nope")))))</f>
        <v>#REF!</v>
      </c>
      <c r="BI67" s="39" t="e">
        <f>#REF!</f>
        <v>#REF!</v>
      </c>
      <c r="BJ67" s="39" t="e">
        <f>#REF!</f>
        <v>#REF!</v>
      </c>
      <c r="BK67" s="39" t="e">
        <f>#REF!</f>
        <v>#REF!</v>
      </c>
      <c r="BL67" s="39" t="e">
        <f>#REF!</f>
        <v>#REF!</v>
      </c>
      <c r="BM67" s="39" t="e">
        <f>#REF!</f>
        <v>#REF!</v>
      </c>
    </row>
    <row r="68" spans="1:65" x14ac:dyDescent="0.25">
      <c r="A68" s="130">
        <v>65</v>
      </c>
      <c r="B68" s="143" t="e">
        <f>#REF!</f>
        <v>#REF!</v>
      </c>
      <c r="C68" s="144"/>
      <c r="D68" s="133"/>
      <c r="E68" s="39" t="e">
        <f>#REF!</f>
        <v>#REF!</v>
      </c>
      <c r="F68" s="39" t="e">
        <f>#REF!</f>
        <v>#REF!</v>
      </c>
      <c r="G68" s="39" t="e">
        <f>#REF!</f>
        <v>#REF!</v>
      </c>
      <c r="H68" s="39" t="e">
        <f ca="1">OFFSET(#REF!,-1,0)+OFFSET(#REF!,-1,0) -#REF! + IF(#REF!,#REF!*4) + SUM(#REF!)*#REF!*tech_3_3_2*#REF!</f>
        <v>#REF!</v>
      </c>
      <c r="I68" s="39" t="e">
        <f ca="1">OFFSET(#REF!,-1,0)+OFFSET(#REF!,-1,0)+ROUNDUP((#REF!*80+#REF!*35)*(1+OFFSET(#REF!,-1,0)),0)</f>
        <v>#REF!</v>
      </c>
      <c r="J68" s="39" t="e">
        <f ca="1">OFFSET(#REF!,-1,0)+OFFSET(#REF!,-1,0) -#REF! + SUM(#REF!)*#REF!*tech_3_3_2*#REF!</f>
        <v>#REF!</v>
      </c>
      <c r="K68" s="39" t="e">
        <f ca="1">OFFSET(#REF!,-1,0)+OFFSET(#REF!,-1,0) -#REF!</f>
        <v>#REF!</v>
      </c>
      <c r="L68" s="39" t="e">
        <f ca="1">OFFSET(#REF!,-1,0)+OFFSET(#REF!,-1,0) -#REF!</f>
        <v>#REF!</v>
      </c>
      <c r="M68" s="39" t="e">
        <f ca="1">OFFSET(#REF!,-1,0)+OFFSET(#REF!,-1,0) -#REF!</f>
        <v>#REF!</v>
      </c>
      <c r="N68" s="39" t="e">
        <f ca="1">OFFSET(#REF!,-1,0)+OFFSET(#REF!,-1,0)</f>
        <v>#REF!</v>
      </c>
      <c r="O68" s="39" t="e">
        <f ca="1">OFFSET(#REF!,-1,0)</f>
        <v>#REF!</v>
      </c>
      <c r="P68" s="39" t="e">
        <f ca="1">ROUNDDOWN(OFFSET(#REF!,-1,0)+(1+research_bonus)*(MIN(#REF!,#REF!*school_max)*(1 - MIN((#REF!/(#REF!-#REF!)),school_max)))-#REF!*#REF!,0) + IF(#REF!&lt;&gt;"",350,0)</f>
        <v>#REF!</v>
      </c>
      <c r="Q68" s="39" t="e">
        <f ca="1">MAX(3750,_xlfn.CEILING.MATH(#REF!*2.5+OFFSET(#REF!,-1,0)*150))</f>
        <v>#REF!</v>
      </c>
      <c r="R68" s="134"/>
      <c r="S68" s="39" t="e">
        <f>ROUNDDOWN(#REF!*(1+#REF!),0)</f>
        <v>#REF!</v>
      </c>
      <c r="T68" s="39" t="e">
        <f>ROUND(#REF!*(1+#REF!)-#REF!-#REF!,0)</f>
        <v>#REF!</v>
      </c>
      <c r="U68" s="39" t="e">
        <f>ROUND(#REF!*(1+#REF!)-#REF!,0)</f>
        <v>#REF!</v>
      </c>
      <c r="V68" s="39" t="e">
        <f>ROUND(#REF!*(1+#REF!)-#REF!,0)</f>
        <v>#REF!</v>
      </c>
      <c r="W68" s="39" t="e">
        <f>ROUNDDOWN(#REF!*(1+#REF!),0)</f>
        <v>#REF!</v>
      </c>
      <c r="X68" s="39" t="e">
        <f>ROUNDDOWN(#REF!*(1+#REF!),0)</f>
        <v>#REF!</v>
      </c>
      <c r="Y68" s="145" t="e">
        <f ca="1">OFFSET(#REF!,1,0)*dock_boats_hr * (1 + tech_4_1*#REF!)</f>
        <v>#REF!</v>
      </c>
      <c r="Z68" s="133"/>
      <c r="AA68" s="39" t="e">
        <f ca="1">#REF!*tax*#REF! + (Construction!AZ69+Construction!BX69)*(alch_plat+(Magic!AM68&gt;0)*alchemist_flame_bonus)</f>
        <v>#REF!</v>
      </c>
      <c r="AB68" s="39" t="e">
        <f>#REF!*farm_food +#REF!* dock_food</f>
        <v>#REF!</v>
      </c>
      <c r="AC68" s="39" t="e">
        <f>#REF!*ly_lumber +#REF!* fh_lumber</f>
        <v>#REF!</v>
      </c>
      <c r="AD68" s="39" t="e">
        <f ca="1">OFFSET(#REF!,1,0)*(tower_mana + tech_4_5*#REF!) + OFFSET(#REF!,1,0)*wg_mana_prod</f>
        <v>#REF!</v>
      </c>
      <c r="AE68" s="39" t="e">
        <f ca="1">OFFSET(#REF!,1,0)*om_ore+IF(race="Dwarf",ROUNDDOWN(#REF!*0.4,0),)</f>
        <v>#REF!</v>
      </c>
      <c r="AF68" s="39" t="e">
        <f ca="1">OFFSET(#REF!,1,0)*dm_gems</f>
        <v>#REF!</v>
      </c>
      <c r="AG68" s="134"/>
      <c r="AH68" s="135" t="e">
        <f>MIN(race_platinum_bonus + IF(#REF!&gt;0,alch_frost_bonus,IF(Magic!AD68&gt;0,midas_bonus)) +#REF! -#REF!*( 0.02 + tech_5_7*#REF!) + tech_1_5*#REF! + tech_4_4*#REF!, 0.5)</f>
        <v>#REF!</v>
      </c>
      <c r="AI68" s="132" t="e">
        <f>(1 + race_food_bonus + IF(#REF!&gt;0,gaias_blessing_food,IF(#REF!&gt;0,gaias_watch_bonus)) +#REF! + tech_1_1*#REF! + tech_1_4*#REF! + tech_5_1*#REF! +#REF!/ 100*prestige_food_bonus*(1 + tech_8_1*#REF!)) - 1</f>
        <v>#REF!</v>
      </c>
      <c r="AJ68" s="135" t="e">
        <f>race_lumber_bonus+ IF(#REF!&gt;0,gaias_blessing_lumber)+ tech_1_3*#REF! + tech_1_6*#REF! + tech_3_3*#REF!</f>
        <v>#REF!</v>
      </c>
      <c r="AK68" s="135" t="e">
        <f>race_mana_bonus+ 0 +#REF! + tech_1_2*#REF! + tech_3_4*#REF!</f>
        <v>#REF!</v>
      </c>
      <c r="AL68" s="135" t="e">
        <f>race_ore_bonus + IF(#REF!&gt;0,miners_sight_bonus,IF(#REF!&gt;0,mining_strength_bonus)) +  tech_1_6*#REF!</f>
        <v>#REF!</v>
      </c>
      <c r="AM68" s="135" t="e">
        <f>race_gem_bonus+ tech_3_2*#REF! + tech_4_3*#REF! + tech_6_2*#REF!</f>
        <v>#REF!</v>
      </c>
      <c r="AN68" s="134"/>
      <c r="AO68" s="39" t="e">
        <f>#REF!*food_decay * (1 + tech_2_1*#REF! + tech_2_8*#REF!)</f>
        <v>#REF!</v>
      </c>
      <c r="AP68" s="39" t="e">
        <f>(1+race_food_consumption)*#REF!*food_per_person*(1+tech_1_10*#REF!+tech_7_5*#REF!)</f>
        <v>#REF!</v>
      </c>
      <c r="AQ68" s="39" t="e">
        <f>#REF!*lumber_rot * (1 + tech_2_1*#REF! + tech_2_8*#REF! + tech_5_2*#REF!)</f>
        <v>#REF!</v>
      </c>
      <c r="AR68" s="39" t="e">
        <f>#REF!*mana_drain * (1 + tech_2_1*#REF! + tech_2_8*#REF!)</f>
        <v>#REF!</v>
      </c>
      <c r="AS68" s="133"/>
      <c r="AT68" s="39" t="e">
        <f>#REF!+#REF!+#REF!+#REF!+#REF!-#REF!</f>
        <v>#REF!</v>
      </c>
      <c r="AU68" s="39" t="e">
        <f>#REF!+#REF!-#REF! + Military!$CL$25*#REF!</f>
        <v>#REF!</v>
      </c>
      <c r="AV68" s="39" t="e">
        <f>#REF! + Military!$CL$26*#REF!</f>
        <v>#REF!</v>
      </c>
      <c r="AW68" s="39" t="e">
        <f>Military!$CL$24*#REF!+#REF!-#REF!</f>
        <v>#REF!</v>
      </c>
      <c r="AX68" s="39" t="e">
        <f>#REF!-#REF!</f>
        <v>#REF!</v>
      </c>
      <c r="AY68" s="134"/>
      <c r="AZ68" s="61" t="e">
        <f ca="1">IF(#REF!&lt;&gt;"",#REF!,OFFSET(#REF!,-1,0))</f>
        <v>#REF!</v>
      </c>
      <c r="BA68" s="144"/>
      <c r="BB68" s="3" t="e">
        <f>#REF!</f>
        <v>#REF!</v>
      </c>
      <c r="BC68" s="146" t="e">
        <f>-#REF! / 2 + -#REF! * 2 + -#REF! / 2</f>
        <v>#REF!</v>
      </c>
      <c r="BD68" s="146"/>
      <c r="BE68" s="146"/>
      <c r="BF68" s="146"/>
      <c r="BG68" s="147" t="e">
        <f>#REF!</f>
        <v>#REF!</v>
      </c>
      <c r="BH68" s="3" t="e">
        <f>IF(AND(#REF!=0,#REF!=0,#REF!=0,#REF!=0),"",IF(#REF!&gt;0,IF((#REF!+#REF!)/2+#REF!*2+ROUNDUP(#REF!/(1 + tech_2_2*Techs!Y68),0)=0,"Ok","Nope"),IF(#REF!&gt;0,IF((#REF!+#REF!)/2+#REF!*2+ROUNDUP(#REF!/(1 + tech_2_2*Techs!Y68),0)=0,"Ok","Nope"),IF(#REF!&gt;0,IF((#REF!+#REF!)/2+#REF!*2+ROUNDUP(#REF!/(1 + tech_2_2*Techs!Y68),0)=0,"Ok","Nope")))))</f>
        <v>#REF!</v>
      </c>
      <c r="BI68" s="39" t="e">
        <f>#REF!</f>
        <v>#REF!</v>
      </c>
      <c r="BJ68" s="39" t="e">
        <f>#REF!</f>
        <v>#REF!</v>
      </c>
      <c r="BK68" s="39" t="e">
        <f>#REF!</f>
        <v>#REF!</v>
      </c>
      <c r="BL68" s="39" t="e">
        <f>#REF!</f>
        <v>#REF!</v>
      </c>
      <c r="BM68" s="39" t="e">
        <f>#REF!</f>
        <v>#REF!</v>
      </c>
    </row>
    <row r="69" spans="1:65" x14ac:dyDescent="0.25">
      <c r="A69" s="130">
        <v>66</v>
      </c>
      <c r="B69" s="143" t="e">
        <f>#REF!</f>
        <v>#REF!</v>
      </c>
      <c r="C69" s="144"/>
      <c r="D69" s="133"/>
      <c r="E69" s="39" t="e">
        <f>#REF!</f>
        <v>#REF!</v>
      </c>
      <c r="F69" s="39" t="e">
        <f>#REF!</f>
        <v>#REF!</v>
      </c>
      <c r="G69" s="39" t="e">
        <f>#REF!</f>
        <v>#REF!</v>
      </c>
      <c r="H69" s="39" t="e">
        <f ca="1">OFFSET(#REF!,-1,0)+OFFSET(#REF!,-1,0) -#REF! + IF(#REF!,#REF!*4) + SUM(#REF!)*#REF!*tech_3_3_2*#REF!</f>
        <v>#REF!</v>
      </c>
      <c r="I69" s="39" t="e">
        <f ca="1">OFFSET(#REF!,-1,0)+OFFSET(#REF!,-1,0)+ROUNDUP((#REF!*80+#REF!*35)*(1+OFFSET(#REF!,-1,0)),0)</f>
        <v>#REF!</v>
      </c>
      <c r="J69" s="39" t="e">
        <f ca="1">OFFSET(#REF!,-1,0)+OFFSET(#REF!,-1,0) -#REF! + SUM(#REF!)*#REF!*tech_3_3_2*#REF!</f>
        <v>#REF!</v>
      </c>
      <c r="K69" s="39" t="e">
        <f ca="1">OFFSET(#REF!,-1,0)+OFFSET(#REF!,-1,0) -#REF!</f>
        <v>#REF!</v>
      </c>
      <c r="L69" s="39" t="e">
        <f ca="1">OFFSET(#REF!,-1,0)+OFFSET(#REF!,-1,0) -#REF!</f>
        <v>#REF!</v>
      </c>
      <c r="M69" s="39" t="e">
        <f ca="1">OFFSET(#REF!,-1,0)+OFFSET(#REF!,-1,0) -#REF!</f>
        <v>#REF!</v>
      </c>
      <c r="N69" s="39" t="e">
        <f ca="1">OFFSET(#REF!,-1,0)+OFFSET(#REF!,-1,0)</f>
        <v>#REF!</v>
      </c>
      <c r="O69" s="39" t="e">
        <f ca="1">OFFSET(#REF!,-1,0)</f>
        <v>#REF!</v>
      </c>
      <c r="P69" s="39" t="e">
        <f ca="1">ROUNDDOWN(OFFSET(#REF!,-1,0)+(1+research_bonus)*(MIN(#REF!,#REF!*school_max)*(1 - MIN((#REF!/(#REF!-#REF!)),school_max)))-#REF!*#REF!,0) + IF(#REF!&lt;&gt;"",350,0)</f>
        <v>#REF!</v>
      </c>
      <c r="Q69" s="39" t="e">
        <f ca="1">MAX(3750,_xlfn.CEILING.MATH(#REF!*2.5+OFFSET(#REF!,-1,0)*150))</f>
        <v>#REF!</v>
      </c>
      <c r="R69" s="134"/>
      <c r="S69" s="39" t="e">
        <f>ROUNDDOWN(#REF!*(1+#REF!),0)</f>
        <v>#REF!</v>
      </c>
      <c r="T69" s="39" t="e">
        <f>ROUND(#REF!*(1+#REF!)-#REF!-#REF!,0)</f>
        <v>#REF!</v>
      </c>
      <c r="U69" s="39" t="e">
        <f>ROUND(#REF!*(1+#REF!)-#REF!,0)</f>
        <v>#REF!</v>
      </c>
      <c r="V69" s="39" t="e">
        <f>ROUND(#REF!*(1+#REF!)-#REF!,0)</f>
        <v>#REF!</v>
      </c>
      <c r="W69" s="39" t="e">
        <f>ROUNDDOWN(#REF!*(1+#REF!),0)</f>
        <v>#REF!</v>
      </c>
      <c r="X69" s="39" t="e">
        <f>ROUNDDOWN(#REF!*(1+#REF!),0)</f>
        <v>#REF!</v>
      </c>
      <c r="Y69" s="145" t="e">
        <f ca="1">OFFSET(#REF!,1,0)*dock_boats_hr * (1 + tech_4_1*#REF!)</f>
        <v>#REF!</v>
      </c>
      <c r="Z69" s="133"/>
      <c r="AA69" s="39" t="e">
        <f ca="1">#REF!*tax*#REF! + (Construction!AZ70+Construction!BX70)*(alch_plat+(Magic!AM69&gt;0)*alchemist_flame_bonus)</f>
        <v>#REF!</v>
      </c>
      <c r="AB69" s="39" t="e">
        <f>#REF!*farm_food +#REF!* dock_food</f>
        <v>#REF!</v>
      </c>
      <c r="AC69" s="39" t="e">
        <f>#REF!*ly_lumber +#REF!* fh_lumber</f>
        <v>#REF!</v>
      </c>
      <c r="AD69" s="39" t="e">
        <f ca="1">OFFSET(#REF!,1,0)*(tower_mana + tech_4_5*#REF!) + OFFSET(#REF!,1,0)*wg_mana_prod</f>
        <v>#REF!</v>
      </c>
      <c r="AE69" s="39" t="e">
        <f ca="1">OFFSET(#REF!,1,0)*om_ore+IF(race="Dwarf",ROUNDDOWN(#REF!*0.4,0),)</f>
        <v>#REF!</v>
      </c>
      <c r="AF69" s="39" t="e">
        <f ca="1">OFFSET(#REF!,1,0)*dm_gems</f>
        <v>#REF!</v>
      </c>
      <c r="AG69" s="134"/>
      <c r="AH69" s="135" t="e">
        <f>MIN(race_platinum_bonus + IF(#REF!&gt;0,alch_frost_bonus,IF(Magic!AD69&gt;0,midas_bonus)) +#REF! -#REF!*( 0.02 + tech_5_7*#REF!) + tech_1_5*#REF! + tech_4_4*#REF!, 0.5)</f>
        <v>#REF!</v>
      </c>
      <c r="AI69" s="132" t="e">
        <f>(1 + race_food_bonus + IF(#REF!&gt;0,gaias_blessing_food,IF(#REF!&gt;0,gaias_watch_bonus)) +#REF! + tech_1_1*#REF! + tech_1_4*#REF! + tech_5_1*#REF! +#REF!/ 100*prestige_food_bonus*(1 + tech_8_1*#REF!)) - 1</f>
        <v>#REF!</v>
      </c>
      <c r="AJ69" s="135" t="e">
        <f>race_lumber_bonus+ IF(#REF!&gt;0,gaias_blessing_lumber)+ tech_1_3*#REF! + tech_1_6*#REF! + tech_3_3*#REF!</f>
        <v>#REF!</v>
      </c>
      <c r="AK69" s="135" t="e">
        <f>race_mana_bonus+ 0 +#REF! + tech_1_2*#REF! + tech_3_4*#REF!</f>
        <v>#REF!</v>
      </c>
      <c r="AL69" s="135" t="e">
        <f>race_ore_bonus + IF(#REF!&gt;0,miners_sight_bonus,IF(#REF!&gt;0,mining_strength_bonus)) +  tech_1_6*#REF!</f>
        <v>#REF!</v>
      </c>
      <c r="AM69" s="135" t="e">
        <f>race_gem_bonus+ tech_3_2*#REF! + tech_4_3*#REF! + tech_6_2*#REF!</f>
        <v>#REF!</v>
      </c>
      <c r="AN69" s="134"/>
      <c r="AO69" s="39" t="e">
        <f>#REF!*food_decay * (1 + tech_2_1*#REF! + tech_2_8*#REF!)</f>
        <v>#REF!</v>
      </c>
      <c r="AP69" s="39" t="e">
        <f>(1+race_food_consumption)*#REF!*food_per_person*(1+tech_1_10*#REF!+tech_7_5*#REF!)</f>
        <v>#REF!</v>
      </c>
      <c r="AQ69" s="39" t="e">
        <f>#REF!*lumber_rot * (1 + tech_2_1*#REF! + tech_2_8*#REF! + tech_5_2*#REF!)</f>
        <v>#REF!</v>
      </c>
      <c r="AR69" s="39" t="e">
        <f>#REF!*mana_drain * (1 + tech_2_1*#REF! + tech_2_8*#REF!)</f>
        <v>#REF!</v>
      </c>
      <c r="AS69" s="133"/>
      <c r="AT69" s="39" t="e">
        <f>#REF!+#REF!+#REF!+#REF!+#REF!-#REF!</f>
        <v>#REF!</v>
      </c>
      <c r="AU69" s="39" t="e">
        <f>#REF!+#REF!-#REF! + Military!$CL$25*#REF!</f>
        <v>#REF!</v>
      </c>
      <c r="AV69" s="39" t="e">
        <f>#REF! + Military!$CL$26*#REF!</f>
        <v>#REF!</v>
      </c>
      <c r="AW69" s="39" t="e">
        <f>Military!$CL$24*#REF!+#REF!-#REF!</f>
        <v>#REF!</v>
      </c>
      <c r="AX69" s="39" t="e">
        <f>#REF!-#REF!</f>
        <v>#REF!</v>
      </c>
      <c r="AY69" s="134"/>
      <c r="AZ69" s="61" t="e">
        <f ca="1">IF(#REF!&lt;&gt;"",#REF!,OFFSET(#REF!,-1,0))</f>
        <v>#REF!</v>
      </c>
      <c r="BA69" s="144"/>
      <c r="BB69" s="3" t="e">
        <f>#REF!</f>
        <v>#REF!</v>
      </c>
      <c r="BC69" s="146" t="e">
        <f>-#REF! / 2 + -#REF! * 2 + -#REF! / 2</f>
        <v>#REF!</v>
      </c>
      <c r="BD69" s="146"/>
      <c r="BE69" s="146"/>
      <c r="BF69" s="146"/>
      <c r="BG69" s="147" t="e">
        <f>#REF!</f>
        <v>#REF!</v>
      </c>
      <c r="BH69" s="3" t="e">
        <f>IF(AND(#REF!=0,#REF!=0,#REF!=0,#REF!=0),"",IF(#REF!&gt;0,IF((#REF!+#REF!)/2+#REF!*2+ROUNDUP(#REF!/(1 + tech_2_2*Techs!Y69),0)=0,"Ok","Nope"),IF(#REF!&gt;0,IF((#REF!+#REF!)/2+#REF!*2+ROUNDUP(#REF!/(1 + tech_2_2*Techs!Y69),0)=0,"Ok","Nope"),IF(#REF!&gt;0,IF((#REF!+#REF!)/2+#REF!*2+ROUNDUP(#REF!/(1 + tech_2_2*Techs!Y69),0)=0,"Ok","Nope")))))</f>
        <v>#REF!</v>
      </c>
      <c r="BI69" s="39" t="e">
        <f>#REF!</f>
        <v>#REF!</v>
      </c>
      <c r="BJ69" s="39" t="e">
        <f>#REF!</f>
        <v>#REF!</v>
      </c>
      <c r="BK69" s="39" t="e">
        <f>#REF!</f>
        <v>#REF!</v>
      </c>
      <c r="BL69" s="39" t="e">
        <f>#REF!</f>
        <v>#REF!</v>
      </c>
      <c r="BM69" s="39" t="e">
        <f>#REF!</f>
        <v>#REF!</v>
      </c>
    </row>
    <row r="70" spans="1:65" x14ac:dyDescent="0.25">
      <c r="A70" s="130">
        <v>67</v>
      </c>
      <c r="B70" s="143" t="e">
        <f>#REF!</f>
        <v>#REF!</v>
      </c>
      <c r="C70" s="144"/>
      <c r="D70" s="133"/>
      <c r="E70" s="39" t="e">
        <f>#REF!</f>
        <v>#REF!</v>
      </c>
      <c r="F70" s="39" t="e">
        <f>#REF!</f>
        <v>#REF!</v>
      </c>
      <c r="G70" s="39" t="e">
        <f>#REF!</f>
        <v>#REF!</v>
      </c>
      <c r="H70" s="39" t="e">
        <f ca="1">OFFSET(#REF!,-1,0)+OFFSET(#REF!,-1,0) -#REF! + IF(#REF!,#REF!*4) + SUM(#REF!)*#REF!*tech_3_3_2*#REF!</f>
        <v>#REF!</v>
      </c>
      <c r="I70" s="39" t="e">
        <f ca="1">OFFSET(#REF!,-1,0)+OFFSET(#REF!,-1,0)+ROUNDUP((#REF!*80+#REF!*35)*(1+OFFSET(#REF!,-1,0)),0)</f>
        <v>#REF!</v>
      </c>
      <c r="J70" s="39" t="e">
        <f ca="1">OFFSET(#REF!,-1,0)+OFFSET(#REF!,-1,0) -#REF! + SUM(#REF!)*#REF!*tech_3_3_2*#REF!</f>
        <v>#REF!</v>
      </c>
      <c r="K70" s="39" t="e">
        <f ca="1">OFFSET(#REF!,-1,0)+OFFSET(#REF!,-1,0) -#REF!</f>
        <v>#REF!</v>
      </c>
      <c r="L70" s="39" t="e">
        <f ca="1">OFFSET(#REF!,-1,0)+OFFSET(#REF!,-1,0) -#REF!</f>
        <v>#REF!</v>
      </c>
      <c r="M70" s="39" t="e">
        <f ca="1">OFFSET(#REF!,-1,0)+OFFSET(#REF!,-1,0) -#REF!</f>
        <v>#REF!</v>
      </c>
      <c r="N70" s="39" t="e">
        <f ca="1">OFFSET(#REF!,-1,0)+OFFSET(#REF!,-1,0)</f>
        <v>#REF!</v>
      </c>
      <c r="O70" s="39" t="e">
        <f ca="1">OFFSET(#REF!,-1,0)</f>
        <v>#REF!</v>
      </c>
      <c r="P70" s="39" t="e">
        <f ca="1">ROUNDDOWN(OFFSET(#REF!,-1,0)+(1+research_bonus)*(MIN(#REF!,#REF!*school_max)*(1 - MIN((#REF!/(#REF!-#REF!)),school_max)))-#REF!*#REF!,0) + IF(#REF!&lt;&gt;"",350,0)</f>
        <v>#REF!</v>
      </c>
      <c r="Q70" s="39" t="e">
        <f ca="1">MAX(3750,_xlfn.CEILING.MATH(#REF!*2.5+OFFSET(#REF!,-1,0)*150))</f>
        <v>#REF!</v>
      </c>
      <c r="R70" s="134"/>
      <c r="S70" s="39" t="e">
        <f>ROUNDDOWN(#REF!*(1+#REF!),0)</f>
        <v>#REF!</v>
      </c>
      <c r="T70" s="39" t="e">
        <f>ROUND(#REF!*(1+#REF!)-#REF!-#REF!,0)</f>
        <v>#REF!</v>
      </c>
      <c r="U70" s="39" t="e">
        <f>ROUND(#REF!*(1+#REF!)-#REF!,0)</f>
        <v>#REF!</v>
      </c>
      <c r="V70" s="39" t="e">
        <f>ROUND(#REF!*(1+#REF!)-#REF!,0)</f>
        <v>#REF!</v>
      </c>
      <c r="W70" s="39" t="e">
        <f>ROUNDDOWN(#REF!*(1+#REF!),0)</f>
        <v>#REF!</v>
      </c>
      <c r="X70" s="39" t="e">
        <f>ROUNDDOWN(#REF!*(1+#REF!),0)</f>
        <v>#REF!</v>
      </c>
      <c r="Y70" s="145" t="e">
        <f ca="1">OFFSET(#REF!,1,0)*dock_boats_hr * (1 + tech_4_1*#REF!)</f>
        <v>#REF!</v>
      </c>
      <c r="Z70" s="133"/>
      <c r="AA70" s="39" t="e">
        <f ca="1">#REF!*tax*#REF! + (Construction!AZ71+Construction!BX71)*(alch_plat+(Magic!AM70&gt;0)*alchemist_flame_bonus)</f>
        <v>#REF!</v>
      </c>
      <c r="AB70" s="39" t="e">
        <f>#REF!*farm_food +#REF!* dock_food</f>
        <v>#REF!</v>
      </c>
      <c r="AC70" s="39" t="e">
        <f>#REF!*ly_lumber +#REF!* fh_lumber</f>
        <v>#REF!</v>
      </c>
      <c r="AD70" s="39" t="e">
        <f ca="1">OFFSET(#REF!,1,0)*(tower_mana + tech_4_5*#REF!) + OFFSET(#REF!,1,0)*wg_mana_prod</f>
        <v>#REF!</v>
      </c>
      <c r="AE70" s="39" t="e">
        <f ca="1">OFFSET(#REF!,1,0)*om_ore+IF(race="Dwarf",ROUNDDOWN(#REF!*0.4,0),)</f>
        <v>#REF!</v>
      </c>
      <c r="AF70" s="39" t="e">
        <f ca="1">OFFSET(#REF!,1,0)*dm_gems</f>
        <v>#REF!</v>
      </c>
      <c r="AG70" s="134"/>
      <c r="AH70" s="135" t="e">
        <f>MIN(race_platinum_bonus + IF(#REF!&gt;0,alch_frost_bonus,IF(Magic!AD70&gt;0,midas_bonus)) +#REF! -#REF!*( 0.02 + tech_5_7*#REF!) + tech_1_5*#REF! + tech_4_4*#REF!, 0.5)</f>
        <v>#REF!</v>
      </c>
      <c r="AI70" s="132" t="e">
        <f>(1 + race_food_bonus + IF(#REF!&gt;0,gaias_blessing_food,IF(#REF!&gt;0,gaias_watch_bonus)) +#REF! + tech_1_1*#REF! + tech_1_4*#REF! + tech_5_1*#REF! +#REF!/ 100*prestige_food_bonus*(1 + tech_8_1*#REF!)) - 1</f>
        <v>#REF!</v>
      </c>
      <c r="AJ70" s="135" t="e">
        <f>race_lumber_bonus+ IF(#REF!&gt;0,gaias_blessing_lumber)+ tech_1_3*#REF! + tech_1_6*#REF! + tech_3_3*#REF!</f>
        <v>#REF!</v>
      </c>
      <c r="AK70" s="135" t="e">
        <f>race_mana_bonus+ 0 +#REF! + tech_1_2*#REF! + tech_3_4*#REF!</f>
        <v>#REF!</v>
      </c>
      <c r="AL70" s="135" t="e">
        <f>race_ore_bonus + IF(#REF!&gt;0,miners_sight_bonus,IF(#REF!&gt;0,mining_strength_bonus)) +  tech_1_6*#REF!</f>
        <v>#REF!</v>
      </c>
      <c r="AM70" s="135" t="e">
        <f>race_gem_bonus+ tech_3_2*#REF! + tech_4_3*#REF! + tech_6_2*#REF!</f>
        <v>#REF!</v>
      </c>
      <c r="AN70" s="134"/>
      <c r="AO70" s="39" t="e">
        <f>#REF!*food_decay * (1 + tech_2_1*#REF! + tech_2_8*#REF!)</f>
        <v>#REF!</v>
      </c>
      <c r="AP70" s="39" t="e">
        <f>(1+race_food_consumption)*#REF!*food_per_person*(1+tech_1_10*#REF!+tech_7_5*#REF!)</f>
        <v>#REF!</v>
      </c>
      <c r="AQ70" s="39" t="e">
        <f>#REF!*lumber_rot * (1 + tech_2_1*#REF! + tech_2_8*#REF! + tech_5_2*#REF!)</f>
        <v>#REF!</v>
      </c>
      <c r="AR70" s="39" t="e">
        <f>#REF!*mana_drain * (1 + tech_2_1*#REF! + tech_2_8*#REF!)</f>
        <v>#REF!</v>
      </c>
      <c r="AS70" s="133"/>
      <c r="AT70" s="39" t="e">
        <f>#REF!+#REF!+#REF!+#REF!+#REF!-#REF!</f>
        <v>#REF!</v>
      </c>
      <c r="AU70" s="39" t="e">
        <f>#REF!+#REF!-#REF! + Military!$CL$25*#REF!</f>
        <v>#REF!</v>
      </c>
      <c r="AV70" s="39" t="e">
        <f>#REF! + Military!$CL$26*#REF!</f>
        <v>#REF!</v>
      </c>
      <c r="AW70" s="39" t="e">
        <f>Military!$CL$24*#REF!+#REF!-#REF!</f>
        <v>#REF!</v>
      </c>
      <c r="AX70" s="39" t="e">
        <f>#REF!-#REF!</f>
        <v>#REF!</v>
      </c>
      <c r="AY70" s="134"/>
      <c r="AZ70" s="61" t="e">
        <f ca="1">IF(#REF!&lt;&gt;"",#REF!,OFFSET(#REF!,-1,0))</f>
        <v>#REF!</v>
      </c>
      <c r="BA70" s="144"/>
      <c r="BB70" s="3" t="e">
        <f>#REF!</f>
        <v>#REF!</v>
      </c>
      <c r="BC70" s="146" t="e">
        <f>-#REF! / 2 + -#REF! * 2 + -#REF! / 2</f>
        <v>#REF!</v>
      </c>
      <c r="BD70" s="146"/>
      <c r="BE70" s="146"/>
      <c r="BF70" s="146"/>
      <c r="BG70" s="147" t="e">
        <f>#REF!</f>
        <v>#REF!</v>
      </c>
      <c r="BH70" s="3" t="e">
        <f>IF(AND(#REF!=0,#REF!=0,#REF!=0,#REF!=0),"",IF(#REF!&gt;0,IF((#REF!+#REF!)/2+#REF!*2+ROUNDUP(#REF!/(1 + tech_2_2*Techs!Y70),0)=0,"Ok","Nope"),IF(#REF!&gt;0,IF((#REF!+#REF!)/2+#REF!*2+ROUNDUP(#REF!/(1 + tech_2_2*Techs!Y70),0)=0,"Ok","Nope"),IF(#REF!&gt;0,IF((#REF!+#REF!)/2+#REF!*2+ROUNDUP(#REF!/(1 + tech_2_2*Techs!Y70),0)=0,"Ok","Nope")))))</f>
        <v>#REF!</v>
      </c>
      <c r="BI70" s="39" t="e">
        <f>#REF!</f>
        <v>#REF!</v>
      </c>
      <c r="BJ70" s="39" t="e">
        <f>#REF!</f>
        <v>#REF!</v>
      </c>
      <c r="BK70" s="39" t="e">
        <f>#REF!</f>
        <v>#REF!</v>
      </c>
      <c r="BL70" s="39" t="e">
        <f>#REF!</f>
        <v>#REF!</v>
      </c>
      <c r="BM70" s="39" t="e">
        <f>#REF!</f>
        <v>#REF!</v>
      </c>
    </row>
    <row r="71" spans="1:65" x14ac:dyDescent="0.25">
      <c r="A71" s="130">
        <v>68</v>
      </c>
      <c r="B71" s="143" t="e">
        <f>#REF!</f>
        <v>#REF!</v>
      </c>
      <c r="C71" s="144"/>
      <c r="D71" s="133"/>
      <c r="E71" s="39" t="e">
        <f>#REF!</f>
        <v>#REF!</v>
      </c>
      <c r="F71" s="39" t="e">
        <f>#REF!</f>
        <v>#REF!</v>
      </c>
      <c r="G71" s="39" t="e">
        <f>#REF!</f>
        <v>#REF!</v>
      </c>
      <c r="H71" s="39" t="e">
        <f ca="1">OFFSET(#REF!,-1,0)+OFFSET(#REF!,-1,0) -#REF! + IF(#REF!,#REF!*4) + SUM(#REF!)*#REF!*tech_3_3_2*#REF!</f>
        <v>#REF!</v>
      </c>
      <c r="I71" s="39" t="e">
        <f ca="1">OFFSET(#REF!,-1,0)+OFFSET(#REF!,-1,0)+ROUNDUP((#REF!*80+#REF!*35)*(1+OFFSET(#REF!,-1,0)),0)</f>
        <v>#REF!</v>
      </c>
      <c r="J71" s="39" t="e">
        <f ca="1">OFFSET(#REF!,-1,0)+OFFSET(#REF!,-1,0) -#REF! + SUM(#REF!)*#REF!*tech_3_3_2*#REF!</f>
        <v>#REF!</v>
      </c>
      <c r="K71" s="39" t="e">
        <f ca="1">OFFSET(#REF!,-1,0)+OFFSET(#REF!,-1,0) -#REF!</f>
        <v>#REF!</v>
      </c>
      <c r="L71" s="39" t="e">
        <f ca="1">OFFSET(#REF!,-1,0)+OFFSET(#REF!,-1,0) -#REF!</f>
        <v>#REF!</v>
      </c>
      <c r="M71" s="39" t="e">
        <f ca="1">OFFSET(#REF!,-1,0)+OFFSET(#REF!,-1,0) -#REF!</f>
        <v>#REF!</v>
      </c>
      <c r="N71" s="39" t="e">
        <f ca="1">OFFSET(#REF!,-1,0)+OFFSET(#REF!,-1,0)</f>
        <v>#REF!</v>
      </c>
      <c r="O71" s="39" t="e">
        <f ca="1">OFFSET(#REF!,-1,0)</f>
        <v>#REF!</v>
      </c>
      <c r="P71" s="39" t="e">
        <f ca="1">ROUNDDOWN(OFFSET(#REF!,-1,0)+(1+research_bonus)*(MIN(#REF!,#REF!*school_max)*(1 - MIN((#REF!/(#REF!-#REF!)),school_max)))-#REF!*#REF!,0) + IF(#REF!&lt;&gt;"",350,0)</f>
        <v>#REF!</v>
      </c>
      <c r="Q71" s="39" t="e">
        <f ca="1">MAX(3750,_xlfn.CEILING.MATH(#REF!*2.5+OFFSET(#REF!,-1,0)*150))</f>
        <v>#REF!</v>
      </c>
      <c r="R71" s="134"/>
      <c r="S71" s="39" t="e">
        <f>ROUNDDOWN(#REF!*(1+#REF!),0)</f>
        <v>#REF!</v>
      </c>
      <c r="T71" s="39" t="e">
        <f>ROUND(#REF!*(1+#REF!)-#REF!-#REF!,0)</f>
        <v>#REF!</v>
      </c>
      <c r="U71" s="39" t="e">
        <f>ROUND(#REF!*(1+#REF!)-#REF!,0)</f>
        <v>#REF!</v>
      </c>
      <c r="V71" s="39" t="e">
        <f>ROUND(#REF!*(1+#REF!)-#REF!,0)</f>
        <v>#REF!</v>
      </c>
      <c r="W71" s="39" t="e">
        <f>ROUNDDOWN(#REF!*(1+#REF!),0)</f>
        <v>#REF!</v>
      </c>
      <c r="X71" s="39" t="e">
        <f>ROUNDDOWN(#REF!*(1+#REF!),0)</f>
        <v>#REF!</v>
      </c>
      <c r="Y71" s="145" t="e">
        <f ca="1">OFFSET(#REF!,1,0)*dock_boats_hr * (1 + tech_4_1*#REF!)</f>
        <v>#REF!</v>
      </c>
      <c r="Z71" s="133"/>
      <c r="AA71" s="39" t="e">
        <f ca="1">#REF!*tax*#REF! + (Construction!AZ72+Construction!BX72)*(alch_plat+(Magic!AM71&gt;0)*alchemist_flame_bonus)</f>
        <v>#REF!</v>
      </c>
      <c r="AB71" s="39" t="e">
        <f>#REF!*farm_food +#REF!* dock_food</f>
        <v>#REF!</v>
      </c>
      <c r="AC71" s="39" t="e">
        <f>#REF!*ly_lumber +#REF!* fh_lumber</f>
        <v>#REF!</v>
      </c>
      <c r="AD71" s="39" t="e">
        <f ca="1">OFFSET(#REF!,1,0)*(tower_mana + tech_4_5*#REF!) + OFFSET(#REF!,1,0)*wg_mana_prod</f>
        <v>#REF!</v>
      </c>
      <c r="AE71" s="39" t="e">
        <f ca="1">OFFSET(#REF!,1,0)*om_ore+IF(race="Dwarf",ROUNDDOWN(#REF!*0.4,0),)</f>
        <v>#REF!</v>
      </c>
      <c r="AF71" s="39" t="e">
        <f ca="1">OFFSET(#REF!,1,0)*dm_gems</f>
        <v>#REF!</v>
      </c>
      <c r="AG71" s="134"/>
      <c r="AH71" s="135" t="e">
        <f>MIN(race_platinum_bonus + IF(#REF!&gt;0,alch_frost_bonus,IF(Magic!AD71&gt;0,midas_bonus)) +#REF! -#REF!*( 0.02 + tech_5_7*#REF!) + tech_1_5*#REF! + tech_4_4*#REF!, 0.5)</f>
        <v>#REF!</v>
      </c>
      <c r="AI71" s="132" t="e">
        <f>(1 + race_food_bonus + IF(#REF!&gt;0,gaias_blessing_food,IF(#REF!&gt;0,gaias_watch_bonus)) +#REF! + tech_1_1*#REF! + tech_1_4*#REF! + tech_5_1*#REF! +#REF!/ 100*prestige_food_bonus*(1 + tech_8_1*#REF!)) - 1</f>
        <v>#REF!</v>
      </c>
      <c r="AJ71" s="135" t="e">
        <f>race_lumber_bonus+ IF(#REF!&gt;0,gaias_blessing_lumber)+ tech_1_3*#REF! + tech_1_6*#REF! + tech_3_3*#REF!</f>
        <v>#REF!</v>
      </c>
      <c r="AK71" s="135" t="e">
        <f>race_mana_bonus+ 0 +#REF! + tech_1_2*#REF! + tech_3_4*#REF!</f>
        <v>#REF!</v>
      </c>
      <c r="AL71" s="135" t="e">
        <f>race_ore_bonus + IF(#REF!&gt;0,miners_sight_bonus,IF(#REF!&gt;0,mining_strength_bonus)) +  tech_1_6*#REF!</f>
        <v>#REF!</v>
      </c>
      <c r="AM71" s="135" t="e">
        <f>race_gem_bonus+ tech_3_2*#REF! + tech_4_3*#REF! + tech_6_2*#REF!</f>
        <v>#REF!</v>
      </c>
      <c r="AN71" s="134"/>
      <c r="AO71" s="39" t="e">
        <f>#REF!*food_decay * (1 + tech_2_1*#REF! + tech_2_8*#REF!)</f>
        <v>#REF!</v>
      </c>
      <c r="AP71" s="39" t="e">
        <f>(1+race_food_consumption)*#REF!*food_per_person*(1+tech_1_10*#REF!+tech_7_5*#REF!)</f>
        <v>#REF!</v>
      </c>
      <c r="AQ71" s="39" t="e">
        <f>#REF!*lumber_rot * (1 + tech_2_1*#REF! + tech_2_8*#REF! + tech_5_2*#REF!)</f>
        <v>#REF!</v>
      </c>
      <c r="AR71" s="39" t="e">
        <f>#REF!*mana_drain * (1 + tech_2_1*#REF! + tech_2_8*#REF!)</f>
        <v>#REF!</v>
      </c>
      <c r="AS71" s="133"/>
      <c r="AT71" s="39" t="e">
        <f>#REF!+#REF!+#REF!+#REF!+#REF!-#REF!</f>
        <v>#REF!</v>
      </c>
      <c r="AU71" s="39" t="e">
        <f>#REF!+#REF!-#REF! + Military!$CL$25*#REF!</f>
        <v>#REF!</v>
      </c>
      <c r="AV71" s="39" t="e">
        <f>#REF! + Military!$CL$26*#REF!</f>
        <v>#REF!</v>
      </c>
      <c r="AW71" s="39" t="e">
        <f>Military!$CL$24*#REF!+#REF!-#REF!</f>
        <v>#REF!</v>
      </c>
      <c r="AX71" s="39" t="e">
        <f>#REF!-#REF!</f>
        <v>#REF!</v>
      </c>
      <c r="AY71" s="134"/>
      <c r="AZ71" s="61" t="e">
        <f ca="1">IF(#REF!&lt;&gt;"",#REF!,OFFSET(#REF!,-1,0))</f>
        <v>#REF!</v>
      </c>
      <c r="BA71" s="144"/>
      <c r="BB71" s="3" t="e">
        <f>#REF!</f>
        <v>#REF!</v>
      </c>
      <c r="BC71" s="146" t="e">
        <f>-#REF! / 2 + -#REF! * 2 + -#REF! / 2</f>
        <v>#REF!</v>
      </c>
      <c r="BD71" s="146"/>
      <c r="BE71" s="146"/>
      <c r="BF71" s="146"/>
      <c r="BG71" s="147" t="e">
        <f>#REF!</f>
        <v>#REF!</v>
      </c>
      <c r="BH71" s="3" t="e">
        <f>IF(AND(#REF!=0,#REF!=0,#REF!=0,#REF!=0),"",IF(#REF!&gt;0,IF((#REF!+#REF!)/2+#REF!*2+ROUNDUP(#REF!/(1 + tech_2_2*Techs!Y71),0)=0,"Ok","Nope"),IF(#REF!&gt;0,IF((#REF!+#REF!)/2+#REF!*2+ROUNDUP(#REF!/(1 + tech_2_2*Techs!Y71),0)=0,"Ok","Nope"),IF(#REF!&gt;0,IF((#REF!+#REF!)/2+#REF!*2+ROUNDUP(#REF!/(1 + tech_2_2*Techs!Y71),0)=0,"Ok","Nope")))))</f>
        <v>#REF!</v>
      </c>
      <c r="BI71" s="39" t="e">
        <f>#REF!</f>
        <v>#REF!</v>
      </c>
      <c r="BJ71" s="39" t="e">
        <f>#REF!</f>
        <v>#REF!</v>
      </c>
      <c r="BK71" s="39" t="e">
        <f>#REF!</f>
        <v>#REF!</v>
      </c>
      <c r="BL71" s="39" t="e">
        <f>#REF!</f>
        <v>#REF!</v>
      </c>
      <c r="BM71" s="39" t="e">
        <f>#REF!</f>
        <v>#REF!</v>
      </c>
    </row>
    <row r="72" spans="1:65" x14ac:dyDescent="0.25">
      <c r="A72" s="130">
        <v>69</v>
      </c>
      <c r="B72" s="143" t="e">
        <f>#REF!</f>
        <v>#REF!</v>
      </c>
      <c r="C72" s="144"/>
      <c r="D72" s="133"/>
      <c r="E72" s="39" t="e">
        <f>#REF!</f>
        <v>#REF!</v>
      </c>
      <c r="F72" s="39" t="e">
        <f>#REF!</f>
        <v>#REF!</v>
      </c>
      <c r="G72" s="39" t="e">
        <f>#REF!</f>
        <v>#REF!</v>
      </c>
      <c r="H72" s="39" t="e">
        <f ca="1">OFFSET(#REF!,-1,0)+OFFSET(#REF!,-1,0) -#REF! + IF(#REF!,#REF!*4) + SUM(#REF!)*#REF!*tech_3_3_2*#REF!</f>
        <v>#REF!</v>
      </c>
      <c r="I72" s="39" t="e">
        <f ca="1">OFFSET(#REF!,-1,0)+OFFSET(#REF!,-1,0)+ROUNDUP((#REF!*80+#REF!*35)*(1+OFFSET(#REF!,-1,0)),0)</f>
        <v>#REF!</v>
      </c>
      <c r="J72" s="39" t="e">
        <f ca="1">OFFSET(#REF!,-1,0)+OFFSET(#REF!,-1,0) -#REF! + SUM(#REF!)*#REF!*tech_3_3_2*#REF!</f>
        <v>#REF!</v>
      </c>
      <c r="K72" s="39" t="e">
        <f ca="1">OFFSET(#REF!,-1,0)+OFFSET(#REF!,-1,0) -#REF!</f>
        <v>#REF!</v>
      </c>
      <c r="L72" s="39" t="e">
        <f ca="1">OFFSET(#REF!,-1,0)+OFFSET(#REF!,-1,0) -#REF!</f>
        <v>#REF!</v>
      </c>
      <c r="M72" s="39" t="e">
        <f ca="1">OFFSET(#REF!,-1,0)+OFFSET(#REF!,-1,0) -#REF!</f>
        <v>#REF!</v>
      </c>
      <c r="N72" s="39" t="e">
        <f ca="1">OFFSET(#REF!,-1,0)+OFFSET(#REF!,-1,0)</f>
        <v>#REF!</v>
      </c>
      <c r="O72" s="39" t="e">
        <f ca="1">OFFSET(#REF!,-1,0)</f>
        <v>#REF!</v>
      </c>
      <c r="P72" s="39" t="e">
        <f ca="1">ROUNDDOWN(OFFSET(#REF!,-1,0)+(1+research_bonus)*(MIN(#REF!,#REF!*school_max)*(1 - MIN((#REF!/(#REF!-#REF!)),school_max)))-#REF!*#REF!,0) + IF(#REF!&lt;&gt;"",350,0)</f>
        <v>#REF!</v>
      </c>
      <c r="Q72" s="39" t="e">
        <f ca="1">MAX(3750,_xlfn.CEILING.MATH(#REF!*2.5+OFFSET(#REF!,-1,0)*150))</f>
        <v>#REF!</v>
      </c>
      <c r="R72" s="134"/>
      <c r="S72" s="39" t="e">
        <f>ROUNDDOWN(#REF!*(1+#REF!),0)</f>
        <v>#REF!</v>
      </c>
      <c r="T72" s="39" t="e">
        <f>ROUND(#REF!*(1+#REF!)-#REF!-#REF!,0)</f>
        <v>#REF!</v>
      </c>
      <c r="U72" s="39" t="e">
        <f>ROUND(#REF!*(1+#REF!)-#REF!,0)</f>
        <v>#REF!</v>
      </c>
      <c r="V72" s="39" t="e">
        <f>ROUND(#REF!*(1+#REF!)-#REF!,0)</f>
        <v>#REF!</v>
      </c>
      <c r="W72" s="39" t="e">
        <f>ROUNDDOWN(#REF!*(1+#REF!),0)</f>
        <v>#REF!</v>
      </c>
      <c r="X72" s="39" t="e">
        <f>ROUNDDOWN(#REF!*(1+#REF!),0)</f>
        <v>#REF!</v>
      </c>
      <c r="Y72" s="145" t="e">
        <f ca="1">OFFSET(#REF!,1,0)*dock_boats_hr * (1 + tech_4_1*#REF!)</f>
        <v>#REF!</v>
      </c>
      <c r="Z72" s="133"/>
      <c r="AA72" s="39" t="e">
        <f ca="1">#REF!*tax*#REF! + (Construction!AZ73+Construction!BX73)*(alch_plat+(Magic!AM72&gt;0)*alchemist_flame_bonus)</f>
        <v>#REF!</v>
      </c>
      <c r="AB72" s="39" t="e">
        <f>#REF!*farm_food +#REF!* dock_food</f>
        <v>#REF!</v>
      </c>
      <c r="AC72" s="39" t="e">
        <f>#REF!*ly_lumber +#REF!* fh_lumber</f>
        <v>#REF!</v>
      </c>
      <c r="AD72" s="39" t="e">
        <f ca="1">OFFSET(#REF!,1,0)*(tower_mana + tech_4_5*#REF!) + OFFSET(#REF!,1,0)*wg_mana_prod</f>
        <v>#REF!</v>
      </c>
      <c r="AE72" s="39" t="e">
        <f ca="1">OFFSET(#REF!,1,0)*om_ore+IF(race="Dwarf",ROUNDDOWN(#REF!*0.4,0),)</f>
        <v>#REF!</v>
      </c>
      <c r="AF72" s="39" t="e">
        <f ca="1">OFFSET(#REF!,1,0)*dm_gems</f>
        <v>#REF!</v>
      </c>
      <c r="AG72" s="134"/>
      <c r="AH72" s="135" t="e">
        <f>MIN(race_platinum_bonus + IF(#REF!&gt;0,alch_frost_bonus,IF(Magic!AD72&gt;0,midas_bonus)) +#REF! -#REF!*( 0.02 + tech_5_7*#REF!) + tech_1_5*#REF! + tech_4_4*#REF!, 0.5)</f>
        <v>#REF!</v>
      </c>
      <c r="AI72" s="132" t="e">
        <f>(1 + race_food_bonus + IF(#REF!&gt;0,gaias_blessing_food,IF(#REF!&gt;0,gaias_watch_bonus)) +#REF! + tech_1_1*#REF! + tech_1_4*#REF! + tech_5_1*#REF! +#REF!/ 100*prestige_food_bonus*(1 + tech_8_1*#REF!)) - 1</f>
        <v>#REF!</v>
      </c>
      <c r="AJ72" s="135" t="e">
        <f>race_lumber_bonus+ IF(#REF!&gt;0,gaias_blessing_lumber)+ tech_1_3*#REF! + tech_1_6*#REF! + tech_3_3*#REF!</f>
        <v>#REF!</v>
      </c>
      <c r="AK72" s="135" t="e">
        <f>race_mana_bonus+ 0 +#REF! + tech_1_2*#REF! + tech_3_4*#REF!</f>
        <v>#REF!</v>
      </c>
      <c r="AL72" s="135" t="e">
        <f>race_ore_bonus + IF(#REF!&gt;0,miners_sight_bonus,IF(#REF!&gt;0,mining_strength_bonus)) +  tech_1_6*#REF!</f>
        <v>#REF!</v>
      </c>
      <c r="AM72" s="135" t="e">
        <f>race_gem_bonus+ tech_3_2*#REF! + tech_4_3*#REF! + tech_6_2*#REF!</f>
        <v>#REF!</v>
      </c>
      <c r="AN72" s="134"/>
      <c r="AO72" s="39" t="e">
        <f>#REF!*food_decay * (1 + tech_2_1*#REF! + tech_2_8*#REF!)</f>
        <v>#REF!</v>
      </c>
      <c r="AP72" s="39" t="e">
        <f>(1+race_food_consumption)*#REF!*food_per_person*(1+tech_1_10*#REF!+tech_7_5*#REF!)</f>
        <v>#REF!</v>
      </c>
      <c r="AQ72" s="39" t="e">
        <f>#REF!*lumber_rot * (1 + tech_2_1*#REF! + tech_2_8*#REF! + tech_5_2*#REF!)</f>
        <v>#REF!</v>
      </c>
      <c r="AR72" s="39" t="e">
        <f>#REF!*mana_drain * (1 + tech_2_1*#REF! + tech_2_8*#REF!)</f>
        <v>#REF!</v>
      </c>
      <c r="AS72" s="133"/>
      <c r="AT72" s="39" t="e">
        <f>#REF!+#REF!+#REF!+#REF!+#REF!-#REF!</f>
        <v>#REF!</v>
      </c>
      <c r="AU72" s="39" t="e">
        <f>#REF!+#REF!-#REF! + Military!$CL$25*#REF!</f>
        <v>#REF!</v>
      </c>
      <c r="AV72" s="39" t="e">
        <f>#REF! + Military!$CL$26*#REF!</f>
        <v>#REF!</v>
      </c>
      <c r="AW72" s="39" t="e">
        <f>Military!$CL$24*#REF!+#REF!-#REF!</f>
        <v>#REF!</v>
      </c>
      <c r="AX72" s="39" t="e">
        <f>#REF!-#REF!</f>
        <v>#REF!</v>
      </c>
      <c r="AY72" s="134"/>
      <c r="AZ72" s="61" t="e">
        <f ca="1">IF(#REF!&lt;&gt;"",#REF!,OFFSET(#REF!,-1,0))</f>
        <v>#REF!</v>
      </c>
      <c r="BA72" s="144"/>
      <c r="BB72" s="3" t="e">
        <f>#REF!</f>
        <v>#REF!</v>
      </c>
      <c r="BC72" s="146" t="e">
        <f>-#REF! / 2 + -#REF! * 2 + -#REF! / 2</f>
        <v>#REF!</v>
      </c>
      <c r="BD72" s="146"/>
      <c r="BE72" s="146"/>
      <c r="BF72" s="146"/>
      <c r="BG72" s="147" t="e">
        <f>#REF!</f>
        <v>#REF!</v>
      </c>
      <c r="BH72" s="3" t="e">
        <f>IF(AND(#REF!=0,#REF!=0,#REF!=0,#REF!=0),"",IF(#REF!&gt;0,IF((#REF!+#REF!)/2+#REF!*2+ROUNDUP(#REF!/(1 + tech_2_2*Techs!Y72),0)=0,"Ok","Nope"),IF(#REF!&gt;0,IF((#REF!+#REF!)/2+#REF!*2+ROUNDUP(#REF!/(1 + tech_2_2*Techs!Y72),0)=0,"Ok","Nope"),IF(#REF!&gt;0,IF((#REF!+#REF!)/2+#REF!*2+ROUNDUP(#REF!/(1 + tech_2_2*Techs!Y72),0)=0,"Ok","Nope")))))</f>
        <v>#REF!</v>
      </c>
      <c r="BI72" s="39" t="e">
        <f>#REF!</f>
        <v>#REF!</v>
      </c>
      <c r="BJ72" s="39" t="e">
        <f>#REF!</f>
        <v>#REF!</v>
      </c>
      <c r="BK72" s="39" t="e">
        <f>#REF!</f>
        <v>#REF!</v>
      </c>
      <c r="BL72" s="39" t="e">
        <f>#REF!</f>
        <v>#REF!</v>
      </c>
      <c r="BM72" s="39" t="e">
        <f>#REF!</f>
        <v>#REF!</v>
      </c>
    </row>
    <row r="73" spans="1:65" x14ac:dyDescent="0.25">
      <c r="A73" s="130">
        <v>70</v>
      </c>
      <c r="B73" s="143" t="e">
        <f>#REF!</f>
        <v>#REF!</v>
      </c>
      <c r="C73" s="144"/>
      <c r="D73" s="133"/>
      <c r="E73" s="39" t="e">
        <f>#REF!</f>
        <v>#REF!</v>
      </c>
      <c r="F73" s="39" t="e">
        <f>#REF!</f>
        <v>#REF!</v>
      </c>
      <c r="G73" s="39" t="e">
        <f>#REF!</f>
        <v>#REF!</v>
      </c>
      <c r="H73" s="39" t="e">
        <f ca="1">OFFSET(#REF!,-1,0)+OFFSET(#REF!,-1,0) -#REF! + IF(#REF!,#REF!*4) + SUM(#REF!)*#REF!*tech_3_3_2*#REF!</f>
        <v>#REF!</v>
      </c>
      <c r="I73" s="39" t="e">
        <f ca="1">OFFSET(#REF!,-1,0)+OFFSET(#REF!,-1,0)+ROUNDUP((#REF!*80+#REF!*35)*(1+OFFSET(#REF!,-1,0)),0)</f>
        <v>#REF!</v>
      </c>
      <c r="J73" s="39" t="e">
        <f ca="1">OFFSET(#REF!,-1,0)+OFFSET(#REF!,-1,0) -#REF! + SUM(#REF!)*#REF!*tech_3_3_2*#REF!</f>
        <v>#REF!</v>
      </c>
      <c r="K73" s="39" t="e">
        <f ca="1">OFFSET(#REF!,-1,0)+OFFSET(#REF!,-1,0) -#REF!</f>
        <v>#REF!</v>
      </c>
      <c r="L73" s="39" t="e">
        <f ca="1">OFFSET(#REF!,-1,0)+OFFSET(#REF!,-1,0) -#REF!</f>
        <v>#REF!</v>
      </c>
      <c r="M73" s="39" t="e">
        <f ca="1">OFFSET(#REF!,-1,0)+OFFSET(#REF!,-1,0) -#REF!</f>
        <v>#REF!</v>
      </c>
      <c r="N73" s="39" t="e">
        <f ca="1">OFFSET(#REF!,-1,0)+OFFSET(#REF!,-1,0)</f>
        <v>#REF!</v>
      </c>
      <c r="O73" s="39" t="e">
        <f ca="1">OFFSET(#REF!,-1,0)</f>
        <v>#REF!</v>
      </c>
      <c r="P73" s="39" t="e">
        <f ca="1">ROUNDDOWN(OFFSET(#REF!,-1,0)+(1+research_bonus)*(MIN(#REF!,#REF!*school_max)*(1 - MIN((#REF!/(#REF!-#REF!)),school_max)))-#REF!*#REF!,0) + IF(#REF!&lt;&gt;"",350,0)</f>
        <v>#REF!</v>
      </c>
      <c r="Q73" s="39" t="e">
        <f ca="1">MAX(3750,_xlfn.CEILING.MATH(#REF!*2.5+OFFSET(#REF!,-1,0)*150))</f>
        <v>#REF!</v>
      </c>
      <c r="R73" s="134"/>
      <c r="S73" s="39" t="e">
        <f>ROUNDDOWN(#REF!*(1+#REF!),0)</f>
        <v>#REF!</v>
      </c>
      <c r="T73" s="39" t="e">
        <f>ROUND(#REF!*(1+#REF!)-#REF!-#REF!,0)</f>
        <v>#REF!</v>
      </c>
      <c r="U73" s="39" t="e">
        <f>ROUND(#REF!*(1+#REF!)-#REF!,0)</f>
        <v>#REF!</v>
      </c>
      <c r="V73" s="39" t="e">
        <f>ROUND(#REF!*(1+#REF!)-#REF!,0)</f>
        <v>#REF!</v>
      </c>
      <c r="W73" s="39" t="e">
        <f>ROUNDDOWN(#REF!*(1+#REF!),0)</f>
        <v>#REF!</v>
      </c>
      <c r="X73" s="39" t="e">
        <f>ROUNDDOWN(#REF!*(1+#REF!),0)</f>
        <v>#REF!</v>
      </c>
      <c r="Y73" s="145" t="e">
        <f ca="1">OFFSET(#REF!,1,0)*dock_boats_hr * (1 + tech_4_1*#REF!)</f>
        <v>#REF!</v>
      </c>
      <c r="Z73" s="133"/>
      <c r="AA73" s="39" t="e">
        <f ca="1">#REF!*tax*#REF! + (Construction!AZ74+Construction!BX74)*(alch_plat+(Magic!AM73&gt;0)*alchemist_flame_bonus)</f>
        <v>#REF!</v>
      </c>
      <c r="AB73" s="39" t="e">
        <f>#REF!*farm_food +#REF!* dock_food</f>
        <v>#REF!</v>
      </c>
      <c r="AC73" s="39" t="e">
        <f>#REF!*ly_lumber +#REF!* fh_lumber</f>
        <v>#REF!</v>
      </c>
      <c r="AD73" s="39" t="e">
        <f ca="1">OFFSET(#REF!,1,0)*(tower_mana + tech_4_5*#REF!) + OFFSET(#REF!,1,0)*wg_mana_prod</f>
        <v>#REF!</v>
      </c>
      <c r="AE73" s="39" t="e">
        <f ca="1">OFFSET(#REF!,1,0)*om_ore+IF(race="Dwarf",ROUNDDOWN(#REF!*0.4,0),)</f>
        <v>#REF!</v>
      </c>
      <c r="AF73" s="39" t="e">
        <f ca="1">OFFSET(#REF!,1,0)*dm_gems</f>
        <v>#REF!</v>
      </c>
      <c r="AG73" s="134"/>
      <c r="AH73" s="135" t="e">
        <f>MIN(race_platinum_bonus + IF(#REF!&gt;0,alch_frost_bonus,IF(Magic!AD73&gt;0,midas_bonus)) +#REF! -#REF!*( 0.02 + tech_5_7*#REF!) + tech_1_5*#REF! + tech_4_4*#REF!, 0.5)</f>
        <v>#REF!</v>
      </c>
      <c r="AI73" s="132" t="e">
        <f>(1 + race_food_bonus + IF(#REF!&gt;0,gaias_blessing_food,IF(#REF!&gt;0,gaias_watch_bonus)) +#REF! + tech_1_1*#REF! + tech_1_4*#REF! + tech_5_1*#REF! +#REF!/ 100*prestige_food_bonus*(1 + tech_8_1*#REF!)) - 1</f>
        <v>#REF!</v>
      </c>
      <c r="AJ73" s="135" t="e">
        <f>race_lumber_bonus+ IF(#REF!&gt;0,gaias_blessing_lumber)+ tech_1_3*#REF! + tech_1_6*#REF! + tech_3_3*#REF!</f>
        <v>#REF!</v>
      </c>
      <c r="AK73" s="135" t="e">
        <f>race_mana_bonus+ 0 +#REF! + tech_1_2*#REF! + tech_3_4*#REF!</f>
        <v>#REF!</v>
      </c>
      <c r="AL73" s="135" t="e">
        <f>race_ore_bonus + IF(#REF!&gt;0,miners_sight_bonus,IF(#REF!&gt;0,mining_strength_bonus)) +  tech_1_6*#REF!</f>
        <v>#REF!</v>
      </c>
      <c r="AM73" s="135" t="e">
        <f>race_gem_bonus+ tech_3_2*#REF! + tech_4_3*#REF! + tech_6_2*#REF!</f>
        <v>#REF!</v>
      </c>
      <c r="AN73" s="134"/>
      <c r="AO73" s="39" t="e">
        <f>#REF!*food_decay * (1 + tech_2_1*#REF! + tech_2_8*#REF!)</f>
        <v>#REF!</v>
      </c>
      <c r="AP73" s="39" t="e">
        <f>(1+race_food_consumption)*#REF!*food_per_person*(1+tech_1_10*#REF!+tech_7_5*#REF!)</f>
        <v>#REF!</v>
      </c>
      <c r="AQ73" s="39" t="e">
        <f>#REF!*lumber_rot * (1 + tech_2_1*#REF! + tech_2_8*#REF! + tech_5_2*#REF!)</f>
        <v>#REF!</v>
      </c>
      <c r="AR73" s="39" t="e">
        <f>#REF!*mana_drain * (1 + tech_2_1*#REF! + tech_2_8*#REF!)</f>
        <v>#REF!</v>
      </c>
      <c r="AS73" s="133"/>
      <c r="AT73" s="39" t="e">
        <f>#REF!+#REF!+#REF!+#REF!+#REF!-#REF!</f>
        <v>#REF!</v>
      </c>
      <c r="AU73" s="39" t="e">
        <f>#REF!+#REF!-#REF! + Military!$CL$25*#REF!</f>
        <v>#REF!</v>
      </c>
      <c r="AV73" s="39" t="e">
        <f>#REF! + Military!$CL$26*#REF!</f>
        <v>#REF!</v>
      </c>
      <c r="AW73" s="39" t="e">
        <f>Military!$CL$24*#REF!+#REF!-#REF!</f>
        <v>#REF!</v>
      </c>
      <c r="AX73" s="39" t="e">
        <f>#REF!-#REF!</f>
        <v>#REF!</v>
      </c>
      <c r="AY73" s="134"/>
      <c r="AZ73" s="61" t="e">
        <f ca="1">IF(#REF!&lt;&gt;"",#REF!,OFFSET(#REF!,-1,0))</f>
        <v>#REF!</v>
      </c>
      <c r="BA73" s="144"/>
      <c r="BB73" s="3" t="e">
        <f>#REF!</f>
        <v>#REF!</v>
      </c>
      <c r="BC73" s="146" t="e">
        <f>-#REF! / 2 + -#REF! * 2 + -#REF! / 2</f>
        <v>#REF!</v>
      </c>
      <c r="BD73" s="146"/>
      <c r="BE73" s="146"/>
      <c r="BF73" s="146"/>
      <c r="BG73" s="147" t="e">
        <f>#REF!</f>
        <v>#REF!</v>
      </c>
      <c r="BH73" s="3" t="e">
        <f>IF(AND(#REF!=0,#REF!=0,#REF!=0,#REF!=0),"",IF(#REF!&gt;0,IF((#REF!+#REF!)/2+#REF!*2+ROUNDUP(#REF!/(1 + tech_2_2*Techs!Y73),0)=0,"Ok","Nope"),IF(#REF!&gt;0,IF((#REF!+#REF!)/2+#REF!*2+ROUNDUP(#REF!/(1 + tech_2_2*Techs!Y73),0)=0,"Ok","Nope"),IF(#REF!&gt;0,IF((#REF!+#REF!)/2+#REF!*2+ROUNDUP(#REF!/(1 + tech_2_2*Techs!Y73),0)=0,"Ok","Nope")))))</f>
        <v>#REF!</v>
      </c>
      <c r="BI73" s="39" t="e">
        <f>#REF!</f>
        <v>#REF!</v>
      </c>
      <c r="BJ73" s="39" t="e">
        <f>#REF!</f>
        <v>#REF!</v>
      </c>
      <c r="BK73" s="39" t="e">
        <f>#REF!</f>
        <v>#REF!</v>
      </c>
      <c r="BL73" s="39" t="e">
        <f>#REF!</f>
        <v>#REF!</v>
      </c>
      <c r="BM73" s="39" t="e">
        <f>#REF!</f>
        <v>#REF!</v>
      </c>
    </row>
    <row r="74" spans="1:65" x14ac:dyDescent="0.25">
      <c r="A74" s="130">
        <v>71</v>
      </c>
      <c r="B74" s="143" t="e">
        <f>#REF!</f>
        <v>#REF!</v>
      </c>
      <c r="C74" s="144"/>
      <c r="D74" s="133"/>
      <c r="E74" s="39" t="e">
        <f>#REF!</f>
        <v>#REF!</v>
      </c>
      <c r="F74" s="39" t="e">
        <f>#REF!</f>
        <v>#REF!</v>
      </c>
      <c r="G74" s="39" t="e">
        <f>#REF!</f>
        <v>#REF!</v>
      </c>
      <c r="H74" s="39" t="e">
        <f ca="1">OFFSET(#REF!,-1,0)+OFFSET(#REF!,-1,0) -#REF! + IF(#REF!,#REF!*4) + SUM(#REF!)*#REF!*tech_3_3_2*#REF!</f>
        <v>#REF!</v>
      </c>
      <c r="I74" s="39" t="e">
        <f ca="1">OFFSET(#REF!,-1,0)+OFFSET(#REF!,-1,0)+ROUNDUP((#REF!*80+#REF!*35)*(1+OFFSET(#REF!,-1,0)),0)</f>
        <v>#REF!</v>
      </c>
      <c r="J74" s="39" t="e">
        <f ca="1">OFFSET(#REF!,-1,0)+OFFSET(#REF!,-1,0) -#REF! + SUM(#REF!)*#REF!*tech_3_3_2*#REF!</f>
        <v>#REF!</v>
      </c>
      <c r="K74" s="39" t="e">
        <f ca="1">OFFSET(#REF!,-1,0)+OFFSET(#REF!,-1,0) -#REF!</f>
        <v>#REF!</v>
      </c>
      <c r="L74" s="39" t="e">
        <f ca="1">OFFSET(#REF!,-1,0)+OFFSET(#REF!,-1,0) -#REF!</f>
        <v>#REF!</v>
      </c>
      <c r="M74" s="39" t="e">
        <f ca="1">OFFSET(#REF!,-1,0)+OFFSET(#REF!,-1,0) -#REF!</f>
        <v>#REF!</v>
      </c>
      <c r="N74" s="39" t="e">
        <f ca="1">OFFSET(#REF!,-1,0)+OFFSET(#REF!,-1,0)</f>
        <v>#REF!</v>
      </c>
      <c r="O74" s="39" t="e">
        <f ca="1">OFFSET(#REF!,-1,0)</f>
        <v>#REF!</v>
      </c>
      <c r="P74" s="39" t="e">
        <f ca="1">ROUNDDOWN(OFFSET(#REF!,-1,0)+(1+research_bonus)*(MIN(#REF!,#REF!*school_max)*(1 - MIN((#REF!/(#REF!-#REF!)),school_max)))-#REF!*#REF!,0) + IF(#REF!&lt;&gt;"",350,0)</f>
        <v>#REF!</v>
      </c>
      <c r="Q74" s="39" t="e">
        <f ca="1">MAX(3750,_xlfn.CEILING.MATH(#REF!*2.5+OFFSET(#REF!,-1,0)*150))</f>
        <v>#REF!</v>
      </c>
      <c r="R74" s="134"/>
      <c r="S74" s="39" t="e">
        <f>ROUNDDOWN(#REF!*(1+#REF!),0)</f>
        <v>#REF!</v>
      </c>
      <c r="T74" s="39" t="e">
        <f>ROUND(#REF!*(1+#REF!)-#REF!-#REF!,0)</f>
        <v>#REF!</v>
      </c>
      <c r="U74" s="39" t="e">
        <f>ROUND(#REF!*(1+#REF!)-#REF!,0)</f>
        <v>#REF!</v>
      </c>
      <c r="V74" s="39" t="e">
        <f>ROUND(#REF!*(1+#REF!)-#REF!,0)</f>
        <v>#REF!</v>
      </c>
      <c r="W74" s="39" t="e">
        <f>ROUNDDOWN(#REF!*(1+#REF!),0)</f>
        <v>#REF!</v>
      </c>
      <c r="X74" s="39" t="e">
        <f>ROUNDDOWN(#REF!*(1+#REF!),0)</f>
        <v>#REF!</v>
      </c>
      <c r="Y74" s="145" t="e">
        <f ca="1">OFFSET(#REF!,1,0)*dock_boats_hr * (1 + tech_4_1*#REF!)</f>
        <v>#REF!</v>
      </c>
      <c r="Z74" s="133"/>
      <c r="AA74" s="39" t="e">
        <f ca="1">#REF!*tax*#REF! + (Construction!AZ75+Construction!BX75)*(alch_plat+(Magic!AM74&gt;0)*alchemist_flame_bonus)</f>
        <v>#REF!</v>
      </c>
      <c r="AB74" s="39" t="e">
        <f>#REF!*farm_food +#REF!* dock_food</f>
        <v>#REF!</v>
      </c>
      <c r="AC74" s="39" t="e">
        <f>#REF!*ly_lumber +#REF!* fh_lumber</f>
        <v>#REF!</v>
      </c>
      <c r="AD74" s="39" t="e">
        <f ca="1">OFFSET(#REF!,1,0)*(tower_mana + tech_4_5*#REF!) + OFFSET(#REF!,1,0)*wg_mana_prod</f>
        <v>#REF!</v>
      </c>
      <c r="AE74" s="39" t="e">
        <f ca="1">OFFSET(#REF!,1,0)*om_ore+IF(race="Dwarf",ROUNDDOWN(#REF!*0.4,0),)</f>
        <v>#REF!</v>
      </c>
      <c r="AF74" s="39" t="e">
        <f ca="1">OFFSET(#REF!,1,0)*dm_gems</f>
        <v>#REF!</v>
      </c>
      <c r="AG74" s="134"/>
      <c r="AH74" s="135" t="e">
        <f>MIN(race_platinum_bonus + IF(#REF!&gt;0,alch_frost_bonus,IF(Magic!AD74&gt;0,midas_bonus)) +#REF! -#REF!*( 0.02 + tech_5_7*#REF!) + tech_1_5*#REF! + tech_4_4*#REF!, 0.5)</f>
        <v>#REF!</v>
      </c>
      <c r="AI74" s="132" t="e">
        <f>(1 + race_food_bonus + IF(#REF!&gt;0,gaias_blessing_food,IF(#REF!&gt;0,gaias_watch_bonus)) +#REF! + tech_1_1*#REF! + tech_1_4*#REF! + tech_5_1*#REF! +#REF!/ 100*prestige_food_bonus*(1 + tech_8_1*#REF!)) - 1</f>
        <v>#REF!</v>
      </c>
      <c r="AJ74" s="135" t="e">
        <f>race_lumber_bonus+ IF(#REF!&gt;0,gaias_blessing_lumber)+ tech_1_3*#REF! + tech_1_6*#REF! + tech_3_3*#REF!</f>
        <v>#REF!</v>
      </c>
      <c r="AK74" s="135" t="e">
        <f>race_mana_bonus+ 0 +#REF! + tech_1_2*#REF! + tech_3_4*#REF!</f>
        <v>#REF!</v>
      </c>
      <c r="AL74" s="135" t="e">
        <f>race_ore_bonus + IF(#REF!&gt;0,miners_sight_bonus,IF(#REF!&gt;0,mining_strength_bonus)) +  tech_1_6*#REF!</f>
        <v>#REF!</v>
      </c>
      <c r="AM74" s="135" t="e">
        <f>race_gem_bonus+ tech_3_2*#REF! + tech_4_3*#REF! + tech_6_2*#REF!</f>
        <v>#REF!</v>
      </c>
      <c r="AN74" s="134"/>
      <c r="AO74" s="39" t="e">
        <f>#REF!*food_decay * (1 + tech_2_1*#REF! + tech_2_8*#REF!)</f>
        <v>#REF!</v>
      </c>
      <c r="AP74" s="39" t="e">
        <f>(1+race_food_consumption)*#REF!*food_per_person*(1+tech_1_10*#REF!+tech_7_5*#REF!)</f>
        <v>#REF!</v>
      </c>
      <c r="AQ74" s="39" t="e">
        <f>#REF!*lumber_rot * (1 + tech_2_1*#REF! + tech_2_8*#REF! + tech_5_2*#REF!)</f>
        <v>#REF!</v>
      </c>
      <c r="AR74" s="39" t="e">
        <f>#REF!*mana_drain * (1 + tech_2_1*#REF! + tech_2_8*#REF!)</f>
        <v>#REF!</v>
      </c>
      <c r="AS74" s="133"/>
      <c r="AT74" s="39" t="e">
        <f>#REF!+#REF!+#REF!+#REF!+#REF!-#REF!</f>
        <v>#REF!</v>
      </c>
      <c r="AU74" s="39" t="e">
        <f>#REF!+#REF!-#REF! + Military!$CL$25*#REF!</f>
        <v>#REF!</v>
      </c>
      <c r="AV74" s="39" t="e">
        <f>#REF! + Military!$CL$26*#REF!</f>
        <v>#REF!</v>
      </c>
      <c r="AW74" s="39" t="e">
        <f>Military!$CL$24*#REF!+#REF!-#REF!</f>
        <v>#REF!</v>
      </c>
      <c r="AX74" s="39" t="e">
        <f>#REF!-#REF!</f>
        <v>#REF!</v>
      </c>
      <c r="AY74" s="134"/>
      <c r="AZ74" s="61" t="e">
        <f ca="1">IF(#REF!&lt;&gt;"",#REF!,OFFSET(#REF!,-1,0))</f>
        <v>#REF!</v>
      </c>
      <c r="BA74" s="144"/>
      <c r="BB74" s="3" t="e">
        <f>#REF!</f>
        <v>#REF!</v>
      </c>
      <c r="BC74" s="146" t="e">
        <f>-#REF! / 2 + -#REF! * 2 + -#REF! / 2</f>
        <v>#REF!</v>
      </c>
      <c r="BD74" s="146"/>
      <c r="BE74" s="146"/>
      <c r="BF74" s="146"/>
      <c r="BG74" s="147" t="e">
        <f>#REF!</f>
        <v>#REF!</v>
      </c>
      <c r="BH74" s="3" t="e">
        <f>IF(AND(#REF!=0,#REF!=0,#REF!=0,#REF!=0),"",IF(#REF!&gt;0,IF((#REF!+#REF!)/2+#REF!*2+ROUNDUP(#REF!/(1 + tech_2_2*Techs!Y74),0)=0,"Ok","Nope"),IF(#REF!&gt;0,IF((#REF!+#REF!)/2+#REF!*2+ROUNDUP(#REF!/(1 + tech_2_2*Techs!Y74),0)=0,"Ok","Nope"),IF(#REF!&gt;0,IF((#REF!+#REF!)/2+#REF!*2+ROUNDUP(#REF!/(1 + tech_2_2*Techs!Y74),0)=0,"Ok","Nope")))))</f>
        <v>#REF!</v>
      </c>
      <c r="BI74" s="39" t="e">
        <f>#REF!</f>
        <v>#REF!</v>
      </c>
      <c r="BJ74" s="39" t="e">
        <f>#REF!</f>
        <v>#REF!</v>
      </c>
      <c r="BK74" s="39" t="e">
        <f>#REF!</f>
        <v>#REF!</v>
      </c>
      <c r="BL74" s="39" t="e">
        <f>#REF!</f>
        <v>#REF!</v>
      </c>
      <c r="BM74" s="39" t="e">
        <f>#REF!</f>
        <v>#REF!</v>
      </c>
    </row>
    <row r="75" spans="1:65" x14ac:dyDescent="0.25">
      <c r="A75" s="130">
        <v>72</v>
      </c>
      <c r="B75" s="143" t="e">
        <f>#REF!</f>
        <v>#REF!</v>
      </c>
      <c r="C75" s="144"/>
      <c r="D75" s="133"/>
      <c r="E75" s="39" t="e">
        <f>#REF!</f>
        <v>#REF!</v>
      </c>
      <c r="F75" s="39" t="e">
        <f>#REF!</f>
        <v>#REF!</v>
      </c>
      <c r="G75" s="39" t="e">
        <f>#REF!</f>
        <v>#REF!</v>
      </c>
      <c r="H75" s="39" t="e">
        <f ca="1">OFFSET(#REF!,-1,0)+OFFSET(#REF!,-1,0) -#REF! + IF(#REF!,#REF!*4) + SUM(#REF!)*#REF!*tech_3_3_2*#REF!</f>
        <v>#REF!</v>
      </c>
      <c r="I75" s="39" t="e">
        <f ca="1">OFFSET(#REF!,-1,0)+OFFSET(#REF!,-1,0)+ROUNDUP((#REF!*80+#REF!*35)*(1+OFFSET(#REF!,-1,0)),0)</f>
        <v>#REF!</v>
      </c>
      <c r="J75" s="39" t="e">
        <f ca="1">OFFSET(#REF!,-1,0)+OFFSET(#REF!,-1,0) -#REF! + SUM(#REF!)*#REF!*tech_3_3_2*#REF!</f>
        <v>#REF!</v>
      </c>
      <c r="K75" s="39" t="e">
        <f ca="1">OFFSET(#REF!,-1,0)+OFFSET(#REF!,-1,0) -#REF!</f>
        <v>#REF!</v>
      </c>
      <c r="L75" s="39" t="e">
        <f ca="1">OFFSET(#REF!,-1,0)+OFFSET(#REF!,-1,0) -#REF!</f>
        <v>#REF!</v>
      </c>
      <c r="M75" s="39" t="e">
        <f ca="1">OFFSET(#REF!,-1,0)+OFFSET(#REF!,-1,0) -#REF!</f>
        <v>#REF!</v>
      </c>
      <c r="N75" s="39" t="e">
        <f ca="1">OFFSET(#REF!,-1,0)+OFFSET(#REF!,-1,0)</f>
        <v>#REF!</v>
      </c>
      <c r="O75" s="39" t="e">
        <f ca="1">OFFSET(#REF!,-1,0)</f>
        <v>#REF!</v>
      </c>
      <c r="P75" s="39" t="e">
        <f ca="1">ROUNDDOWN(OFFSET(#REF!,-1,0)+(1+research_bonus)*(MIN(#REF!,#REF!*school_max)*(1 - MIN((#REF!/(#REF!-#REF!)),school_max)))-#REF!*#REF!,0) + IF(#REF!&lt;&gt;"",350,0)</f>
        <v>#REF!</v>
      </c>
      <c r="Q75" s="39" t="e">
        <f ca="1">MAX(3750,_xlfn.CEILING.MATH(#REF!*2.5+OFFSET(#REF!,-1,0)*150))</f>
        <v>#REF!</v>
      </c>
      <c r="R75" s="134"/>
      <c r="S75" s="39" t="e">
        <f>ROUNDDOWN(#REF!*(1+#REF!),0)</f>
        <v>#REF!</v>
      </c>
      <c r="T75" s="39" t="e">
        <f>ROUND(#REF!*(1+#REF!)-#REF!-#REF!,0)</f>
        <v>#REF!</v>
      </c>
      <c r="U75" s="39" t="e">
        <f>ROUND(#REF!*(1+#REF!)-#REF!,0)</f>
        <v>#REF!</v>
      </c>
      <c r="V75" s="39" t="e">
        <f>ROUND(#REF!*(1+#REF!)-#REF!,0)</f>
        <v>#REF!</v>
      </c>
      <c r="W75" s="39" t="e">
        <f>ROUNDDOWN(#REF!*(1+#REF!),0)</f>
        <v>#REF!</v>
      </c>
      <c r="X75" s="39" t="e">
        <f>ROUNDDOWN(#REF!*(1+#REF!),0)</f>
        <v>#REF!</v>
      </c>
      <c r="Y75" s="145" t="e">
        <f ca="1">OFFSET(#REF!,1,0)*dock_boats_hr * (1 + tech_4_1*#REF!)</f>
        <v>#REF!</v>
      </c>
      <c r="Z75" s="133"/>
      <c r="AA75" s="39" t="e">
        <f ca="1">#REF!*tax*#REF! + (Construction!AZ76+Construction!BX76)*(alch_plat+(Magic!AM75&gt;0)*alchemist_flame_bonus)</f>
        <v>#REF!</v>
      </c>
      <c r="AB75" s="39" t="e">
        <f>#REF!*farm_food +#REF!* dock_food</f>
        <v>#REF!</v>
      </c>
      <c r="AC75" s="39" t="e">
        <f>#REF!*ly_lumber +#REF!* fh_lumber</f>
        <v>#REF!</v>
      </c>
      <c r="AD75" s="39" t="e">
        <f ca="1">OFFSET(#REF!,1,0)*(tower_mana + tech_4_5*#REF!) + OFFSET(#REF!,1,0)*wg_mana_prod</f>
        <v>#REF!</v>
      </c>
      <c r="AE75" s="39" t="e">
        <f ca="1">OFFSET(#REF!,1,0)*om_ore+IF(race="Dwarf",ROUNDDOWN(#REF!*0.4,0),)</f>
        <v>#REF!</v>
      </c>
      <c r="AF75" s="39" t="e">
        <f ca="1">OFFSET(#REF!,1,0)*dm_gems</f>
        <v>#REF!</v>
      </c>
      <c r="AG75" s="134"/>
      <c r="AH75" s="135" t="e">
        <f>MIN(race_platinum_bonus + IF(#REF!&gt;0,alch_frost_bonus,IF(Magic!AD75&gt;0,midas_bonus)) +#REF! -#REF!*( 0.02 + tech_5_7*#REF!) + tech_1_5*#REF! + tech_4_4*#REF!, 0.5)</f>
        <v>#REF!</v>
      </c>
      <c r="AI75" s="132" t="e">
        <f>(1 + race_food_bonus + IF(#REF!&gt;0,gaias_blessing_food,IF(#REF!&gt;0,gaias_watch_bonus)) +#REF! + tech_1_1*#REF! + tech_1_4*#REF! + tech_5_1*#REF! +#REF!/ 100*prestige_food_bonus*(1 + tech_8_1*#REF!)) - 1</f>
        <v>#REF!</v>
      </c>
      <c r="AJ75" s="135" t="e">
        <f>race_lumber_bonus+ IF(#REF!&gt;0,gaias_blessing_lumber)+ tech_1_3*#REF! + tech_1_6*#REF! + tech_3_3*#REF!</f>
        <v>#REF!</v>
      </c>
      <c r="AK75" s="135" t="e">
        <f>race_mana_bonus+ 0 +#REF! + tech_1_2*#REF! + tech_3_4*#REF!</f>
        <v>#REF!</v>
      </c>
      <c r="AL75" s="135" t="e">
        <f>race_ore_bonus + IF(#REF!&gt;0,miners_sight_bonus,IF(#REF!&gt;0,mining_strength_bonus)) +  tech_1_6*#REF!</f>
        <v>#REF!</v>
      </c>
      <c r="AM75" s="135" t="e">
        <f>race_gem_bonus+ tech_3_2*#REF! + tech_4_3*#REF! + tech_6_2*#REF!</f>
        <v>#REF!</v>
      </c>
      <c r="AN75" s="134"/>
      <c r="AO75" s="39" t="e">
        <f>#REF!*food_decay * (1 + tech_2_1*#REF! + tech_2_8*#REF!)</f>
        <v>#REF!</v>
      </c>
      <c r="AP75" s="39" t="e">
        <f>(1+race_food_consumption)*#REF!*food_per_person*(1+tech_1_10*#REF!+tech_7_5*#REF!)</f>
        <v>#REF!</v>
      </c>
      <c r="AQ75" s="39" t="e">
        <f>#REF!*lumber_rot * (1 + tech_2_1*#REF! + tech_2_8*#REF! + tech_5_2*#REF!)</f>
        <v>#REF!</v>
      </c>
      <c r="AR75" s="39" t="e">
        <f>#REF!*mana_drain * (1 + tech_2_1*#REF! + tech_2_8*#REF!)</f>
        <v>#REF!</v>
      </c>
      <c r="AS75" s="133"/>
      <c r="AT75" s="39" t="e">
        <f>#REF!+#REF!+#REF!+#REF!+#REF!-#REF!</f>
        <v>#REF!</v>
      </c>
      <c r="AU75" s="39" t="e">
        <f>#REF!+#REF!-#REF! + Military!$CL$25*#REF!</f>
        <v>#REF!</v>
      </c>
      <c r="AV75" s="39" t="e">
        <f>#REF! + Military!$CL$26*#REF!</f>
        <v>#REF!</v>
      </c>
      <c r="AW75" s="39" t="e">
        <f>Military!$CL$24*#REF!+#REF!-#REF!</f>
        <v>#REF!</v>
      </c>
      <c r="AX75" s="39" t="e">
        <f>#REF!-#REF!</f>
        <v>#REF!</v>
      </c>
      <c r="AY75" s="134"/>
      <c r="AZ75" s="61" t="e">
        <f ca="1">IF(#REF!&lt;&gt;"",#REF!,OFFSET(#REF!,-1,0))</f>
        <v>#REF!</v>
      </c>
      <c r="BA75" s="144"/>
      <c r="BB75" s="3" t="e">
        <f>#REF!</f>
        <v>#REF!</v>
      </c>
      <c r="BC75" s="146" t="e">
        <f>-#REF! / 2 + -#REF! * 2 + -#REF! / 2</f>
        <v>#REF!</v>
      </c>
      <c r="BD75" s="146"/>
      <c r="BE75" s="146"/>
      <c r="BF75" s="146"/>
      <c r="BG75" s="147" t="e">
        <f>#REF!</f>
        <v>#REF!</v>
      </c>
      <c r="BH75" s="3" t="e">
        <f>IF(AND(#REF!=0,#REF!=0,#REF!=0,#REF!=0),"",IF(#REF!&gt;0,IF((#REF!+#REF!)/2+#REF!*2+ROUNDUP(#REF!/(1 + tech_2_2*Techs!Y75),0)=0,"Ok","Nope"),IF(#REF!&gt;0,IF((#REF!+#REF!)/2+#REF!*2+ROUNDUP(#REF!/(1 + tech_2_2*Techs!Y75),0)=0,"Ok","Nope"),IF(#REF!&gt;0,IF((#REF!+#REF!)/2+#REF!*2+ROUNDUP(#REF!/(1 + tech_2_2*Techs!Y75),0)=0,"Ok","Nope")))))</f>
        <v>#REF!</v>
      </c>
      <c r="BI75" s="39" t="e">
        <f>#REF!</f>
        <v>#REF!</v>
      </c>
      <c r="BJ75" s="39" t="e">
        <f>#REF!</f>
        <v>#REF!</v>
      </c>
      <c r="BK75" s="39" t="e">
        <f>#REF!</f>
        <v>#REF!</v>
      </c>
      <c r="BL75" s="39" t="e">
        <f>#REF!</f>
        <v>#REF!</v>
      </c>
      <c r="BM75" s="39" t="e">
        <f>#REF!</f>
        <v>#REF!</v>
      </c>
    </row>
    <row r="76" spans="1:65" s="8" customFormat="1" ht="13" x14ac:dyDescent="0.3">
      <c r="A76" s="136" t="s">
        <v>230</v>
      </c>
      <c r="B76" s="148" t="e">
        <f>#REF!</f>
        <v>#REF!</v>
      </c>
      <c r="C76" s="149"/>
      <c r="D76" s="150"/>
      <c r="E76" s="37" t="e">
        <f>#REF!</f>
        <v>#REF!</v>
      </c>
      <c r="F76" s="37" t="e">
        <f>#REF!</f>
        <v>#REF!</v>
      </c>
      <c r="G76" s="37" t="e">
        <f>#REF!</f>
        <v>#REF!</v>
      </c>
      <c r="H76" s="37" t="e">
        <f ca="1">OFFSET(#REF!,-1,0)+OFFSET(#REF!,-1,0) -#REF! + IF(#REF!,#REF!*4) + SUM(#REF!)*#REF!*tech_3_3_2*#REF!</f>
        <v>#REF!</v>
      </c>
      <c r="I76" s="37" t="e">
        <f ca="1">OFFSET(#REF!,-1,0)+OFFSET(#REF!,-1,0)+ROUNDUP((#REF!*80+#REF!*35)*(1+OFFSET(#REF!,-1,0)),0)</f>
        <v>#REF!</v>
      </c>
      <c r="J76" s="37" t="e">
        <f ca="1">OFFSET(#REF!,-1,0)+OFFSET(#REF!,-1,0) -#REF! + SUM(#REF!)*#REF!*tech_3_3_2*#REF!</f>
        <v>#REF!</v>
      </c>
      <c r="K76" s="37" t="e">
        <f ca="1">OFFSET(#REF!,-1,0)+OFFSET(#REF!,-1,0) -#REF!</f>
        <v>#REF!</v>
      </c>
      <c r="L76" s="37" t="e">
        <f ca="1">OFFSET(#REF!,-1,0)+OFFSET(#REF!,-1,0) -#REF!</f>
        <v>#REF!</v>
      </c>
      <c r="M76" s="37" t="e">
        <f ca="1">OFFSET(#REF!,-1,0)+OFFSET(#REF!,-1,0) -#REF!</f>
        <v>#REF!</v>
      </c>
      <c r="N76" s="37" t="e">
        <f ca="1">OFFSET(#REF!,-1,0)+OFFSET(#REF!,-1,0)</f>
        <v>#REF!</v>
      </c>
      <c r="O76" s="37" t="e">
        <f ca="1">OFFSET(#REF!,-1,0)</f>
        <v>#REF!</v>
      </c>
      <c r="P76" s="39" t="e">
        <f ca="1">ROUNDDOWN(OFFSET(#REF!,-1,0)+(1+research_bonus)*(MIN(#REF!,#REF!*school_max)*(1 - MIN((#REF!/(#REF!-#REF!)),school_max)))-#REF!*#REF!,0) + IF(#REF!&lt;&gt;"",350,0)</f>
        <v>#REF!</v>
      </c>
      <c r="Q76" s="39" t="e">
        <f ca="1">MAX(3750,_xlfn.CEILING.MATH(#REF!*2.5+OFFSET(#REF!,-1,0)*150))</f>
        <v>#REF!</v>
      </c>
      <c r="S76" s="37" t="e">
        <f>ROUNDDOWN(#REF!*(1+#REF!),0)</f>
        <v>#REF!</v>
      </c>
      <c r="T76" s="37" t="e">
        <f>ROUND(#REF!*(1+#REF!)-#REF!-#REF!,0)</f>
        <v>#REF!</v>
      </c>
      <c r="U76" s="37" t="e">
        <f>ROUND(#REF!*(1+#REF!)-#REF!,0)</f>
        <v>#REF!</v>
      </c>
      <c r="V76" s="37" t="e">
        <f>ROUND(#REF!*(1+#REF!)-#REF!,0)</f>
        <v>#REF!</v>
      </c>
      <c r="W76" s="37" t="e">
        <f>ROUNDDOWN(#REF!*(1+#REF!),0)</f>
        <v>#REF!</v>
      </c>
      <c r="X76" s="37" t="e">
        <f>ROUNDDOWN(#REF!*(1+#REF!),0)</f>
        <v>#REF!</v>
      </c>
      <c r="Y76" s="151" t="e">
        <f ca="1">OFFSET(#REF!,1,0)*dock_boats_hr * (1 + tech_4_1*#REF!)</f>
        <v>#REF!</v>
      </c>
      <c r="Z76" s="37"/>
      <c r="AA76" s="37" t="e">
        <f ca="1">#REF!*tax*#REF! + (Construction!AZ77+Construction!BX77)*(alch_plat+(Magic!AM76&gt;0)*alchemist_flame_bonus)</f>
        <v>#REF!</v>
      </c>
      <c r="AB76" s="37" t="e">
        <f>#REF!*farm_food +#REF!* dock_food</f>
        <v>#REF!</v>
      </c>
      <c r="AC76" s="37" t="e">
        <f>#REF!*ly_lumber +#REF!* fh_lumber</f>
        <v>#REF!</v>
      </c>
      <c r="AD76" s="37" t="e">
        <f ca="1">OFFSET(#REF!,1,0)*(tower_mana + tech_4_5*#REF!) + OFFSET(#REF!,1,0)*wg_mana_prod</f>
        <v>#REF!</v>
      </c>
      <c r="AE76" s="37" t="e">
        <f ca="1">OFFSET(#REF!,1,0)*om_ore+IF(race="Dwarf",ROUNDDOWN(#REF!*0.4,0),)</f>
        <v>#REF!</v>
      </c>
      <c r="AF76" s="37" t="e">
        <f ca="1">OFFSET(#REF!,1,0)*dm_gems</f>
        <v>#REF!</v>
      </c>
      <c r="AH76" s="141" t="e">
        <f>MIN(race_platinum_bonus + IF(#REF!&gt;0,alch_frost_bonus,IF(Magic!AD76&gt;0,midas_bonus)) +#REF! -#REF!*( 0.02 + tech_5_7*#REF!) + tech_1_5*#REF! + tech_4_4*#REF!, 0.5)</f>
        <v>#REF!</v>
      </c>
      <c r="AI76" s="138" t="e">
        <f>(1 + race_food_bonus + IF(#REF!&gt;0,gaias_blessing_food,IF(#REF!&gt;0,gaias_watch_bonus)) +#REF! + tech_1_1*#REF! + tech_1_4*#REF! + tech_5_1*#REF! +#REF!/ 100*prestige_food_bonus*(1 + tech_8_1*#REF!)) - 1</f>
        <v>#REF!</v>
      </c>
      <c r="AJ76" s="141" t="e">
        <f>race_lumber_bonus+ IF(#REF!&gt;0,gaias_blessing_lumber)+ tech_1_3*#REF! + tech_1_6*#REF! + tech_3_3*#REF!</f>
        <v>#REF!</v>
      </c>
      <c r="AK76" s="141" t="e">
        <f>race_mana_bonus+ 0 +#REF! + tech_1_2*#REF! + tech_3_4*#REF!</f>
        <v>#REF!</v>
      </c>
      <c r="AL76" s="141" t="e">
        <f>race_ore_bonus + IF(#REF!&gt;0,miners_sight_bonus,IF(#REF!&gt;0,mining_strength_bonus)) +  tech_1_6*#REF!</f>
        <v>#REF!</v>
      </c>
      <c r="AM76" s="141" t="e">
        <f>race_gem_bonus+ tech_3_2*#REF! + tech_4_3*#REF! + tech_6_2*#REF!</f>
        <v>#REF!</v>
      </c>
      <c r="AO76" s="37" t="e">
        <f>#REF!*food_decay * (1 + tech_2_1*#REF! + tech_2_8*#REF!)</f>
        <v>#REF!</v>
      </c>
      <c r="AP76" s="37" t="e">
        <f>(1+race_food_consumption)*#REF!*food_per_person*(1+tech_1_10*#REF!+tech_7_5*#REF!)</f>
        <v>#REF!</v>
      </c>
      <c r="AQ76" s="37" t="e">
        <f>#REF!*lumber_rot * (1 + tech_2_1*#REF! + tech_2_8*#REF! + tech_5_2*#REF!)</f>
        <v>#REF!</v>
      </c>
      <c r="AR76" s="37" t="e">
        <f>#REF!*mana_drain * (1 + tech_2_1*#REF! + tech_2_8*#REF!)</f>
        <v>#REF!</v>
      </c>
      <c r="AS76" s="37"/>
      <c r="AT76" s="37" t="e">
        <f>#REF!+#REF!+#REF!+#REF!+#REF!-#REF!</f>
        <v>#REF!</v>
      </c>
      <c r="AU76" s="37" t="e">
        <f>#REF!+#REF!-#REF! + Military!$CL$25*#REF!</f>
        <v>#REF!</v>
      </c>
      <c r="AV76" s="37" t="e">
        <f>#REF! + Military!$CL$26*#REF!</f>
        <v>#REF!</v>
      </c>
      <c r="AW76" s="37" t="e">
        <f>Military!$CL$24*#REF!+#REF!-#REF!</f>
        <v>#REF!</v>
      </c>
      <c r="AX76" s="37" t="e">
        <f>#REF!-#REF!</f>
        <v>#REF!</v>
      </c>
      <c r="AZ76" s="139" t="e">
        <f ca="1">IF(#REF!&lt;&gt;"",#REF!,OFFSET(#REF!,-1,0))</f>
        <v>#REF!</v>
      </c>
      <c r="BA76" s="149"/>
      <c r="BB76" s="8" t="e">
        <f>#REF!</f>
        <v>#REF!</v>
      </c>
      <c r="BC76" s="152" t="e">
        <f>-#REF! / 2 + -#REF! * 2 + -#REF! / 2</f>
        <v>#REF!</v>
      </c>
      <c r="BD76" s="152"/>
      <c r="BE76" s="152"/>
      <c r="BF76" s="152"/>
      <c r="BG76" s="153" t="e">
        <f>#REF!</f>
        <v>#REF!</v>
      </c>
      <c r="BH76" s="3" t="e">
        <f>IF(AND(#REF!=0,#REF!=0,#REF!=0,#REF!=0),"",IF(#REF!&gt;0,IF((#REF!+#REF!)/2+#REF!*2+ROUNDUP(#REF!/(1 + tech_2_2*Techs!Y76),0)=0,"Ok","Nope"),IF(#REF!&gt;0,IF((#REF!+#REF!)/2+#REF!*2+ROUNDUP(#REF!/(1 + tech_2_2*Techs!Y76),0)=0,"Ok","Nope"),IF(#REF!&gt;0,IF((#REF!+#REF!)/2+#REF!*2+ROUNDUP(#REF!/(1 + tech_2_2*Techs!Y76),0)=0,"Ok","Nope")))))</f>
        <v>#REF!</v>
      </c>
      <c r="BI76" s="37" t="e">
        <f>#REF!</f>
        <v>#REF!</v>
      </c>
      <c r="BJ76" s="37" t="e">
        <f>#REF!</f>
        <v>#REF!</v>
      </c>
      <c r="BK76" s="37" t="e">
        <f>#REF!</f>
        <v>#REF!</v>
      </c>
      <c r="BL76" s="37" t="e">
        <f>#REF!</f>
        <v>#REF!</v>
      </c>
      <c r="BM76" s="37" t="e">
        <f>#REF!</f>
        <v>#REF!</v>
      </c>
    </row>
    <row r="77" spans="1:65" x14ac:dyDescent="0.25">
      <c r="A77" s="130">
        <v>2</v>
      </c>
      <c r="B77" s="143" t="e">
        <f>#REF!</f>
        <v>#REF!</v>
      </c>
      <c r="C77" s="144"/>
      <c r="D77" s="133"/>
      <c r="E77" s="39" t="e">
        <f>#REF!</f>
        <v>#REF!</v>
      </c>
      <c r="F77" s="39" t="e">
        <f>#REF!</f>
        <v>#REF!</v>
      </c>
      <c r="G77" s="39" t="e">
        <f>#REF!</f>
        <v>#REF!</v>
      </c>
      <c r="H77" s="39" t="e">
        <f ca="1">OFFSET(#REF!,-1,0)+OFFSET(#REF!,-1,0) -#REF! + IF(#REF!,#REF!*4) + SUM(#REF!)*#REF!*tech_3_3_2*#REF!</f>
        <v>#REF!</v>
      </c>
      <c r="I77" s="39" t="e">
        <f ca="1">OFFSET(#REF!,-1,0)+OFFSET(#REF!,-1,0)+ROUNDUP((#REF!*80+#REF!*35)*(1+OFFSET(#REF!,-1,0)),0)</f>
        <v>#REF!</v>
      </c>
      <c r="J77" s="39" t="e">
        <f ca="1">OFFSET(#REF!,-1,0)+OFFSET(#REF!,-1,0) -#REF! + SUM(#REF!)*#REF!*tech_3_3_2*#REF!</f>
        <v>#REF!</v>
      </c>
      <c r="K77" s="39" t="e">
        <f ca="1">OFFSET(#REF!,-1,0)+OFFSET(#REF!,-1,0) -#REF!</f>
        <v>#REF!</v>
      </c>
      <c r="L77" s="39" t="e">
        <f ca="1">OFFSET(#REF!,-1,0)+OFFSET(#REF!,-1,0) -#REF!</f>
        <v>#REF!</v>
      </c>
      <c r="M77" s="39" t="e">
        <f ca="1">OFFSET(#REF!,-1,0)+OFFSET(#REF!,-1,0) -#REF!</f>
        <v>#REF!</v>
      </c>
      <c r="N77" s="39" t="e">
        <f ca="1">OFFSET(#REF!,-1,0)+OFFSET(#REF!,-1,0)</f>
        <v>#REF!</v>
      </c>
      <c r="O77" s="39" t="e">
        <f ca="1">OFFSET(#REF!,-1,0)</f>
        <v>#REF!</v>
      </c>
      <c r="P77" s="39" t="e">
        <f ca="1">ROUNDDOWN(OFFSET(#REF!,-1,0)+(1+research_bonus)*(MIN(#REF!,#REF!*school_max)*(1 - MIN((#REF!/(#REF!-#REF!)),school_max)))-#REF!*#REF!,0) + IF(#REF!&lt;&gt;"",350,0)</f>
        <v>#REF!</v>
      </c>
      <c r="Q77" s="39" t="e">
        <f ca="1">MAX(3750,_xlfn.CEILING.MATH(#REF!*2.5+OFFSET(#REF!,-1,0)*150))</f>
        <v>#REF!</v>
      </c>
      <c r="R77" s="134"/>
      <c r="S77" s="39" t="e">
        <f>ROUNDDOWN(#REF!*(1+#REF!),0)</f>
        <v>#REF!</v>
      </c>
      <c r="T77" s="39" t="e">
        <f>ROUND(#REF!*(1+#REF!)-#REF!-#REF!,0)</f>
        <v>#REF!</v>
      </c>
      <c r="U77" s="39" t="e">
        <f>ROUND(#REF!*(1+#REF!)-#REF!,0)</f>
        <v>#REF!</v>
      </c>
      <c r="V77" s="39" t="e">
        <f>ROUND(#REF!*(1+#REF!)-#REF!,0)</f>
        <v>#REF!</v>
      </c>
      <c r="W77" s="39" t="e">
        <f>ROUNDDOWN(#REF!*(1+#REF!),0)</f>
        <v>#REF!</v>
      </c>
      <c r="X77" s="39" t="e">
        <f>ROUNDDOWN(#REF!*(1+#REF!),0)</f>
        <v>#REF!</v>
      </c>
      <c r="Y77" s="145" t="e">
        <f ca="1">OFFSET(#REF!,1,0)*dock_boats_hr * (1 + tech_4_1*#REF!)</f>
        <v>#REF!</v>
      </c>
      <c r="Z77" s="133"/>
      <c r="AA77" s="39" t="e">
        <f ca="1">#REF!*tax*#REF! + (Construction!AZ78+Construction!BX78)*(alch_plat+(Magic!AM77&gt;0)*alchemist_flame_bonus)</f>
        <v>#REF!</v>
      </c>
      <c r="AB77" s="39" t="e">
        <f>#REF!*farm_food +#REF!* dock_food</f>
        <v>#REF!</v>
      </c>
      <c r="AC77" s="39" t="e">
        <f>#REF!*ly_lumber +#REF!* fh_lumber</f>
        <v>#REF!</v>
      </c>
      <c r="AD77" s="39" t="e">
        <f ca="1">OFFSET(#REF!,1,0)*(tower_mana + tech_4_5*#REF!) + OFFSET(#REF!,1,0)*wg_mana_prod</f>
        <v>#REF!</v>
      </c>
      <c r="AE77" s="39" t="e">
        <f ca="1">OFFSET(#REF!,1,0)*om_ore+IF(race="Dwarf",ROUNDDOWN(#REF!*0.4,0),)</f>
        <v>#REF!</v>
      </c>
      <c r="AF77" s="39" t="e">
        <f ca="1">OFFSET(#REF!,1,0)*dm_gems</f>
        <v>#REF!</v>
      </c>
      <c r="AG77" s="134"/>
      <c r="AH77" s="135" t="e">
        <f>MIN(race_platinum_bonus + IF(#REF!&gt;0,alch_frost_bonus,IF(Magic!AD77&gt;0,midas_bonus)) +#REF! -#REF!*( 0.02 + tech_5_7*#REF!) + tech_1_5*#REF! + tech_4_4*#REF!, 0.5)</f>
        <v>#REF!</v>
      </c>
      <c r="AI77" s="132" t="e">
        <f>(1 + race_food_bonus + IF(#REF!&gt;0,gaias_blessing_food,IF(#REF!&gt;0,gaias_watch_bonus)) +#REF! + tech_1_1*#REF! + tech_1_4*#REF! + tech_5_1*#REF! +#REF!/ 100*prestige_food_bonus*(1 + tech_8_1*#REF!)) - 1</f>
        <v>#REF!</v>
      </c>
      <c r="AJ77" s="135" t="e">
        <f>race_lumber_bonus+ IF(#REF!&gt;0,gaias_blessing_lumber)+ tech_1_3*#REF! + tech_1_6*#REF! + tech_3_3*#REF!</f>
        <v>#REF!</v>
      </c>
      <c r="AK77" s="135" t="e">
        <f>race_mana_bonus+ 0 +#REF! + tech_1_2*#REF! + tech_3_4*#REF!</f>
        <v>#REF!</v>
      </c>
      <c r="AL77" s="135" t="e">
        <f>race_ore_bonus + IF(#REF!&gt;0,miners_sight_bonus,IF(#REF!&gt;0,mining_strength_bonus)) +  tech_1_6*#REF!</f>
        <v>#REF!</v>
      </c>
      <c r="AM77" s="135" t="e">
        <f>race_gem_bonus+ tech_3_2*#REF! + tech_4_3*#REF! + tech_6_2*#REF!</f>
        <v>#REF!</v>
      </c>
      <c r="AN77" s="134"/>
      <c r="AO77" s="39" t="e">
        <f>#REF!*food_decay * (1 + tech_2_1*#REF! + tech_2_8*#REF!)</f>
        <v>#REF!</v>
      </c>
      <c r="AP77" s="39" t="e">
        <f>(1+race_food_consumption)*#REF!*food_per_person*(1+tech_1_10*#REF!+tech_7_5*#REF!)</f>
        <v>#REF!</v>
      </c>
      <c r="AQ77" s="39" t="e">
        <f>#REF!*lumber_rot * (1 + tech_2_1*#REF! + tech_2_8*#REF! + tech_5_2*#REF!)</f>
        <v>#REF!</v>
      </c>
      <c r="AR77" s="39" t="e">
        <f>#REF!*mana_drain * (1 + tech_2_1*#REF! + tech_2_8*#REF!)</f>
        <v>#REF!</v>
      </c>
      <c r="AS77" s="133"/>
      <c r="AT77" s="39" t="e">
        <f>#REF!+#REF!+#REF!+#REF!+#REF!-#REF!</f>
        <v>#REF!</v>
      </c>
      <c r="AU77" s="39" t="e">
        <f>#REF!+#REF!-#REF! + Military!$CL$25*#REF!</f>
        <v>#REF!</v>
      </c>
      <c r="AV77" s="39" t="e">
        <f>#REF! + Military!$CL$26*#REF!</f>
        <v>#REF!</v>
      </c>
      <c r="AW77" s="39" t="e">
        <f>Military!$CL$24*#REF!+#REF!-#REF!</f>
        <v>#REF!</v>
      </c>
      <c r="AX77" s="39" t="e">
        <f>#REF!-#REF!</f>
        <v>#REF!</v>
      </c>
      <c r="AY77" s="134"/>
      <c r="AZ77" s="61" t="e">
        <f ca="1">IF(#REF!&lt;&gt;"",#REF!,OFFSET(#REF!,-1,0))</f>
        <v>#REF!</v>
      </c>
      <c r="BA77" s="144"/>
      <c r="BB77" s="3" t="e">
        <f>#REF!</f>
        <v>#REF!</v>
      </c>
      <c r="BC77" s="146" t="e">
        <f>-#REF! / 2 + -#REF! * 2 + -#REF! / 2</f>
        <v>#REF!</v>
      </c>
      <c r="BD77" s="146"/>
      <c r="BE77" s="146"/>
      <c r="BF77" s="146"/>
      <c r="BG77" s="147" t="e">
        <f>#REF!</f>
        <v>#REF!</v>
      </c>
      <c r="BH77" s="3" t="e">
        <f>IF(AND(#REF!=0,#REF!=0,#REF!=0,#REF!=0),"",IF(#REF!&gt;0,IF((#REF!+#REF!)/2+#REF!*2+ROUNDUP(#REF!/(1 + tech_2_2*Techs!Y77),0)=0,"Ok","Nope"),IF(#REF!&gt;0,IF((#REF!+#REF!)/2+#REF!*2+ROUNDUP(#REF!/(1 + tech_2_2*Techs!Y77),0)=0,"Ok","Nope"),IF(#REF!&gt;0,IF((#REF!+#REF!)/2+#REF!*2+ROUNDUP(#REF!/(1 + tech_2_2*Techs!Y77),0)=0,"Ok","Nope")))))</f>
        <v>#REF!</v>
      </c>
      <c r="BI77" s="39" t="e">
        <f>#REF!</f>
        <v>#REF!</v>
      </c>
      <c r="BJ77" s="39" t="e">
        <f>#REF!</f>
        <v>#REF!</v>
      </c>
      <c r="BK77" s="39" t="e">
        <f>#REF!</f>
        <v>#REF!</v>
      </c>
      <c r="BL77" s="39" t="e">
        <f>#REF!</f>
        <v>#REF!</v>
      </c>
      <c r="BM77" s="39" t="e">
        <f>#REF!</f>
        <v>#REF!</v>
      </c>
    </row>
    <row r="78" spans="1:65" x14ac:dyDescent="0.25">
      <c r="A78" s="130">
        <v>3</v>
      </c>
      <c r="B78" s="143" t="e">
        <f>#REF!</f>
        <v>#REF!</v>
      </c>
      <c r="C78" s="144"/>
      <c r="D78" s="133"/>
      <c r="E78" s="39" t="e">
        <f>#REF!</f>
        <v>#REF!</v>
      </c>
      <c r="F78" s="39" t="e">
        <f>#REF!</f>
        <v>#REF!</v>
      </c>
      <c r="G78" s="39" t="e">
        <f>#REF!</f>
        <v>#REF!</v>
      </c>
      <c r="H78" s="39" t="e">
        <f ca="1">OFFSET(#REF!,-1,0)+OFFSET(#REF!,-1,0) -#REF! + IF(#REF!,#REF!*4) + SUM(#REF!)*#REF!*tech_3_3_2*#REF!</f>
        <v>#REF!</v>
      </c>
      <c r="I78" s="39" t="e">
        <f ca="1">OFFSET(#REF!,-1,0)+OFFSET(#REF!,-1,0)+ROUNDUP((#REF!*80+#REF!*35)*(1+OFFSET(#REF!,-1,0)),0)</f>
        <v>#REF!</v>
      </c>
      <c r="J78" s="39" t="e">
        <f ca="1">OFFSET(#REF!,-1,0)+OFFSET(#REF!,-1,0) -#REF! + SUM(#REF!)*#REF!*tech_3_3_2*#REF!</f>
        <v>#REF!</v>
      </c>
      <c r="K78" s="39" t="e">
        <f ca="1">OFFSET(#REF!,-1,0)+OFFSET(#REF!,-1,0) -#REF!</f>
        <v>#REF!</v>
      </c>
      <c r="L78" s="39" t="e">
        <f ca="1">OFFSET(#REF!,-1,0)+OFFSET(#REF!,-1,0) -#REF!</f>
        <v>#REF!</v>
      </c>
      <c r="M78" s="39" t="e">
        <f ca="1">OFFSET(#REF!,-1,0)+OFFSET(#REF!,-1,0) -#REF!</f>
        <v>#REF!</v>
      </c>
      <c r="N78" s="39" t="e">
        <f ca="1">OFFSET(#REF!,-1,0)+OFFSET(#REF!,-1,0)</f>
        <v>#REF!</v>
      </c>
      <c r="O78" s="39" t="e">
        <f ca="1">OFFSET(#REF!,-1,0)</f>
        <v>#REF!</v>
      </c>
      <c r="P78" s="39" t="e">
        <f ca="1">ROUNDDOWN(OFFSET(#REF!,-1,0)+(1+research_bonus)*(MIN(#REF!,#REF!*school_max)*(1 - MIN((#REF!/(#REF!-#REF!)),school_max)))-#REF!*#REF!,0) + IF(#REF!&lt;&gt;"",350,0)</f>
        <v>#REF!</v>
      </c>
      <c r="Q78" s="39" t="e">
        <f ca="1">MAX(3750,_xlfn.CEILING.MATH(#REF!*2.5+OFFSET(#REF!,-1,0)*150))</f>
        <v>#REF!</v>
      </c>
      <c r="R78" s="134"/>
      <c r="S78" s="39" t="e">
        <f>ROUNDDOWN(#REF!*(1+#REF!),0)</f>
        <v>#REF!</v>
      </c>
      <c r="T78" s="39" t="e">
        <f>ROUND(#REF!*(1+#REF!)-#REF!-#REF!,0)</f>
        <v>#REF!</v>
      </c>
      <c r="U78" s="39" t="e">
        <f>ROUND(#REF!*(1+#REF!)-#REF!,0)</f>
        <v>#REF!</v>
      </c>
      <c r="V78" s="39" t="e">
        <f>ROUND(#REF!*(1+#REF!)-#REF!,0)</f>
        <v>#REF!</v>
      </c>
      <c r="W78" s="39" t="e">
        <f>ROUNDDOWN(#REF!*(1+#REF!),0)</f>
        <v>#REF!</v>
      </c>
      <c r="X78" s="39" t="e">
        <f>ROUNDDOWN(#REF!*(1+#REF!),0)</f>
        <v>#REF!</v>
      </c>
      <c r="Y78" s="145" t="e">
        <f ca="1">OFFSET(#REF!,1,0)*dock_boats_hr * (1 + tech_4_1*#REF!)</f>
        <v>#REF!</v>
      </c>
      <c r="Z78" s="133"/>
      <c r="AA78" s="39" t="e">
        <f ca="1">#REF!*tax*#REF! + (Construction!AZ79+Construction!BX79)*(alch_plat+(Magic!AM78&gt;0)*alchemist_flame_bonus)</f>
        <v>#REF!</v>
      </c>
      <c r="AB78" s="39" t="e">
        <f>#REF!*farm_food +#REF!* dock_food</f>
        <v>#REF!</v>
      </c>
      <c r="AC78" s="39" t="e">
        <f>#REF!*ly_lumber +#REF!* fh_lumber</f>
        <v>#REF!</v>
      </c>
      <c r="AD78" s="39" t="e">
        <f ca="1">OFFSET(#REF!,1,0)*(tower_mana + tech_4_5*#REF!) + OFFSET(#REF!,1,0)*wg_mana_prod</f>
        <v>#REF!</v>
      </c>
      <c r="AE78" s="39" t="e">
        <f ca="1">OFFSET(#REF!,1,0)*om_ore+IF(race="Dwarf",ROUNDDOWN(#REF!*0.4,0),)</f>
        <v>#REF!</v>
      </c>
      <c r="AF78" s="39" t="e">
        <f ca="1">OFFSET(#REF!,1,0)*dm_gems</f>
        <v>#REF!</v>
      </c>
      <c r="AG78" s="134"/>
      <c r="AH78" s="135" t="e">
        <f>MIN(race_platinum_bonus + IF(#REF!&gt;0,alch_frost_bonus,IF(Magic!AD78&gt;0,midas_bonus)) +#REF! -#REF!*( 0.02 + tech_5_7*#REF!) + tech_1_5*#REF! + tech_4_4*#REF!, 0.5)</f>
        <v>#REF!</v>
      </c>
      <c r="AI78" s="132" t="e">
        <f>(1 + race_food_bonus + IF(#REF!&gt;0,gaias_blessing_food,IF(#REF!&gt;0,gaias_watch_bonus)) +#REF! + tech_1_1*#REF! + tech_1_4*#REF! + tech_5_1*#REF! +#REF!/ 100*prestige_food_bonus*(1 + tech_8_1*#REF!)) - 1</f>
        <v>#REF!</v>
      </c>
      <c r="AJ78" s="135" t="e">
        <f>race_lumber_bonus+ IF(#REF!&gt;0,gaias_blessing_lumber)+ tech_1_3*#REF! + tech_1_6*#REF! + tech_3_3*#REF!</f>
        <v>#REF!</v>
      </c>
      <c r="AK78" s="135" t="e">
        <f>race_mana_bonus+ 0 +#REF! + tech_1_2*#REF! + tech_3_4*#REF!</f>
        <v>#REF!</v>
      </c>
      <c r="AL78" s="135" t="e">
        <f>race_ore_bonus + IF(#REF!&gt;0,miners_sight_bonus,IF(#REF!&gt;0,mining_strength_bonus)) +  tech_1_6*#REF!</f>
        <v>#REF!</v>
      </c>
      <c r="AM78" s="135" t="e">
        <f>race_gem_bonus+ tech_3_2*#REF! + tech_4_3*#REF! + tech_6_2*#REF!</f>
        <v>#REF!</v>
      </c>
      <c r="AN78" s="134"/>
      <c r="AO78" s="39" t="e">
        <f>#REF!*food_decay * (1 + tech_2_1*#REF! + tech_2_8*#REF!)</f>
        <v>#REF!</v>
      </c>
      <c r="AP78" s="39" t="e">
        <f>(1+race_food_consumption)*#REF!*food_per_person*(1+tech_1_10*#REF!+tech_7_5*#REF!)</f>
        <v>#REF!</v>
      </c>
      <c r="AQ78" s="39" t="e">
        <f>#REF!*lumber_rot * (1 + tech_2_1*#REF! + tech_2_8*#REF! + tech_5_2*#REF!)</f>
        <v>#REF!</v>
      </c>
      <c r="AR78" s="39" t="e">
        <f>#REF!*mana_drain * (1 + tech_2_1*#REF! + tech_2_8*#REF!)</f>
        <v>#REF!</v>
      </c>
      <c r="AS78" s="133"/>
      <c r="AT78" s="39" t="e">
        <f>#REF!+#REF!+#REF!+#REF!+#REF!-#REF!</f>
        <v>#REF!</v>
      </c>
      <c r="AU78" s="39" t="e">
        <f>#REF!+#REF!-#REF! + Military!$CL$25*#REF!</f>
        <v>#REF!</v>
      </c>
      <c r="AV78" s="39" t="e">
        <f>#REF! + Military!$CL$26*#REF!</f>
        <v>#REF!</v>
      </c>
      <c r="AW78" s="39" t="e">
        <f>Military!$CL$24*#REF!+#REF!-#REF!</f>
        <v>#REF!</v>
      </c>
      <c r="AX78" s="39" t="e">
        <f>#REF!-#REF!</f>
        <v>#REF!</v>
      </c>
      <c r="AY78" s="134"/>
      <c r="AZ78" s="61" t="e">
        <f ca="1">IF(#REF!&lt;&gt;"",#REF!,OFFSET(#REF!,-1,0))</f>
        <v>#REF!</v>
      </c>
      <c r="BA78" s="144"/>
      <c r="BB78" s="3" t="e">
        <f>#REF!</f>
        <v>#REF!</v>
      </c>
      <c r="BC78" s="146" t="e">
        <f>-#REF! / 2 + -#REF! * 2 + -#REF! / 2</f>
        <v>#REF!</v>
      </c>
      <c r="BD78" s="146"/>
      <c r="BE78" s="146"/>
      <c r="BF78" s="146"/>
      <c r="BG78" s="147" t="e">
        <f>#REF!</f>
        <v>#REF!</v>
      </c>
      <c r="BH78" s="3" t="e">
        <f>IF(AND(#REF!=0,#REF!=0,#REF!=0,#REF!=0),"",IF(#REF!&gt;0,IF((#REF!+#REF!)/2+#REF!*2+ROUNDUP(#REF!/(1 + tech_2_2*Techs!Y78),0)=0,"Ok","Nope"),IF(#REF!&gt;0,IF((#REF!+#REF!)/2+#REF!*2+ROUNDUP(#REF!/(1 + tech_2_2*Techs!Y78),0)=0,"Ok","Nope"),IF(#REF!&gt;0,IF((#REF!+#REF!)/2+#REF!*2+ROUNDUP(#REF!/(1 + tech_2_2*Techs!Y78),0)=0,"Ok","Nope")))))</f>
        <v>#REF!</v>
      </c>
      <c r="BI78" s="39" t="e">
        <f>#REF!</f>
        <v>#REF!</v>
      </c>
      <c r="BJ78" s="39" t="e">
        <f>#REF!</f>
        <v>#REF!</v>
      </c>
      <c r="BK78" s="39" t="e">
        <f>#REF!</f>
        <v>#REF!</v>
      </c>
      <c r="BL78" s="39" t="e">
        <f>#REF!</f>
        <v>#REF!</v>
      </c>
      <c r="BM78" s="39" t="e">
        <f>#REF!</f>
        <v>#REF!</v>
      </c>
    </row>
    <row r="79" spans="1:65" x14ac:dyDescent="0.25">
      <c r="A79" s="130">
        <v>4</v>
      </c>
      <c r="B79" s="143" t="e">
        <f>#REF!</f>
        <v>#REF!</v>
      </c>
      <c r="C79" s="144"/>
      <c r="D79" s="133"/>
      <c r="E79" s="39" t="e">
        <f>#REF!</f>
        <v>#REF!</v>
      </c>
      <c r="F79" s="39" t="e">
        <f>#REF!</f>
        <v>#REF!</v>
      </c>
      <c r="G79" s="39" t="e">
        <f>#REF!</f>
        <v>#REF!</v>
      </c>
      <c r="H79" s="39" t="e">
        <f ca="1">OFFSET(#REF!,-1,0)+OFFSET(#REF!,-1,0) -#REF! + IF(#REF!,#REF!*4) + SUM(#REF!)*#REF!*tech_3_3_2*#REF!</f>
        <v>#REF!</v>
      </c>
      <c r="I79" s="39" t="e">
        <f ca="1">OFFSET(#REF!,-1,0)+OFFSET(#REF!,-1,0)+ROUNDUP((#REF!*80+#REF!*35)*(1+OFFSET(#REF!,-1,0)),0)</f>
        <v>#REF!</v>
      </c>
      <c r="J79" s="39" t="e">
        <f ca="1">OFFSET(#REF!,-1,0)+OFFSET(#REF!,-1,0) -#REF! + SUM(#REF!)*#REF!*tech_3_3_2*#REF!</f>
        <v>#REF!</v>
      </c>
      <c r="K79" s="39" t="e">
        <f ca="1">OFFSET(#REF!,-1,0)+OFFSET(#REF!,-1,0) -#REF!</f>
        <v>#REF!</v>
      </c>
      <c r="L79" s="39" t="e">
        <f ca="1">OFFSET(#REF!,-1,0)+OFFSET(#REF!,-1,0) -#REF!</f>
        <v>#REF!</v>
      </c>
      <c r="M79" s="39" t="e">
        <f ca="1">OFFSET(#REF!,-1,0)+OFFSET(#REF!,-1,0) -#REF!</f>
        <v>#REF!</v>
      </c>
      <c r="N79" s="39" t="e">
        <f ca="1">OFFSET(#REF!,-1,0)+OFFSET(#REF!,-1,0)</f>
        <v>#REF!</v>
      </c>
      <c r="O79" s="39" t="e">
        <f ca="1">OFFSET(#REF!,-1,0)</f>
        <v>#REF!</v>
      </c>
      <c r="P79" s="39" t="e">
        <f ca="1">ROUNDDOWN(OFFSET(#REF!,-1,0)+(1+research_bonus)*(MIN(#REF!,#REF!*school_max)*(1 - MIN((#REF!/(#REF!-#REF!)),school_max)))-#REF!*#REF!,0) + IF(#REF!&lt;&gt;"",350,0)</f>
        <v>#REF!</v>
      </c>
      <c r="Q79" s="39" t="e">
        <f ca="1">MAX(3750,_xlfn.CEILING.MATH(#REF!*2.5+OFFSET(#REF!,-1,0)*150))</f>
        <v>#REF!</v>
      </c>
      <c r="R79" s="134"/>
      <c r="S79" s="39" t="e">
        <f>ROUNDDOWN(#REF!*(1+#REF!),0)</f>
        <v>#REF!</v>
      </c>
      <c r="T79" s="39" t="e">
        <f>ROUND(#REF!*(1+#REF!)-#REF!-#REF!,0)</f>
        <v>#REF!</v>
      </c>
      <c r="U79" s="39" t="e">
        <f>ROUND(#REF!*(1+#REF!)-#REF!,0)</f>
        <v>#REF!</v>
      </c>
      <c r="V79" s="39" t="e">
        <f>ROUND(#REF!*(1+#REF!)-#REF!,0)</f>
        <v>#REF!</v>
      </c>
      <c r="W79" s="39" t="e">
        <f>ROUNDDOWN(#REF!*(1+#REF!),0)</f>
        <v>#REF!</v>
      </c>
      <c r="X79" s="39" t="e">
        <f>ROUNDDOWN(#REF!*(1+#REF!),0)</f>
        <v>#REF!</v>
      </c>
      <c r="Y79" s="145" t="e">
        <f ca="1">OFFSET(#REF!,1,0)*dock_boats_hr * (1 + tech_4_1*#REF!)</f>
        <v>#REF!</v>
      </c>
      <c r="Z79" s="133"/>
      <c r="AA79" s="39" t="e">
        <f ca="1">#REF!*tax*#REF! + (Construction!AZ80+Construction!BX80)*(alch_plat+(Magic!AM79&gt;0)*alchemist_flame_bonus)</f>
        <v>#REF!</v>
      </c>
      <c r="AB79" s="39" t="e">
        <f>#REF!*farm_food +#REF!* dock_food</f>
        <v>#REF!</v>
      </c>
      <c r="AC79" s="39" t="e">
        <f>#REF!*ly_lumber +#REF!* fh_lumber</f>
        <v>#REF!</v>
      </c>
      <c r="AD79" s="39" t="e">
        <f ca="1">OFFSET(#REF!,1,0)*(tower_mana + tech_4_5*#REF!) + OFFSET(#REF!,1,0)*wg_mana_prod</f>
        <v>#REF!</v>
      </c>
      <c r="AE79" s="39" t="e">
        <f ca="1">OFFSET(#REF!,1,0)*om_ore+IF(race="Dwarf",ROUNDDOWN(#REF!*0.4,0),)</f>
        <v>#REF!</v>
      </c>
      <c r="AF79" s="39" t="e">
        <f ca="1">OFFSET(#REF!,1,0)*dm_gems</f>
        <v>#REF!</v>
      </c>
      <c r="AG79" s="134"/>
      <c r="AH79" s="135" t="e">
        <f>MIN(race_platinum_bonus + IF(#REF!&gt;0,alch_frost_bonus,IF(Magic!AD79&gt;0,midas_bonus)) +#REF! -#REF!*( 0.02 + tech_5_7*#REF!) + tech_1_5*#REF! + tech_4_4*#REF!, 0.5)</f>
        <v>#REF!</v>
      </c>
      <c r="AI79" s="132" t="e">
        <f>(1 + race_food_bonus + IF(#REF!&gt;0,gaias_blessing_food,IF(#REF!&gt;0,gaias_watch_bonus)) +#REF! + tech_1_1*#REF! + tech_1_4*#REF! + tech_5_1*#REF! +#REF!/ 100*prestige_food_bonus*(1 + tech_8_1*#REF!)) - 1</f>
        <v>#REF!</v>
      </c>
      <c r="AJ79" s="135" t="e">
        <f>race_lumber_bonus+ IF(#REF!&gt;0,gaias_blessing_lumber)+ tech_1_3*#REF! + tech_1_6*#REF! + tech_3_3*#REF!</f>
        <v>#REF!</v>
      </c>
      <c r="AK79" s="135" t="e">
        <f>race_mana_bonus+ 0 +#REF! + tech_1_2*#REF! + tech_3_4*#REF!</f>
        <v>#REF!</v>
      </c>
      <c r="AL79" s="135" t="e">
        <f>race_ore_bonus + IF(#REF!&gt;0,miners_sight_bonus,IF(#REF!&gt;0,mining_strength_bonus)) +  tech_1_6*#REF!</f>
        <v>#REF!</v>
      </c>
      <c r="AM79" s="135" t="e">
        <f>race_gem_bonus+ tech_3_2*#REF! + tech_4_3*#REF! + tech_6_2*#REF!</f>
        <v>#REF!</v>
      </c>
      <c r="AN79" s="134"/>
      <c r="AO79" s="39" t="e">
        <f>#REF!*food_decay * (1 + tech_2_1*#REF! + tech_2_8*#REF!)</f>
        <v>#REF!</v>
      </c>
      <c r="AP79" s="39" t="e">
        <f>(1+race_food_consumption)*#REF!*food_per_person*(1+tech_1_10*#REF!+tech_7_5*#REF!)</f>
        <v>#REF!</v>
      </c>
      <c r="AQ79" s="39" t="e">
        <f>#REF!*lumber_rot * (1 + tech_2_1*#REF! + tech_2_8*#REF! + tech_5_2*#REF!)</f>
        <v>#REF!</v>
      </c>
      <c r="AR79" s="39" t="e">
        <f>#REF!*mana_drain * (1 + tech_2_1*#REF! + tech_2_8*#REF!)</f>
        <v>#REF!</v>
      </c>
      <c r="AS79" s="133"/>
      <c r="AT79" s="39" t="e">
        <f>#REF!+#REF!+#REF!+#REF!+#REF!-#REF!</f>
        <v>#REF!</v>
      </c>
      <c r="AU79" s="39" t="e">
        <f>#REF!+#REF!-#REF! + Military!$CL$25*#REF!</f>
        <v>#REF!</v>
      </c>
      <c r="AV79" s="39" t="e">
        <f>#REF! + Military!$CL$26*#REF!</f>
        <v>#REF!</v>
      </c>
      <c r="AW79" s="39" t="e">
        <f>Military!$CL$24*#REF!+#REF!-#REF!</f>
        <v>#REF!</v>
      </c>
      <c r="AX79" s="39" t="e">
        <f>#REF!-#REF!</f>
        <v>#REF!</v>
      </c>
      <c r="AY79" s="134"/>
      <c r="AZ79" s="61" t="e">
        <f ca="1">IF(#REF!&lt;&gt;"",#REF!,OFFSET(#REF!,-1,0))</f>
        <v>#REF!</v>
      </c>
      <c r="BA79" s="144"/>
      <c r="BB79" s="3" t="e">
        <f>#REF!</f>
        <v>#REF!</v>
      </c>
      <c r="BC79" s="146" t="e">
        <f>-#REF! / 2 + -#REF! * 2 + -#REF! / 2</f>
        <v>#REF!</v>
      </c>
      <c r="BD79" s="146"/>
      <c r="BE79" s="146"/>
      <c r="BF79" s="146"/>
      <c r="BG79" s="147" t="e">
        <f>#REF!</f>
        <v>#REF!</v>
      </c>
      <c r="BH79" s="3" t="e">
        <f>IF(AND(#REF!=0,#REF!=0,#REF!=0,#REF!=0),"",IF(#REF!&gt;0,IF((#REF!+#REF!)/2+#REF!*2+ROUNDUP(#REF!/(1 + tech_2_2*Techs!Y79),0)=0,"Ok","Nope"),IF(#REF!&gt;0,IF((#REF!+#REF!)/2+#REF!*2+ROUNDUP(#REF!/(1 + tech_2_2*Techs!Y79),0)=0,"Ok","Nope"),IF(#REF!&gt;0,IF((#REF!+#REF!)/2+#REF!*2+ROUNDUP(#REF!/(1 + tech_2_2*Techs!Y79),0)=0,"Ok","Nope")))))</f>
        <v>#REF!</v>
      </c>
      <c r="BI79" s="39" t="e">
        <f>#REF!</f>
        <v>#REF!</v>
      </c>
      <c r="BJ79" s="39" t="e">
        <f>#REF!</f>
        <v>#REF!</v>
      </c>
      <c r="BK79" s="39" t="e">
        <f>#REF!</f>
        <v>#REF!</v>
      </c>
      <c r="BL79" s="39" t="e">
        <f>#REF!</f>
        <v>#REF!</v>
      </c>
      <c r="BM79" s="39" t="e">
        <f>#REF!</f>
        <v>#REF!</v>
      </c>
    </row>
    <row r="80" spans="1:65" x14ac:dyDescent="0.25">
      <c r="A80" s="130">
        <v>5</v>
      </c>
      <c r="B80" s="143" t="e">
        <f>#REF!</f>
        <v>#REF!</v>
      </c>
      <c r="C80" s="144"/>
      <c r="D80" s="133"/>
      <c r="E80" s="39" t="e">
        <f>#REF!</f>
        <v>#REF!</v>
      </c>
      <c r="F80" s="39" t="e">
        <f>#REF!</f>
        <v>#REF!</v>
      </c>
      <c r="G80" s="39" t="e">
        <f>#REF!</f>
        <v>#REF!</v>
      </c>
      <c r="H80" s="39" t="e">
        <f ca="1">OFFSET(#REF!,-1,0)+OFFSET(#REF!,-1,0) -#REF! + IF(#REF!,#REF!*4) + SUM(#REF!)*#REF!*tech_3_3_2*#REF!</f>
        <v>#REF!</v>
      </c>
      <c r="I80" s="39" t="e">
        <f ca="1">OFFSET(#REF!,-1,0)+OFFSET(#REF!,-1,0)+ROUNDUP((#REF!*80+#REF!*35)*(1+OFFSET(#REF!,-1,0)),0)</f>
        <v>#REF!</v>
      </c>
      <c r="J80" s="39" t="e">
        <f ca="1">OFFSET(#REF!,-1,0)+OFFSET(#REF!,-1,0) -#REF! + SUM(#REF!)*#REF!*tech_3_3_2*#REF!</f>
        <v>#REF!</v>
      </c>
      <c r="K80" s="39" t="e">
        <f ca="1">OFFSET(#REF!,-1,0)+OFFSET(#REF!,-1,0) -#REF!</f>
        <v>#REF!</v>
      </c>
      <c r="L80" s="39" t="e">
        <f ca="1">OFFSET(#REF!,-1,0)+OFFSET(#REF!,-1,0) -#REF!</f>
        <v>#REF!</v>
      </c>
      <c r="M80" s="39" t="e">
        <f ca="1">OFFSET(#REF!,-1,0)+OFFSET(#REF!,-1,0) -#REF!</f>
        <v>#REF!</v>
      </c>
      <c r="N80" s="39" t="e">
        <f ca="1">OFFSET(#REF!,-1,0)+OFFSET(#REF!,-1,0)</f>
        <v>#REF!</v>
      </c>
      <c r="O80" s="39" t="e">
        <f ca="1">OFFSET(#REF!,-1,0)</f>
        <v>#REF!</v>
      </c>
      <c r="P80" s="39" t="e">
        <f ca="1">ROUNDDOWN(OFFSET(#REF!,-1,0)+(1+research_bonus)*(MIN(#REF!,#REF!*school_max)*(1 - MIN((#REF!/(#REF!-#REF!)),school_max)))-#REF!*#REF!,0) + IF(#REF!&lt;&gt;"",350,0)</f>
        <v>#REF!</v>
      </c>
      <c r="Q80" s="39" t="e">
        <f ca="1">MAX(3750,_xlfn.CEILING.MATH(#REF!*2.5+OFFSET(#REF!,-1,0)*150))</f>
        <v>#REF!</v>
      </c>
      <c r="R80" s="134"/>
      <c r="S80" s="39" t="e">
        <f>ROUNDDOWN(#REF!*(1+#REF!),0)</f>
        <v>#REF!</v>
      </c>
      <c r="T80" s="39" t="e">
        <f>ROUND(#REF!*(1+#REF!)-#REF!-#REF!,0)</f>
        <v>#REF!</v>
      </c>
      <c r="U80" s="39" t="e">
        <f>ROUND(#REF!*(1+#REF!)-#REF!,0)</f>
        <v>#REF!</v>
      </c>
      <c r="V80" s="39" t="e">
        <f>ROUND(#REF!*(1+#REF!)-#REF!,0)</f>
        <v>#REF!</v>
      </c>
      <c r="W80" s="39" t="e">
        <f>ROUNDDOWN(#REF!*(1+#REF!),0)</f>
        <v>#REF!</v>
      </c>
      <c r="X80" s="39" t="e">
        <f>ROUNDDOWN(#REF!*(1+#REF!),0)</f>
        <v>#REF!</v>
      </c>
      <c r="Y80" s="145" t="e">
        <f ca="1">OFFSET(#REF!,1,0)*dock_boats_hr * (1 + tech_4_1*#REF!)</f>
        <v>#REF!</v>
      </c>
      <c r="Z80" s="133"/>
      <c r="AA80" s="39" t="e">
        <f ca="1">#REF!*tax*#REF! + (Construction!AZ81+Construction!BX81)*(alch_plat+(Magic!AM80&gt;0)*alchemist_flame_bonus)</f>
        <v>#REF!</v>
      </c>
      <c r="AB80" s="39" t="e">
        <f>#REF!*farm_food +#REF!* dock_food</f>
        <v>#REF!</v>
      </c>
      <c r="AC80" s="39" t="e">
        <f>#REF!*ly_lumber +#REF!* fh_lumber</f>
        <v>#REF!</v>
      </c>
      <c r="AD80" s="39" t="e">
        <f ca="1">OFFSET(#REF!,1,0)*(tower_mana + tech_4_5*#REF!) + OFFSET(#REF!,1,0)*wg_mana_prod</f>
        <v>#REF!</v>
      </c>
      <c r="AE80" s="39" t="e">
        <f ca="1">OFFSET(#REF!,1,0)*om_ore+IF(race="Dwarf",ROUNDDOWN(#REF!*0.4,0),)</f>
        <v>#REF!</v>
      </c>
      <c r="AF80" s="39" t="e">
        <f ca="1">OFFSET(#REF!,1,0)*dm_gems</f>
        <v>#REF!</v>
      </c>
      <c r="AG80" s="134"/>
      <c r="AH80" s="135" t="e">
        <f>MIN(race_platinum_bonus + IF(#REF!&gt;0,alch_frost_bonus,IF(Magic!AD80&gt;0,midas_bonus)) +#REF! -#REF!*( 0.02 + tech_5_7*#REF!) + tech_1_5*#REF! + tech_4_4*#REF!, 0.5)</f>
        <v>#REF!</v>
      </c>
      <c r="AI80" s="132" t="e">
        <f>(1 + race_food_bonus + IF(#REF!&gt;0,gaias_blessing_food,IF(#REF!&gt;0,gaias_watch_bonus)) +#REF! + tech_1_1*#REF! + tech_1_4*#REF! + tech_5_1*#REF! +#REF!/ 100*prestige_food_bonus*(1 + tech_8_1*#REF!)) - 1</f>
        <v>#REF!</v>
      </c>
      <c r="AJ80" s="135" t="e">
        <f>race_lumber_bonus+ IF(#REF!&gt;0,gaias_blessing_lumber)+ tech_1_3*#REF! + tech_1_6*#REF! + tech_3_3*#REF!</f>
        <v>#REF!</v>
      </c>
      <c r="AK80" s="135" t="e">
        <f>race_mana_bonus+ 0 +#REF! + tech_1_2*#REF! + tech_3_4*#REF!</f>
        <v>#REF!</v>
      </c>
      <c r="AL80" s="135" t="e">
        <f>race_ore_bonus + IF(#REF!&gt;0,miners_sight_bonus,IF(#REF!&gt;0,mining_strength_bonus)) +  tech_1_6*#REF!</f>
        <v>#REF!</v>
      </c>
      <c r="AM80" s="135" t="e">
        <f>race_gem_bonus+ tech_3_2*#REF! + tech_4_3*#REF! + tech_6_2*#REF!</f>
        <v>#REF!</v>
      </c>
      <c r="AN80" s="134"/>
      <c r="AO80" s="39" t="e">
        <f>#REF!*food_decay * (1 + tech_2_1*#REF! + tech_2_8*#REF!)</f>
        <v>#REF!</v>
      </c>
      <c r="AP80" s="39" t="e">
        <f>(1+race_food_consumption)*#REF!*food_per_person*(1+tech_1_10*#REF!+tech_7_5*#REF!)</f>
        <v>#REF!</v>
      </c>
      <c r="AQ80" s="39" t="e">
        <f>#REF!*lumber_rot * (1 + tech_2_1*#REF! + tech_2_8*#REF! + tech_5_2*#REF!)</f>
        <v>#REF!</v>
      </c>
      <c r="AR80" s="39" t="e">
        <f>#REF!*mana_drain * (1 + tech_2_1*#REF! + tech_2_8*#REF!)</f>
        <v>#REF!</v>
      </c>
      <c r="AS80" s="133"/>
      <c r="AT80" s="39" t="e">
        <f>#REF!+#REF!+#REF!+#REF!+#REF!-#REF!</f>
        <v>#REF!</v>
      </c>
      <c r="AU80" s="39" t="e">
        <f>#REF!+#REF!-#REF! + Military!$CL$25*#REF!</f>
        <v>#REF!</v>
      </c>
      <c r="AV80" s="39" t="e">
        <f>#REF! + Military!$CL$26*#REF!</f>
        <v>#REF!</v>
      </c>
      <c r="AW80" s="39" t="e">
        <f>Military!$CL$24*#REF!+#REF!-#REF!</f>
        <v>#REF!</v>
      </c>
      <c r="AX80" s="39" t="e">
        <f>#REF!-#REF!</f>
        <v>#REF!</v>
      </c>
      <c r="AY80" s="134"/>
      <c r="AZ80" s="61" t="e">
        <f ca="1">IF(#REF!&lt;&gt;"",#REF!,OFFSET(#REF!,-1,0))</f>
        <v>#REF!</v>
      </c>
      <c r="BA80" s="144"/>
      <c r="BB80" s="3" t="e">
        <f>#REF!</f>
        <v>#REF!</v>
      </c>
      <c r="BC80" s="146" t="e">
        <f>-#REF! / 2 + -#REF! * 2 + -#REF! / 2</f>
        <v>#REF!</v>
      </c>
      <c r="BD80" s="146"/>
      <c r="BE80" s="146"/>
      <c r="BF80" s="146"/>
      <c r="BG80" s="147" t="e">
        <f>#REF!</f>
        <v>#REF!</v>
      </c>
      <c r="BH80" s="3" t="e">
        <f>IF(AND(#REF!=0,#REF!=0,#REF!=0,#REF!=0),"",IF(#REF!&gt;0,IF((#REF!+#REF!)/2+#REF!*2+ROUNDUP(#REF!/(1 + tech_2_2*Techs!Y80),0)=0,"Ok","Nope"),IF(#REF!&gt;0,IF((#REF!+#REF!)/2+#REF!*2+ROUNDUP(#REF!/(1 + tech_2_2*Techs!Y80),0)=0,"Ok","Nope"),IF(#REF!&gt;0,IF((#REF!+#REF!)/2+#REF!*2+ROUNDUP(#REF!/(1 + tech_2_2*Techs!Y80),0)=0,"Ok","Nope")))))</f>
        <v>#REF!</v>
      </c>
      <c r="BI80" s="39" t="e">
        <f>#REF!</f>
        <v>#REF!</v>
      </c>
      <c r="BJ80" s="39" t="e">
        <f>#REF!</f>
        <v>#REF!</v>
      </c>
      <c r="BK80" s="39" t="e">
        <f>#REF!</f>
        <v>#REF!</v>
      </c>
      <c r="BL80" s="39" t="e">
        <f>#REF!</f>
        <v>#REF!</v>
      </c>
      <c r="BM80" s="39" t="e">
        <f>#REF!</f>
        <v>#REF!</v>
      </c>
    </row>
    <row r="81" spans="1:65" x14ac:dyDescent="0.25">
      <c r="A81" s="130">
        <v>6</v>
      </c>
      <c r="B81" s="143" t="e">
        <f>#REF!</f>
        <v>#REF!</v>
      </c>
      <c r="C81" s="144"/>
      <c r="D81" s="133"/>
      <c r="E81" s="39" t="e">
        <f>#REF!</f>
        <v>#REF!</v>
      </c>
      <c r="F81" s="39" t="e">
        <f>#REF!</f>
        <v>#REF!</v>
      </c>
      <c r="G81" s="39" t="e">
        <f>#REF!</f>
        <v>#REF!</v>
      </c>
      <c r="H81" s="39" t="e">
        <f ca="1">OFFSET(#REF!,-1,0)+OFFSET(#REF!,-1,0) -#REF! + IF(#REF!,#REF!*4) + SUM(#REF!)*#REF!*tech_3_3_2*#REF!</f>
        <v>#REF!</v>
      </c>
      <c r="I81" s="39" t="e">
        <f ca="1">OFFSET(#REF!,-1,0)+OFFSET(#REF!,-1,0)+ROUNDUP((#REF!*80+#REF!*35)*(1+OFFSET(#REF!,-1,0)),0)</f>
        <v>#REF!</v>
      </c>
      <c r="J81" s="39" t="e">
        <f ca="1">OFFSET(#REF!,-1,0)+OFFSET(#REF!,-1,0) -#REF! + SUM(#REF!)*#REF!*tech_3_3_2*#REF!</f>
        <v>#REF!</v>
      </c>
      <c r="K81" s="39" t="e">
        <f ca="1">OFFSET(#REF!,-1,0)+OFFSET(#REF!,-1,0) -#REF!</f>
        <v>#REF!</v>
      </c>
      <c r="L81" s="39" t="e">
        <f ca="1">OFFSET(#REF!,-1,0)+OFFSET(#REF!,-1,0) -#REF!</f>
        <v>#REF!</v>
      </c>
      <c r="M81" s="39" t="e">
        <f ca="1">OFFSET(#REF!,-1,0)+OFFSET(#REF!,-1,0) -#REF!</f>
        <v>#REF!</v>
      </c>
      <c r="N81" s="39" t="e">
        <f ca="1">OFFSET(#REF!,-1,0)+OFFSET(#REF!,-1,0)</f>
        <v>#REF!</v>
      </c>
      <c r="O81" s="39" t="e">
        <f ca="1">OFFSET(#REF!,-1,0)</f>
        <v>#REF!</v>
      </c>
      <c r="P81" s="39" t="e">
        <f ca="1">ROUNDDOWN(OFFSET(#REF!,-1,0)+(1+research_bonus)*(MIN(#REF!,#REF!*school_max)*(1 - MIN((#REF!/(#REF!-#REF!)),school_max)))-#REF!*#REF!,0) + IF(#REF!&lt;&gt;"",350,0)</f>
        <v>#REF!</v>
      </c>
      <c r="Q81" s="39" t="e">
        <f ca="1">MAX(3750,_xlfn.CEILING.MATH(#REF!*2.5+OFFSET(#REF!,-1,0)*150))</f>
        <v>#REF!</v>
      </c>
      <c r="R81" s="134"/>
      <c r="S81" s="39" t="e">
        <f>ROUNDDOWN(#REF!*(1+#REF!),0)</f>
        <v>#REF!</v>
      </c>
      <c r="T81" s="39" t="e">
        <f>ROUND(#REF!*(1+#REF!)-#REF!-#REF!,0)</f>
        <v>#REF!</v>
      </c>
      <c r="U81" s="39" t="e">
        <f>ROUND(#REF!*(1+#REF!)-#REF!,0)</f>
        <v>#REF!</v>
      </c>
      <c r="V81" s="39" t="e">
        <f>ROUND(#REF!*(1+#REF!)-#REF!,0)</f>
        <v>#REF!</v>
      </c>
      <c r="W81" s="39" t="e">
        <f>ROUNDDOWN(#REF!*(1+#REF!),0)</f>
        <v>#REF!</v>
      </c>
      <c r="X81" s="39" t="e">
        <f>ROUNDDOWN(#REF!*(1+#REF!),0)</f>
        <v>#REF!</v>
      </c>
      <c r="Y81" s="145" t="e">
        <f ca="1">OFFSET(#REF!,1,0)*dock_boats_hr * (1 + tech_4_1*#REF!)</f>
        <v>#REF!</v>
      </c>
      <c r="Z81" s="133"/>
      <c r="AA81" s="39" t="e">
        <f ca="1">#REF!*tax*#REF! + (Construction!AZ82+Construction!BX82)*(alch_plat+(Magic!AM81&gt;0)*alchemist_flame_bonus)</f>
        <v>#REF!</v>
      </c>
      <c r="AB81" s="39" t="e">
        <f>#REF!*farm_food +#REF!* dock_food</f>
        <v>#REF!</v>
      </c>
      <c r="AC81" s="39" t="e">
        <f>#REF!*ly_lumber +#REF!* fh_lumber</f>
        <v>#REF!</v>
      </c>
      <c r="AD81" s="39" t="e">
        <f ca="1">OFFSET(#REF!,1,0)*(tower_mana + tech_4_5*#REF!) + OFFSET(#REF!,1,0)*wg_mana_prod</f>
        <v>#REF!</v>
      </c>
      <c r="AE81" s="39" t="e">
        <f ca="1">OFFSET(#REF!,1,0)*om_ore+IF(race="Dwarf",ROUNDDOWN(#REF!*0.4,0),)</f>
        <v>#REF!</v>
      </c>
      <c r="AF81" s="39" t="e">
        <f ca="1">OFFSET(#REF!,1,0)*dm_gems</f>
        <v>#REF!</v>
      </c>
      <c r="AG81" s="134"/>
      <c r="AH81" s="135" t="e">
        <f>MIN(race_platinum_bonus + IF(#REF!&gt;0,alch_frost_bonus,IF(Magic!AD81&gt;0,midas_bonus)) +#REF! -#REF!*( 0.02 + tech_5_7*#REF!) + tech_1_5*#REF! + tech_4_4*#REF!, 0.5)</f>
        <v>#REF!</v>
      </c>
      <c r="AI81" s="132" t="e">
        <f>(1 + race_food_bonus + IF(#REF!&gt;0,gaias_blessing_food,IF(#REF!&gt;0,gaias_watch_bonus)) +#REF! + tech_1_1*#REF! + tech_1_4*#REF! + tech_5_1*#REF! +#REF!/ 100*prestige_food_bonus*(1 + tech_8_1*#REF!)) - 1</f>
        <v>#REF!</v>
      </c>
      <c r="AJ81" s="135" t="e">
        <f>race_lumber_bonus+ IF(#REF!&gt;0,gaias_blessing_lumber)+ tech_1_3*#REF! + tech_1_6*#REF! + tech_3_3*#REF!</f>
        <v>#REF!</v>
      </c>
      <c r="AK81" s="135" t="e">
        <f>race_mana_bonus+ 0 +#REF! + tech_1_2*#REF! + tech_3_4*#REF!</f>
        <v>#REF!</v>
      </c>
      <c r="AL81" s="135" t="e">
        <f>race_ore_bonus + IF(#REF!&gt;0,miners_sight_bonus,IF(#REF!&gt;0,mining_strength_bonus)) +  tech_1_6*#REF!</f>
        <v>#REF!</v>
      </c>
      <c r="AM81" s="135" t="e">
        <f>race_gem_bonus+ tech_3_2*#REF! + tech_4_3*#REF! + tech_6_2*#REF!</f>
        <v>#REF!</v>
      </c>
      <c r="AN81" s="134"/>
      <c r="AO81" s="39" t="e">
        <f>#REF!*food_decay * (1 + tech_2_1*#REF! + tech_2_8*#REF!)</f>
        <v>#REF!</v>
      </c>
      <c r="AP81" s="39" t="e">
        <f>(1+race_food_consumption)*#REF!*food_per_person*(1+tech_1_10*#REF!+tech_7_5*#REF!)</f>
        <v>#REF!</v>
      </c>
      <c r="AQ81" s="39" t="e">
        <f>#REF!*lumber_rot * (1 + tech_2_1*#REF! + tech_2_8*#REF! + tech_5_2*#REF!)</f>
        <v>#REF!</v>
      </c>
      <c r="AR81" s="39" t="e">
        <f>#REF!*mana_drain * (1 + tech_2_1*#REF! + tech_2_8*#REF!)</f>
        <v>#REF!</v>
      </c>
      <c r="AS81" s="133"/>
      <c r="AT81" s="39" t="e">
        <f>#REF!+#REF!+#REF!+#REF!+#REF!-#REF!</f>
        <v>#REF!</v>
      </c>
      <c r="AU81" s="39" t="e">
        <f>#REF!+#REF!-#REF! + Military!$CL$25*#REF!</f>
        <v>#REF!</v>
      </c>
      <c r="AV81" s="39" t="e">
        <f>#REF! + Military!$CL$26*#REF!</f>
        <v>#REF!</v>
      </c>
      <c r="AW81" s="39" t="e">
        <f>Military!$CL$24*#REF!+#REF!-#REF!</f>
        <v>#REF!</v>
      </c>
      <c r="AX81" s="39" t="e">
        <f>#REF!-#REF!</f>
        <v>#REF!</v>
      </c>
      <c r="AY81" s="134"/>
      <c r="AZ81" s="61" t="e">
        <f ca="1">IF(#REF!&lt;&gt;"",#REF!,OFFSET(#REF!,-1,0))</f>
        <v>#REF!</v>
      </c>
      <c r="BA81" s="144"/>
      <c r="BB81" s="3" t="e">
        <f>#REF!</f>
        <v>#REF!</v>
      </c>
      <c r="BC81" s="146" t="e">
        <f>-#REF! / 2 + -#REF! * 2 + -#REF! / 2</f>
        <v>#REF!</v>
      </c>
      <c r="BD81" s="146"/>
      <c r="BE81" s="146"/>
      <c r="BF81" s="146"/>
      <c r="BG81" s="147" t="e">
        <f>#REF!</f>
        <v>#REF!</v>
      </c>
      <c r="BH81" s="3" t="e">
        <f>IF(AND(#REF!=0,#REF!=0,#REF!=0,#REF!=0),"",IF(#REF!&gt;0,IF((#REF!+#REF!)/2+#REF!*2+ROUNDUP(#REF!/(1 + tech_2_2*Techs!Y81),0)=0,"Ok","Nope"),IF(#REF!&gt;0,IF((#REF!+#REF!)/2+#REF!*2+ROUNDUP(#REF!/(1 + tech_2_2*Techs!Y81),0)=0,"Ok","Nope"),IF(#REF!&gt;0,IF((#REF!+#REF!)/2+#REF!*2+ROUNDUP(#REF!/(1 + tech_2_2*Techs!Y81),0)=0,"Ok","Nope")))))</f>
        <v>#REF!</v>
      </c>
      <c r="BI81" s="39" t="e">
        <f>#REF!</f>
        <v>#REF!</v>
      </c>
      <c r="BJ81" s="39" t="e">
        <f>#REF!</f>
        <v>#REF!</v>
      </c>
      <c r="BK81" s="39" t="e">
        <f>#REF!</f>
        <v>#REF!</v>
      </c>
      <c r="BL81" s="39" t="e">
        <f>#REF!</f>
        <v>#REF!</v>
      </c>
      <c r="BM81" s="39" t="e">
        <f>#REF!</f>
        <v>#REF!</v>
      </c>
    </row>
    <row r="82" spans="1:65" x14ac:dyDescent="0.25">
      <c r="A82" s="130">
        <v>7</v>
      </c>
      <c r="B82" s="143" t="e">
        <f>#REF!</f>
        <v>#REF!</v>
      </c>
      <c r="C82" s="144"/>
      <c r="D82" s="133"/>
      <c r="E82" s="39" t="e">
        <f>#REF!</f>
        <v>#REF!</v>
      </c>
      <c r="F82" s="39" t="e">
        <f>#REF!</f>
        <v>#REF!</v>
      </c>
      <c r="G82" s="39" t="e">
        <f>#REF!</f>
        <v>#REF!</v>
      </c>
      <c r="H82" s="39" t="e">
        <f ca="1">OFFSET(#REF!,-1,0)+OFFSET(#REF!,-1,0) -#REF! + IF(#REF!,#REF!*4) + SUM(#REF!)*#REF!*tech_3_3_2*#REF!</f>
        <v>#REF!</v>
      </c>
      <c r="I82" s="39" t="e">
        <f ca="1">OFFSET(#REF!,-1,0)+OFFSET(#REF!,-1,0)+ROUNDUP((#REF!*80+#REF!*35)*(1+OFFSET(#REF!,-1,0)),0)</f>
        <v>#REF!</v>
      </c>
      <c r="J82" s="39" t="e">
        <f ca="1">OFFSET(#REF!,-1,0)+OFFSET(#REF!,-1,0) -#REF! + SUM(#REF!)*#REF!*tech_3_3_2*#REF!</f>
        <v>#REF!</v>
      </c>
      <c r="K82" s="39" t="e">
        <f ca="1">OFFSET(#REF!,-1,0)+OFFSET(#REF!,-1,0) -#REF!</f>
        <v>#REF!</v>
      </c>
      <c r="L82" s="39" t="e">
        <f ca="1">OFFSET(#REF!,-1,0)+OFFSET(#REF!,-1,0) -#REF!</f>
        <v>#REF!</v>
      </c>
      <c r="M82" s="39" t="e">
        <f ca="1">OFFSET(#REF!,-1,0)+OFFSET(#REF!,-1,0) -#REF!</f>
        <v>#REF!</v>
      </c>
      <c r="N82" s="39" t="e">
        <f ca="1">OFFSET(#REF!,-1,0)+OFFSET(#REF!,-1,0)</f>
        <v>#REF!</v>
      </c>
      <c r="O82" s="39" t="e">
        <f ca="1">OFFSET(#REF!,-1,0)</f>
        <v>#REF!</v>
      </c>
      <c r="P82" s="39" t="e">
        <f ca="1">ROUNDDOWN(OFFSET(#REF!,-1,0)+(1+research_bonus)*(MIN(#REF!,#REF!*school_max)*(1 - MIN((#REF!/(#REF!-#REF!)),school_max)))-#REF!*#REF!,0) + IF(#REF!&lt;&gt;"",350,0)</f>
        <v>#REF!</v>
      </c>
      <c r="Q82" s="39" t="e">
        <f ca="1">MAX(3750,_xlfn.CEILING.MATH(#REF!*2.5+OFFSET(#REF!,-1,0)*150))</f>
        <v>#REF!</v>
      </c>
      <c r="R82" s="134"/>
      <c r="S82" s="39" t="e">
        <f>ROUNDDOWN(#REF!*(1+#REF!),0)</f>
        <v>#REF!</v>
      </c>
      <c r="T82" s="39" t="e">
        <f>ROUND(#REF!*(1+#REF!)-#REF!-#REF!,0)</f>
        <v>#REF!</v>
      </c>
      <c r="U82" s="39" t="e">
        <f>ROUND(#REF!*(1+#REF!)-#REF!,0)</f>
        <v>#REF!</v>
      </c>
      <c r="V82" s="39" t="e">
        <f>ROUND(#REF!*(1+#REF!)-#REF!,0)</f>
        <v>#REF!</v>
      </c>
      <c r="W82" s="39" t="e">
        <f>ROUNDDOWN(#REF!*(1+#REF!),0)</f>
        <v>#REF!</v>
      </c>
      <c r="X82" s="39" t="e">
        <f>ROUNDDOWN(#REF!*(1+#REF!),0)</f>
        <v>#REF!</v>
      </c>
      <c r="Y82" s="145" t="e">
        <f ca="1">OFFSET(#REF!,1,0)*dock_boats_hr * (1 + tech_4_1*#REF!)</f>
        <v>#REF!</v>
      </c>
      <c r="Z82" s="133"/>
      <c r="AA82" s="39" t="e">
        <f ca="1">#REF!*tax*#REF! + (Construction!AZ83+Construction!BX83)*(alch_plat+(Magic!AM82&gt;0)*alchemist_flame_bonus)</f>
        <v>#REF!</v>
      </c>
      <c r="AB82" s="39" t="e">
        <f>#REF!*farm_food +#REF!* dock_food</f>
        <v>#REF!</v>
      </c>
      <c r="AC82" s="39" t="e">
        <f>#REF!*ly_lumber +#REF!* fh_lumber</f>
        <v>#REF!</v>
      </c>
      <c r="AD82" s="39" t="e">
        <f ca="1">OFFSET(#REF!,1,0)*(tower_mana + tech_4_5*#REF!) + OFFSET(#REF!,1,0)*wg_mana_prod</f>
        <v>#REF!</v>
      </c>
      <c r="AE82" s="39" t="e">
        <f ca="1">OFFSET(#REF!,1,0)*om_ore+IF(race="Dwarf",ROUNDDOWN(#REF!*0.4,0),)</f>
        <v>#REF!</v>
      </c>
      <c r="AF82" s="39" t="e">
        <f ca="1">OFFSET(#REF!,1,0)*dm_gems</f>
        <v>#REF!</v>
      </c>
      <c r="AG82" s="134"/>
      <c r="AH82" s="135" t="e">
        <f>MIN(race_platinum_bonus + IF(#REF!&gt;0,alch_frost_bonus,IF(Magic!AD82&gt;0,midas_bonus)) +#REF! -#REF!*( 0.02 + tech_5_7*#REF!) + tech_1_5*#REF! + tech_4_4*#REF!, 0.5)</f>
        <v>#REF!</v>
      </c>
      <c r="AI82" s="132" t="e">
        <f>(1 + race_food_bonus + IF(#REF!&gt;0,gaias_blessing_food,IF(#REF!&gt;0,gaias_watch_bonus)) +#REF! + tech_1_1*#REF! + tech_1_4*#REF! + tech_5_1*#REF! +#REF!/ 100*prestige_food_bonus*(1 + tech_8_1*#REF!)) - 1</f>
        <v>#REF!</v>
      </c>
      <c r="AJ82" s="135" t="e">
        <f>race_lumber_bonus+ IF(#REF!&gt;0,gaias_blessing_lumber)+ tech_1_3*#REF! + tech_1_6*#REF! + tech_3_3*#REF!</f>
        <v>#REF!</v>
      </c>
      <c r="AK82" s="135" t="e">
        <f>race_mana_bonus+ 0 +#REF! + tech_1_2*#REF! + tech_3_4*#REF!</f>
        <v>#REF!</v>
      </c>
      <c r="AL82" s="135" t="e">
        <f>race_ore_bonus + IF(#REF!&gt;0,miners_sight_bonus,IF(#REF!&gt;0,mining_strength_bonus)) +  tech_1_6*#REF!</f>
        <v>#REF!</v>
      </c>
      <c r="AM82" s="135" t="e">
        <f>race_gem_bonus+ tech_3_2*#REF! + tech_4_3*#REF! + tech_6_2*#REF!</f>
        <v>#REF!</v>
      </c>
      <c r="AN82" s="134"/>
      <c r="AO82" s="39" t="e">
        <f>#REF!*food_decay * (1 + tech_2_1*#REF! + tech_2_8*#REF!)</f>
        <v>#REF!</v>
      </c>
      <c r="AP82" s="39" t="e">
        <f>(1+race_food_consumption)*#REF!*food_per_person*(1+tech_1_10*#REF!+tech_7_5*#REF!)</f>
        <v>#REF!</v>
      </c>
      <c r="AQ82" s="39" t="e">
        <f>#REF!*lumber_rot * (1 + tech_2_1*#REF! + tech_2_8*#REF! + tech_5_2*#REF!)</f>
        <v>#REF!</v>
      </c>
      <c r="AR82" s="39" t="e">
        <f>#REF!*mana_drain * (1 + tech_2_1*#REF! + tech_2_8*#REF!)</f>
        <v>#REF!</v>
      </c>
      <c r="AS82" s="133"/>
      <c r="AT82" s="39" t="e">
        <f>#REF!+#REF!+#REF!+#REF!+#REF!-#REF!</f>
        <v>#REF!</v>
      </c>
      <c r="AU82" s="39" t="e">
        <f>#REF!+#REF!-#REF! + Military!$CL$25*#REF!</f>
        <v>#REF!</v>
      </c>
      <c r="AV82" s="39" t="e">
        <f>#REF! + Military!$CL$26*#REF!</f>
        <v>#REF!</v>
      </c>
      <c r="AW82" s="39" t="e">
        <f>Military!$CL$24*#REF!+#REF!-#REF!</f>
        <v>#REF!</v>
      </c>
      <c r="AX82" s="39" t="e">
        <f>#REF!-#REF!</f>
        <v>#REF!</v>
      </c>
      <c r="AY82" s="134"/>
      <c r="AZ82" s="61" t="e">
        <f ca="1">IF(#REF!&lt;&gt;"",#REF!,OFFSET(#REF!,-1,0))</f>
        <v>#REF!</v>
      </c>
      <c r="BA82" s="144"/>
      <c r="BB82" s="3" t="e">
        <f>#REF!</f>
        <v>#REF!</v>
      </c>
      <c r="BC82" s="146" t="e">
        <f>-#REF! / 2 + -#REF! * 2 + -#REF! / 2</f>
        <v>#REF!</v>
      </c>
      <c r="BD82" s="146"/>
      <c r="BE82" s="146"/>
      <c r="BF82" s="146"/>
      <c r="BG82" s="147" t="e">
        <f>#REF!</f>
        <v>#REF!</v>
      </c>
      <c r="BH82" s="3" t="e">
        <f>IF(AND(#REF!=0,#REF!=0,#REF!=0,#REF!=0),"",IF(#REF!&gt;0,IF((#REF!+#REF!)/2+#REF!*2+ROUNDUP(#REF!/(1 + tech_2_2*Techs!Y82),0)=0,"Ok","Nope"),IF(#REF!&gt;0,IF((#REF!+#REF!)/2+#REF!*2+ROUNDUP(#REF!/(1 + tech_2_2*Techs!Y82),0)=0,"Ok","Nope"),IF(#REF!&gt;0,IF((#REF!+#REF!)/2+#REF!*2+ROUNDUP(#REF!/(1 + tech_2_2*Techs!Y82),0)=0,"Ok","Nope")))))</f>
        <v>#REF!</v>
      </c>
      <c r="BI82" s="39" t="e">
        <f>#REF!</f>
        <v>#REF!</v>
      </c>
      <c r="BJ82" s="39" t="e">
        <f>#REF!</f>
        <v>#REF!</v>
      </c>
      <c r="BK82" s="39" t="e">
        <f>#REF!</f>
        <v>#REF!</v>
      </c>
      <c r="BL82" s="39" t="e">
        <f>#REF!</f>
        <v>#REF!</v>
      </c>
      <c r="BM82" s="39" t="e">
        <f>#REF!</f>
        <v>#REF!</v>
      </c>
    </row>
    <row r="83" spans="1:65" x14ac:dyDescent="0.25">
      <c r="A83" s="130">
        <v>8</v>
      </c>
      <c r="B83" s="143" t="e">
        <f>#REF!</f>
        <v>#REF!</v>
      </c>
      <c r="C83" s="144"/>
      <c r="D83" s="133"/>
      <c r="E83" s="39" t="e">
        <f>#REF!</f>
        <v>#REF!</v>
      </c>
      <c r="F83" s="39" t="e">
        <f>#REF!</f>
        <v>#REF!</v>
      </c>
      <c r="G83" s="39" t="e">
        <f>#REF!</f>
        <v>#REF!</v>
      </c>
      <c r="H83" s="39" t="e">
        <f ca="1">OFFSET(#REF!,-1,0)+OFFSET(#REF!,-1,0) -#REF! + IF(#REF!,#REF!*4) + SUM(#REF!)*#REF!*tech_3_3_2*#REF!</f>
        <v>#REF!</v>
      </c>
      <c r="I83" s="39" t="e">
        <f ca="1">OFFSET(#REF!,-1,0)+OFFSET(#REF!,-1,0)+ROUNDUP((#REF!*80+#REF!*35)*(1+OFFSET(#REF!,-1,0)),0)</f>
        <v>#REF!</v>
      </c>
      <c r="J83" s="39" t="e">
        <f ca="1">OFFSET(#REF!,-1,0)+OFFSET(#REF!,-1,0) -#REF! + SUM(#REF!)*#REF!*tech_3_3_2*#REF!</f>
        <v>#REF!</v>
      </c>
      <c r="K83" s="39" t="e">
        <f ca="1">OFFSET(#REF!,-1,0)+OFFSET(#REF!,-1,0) -#REF!</f>
        <v>#REF!</v>
      </c>
      <c r="L83" s="39" t="e">
        <f ca="1">OFFSET(#REF!,-1,0)+OFFSET(#REF!,-1,0) -#REF!</f>
        <v>#REF!</v>
      </c>
      <c r="M83" s="39" t="e">
        <f ca="1">OFFSET(#REF!,-1,0)+OFFSET(#REF!,-1,0) -#REF!</f>
        <v>#REF!</v>
      </c>
      <c r="N83" s="39" t="e">
        <f ca="1">OFFSET(#REF!,-1,0)+OFFSET(#REF!,-1,0)</f>
        <v>#REF!</v>
      </c>
      <c r="O83" s="39" t="e">
        <f ca="1">OFFSET(#REF!,-1,0)</f>
        <v>#REF!</v>
      </c>
      <c r="P83" s="39" t="e">
        <f ca="1">ROUNDDOWN(OFFSET(#REF!,-1,0)+(1+research_bonus)*(MIN(#REF!,#REF!*school_max)*(1 - MIN((#REF!/(#REF!-#REF!)),school_max)))-#REF!*#REF!,0) + IF(#REF!&lt;&gt;"",350,0)</f>
        <v>#REF!</v>
      </c>
      <c r="Q83" s="39" t="e">
        <f ca="1">MAX(3750,_xlfn.CEILING.MATH(#REF!*2.5+OFFSET(#REF!,-1,0)*150))</f>
        <v>#REF!</v>
      </c>
      <c r="R83" s="134"/>
      <c r="S83" s="39" t="e">
        <f>ROUNDDOWN(#REF!*(1+#REF!),0)</f>
        <v>#REF!</v>
      </c>
      <c r="T83" s="39" t="e">
        <f>ROUND(#REF!*(1+#REF!)-#REF!-#REF!,0)</f>
        <v>#REF!</v>
      </c>
      <c r="U83" s="39" t="e">
        <f>ROUND(#REF!*(1+#REF!)-#REF!,0)</f>
        <v>#REF!</v>
      </c>
      <c r="V83" s="39" t="e">
        <f>ROUND(#REF!*(1+#REF!)-#REF!,0)</f>
        <v>#REF!</v>
      </c>
      <c r="W83" s="39" t="e">
        <f>ROUNDDOWN(#REF!*(1+#REF!),0)</f>
        <v>#REF!</v>
      </c>
      <c r="X83" s="39" t="e">
        <f>ROUNDDOWN(#REF!*(1+#REF!),0)</f>
        <v>#REF!</v>
      </c>
      <c r="Y83" s="145" t="e">
        <f ca="1">OFFSET(#REF!,1,0)*dock_boats_hr * (1 + tech_4_1*#REF!)</f>
        <v>#REF!</v>
      </c>
      <c r="Z83" s="133"/>
      <c r="AA83" s="39" t="e">
        <f ca="1">#REF!*tax*#REF! + (Construction!AZ84+Construction!BX84)*(alch_plat+(Magic!AM83&gt;0)*alchemist_flame_bonus)</f>
        <v>#REF!</v>
      </c>
      <c r="AB83" s="39" t="e">
        <f>#REF!*farm_food +#REF!* dock_food</f>
        <v>#REF!</v>
      </c>
      <c r="AC83" s="39" t="e">
        <f>#REF!*ly_lumber +#REF!* fh_lumber</f>
        <v>#REF!</v>
      </c>
      <c r="AD83" s="39" t="e">
        <f ca="1">OFFSET(#REF!,1,0)*(tower_mana + tech_4_5*#REF!) + OFFSET(#REF!,1,0)*wg_mana_prod</f>
        <v>#REF!</v>
      </c>
      <c r="AE83" s="39" t="e">
        <f ca="1">OFFSET(#REF!,1,0)*om_ore+IF(race="Dwarf",ROUNDDOWN(#REF!*0.4,0),)</f>
        <v>#REF!</v>
      </c>
      <c r="AF83" s="39" t="e">
        <f ca="1">OFFSET(#REF!,1,0)*dm_gems</f>
        <v>#REF!</v>
      </c>
      <c r="AG83" s="134"/>
      <c r="AH83" s="135" t="e">
        <f>MIN(race_platinum_bonus + IF(#REF!&gt;0,alch_frost_bonus,IF(Magic!AD83&gt;0,midas_bonus)) +#REF! -#REF!*( 0.02 + tech_5_7*#REF!) + tech_1_5*#REF! + tech_4_4*#REF!, 0.5)</f>
        <v>#REF!</v>
      </c>
      <c r="AI83" s="132" t="e">
        <f>(1 + race_food_bonus + IF(#REF!&gt;0,gaias_blessing_food,IF(#REF!&gt;0,gaias_watch_bonus)) +#REF! + tech_1_1*#REF! + tech_1_4*#REF! + tech_5_1*#REF! +#REF!/ 100*prestige_food_bonus*(1 + tech_8_1*#REF!)) - 1</f>
        <v>#REF!</v>
      </c>
      <c r="AJ83" s="135" t="e">
        <f>race_lumber_bonus+ IF(#REF!&gt;0,gaias_blessing_lumber)+ tech_1_3*#REF! + tech_1_6*#REF! + tech_3_3*#REF!</f>
        <v>#REF!</v>
      </c>
      <c r="AK83" s="135" t="e">
        <f>race_mana_bonus+ 0 +#REF! + tech_1_2*#REF! + tech_3_4*#REF!</f>
        <v>#REF!</v>
      </c>
      <c r="AL83" s="135" t="e">
        <f>race_ore_bonus + IF(#REF!&gt;0,miners_sight_bonus,IF(#REF!&gt;0,mining_strength_bonus)) +  tech_1_6*#REF!</f>
        <v>#REF!</v>
      </c>
      <c r="AM83" s="135" t="e">
        <f>race_gem_bonus+ tech_3_2*#REF! + tech_4_3*#REF! + tech_6_2*#REF!</f>
        <v>#REF!</v>
      </c>
      <c r="AN83" s="134"/>
      <c r="AO83" s="39" t="e">
        <f>#REF!*food_decay * (1 + tech_2_1*#REF! + tech_2_8*#REF!)</f>
        <v>#REF!</v>
      </c>
      <c r="AP83" s="39" t="e">
        <f>(1+race_food_consumption)*#REF!*food_per_person*(1+tech_1_10*#REF!+tech_7_5*#REF!)</f>
        <v>#REF!</v>
      </c>
      <c r="AQ83" s="39" t="e">
        <f>#REF!*lumber_rot * (1 + tech_2_1*#REF! + tech_2_8*#REF! + tech_5_2*#REF!)</f>
        <v>#REF!</v>
      </c>
      <c r="AR83" s="39" t="e">
        <f>#REF!*mana_drain * (1 + tech_2_1*#REF! + tech_2_8*#REF!)</f>
        <v>#REF!</v>
      </c>
      <c r="AS83" s="133"/>
      <c r="AT83" s="39" t="e">
        <f>#REF!+#REF!+#REF!+#REF!+#REF!-#REF!</f>
        <v>#REF!</v>
      </c>
      <c r="AU83" s="39" t="e">
        <f>#REF!+#REF!-#REF! + Military!$CL$25*#REF!</f>
        <v>#REF!</v>
      </c>
      <c r="AV83" s="39" t="e">
        <f>#REF! + Military!$CL$26*#REF!</f>
        <v>#REF!</v>
      </c>
      <c r="AW83" s="39" t="e">
        <f>Military!$CL$24*#REF!+#REF!-#REF!</f>
        <v>#REF!</v>
      </c>
      <c r="AX83" s="39" t="e">
        <f>#REF!-#REF!</f>
        <v>#REF!</v>
      </c>
      <c r="AY83" s="134"/>
      <c r="AZ83" s="61" t="e">
        <f ca="1">IF(#REF!&lt;&gt;"",#REF!,OFFSET(#REF!,-1,0))</f>
        <v>#REF!</v>
      </c>
      <c r="BA83" s="144"/>
      <c r="BB83" s="3" t="e">
        <f>#REF!</f>
        <v>#REF!</v>
      </c>
      <c r="BC83" s="146" t="e">
        <f>-#REF! / 2 + -#REF! * 2 + -#REF! / 2</f>
        <v>#REF!</v>
      </c>
      <c r="BD83" s="146"/>
      <c r="BE83" s="146"/>
      <c r="BF83" s="146"/>
      <c r="BG83" s="147" t="e">
        <f>#REF!</f>
        <v>#REF!</v>
      </c>
      <c r="BH83" s="3" t="e">
        <f>IF(AND(#REF!=0,#REF!=0,#REF!=0,#REF!=0),"",IF(#REF!&gt;0,IF((#REF!+#REF!)/2+#REF!*2+ROUNDUP(#REF!/(1 + tech_2_2*Techs!Y83),0)=0,"Ok","Nope"),IF(#REF!&gt;0,IF((#REF!+#REF!)/2+#REF!*2+ROUNDUP(#REF!/(1 + tech_2_2*Techs!Y83),0)=0,"Ok","Nope"),IF(#REF!&gt;0,IF((#REF!+#REF!)/2+#REF!*2+ROUNDUP(#REF!/(1 + tech_2_2*Techs!Y83),0)=0,"Ok","Nope")))))</f>
        <v>#REF!</v>
      </c>
      <c r="BI83" s="39" t="e">
        <f>#REF!</f>
        <v>#REF!</v>
      </c>
      <c r="BJ83" s="39" t="e">
        <f>#REF!</f>
        <v>#REF!</v>
      </c>
      <c r="BK83" s="39" t="e">
        <f>#REF!</f>
        <v>#REF!</v>
      </c>
      <c r="BL83" s="39" t="e">
        <f>#REF!</f>
        <v>#REF!</v>
      </c>
      <c r="BM83" s="39" t="e">
        <f>#REF!</f>
        <v>#REF!</v>
      </c>
    </row>
    <row r="84" spans="1:65" x14ac:dyDescent="0.25">
      <c r="A84" s="130">
        <v>9</v>
      </c>
      <c r="B84" s="143" t="e">
        <f>#REF!</f>
        <v>#REF!</v>
      </c>
      <c r="C84" s="144"/>
      <c r="D84" s="133"/>
      <c r="E84" s="39" t="e">
        <f>#REF!</f>
        <v>#REF!</v>
      </c>
      <c r="F84" s="39" t="e">
        <f>#REF!</f>
        <v>#REF!</v>
      </c>
      <c r="G84" s="39" t="e">
        <f>#REF!</f>
        <v>#REF!</v>
      </c>
      <c r="H84" s="39" t="e">
        <f ca="1">OFFSET(#REF!,-1,0)+OFFSET(#REF!,-1,0) -#REF! + IF(#REF!,#REF!*4) + SUM(#REF!)*#REF!*tech_3_3_2*#REF!</f>
        <v>#REF!</v>
      </c>
      <c r="I84" s="39" t="e">
        <f ca="1">OFFSET(#REF!,-1,0)+OFFSET(#REF!,-1,0)+ROUNDUP((#REF!*80+#REF!*35)*(1+OFFSET(#REF!,-1,0)),0)</f>
        <v>#REF!</v>
      </c>
      <c r="J84" s="39" t="e">
        <f ca="1">OFFSET(#REF!,-1,0)+OFFSET(#REF!,-1,0) -#REF! + SUM(#REF!)*#REF!*tech_3_3_2*#REF!</f>
        <v>#REF!</v>
      </c>
      <c r="K84" s="39" t="e">
        <f ca="1">OFFSET(#REF!,-1,0)+OFFSET(#REF!,-1,0) -#REF!</f>
        <v>#REF!</v>
      </c>
      <c r="L84" s="39" t="e">
        <f ca="1">OFFSET(#REF!,-1,0)+OFFSET(#REF!,-1,0) -#REF!</f>
        <v>#REF!</v>
      </c>
      <c r="M84" s="39" t="e">
        <f ca="1">OFFSET(#REF!,-1,0)+OFFSET(#REF!,-1,0) -#REF!</f>
        <v>#REF!</v>
      </c>
      <c r="N84" s="39" t="e">
        <f ca="1">OFFSET(#REF!,-1,0)+OFFSET(#REF!,-1,0)</f>
        <v>#REF!</v>
      </c>
      <c r="O84" s="39" t="e">
        <f ca="1">OFFSET(#REF!,-1,0)</f>
        <v>#REF!</v>
      </c>
      <c r="P84" s="39" t="e">
        <f ca="1">ROUNDDOWN(OFFSET(#REF!,-1,0)+(1+research_bonus)*(MIN(#REF!,#REF!*school_max)*(1 - MIN((#REF!/(#REF!-#REF!)),school_max)))-#REF!*#REF!,0) + IF(#REF!&lt;&gt;"",350,0)</f>
        <v>#REF!</v>
      </c>
      <c r="Q84" s="39" t="e">
        <f ca="1">MAX(3750,_xlfn.CEILING.MATH(#REF!*2.5+OFFSET(#REF!,-1,0)*150))</f>
        <v>#REF!</v>
      </c>
      <c r="R84" s="134"/>
      <c r="S84" s="39" t="e">
        <f>ROUNDDOWN(#REF!*(1+#REF!),0)</f>
        <v>#REF!</v>
      </c>
      <c r="T84" s="39" t="e">
        <f>ROUND(#REF!*(1+#REF!)-#REF!-#REF!,0)</f>
        <v>#REF!</v>
      </c>
      <c r="U84" s="39" t="e">
        <f>ROUND(#REF!*(1+#REF!)-#REF!,0)</f>
        <v>#REF!</v>
      </c>
      <c r="V84" s="39" t="e">
        <f>ROUND(#REF!*(1+#REF!)-#REF!,0)</f>
        <v>#REF!</v>
      </c>
      <c r="W84" s="39" t="e">
        <f>ROUNDDOWN(#REF!*(1+#REF!),0)</f>
        <v>#REF!</v>
      </c>
      <c r="X84" s="39" t="e">
        <f>ROUNDDOWN(#REF!*(1+#REF!),0)</f>
        <v>#REF!</v>
      </c>
      <c r="Y84" s="145" t="e">
        <f ca="1">OFFSET(#REF!,1,0)*dock_boats_hr * (1 + tech_4_1*#REF!)</f>
        <v>#REF!</v>
      </c>
      <c r="Z84" s="133"/>
      <c r="AA84" s="39" t="e">
        <f ca="1">#REF!*tax*#REF! + (Construction!AZ85+Construction!BX85)*(alch_plat+(Magic!AM84&gt;0)*alchemist_flame_bonus)</f>
        <v>#REF!</v>
      </c>
      <c r="AB84" s="39" t="e">
        <f>#REF!*farm_food +#REF!* dock_food</f>
        <v>#REF!</v>
      </c>
      <c r="AC84" s="39" t="e">
        <f>#REF!*ly_lumber +#REF!* fh_lumber</f>
        <v>#REF!</v>
      </c>
      <c r="AD84" s="39" t="e">
        <f ca="1">OFFSET(#REF!,1,0)*(tower_mana + tech_4_5*#REF!) + OFFSET(#REF!,1,0)*wg_mana_prod</f>
        <v>#REF!</v>
      </c>
      <c r="AE84" s="39" t="e">
        <f ca="1">OFFSET(#REF!,1,0)*om_ore+IF(race="Dwarf",ROUNDDOWN(#REF!*0.4,0),)</f>
        <v>#REF!</v>
      </c>
      <c r="AF84" s="39" t="e">
        <f ca="1">OFFSET(#REF!,1,0)*dm_gems</f>
        <v>#REF!</v>
      </c>
      <c r="AG84" s="134"/>
      <c r="AH84" s="135" t="e">
        <f>MIN(race_platinum_bonus + IF(#REF!&gt;0,alch_frost_bonus,IF(Magic!AD84&gt;0,midas_bonus)) +#REF! -#REF!*( 0.02 + tech_5_7*#REF!) + tech_1_5*#REF! + tech_4_4*#REF!, 0.5)</f>
        <v>#REF!</v>
      </c>
      <c r="AI84" s="132" t="e">
        <f>(1 + race_food_bonus + IF(#REF!&gt;0,gaias_blessing_food,IF(#REF!&gt;0,gaias_watch_bonus)) +#REF! + tech_1_1*#REF! + tech_1_4*#REF! + tech_5_1*#REF! +#REF!/ 100*prestige_food_bonus*(1 + tech_8_1*#REF!)) - 1</f>
        <v>#REF!</v>
      </c>
      <c r="AJ84" s="135" t="e">
        <f>race_lumber_bonus+ IF(#REF!&gt;0,gaias_blessing_lumber)+ tech_1_3*#REF! + tech_1_6*#REF! + tech_3_3*#REF!</f>
        <v>#REF!</v>
      </c>
      <c r="AK84" s="135" t="e">
        <f>race_mana_bonus+ 0 +#REF! + tech_1_2*#REF! + tech_3_4*#REF!</f>
        <v>#REF!</v>
      </c>
      <c r="AL84" s="135" t="e">
        <f>race_ore_bonus + IF(#REF!&gt;0,miners_sight_bonus,IF(#REF!&gt;0,mining_strength_bonus)) +  tech_1_6*#REF!</f>
        <v>#REF!</v>
      </c>
      <c r="AM84" s="135" t="e">
        <f>race_gem_bonus+ tech_3_2*#REF! + tech_4_3*#REF! + tech_6_2*#REF!</f>
        <v>#REF!</v>
      </c>
      <c r="AN84" s="134"/>
      <c r="AO84" s="39" t="e">
        <f>#REF!*food_decay * (1 + tech_2_1*#REF! + tech_2_8*#REF!)</f>
        <v>#REF!</v>
      </c>
      <c r="AP84" s="39" t="e">
        <f>(1+race_food_consumption)*#REF!*food_per_person*(1+tech_1_10*#REF!+tech_7_5*#REF!)</f>
        <v>#REF!</v>
      </c>
      <c r="AQ84" s="39" t="e">
        <f>#REF!*lumber_rot * (1 + tech_2_1*#REF! + tech_2_8*#REF! + tech_5_2*#REF!)</f>
        <v>#REF!</v>
      </c>
      <c r="AR84" s="39" t="e">
        <f>#REF!*mana_drain * (1 + tech_2_1*#REF! + tech_2_8*#REF!)</f>
        <v>#REF!</v>
      </c>
      <c r="AS84" s="133"/>
      <c r="AT84" s="39" t="e">
        <f>#REF!+#REF!+#REF!+#REF!+#REF!-#REF!</f>
        <v>#REF!</v>
      </c>
      <c r="AU84" s="39" t="e">
        <f>#REF!+#REF!-#REF! + Military!$CL$25*#REF!</f>
        <v>#REF!</v>
      </c>
      <c r="AV84" s="39" t="e">
        <f>#REF! + Military!$CL$26*#REF!</f>
        <v>#REF!</v>
      </c>
      <c r="AW84" s="39" t="e">
        <f>Military!$CL$24*#REF!+#REF!-#REF!</f>
        <v>#REF!</v>
      </c>
      <c r="AX84" s="39" t="e">
        <f>#REF!-#REF!</f>
        <v>#REF!</v>
      </c>
      <c r="AY84" s="134"/>
      <c r="AZ84" s="61" t="e">
        <f ca="1">IF(#REF!&lt;&gt;"",#REF!,OFFSET(#REF!,-1,0))</f>
        <v>#REF!</v>
      </c>
      <c r="BA84" s="144"/>
      <c r="BB84" s="3" t="e">
        <f>#REF!</f>
        <v>#REF!</v>
      </c>
      <c r="BC84" s="146" t="e">
        <f>-#REF! / 2 + -#REF! * 2 + -#REF! / 2</f>
        <v>#REF!</v>
      </c>
      <c r="BD84" s="146"/>
      <c r="BE84" s="146"/>
      <c r="BF84" s="146"/>
      <c r="BG84" s="147" t="e">
        <f>#REF!</f>
        <v>#REF!</v>
      </c>
      <c r="BH84" s="3" t="e">
        <f>IF(AND(#REF!=0,#REF!=0,#REF!=0,#REF!=0),"",IF(#REF!&gt;0,IF((#REF!+#REF!)/2+#REF!*2+ROUNDUP(#REF!/(1 + tech_2_2*Techs!Y84),0)=0,"Ok","Nope"),IF(#REF!&gt;0,IF((#REF!+#REF!)/2+#REF!*2+ROUNDUP(#REF!/(1 + tech_2_2*Techs!Y84),0)=0,"Ok","Nope"),IF(#REF!&gt;0,IF((#REF!+#REF!)/2+#REF!*2+ROUNDUP(#REF!/(1 + tech_2_2*Techs!Y84),0)=0,"Ok","Nope")))))</f>
        <v>#REF!</v>
      </c>
      <c r="BI84" s="39" t="e">
        <f>#REF!</f>
        <v>#REF!</v>
      </c>
      <c r="BJ84" s="39" t="e">
        <f>#REF!</f>
        <v>#REF!</v>
      </c>
      <c r="BK84" s="39" t="e">
        <f>#REF!</f>
        <v>#REF!</v>
      </c>
      <c r="BL84" s="39" t="e">
        <f>#REF!</f>
        <v>#REF!</v>
      </c>
      <c r="BM84" s="39" t="e">
        <f>#REF!</f>
        <v>#REF!</v>
      </c>
    </row>
    <row r="85" spans="1:65" x14ac:dyDescent="0.25">
      <c r="A85" s="130">
        <v>10</v>
      </c>
      <c r="B85" s="143" t="e">
        <f>#REF!</f>
        <v>#REF!</v>
      </c>
      <c r="C85" s="144"/>
      <c r="D85" s="133"/>
      <c r="E85" s="39" t="e">
        <f>#REF!</f>
        <v>#REF!</v>
      </c>
      <c r="F85" s="39" t="e">
        <f>#REF!</f>
        <v>#REF!</v>
      </c>
      <c r="G85" s="39" t="e">
        <f>#REF!</f>
        <v>#REF!</v>
      </c>
      <c r="H85" s="39" t="e">
        <f ca="1">OFFSET(#REF!,-1,0)+OFFSET(#REF!,-1,0) -#REF! + IF(#REF!,#REF!*4) + SUM(#REF!)*#REF!*tech_3_3_2*#REF!</f>
        <v>#REF!</v>
      </c>
      <c r="I85" s="39" t="e">
        <f ca="1">OFFSET(#REF!,-1,0)+OFFSET(#REF!,-1,0)+ROUNDUP((#REF!*80+#REF!*35)*(1+OFFSET(#REF!,-1,0)),0)</f>
        <v>#REF!</v>
      </c>
      <c r="J85" s="39" t="e">
        <f ca="1">OFFSET(#REF!,-1,0)+OFFSET(#REF!,-1,0) -#REF! + SUM(#REF!)*#REF!*tech_3_3_2*#REF!</f>
        <v>#REF!</v>
      </c>
      <c r="K85" s="39" t="e">
        <f ca="1">OFFSET(#REF!,-1,0)+OFFSET(#REF!,-1,0) -#REF!</f>
        <v>#REF!</v>
      </c>
      <c r="L85" s="39" t="e">
        <f ca="1">OFFSET(#REF!,-1,0)+OFFSET(#REF!,-1,0) -#REF!</f>
        <v>#REF!</v>
      </c>
      <c r="M85" s="39" t="e">
        <f ca="1">OFFSET(#REF!,-1,0)+OFFSET(#REF!,-1,0) -#REF!</f>
        <v>#REF!</v>
      </c>
      <c r="N85" s="39" t="e">
        <f ca="1">OFFSET(#REF!,-1,0)+OFFSET(#REF!,-1,0)</f>
        <v>#REF!</v>
      </c>
      <c r="O85" s="39" t="e">
        <f ca="1">OFFSET(#REF!,-1,0)</f>
        <v>#REF!</v>
      </c>
      <c r="P85" s="39" t="e">
        <f ca="1">ROUNDDOWN(OFFSET(#REF!,-1,0)+(1+research_bonus)*(MIN(#REF!,#REF!*school_max)*(1 - MIN((#REF!/(#REF!-#REF!)),school_max)))-#REF!*#REF!,0) + IF(#REF!&lt;&gt;"",350,0)</f>
        <v>#REF!</v>
      </c>
      <c r="Q85" s="39" t="e">
        <f ca="1">MAX(3750,_xlfn.CEILING.MATH(#REF!*2.5+OFFSET(#REF!,-1,0)*150))</f>
        <v>#REF!</v>
      </c>
      <c r="R85" s="134"/>
      <c r="S85" s="39" t="e">
        <f>ROUNDDOWN(#REF!*(1+#REF!),0)</f>
        <v>#REF!</v>
      </c>
      <c r="T85" s="39" t="e">
        <f>ROUND(#REF!*(1+#REF!)-#REF!-#REF!,0)</f>
        <v>#REF!</v>
      </c>
      <c r="U85" s="39" t="e">
        <f>ROUND(#REF!*(1+#REF!)-#REF!,0)</f>
        <v>#REF!</v>
      </c>
      <c r="V85" s="39" t="e">
        <f>ROUND(#REF!*(1+#REF!)-#REF!,0)</f>
        <v>#REF!</v>
      </c>
      <c r="W85" s="39" t="e">
        <f>ROUNDDOWN(#REF!*(1+#REF!),0)</f>
        <v>#REF!</v>
      </c>
      <c r="X85" s="39" t="e">
        <f>ROUNDDOWN(#REF!*(1+#REF!),0)</f>
        <v>#REF!</v>
      </c>
      <c r="Y85" s="145" t="e">
        <f ca="1">OFFSET(#REF!,1,0)*dock_boats_hr * (1 + tech_4_1*#REF!)</f>
        <v>#REF!</v>
      </c>
      <c r="Z85" s="133"/>
      <c r="AA85" s="39" t="e">
        <f ca="1">#REF!*tax*#REF! + (Construction!AZ86+Construction!BX86)*(alch_plat+(Magic!AM85&gt;0)*alchemist_flame_bonus)</f>
        <v>#REF!</v>
      </c>
      <c r="AB85" s="39" t="e">
        <f>#REF!*farm_food +#REF!* dock_food</f>
        <v>#REF!</v>
      </c>
      <c r="AC85" s="39" t="e">
        <f>#REF!*ly_lumber +#REF!* fh_lumber</f>
        <v>#REF!</v>
      </c>
      <c r="AD85" s="39" t="e">
        <f ca="1">OFFSET(#REF!,1,0)*(tower_mana + tech_4_5*#REF!) + OFFSET(#REF!,1,0)*wg_mana_prod</f>
        <v>#REF!</v>
      </c>
      <c r="AE85" s="39" t="e">
        <f ca="1">OFFSET(#REF!,1,0)*om_ore+IF(race="Dwarf",ROUNDDOWN(#REF!*0.4,0),)</f>
        <v>#REF!</v>
      </c>
      <c r="AF85" s="39" t="e">
        <f ca="1">OFFSET(#REF!,1,0)*dm_gems</f>
        <v>#REF!</v>
      </c>
      <c r="AG85" s="134"/>
      <c r="AH85" s="135" t="e">
        <f>MIN(race_platinum_bonus + IF(#REF!&gt;0,alch_frost_bonus,IF(Magic!AD85&gt;0,midas_bonus)) +#REF! -#REF!*( 0.02 + tech_5_7*#REF!) + tech_1_5*#REF! + tech_4_4*#REF!, 0.5)</f>
        <v>#REF!</v>
      </c>
      <c r="AI85" s="132" t="e">
        <f>(1 + race_food_bonus + IF(#REF!&gt;0,gaias_blessing_food,IF(#REF!&gt;0,gaias_watch_bonus)) +#REF! + tech_1_1*#REF! + tech_1_4*#REF! + tech_5_1*#REF! +#REF!/ 100*prestige_food_bonus*(1 + tech_8_1*#REF!)) - 1</f>
        <v>#REF!</v>
      </c>
      <c r="AJ85" s="135" t="e">
        <f>race_lumber_bonus+ IF(#REF!&gt;0,gaias_blessing_lumber)+ tech_1_3*#REF! + tech_1_6*#REF! + tech_3_3*#REF!</f>
        <v>#REF!</v>
      </c>
      <c r="AK85" s="135" t="e">
        <f>race_mana_bonus+ 0 +#REF! + tech_1_2*#REF! + tech_3_4*#REF!</f>
        <v>#REF!</v>
      </c>
      <c r="AL85" s="135" t="e">
        <f>race_ore_bonus + IF(#REF!&gt;0,miners_sight_bonus,IF(#REF!&gt;0,mining_strength_bonus)) +  tech_1_6*#REF!</f>
        <v>#REF!</v>
      </c>
      <c r="AM85" s="135" t="e">
        <f>race_gem_bonus+ tech_3_2*#REF! + tech_4_3*#REF! + tech_6_2*#REF!</f>
        <v>#REF!</v>
      </c>
      <c r="AN85" s="134"/>
      <c r="AO85" s="39" t="e">
        <f>#REF!*food_decay * (1 + tech_2_1*#REF! + tech_2_8*#REF!)</f>
        <v>#REF!</v>
      </c>
      <c r="AP85" s="39" t="e">
        <f>(1+race_food_consumption)*#REF!*food_per_person*(1+tech_1_10*#REF!+tech_7_5*#REF!)</f>
        <v>#REF!</v>
      </c>
      <c r="AQ85" s="39" t="e">
        <f>#REF!*lumber_rot * (1 + tech_2_1*#REF! + tech_2_8*#REF! + tech_5_2*#REF!)</f>
        <v>#REF!</v>
      </c>
      <c r="AR85" s="39" t="e">
        <f>#REF!*mana_drain * (1 + tech_2_1*#REF! + tech_2_8*#REF!)</f>
        <v>#REF!</v>
      </c>
      <c r="AS85" s="133"/>
      <c r="AT85" s="39" t="e">
        <f>#REF!+#REF!+#REF!+#REF!+#REF!-#REF!</f>
        <v>#REF!</v>
      </c>
      <c r="AU85" s="39" t="e">
        <f>#REF!+#REF!-#REF! + Military!$CL$25*#REF!</f>
        <v>#REF!</v>
      </c>
      <c r="AV85" s="39" t="e">
        <f>#REF! + Military!$CL$26*#REF!</f>
        <v>#REF!</v>
      </c>
      <c r="AW85" s="39" t="e">
        <f>Military!$CL$24*#REF!+#REF!-#REF!</f>
        <v>#REF!</v>
      </c>
      <c r="AX85" s="39" t="e">
        <f>#REF!-#REF!</f>
        <v>#REF!</v>
      </c>
      <c r="AY85" s="134"/>
      <c r="AZ85" s="61" t="e">
        <f ca="1">IF(#REF!&lt;&gt;"",#REF!,OFFSET(#REF!,-1,0))</f>
        <v>#REF!</v>
      </c>
      <c r="BA85" s="144"/>
      <c r="BB85" s="3" t="e">
        <f>#REF!</f>
        <v>#REF!</v>
      </c>
      <c r="BC85" s="146" t="e">
        <f>-#REF! / 2 + -#REF! * 2 + -#REF! / 2</f>
        <v>#REF!</v>
      </c>
      <c r="BD85" s="146"/>
      <c r="BE85" s="146"/>
      <c r="BF85" s="146"/>
      <c r="BG85" s="147" t="e">
        <f>#REF!</f>
        <v>#REF!</v>
      </c>
      <c r="BH85" s="3" t="e">
        <f>IF(AND(#REF!=0,#REF!=0,#REF!=0,#REF!=0),"",IF(#REF!&gt;0,IF((#REF!+#REF!)/2+#REF!*2+ROUNDUP(#REF!/(1 + tech_2_2*Techs!Y85),0)=0,"Ok","Nope"),IF(#REF!&gt;0,IF((#REF!+#REF!)/2+#REF!*2+ROUNDUP(#REF!/(1 + tech_2_2*Techs!Y85),0)=0,"Ok","Nope"),IF(#REF!&gt;0,IF((#REF!+#REF!)/2+#REF!*2+ROUNDUP(#REF!/(1 + tech_2_2*Techs!Y85),0)=0,"Ok","Nope")))))</f>
        <v>#REF!</v>
      </c>
      <c r="BI85" s="39" t="e">
        <f>#REF!</f>
        <v>#REF!</v>
      </c>
      <c r="BJ85" s="39" t="e">
        <f>#REF!</f>
        <v>#REF!</v>
      </c>
      <c r="BK85" s="39" t="e">
        <f>#REF!</f>
        <v>#REF!</v>
      </c>
      <c r="BL85" s="39" t="e">
        <f>#REF!</f>
        <v>#REF!</v>
      </c>
      <c r="BM85" s="39" t="e">
        <f>#REF!</f>
        <v>#REF!</v>
      </c>
    </row>
    <row r="86" spans="1:65" x14ac:dyDescent="0.25">
      <c r="A86" s="130">
        <v>11</v>
      </c>
      <c r="B86" s="143" t="e">
        <f>#REF!</f>
        <v>#REF!</v>
      </c>
      <c r="C86" s="144"/>
      <c r="D86" s="133"/>
      <c r="E86" s="39" t="e">
        <f>#REF!</f>
        <v>#REF!</v>
      </c>
      <c r="F86" s="39" t="e">
        <f>#REF!</f>
        <v>#REF!</v>
      </c>
      <c r="G86" s="39" t="e">
        <f>#REF!</f>
        <v>#REF!</v>
      </c>
      <c r="H86" s="39" t="e">
        <f ca="1">OFFSET(#REF!,-1,0)+OFFSET(#REF!,-1,0) -#REF! + IF(#REF!,#REF!*4) + SUM(#REF!)*#REF!*tech_3_3_2*#REF!</f>
        <v>#REF!</v>
      </c>
      <c r="I86" s="39" t="e">
        <f ca="1">OFFSET(#REF!,-1,0)+OFFSET(#REF!,-1,0)+ROUNDUP((#REF!*80+#REF!*35)*(1+OFFSET(#REF!,-1,0)),0)</f>
        <v>#REF!</v>
      </c>
      <c r="J86" s="39" t="e">
        <f ca="1">OFFSET(#REF!,-1,0)+OFFSET(#REF!,-1,0) -#REF! + SUM(#REF!)*#REF!*tech_3_3_2*#REF!</f>
        <v>#REF!</v>
      </c>
      <c r="K86" s="39" t="e">
        <f ca="1">OFFSET(#REF!,-1,0)+OFFSET(#REF!,-1,0) -#REF!</f>
        <v>#REF!</v>
      </c>
      <c r="L86" s="39" t="e">
        <f ca="1">OFFSET(#REF!,-1,0)+OFFSET(#REF!,-1,0) -#REF!</f>
        <v>#REF!</v>
      </c>
      <c r="M86" s="39" t="e">
        <f ca="1">OFFSET(#REF!,-1,0)+OFFSET(#REF!,-1,0) -#REF!</f>
        <v>#REF!</v>
      </c>
      <c r="N86" s="39" t="e">
        <f ca="1">OFFSET(#REF!,-1,0)+OFFSET(#REF!,-1,0)</f>
        <v>#REF!</v>
      </c>
      <c r="O86" s="39" t="e">
        <f ca="1">OFFSET(#REF!,-1,0)</f>
        <v>#REF!</v>
      </c>
      <c r="P86" s="39" t="e">
        <f ca="1">ROUNDDOWN(OFFSET(#REF!,-1,0)+(1+research_bonus)*(MIN(#REF!,#REF!*school_max)*(1 - MIN((#REF!/(#REF!-#REF!)),school_max)))-#REF!*#REF!,0) + IF(#REF!&lt;&gt;"",350,0)</f>
        <v>#REF!</v>
      </c>
      <c r="Q86" s="39" t="e">
        <f ca="1">MAX(3750,_xlfn.CEILING.MATH(#REF!*2.5+OFFSET(#REF!,-1,0)*150))</f>
        <v>#REF!</v>
      </c>
      <c r="R86" s="134"/>
      <c r="S86" s="39" t="e">
        <f>ROUNDDOWN(#REF!*(1+#REF!),0)</f>
        <v>#REF!</v>
      </c>
      <c r="T86" s="39" t="e">
        <f>ROUND(#REF!*(1+#REF!)-#REF!-#REF!,0)</f>
        <v>#REF!</v>
      </c>
      <c r="U86" s="39" t="e">
        <f>ROUND(#REF!*(1+#REF!)-#REF!,0)</f>
        <v>#REF!</v>
      </c>
      <c r="V86" s="39" t="e">
        <f>ROUND(#REF!*(1+#REF!)-#REF!,0)</f>
        <v>#REF!</v>
      </c>
      <c r="W86" s="39" t="e">
        <f>ROUNDDOWN(#REF!*(1+#REF!),0)</f>
        <v>#REF!</v>
      </c>
      <c r="X86" s="39" t="e">
        <f>ROUNDDOWN(#REF!*(1+#REF!),0)</f>
        <v>#REF!</v>
      </c>
      <c r="Y86" s="145" t="e">
        <f ca="1">OFFSET(#REF!,1,0)*dock_boats_hr * (1 + tech_4_1*#REF!)</f>
        <v>#REF!</v>
      </c>
      <c r="Z86" s="133"/>
      <c r="AA86" s="39" t="e">
        <f ca="1">#REF!*tax*#REF! + (Construction!AZ87+Construction!BX87)*(alch_plat+(Magic!AM86&gt;0)*alchemist_flame_bonus)</f>
        <v>#REF!</v>
      </c>
      <c r="AB86" s="39" t="e">
        <f>#REF!*farm_food +#REF!* dock_food</f>
        <v>#REF!</v>
      </c>
      <c r="AC86" s="39" t="e">
        <f>#REF!*ly_lumber +#REF!* fh_lumber</f>
        <v>#REF!</v>
      </c>
      <c r="AD86" s="39" t="e">
        <f ca="1">OFFSET(#REF!,1,0)*(tower_mana + tech_4_5*#REF!) + OFFSET(#REF!,1,0)*wg_mana_prod</f>
        <v>#REF!</v>
      </c>
      <c r="AE86" s="39" t="e">
        <f ca="1">OFFSET(#REF!,1,0)*om_ore+IF(race="Dwarf",ROUNDDOWN(#REF!*0.4,0),)</f>
        <v>#REF!</v>
      </c>
      <c r="AF86" s="39" t="e">
        <f ca="1">OFFSET(#REF!,1,0)*dm_gems</f>
        <v>#REF!</v>
      </c>
      <c r="AG86" s="134"/>
      <c r="AH86" s="135" t="e">
        <f>MIN(race_platinum_bonus + IF(#REF!&gt;0,alch_frost_bonus,IF(Magic!AD86&gt;0,midas_bonus)) +#REF! -#REF!*( 0.02 + tech_5_7*#REF!) + tech_1_5*#REF! + tech_4_4*#REF!, 0.5)</f>
        <v>#REF!</v>
      </c>
      <c r="AI86" s="132" t="e">
        <f>(1 + race_food_bonus + IF(#REF!&gt;0,gaias_blessing_food,IF(#REF!&gt;0,gaias_watch_bonus)) +#REF! + tech_1_1*#REF! + tech_1_4*#REF! + tech_5_1*#REF! +#REF!/ 100*prestige_food_bonus*(1 + tech_8_1*#REF!)) - 1</f>
        <v>#REF!</v>
      </c>
      <c r="AJ86" s="135" t="e">
        <f>race_lumber_bonus+ IF(#REF!&gt;0,gaias_blessing_lumber)+ tech_1_3*#REF! + tech_1_6*#REF! + tech_3_3*#REF!</f>
        <v>#REF!</v>
      </c>
      <c r="AK86" s="135" t="e">
        <f>race_mana_bonus+ 0 +#REF! + tech_1_2*#REF! + tech_3_4*#REF!</f>
        <v>#REF!</v>
      </c>
      <c r="AL86" s="135" t="e">
        <f>race_ore_bonus + IF(#REF!&gt;0,miners_sight_bonus,IF(#REF!&gt;0,mining_strength_bonus)) +  tech_1_6*#REF!</f>
        <v>#REF!</v>
      </c>
      <c r="AM86" s="135" t="e">
        <f>race_gem_bonus+ tech_3_2*#REF! + tech_4_3*#REF! + tech_6_2*#REF!</f>
        <v>#REF!</v>
      </c>
      <c r="AN86" s="134"/>
      <c r="AO86" s="39" t="e">
        <f>#REF!*food_decay * (1 + tech_2_1*#REF! + tech_2_8*#REF!)</f>
        <v>#REF!</v>
      </c>
      <c r="AP86" s="39" t="e">
        <f>(1+race_food_consumption)*#REF!*food_per_person*(1+tech_1_10*#REF!+tech_7_5*#REF!)</f>
        <v>#REF!</v>
      </c>
      <c r="AQ86" s="39" t="e">
        <f>#REF!*lumber_rot * (1 + tech_2_1*#REF! + tech_2_8*#REF! + tech_5_2*#REF!)</f>
        <v>#REF!</v>
      </c>
      <c r="AR86" s="39" t="e">
        <f>#REF!*mana_drain * (1 + tech_2_1*#REF! + tech_2_8*#REF!)</f>
        <v>#REF!</v>
      </c>
      <c r="AS86" s="133"/>
      <c r="AT86" s="39" t="e">
        <f>#REF!+#REF!+#REF!+#REF!+#REF!-#REF!</f>
        <v>#REF!</v>
      </c>
      <c r="AU86" s="39" t="e">
        <f>#REF!+#REF!-#REF! + Military!$CL$25*#REF!</f>
        <v>#REF!</v>
      </c>
      <c r="AV86" s="39" t="e">
        <f>#REF! + Military!$CL$26*#REF!</f>
        <v>#REF!</v>
      </c>
      <c r="AW86" s="39" t="e">
        <f>Military!$CL$24*#REF!+#REF!-#REF!</f>
        <v>#REF!</v>
      </c>
      <c r="AX86" s="39" t="e">
        <f>#REF!-#REF!</f>
        <v>#REF!</v>
      </c>
      <c r="AY86" s="134"/>
      <c r="AZ86" s="61" t="e">
        <f ca="1">IF(#REF!&lt;&gt;"",#REF!,OFFSET(#REF!,-1,0))</f>
        <v>#REF!</v>
      </c>
      <c r="BA86" s="144"/>
      <c r="BB86" s="3" t="e">
        <f>#REF!</f>
        <v>#REF!</v>
      </c>
      <c r="BC86" s="146" t="e">
        <f>-#REF! / 2 + -#REF! * 2 + -#REF! / 2</f>
        <v>#REF!</v>
      </c>
      <c r="BD86" s="146"/>
      <c r="BE86" s="146"/>
      <c r="BF86" s="146"/>
      <c r="BG86" s="147" t="e">
        <f>#REF!</f>
        <v>#REF!</v>
      </c>
      <c r="BH86" s="3" t="e">
        <f>IF(AND(#REF!=0,#REF!=0,#REF!=0,#REF!=0),"",IF(#REF!&gt;0,IF((#REF!+#REF!)/2+#REF!*2+ROUNDUP(#REF!/(1 + tech_2_2*Techs!Y86),0)=0,"Ok","Nope"),IF(#REF!&gt;0,IF((#REF!+#REF!)/2+#REF!*2+ROUNDUP(#REF!/(1 + tech_2_2*Techs!Y86),0)=0,"Ok","Nope"),IF(#REF!&gt;0,IF((#REF!+#REF!)/2+#REF!*2+ROUNDUP(#REF!/(1 + tech_2_2*Techs!Y86),0)=0,"Ok","Nope")))))</f>
        <v>#REF!</v>
      </c>
      <c r="BI86" s="39" t="e">
        <f>#REF!</f>
        <v>#REF!</v>
      </c>
      <c r="BJ86" s="39" t="e">
        <f>#REF!</f>
        <v>#REF!</v>
      </c>
      <c r="BK86" s="39" t="e">
        <f>#REF!</f>
        <v>#REF!</v>
      </c>
      <c r="BL86" s="39" t="e">
        <f>#REF!</f>
        <v>#REF!</v>
      </c>
      <c r="BM86" s="39" t="e">
        <f>#REF!</f>
        <v>#REF!</v>
      </c>
    </row>
    <row r="87" spans="1:65" x14ac:dyDescent="0.25">
      <c r="A87" s="130">
        <v>12</v>
      </c>
      <c r="B87" s="143" t="e">
        <f>#REF!</f>
        <v>#REF!</v>
      </c>
      <c r="C87" s="144"/>
      <c r="D87" s="133"/>
      <c r="E87" s="39" t="e">
        <f>#REF!</f>
        <v>#REF!</v>
      </c>
      <c r="F87" s="39" t="e">
        <f>#REF!</f>
        <v>#REF!</v>
      </c>
      <c r="G87" s="39" t="e">
        <f>#REF!</f>
        <v>#REF!</v>
      </c>
      <c r="H87" s="39" t="e">
        <f ca="1">OFFSET(#REF!,-1,0)+OFFSET(#REF!,-1,0) -#REF! + IF(#REF!,#REF!*4) + SUM(#REF!)*#REF!*tech_3_3_2*#REF!</f>
        <v>#REF!</v>
      </c>
      <c r="I87" s="39" t="e">
        <f ca="1">OFFSET(#REF!,-1,0)+OFFSET(#REF!,-1,0)+ROUNDUP((#REF!*80+#REF!*35)*(1+OFFSET(#REF!,-1,0)),0)</f>
        <v>#REF!</v>
      </c>
      <c r="J87" s="39" t="e">
        <f ca="1">OFFSET(#REF!,-1,0)+OFFSET(#REF!,-1,0) -#REF! + SUM(#REF!)*#REF!*tech_3_3_2*#REF!</f>
        <v>#REF!</v>
      </c>
      <c r="K87" s="39" t="e">
        <f ca="1">OFFSET(#REF!,-1,0)+OFFSET(#REF!,-1,0) -#REF!</f>
        <v>#REF!</v>
      </c>
      <c r="L87" s="39" t="e">
        <f ca="1">OFFSET(#REF!,-1,0)+OFFSET(#REF!,-1,0) -#REF!</f>
        <v>#REF!</v>
      </c>
      <c r="M87" s="39" t="e">
        <f ca="1">OFFSET(#REF!,-1,0)+OFFSET(#REF!,-1,0) -#REF!</f>
        <v>#REF!</v>
      </c>
      <c r="N87" s="39" t="e">
        <f ca="1">OFFSET(#REF!,-1,0)+OFFSET(#REF!,-1,0)</f>
        <v>#REF!</v>
      </c>
      <c r="O87" s="39" t="e">
        <f ca="1">OFFSET(#REF!,-1,0)</f>
        <v>#REF!</v>
      </c>
      <c r="P87" s="39" t="e">
        <f ca="1">ROUNDDOWN(OFFSET(#REF!,-1,0)+(1+research_bonus)*(MIN(#REF!,#REF!*school_max)*(1 - MIN((#REF!/(#REF!-#REF!)),school_max)))-#REF!*#REF!,0) + IF(#REF!&lt;&gt;"",350,0)</f>
        <v>#REF!</v>
      </c>
      <c r="Q87" s="39" t="e">
        <f ca="1">MAX(3750,_xlfn.CEILING.MATH(#REF!*2.5+OFFSET(#REF!,-1,0)*150))</f>
        <v>#REF!</v>
      </c>
      <c r="R87" s="134"/>
      <c r="S87" s="39" t="e">
        <f>ROUNDDOWN(#REF!*(1+#REF!),0)</f>
        <v>#REF!</v>
      </c>
      <c r="T87" s="39" t="e">
        <f>ROUND(#REF!*(1+#REF!)-#REF!-#REF!,0)</f>
        <v>#REF!</v>
      </c>
      <c r="U87" s="39" t="e">
        <f>ROUND(#REF!*(1+#REF!)-#REF!,0)</f>
        <v>#REF!</v>
      </c>
      <c r="V87" s="39" t="e">
        <f>ROUND(#REF!*(1+#REF!)-#REF!,0)</f>
        <v>#REF!</v>
      </c>
      <c r="W87" s="39" t="e">
        <f>ROUNDDOWN(#REF!*(1+#REF!),0)</f>
        <v>#REF!</v>
      </c>
      <c r="X87" s="39" t="e">
        <f>ROUNDDOWN(#REF!*(1+#REF!),0)</f>
        <v>#REF!</v>
      </c>
      <c r="Y87" s="145" t="e">
        <f ca="1">OFFSET(#REF!,1,0)*dock_boats_hr * (1 + tech_4_1*#REF!)</f>
        <v>#REF!</v>
      </c>
      <c r="Z87" s="133"/>
      <c r="AA87" s="39" t="e">
        <f ca="1">#REF!*tax*#REF! + (Construction!AZ88+Construction!BX88)*(alch_plat+(Magic!AM87&gt;0)*alchemist_flame_bonus)</f>
        <v>#REF!</v>
      </c>
      <c r="AB87" s="39" t="e">
        <f>#REF!*farm_food +#REF!* dock_food</f>
        <v>#REF!</v>
      </c>
      <c r="AC87" s="39" t="e">
        <f>#REF!*ly_lumber +#REF!* fh_lumber</f>
        <v>#REF!</v>
      </c>
      <c r="AD87" s="39" t="e">
        <f ca="1">OFFSET(#REF!,1,0)*(tower_mana + tech_4_5*#REF!) + OFFSET(#REF!,1,0)*wg_mana_prod</f>
        <v>#REF!</v>
      </c>
      <c r="AE87" s="39" t="e">
        <f ca="1">OFFSET(#REF!,1,0)*om_ore+IF(race="Dwarf",ROUNDDOWN(#REF!*0.4,0),)</f>
        <v>#REF!</v>
      </c>
      <c r="AF87" s="39" t="e">
        <f ca="1">OFFSET(#REF!,1,0)*dm_gems</f>
        <v>#REF!</v>
      </c>
      <c r="AG87" s="134"/>
      <c r="AH87" s="135" t="e">
        <f>MIN(race_platinum_bonus + IF(#REF!&gt;0,alch_frost_bonus,IF(Magic!AD87&gt;0,midas_bonus)) +#REF! -#REF!*( 0.02 + tech_5_7*#REF!) + tech_1_5*#REF! + tech_4_4*#REF!, 0.5)</f>
        <v>#REF!</v>
      </c>
      <c r="AI87" s="132" t="e">
        <f>(1 + race_food_bonus + IF(#REF!&gt;0,gaias_blessing_food,IF(#REF!&gt;0,gaias_watch_bonus)) +#REF! + tech_1_1*#REF! + tech_1_4*#REF! + tech_5_1*#REF! +#REF!/ 100*prestige_food_bonus*(1 + tech_8_1*#REF!)) - 1</f>
        <v>#REF!</v>
      </c>
      <c r="AJ87" s="135" t="e">
        <f>race_lumber_bonus+ IF(#REF!&gt;0,gaias_blessing_lumber)+ tech_1_3*#REF! + tech_1_6*#REF! + tech_3_3*#REF!</f>
        <v>#REF!</v>
      </c>
      <c r="AK87" s="135" t="e">
        <f>race_mana_bonus+ 0 +#REF! + tech_1_2*#REF! + tech_3_4*#REF!</f>
        <v>#REF!</v>
      </c>
      <c r="AL87" s="135" t="e">
        <f>race_ore_bonus + IF(#REF!&gt;0,miners_sight_bonus,IF(#REF!&gt;0,mining_strength_bonus)) +  tech_1_6*#REF!</f>
        <v>#REF!</v>
      </c>
      <c r="AM87" s="135" t="e">
        <f>race_gem_bonus+ tech_3_2*#REF! + tech_4_3*#REF! + tech_6_2*#REF!</f>
        <v>#REF!</v>
      </c>
      <c r="AN87" s="134"/>
      <c r="AO87" s="39" t="e">
        <f>#REF!*food_decay * (1 + tech_2_1*#REF! + tech_2_8*#REF!)</f>
        <v>#REF!</v>
      </c>
      <c r="AP87" s="39" t="e">
        <f>(1+race_food_consumption)*#REF!*food_per_person*(1+tech_1_10*#REF!+tech_7_5*#REF!)</f>
        <v>#REF!</v>
      </c>
      <c r="AQ87" s="39" t="e">
        <f>#REF!*lumber_rot * (1 + tech_2_1*#REF! + tech_2_8*#REF! + tech_5_2*#REF!)</f>
        <v>#REF!</v>
      </c>
      <c r="AR87" s="39" t="e">
        <f>#REF!*mana_drain * (1 + tech_2_1*#REF! + tech_2_8*#REF!)</f>
        <v>#REF!</v>
      </c>
      <c r="AS87" s="133"/>
      <c r="AT87" s="39" t="e">
        <f>#REF!+#REF!+#REF!+#REF!+#REF!-#REF!</f>
        <v>#REF!</v>
      </c>
      <c r="AU87" s="39" t="e">
        <f>#REF!+#REF!-#REF! + Military!$CL$25*#REF!</f>
        <v>#REF!</v>
      </c>
      <c r="AV87" s="39" t="e">
        <f>#REF! + Military!$CL$26*#REF!</f>
        <v>#REF!</v>
      </c>
      <c r="AW87" s="39" t="e">
        <f>Military!$CL$24*#REF!+#REF!-#REF!</f>
        <v>#REF!</v>
      </c>
      <c r="AX87" s="39" t="e">
        <f>#REF!-#REF!</f>
        <v>#REF!</v>
      </c>
      <c r="AY87" s="134"/>
      <c r="AZ87" s="61" t="e">
        <f ca="1">IF(#REF!&lt;&gt;"",#REF!,OFFSET(#REF!,-1,0))</f>
        <v>#REF!</v>
      </c>
      <c r="BA87" s="144"/>
      <c r="BB87" s="3" t="e">
        <f>#REF!</f>
        <v>#REF!</v>
      </c>
      <c r="BC87" s="146" t="e">
        <f>-#REF! / 2 + -#REF! * 2 + -#REF! / 2</f>
        <v>#REF!</v>
      </c>
      <c r="BD87" s="146"/>
      <c r="BE87" s="146"/>
      <c r="BF87" s="146"/>
      <c r="BG87" s="147" t="e">
        <f>#REF!</f>
        <v>#REF!</v>
      </c>
      <c r="BH87" s="3" t="e">
        <f>IF(AND(#REF!=0,#REF!=0,#REF!=0,#REF!=0),"",IF(#REF!&gt;0,IF((#REF!+#REF!)/2+#REF!*2+ROUNDUP(#REF!/(1 + tech_2_2*Techs!Y87),0)=0,"Ok","Nope"),IF(#REF!&gt;0,IF((#REF!+#REF!)/2+#REF!*2+ROUNDUP(#REF!/(1 + tech_2_2*Techs!Y87),0)=0,"Ok","Nope"),IF(#REF!&gt;0,IF((#REF!+#REF!)/2+#REF!*2+ROUNDUP(#REF!/(1 + tech_2_2*Techs!Y87),0)=0,"Ok","Nope")))))</f>
        <v>#REF!</v>
      </c>
      <c r="BI87" s="39" t="e">
        <f>#REF!</f>
        <v>#REF!</v>
      </c>
      <c r="BJ87" s="39" t="e">
        <f>#REF!</f>
        <v>#REF!</v>
      </c>
      <c r="BK87" s="39" t="e">
        <f>#REF!</f>
        <v>#REF!</v>
      </c>
      <c r="BL87" s="39" t="e">
        <f>#REF!</f>
        <v>#REF!</v>
      </c>
      <c r="BM87" s="39" t="e">
        <f>#REF!</f>
        <v>#REF!</v>
      </c>
    </row>
    <row r="88" spans="1:65" x14ac:dyDescent="0.25">
      <c r="A88" s="130">
        <v>13</v>
      </c>
      <c r="B88" s="143" t="e">
        <f>#REF!</f>
        <v>#REF!</v>
      </c>
      <c r="C88" s="144"/>
      <c r="D88" s="133"/>
      <c r="E88" s="39" t="e">
        <f>#REF!</f>
        <v>#REF!</v>
      </c>
      <c r="F88" s="39" t="e">
        <f>#REF!</f>
        <v>#REF!</v>
      </c>
      <c r="G88" s="39" t="e">
        <f>#REF!</f>
        <v>#REF!</v>
      </c>
      <c r="H88" s="39" t="e">
        <f ca="1">OFFSET(#REF!,-1,0)+OFFSET(#REF!,-1,0) -#REF! + IF(#REF!,#REF!*4) + SUM(#REF!)*#REF!*tech_3_3_2*#REF!</f>
        <v>#REF!</v>
      </c>
      <c r="I88" s="39" t="e">
        <f ca="1">OFFSET(#REF!,-1,0)+OFFSET(#REF!,-1,0)+ROUNDUP((#REF!*80+#REF!*35)*(1+OFFSET(#REF!,-1,0)),0)</f>
        <v>#REF!</v>
      </c>
      <c r="J88" s="39" t="e">
        <f ca="1">OFFSET(#REF!,-1,0)+OFFSET(#REF!,-1,0) -#REF! + SUM(#REF!)*#REF!*tech_3_3_2*#REF!</f>
        <v>#REF!</v>
      </c>
      <c r="K88" s="39" t="e">
        <f ca="1">OFFSET(#REF!,-1,0)+OFFSET(#REF!,-1,0) -#REF!</f>
        <v>#REF!</v>
      </c>
      <c r="L88" s="39" t="e">
        <f ca="1">OFFSET(#REF!,-1,0)+OFFSET(#REF!,-1,0) -#REF!</f>
        <v>#REF!</v>
      </c>
      <c r="M88" s="39" t="e">
        <f ca="1">OFFSET(#REF!,-1,0)+OFFSET(#REF!,-1,0) -#REF!</f>
        <v>#REF!</v>
      </c>
      <c r="N88" s="39" t="e">
        <f ca="1">OFFSET(#REF!,-1,0)+OFFSET(#REF!,-1,0)</f>
        <v>#REF!</v>
      </c>
      <c r="O88" s="39" t="e">
        <f ca="1">OFFSET(#REF!,-1,0)</f>
        <v>#REF!</v>
      </c>
      <c r="P88" s="39" t="e">
        <f ca="1">ROUNDDOWN(OFFSET(#REF!,-1,0)+(1+research_bonus)*(MIN(#REF!,#REF!*school_max)*(1 - MIN((#REF!/(#REF!-#REF!)),school_max)))-#REF!*#REF!,0) + IF(#REF!&lt;&gt;"",350,0)</f>
        <v>#REF!</v>
      </c>
      <c r="Q88" s="39" t="e">
        <f ca="1">MAX(3750,_xlfn.CEILING.MATH(#REF!*2.5+OFFSET(#REF!,-1,0)*150))</f>
        <v>#REF!</v>
      </c>
      <c r="R88" s="134"/>
      <c r="S88" s="39" t="e">
        <f>ROUNDDOWN(#REF!*(1+#REF!),0)</f>
        <v>#REF!</v>
      </c>
      <c r="T88" s="39" t="e">
        <f>ROUND(#REF!*(1+#REF!)-#REF!-#REF!,0)</f>
        <v>#REF!</v>
      </c>
      <c r="U88" s="39" t="e">
        <f>ROUND(#REF!*(1+#REF!)-#REF!,0)</f>
        <v>#REF!</v>
      </c>
      <c r="V88" s="39" t="e">
        <f>ROUND(#REF!*(1+#REF!)-#REF!,0)</f>
        <v>#REF!</v>
      </c>
      <c r="W88" s="39" t="e">
        <f>ROUNDDOWN(#REF!*(1+#REF!),0)</f>
        <v>#REF!</v>
      </c>
      <c r="X88" s="39" t="e">
        <f>ROUNDDOWN(#REF!*(1+#REF!),0)</f>
        <v>#REF!</v>
      </c>
      <c r="Y88" s="145" t="e">
        <f ca="1">OFFSET(#REF!,1,0)*dock_boats_hr * (1 + tech_4_1*#REF!)</f>
        <v>#REF!</v>
      </c>
      <c r="Z88" s="133"/>
      <c r="AA88" s="39" t="e">
        <f ca="1">#REF!*tax*#REF! + (Construction!AZ89+Construction!BX89)*(alch_plat+(Magic!AM88&gt;0)*alchemist_flame_bonus)</f>
        <v>#REF!</v>
      </c>
      <c r="AB88" s="39" t="e">
        <f>#REF!*farm_food +#REF!* dock_food</f>
        <v>#REF!</v>
      </c>
      <c r="AC88" s="39" t="e">
        <f>#REF!*ly_lumber +#REF!* fh_lumber</f>
        <v>#REF!</v>
      </c>
      <c r="AD88" s="39" t="e">
        <f ca="1">OFFSET(#REF!,1,0)*(tower_mana + tech_4_5*#REF!) + OFFSET(#REF!,1,0)*wg_mana_prod</f>
        <v>#REF!</v>
      </c>
      <c r="AE88" s="39" t="e">
        <f ca="1">OFFSET(#REF!,1,0)*om_ore+IF(race="Dwarf",ROUNDDOWN(#REF!*0.4,0),)</f>
        <v>#REF!</v>
      </c>
      <c r="AF88" s="39" t="e">
        <f ca="1">OFFSET(#REF!,1,0)*dm_gems</f>
        <v>#REF!</v>
      </c>
      <c r="AG88" s="134"/>
      <c r="AH88" s="135" t="e">
        <f>MIN(race_platinum_bonus + IF(#REF!&gt;0,alch_frost_bonus,IF(Magic!AD88&gt;0,midas_bonus)) +#REF! -#REF!*( 0.02 + tech_5_7*#REF!) + tech_1_5*#REF! + tech_4_4*#REF!, 0.5)</f>
        <v>#REF!</v>
      </c>
      <c r="AI88" s="132" t="e">
        <f>(1 + race_food_bonus + IF(#REF!&gt;0,gaias_blessing_food,IF(#REF!&gt;0,gaias_watch_bonus)) +#REF! + tech_1_1*#REF! + tech_1_4*#REF! + tech_5_1*#REF! +#REF!/ 100*prestige_food_bonus*(1 + tech_8_1*#REF!)) - 1</f>
        <v>#REF!</v>
      </c>
      <c r="AJ88" s="135" t="e">
        <f>race_lumber_bonus+ IF(#REF!&gt;0,gaias_blessing_lumber)+ tech_1_3*#REF! + tech_1_6*#REF! + tech_3_3*#REF!</f>
        <v>#REF!</v>
      </c>
      <c r="AK88" s="135" t="e">
        <f>race_mana_bonus+ 0 +#REF! + tech_1_2*#REF! + tech_3_4*#REF!</f>
        <v>#REF!</v>
      </c>
      <c r="AL88" s="135" t="e">
        <f>race_ore_bonus + IF(#REF!&gt;0,miners_sight_bonus,IF(#REF!&gt;0,mining_strength_bonus)) +  tech_1_6*#REF!</f>
        <v>#REF!</v>
      </c>
      <c r="AM88" s="135" t="e">
        <f>race_gem_bonus+ tech_3_2*#REF! + tech_4_3*#REF! + tech_6_2*#REF!</f>
        <v>#REF!</v>
      </c>
      <c r="AN88" s="134"/>
      <c r="AO88" s="39" t="e">
        <f>#REF!*food_decay * (1 + tech_2_1*#REF! + tech_2_8*#REF!)</f>
        <v>#REF!</v>
      </c>
      <c r="AP88" s="39" t="e">
        <f>(1+race_food_consumption)*#REF!*food_per_person*(1+tech_1_10*#REF!+tech_7_5*#REF!)</f>
        <v>#REF!</v>
      </c>
      <c r="AQ88" s="39" t="e">
        <f>#REF!*lumber_rot * (1 + tech_2_1*#REF! + tech_2_8*#REF! + tech_5_2*#REF!)</f>
        <v>#REF!</v>
      </c>
      <c r="AR88" s="39" t="e">
        <f>#REF!*mana_drain * (1 + tech_2_1*#REF! + tech_2_8*#REF!)</f>
        <v>#REF!</v>
      </c>
      <c r="AS88" s="133"/>
      <c r="AT88" s="39" t="e">
        <f>#REF!+#REF!+#REF!+#REF!+#REF!-#REF!</f>
        <v>#REF!</v>
      </c>
      <c r="AU88" s="39" t="e">
        <f>#REF!+#REF!-#REF! + Military!$CL$25*#REF!</f>
        <v>#REF!</v>
      </c>
      <c r="AV88" s="39" t="e">
        <f>#REF! + Military!$CL$26*#REF!</f>
        <v>#REF!</v>
      </c>
      <c r="AW88" s="39" t="e">
        <f>Military!$CL$24*#REF!+#REF!-#REF!</f>
        <v>#REF!</v>
      </c>
      <c r="AX88" s="39" t="e">
        <f>#REF!-#REF!</f>
        <v>#REF!</v>
      </c>
      <c r="AY88" s="134"/>
      <c r="AZ88" s="61" t="e">
        <f ca="1">IF(#REF!&lt;&gt;"",#REF!,OFFSET(#REF!,-1,0))</f>
        <v>#REF!</v>
      </c>
      <c r="BA88" s="144"/>
      <c r="BB88" s="3" t="e">
        <f>#REF!</f>
        <v>#REF!</v>
      </c>
      <c r="BC88" s="146" t="e">
        <f>-#REF! / 2 + -#REF! * 2 + -#REF! / 2</f>
        <v>#REF!</v>
      </c>
      <c r="BD88" s="146"/>
      <c r="BE88" s="146"/>
      <c r="BF88" s="146"/>
      <c r="BG88" s="147" t="e">
        <f>#REF!</f>
        <v>#REF!</v>
      </c>
      <c r="BH88" s="3" t="e">
        <f>IF(AND(#REF!=0,#REF!=0,#REF!=0,#REF!=0),"",IF(#REF!&gt;0,IF((#REF!+#REF!)/2+#REF!*2+ROUNDUP(#REF!/(1 + tech_2_2*Techs!Y88),0)=0,"Ok","Nope"),IF(#REF!&gt;0,IF((#REF!+#REF!)/2+#REF!*2+ROUNDUP(#REF!/(1 + tech_2_2*Techs!Y88),0)=0,"Ok","Nope"),IF(#REF!&gt;0,IF((#REF!+#REF!)/2+#REF!*2+ROUNDUP(#REF!/(1 + tech_2_2*Techs!Y88),0)=0,"Ok","Nope")))))</f>
        <v>#REF!</v>
      </c>
      <c r="BI88" s="39" t="e">
        <f>#REF!</f>
        <v>#REF!</v>
      </c>
      <c r="BJ88" s="39" t="e">
        <f>#REF!</f>
        <v>#REF!</v>
      </c>
      <c r="BK88" s="39" t="e">
        <f>#REF!</f>
        <v>#REF!</v>
      </c>
      <c r="BL88" s="39" t="e">
        <f>#REF!</f>
        <v>#REF!</v>
      </c>
      <c r="BM88" s="39" t="e">
        <f>#REF!</f>
        <v>#REF!</v>
      </c>
    </row>
    <row r="89" spans="1:65" x14ac:dyDescent="0.25">
      <c r="A89" s="130">
        <v>14</v>
      </c>
      <c r="B89" s="143" t="e">
        <f>#REF!</f>
        <v>#REF!</v>
      </c>
      <c r="C89" s="144"/>
      <c r="D89" s="133"/>
      <c r="E89" s="39" t="e">
        <f>#REF!</f>
        <v>#REF!</v>
      </c>
      <c r="F89" s="39" t="e">
        <f>#REF!</f>
        <v>#REF!</v>
      </c>
      <c r="G89" s="39" t="e">
        <f>#REF!</f>
        <v>#REF!</v>
      </c>
      <c r="H89" s="39" t="e">
        <f ca="1">OFFSET(#REF!,-1,0)+OFFSET(#REF!,-1,0) -#REF! + IF(#REF!,#REF!*4) + SUM(#REF!)*#REF!*tech_3_3_2*#REF!</f>
        <v>#REF!</v>
      </c>
      <c r="I89" s="39" t="e">
        <f ca="1">OFFSET(#REF!,-1,0)+OFFSET(#REF!,-1,0)+ROUNDUP((#REF!*80+#REF!*35)*(1+OFFSET(#REF!,-1,0)),0)</f>
        <v>#REF!</v>
      </c>
      <c r="J89" s="39" t="e">
        <f ca="1">OFFSET(#REF!,-1,0)+OFFSET(#REF!,-1,0) -#REF! + SUM(#REF!)*#REF!*tech_3_3_2*#REF!</f>
        <v>#REF!</v>
      </c>
      <c r="K89" s="39" t="e">
        <f ca="1">OFFSET(#REF!,-1,0)+OFFSET(#REF!,-1,0) -#REF!</f>
        <v>#REF!</v>
      </c>
      <c r="L89" s="39" t="e">
        <f ca="1">OFFSET(#REF!,-1,0)+OFFSET(#REF!,-1,0) -#REF!</f>
        <v>#REF!</v>
      </c>
      <c r="M89" s="39" t="e">
        <f ca="1">OFFSET(#REF!,-1,0)+OFFSET(#REF!,-1,0) -#REF!</f>
        <v>#REF!</v>
      </c>
      <c r="N89" s="39" t="e">
        <f ca="1">OFFSET(#REF!,-1,0)+OFFSET(#REF!,-1,0)</f>
        <v>#REF!</v>
      </c>
      <c r="O89" s="39" t="e">
        <f ca="1">OFFSET(#REF!,-1,0)</f>
        <v>#REF!</v>
      </c>
      <c r="P89" s="39" t="e">
        <f ca="1">ROUNDDOWN(OFFSET(#REF!,-1,0)+(1+research_bonus)*(MIN(#REF!,#REF!*school_max)*(1 - MIN((#REF!/(#REF!-#REF!)),school_max)))-#REF!*#REF!,0) + IF(#REF!&lt;&gt;"",350,0)</f>
        <v>#REF!</v>
      </c>
      <c r="Q89" s="39" t="e">
        <f ca="1">MAX(3750,_xlfn.CEILING.MATH(#REF!*2.5+OFFSET(#REF!,-1,0)*150))</f>
        <v>#REF!</v>
      </c>
      <c r="R89" s="134"/>
      <c r="S89" s="39" t="e">
        <f>ROUNDDOWN(#REF!*(1+#REF!),0)</f>
        <v>#REF!</v>
      </c>
      <c r="T89" s="39" t="e">
        <f>ROUND(#REF!*(1+#REF!)-#REF!-#REF!,0)</f>
        <v>#REF!</v>
      </c>
      <c r="U89" s="39" t="e">
        <f>ROUND(#REF!*(1+#REF!)-#REF!,0)</f>
        <v>#REF!</v>
      </c>
      <c r="V89" s="39" t="e">
        <f>ROUND(#REF!*(1+#REF!)-#REF!,0)</f>
        <v>#REF!</v>
      </c>
      <c r="W89" s="39" t="e">
        <f>ROUNDDOWN(#REF!*(1+#REF!),0)</f>
        <v>#REF!</v>
      </c>
      <c r="X89" s="39" t="e">
        <f>ROUNDDOWN(#REF!*(1+#REF!),0)</f>
        <v>#REF!</v>
      </c>
      <c r="Y89" s="145" t="e">
        <f ca="1">OFFSET(#REF!,1,0)*dock_boats_hr * (1 + tech_4_1*#REF!)</f>
        <v>#REF!</v>
      </c>
      <c r="Z89" s="133"/>
      <c r="AA89" s="39" t="e">
        <f ca="1">#REF!*tax*#REF! + (Construction!AZ90+Construction!BX90)*(alch_plat+(Magic!AM89&gt;0)*alchemist_flame_bonus)</f>
        <v>#REF!</v>
      </c>
      <c r="AB89" s="39" t="e">
        <f>#REF!*farm_food +#REF!* dock_food</f>
        <v>#REF!</v>
      </c>
      <c r="AC89" s="39" t="e">
        <f>#REF!*ly_lumber +#REF!* fh_lumber</f>
        <v>#REF!</v>
      </c>
      <c r="AD89" s="39" t="e">
        <f ca="1">OFFSET(#REF!,1,0)*(tower_mana + tech_4_5*#REF!) + OFFSET(#REF!,1,0)*wg_mana_prod</f>
        <v>#REF!</v>
      </c>
      <c r="AE89" s="39" t="e">
        <f ca="1">OFFSET(#REF!,1,0)*om_ore+IF(race="Dwarf",ROUNDDOWN(#REF!*0.4,0),)</f>
        <v>#REF!</v>
      </c>
      <c r="AF89" s="39" t="e">
        <f ca="1">OFFSET(#REF!,1,0)*dm_gems</f>
        <v>#REF!</v>
      </c>
      <c r="AG89" s="134"/>
      <c r="AH89" s="135" t="e">
        <f>MIN(race_platinum_bonus + IF(#REF!&gt;0,alch_frost_bonus,IF(Magic!AD89&gt;0,midas_bonus)) +#REF! -#REF!*( 0.02 + tech_5_7*#REF!) + tech_1_5*#REF! + tech_4_4*#REF!, 0.5)</f>
        <v>#REF!</v>
      </c>
      <c r="AI89" s="132" t="e">
        <f>(1 + race_food_bonus + IF(#REF!&gt;0,gaias_blessing_food,IF(#REF!&gt;0,gaias_watch_bonus)) +#REF! + tech_1_1*#REF! + tech_1_4*#REF! + tech_5_1*#REF! +#REF!/ 100*prestige_food_bonus*(1 + tech_8_1*#REF!)) - 1</f>
        <v>#REF!</v>
      </c>
      <c r="AJ89" s="135" t="e">
        <f>race_lumber_bonus+ IF(#REF!&gt;0,gaias_blessing_lumber)+ tech_1_3*#REF! + tech_1_6*#REF! + tech_3_3*#REF!</f>
        <v>#REF!</v>
      </c>
      <c r="AK89" s="135" t="e">
        <f>race_mana_bonus+ 0 +#REF! + tech_1_2*#REF! + tech_3_4*#REF!</f>
        <v>#REF!</v>
      </c>
      <c r="AL89" s="135" t="e">
        <f>race_ore_bonus + IF(#REF!&gt;0,miners_sight_bonus,IF(#REF!&gt;0,mining_strength_bonus)) +  tech_1_6*#REF!</f>
        <v>#REF!</v>
      </c>
      <c r="AM89" s="135" t="e">
        <f>race_gem_bonus+ tech_3_2*#REF! + tech_4_3*#REF! + tech_6_2*#REF!</f>
        <v>#REF!</v>
      </c>
      <c r="AN89" s="134"/>
      <c r="AO89" s="39" t="e">
        <f>#REF!*food_decay * (1 + tech_2_1*#REF! + tech_2_8*#REF!)</f>
        <v>#REF!</v>
      </c>
      <c r="AP89" s="39" t="e">
        <f>(1+race_food_consumption)*#REF!*food_per_person*(1+tech_1_10*#REF!+tech_7_5*#REF!)</f>
        <v>#REF!</v>
      </c>
      <c r="AQ89" s="39" t="e">
        <f>#REF!*lumber_rot * (1 + tech_2_1*#REF! + tech_2_8*#REF! + tech_5_2*#REF!)</f>
        <v>#REF!</v>
      </c>
      <c r="AR89" s="39" t="e">
        <f>#REF!*mana_drain * (1 + tech_2_1*#REF! + tech_2_8*#REF!)</f>
        <v>#REF!</v>
      </c>
      <c r="AS89" s="133"/>
      <c r="AT89" s="39" t="e">
        <f>#REF!+#REF!+#REF!+#REF!+#REF!-#REF!</f>
        <v>#REF!</v>
      </c>
      <c r="AU89" s="39" t="e">
        <f>#REF!+#REF!-#REF! + Military!$CL$25*#REF!</f>
        <v>#REF!</v>
      </c>
      <c r="AV89" s="39" t="e">
        <f>#REF! + Military!$CL$26*#REF!</f>
        <v>#REF!</v>
      </c>
      <c r="AW89" s="39" t="e">
        <f>Military!$CL$24*#REF!+#REF!-#REF!</f>
        <v>#REF!</v>
      </c>
      <c r="AX89" s="39" t="e">
        <f>#REF!-#REF!</f>
        <v>#REF!</v>
      </c>
      <c r="AY89" s="134"/>
      <c r="AZ89" s="61" t="e">
        <f ca="1">IF(#REF!&lt;&gt;"",#REF!,OFFSET(#REF!,-1,0))</f>
        <v>#REF!</v>
      </c>
      <c r="BA89" s="144"/>
      <c r="BB89" s="3" t="e">
        <f>#REF!</f>
        <v>#REF!</v>
      </c>
      <c r="BC89" s="146" t="e">
        <f>-#REF! / 2 + -#REF! * 2 + -#REF! / 2</f>
        <v>#REF!</v>
      </c>
      <c r="BD89" s="146"/>
      <c r="BE89" s="146"/>
      <c r="BF89" s="146"/>
      <c r="BG89" s="147" t="e">
        <f>#REF!</f>
        <v>#REF!</v>
      </c>
      <c r="BH89" s="3" t="e">
        <f>IF(AND(#REF!=0,#REF!=0,#REF!=0,#REF!=0),"",IF(#REF!&gt;0,IF((#REF!+#REF!)/2+#REF!*2+ROUNDUP(#REF!/(1 + tech_2_2*Techs!Y89),0)=0,"Ok","Nope"),IF(#REF!&gt;0,IF((#REF!+#REF!)/2+#REF!*2+ROUNDUP(#REF!/(1 + tech_2_2*Techs!Y89),0)=0,"Ok","Nope"),IF(#REF!&gt;0,IF((#REF!+#REF!)/2+#REF!*2+ROUNDUP(#REF!/(1 + tech_2_2*Techs!Y89),0)=0,"Ok","Nope")))))</f>
        <v>#REF!</v>
      </c>
      <c r="BI89" s="39" t="e">
        <f>#REF!</f>
        <v>#REF!</v>
      </c>
      <c r="BJ89" s="39" t="e">
        <f>#REF!</f>
        <v>#REF!</v>
      </c>
      <c r="BK89" s="39" t="e">
        <f>#REF!</f>
        <v>#REF!</v>
      </c>
      <c r="BL89" s="39" t="e">
        <f>#REF!</f>
        <v>#REF!</v>
      </c>
      <c r="BM89" s="39" t="e">
        <f>#REF!</f>
        <v>#REF!</v>
      </c>
    </row>
    <row r="90" spans="1:65" x14ac:dyDescent="0.25">
      <c r="A90" s="130">
        <v>15</v>
      </c>
      <c r="B90" s="143" t="e">
        <f>#REF!</f>
        <v>#REF!</v>
      </c>
      <c r="C90" s="144"/>
      <c r="D90" s="133"/>
      <c r="E90" s="39" t="e">
        <f>#REF!</f>
        <v>#REF!</v>
      </c>
      <c r="F90" s="39" t="e">
        <f>#REF!</f>
        <v>#REF!</v>
      </c>
      <c r="G90" s="39" t="e">
        <f>#REF!</f>
        <v>#REF!</v>
      </c>
      <c r="H90" s="39" t="e">
        <f ca="1">OFFSET(#REF!,-1,0)+OFFSET(#REF!,-1,0) -#REF! + IF(#REF!,#REF!*4) + SUM(#REF!)*#REF!*tech_3_3_2*#REF!</f>
        <v>#REF!</v>
      </c>
      <c r="I90" s="39" t="e">
        <f ca="1">OFFSET(#REF!,-1,0)+OFFSET(#REF!,-1,0)+ROUNDUP((#REF!*80+#REF!*35)*(1+OFFSET(#REF!,-1,0)),0)</f>
        <v>#REF!</v>
      </c>
      <c r="J90" s="39" t="e">
        <f ca="1">OFFSET(#REF!,-1,0)+OFFSET(#REF!,-1,0) -#REF! + SUM(#REF!)*#REF!*tech_3_3_2*#REF!</f>
        <v>#REF!</v>
      </c>
      <c r="K90" s="39" t="e">
        <f ca="1">OFFSET(#REF!,-1,0)+OFFSET(#REF!,-1,0) -#REF!</f>
        <v>#REF!</v>
      </c>
      <c r="L90" s="39" t="e">
        <f ca="1">OFFSET(#REF!,-1,0)+OFFSET(#REF!,-1,0) -#REF!</f>
        <v>#REF!</v>
      </c>
      <c r="M90" s="39" t="e">
        <f ca="1">OFFSET(#REF!,-1,0)+OFFSET(#REF!,-1,0) -#REF!</f>
        <v>#REF!</v>
      </c>
      <c r="N90" s="39" t="e">
        <f ca="1">OFFSET(#REF!,-1,0)+OFFSET(#REF!,-1,0)</f>
        <v>#REF!</v>
      </c>
      <c r="O90" s="39" t="e">
        <f ca="1">OFFSET(#REF!,-1,0)</f>
        <v>#REF!</v>
      </c>
      <c r="P90" s="39" t="e">
        <f ca="1">ROUNDDOWN(OFFSET(#REF!,-1,0)+(1+research_bonus)*(MIN(#REF!,#REF!*school_max)*(1 - MIN((#REF!/(#REF!-#REF!)),school_max)))-#REF!*#REF!,0) + IF(#REF!&lt;&gt;"",350,0)</f>
        <v>#REF!</v>
      </c>
      <c r="Q90" s="39" t="e">
        <f ca="1">MAX(3750,_xlfn.CEILING.MATH(#REF!*2.5+OFFSET(#REF!,-1,0)*150))</f>
        <v>#REF!</v>
      </c>
      <c r="R90" s="134"/>
      <c r="S90" s="39" t="e">
        <f>ROUNDDOWN(#REF!*(1+#REF!),0)</f>
        <v>#REF!</v>
      </c>
      <c r="T90" s="39" t="e">
        <f>ROUND(#REF!*(1+#REF!)-#REF!-#REF!,0)</f>
        <v>#REF!</v>
      </c>
      <c r="U90" s="39" t="e">
        <f>ROUND(#REF!*(1+#REF!)-#REF!,0)</f>
        <v>#REF!</v>
      </c>
      <c r="V90" s="39" t="e">
        <f>ROUND(#REF!*(1+#REF!)-#REF!,0)</f>
        <v>#REF!</v>
      </c>
      <c r="W90" s="39" t="e">
        <f>ROUNDDOWN(#REF!*(1+#REF!),0)</f>
        <v>#REF!</v>
      </c>
      <c r="X90" s="39" t="e">
        <f>ROUNDDOWN(#REF!*(1+#REF!),0)</f>
        <v>#REF!</v>
      </c>
      <c r="Y90" s="145" t="e">
        <f ca="1">OFFSET(#REF!,1,0)*dock_boats_hr * (1 + tech_4_1*#REF!)</f>
        <v>#REF!</v>
      </c>
      <c r="Z90" s="133"/>
      <c r="AA90" s="39" t="e">
        <f ca="1">#REF!*tax*#REF! + (Construction!AZ91+Construction!BX91)*(alch_plat+(Magic!AM90&gt;0)*alchemist_flame_bonus)</f>
        <v>#REF!</v>
      </c>
      <c r="AB90" s="39" t="e">
        <f>#REF!*farm_food +#REF!* dock_food</f>
        <v>#REF!</v>
      </c>
      <c r="AC90" s="39" t="e">
        <f>#REF!*ly_lumber +#REF!* fh_lumber</f>
        <v>#REF!</v>
      </c>
      <c r="AD90" s="39" t="e">
        <f ca="1">OFFSET(#REF!,1,0)*(tower_mana + tech_4_5*#REF!) + OFFSET(#REF!,1,0)*wg_mana_prod</f>
        <v>#REF!</v>
      </c>
      <c r="AE90" s="39" t="e">
        <f ca="1">OFFSET(#REF!,1,0)*om_ore+IF(race="Dwarf",ROUNDDOWN(#REF!*0.4,0),)</f>
        <v>#REF!</v>
      </c>
      <c r="AF90" s="39" t="e">
        <f ca="1">OFFSET(#REF!,1,0)*dm_gems</f>
        <v>#REF!</v>
      </c>
      <c r="AG90" s="134"/>
      <c r="AH90" s="135" t="e">
        <f>MIN(race_platinum_bonus + IF(#REF!&gt;0,alch_frost_bonus,IF(Magic!AD90&gt;0,midas_bonus)) +#REF! -#REF!*( 0.02 + tech_5_7*#REF!) + tech_1_5*#REF! + tech_4_4*#REF!, 0.5)</f>
        <v>#REF!</v>
      </c>
      <c r="AI90" s="132" t="e">
        <f>(1 + race_food_bonus + IF(#REF!&gt;0,gaias_blessing_food,IF(#REF!&gt;0,gaias_watch_bonus)) +#REF! + tech_1_1*#REF! + tech_1_4*#REF! + tech_5_1*#REF! +#REF!/ 100*prestige_food_bonus*(1 + tech_8_1*#REF!)) - 1</f>
        <v>#REF!</v>
      </c>
      <c r="AJ90" s="135" t="e">
        <f>race_lumber_bonus+ IF(#REF!&gt;0,gaias_blessing_lumber)+ tech_1_3*#REF! + tech_1_6*#REF! + tech_3_3*#REF!</f>
        <v>#REF!</v>
      </c>
      <c r="AK90" s="135" t="e">
        <f>race_mana_bonus+ 0 +#REF! + tech_1_2*#REF! + tech_3_4*#REF!</f>
        <v>#REF!</v>
      </c>
      <c r="AL90" s="135" t="e">
        <f>race_ore_bonus + IF(#REF!&gt;0,miners_sight_bonus,IF(#REF!&gt;0,mining_strength_bonus)) +  tech_1_6*#REF!</f>
        <v>#REF!</v>
      </c>
      <c r="AM90" s="135" t="e">
        <f>race_gem_bonus+ tech_3_2*#REF! + tech_4_3*#REF! + tech_6_2*#REF!</f>
        <v>#REF!</v>
      </c>
      <c r="AN90" s="134"/>
      <c r="AO90" s="39" t="e">
        <f>#REF!*food_decay * (1 + tech_2_1*#REF! + tech_2_8*#REF!)</f>
        <v>#REF!</v>
      </c>
      <c r="AP90" s="39" t="e">
        <f>(1+race_food_consumption)*#REF!*food_per_person*(1+tech_1_10*#REF!+tech_7_5*#REF!)</f>
        <v>#REF!</v>
      </c>
      <c r="AQ90" s="39" t="e">
        <f>#REF!*lumber_rot * (1 + tech_2_1*#REF! + tech_2_8*#REF! + tech_5_2*#REF!)</f>
        <v>#REF!</v>
      </c>
      <c r="AR90" s="39" t="e">
        <f>#REF!*mana_drain * (1 + tech_2_1*#REF! + tech_2_8*#REF!)</f>
        <v>#REF!</v>
      </c>
      <c r="AS90" s="133"/>
      <c r="AT90" s="39" t="e">
        <f>#REF!+#REF!+#REF!+#REF!+#REF!-#REF!</f>
        <v>#REF!</v>
      </c>
      <c r="AU90" s="39" t="e">
        <f>#REF!+#REF!-#REF! + Military!$CL$25*#REF!</f>
        <v>#REF!</v>
      </c>
      <c r="AV90" s="39" t="e">
        <f>#REF! + Military!$CL$26*#REF!</f>
        <v>#REF!</v>
      </c>
      <c r="AW90" s="39" t="e">
        <f>Military!$CL$24*#REF!+#REF!-#REF!</f>
        <v>#REF!</v>
      </c>
      <c r="AX90" s="39" t="e">
        <f>#REF!-#REF!</f>
        <v>#REF!</v>
      </c>
      <c r="AY90" s="134"/>
      <c r="AZ90" s="61" t="e">
        <f ca="1">IF(#REF!&lt;&gt;"",#REF!,OFFSET(#REF!,-1,0))</f>
        <v>#REF!</v>
      </c>
      <c r="BA90" s="144"/>
      <c r="BB90" s="3" t="e">
        <f>#REF!</f>
        <v>#REF!</v>
      </c>
      <c r="BC90" s="146" t="e">
        <f>-#REF! / 2 + -#REF! * 2 + -#REF! / 2</f>
        <v>#REF!</v>
      </c>
      <c r="BD90" s="146"/>
      <c r="BE90" s="146"/>
      <c r="BF90" s="146"/>
      <c r="BG90" s="147" t="e">
        <f>#REF!</f>
        <v>#REF!</v>
      </c>
      <c r="BH90" s="3" t="e">
        <f>IF(AND(#REF!=0,#REF!=0,#REF!=0,#REF!=0),"",IF(#REF!&gt;0,IF((#REF!+#REF!)/2+#REF!*2+ROUNDUP(#REF!/(1 + tech_2_2*Techs!Y90),0)=0,"Ok","Nope"),IF(#REF!&gt;0,IF((#REF!+#REF!)/2+#REF!*2+ROUNDUP(#REF!/(1 + tech_2_2*Techs!Y90),0)=0,"Ok","Nope"),IF(#REF!&gt;0,IF((#REF!+#REF!)/2+#REF!*2+ROUNDUP(#REF!/(1 + tech_2_2*Techs!Y90),0)=0,"Ok","Nope")))))</f>
        <v>#REF!</v>
      </c>
      <c r="BI90" s="39" t="e">
        <f>#REF!</f>
        <v>#REF!</v>
      </c>
      <c r="BJ90" s="39" t="e">
        <f>#REF!</f>
        <v>#REF!</v>
      </c>
      <c r="BK90" s="39" t="e">
        <f>#REF!</f>
        <v>#REF!</v>
      </c>
      <c r="BL90" s="39" t="e">
        <f>#REF!</f>
        <v>#REF!</v>
      </c>
      <c r="BM90" s="39" t="e">
        <f>#REF!</f>
        <v>#REF!</v>
      </c>
    </row>
    <row r="91" spans="1:65" x14ac:dyDescent="0.25">
      <c r="A91" s="130">
        <v>16</v>
      </c>
      <c r="B91" s="143" t="e">
        <f>#REF!</f>
        <v>#REF!</v>
      </c>
      <c r="C91" s="144"/>
      <c r="D91" s="133"/>
      <c r="E91" s="39" t="e">
        <f>#REF!</f>
        <v>#REF!</v>
      </c>
      <c r="F91" s="39" t="e">
        <f>#REF!</f>
        <v>#REF!</v>
      </c>
      <c r="G91" s="39" t="e">
        <f>#REF!</f>
        <v>#REF!</v>
      </c>
      <c r="H91" s="39" t="e">
        <f ca="1">OFFSET(#REF!,-1,0)+OFFSET(#REF!,-1,0) -#REF! + IF(#REF!,#REF!*4) + SUM(#REF!)*#REF!*tech_3_3_2*#REF!</f>
        <v>#REF!</v>
      </c>
      <c r="I91" s="39" t="e">
        <f ca="1">OFFSET(#REF!,-1,0)+OFFSET(#REF!,-1,0)+ROUNDUP((#REF!*80+#REF!*35)*(1+OFFSET(#REF!,-1,0)),0)</f>
        <v>#REF!</v>
      </c>
      <c r="J91" s="39" t="e">
        <f ca="1">OFFSET(#REF!,-1,0)+OFFSET(#REF!,-1,0) -#REF! + SUM(#REF!)*#REF!*tech_3_3_2*#REF!</f>
        <v>#REF!</v>
      </c>
      <c r="K91" s="39" t="e">
        <f ca="1">OFFSET(#REF!,-1,0)+OFFSET(#REF!,-1,0) -#REF!</f>
        <v>#REF!</v>
      </c>
      <c r="L91" s="39" t="e">
        <f ca="1">OFFSET(#REF!,-1,0)+OFFSET(#REF!,-1,0) -#REF!</f>
        <v>#REF!</v>
      </c>
      <c r="M91" s="39" t="e">
        <f ca="1">OFFSET(#REF!,-1,0)+OFFSET(#REF!,-1,0) -#REF!</f>
        <v>#REF!</v>
      </c>
      <c r="N91" s="39" t="e">
        <f ca="1">OFFSET(#REF!,-1,0)+OFFSET(#REF!,-1,0)</f>
        <v>#REF!</v>
      </c>
      <c r="O91" s="39" t="e">
        <f ca="1">OFFSET(#REF!,-1,0)</f>
        <v>#REF!</v>
      </c>
      <c r="P91" s="39" t="e">
        <f ca="1">ROUNDDOWN(OFFSET(#REF!,-1,0)+(1+research_bonus)*(MIN(#REF!,#REF!*school_max)*(1 - MIN((#REF!/(#REF!-#REF!)),school_max)))-#REF!*#REF!,0) + IF(#REF!&lt;&gt;"",350,0)</f>
        <v>#REF!</v>
      </c>
      <c r="Q91" s="39" t="e">
        <f ca="1">MAX(3750,_xlfn.CEILING.MATH(#REF!*2.5+OFFSET(#REF!,-1,0)*150))</f>
        <v>#REF!</v>
      </c>
      <c r="R91" s="134"/>
      <c r="S91" s="39" t="e">
        <f>ROUNDDOWN(#REF!*(1+#REF!),0)</f>
        <v>#REF!</v>
      </c>
      <c r="T91" s="39" t="e">
        <f>ROUND(#REF!*(1+#REF!)-#REF!-#REF!,0)</f>
        <v>#REF!</v>
      </c>
      <c r="U91" s="39" t="e">
        <f>ROUND(#REF!*(1+#REF!)-#REF!,0)</f>
        <v>#REF!</v>
      </c>
      <c r="V91" s="39" t="e">
        <f>ROUND(#REF!*(1+#REF!)-#REF!,0)</f>
        <v>#REF!</v>
      </c>
      <c r="W91" s="39" t="e">
        <f>ROUNDDOWN(#REF!*(1+#REF!),0)</f>
        <v>#REF!</v>
      </c>
      <c r="X91" s="39" t="e">
        <f>ROUNDDOWN(#REF!*(1+#REF!),0)</f>
        <v>#REF!</v>
      </c>
      <c r="Y91" s="145" t="e">
        <f ca="1">OFFSET(#REF!,1,0)*dock_boats_hr * (1 + tech_4_1*#REF!)</f>
        <v>#REF!</v>
      </c>
      <c r="Z91" s="133"/>
      <c r="AA91" s="39" t="e">
        <f ca="1">#REF!*tax*#REF! + (Construction!AZ92+Construction!BX92)*(alch_plat+(Magic!AM91&gt;0)*alchemist_flame_bonus)</f>
        <v>#REF!</v>
      </c>
      <c r="AB91" s="39" t="e">
        <f>#REF!*farm_food +#REF!* dock_food</f>
        <v>#REF!</v>
      </c>
      <c r="AC91" s="39" t="e">
        <f>#REF!*ly_lumber +#REF!* fh_lumber</f>
        <v>#REF!</v>
      </c>
      <c r="AD91" s="39" t="e">
        <f ca="1">OFFSET(#REF!,1,0)*(tower_mana + tech_4_5*#REF!) + OFFSET(#REF!,1,0)*wg_mana_prod</f>
        <v>#REF!</v>
      </c>
      <c r="AE91" s="39" t="e">
        <f ca="1">OFFSET(#REF!,1,0)*om_ore+IF(race="Dwarf",ROUNDDOWN(#REF!*0.4,0),)</f>
        <v>#REF!</v>
      </c>
      <c r="AF91" s="39" t="e">
        <f ca="1">OFFSET(#REF!,1,0)*dm_gems</f>
        <v>#REF!</v>
      </c>
      <c r="AG91" s="134"/>
      <c r="AH91" s="135" t="e">
        <f>MIN(race_platinum_bonus + IF(#REF!&gt;0,alch_frost_bonus,IF(Magic!AD91&gt;0,midas_bonus)) +#REF! -#REF!*( 0.02 + tech_5_7*#REF!) + tech_1_5*#REF! + tech_4_4*#REF!, 0.5)</f>
        <v>#REF!</v>
      </c>
      <c r="AI91" s="132" t="e">
        <f>(1 + race_food_bonus + IF(#REF!&gt;0,gaias_blessing_food,IF(#REF!&gt;0,gaias_watch_bonus)) +#REF! + tech_1_1*#REF! + tech_1_4*#REF! + tech_5_1*#REF! +#REF!/ 100*prestige_food_bonus*(1 + tech_8_1*#REF!)) - 1</f>
        <v>#REF!</v>
      </c>
      <c r="AJ91" s="135" t="e">
        <f>race_lumber_bonus+ IF(#REF!&gt;0,gaias_blessing_lumber)+ tech_1_3*#REF! + tech_1_6*#REF! + tech_3_3*#REF!</f>
        <v>#REF!</v>
      </c>
      <c r="AK91" s="135" t="e">
        <f>race_mana_bonus+ 0 +#REF! + tech_1_2*#REF! + tech_3_4*#REF!</f>
        <v>#REF!</v>
      </c>
      <c r="AL91" s="135" t="e">
        <f>race_ore_bonus + IF(#REF!&gt;0,miners_sight_bonus,IF(#REF!&gt;0,mining_strength_bonus)) +  tech_1_6*#REF!</f>
        <v>#REF!</v>
      </c>
      <c r="AM91" s="135" t="e">
        <f>race_gem_bonus+ tech_3_2*#REF! + tech_4_3*#REF! + tech_6_2*#REF!</f>
        <v>#REF!</v>
      </c>
      <c r="AN91" s="134"/>
      <c r="AO91" s="39" t="e">
        <f>#REF!*food_decay * (1 + tech_2_1*#REF! + tech_2_8*#REF!)</f>
        <v>#REF!</v>
      </c>
      <c r="AP91" s="39" t="e">
        <f>(1+race_food_consumption)*#REF!*food_per_person*(1+tech_1_10*#REF!+tech_7_5*#REF!)</f>
        <v>#REF!</v>
      </c>
      <c r="AQ91" s="39" t="e">
        <f>#REF!*lumber_rot * (1 + tech_2_1*#REF! + tech_2_8*#REF! + tech_5_2*#REF!)</f>
        <v>#REF!</v>
      </c>
      <c r="AR91" s="39" t="e">
        <f>#REF!*mana_drain * (1 + tech_2_1*#REF! + tech_2_8*#REF!)</f>
        <v>#REF!</v>
      </c>
      <c r="AS91" s="133"/>
      <c r="AT91" s="39" t="e">
        <f>#REF!+#REF!+#REF!+#REF!+#REF!-#REF!</f>
        <v>#REF!</v>
      </c>
      <c r="AU91" s="39" t="e">
        <f>#REF!+#REF!-#REF! + Military!$CL$25*#REF!</f>
        <v>#REF!</v>
      </c>
      <c r="AV91" s="39" t="e">
        <f>#REF! + Military!$CL$26*#REF!</f>
        <v>#REF!</v>
      </c>
      <c r="AW91" s="39" t="e">
        <f>Military!$CL$24*#REF!+#REF!-#REF!</f>
        <v>#REF!</v>
      </c>
      <c r="AX91" s="39" t="e">
        <f>#REF!-#REF!</f>
        <v>#REF!</v>
      </c>
      <c r="AY91" s="134"/>
      <c r="AZ91" s="61" t="e">
        <f ca="1">IF(#REF!&lt;&gt;"",#REF!,OFFSET(#REF!,-1,0))</f>
        <v>#REF!</v>
      </c>
      <c r="BA91" s="144"/>
      <c r="BB91" s="3" t="e">
        <f>#REF!</f>
        <v>#REF!</v>
      </c>
      <c r="BC91" s="146" t="e">
        <f>-#REF! / 2 + -#REF! * 2 + -#REF! / 2</f>
        <v>#REF!</v>
      </c>
      <c r="BD91" s="146"/>
      <c r="BE91" s="146"/>
      <c r="BF91" s="146"/>
      <c r="BG91" s="147" t="e">
        <f>#REF!</f>
        <v>#REF!</v>
      </c>
      <c r="BH91" s="3" t="e">
        <f>IF(AND(#REF!=0,#REF!=0,#REF!=0,#REF!=0),"",IF(#REF!&gt;0,IF((#REF!+#REF!)/2+#REF!*2+ROUNDUP(#REF!/(1 + tech_2_2*Techs!Y91),0)=0,"Ok","Nope"),IF(#REF!&gt;0,IF((#REF!+#REF!)/2+#REF!*2+ROUNDUP(#REF!/(1 + tech_2_2*Techs!Y91),0)=0,"Ok","Nope"),IF(#REF!&gt;0,IF((#REF!+#REF!)/2+#REF!*2+ROUNDUP(#REF!/(1 + tech_2_2*Techs!Y91),0)=0,"Ok","Nope")))))</f>
        <v>#REF!</v>
      </c>
      <c r="BI91" s="39" t="e">
        <f>#REF!</f>
        <v>#REF!</v>
      </c>
      <c r="BJ91" s="39" t="e">
        <f>#REF!</f>
        <v>#REF!</v>
      </c>
      <c r="BK91" s="39" t="e">
        <f>#REF!</f>
        <v>#REF!</v>
      </c>
      <c r="BL91" s="39" t="e">
        <f>#REF!</f>
        <v>#REF!</v>
      </c>
      <c r="BM91" s="39" t="e">
        <f>#REF!</f>
        <v>#REF!</v>
      </c>
    </row>
    <row r="92" spans="1:65" x14ac:dyDescent="0.25">
      <c r="A92" s="130">
        <v>17</v>
      </c>
      <c r="B92" s="143" t="e">
        <f>#REF!</f>
        <v>#REF!</v>
      </c>
      <c r="C92" s="144"/>
      <c r="D92" s="133"/>
      <c r="E92" s="39" t="e">
        <f>#REF!</f>
        <v>#REF!</v>
      </c>
      <c r="F92" s="39" t="e">
        <f>#REF!</f>
        <v>#REF!</v>
      </c>
      <c r="G92" s="39" t="e">
        <f>#REF!</f>
        <v>#REF!</v>
      </c>
      <c r="H92" s="39" t="e">
        <f ca="1">OFFSET(#REF!,-1,0)+OFFSET(#REF!,-1,0) -#REF! + IF(#REF!,#REF!*4) + SUM(#REF!)*#REF!*tech_3_3_2*#REF!</f>
        <v>#REF!</v>
      </c>
      <c r="I92" s="39" t="e">
        <f ca="1">OFFSET(#REF!,-1,0)+OFFSET(#REF!,-1,0)+ROUNDUP((#REF!*80+#REF!*35)*(1+OFFSET(#REF!,-1,0)),0)</f>
        <v>#REF!</v>
      </c>
      <c r="J92" s="39" t="e">
        <f ca="1">OFFSET(#REF!,-1,0)+OFFSET(#REF!,-1,0) -#REF! + SUM(#REF!)*#REF!*tech_3_3_2*#REF!</f>
        <v>#REF!</v>
      </c>
      <c r="K92" s="39" t="e">
        <f ca="1">OFFSET(#REF!,-1,0)+OFFSET(#REF!,-1,0) -#REF!</f>
        <v>#REF!</v>
      </c>
      <c r="L92" s="39" t="e">
        <f ca="1">OFFSET(#REF!,-1,0)+OFFSET(#REF!,-1,0) -#REF!</f>
        <v>#REF!</v>
      </c>
      <c r="M92" s="39" t="e">
        <f ca="1">OFFSET(#REF!,-1,0)+OFFSET(#REF!,-1,0) -#REF!</f>
        <v>#REF!</v>
      </c>
      <c r="N92" s="39" t="e">
        <f ca="1">OFFSET(#REF!,-1,0)+OFFSET(#REF!,-1,0)</f>
        <v>#REF!</v>
      </c>
      <c r="O92" s="39" t="e">
        <f ca="1">OFFSET(#REF!,-1,0)</f>
        <v>#REF!</v>
      </c>
      <c r="P92" s="39" t="e">
        <f ca="1">ROUNDDOWN(OFFSET(#REF!,-1,0)+(1+research_bonus)*(MIN(#REF!,#REF!*school_max)*(1 - MIN((#REF!/(#REF!-#REF!)),school_max)))-#REF!*#REF!,0) + IF(#REF!&lt;&gt;"",350,0)</f>
        <v>#REF!</v>
      </c>
      <c r="Q92" s="39" t="e">
        <f ca="1">MAX(3750,_xlfn.CEILING.MATH(#REF!*2.5+OFFSET(#REF!,-1,0)*150))</f>
        <v>#REF!</v>
      </c>
      <c r="R92" s="134"/>
      <c r="S92" s="39" t="e">
        <f>ROUNDDOWN(#REF!*(1+#REF!),0)</f>
        <v>#REF!</v>
      </c>
      <c r="T92" s="39" t="e">
        <f>ROUND(#REF!*(1+#REF!)-#REF!-#REF!,0)</f>
        <v>#REF!</v>
      </c>
      <c r="U92" s="39" t="e">
        <f>ROUND(#REF!*(1+#REF!)-#REF!,0)</f>
        <v>#REF!</v>
      </c>
      <c r="V92" s="39" t="e">
        <f>ROUND(#REF!*(1+#REF!)-#REF!,0)</f>
        <v>#REF!</v>
      </c>
      <c r="W92" s="39" t="e">
        <f>ROUNDDOWN(#REF!*(1+#REF!),0)</f>
        <v>#REF!</v>
      </c>
      <c r="X92" s="39" t="e">
        <f>ROUNDDOWN(#REF!*(1+#REF!),0)</f>
        <v>#REF!</v>
      </c>
      <c r="Y92" s="145" t="e">
        <f ca="1">OFFSET(#REF!,1,0)*dock_boats_hr * (1 + tech_4_1*#REF!)</f>
        <v>#REF!</v>
      </c>
      <c r="Z92" s="133"/>
      <c r="AA92" s="39" t="e">
        <f ca="1">#REF!*tax*#REF! + (Construction!AZ93+Construction!BX93)*(alch_plat+(Magic!AM92&gt;0)*alchemist_flame_bonus)</f>
        <v>#REF!</v>
      </c>
      <c r="AB92" s="39" t="e">
        <f>#REF!*farm_food +#REF!* dock_food</f>
        <v>#REF!</v>
      </c>
      <c r="AC92" s="39" t="e">
        <f>#REF!*ly_lumber +#REF!* fh_lumber</f>
        <v>#REF!</v>
      </c>
      <c r="AD92" s="39" t="e">
        <f ca="1">OFFSET(#REF!,1,0)*(tower_mana + tech_4_5*#REF!) + OFFSET(#REF!,1,0)*wg_mana_prod</f>
        <v>#REF!</v>
      </c>
      <c r="AE92" s="39" t="e">
        <f ca="1">OFFSET(#REF!,1,0)*om_ore+IF(race="Dwarf",ROUNDDOWN(#REF!*0.4,0),)</f>
        <v>#REF!</v>
      </c>
      <c r="AF92" s="39" t="e">
        <f ca="1">OFFSET(#REF!,1,0)*dm_gems</f>
        <v>#REF!</v>
      </c>
      <c r="AG92" s="134"/>
      <c r="AH92" s="135" t="e">
        <f>MIN(race_platinum_bonus + IF(#REF!&gt;0,alch_frost_bonus,IF(Magic!AD92&gt;0,midas_bonus)) +#REF! -#REF!*( 0.02 + tech_5_7*#REF!) + tech_1_5*#REF! + tech_4_4*#REF!, 0.5)</f>
        <v>#REF!</v>
      </c>
      <c r="AI92" s="132" t="e">
        <f>(1 + race_food_bonus + IF(#REF!&gt;0,gaias_blessing_food,IF(#REF!&gt;0,gaias_watch_bonus)) +#REF! + tech_1_1*#REF! + tech_1_4*#REF! + tech_5_1*#REF! +#REF!/ 100*prestige_food_bonus*(1 + tech_8_1*#REF!)) - 1</f>
        <v>#REF!</v>
      </c>
      <c r="AJ92" s="135" t="e">
        <f>race_lumber_bonus+ IF(#REF!&gt;0,gaias_blessing_lumber)+ tech_1_3*#REF! + tech_1_6*#REF! + tech_3_3*#REF!</f>
        <v>#REF!</v>
      </c>
      <c r="AK92" s="135" t="e">
        <f>race_mana_bonus+ 0 +#REF! + tech_1_2*#REF! + tech_3_4*#REF!</f>
        <v>#REF!</v>
      </c>
      <c r="AL92" s="135" t="e">
        <f>race_ore_bonus + IF(#REF!&gt;0,miners_sight_bonus,IF(#REF!&gt;0,mining_strength_bonus)) +  tech_1_6*#REF!</f>
        <v>#REF!</v>
      </c>
      <c r="AM92" s="135" t="e">
        <f>race_gem_bonus+ tech_3_2*#REF! + tech_4_3*#REF! + tech_6_2*#REF!</f>
        <v>#REF!</v>
      </c>
      <c r="AN92" s="134"/>
      <c r="AO92" s="39" t="e">
        <f>#REF!*food_decay * (1 + tech_2_1*#REF! + tech_2_8*#REF!)</f>
        <v>#REF!</v>
      </c>
      <c r="AP92" s="39" t="e">
        <f>(1+race_food_consumption)*#REF!*food_per_person*(1+tech_1_10*#REF!+tech_7_5*#REF!)</f>
        <v>#REF!</v>
      </c>
      <c r="AQ92" s="39" t="e">
        <f>#REF!*lumber_rot * (1 + tech_2_1*#REF! + tech_2_8*#REF! + tech_5_2*#REF!)</f>
        <v>#REF!</v>
      </c>
      <c r="AR92" s="39" t="e">
        <f>#REF!*mana_drain * (1 + tech_2_1*#REF! + tech_2_8*#REF!)</f>
        <v>#REF!</v>
      </c>
      <c r="AS92" s="133"/>
      <c r="AT92" s="39" t="e">
        <f>#REF!+#REF!+#REF!+#REF!+#REF!-#REF!</f>
        <v>#REF!</v>
      </c>
      <c r="AU92" s="39" t="e">
        <f>#REF!+#REF!-#REF! + Military!$CL$25*#REF!</f>
        <v>#REF!</v>
      </c>
      <c r="AV92" s="39" t="e">
        <f>#REF! + Military!$CL$26*#REF!</f>
        <v>#REF!</v>
      </c>
      <c r="AW92" s="39" t="e">
        <f>Military!$CL$24*#REF!+#REF!-#REF!</f>
        <v>#REF!</v>
      </c>
      <c r="AX92" s="39" t="e">
        <f>#REF!-#REF!</f>
        <v>#REF!</v>
      </c>
      <c r="AY92" s="134"/>
      <c r="AZ92" s="61" t="e">
        <f ca="1">IF(#REF!&lt;&gt;"",#REF!,OFFSET(#REF!,-1,0))</f>
        <v>#REF!</v>
      </c>
      <c r="BA92" s="144"/>
      <c r="BB92" s="3" t="e">
        <f>#REF!</f>
        <v>#REF!</v>
      </c>
      <c r="BC92" s="146" t="e">
        <f>-#REF! / 2 + -#REF! * 2 + -#REF! / 2</f>
        <v>#REF!</v>
      </c>
      <c r="BD92" s="146"/>
      <c r="BE92" s="146"/>
      <c r="BF92" s="146"/>
      <c r="BG92" s="147" t="e">
        <f>#REF!</f>
        <v>#REF!</v>
      </c>
      <c r="BH92" s="3" t="e">
        <f>IF(AND(#REF!=0,#REF!=0,#REF!=0,#REF!=0),"",IF(#REF!&gt;0,IF((#REF!+#REF!)/2+#REF!*2+ROUNDUP(#REF!/(1 + tech_2_2*Techs!Y92),0)=0,"Ok","Nope"),IF(#REF!&gt;0,IF((#REF!+#REF!)/2+#REF!*2+ROUNDUP(#REF!/(1 + tech_2_2*Techs!Y92),0)=0,"Ok","Nope"),IF(#REF!&gt;0,IF((#REF!+#REF!)/2+#REF!*2+ROUNDUP(#REF!/(1 + tech_2_2*Techs!Y92),0)=0,"Ok","Nope")))))</f>
        <v>#REF!</v>
      </c>
      <c r="BI92" s="39" t="e">
        <f>#REF!</f>
        <v>#REF!</v>
      </c>
      <c r="BJ92" s="39" t="e">
        <f>#REF!</f>
        <v>#REF!</v>
      </c>
      <c r="BK92" s="39" t="e">
        <f>#REF!</f>
        <v>#REF!</v>
      </c>
      <c r="BL92" s="39" t="e">
        <f>#REF!</f>
        <v>#REF!</v>
      </c>
      <c r="BM92" s="39" t="e">
        <f>#REF!</f>
        <v>#REF!</v>
      </c>
    </row>
    <row r="93" spans="1:65" x14ac:dyDescent="0.25">
      <c r="A93" s="130">
        <v>18</v>
      </c>
      <c r="B93" s="143" t="e">
        <f>#REF!</f>
        <v>#REF!</v>
      </c>
      <c r="C93" s="144"/>
      <c r="D93" s="133"/>
      <c r="E93" s="39" t="e">
        <f>#REF!</f>
        <v>#REF!</v>
      </c>
      <c r="F93" s="39" t="e">
        <f>#REF!</f>
        <v>#REF!</v>
      </c>
      <c r="G93" s="39" t="e">
        <f>#REF!</f>
        <v>#REF!</v>
      </c>
      <c r="H93" s="39" t="e">
        <f ca="1">OFFSET(#REF!,-1,0)+OFFSET(#REF!,-1,0) -#REF! + IF(#REF!,#REF!*4) + SUM(#REF!)*#REF!*tech_3_3_2*#REF!</f>
        <v>#REF!</v>
      </c>
      <c r="I93" s="39" t="e">
        <f ca="1">OFFSET(#REF!,-1,0)+OFFSET(#REF!,-1,0)+ROUNDUP((#REF!*80+#REF!*35)*(1+OFFSET(#REF!,-1,0)),0)</f>
        <v>#REF!</v>
      </c>
      <c r="J93" s="39" t="e">
        <f ca="1">OFFSET(#REF!,-1,0)+OFFSET(#REF!,-1,0) -#REF! + SUM(#REF!)*#REF!*tech_3_3_2*#REF!</f>
        <v>#REF!</v>
      </c>
      <c r="K93" s="39" t="e">
        <f ca="1">OFFSET(#REF!,-1,0)+OFFSET(#REF!,-1,0) -#REF!</f>
        <v>#REF!</v>
      </c>
      <c r="L93" s="39" t="e">
        <f ca="1">OFFSET(#REF!,-1,0)+OFFSET(#REF!,-1,0) -#REF!</f>
        <v>#REF!</v>
      </c>
      <c r="M93" s="39" t="e">
        <f ca="1">OFFSET(#REF!,-1,0)+OFFSET(#REF!,-1,0) -#REF!</f>
        <v>#REF!</v>
      </c>
      <c r="N93" s="39" t="e">
        <f ca="1">OFFSET(#REF!,-1,0)+OFFSET(#REF!,-1,0)</f>
        <v>#REF!</v>
      </c>
      <c r="O93" s="39" t="e">
        <f ca="1">OFFSET(#REF!,-1,0)</f>
        <v>#REF!</v>
      </c>
      <c r="P93" s="39" t="e">
        <f ca="1">ROUNDDOWN(OFFSET(#REF!,-1,0)+(1+research_bonus)*(MIN(#REF!,#REF!*school_max)*(1 - MIN((#REF!/(#REF!-#REF!)),school_max)))-#REF!*#REF!,0) + IF(#REF!&lt;&gt;"",350,0)</f>
        <v>#REF!</v>
      </c>
      <c r="Q93" s="39" t="e">
        <f ca="1">MAX(3750,_xlfn.CEILING.MATH(#REF!*2.5+OFFSET(#REF!,-1,0)*150))</f>
        <v>#REF!</v>
      </c>
      <c r="R93" s="134"/>
      <c r="S93" s="39" t="e">
        <f>ROUNDDOWN(#REF!*(1+#REF!),0)</f>
        <v>#REF!</v>
      </c>
      <c r="T93" s="39" t="e">
        <f>ROUND(#REF!*(1+#REF!)-#REF!-#REF!,0)</f>
        <v>#REF!</v>
      </c>
      <c r="U93" s="39" t="e">
        <f>ROUND(#REF!*(1+#REF!)-#REF!,0)</f>
        <v>#REF!</v>
      </c>
      <c r="V93" s="39" t="e">
        <f>ROUND(#REF!*(1+#REF!)-#REF!,0)</f>
        <v>#REF!</v>
      </c>
      <c r="W93" s="39" t="e">
        <f>ROUNDDOWN(#REF!*(1+#REF!),0)</f>
        <v>#REF!</v>
      </c>
      <c r="X93" s="39" t="e">
        <f>ROUNDDOWN(#REF!*(1+#REF!),0)</f>
        <v>#REF!</v>
      </c>
      <c r="Y93" s="145" t="e">
        <f ca="1">OFFSET(#REF!,1,0)*dock_boats_hr * (1 + tech_4_1*#REF!)</f>
        <v>#REF!</v>
      </c>
      <c r="Z93" s="133"/>
      <c r="AA93" s="39" t="e">
        <f ca="1">#REF!*tax*#REF! + (Construction!AZ94+Construction!BX94)*(alch_plat+(Magic!AM93&gt;0)*alchemist_flame_bonus)</f>
        <v>#REF!</v>
      </c>
      <c r="AB93" s="39" t="e">
        <f>#REF!*farm_food +#REF!* dock_food</f>
        <v>#REF!</v>
      </c>
      <c r="AC93" s="39" t="e">
        <f>#REF!*ly_lumber +#REF!* fh_lumber</f>
        <v>#REF!</v>
      </c>
      <c r="AD93" s="39" t="e">
        <f ca="1">OFFSET(#REF!,1,0)*(tower_mana + tech_4_5*#REF!) + OFFSET(#REF!,1,0)*wg_mana_prod</f>
        <v>#REF!</v>
      </c>
      <c r="AE93" s="39" t="e">
        <f ca="1">OFFSET(#REF!,1,0)*om_ore+IF(race="Dwarf",ROUNDDOWN(#REF!*0.4,0),)</f>
        <v>#REF!</v>
      </c>
      <c r="AF93" s="39" t="e">
        <f ca="1">OFFSET(#REF!,1,0)*dm_gems</f>
        <v>#REF!</v>
      </c>
      <c r="AG93" s="134"/>
      <c r="AH93" s="135" t="e">
        <f>MIN(race_platinum_bonus + IF(#REF!&gt;0,alch_frost_bonus,IF(Magic!AD93&gt;0,midas_bonus)) +#REF! -#REF!*( 0.02 + tech_5_7*#REF!) + tech_1_5*#REF! + tech_4_4*#REF!, 0.5)</f>
        <v>#REF!</v>
      </c>
      <c r="AI93" s="132" t="e">
        <f>(1 + race_food_bonus + IF(#REF!&gt;0,gaias_blessing_food,IF(#REF!&gt;0,gaias_watch_bonus)) +#REF! + tech_1_1*#REF! + tech_1_4*#REF! + tech_5_1*#REF! +#REF!/ 100*prestige_food_bonus*(1 + tech_8_1*#REF!)) - 1</f>
        <v>#REF!</v>
      </c>
      <c r="AJ93" s="135" t="e">
        <f>race_lumber_bonus+ IF(#REF!&gt;0,gaias_blessing_lumber)+ tech_1_3*#REF! + tech_1_6*#REF! + tech_3_3*#REF!</f>
        <v>#REF!</v>
      </c>
      <c r="AK93" s="135" t="e">
        <f>race_mana_bonus+ 0 +#REF! + tech_1_2*#REF! + tech_3_4*#REF!</f>
        <v>#REF!</v>
      </c>
      <c r="AL93" s="135" t="e">
        <f>race_ore_bonus + IF(#REF!&gt;0,miners_sight_bonus,IF(#REF!&gt;0,mining_strength_bonus)) +  tech_1_6*#REF!</f>
        <v>#REF!</v>
      </c>
      <c r="AM93" s="135" t="e">
        <f>race_gem_bonus+ tech_3_2*#REF! + tech_4_3*#REF! + tech_6_2*#REF!</f>
        <v>#REF!</v>
      </c>
      <c r="AN93" s="134"/>
      <c r="AO93" s="39" t="e">
        <f>#REF!*food_decay * (1 + tech_2_1*#REF! + tech_2_8*#REF!)</f>
        <v>#REF!</v>
      </c>
      <c r="AP93" s="39" t="e">
        <f>(1+race_food_consumption)*#REF!*food_per_person*(1+tech_1_10*#REF!+tech_7_5*#REF!)</f>
        <v>#REF!</v>
      </c>
      <c r="AQ93" s="39" t="e">
        <f>#REF!*lumber_rot * (1 + tech_2_1*#REF! + tech_2_8*#REF! + tech_5_2*#REF!)</f>
        <v>#REF!</v>
      </c>
      <c r="AR93" s="39" t="e">
        <f>#REF!*mana_drain * (1 + tech_2_1*#REF! + tech_2_8*#REF!)</f>
        <v>#REF!</v>
      </c>
      <c r="AS93" s="133"/>
      <c r="AT93" s="39" t="e">
        <f>#REF!+#REF!+#REF!+#REF!+#REF!-#REF!</f>
        <v>#REF!</v>
      </c>
      <c r="AU93" s="39" t="e">
        <f>#REF!+#REF!-#REF! + Military!$CL$25*#REF!</f>
        <v>#REF!</v>
      </c>
      <c r="AV93" s="39" t="e">
        <f>#REF! + Military!$CL$26*#REF!</f>
        <v>#REF!</v>
      </c>
      <c r="AW93" s="39" t="e">
        <f>Military!$CL$24*#REF!+#REF!-#REF!</f>
        <v>#REF!</v>
      </c>
      <c r="AX93" s="39" t="e">
        <f>#REF!-#REF!</f>
        <v>#REF!</v>
      </c>
      <c r="AY93" s="134"/>
      <c r="AZ93" s="61" t="e">
        <f ca="1">IF(#REF!&lt;&gt;"",#REF!,OFFSET(#REF!,-1,0))</f>
        <v>#REF!</v>
      </c>
      <c r="BA93" s="144"/>
      <c r="BB93" s="3" t="e">
        <f>#REF!</f>
        <v>#REF!</v>
      </c>
      <c r="BC93" s="146" t="e">
        <f>-#REF! / 2 + -#REF! * 2 + -#REF! / 2</f>
        <v>#REF!</v>
      </c>
      <c r="BD93" s="146"/>
      <c r="BE93" s="146"/>
      <c r="BF93" s="146"/>
      <c r="BG93" s="147" t="e">
        <f>#REF!</f>
        <v>#REF!</v>
      </c>
      <c r="BH93" s="3" t="e">
        <f>IF(AND(#REF!=0,#REF!=0,#REF!=0,#REF!=0),"",IF(#REF!&gt;0,IF((#REF!+#REF!)/2+#REF!*2+ROUNDUP(#REF!/(1 + tech_2_2*Techs!Y93),0)=0,"Ok","Nope"),IF(#REF!&gt;0,IF((#REF!+#REF!)/2+#REF!*2+ROUNDUP(#REF!/(1 + tech_2_2*Techs!Y93),0)=0,"Ok","Nope"),IF(#REF!&gt;0,IF((#REF!+#REF!)/2+#REF!*2+ROUNDUP(#REF!/(1 + tech_2_2*Techs!Y93),0)=0,"Ok","Nope")))))</f>
        <v>#REF!</v>
      </c>
      <c r="BI93" s="39" t="e">
        <f>#REF!</f>
        <v>#REF!</v>
      </c>
      <c r="BJ93" s="39" t="e">
        <f>#REF!</f>
        <v>#REF!</v>
      </c>
      <c r="BK93" s="39" t="e">
        <f>#REF!</f>
        <v>#REF!</v>
      </c>
      <c r="BL93" s="39" t="e">
        <f>#REF!</f>
        <v>#REF!</v>
      </c>
      <c r="BM93" s="39" t="e">
        <f>#REF!</f>
        <v>#REF!</v>
      </c>
    </row>
    <row r="94" spans="1:65" x14ac:dyDescent="0.25">
      <c r="A94" s="130">
        <v>19</v>
      </c>
      <c r="B94" s="143" t="e">
        <f>#REF!</f>
        <v>#REF!</v>
      </c>
      <c r="C94" s="144"/>
      <c r="D94" s="133"/>
      <c r="E94" s="39" t="e">
        <f>#REF!</f>
        <v>#REF!</v>
      </c>
      <c r="F94" s="39" t="e">
        <f>#REF!</f>
        <v>#REF!</v>
      </c>
      <c r="G94" s="39" t="e">
        <f>#REF!</f>
        <v>#REF!</v>
      </c>
      <c r="H94" s="39" t="e">
        <f ca="1">OFFSET(#REF!,-1,0)+OFFSET(#REF!,-1,0) -#REF! + IF(#REF!,#REF!*4) + SUM(#REF!)*#REF!*tech_3_3_2*#REF!</f>
        <v>#REF!</v>
      </c>
      <c r="I94" s="39" t="e">
        <f ca="1">OFFSET(#REF!,-1,0)+OFFSET(#REF!,-1,0)+ROUNDUP((#REF!*80+#REF!*35)*(1+OFFSET(#REF!,-1,0)),0)</f>
        <v>#REF!</v>
      </c>
      <c r="J94" s="39" t="e">
        <f ca="1">OFFSET(#REF!,-1,0)+OFFSET(#REF!,-1,0) -#REF! + SUM(#REF!)*#REF!*tech_3_3_2*#REF!</f>
        <v>#REF!</v>
      </c>
      <c r="K94" s="39" t="e">
        <f ca="1">OFFSET(#REF!,-1,0)+OFFSET(#REF!,-1,0) -#REF!</f>
        <v>#REF!</v>
      </c>
      <c r="L94" s="39" t="e">
        <f ca="1">OFFSET(#REF!,-1,0)+OFFSET(#REF!,-1,0) -#REF!</f>
        <v>#REF!</v>
      </c>
      <c r="M94" s="39" t="e">
        <f ca="1">OFFSET(#REF!,-1,0)+OFFSET(#REF!,-1,0) -#REF!</f>
        <v>#REF!</v>
      </c>
      <c r="N94" s="39" t="e">
        <f ca="1">OFFSET(#REF!,-1,0)+OFFSET(#REF!,-1,0)</f>
        <v>#REF!</v>
      </c>
      <c r="O94" s="39" t="e">
        <f ca="1">OFFSET(#REF!,-1,0)</f>
        <v>#REF!</v>
      </c>
      <c r="P94" s="39" t="e">
        <f ca="1">ROUNDDOWN(OFFSET(#REF!,-1,0)+(1+research_bonus)*(MIN(#REF!,#REF!*school_max)*(1 - MIN((#REF!/(#REF!-#REF!)),school_max)))-#REF!*#REF!,0) + IF(#REF!&lt;&gt;"",350,0)</f>
        <v>#REF!</v>
      </c>
      <c r="Q94" s="39" t="e">
        <f ca="1">MAX(3750,_xlfn.CEILING.MATH(#REF!*2.5+OFFSET(#REF!,-1,0)*150))</f>
        <v>#REF!</v>
      </c>
      <c r="R94" s="134"/>
      <c r="S94" s="39" t="e">
        <f>ROUNDDOWN(#REF!*(1+#REF!),0)</f>
        <v>#REF!</v>
      </c>
      <c r="T94" s="39" t="e">
        <f>ROUND(#REF!*(1+#REF!)-#REF!-#REF!,0)</f>
        <v>#REF!</v>
      </c>
      <c r="U94" s="39" t="e">
        <f>ROUND(#REF!*(1+#REF!)-#REF!,0)</f>
        <v>#REF!</v>
      </c>
      <c r="V94" s="39" t="e">
        <f>ROUND(#REF!*(1+#REF!)-#REF!,0)</f>
        <v>#REF!</v>
      </c>
      <c r="W94" s="39" t="e">
        <f>ROUNDDOWN(#REF!*(1+#REF!),0)</f>
        <v>#REF!</v>
      </c>
      <c r="X94" s="39" t="e">
        <f>ROUNDDOWN(#REF!*(1+#REF!),0)</f>
        <v>#REF!</v>
      </c>
      <c r="Y94" s="145" t="e">
        <f ca="1">OFFSET(#REF!,1,0)*dock_boats_hr * (1 + tech_4_1*#REF!)</f>
        <v>#REF!</v>
      </c>
      <c r="Z94" s="133"/>
      <c r="AA94" s="39" t="e">
        <f ca="1">#REF!*tax*#REF! + (Construction!AZ95+Construction!BX95)*(alch_plat+(Magic!AM94&gt;0)*alchemist_flame_bonus)</f>
        <v>#REF!</v>
      </c>
      <c r="AB94" s="39" t="e">
        <f>#REF!*farm_food +#REF!* dock_food</f>
        <v>#REF!</v>
      </c>
      <c r="AC94" s="39" t="e">
        <f>#REF!*ly_lumber +#REF!* fh_lumber</f>
        <v>#REF!</v>
      </c>
      <c r="AD94" s="39" t="e">
        <f ca="1">OFFSET(#REF!,1,0)*(tower_mana + tech_4_5*#REF!) + OFFSET(#REF!,1,0)*wg_mana_prod</f>
        <v>#REF!</v>
      </c>
      <c r="AE94" s="39" t="e">
        <f ca="1">OFFSET(#REF!,1,0)*om_ore+IF(race="Dwarf",ROUNDDOWN(#REF!*0.4,0),)</f>
        <v>#REF!</v>
      </c>
      <c r="AF94" s="39" t="e">
        <f ca="1">OFFSET(#REF!,1,0)*dm_gems</f>
        <v>#REF!</v>
      </c>
      <c r="AG94" s="134"/>
      <c r="AH94" s="135" t="e">
        <f>MIN(race_platinum_bonus + IF(#REF!&gt;0,alch_frost_bonus,IF(Magic!AD94&gt;0,midas_bonus)) +#REF! -#REF!*( 0.02 + tech_5_7*#REF!) + tech_1_5*#REF! + tech_4_4*#REF!, 0.5)</f>
        <v>#REF!</v>
      </c>
      <c r="AI94" s="132" t="e">
        <f>(1 + race_food_bonus + IF(#REF!&gt;0,gaias_blessing_food,IF(#REF!&gt;0,gaias_watch_bonus)) +#REF! + tech_1_1*#REF! + tech_1_4*#REF! + tech_5_1*#REF! +#REF!/ 100*prestige_food_bonus*(1 + tech_8_1*#REF!)) - 1</f>
        <v>#REF!</v>
      </c>
      <c r="AJ94" s="135" t="e">
        <f>race_lumber_bonus+ IF(#REF!&gt;0,gaias_blessing_lumber)+ tech_1_3*#REF! + tech_1_6*#REF! + tech_3_3*#REF!</f>
        <v>#REF!</v>
      </c>
      <c r="AK94" s="135" t="e">
        <f>race_mana_bonus+ 0 +#REF! + tech_1_2*#REF! + tech_3_4*#REF!</f>
        <v>#REF!</v>
      </c>
      <c r="AL94" s="135" t="e">
        <f>race_ore_bonus + IF(#REF!&gt;0,miners_sight_bonus,IF(#REF!&gt;0,mining_strength_bonus)) +  tech_1_6*#REF!</f>
        <v>#REF!</v>
      </c>
      <c r="AM94" s="135" t="e">
        <f>race_gem_bonus+ tech_3_2*#REF! + tech_4_3*#REF! + tech_6_2*#REF!</f>
        <v>#REF!</v>
      </c>
      <c r="AN94" s="134"/>
      <c r="AO94" s="39" t="e">
        <f>#REF!*food_decay * (1 + tech_2_1*#REF! + tech_2_8*#REF!)</f>
        <v>#REF!</v>
      </c>
      <c r="AP94" s="39" t="e">
        <f>(1+race_food_consumption)*#REF!*food_per_person*(1+tech_1_10*#REF!+tech_7_5*#REF!)</f>
        <v>#REF!</v>
      </c>
      <c r="AQ94" s="39" t="e">
        <f>#REF!*lumber_rot * (1 + tech_2_1*#REF! + tech_2_8*#REF! + tech_5_2*#REF!)</f>
        <v>#REF!</v>
      </c>
      <c r="AR94" s="39" t="e">
        <f>#REF!*mana_drain * (1 + tech_2_1*#REF! + tech_2_8*#REF!)</f>
        <v>#REF!</v>
      </c>
      <c r="AS94" s="133"/>
      <c r="AT94" s="39" t="e">
        <f>#REF!+#REF!+#REF!+#REF!+#REF!-#REF!</f>
        <v>#REF!</v>
      </c>
      <c r="AU94" s="39" t="e">
        <f>#REF!+#REF!-#REF! + Military!$CL$25*#REF!</f>
        <v>#REF!</v>
      </c>
      <c r="AV94" s="39" t="e">
        <f>#REF! + Military!$CL$26*#REF!</f>
        <v>#REF!</v>
      </c>
      <c r="AW94" s="39" t="e">
        <f>Military!$CL$24*#REF!+#REF!-#REF!</f>
        <v>#REF!</v>
      </c>
      <c r="AX94" s="39" t="e">
        <f>#REF!-#REF!</f>
        <v>#REF!</v>
      </c>
      <c r="AY94" s="134"/>
      <c r="AZ94" s="61" t="e">
        <f ca="1">IF(#REF!&lt;&gt;"",#REF!,OFFSET(#REF!,-1,0))</f>
        <v>#REF!</v>
      </c>
      <c r="BA94" s="144"/>
      <c r="BB94" s="3" t="e">
        <f>#REF!</f>
        <v>#REF!</v>
      </c>
      <c r="BC94" s="146" t="e">
        <f>-#REF! / 2 + -#REF! * 2 + -#REF! / 2</f>
        <v>#REF!</v>
      </c>
      <c r="BD94" s="146"/>
      <c r="BE94" s="146"/>
      <c r="BF94" s="146"/>
      <c r="BG94" s="147" t="e">
        <f>#REF!</f>
        <v>#REF!</v>
      </c>
      <c r="BH94" s="3" t="e">
        <f>IF(AND(#REF!=0,#REF!=0,#REF!=0,#REF!=0),"",IF(#REF!&gt;0,IF((#REF!+#REF!)/2+#REF!*2+ROUNDUP(#REF!/(1 + tech_2_2*Techs!Y94),0)=0,"Ok","Nope"),IF(#REF!&gt;0,IF((#REF!+#REF!)/2+#REF!*2+ROUNDUP(#REF!/(1 + tech_2_2*Techs!Y94),0)=0,"Ok","Nope"),IF(#REF!&gt;0,IF((#REF!+#REF!)/2+#REF!*2+ROUNDUP(#REF!/(1 + tech_2_2*Techs!Y94),0)=0,"Ok","Nope")))))</f>
        <v>#REF!</v>
      </c>
      <c r="BI94" s="39" t="e">
        <f>#REF!</f>
        <v>#REF!</v>
      </c>
      <c r="BJ94" s="39" t="e">
        <f>#REF!</f>
        <v>#REF!</v>
      </c>
      <c r="BK94" s="39" t="e">
        <f>#REF!</f>
        <v>#REF!</v>
      </c>
      <c r="BL94" s="39" t="e">
        <f>#REF!</f>
        <v>#REF!</v>
      </c>
      <c r="BM94" s="39" t="e">
        <f>#REF!</f>
        <v>#REF!</v>
      </c>
    </row>
    <row r="95" spans="1:65" x14ac:dyDescent="0.25">
      <c r="A95" s="130">
        <v>20</v>
      </c>
      <c r="B95" s="143" t="e">
        <f>#REF!</f>
        <v>#REF!</v>
      </c>
      <c r="C95" s="144"/>
      <c r="D95" s="133"/>
      <c r="E95" s="39" t="e">
        <f>#REF!</f>
        <v>#REF!</v>
      </c>
      <c r="F95" s="39" t="e">
        <f>#REF!</f>
        <v>#REF!</v>
      </c>
      <c r="G95" s="39" t="e">
        <f>#REF!</f>
        <v>#REF!</v>
      </c>
      <c r="H95" s="39" t="e">
        <f ca="1">OFFSET(#REF!,-1,0)+OFFSET(#REF!,-1,0) -#REF! + IF(#REF!,#REF!*4) + SUM(#REF!)*#REF!*tech_3_3_2*#REF!</f>
        <v>#REF!</v>
      </c>
      <c r="I95" s="39" t="e">
        <f ca="1">OFFSET(#REF!,-1,0)+OFFSET(#REF!,-1,0)+ROUNDUP((#REF!*80+#REF!*35)*(1+OFFSET(#REF!,-1,0)),0)</f>
        <v>#REF!</v>
      </c>
      <c r="J95" s="39" t="e">
        <f ca="1">OFFSET(#REF!,-1,0)+OFFSET(#REF!,-1,0) -#REF! + SUM(#REF!)*#REF!*tech_3_3_2*#REF!</f>
        <v>#REF!</v>
      </c>
      <c r="K95" s="39" t="e">
        <f ca="1">OFFSET(#REF!,-1,0)+OFFSET(#REF!,-1,0) -#REF!</f>
        <v>#REF!</v>
      </c>
      <c r="L95" s="39" t="e">
        <f ca="1">OFFSET(#REF!,-1,0)+OFFSET(#REF!,-1,0) -#REF!</f>
        <v>#REF!</v>
      </c>
      <c r="M95" s="39" t="e">
        <f ca="1">OFFSET(#REF!,-1,0)+OFFSET(#REF!,-1,0) -#REF!</f>
        <v>#REF!</v>
      </c>
      <c r="N95" s="39" t="e">
        <f ca="1">OFFSET(#REF!,-1,0)+OFFSET(#REF!,-1,0)</f>
        <v>#REF!</v>
      </c>
      <c r="O95" s="39" t="e">
        <f ca="1">OFFSET(#REF!,-1,0)</f>
        <v>#REF!</v>
      </c>
      <c r="P95" s="39" t="e">
        <f ca="1">ROUNDDOWN(OFFSET(#REF!,-1,0)+(1+research_bonus)*(MIN(#REF!,#REF!*school_max)*(1 - MIN((#REF!/(#REF!-#REF!)),school_max)))-#REF!*#REF!,0) + IF(#REF!&lt;&gt;"",350,0)</f>
        <v>#REF!</v>
      </c>
      <c r="Q95" s="39" t="e">
        <f ca="1">MAX(3750,_xlfn.CEILING.MATH(#REF!*2.5+OFFSET(#REF!,-1,0)*150))</f>
        <v>#REF!</v>
      </c>
      <c r="R95" s="134"/>
      <c r="S95" s="39" t="e">
        <f>ROUNDDOWN(#REF!*(1+#REF!),0)</f>
        <v>#REF!</v>
      </c>
      <c r="T95" s="39" t="e">
        <f>ROUND(#REF!*(1+#REF!)-#REF!-#REF!,0)</f>
        <v>#REF!</v>
      </c>
      <c r="U95" s="39" t="e">
        <f>ROUND(#REF!*(1+#REF!)-#REF!,0)</f>
        <v>#REF!</v>
      </c>
      <c r="V95" s="39" t="e">
        <f>ROUND(#REF!*(1+#REF!)-#REF!,0)</f>
        <v>#REF!</v>
      </c>
      <c r="W95" s="39" t="e">
        <f>ROUNDDOWN(#REF!*(1+#REF!),0)</f>
        <v>#REF!</v>
      </c>
      <c r="X95" s="39" t="e">
        <f>ROUNDDOWN(#REF!*(1+#REF!),0)</f>
        <v>#REF!</v>
      </c>
      <c r="Y95" s="145" t="e">
        <f ca="1">OFFSET(#REF!,1,0)*dock_boats_hr * (1 + tech_4_1*#REF!)</f>
        <v>#REF!</v>
      </c>
      <c r="Z95" s="133"/>
      <c r="AA95" s="39" t="e">
        <f ca="1">#REF!*tax*#REF! + (Construction!AZ96+Construction!BX96)*(alch_plat+(Magic!AM95&gt;0)*alchemist_flame_bonus)</f>
        <v>#REF!</v>
      </c>
      <c r="AB95" s="39" t="e">
        <f>#REF!*farm_food +#REF!* dock_food</f>
        <v>#REF!</v>
      </c>
      <c r="AC95" s="39" t="e">
        <f>#REF!*ly_lumber +#REF!* fh_lumber</f>
        <v>#REF!</v>
      </c>
      <c r="AD95" s="39" t="e">
        <f ca="1">OFFSET(#REF!,1,0)*(tower_mana + tech_4_5*#REF!) + OFFSET(#REF!,1,0)*wg_mana_prod</f>
        <v>#REF!</v>
      </c>
      <c r="AE95" s="39" t="e">
        <f ca="1">OFFSET(#REF!,1,0)*om_ore+IF(race="Dwarf",ROUNDDOWN(#REF!*0.4,0),)</f>
        <v>#REF!</v>
      </c>
      <c r="AF95" s="39" t="e">
        <f ca="1">OFFSET(#REF!,1,0)*dm_gems</f>
        <v>#REF!</v>
      </c>
      <c r="AG95" s="134"/>
      <c r="AH95" s="135" t="e">
        <f>MIN(race_platinum_bonus + IF(#REF!&gt;0,alch_frost_bonus,IF(Magic!AD95&gt;0,midas_bonus)) +#REF! -#REF!*( 0.02 + tech_5_7*#REF!) + tech_1_5*#REF! + tech_4_4*#REF!, 0.5)</f>
        <v>#REF!</v>
      </c>
      <c r="AI95" s="132" t="e">
        <f>(1 + race_food_bonus + IF(#REF!&gt;0,gaias_blessing_food,IF(#REF!&gt;0,gaias_watch_bonus)) +#REF! + tech_1_1*#REF! + tech_1_4*#REF! + tech_5_1*#REF! +#REF!/ 100*prestige_food_bonus*(1 + tech_8_1*#REF!)) - 1</f>
        <v>#REF!</v>
      </c>
      <c r="AJ95" s="135" t="e">
        <f>race_lumber_bonus+ IF(#REF!&gt;0,gaias_blessing_lumber)+ tech_1_3*#REF! + tech_1_6*#REF! + tech_3_3*#REF!</f>
        <v>#REF!</v>
      </c>
      <c r="AK95" s="135" t="e">
        <f>race_mana_bonus+ 0 +#REF! + tech_1_2*#REF! + tech_3_4*#REF!</f>
        <v>#REF!</v>
      </c>
      <c r="AL95" s="135" t="e">
        <f>race_ore_bonus + IF(#REF!&gt;0,miners_sight_bonus,IF(#REF!&gt;0,mining_strength_bonus)) +  tech_1_6*#REF!</f>
        <v>#REF!</v>
      </c>
      <c r="AM95" s="135" t="e">
        <f>race_gem_bonus+ tech_3_2*#REF! + tech_4_3*#REF! + tech_6_2*#REF!</f>
        <v>#REF!</v>
      </c>
      <c r="AN95" s="134"/>
      <c r="AO95" s="39" t="e">
        <f>#REF!*food_decay * (1 + tech_2_1*#REF! + tech_2_8*#REF!)</f>
        <v>#REF!</v>
      </c>
      <c r="AP95" s="39" t="e">
        <f>(1+race_food_consumption)*#REF!*food_per_person*(1+tech_1_10*#REF!+tech_7_5*#REF!)</f>
        <v>#REF!</v>
      </c>
      <c r="AQ95" s="39" t="e">
        <f>#REF!*lumber_rot * (1 + tech_2_1*#REF! + tech_2_8*#REF! + tech_5_2*#REF!)</f>
        <v>#REF!</v>
      </c>
      <c r="AR95" s="39" t="e">
        <f>#REF!*mana_drain * (1 + tech_2_1*#REF! + tech_2_8*#REF!)</f>
        <v>#REF!</v>
      </c>
      <c r="AS95" s="133"/>
      <c r="AT95" s="39" t="e">
        <f>#REF!+#REF!+#REF!+#REF!+#REF!-#REF!</f>
        <v>#REF!</v>
      </c>
      <c r="AU95" s="39" t="e">
        <f>#REF!+#REF!-#REF! + Military!$CL$25*#REF!</f>
        <v>#REF!</v>
      </c>
      <c r="AV95" s="39" t="e">
        <f>#REF! + Military!$CL$26*#REF!</f>
        <v>#REF!</v>
      </c>
      <c r="AW95" s="39" t="e">
        <f>Military!$CL$24*#REF!+#REF!-#REF!</f>
        <v>#REF!</v>
      </c>
      <c r="AX95" s="39" t="e">
        <f>#REF!-#REF!</f>
        <v>#REF!</v>
      </c>
      <c r="AY95" s="134"/>
      <c r="AZ95" s="61" t="e">
        <f ca="1">IF(#REF!&lt;&gt;"",#REF!,OFFSET(#REF!,-1,0))</f>
        <v>#REF!</v>
      </c>
      <c r="BA95" s="144"/>
      <c r="BB95" s="3" t="e">
        <f>#REF!</f>
        <v>#REF!</v>
      </c>
      <c r="BC95" s="146" t="e">
        <f>-#REF! / 2 + -#REF! * 2 + -#REF! / 2</f>
        <v>#REF!</v>
      </c>
      <c r="BD95" s="146"/>
      <c r="BE95" s="146"/>
      <c r="BF95" s="146"/>
      <c r="BG95" s="147" t="e">
        <f>#REF!</f>
        <v>#REF!</v>
      </c>
      <c r="BH95" s="3" t="e">
        <f>IF(AND(#REF!=0,#REF!=0,#REF!=0,#REF!=0),"",IF(#REF!&gt;0,IF((#REF!+#REF!)/2+#REF!*2+ROUNDUP(#REF!/(1 + tech_2_2*Techs!Y95),0)=0,"Ok","Nope"),IF(#REF!&gt;0,IF((#REF!+#REF!)/2+#REF!*2+ROUNDUP(#REF!/(1 + tech_2_2*Techs!Y95),0)=0,"Ok","Nope"),IF(#REF!&gt;0,IF((#REF!+#REF!)/2+#REF!*2+ROUNDUP(#REF!/(1 + tech_2_2*Techs!Y95),0)=0,"Ok","Nope")))))</f>
        <v>#REF!</v>
      </c>
      <c r="BI95" s="39" t="e">
        <f>#REF!</f>
        <v>#REF!</v>
      </c>
      <c r="BJ95" s="39" t="e">
        <f>#REF!</f>
        <v>#REF!</v>
      </c>
      <c r="BK95" s="39" t="e">
        <f>#REF!</f>
        <v>#REF!</v>
      </c>
      <c r="BL95" s="39" t="e">
        <f>#REF!</f>
        <v>#REF!</v>
      </c>
      <c r="BM95" s="39" t="e">
        <f>#REF!</f>
        <v>#REF!</v>
      </c>
    </row>
    <row r="96" spans="1:65" x14ac:dyDescent="0.25">
      <c r="A96" s="130">
        <v>21</v>
      </c>
      <c r="B96" s="143" t="e">
        <f>#REF!</f>
        <v>#REF!</v>
      </c>
      <c r="C96" s="144"/>
      <c r="D96" s="133"/>
      <c r="E96" s="39" t="e">
        <f>#REF!</f>
        <v>#REF!</v>
      </c>
      <c r="F96" s="39" t="e">
        <f>#REF!</f>
        <v>#REF!</v>
      </c>
      <c r="G96" s="39" t="e">
        <f>#REF!</f>
        <v>#REF!</v>
      </c>
      <c r="H96" s="39" t="e">
        <f ca="1">OFFSET(#REF!,-1,0)+OFFSET(#REF!,-1,0) -#REF! + IF(#REF!,#REF!*4) + SUM(#REF!)*#REF!*tech_3_3_2*#REF!</f>
        <v>#REF!</v>
      </c>
      <c r="I96" s="39" t="e">
        <f ca="1">OFFSET(#REF!,-1,0)+OFFSET(#REF!,-1,0)+ROUNDUP((#REF!*80+#REF!*35)*(1+OFFSET(#REF!,-1,0)),0)</f>
        <v>#REF!</v>
      </c>
      <c r="J96" s="39" t="e">
        <f ca="1">OFFSET(#REF!,-1,0)+OFFSET(#REF!,-1,0) -#REF! + SUM(#REF!)*#REF!*tech_3_3_2*#REF!</f>
        <v>#REF!</v>
      </c>
      <c r="K96" s="39" t="e">
        <f ca="1">OFFSET(#REF!,-1,0)+OFFSET(#REF!,-1,0) -#REF!</f>
        <v>#REF!</v>
      </c>
      <c r="L96" s="39" t="e">
        <f ca="1">OFFSET(#REF!,-1,0)+OFFSET(#REF!,-1,0) -#REF!</f>
        <v>#REF!</v>
      </c>
      <c r="M96" s="39" t="e">
        <f ca="1">OFFSET(#REF!,-1,0)+OFFSET(#REF!,-1,0) -#REF!</f>
        <v>#REF!</v>
      </c>
      <c r="N96" s="39" t="e">
        <f ca="1">OFFSET(#REF!,-1,0)+OFFSET(#REF!,-1,0)</f>
        <v>#REF!</v>
      </c>
      <c r="O96" s="39" t="e">
        <f ca="1">OFFSET(#REF!,-1,0)</f>
        <v>#REF!</v>
      </c>
      <c r="P96" s="39" t="e">
        <f ca="1">ROUNDDOWN(OFFSET(#REF!,-1,0)+(1+research_bonus)*(MIN(#REF!,#REF!*school_max)*(1 - MIN((#REF!/(#REF!-#REF!)),school_max)))-#REF!*#REF!,0) + IF(#REF!&lt;&gt;"",350,0)</f>
        <v>#REF!</v>
      </c>
      <c r="Q96" s="39" t="e">
        <f ca="1">MAX(3750,_xlfn.CEILING.MATH(#REF!*2.5+OFFSET(#REF!,-1,0)*150))</f>
        <v>#REF!</v>
      </c>
      <c r="R96" s="134"/>
      <c r="S96" s="39" t="e">
        <f>ROUNDDOWN(#REF!*(1+#REF!),0)</f>
        <v>#REF!</v>
      </c>
      <c r="T96" s="39" t="e">
        <f>ROUND(#REF!*(1+#REF!)-#REF!-#REF!,0)</f>
        <v>#REF!</v>
      </c>
      <c r="U96" s="39" t="e">
        <f>ROUND(#REF!*(1+#REF!)-#REF!,0)</f>
        <v>#REF!</v>
      </c>
      <c r="V96" s="39" t="e">
        <f>ROUND(#REF!*(1+#REF!)-#REF!,0)</f>
        <v>#REF!</v>
      </c>
      <c r="W96" s="39" t="e">
        <f>ROUNDDOWN(#REF!*(1+#REF!),0)</f>
        <v>#REF!</v>
      </c>
      <c r="X96" s="39" t="e">
        <f>ROUNDDOWN(#REF!*(1+#REF!),0)</f>
        <v>#REF!</v>
      </c>
      <c r="Y96" s="145" t="e">
        <f ca="1">OFFSET(#REF!,1,0)*dock_boats_hr * (1 + tech_4_1*#REF!)</f>
        <v>#REF!</v>
      </c>
      <c r="Z96" s="133"/>
      <c r="AA96" s="39" t="e">
        <f ca="1">#REF!*tax*#REF! + (Construction!AZ97+Construction!BX97)*(alch_plat+(Magic!AM96&gt;0)*alchemist_flame_bonus)</f>
        <v>#REF!</v>
      </c>
      <c r="AB96" s="39" t="e">
        <f>#REF!*farm_food +#REF!* dock_food</f>
        <v>#REF!</v>
      </c>
      <c r="AC96" s="39" t="e">
        <f>#REF!*ly_lumber +#REF!* fh_lumber</f>
        <v>#REF!</v>
      </c>
      <c r="AD96" s="39" t="e">
        <f ca="1">OFFSET(#REF!,1,0)*(tower_mana + tech_4_5*#REF!) + OFFSET(#REF!,1,0)*wg_mana_prod</f>
        <v>#REF!</v>
      </c>
      <c r="AE96" s="39" t="e">
        <f ca="1">OFFSET(#REF!,1,0)*om_ore+IF(race="Dwarf",ROUNDDOWN(#REF!*0.4,0),)</f>
        <v>#REF!</v>
      </c>
      <c r="AF96" s="39" t="e">
        <f ca="1">OFFSET(#REF!,1,0)*dm_gems</f>
        <v>#REF!</v>
      </c>
      <c r="AG96" s="134"/>
      <c r="AH96" s="135" t="e">
        <f>MIN(race_platinum_bonus + IF(#REF!&gt;0,alch_frost_bonus,IF(Magic!AD96&gt;0,midas_bonus)) +#REF! -#REF!*( 0.02 + tech_5_7*#REF!) + tech_1_5*#REF! + tech_4_4*#REF!, 0.5)</f>
        <v>#REF!</v>
      </c>
      <c r="AI96" s="132" t="e">
        <f>(1 + race_food_bonus + IF(#REF!&gt;0,gaias_blessing_food,IF(#REF!&gt;0,gaias_watch_bonus)) +#REF! + tech_1_1*#REF! + tech_1_4*#REF! + tech_5_1*#REF! +#REF!/ 100*prestige_food_bonus*(1 + tech_8_1*#REF!)) - 1</f>
        <v>#REF!</v>
      </c>
      <c r="AJ96" s="135" t="e">
        <f>race_lumber_bonus+ IF(#REF!&gt;0,gaias_blessing_lumber)+ tech_1_3*#REF! + tech_1_6*#REF! + tech_3_3*#REF!</f>
        <v>#REF!</v>
      </c>
      <c r="AK96" s="135" t="e">
        <f>race_mana_bonus+ 0 +#REF! + tech_1_2*#REF! + tech_3_4*#REF!</f>
        <v>#REF!</v>
      </c>
      <c r="AL96" s="135" t="e">
        <f>race_ore_bonus + IF(#REF!&gt;0,miners_sight_bonus,IF(#REF!&gt;0,mining_strength_bonus)) +  tech_1_6*#REF!</f>
        <v>#REF!</v>
      </c>
      <c r="AM96" s="135" t="e">
        <f>race_gem_bonus+ tech_3_2*#REF! + tech_4_3*#REF! + tech_6_2*#REF!</f>
        <v>#REF!</v>
      </c>
      <c r="AN96" s="134"/>
      <c r="AO96" s="39" t="e">
        <f>#REF!*food_decay * (1 + tech_2_1*#REF! + tech_2_8*#REF!)</f>
        <v>#REF!</v>
      </c>
      <c r="AP96" s="39" t="e">
        <f>(1+race_food_consumption)*#REF!*food_per_person*(1+tech_1_10*#REF!+tech_7_5*#REF!)</f>
        <v>#REF!</v>
      </c>
      <c r="AQ96" s="39" t="e">
        <f>#REF!*lumber_rot * (1 + tech_2_1*#REF! + tech_2_8*#REF! + tech_5_2*#REF!)</f>
        <v>#REF!</v>
      </c>
      <c r="AR96" s="39" t="e">
        <f>#REF!*mana_drain * (1 + tech_2_1*#REF! + tech_2_8*#REF!)</f>
        <v>#REF!</v>
      </c>
      <c r="AS96" s="133"/>
      <c r="AT96" s="39" t="e">
        <f>#REF!+#REF!+#REF!+#REF!+#REF!-#REF!</f>
        <v>#REF!</v>
      </c>
      <c r="AU96" s="39" t="e">
        <f>#REF!+#REF!-#REF! + Military!$CL$25*#REF!</f>
        <v>#REF!</v>
      </c>
      <c r="AV96" s="39" t="e">
        <f>#REF! + Military!$CL$26*#REF!</f>
        <v>#REF!</v>
      </c>
      <c r="AW96" s="39" t="e">
        <f>Military!$CL$24*#REF!+#REF!-#REF!</f>
        <v>#REF!</v>
      </c>
      <c r="AX96" s="39" t="e">
        <f>#REF!-#REF!</f>
        <v>#REF!</v>
      </c>
      <c r="AY96" s="134"/>
      <c r="AZ96" s="61" t="e">
        <f ca="1">IF(#REF!&lt;&gt;"",#REF!,OFFSET(#REF!,-1,0))</f>
        <v>#REF!</v>
      </c>
      <c r="BA96" s="144"/>
      <c r="BB96" s="3" t="e">
        <f>#REF!</f>
        <v>#REF!</v>
      </c>
      <c r="BC96" s="146" t="e">
        <f>-#REF! / 2 + -#REF! * 2 + -#REF! / 2</f>
        <v>#REF!</v>
      </c>
      <c r="BD96" s="146"/>
      <c r="BE96" s="146"/>
      <c r="BF96" s="146"/>
      <c r="BG96" s="147" t="e">
        <f>#REF!</f>
        <v>#REF!</v>
      </c>
      <c r="BH96" s="3" t="e">
        <f>IF(AND(#REF!=0,#REF!=0,#REF!=0,#REF!=0),"",IF(#REF!&gt;0,IF((#REF!+#REF!)/2+#REF!*2+ROUNDUP(#REF!/(1 + tech_2_2*Techs!Y96),0)=0,"Ok","Nope"),IF(#REF!&gt;0,IF((#REF!+#REF!)/2+#REF!*2+ROUNDUP(#REF!/(1 + tech_2_2*Techs!Y96),0)=0,"Ok","Nope"),IF(#REF!&gt;0,IF((#REF!+#REF!)/2+#REF!*2+ROUNDUP(#REF!/(1 + tech_2_2*Techs!Y96),0)=0,"Ok","Nope")))))</f>
        <v>#REF!</v>
      </c>
      <c r="BI96" s="39" t="e">
        <f>#REF!</f>
        <v>#REF!</v>
      </c>
      <c r="BJ96" s="39" t="e">
        <f>#REF!</f>
        <v>#REF!</v>
      </c>
      <c r="BK96" s="39" t="e">
        <f>#REF!</f>
        <v>#REF!</v>
      </c>
      <c r="BL96" s="39" t="e">
        <f>#REF!</f>
        <v>#REF!</v>
      </c>
      <c r="BM96" s="39" t="e">
        <f>#REF!</f>
        <v>#REF!</v>
      </c>
    </row>
    <row r="97" spans="1:65" x14ac:dyDescent="0.25">
      <c r="A97" s="130">
        <v>22</v>
      </c>
      <c r="B97" s="143" t="e">
        <f>#REF!</f>
        <v>#REF!</v>
      </c>
      <c r="C97" s="144"/>
      <c r="D97" s="133"/>
      <c r="E97" s="39" t="e">
        <f>#REF!</f>
        <v>#REF!</v>
      </c>
      <c r="F97" s="39" t="e">
        <f>#REF!</f>
        <v>#REF!</v>
      </c>
      <c r="G97" s="39" t="e">
        <f>#REF!</f>
        <v>#REF!</v>
      </c>
      <c r="H97" s="39" t="e">
        <f ca="1">OFFSET(#REF!,-1,0)+OFFSET(#REF!,-1,0) -#REF! + IF(#REF!,#REF!*4) + SUM(#REF!)*#REF!*tech_3_3_2*#REF!</f>
        <v>#REF!</v>
      </c>
      <c r="I97" s="39" t="e">
        <f ca="1">OFFSET(#REF!,-1,0)+OFFSET(#REF!,-1,0)+ROUNDUP((#REF!*80+#REF!*35)*(1+OFFSET(#REF!,-1,0)),0)</f>
        <v>#REF!</v>
      </c>
      <c r="J97" s="39" t="e">
        <f ca="1">OFFSET(#REF!,-1,0)+OFFSET(#REF!,-1,0) -#REF! + SUM(#REF!)*#REF!*tech_3_3_2*#REF!</f>
        <v>#REF!</v>
      </c>
      <c r="K97" s="39" t="e">
        <f ca="1">OFFSET(#REF!,-1,0)+OFFSET(#REF!,-1,0) -#REF!</f>
        <v>#REF!</v>
      </c>
      <c r="L97" s="39" t="e">
        <f ca="1">OFFSET(#REF!,-1,0)+OFFSET(#REF!,-1,0) -#REF!</f>
        <v>#REF!</v>
      </c>
      <c r="M97" s="39" t="e">
        <f ca="1">OFFSET(#REF!,-1,0)+OFFSET(#REF!,-1,0) -#REF!</f>
        <v>#REF!</v>
      </c>
      <c r="N97" s="39" t="e">
        <f ca="1">OFFSET(#REF!,-1,0)+OFFSET(#REF!,-1,0)</f>
        <v>#REF!</v>
      </c>
      <c r="O97" s="39" t="e">
        <f ca="1">OFFSET(#REF!,-1,0)</f>
        <v>#REF!</v>
      </c>
      <c r="P97" s="39" t="e">
        <f ca="1">ROUNDDOWN(OFFSET(#REF!,-1,0)+(1+research_bonus)*(MIN(#REF!,#REF!*school_max)*(1 - MIN((#REF!/(#REF!-#REF!)),school_max)))-#REF!*#REF!,0) + IF(#REF!&lt;&gt;"",350,0)</f>
        <v>#REF!</v>
      </c>
      <c r="Q97" s="39" t="e">
        <f ca="1">MAX(3750,_xlfn.CEILING.MATH(#REF!*2.5+OFFSET(#REF!,-1,0)*150))</f>
        <v>#REF!</v>
      </c>
      <c r="R97" s="134"/>
      <c r="S97" s="39" t="e">
        <f>ROUNDDOWN(#REF!*(1+#REF!),0)</f>
        <v>#REF!</v>
      </c>
      <c r="T97" s="39" t="e">
        <f>ROUND(#REF!*(1+#REF!)-#REF!-#REF!,0)</f>
        <v>#REF!</v>
      </c>
      <c r="U97" s="39" t="e">
        <f>ROUND(#REF!*(1+#REF!)-#REF!,0)</f>
        <v>#REF!</v>
      </c>
      <c r="V97" s="39" t="e">
        <f>ROUND(#REF!*(1+#REF!)-#REF!,0)</f>
        <v>#REF!</v>
      </c>
      <c r="W97" s="39" t="e">
        <f>ROUNDDOWN(#REF!*(1+#REF!),0)</f>
        <v>#REF!</v>
      </c>
      <c r="X97" s="39" t="e">
        <f>ROUNDDOWN(#REF!*(1+#REF!),0)</f>
        <v>#REF!</v>
      </c>
      <c r="Y97" s="145" t="e">
        <f ca="1">OFFSET(#REF!,1,0)*dock_boats_hr * (1 + tech_4_1*#REF!)</f>
        <v>#REF!</v>
      </c>
      <c r="Z97" s="133"/>
      <c r="AA97" s="39" t="e">
        <f ca="1">#REF!*tax*#REF! + (Construction!AZ98+Construction!BX98)*(alch_plat+(Magic!AM97&gt;0)*alchemist_flame_bonus)</f>
        <v>#REF!</v>
      </c>
      <c r="AB97" s="39" t="e">
        <f>#REF!*farm_food +#REF!* dock_food</f>
        <v>#REF!</v>
      </c>
      <c r="AC97" s="39" t="e">
        <f>#REF!*ly_lumber +#REF!* fh_lumber</f>
        <v>#REF!</v>
      </c>
      <c r="AD97" s="39" t="e">
        <f ca="1">OFFSET(#REF!,1,0)*(tower_mana + tech_4_5*#REF!) + OFFSET(#REF!,1,0)*wg_mana_prod</f>
        <v>#REF!</v>
      </c>
      <c r="AE97" s="39" t="e">
        <f ca="1">OFFSET(#REF!,1,0)*om_ore+IF(race="Dwarf",ROUNDDOWN(#REF!*0.4,0),)</f>
        <v>#REF!</v>
      </c>
      <c r="AF97" s="39" t="e">
        <f ca="1">OFFSET(#REF!,1,0)*dm_gems</f>
        <v>#REF!</v>
      </c>
      <c r="AG97" s="134"/>
      <c r="AH97" s="135" t="e">
        <f>MIN(race_platinum_bonus + IF(#REF!&gt;0,alch_frost_bonus,IF(Magic!AD97&gt;0,midas_bonus)) +#REF! -#REF!*( 0.02 + tech_5_7*#REF!) + tech_1_5*#REF! + tech_4_4*#REF!, 0.5)</f>
        <v>#REF!</v>
      </c>
      <c r="AI97" s="132" t="e">
        <f>(1 + race_food_bonus + IF(#REF!&gt;0,gaias_blessing_food,IF(#REF!&gt;0,gaias_watch_bonus)) +#REF! + tech_1_1*#REF! + tech_1_4*#REF! + tech_5_1*#REF! +#REF!/ 100*prestige_food_bonus*(1 + tech_8_1*#REF!)) - 1</f>
        <v>#REF!</v>
      </c>
      <c r="AJ97" s="135" t="e">
        <f>race_lumber_bonus+ IF(#REF!&gt;0,gaias_blessing_lumber)+ tech_1_3*#REF! + tech_1_6*#REF! + tech_3_3*#REF!</f>
        <v>#REF!</v>
      </c>
      <c r="AK97" s="135" t="e">
        <f>race_mana_bonus+ 0 +#REF! + tech_1_2*#REF! + tech_3_4*#REF!</f>
        <v>#REF!</v>
      </c>
      <c r="AL97" s="135" t="e">
        <f>race_ore_bonus + IF(#REF!&gt;0,miners_sight_bonus,IF(#REF!&gt;0,mining_strength_bonus)) +  tech_1_6*#REF!</f>
        <v>#REF!</v>
      </c>
      <c r="AM97" s="135" t="e">
        <f>race_gem_bonus+ tech_3_2*#REF! + tech_4_3*#REF! + tech_6_2*#REF!</f>
        <v>#REF!</v>
      </c>
      <c r="AN97" s="134"/>
      <c r="AO97" s="39" t="e">
        <f>#REF!*food_decay * (1 + tech_2_1*#REF! + tech_2_8*#REF!)</f>
        <v>#REF!</v>
      </c>
      <c r="AP97" s="39" t="e">
        <f>(1+race_food_consumption)*#REF!*food_per_person*(1+tech_1_10*#REF!+tech_7_5*#REF!)</f>
        <v>#REF!</v>
      </c>
      <c r="AQ97" s="39" t="e">
        <f>#REF!*lumber_rot * (1 + tech_2_1*#REF! + tech_2_8*#REF! + tech_5_2*#REF!)</f>
        <v>#REF!</v>
      </c>
      <c r="AR97" s="39" t="e">
        <f>#REF!*mana_drain * (1 + tech_2_1*#REF! + tech_2_8*#REF!)</f>
        <v>#REF!</v>
      </c>
      <c r="AS97" s="133"/>
      <c r="AT97" s="39" t="e">
        <f>#REF!+#REF!+#REF!+#REF!+#REF!-#REF!</f>
        <v>#REF!</v>
      </c>
      <c r="AU97" s="39" t="e">
        <f>#REF!+#REF!-#REF! + Military!$CL$25*#REF!</f>
        <v>#REF!</v>
      </c>
      <c r="AV97" s="39" t="e">
        <f>#REF! + Military!$CL$26*#REF!</f>
        <v>#REF!</v>
      </c>
      <c r="AW97" s="39" t="e">
        <f>Military!$CL$24*#REF!+#REF!-#REF!</f>
        <v>#REF!</v>
      </c>
      <c r="AX97" s="39" t="e">
        <f>#REF!-#REF!</f>
        <v>#REF!</v>
      </c>
      <c r="AY97" s="134"/>
      <c r="AZ97" s="61" t="e">
        <f ca="1">IF(#REF!&lt;&gt;"",#REF!,OFFSET(#REF!,-1,0))</f>
        <v>#REF!</v>
      </c>
      <c r="BA97" s="144"/>
      <c r="BB97" s="3" t="e">
        <f>#REF!</f>
        <v>#REF!</v>
      </c>
      <c r="BC97" s="146" t="e">
        <f>-#REF! / 2 + -#REF! * 2 + -#REF! / 2</f>
        <v>#REF!</v>
      </c>
      <c r="BD97" s="146"/>
      <c r="BE97" s="146"/>
      <c r="BF97" s="146"/>
      <c r="BG97" s="147" t="e">
        <f>#REF!</f>
        <v>#REF!</v>
      </c>
      <c r="BH97" s="3" t="e">
        <f>IF(AND(#REF!=0,#REF!=0,#REF!=0,#REF!=0),"",IF(#REF!&gt;0,IF((#REF!+#REF!)/2+#REF!*2+ROUNDUP(#REF!/(1 + tech_2_2*Techs!Y97),0)=0,"Ok","Nope"),IF(#REF!&gt;0,IF((#REF!+#REF!)/2+#REF!*2+ROUNDUP(#REF!/(1 + tech_2_2*Techs!Y97),0)=0,"Ok","Nope"),IF(#REF!&gt;0,IF((#REF!+#REF!)/2+#REF!*2+ROUNDUP(#REF!/(1 + tech_2_2*Techs!Y97),0)=0,"Ok","Nope")))))</f>
        <v>#REF!</v>
      </c>
      <c r="BI97" s="39" t="e">
        <f>#REF!</f>
        <v>#REF!</v>
      </c>
      <c r="BJ97" s="39" t="e">
        <f>#REF!</f>
        <v>#REF!</v>
      </c>
      <c r="BK97" s="39" t="e">
        <f>#REF!</f>
        <v>#REF!</v>
      </c>
      <c r="BL97" s="39" t="e">
        <f>#REF!</f>
        <v>#REF!</v>
      </c>
      <c r="BM97" s="39" t="e">
        <f>#REF!</f>
        <v>#REF!</v>
      </c>
    </row>
    <row r="98" spans="1:65" x14ac:dyDescent="0.25">
      <c r="A98" s="130">
        <v>23</v>
      </c>
      <c r="B98" s="143" t="e">
        <f>#REF!</f>
        <v>#REF!</v>
      </c>
      <c r="C98" s="144"/>
      <c r="D98" s="133"/>
      <c r="E98" s="39" t="e">
        <f>#REF!</f>
        <v>#REF!</v>
      </c>
      <c r="F98" s="39" t="e">
        <f>#REF!</f>
        <v>#REF!</v>
      </c>
      <c r="G98" s="39" t="e">
        <f>#REF!</f>
        <v>#REF!</v>
      </c>
      <c r="H98" s="39" t="e">
        <f ca="1">OFFSET(#REF!,-1,0)+OFFSET(#REF!,-1,0) -#REF! + IF(#REF!,#REF!*4) + SUM(#REF!)*#REF!*tech_3_3_2*#REF!</f>
        <v>#REF!</v>
      </c>
      <c r="I98" s="39" t="e">
        <f ca="1">OFFSET(#REF!,-1,0)+OFFSET(#REF!,-1,0)+ROUNDUP((#REF!*80+#REF!*35)*(1+OFFSET(#REF!,-1,0)),0)</f>
        <v>#REF!</v>
      </c>
      <c r="J98" s="39" t="e">
        <f ca="1">OFFSET(#REF!,-1,0)+OFFSET(#REF!,-1,0) -#REF! + SUM(#REF!)*#REF!*tech_3_3_2*#REF!</f>
        <v>#REF!</v>
      </c>
      <c r="K98" s="39" t="e">
        <f ca="1">OFFSET(#REF!,-1,0)+OFFSET(#REF!,-1,0) -#REF!</f>
        <v>#REF!</v>
      </c>
      <c r="L98" s="39" t="e">
        <f ca="1">OFFSET(#REF!,-1,0)+OFFSET(#REF!,-1,0) -#REF!</f>
        <v>#REF!</v>
      </c>
      <c r="M98" s="39" t="e">
        <f ca="1">OFFSET(#REF!,-1,0)+OFFSET(#REF!,-1,0) -#REF!</f>
        <v>#REF!</v>
      </c>
      <c r="N98" s="39" t="e">
        <f ca="1">OFFSET(#REF!,-1,0)+OFFSET(#REF!,-1,0)</f>
        <v>#REF!</v>
      </c>
      <c r="O98" s="39" t="e">
        <f ca="1">OFFSET(#REF!,-1,0)</f>
        <v>#REF!</v>
      </c>
      <c r="P98" s="39" t="e">
        <f ca="1">ROUNDDOWN(OFFSET(#REF!,-1,0)+(1+research_bonus)*(MIN(#REF!,#REF!*school_max)*(1 - MIN((#REF!/(#REF!-#REF!)),school_max)))-#REF!*#REF!,0) + IF(#REF!&lt;&gt;"",350,0)</f>
        <v>#REF!</v>
      </c>
      <c r="Q98" s="39" t="e">
        <f ca="1">MAX(3750,_xlfn.CEILING.MATH(#REF!*2.5+OFFSET(#REF!,-1,0)*150))</f>
        <v>#REF!</v>
      </c>
      <c r="R98" s="134"/>
      <c r="S98" s="39" t="e">
        <f>ROUNDDOWN(#REF!*(1+#REF!),0)</f>
        <v>#REF!</v>
      </c>
      <c r="T98" s="39" t="e">
        <f>ROUND(#REF!*(1+#REF!)-#REF!-#REF!,0)</f>
        <v>#REF!</v>
      </c>
      <c r="U98" s="39" t="e">
        <f>ROUND(#REF!*(1+#REF!)-#REF!,0)</f>
        <v>#REF!</v>
      </c>
      <c r="V98" s="39" t="e">
        <f>ROUND(#REF!*(1+#REF!)-#REF!,0)</f>
        <v>#REF!</v>
      </c>
      <c r="W98" s="39" t="e">
        <f>ROUNDDOWN(#REF!*(1+#REF!),0)</f>
        <v>#REF!</v>
      </c>
      <c r="X98" s="39" t="e">
        <f>ROUNDDOWN(#REF!*(1+#REF!),0)</f>
        <v>#REF!</v>
      </c>
      <c r="Y98" s="145" t="e">
        <f ca="1">OFFSET(#REF!,1,0)*dock_boats_hr * (1 + tech_4_1*#REF!)</f>
        <v>#REF!</v>
      </c>
      <c r="Z98" s="133"/>
      <c r="AA98" s="39" t="e">
        <f ca="1">#REF!*tax*#REF! + (Construction!AZ99+Construction!BX99)*(alch_plat+(Magic!AM98&gt;0)*alchemist_flame_bonus)</f>
        <v>#REF!</v>
      </c>
      <c r="AB98" s="39" t="e">
        <f>#REF!*farm_food +#REF!* dock_food</f>
        <v>#REF!</v>
      </c>
      <c r="AC98" s="39" t="e">
        <f>#REF!*ly_lumber +#REF!* fh_lumber</f>
        <v>#REF!</v>
      </c>
      <c r="AD98" s="39" t="e">
        <f ca="1">OFFSET(#REF!,1,0)*(tower_mana + tech_4_5*#REF!) + OFFSET(#REF!,1,0)*wg_mana_prod</f>
        <v>#REF!</v>
      </c>
      <c r="AE98" s="39" t="e">
        <f ca="1">OFFSET(#REF!,1,0)*om_ore+IF(race="Dwarf",ROUNDDOWN(#REF!*0.4,0),)</f>
        <v>#REF!</v>
      </c>
      <c r="AF98" s="39" t="e">
        <f ca="1">OFFSET(#REF!,1,0)*dm_gems</f>
        <v>#REF!</v>
      </c>
      <c r="AG98" s="134"/>
      <c r="AH98" s="135" t="e">
        <f>MIN(race_platinum_bonus + IF(#REF!&gt;0,alch_frost_bonus,IF(Magic!AD98&gt;0,midas_bonus)) +#REF! -#REF!*( 0.02 + tech_5_7*#REF!) + tech_1_5*#REF! + tech_4_4*#REF!, 0.5)</f>
        <v>#REF!</v>
      </c>
      <c r="AI98" s="132" t="e">
        <f>(1 + race_food_bonus + IF(#REF!&gt;0,gaias_blessing_food,IF(#REF!&gt;0,gaias_watch_bonus)) +#REF! + tech_1_1*#REF! + tech_1_4*#REF! + tech_5_1*#REF! +#REF!/ 100*prestige_food_bonus*(1 + tech_8_1*#REF!)) - 1</f>
        <v>#REF!</v>
      </c>
      <c r="AJ98" s="135" t="e">
        <f>race_lumber_bonus+ IF(#REF!&gt;0,gaias_blessing_lumber)+ tech_1_3*#REF! + tech_1_6*#REF! + tech_3_3*#REF!</f>
        <v>#REF!</v>
      </c>
      <c r="AK98" s="135" t="e">
        <f>race_mana_bonus+ 0 +#REF! + tech_1_2*#REF! + tech_3_4*#REF!</f>
        <v>#REF!</v>
      </c>
      <c r="AL98" s="135" t="e">
        <f>race_ore_bonus + IF(#REF!&gt;0,miners_sight_bonus,IF(#REF!&gt;0,mining_strength_bonus)) +  tech_1_6*#REF!</f>
        <v>#REF!</v>
      </c>
      <c r="AM98" s="135" t="e">
        <f>race_gem_bonus+ tech_3_2*#REF! + tech_4_3*#REF! + tech_6_2*#REF!</f>
        <v>#REF!</v>
      </c>
      <c r="AN98" s="134"/>
      <c r="AO98" s="39" t="e">
        <f>#REF!*food_decay * (1 + tech_2_1*#REF! + tech_2_8*#REF!)</f>
        <v>#REF!</v>
      </c>
      <c r="AP98" s="39" t="e">
        <f>(1+race_food_consumption)*#REF!*food_per_person*(1+tech_1_10*#REF!+tech_7_5*#REF!)</f>
        <v>#REF!</v>
      </c>
      <c r="AQ98" s="39" t="e">
        <f>#REF!*lumber_rot * (1 + tech_2_1*#REF! + tech_2_8*#REF! + tech_5_2*#REF!)</f>
        <v>#REF!</v>
      </c>
      <c r="AR98" s="39" t="e">
        <f>#REF!*mana_drain * (1 + tech_2_1*#REF! + tech_2_8*#REF!)</f>
        <v>#REF!</v>
      </c>
      <c r="AS98" s="133"/>
      <c r="AT98" s="39" t="e">
        <f>#REF!+#REF!+#REF!+#REF!+#REF!-#REF!</f>
        <v>#REF!</v>
      </c>
      <c r="AU98" s="39" t="e">
        <f>#REF!+#REF!-#REF! + Military!$CL$25*#REF!</f>
        <v>#REF!</v>
      </c>
      <c r="AV98" s="39" t="e">
        <f>#REF! + Military!$CL$26*#REF!</f>
        <v>#REF!</v>
      </c>
      <c r="AW98" s="39" t="e">
        <f>Military!$CL$24*#REF!+#REF!-#REF!</f>
        <v>#REF!</v>
      </c>
      <c r="AX98" s="39" t="e">
        <f>#REF!-#REF!</f>
        <v>#REF!</v>
      </c>
      <c r="AY98" s="134"/>
      <c r="AZ98" s="61" t="e">
        <f ca="1">IF(#REF!&lt;&gt;"",#REF!,OFFSET(#REF!,-1,0))</f>
        <v>#REF!</v>
      </c>
      <c r="BA98" s="144"/>
      <c r="BB98" s="3" t="e">
        <f>#REF!</f>
        <v>#REF!</v>
      </c>
      <c r="BC98" s="146" t="e">
        <f>-#REF! / 2 + -#REF! * 2 + -#REF! / 2</f>
        <v>#REF!</v>
      </c>
      <c r="BD98" s="146"/>
      <c r="BE98" s="146"/>
      <c r="BF98" s="146"/>
      <c r="BG98" s="147" t="e">
        <f>#REF!</f>
        <v>#REF!</v>
      </c>
      <c r="BH98" s="3" t="e">
        <f>IF(AND(#REF!=0,#REF!=0,#REF!=0,#REF!=0),"",IF(#REF!&gt;0,IF((#REF!+#REF!)/2+#REF!*2+ROUNDUP(#REF!/(1 + tech_2_2*Techs!Y98),0)=0,"Ok","Nope"),IF(#REF!&gt;0,IF((#REF!+#REF!)/2+#REF!*2+ROUNDUP(#REF!/(1 + tech_2_2*Techs!Y98),0)=0,"Ok","Nope"),IF(#REF!&gt;0,IF((#REF!+#REF!)/2+#REF!*2+ROUNDUP(#REF!/(1 + tech_2_2*Techs!Y98),0)=0,"Ok","Nope")))))</f>
        <v>#REF!</v>
      </c>
      <c r="BI98" s="39" t="e">
        <f>#REF!</f>
        <v>#REF!</v>
      </c>
      <c r="BJ98" s="39" t="e">
        <f>#REF!</f>
        <v>#REF!</v>
      </c>
      <c r="BK98" s="39" t="e">
        <f>#REF!</f>
        <v>#REF!</v>
      </c>
      <c r="BL98" s="39" t="e">
        <f>#REF!</f>
        <v>#REF!</v>
      </c>
      <c r="BM98" s="39" t="e">
        <f>#REF!</f>
        <v>#REF!</v>
      </c>
    </row>
    <row r="99" spans="1:65" x14ac:dyDescent="0.25">
      <c r="A99" s="130">
        <v>24</v>
      </c>
      <c r="B99" s="143" t="e">
        <f>#REF!</f>
        <v>#REF!</v>
      </c>
      <c r="C99" s="144"/>
      <c r="D99" s="133"/>
      <c r="E99" s="39" t="e">
        <f>#REF!</f>
        <v>#REF!</v>
      </c>
      <c r="F99" s="39" t="e">
        <f>#REF!</f>
        <v>#REF!</v>
      </c>
      <c r="G99" s="39" t="e">
        <f>#REF!</f>
        <v>#REF!</v>
      </c>
      <c r="H99" s="39" t="e">
        <f ca="1">OFFSET(#REF!,-1,0)+OFFSET(#REF!,-1,0) -#REF! + IF(#REF!,#REF!*4) + SUM(#REF!)*#REF!*tech_3_3_2*#REF!</f>
        <v>#REF!</v>
      </c>
      <c r="I99" s="39" t="e">
        <f ca="1">OFFSET(#REF!,-1,0)+OFFSET(#REF!,-1,0)+ROUNDUP((#REF!*80+#REF!*35)*(1+OFFSET(#REF!,-1,0)),0)</f>
        <v>#REF!</v>
      </c>
      <c r="J99" s="39" t="e">
        <f ca="1">OFFSET(#REF!,-1,0)+OFFSET(#REF!,-1,0) -#REF! + SUM(#REF!)*#REF!*tech_3_3_2*#REF!</f>
        <v>#REF!</v>
      </c>
      <c r="K99" s="39" t="e">
        <f ca="1">OFFSET(#REF!,-1,0)+OFFSET(#REF!,-1,0) -#REF!</f>
        <v>#REF!</v>
      </c>
      <c r="L99" s="39" t="e">
        <f ca="1">OFFSET(#REF!,-1,0)+OFFSET(#REF!,-1,0) -#REF!</f>
        <v>#REF!</v>
      </c>
      <c r="M99" s="39" t="e">
        <f ca="1">OFFSET(#REF!,-1,0)+OFFSET(#REF!,-1,0) -#REF!</f>
        <v>#REF!</v>
      </c>
      <c r="N99" s="39" t="e">
        <f ca="1">OFFSET(#REF!,-1,0)+OFFSET(#REF!,-1,0)</f>
        <v>#REF!</v>
      </c>
      <c r="O99" s="39" t="e">
        <f ca="1">OFFSET(#REF!,-1,0)</f>
        <v>#REF!</v>
      </c>
      <c r="P99" s="39" t="e">
        <f ca="1">ROUNDDOWN(OFFSET(#REF!,-1,0)+(1+research_bonus)*(MIN(#REF!,#REF!*school_max)*(1 - MIN((#REF!/(#REF!-#REF!)),school_max)))-#REF!*#REF!,0) + IF(#REF!&lt;&gt;"",350,0)</f>
        <v>#REF!</v>
      </c>
      <c r="Q99" s="39" t="e">
        <f ca="1">MAX(3750,_xlfn.CEILING.MATH(#REF!*2.5+OFFSET(#REF!,-1,0)*150))</f>
        <v>#REF!</v>
      </c>
      <c r="R99" s="134"/>
      <c r="S99" s="39" t="e">
        <f>ROUNDDOWN(#REF!*(1+#REF!),0)</f>
        <v>#REF!</v>
      </c>
      <c r="T99" s="39" t="e">
        <f>ROUND(#REF!*(1+#REF!)-#REF!-#REF!,0)</f>
        <v>#REF!</v>
      </c>
      <c r="U99" s="39" t="e">
        <f>ROUND(#REF!*(1+#REF!)-#REF!,0)</f>
        <v>#REF!</v>
      </c>
      <c r="V99" s="39" t="e">
        <f>ROUND(#REF!*(1+#REF!)-#REF!,0)</f>
        <v>#REF!</v>
      </c>
      <c r="W99" s="39" t="e">
        <f>ROUNDDOWN(#REF!*(1+#REF!),0)</f>
        <v>#REF!</v>
      </c>
      <c r="X99" s="39" t="e">
        <f>ROUNDDOWN(#REF!*(1+#REF!),0)</f>
        <v>#REF!</v>
      </c>
      <c r="Y99" s="145" t="e">
        <f ca="1">OFFSET(#REF!,1,0)*dock_boats_hr * (1 + tech_4_1*#REF!)</f>
        <v>#REF!</v>
      </c>
      <c r="Z99" s="133"/>
      <c r="AA99" s="39" t="e">
        <f ca="1">#REF!*tax*#REF! + (Construction!AZ100+Construction!BX100)*(alch_plat+(Magic!AM99&gt;0)*alchemist_flame_bonus)</f>
        <v>#REF!</v>
      </c>
      <c r="AB99" s="39" t="e">
        <f>#REF!*farm_food +#REF!* dock_food</f>
        <v>#REF!</v>
      </c>
      <c r="AC99" s="39" t="e">
        <f>#REF!*ly_lumber +#REF!* fh_lumber</f>
        <v>#REF!</v>
      </c>
      <c r="AD99" s="39" t="e">
        <f ca="1">OFFSET(#REF!,1,0)*(tower_mana + tech_4_5*#REF!) + OFFSET(#REF!,1,0)*wg_mana_prod</f>
        <v>#REF!</v>
      </c>
      <c r="AE99" s="39" t="e">
        <f ca="1">OFFSET(#REF!,1,0)*om_ore+IF(race="Dwarf",ROUNDDOWN(#REF!*0.4,0),)</f>
        <v>#REF!</v>
      </c>
      <c r="AF99" s="39" t="e">
        <f ca="1">OFFSET(#REF!,1,0)*dm_gems</f>
        <v>#REF!</v>
      </c>
      <c r="AG99" s="134"/>
      <c r="AH99" s="135" t="e">
        <f>MIN(race_platinum_bonus + IF(#REF!&gt;0,alch_frost_bonus,IF(Magic!AD99&gt;0,midas_bonus)) +#REF! -#REF!*( 0.02 + tech_5_7*#REF!) + tech_1_5*#REF! + tech_4_4*#REF!, 0.5)</f>
        <v>#REF!</v>
      </c>
      <c r="AI99" s="132" t="e">
        <f>(1 + race_food_bonus + IF(#REF!&gt;0,gaias_blessing_food,IF(#REF!&gt;0,gaias_watch_bonus)) +#REF! + tech_1_1*#REF! + tech_1_4*#REF! + tech_5_1*#REF! +#REF!/ 100*prestige_food_bonus*(1 + tech_8_1*#REF!)) - 1</f>
        <v>#REF!</v>
      </c>
      <c r="AJ99" s="135" t="e">
        <f>race_lumber_bonus+ IF(#REF!&gt;0,gaias_blessing_lumber)+ tech_1_3*#REF! + tech_1_6*#REF! + tech_3_3*#REF!</f>
        <v>#REF!</v>
      </c>
      <c r="AK99" s="135" t="e">
        <f>race_mana_bonus+ 0 +#REF! + tech_1_2*#REF! + tech_3_4*#REF!</f>
        <v>#REF!</v>
      </c>
      <c r="AL99" s="135" t="e">
        <f>race_ore_bonus + IF(#REF!&gt;0,miners_sight_bonus,IF(#REF!&gt;0,mining_strength_bonus)) +  tech_1_6*#REF!</f>
        <v>#REF!</v>
      </c>
      <c r="AM99" s="135" t="e">
        <f>race_gem_bonus+ tech_3_2*#REF! + tech_4_3*#REF! + tech_6_2*#REF!</f>
        <v>#REF!</v>
      </c>
      <c r="AN99" s="134"/>
      <c r="AO99" s="39" t="e">
        <f>#REF!*food_decay * (1 + tech_2_1*#REF! + tech_2_8*#REF!)</f>
        <v>#REF!</v>
      </c>
      <c r="AP99" s="39" t="e">
        <f>(1+race_food_consumption)*#REF!*food_per_person*(1+tech_1_10*#REF!+tech_7_5*#REF!)</f>
        <v>#REF!</v>
      </c>
      <c r="AQ99" s="39" t="e">
        <f>#REF!*lumber_rot * (1 + tech_2_1*#REF! + tech_2_8*#REF! + tech_5_2*#REF!)</f>
        <v>#REF!</v>
      </c>
      <c r="AR99" s="39" t="e">
        <f>#REF!*mana_drain * (1 + tech_2_1*#REF! + tech_2_8*#REF!)</f>
        <v>#REF!</v>
      </c>
      <c r="AS99" s="133"/>
      <c r="AT99" s="39" t="e">
        <f>#REF!+#REF!+#REF!+#REF!+#REF!-#REF!</f>
        <v>#REF!</v>
      </c>
      <c r="AU99" s="39" t="e">
        <f>#REF!+#REF!-#REF! + Military!$CL$25*#REF!</f>
        <v>#REF!</v>
      </c>
      <c r="AV99" s="39" t="e">
        <f>#REF! + Military!$CL$26*#REF!</f>
        <v>#REF!</v>
      </c>
      <c r="AW99" s="39" t="e">
        <f>Military!$CL$24*#REF!+#REF!-#REF!</f>
        <v>#REF!</v>
      </c>
      <c r="AX99" s="39" t="e">
        <f>#REF!-#REF!</f>
        <v>#REF!</v>
      </c>
      <c r="AY99" s="134"/>
      <c r="AZ99" s="61" t="e">
        <f ca="1">IF(#REF!&lt;&gt;"",#REF!,OFFSET(#REF!,-1,0))</f>
        <v>#REF!</v>
      </c>
      <c r="BA99" s="144"/>
      <c r="BB99" s="3" t="e">
        <f>#REF!</f>
        <v>#REF!</v>
      </c>
      <c r="BC99" s="146" t="e">
        <f>-#REF! / 2 + -#REF! * 2 + -#REF! / 2</f>
        <v>#REF!</v>
      </c>
      <c r="BD99" s="146"/>
      <c r="BE99" s="146"/>
      <c r="BF99" s="146"/>
      <c r="BG99" s="147" t="e">
        <f>#REF!</f>
        <v>#REF!</v>
      </c>
      <c r="BH99" s="3" t="e">
        <f>IF(AND(#REF!=0,#REF!=0,#REF!=0,#REF!=0),"",IF(#REF!&gt;0,IF((#REF!+#REF!)/2+#REF!*2+ROUNDUP(#REF!/(1 + tech_2_2*Techs!Y99),0)=0,"Ok","Nope"),IF(#REF!&gt;0,IF((#REF!+#REF!)/2+#REF!*2+ROUNDUP(#REF!/(1 + tech_2_2*Techs!Y99),0)=0,"Ok","Nope"),IF(#REF!&gt;0,IF((#REF!+#REF!)/2+#REF!*2+ROUNDUP(#REF!/(1 + tech_2_2*Techs!Y99),0)=0,"Ok","Nope")))))</f>
        <v>#REF!</v>
      </c>
      <c r="BI99" s="39" t="e">
        <f>#REF!</f>
        <v>#REF!</v>
      </c>
      <c r="BJ99" s="39" t="e">
        <f>#REF!</f>
        <v>#REF!</v>
      </c>
      <c r="BK99" s="39" t="e">
        <f>#REF!</f>
        <v>#REF!</v>
      </c>
      <c r="BL99" s="39" t="e">
        <f>#REF!</f>
        <v>#REF!</v>
      </c>
      <c r="BM99" s="39" t="e">
        <f>#REF!</f>
        <v>#REF!</v>
      </c>
    </row>
    <row r="100" spans="1:65" x14ac:dyDescent="0.25">
      <c r="A100" s="130">
        <v>25</v>
      </c>
      <c r="B100" s="143" t="e">
        <f>#REF!</f>
        <v>#REF!</v>
      </c>
      <c r="C100" s="144"/>
      <c r="D100" s="133"/>
      <c r="E100" s="39" t="e">
        <f>#REF!</f>
        <v>#REF!</v>
      </c>
      <c r="F100" s="39" t="e">
        <f>#REF!</f>
        <v>#REF!</v>
      </c>
      <c r="G100" s="39" t="e">
        <f>#REF!</f>
        <v>#REF!</v>
      </c>
      <c r="H100" s="39" t="e">
        <f ca="1">OFFSET(#REF!,-1,0)+OFFSET(#REF!,-1,0) -#REF! + IF(#REF!,#REF!*4) + SUM(#REF!)*#REF!*tech_3_3_2*#REF!</f>
        <v>#REF!</v>
      </c>
      <c r="I100" s="39" t="e">
        <f ca="1">OFFSET(#REF!,-1,0)+OFFSET(#REF!,-1,0)+ROUNDUP((#REF!*80+#REF!*35)*(1+OFFSET(#REF!,-1,0)),0)</f>
        <v>#REF!</v>
      </c>
      <c r="J100" s="39" t="e">
        <f ca="1">OFFSET(#REF!,-1,0)+OFFSET(#REF!,-1,0) -#REF! + SUM(#REF!)*#REF!*tech_3_3_2*#REF!</f>
        <v>#REF!</v>
      </c>
      <c r="K100" s="39" t="e">
        <f ca="1">OFFSET(#REF!,-1,0)+OFFSET(#REF!,-1,0) -#REF!</f>
        <v>#REF!</v>
      </c>
      <c r="L100" s="39" t="e">
        <f ca="1">OFFSET(#REF!,-1,0)+OFFSET(#REF!,-1,0) -#REF!</f>
        <v>#REF!</v>
      </c>
      <c r="M100" s="39" t="e">
        <f ca="1">OFFSET(#REF!,-1,0)+OFFSET(#REF!,-1,0) -#REF!</f>
        <v>#REF!</v>
      </c>
      <c r="N100" s="39" t="e">
        <f ca="1">OFFSET(#REF!,-1,0)+OFFSET(#REF!,-1,0)</f>
        <v>#REF!</v>
      </c>
      <c r="O100" s="39" t="e">
        <f ca="1">OFFSET(#REF!,-1,0)</f>
        <v>#REF!</v>
      </c>
      <c r="P100" s="39" t="e">
        <f ca="1">ROUNDDOWN(OFFSET(#REF!,-1,0)+(1+research_bonus)*(MIN(#REF!,#REF!*school_max)*(1 - MIN((#REF!/(#REF!-#REF!)),school_max)))-#REF!*#REF!,0) + IF(#REF!&lt;&gt;"",350,0)</f>
        <v>#REF!</v>
      </c>
      <c r="Q100" s="39" t="e">
        <f ca="1">MAX(3750,_xlfn.CEILING.MATH(#REF!*2.5+OFFSET(#REF!,-1,0)*150))</f>
        <v>#REF!</v>
      </c>
      <c r="R100" s="134"/>
      <c r="S100" s="39" t="e">
        <f>ROUNDDOWN(#REF!*(1+#REF!),0)</f>
        <v>#REF!</v>
      </c>
      <c r="T100" s="39" t="e">
        <f>ROUND(#REF!*(1+#REF!)-#REF!-#REF!,0)</f>
        <v>#REF!</v>
      </c>
      <c r="U100" s="39" t="e">
        <f>ROUND(#REF!*(1+#REF!)-#REF!,0)</f>
        <v>#REF!</v>
      </c>
      <c r="V100" s="39" t="e">
        <f>ROUND(#REF!*(1+#REF!)-#REF!,0)</f>
        <v>#REF!</v>
      </c>
      <c r="W100" s="39" t="e">
        <f>ROUNDDOWN(#REF!*(1+#REF!),0)</f>
        <v>#REF!</v>
      </c>
      <c r="X100" s="39" t="e">
        <f>ROUNDDOWN(#REF!*(1+#REF!),0)</f>
        <v>#REF!</v>
      </c>
      <c r="Y100" s="145" t="e">
        <f ca="1">OFFSET(#REF!,1,0)*dock_boats_hr * (1 + tech_4_1*#REF!)</f>
        <v>#REF!</v>
      </c>
      <c r="Z100" s="133"/>
      <c r="AA100" s="39" t="e">
        <f ca="1">#REF!*tax*#REF! + (Construction!AZ101+Construction!BX101)*(alch_plat+(Magic!AM100&gt;0)*alchemist_flame_bonus)</f>
        <v>#REF!</v>
      </c>
      <c r="AB100" s="39" t="e">
        <f>#REF!*farm_food +#REF!* dock_food</f>
        <v>#REF!</v>
      </c>
      <c r="AC100" s="39" t="e">
        <f>#REF!*ly_lumber +#REF!* fh_lumber</f>
        <v>#REF!</v>
      </c>
      <c r="AD100" s="39" t="e">
        <f ca="1">OFFSET(#REF!,1,0)*(tower_mana + tech_4_5*#REF!) + OFFSET(#REF!,1,0)*wg_mana_prod</f>
        <v>#REF!</v>
      </c>
      <c r="AE100" s="39" t="e">
        <f ca="1">OFFSET(#REF!,1,0)*om_ore+IF(race="Dwarf",ROUNDDOWN(#REF!*0.4,0),)</f>
        <v>#REF!</v>
      </c>
      <c r="AF100" s="39" t="e">
        <f ca="1">OFFSET(#REF!,1,0)*dm_gems</f>
        <v>#REF!</v>
      </c>
      <c r="AG100" s="134"/>
      <c r="AH100" s="135" t="e">
        <f>MIN(race_platinum_bonus + IF(#REF!&gt;0,alch_frost_bonus,IF(Magic!AD100&gt;0,midas_bonus)) +#REF! -#REF!*( 0.02 + tech_5_7*#REF!) + tech_1_5*#REF! + tech_4_4*#REF!, 0.5)</f>
        <v>#REF!</v>
      </c>
      <c r="AI100" s="132" t="e">
        <f>(1 + race_food_bonus + IF(#REF!&gt;0,gaias_blessing_food,IF(#REF!&gt;0,gaias_watch_bonus)) +#REF! + tech_1_1*#REF! + tech_1_4*#REF! + tech_5_1*#REF! +#REF!/ 100*prestige_food_bonus*(1 + tech_8_1*#REF!)) - 1</f>
        <v>#REF!</v>
      </c>
      <c r="AJ100" s="135" t="e">
        <f>race_lumber_bonus+ IF(#REF!&gt;0,gaias_blessing_lumber)+ tech_1_3*#REF! + tech_1_6*#REF! + tech_3_3*#REF!</f>
        <v>#REF!</v>
      </c>
      <c r="AK100" s="135" t="e">
        <f>race_mana_bonus+ 0 +#REF! + tech_1_2*#REF! + tech_3_4*#REF!</f>
        <v>#REF!</v>
      </c>
      <c r="AL100" s="135" t="e">
        <f>race_ore_bonus + IF(#REF!&gt;0,miners_sight_bonus,IF(#REF!&gt;0,mining_strength_bonus)) +  tech_1_6*#REF!</f>
        <v>#REF!</v>
      </c>
      <c r="AM100" s="135" t="e">
        <f>race_gem_bonus+ tech_3_2*#REF! + tech_4_3*#REF! + tech_6_2*#REF!</f>
        <v>#REF!</v>
      </c>
      <c r="AN100" s="134"/>
      <c r="AO100" s="39" t="e">
        <f>#REF!*food_decay * (1 + tech_2_1*#REF! + tech_2_8*#REF!)</f>
        <v>#REF!</v>
      </c>
      <c r="AP100" s="39" t="e">
        <f>(1+race_food_consumption)*#REF!*food_per_person*(1+tech_1_10*#REF!+tech_7_5*#REF!)</f>
        <v>#REF!</v>
      </c>
      <c r="AQ100" s="39" t="e">
        <f>#REF!*lumber_rot * (1 + tech_2_1*#REF! + tech_2_8*#REF! + tech_5_2*#REF!)</f>
        <v>#REF!</v>
      </c>
      <c r="AR100" s="39" t="e">
        <f>#REF!*mana_drain * (1 + tech_2_1*#REF! + tech_2_8*#REF!)</f>
        <v>#REF!</v>
      </c>
      <c r="AS100" s="133"/>
      <c r="AT100" s="39" t="e">
        <f>#REF!+#REF!+#REF!+#REF!+#REF!-#REF!</f>
        <v>#REF!</v>
      </c>
      <c r="AU100" s="39" t="e">
        <f>#REF!+#REF!-#REF! + Military!$CL$25*#REF!</f>
        <v>#REF!</v>
      </c>
      <c r="AV100" s="39" t="e">
        <f>#REF! + Military!$CL$26*#REF!</f>
        <v>#REF!</v>
      </c>
      <c r="AW100" s="39" t="e">
        <f>Military!$CL$24*#REF!+#REF!-#REF!</f>
        <v>#REF!</v>
      </c>
      <c r="AX100" s="39" t="e">
        <f>#REF!-#REF!</f>
        <v>#REF!</v>
      </c>
      <c r="AY100" s="134"/>
      <c r="AZ100" s="61" t="e">
        <f ca="1">IF(#REF!&lt;&gt;"",#REF!,OFFSET(#REF!,-1,0))</f>
        <v>#REF!</v>
      </c>
      <c r="BA100" s="144"/>
      <c r="BB100" s="3" t="e">
        <f>#REF!</f>
        <v>#REF!</v>
      </c>
      <c r="BC100" s="146" t="e">
        <f>-#REF! / 2 + -#REF! * 2 + -#REF! / 2</f>
        <v>#REF!</v>
      </c>
      <c r="BD100" s="146"/>
      <c r="BE100" s="146"/>
      <c r="BF100" s="146"/>
      <c r="BG100" s="147" t="e">
        <f>#REF!</f>
        <v>#REF!</v>
      </c>
      <c r="BH100" s="3" t="e">
        <f>IF(AND(#REF!=0,#REF!=0,#REF!=0,#REF!=0),"",IF(#REF!&gt;0,IF((#REF!+#REF!)/2+#REF!*2+ROUNDUP(#REF!/(1 + tech_2_2*Techs!Y100),0)=0,"Ok","Nope"),IF(#REF!&gt;0,IF((#REF!+#REF!)/2+#REF!*2+ROUNDUP(#REF!/(1 + tech_2_2*Techs!Y100),0)=0,"Ok","Nope"),IF(#REF!&gt;0,IF((#REF!+#REF!)/2+#REF!*2+ROUNDUP(#REF!/(1 + tech_2_2*Techs!Y100),0)=0,"Ok","Nope")))))</f>
        <v>#REF!</v>
      </c>
      <c r="BI100" s="39" t="e">
        <f>#REF!</f>
        <v>#REF!</v>
      </c>
      <c r="BJ100" s="39" t="e">
        <f>#REF!</f>
        <v>#REF!</v>
      </c>
      <c r="BK100" s="39" t="e">
        <f>#REF!</f>
        <v>#REF!</v>
      </c>
      <c r="BL100" s="39" t="e">
        <f>#REF!</f>
        <v>#REF!</v>
      </c>
      <c r="BM100" s="39" t="e">
        <f>#REF!</f>
        <v>#REF!</v>
      </c>
    </row>
    <row r="101" spans="1:65" x14ac:dyDescent="0.25">
      <c r="A101" s="130">
        <v>26</v>
      </c>
      <c r="B101" s="143" t="e">
        <f>#REF!</f>
        <v>#REF!</v>
      </c>
      <c r="C101" s="144"/>
      <c r="D101" s="133"/>
      <c r="E101" s="39" t="e">
        <f>#REF!</f>
        <v>#REF!</v>
      </c>
      <c r="F101" s="39" t="e">
        <f>#REF!</f>
        <v>#REF!</v>
      </c>
      <c r="G101" s="39" t="e">
        <f>#REF!</f>
        <v>#REF!</v>
      </c>
      <c r="H101" s="39" t="e">
        <f ca="1">OFFSET(#REF!,-1,0)+OFFSET(#REF!,-1,0) -#REF! + IF(#REF!,#REF!*4) + SUM(#REF!)*#REF!*tech_3_3_2*#REF!</f>
        <v>#REF!</v>
      </c>
      <c r="I101" s="39" t="e">
        <f ca="1">OFFSET(#REF!,-1,0)+OFFSET(#REF!,-1,0)+ROUNDUP((#REF!*80+#REF!*35)*(1+OFFSET(#REF!,-1,0)),0)</f>
        <v>#REF!</v>
      </c>
      <c r="J101" s="39" t="e">
        <f ca="1">OFFSET(#REF!,-1,0)+OFFSET(#REF!,-1,0) -#REF! + SUM(#REF!)*#REF!*tech_3_3_2*#REF!</f>
        <v>#REF!</v>
      </c>
      <c r="K101" s="39" t="e">
        <f ca="1">OFFSET(#REF!,-1,0)+OFFSET(#REF!,-1,0) -#REF!</f>
        <v>#REF!</v>
      </c>
      <c r="L101" s="39" t="e">
        <f ca="1">OFFSET(#REF!,-1,0)+OFFSET(#REF!,-1,0) -#REF!</f>
        <v>#REF!</v>
      </c>
      <c r="M101" s="39" t="e">
        <f ca="1">OFFSET(#REF!,-1,0)+OFFSET(#REF!,-1,0) -#REF!</f>
        <v>#REF!</v>
      </c>
      <c r="N101" s="39" t="e">
        <f ca="1">OFFSET(#REF!,-1,0)+OFFSET(#REF!,-1,0)</f>
        <v>#REF!</v>
      </c>
      <c r="O101" s="39" t="e">
        <f ca="1">OFFSET(#REF!,-1,0)</f>
        <v>#REF!</v>
      </c>
      <c r="P101" s="39" t="e">
        <f ca="1">ROUNDDOWN(OFFSET(#REF!,-1,0)+(1+research_bonus)*(MIN(#REF!,#REF!*school_max)*(1 - MIN((#REF!/(#REF!-#REF!)),school_max)))-#REF!*#REF!,0) + IF(#REF!&lt;&gt;"",350,0)</f>
        <v>#REF!</v>
      </c>
      <c r="Q101" s="39" t="e">
        <f ca="1">MAX(3750,_xlfn.CEILING.MATH(#REF!*2.5+OFFSET(#REF!,-1,0)*150))</f>
        <v>#REF!</v>
      </c>
      <c r="R101" s="134"/>
      <c r="S101" s="39" t="e">
        <f>ROUNDDOWN(#REF!*(1+#REF!),0)</f>
        <v>#REF!</v>
      </c>
      <c r="T101" s="39" t="e">
        <f>ROUND(#REF!*(1+#REF!)-#REF!-#REF!,0)</f>
        <v>#REF!</v>
      </c>
      <c r="U101" s="39" t="e">
        <f>ROUND(#REF!*(1+#REF!)-#REF!,0)</f>
        <v>#REF!</v>
      </c>
      <c r="V101" s="39" t="e">
        <f>ROUND(#REF!*(1+#REF!)-#REF!,0)</f>
        <v>#REF!</v>
      </c>
      <c r="W101" s="39" t="e">
        <f>ROUNDDOWN(#REF!*(1+#REF!),0)</f>
        <v>#REF!</v>
      </c>
      <c r="X101" s="39" t="e">
        <f>ROUNDDOWN(#REF!*(1+#REF!),0)</f>
        <v>#REF!</v>
      </c>
      <c r="Y101" s="145" t="e">
        <f ca="1">OFFSET(#REF!,1,0)*dock_boats_hr * (1 + tech_4_1*#REF!)</f>
        <v>#REF!</v>
      </c>
      <c r="Z101" s="133"/>
      <c r="AA101" s="39" t="e">
        <f ca="1">#REF!*tax*#REF! + (Construction!AZ102+Construction!BX102)*(alch_plat+(Magic!AM101&gt;0)*alchemist_flame_bonus)</f>
        <v>#REF!</v>
      </c>
      <c r="AB101" s="39" t="e">
        <f>#REF!*farm_food +#REF!* dock_food</f>
        <v>#REF!</v>
      </c>
      <c r="AC101" s="39" t="e">
        <f>#REF!*ly_lumber +#REF!* fh_lumber</f>
        <v>#REF!</v>
      </c>
      <c r="AD101" s="39" t="e">
        <f ca="1">OFFSET(#REF!,1,0)*(tower_mana + tech_4_5*#REF!) + OFFSET(#REF!,1,0)*wg_mana_prod</f>
        <v>#REF!</v>
      </c>
      <c r="AE101" s="39" t="e">
        <f ca="1">OFFSET(#REF!,1,0)*om_ore+IF(race="Dwarf",ROUNDDOWN(#REF!*0.4,0),)</f>
        <v>#REF!</v>
      </c>
      <c r="AF101" s="39" t="e">
        <f ca="1">OFFSET(#REF!,1,0)*dm_gems</f>
        <v>#REF!</v>
      </c>
      <c r="AG101" s="134"/>
      <c r="AH101" s="135" t="e">
        <f>MIN(race_platinum_bonus + IF(#REF!&gt;0,alch_frost_bonus,IF(Magic!AD101&gt;0,midas_bonus)) +#REF! -#REF!*( 0.02 + tech_5_7*#REF!) + tech_1_5*#REF! + tech_4_4*#REF!, 0.5)</f>
        <v>#REF!</v>
      </c>
      <c r="AI101" s="132" t="e">
        <f>(1 + race_food_bonus + IF(#REF!&gt;0,gaias_blessing_food,IF(#REF!&gt;0,gaias_watch_bonus)) +#REF! + tech_1_1*#REF! + tech_1_4*#REF! + tech_5_1*#REF! +#REF!/ 100*prestige_food_bonus*(1 + tech_8_1*#REF!)) - 1</f>
        <v>#REF!</v>
      </c>
      <c r="AJ101" s="135" t="e">
        <f>race_lumber_bonus+ IF(#REF!&gt;0,gaias_blessing_lumber)+ tech_1_3*#REF! + tech_1_6*#REF! + tech_3_3*#REF!</f>
        <v>#REF!</v>
      </c>
      <c r="AK101" s="135" t="e">
        <f>race_mana_bonus+ 0 +#REF! + tech_1_2*#REF! + tech_3_4*#REF!</f>
        <v>#REF!</v>
      </c>
      <c r="AL101" s="135" t="e">
        <f>race_ore_bonus + IF(#REF!&gt;0,miners_sight_bonus,IF(#REF!&gt;0,mining_strength_bonus)) +  tech_1_6*#REF!</f>
        <v>#REF!</v>
      </c>
      <c r="AM101" s="135" t="e">
        <f>race_gem_bonus+ tech_3_2*#REF! + tech_4_3*#REF! + tech_6_2*#REF!</f>
        <v>#REF!</v>
      </c>
      <c r="AN101" s="134"/>
      <c r="AO101" s="39" t="e">
        <f>#REF!*food_decay * (1 + tech_2_1*#REF! + tech_2_8*#REF!)</f>
        <v>#REF!</v>
      </c>
      <c r="AP101" s="39" t="e">
        <f>(1+race_food_consumption)*#REF!*food_per_person*(1+tech_1_10*#REF!+tech_7_5*#REF!)</f>
        <v>#REF!</v>
      </c>
      <c r="AQ101" s="39" t="e">
        <f>#REF!*lumber_rot * (1 + tech_2_1*#REF! + tech_2_8*#REF! + tech_5_2*#REF!)</f>
        <v>#REF!</v>
      </c>
      <c r="AR101" s="39" t="e">
        <f>#REF!*mana_drain * (1 + tech_2_1*#REF! + tech_2_8*#REF!)</f>
        <v>#REF!</v>
      </c>
      <c r="AS101" s="133"/>
      <c r="AT101" s="39" t="e">
        <f>#REF!+#REF!+#REF!+#REF!+#REF!-#REF!</f>
        <v>#REF!</v>
      </c>
      <c r="AU101" s="39" t="e">
        <f>#REF!+#REF!-#REF! + Military!$CL$25*#REF!</f>
        <v>#REF!</v>
      </c>
      <c r="AV101" s="39" t="e">
        <f>#REF! + Military!$CL$26*#REF!</f>
        <v>#REF!</v>
      </c>
      <c r="AW101" s="39" t="e">
        <f>Military!$CL$24*#REF!+#REF!-#REF!</f>
        <v>#REF!</v>
      </c>
      <c r="AX101" s="39" t="e">
        <f>#REF!-#REF!</f>
        <v>#REF!</v>
      </c>
      <c r="AY101" s="134"/>
      <c r="AZ101" s="61" t="e">
        <f ca="1">IF(#REF!&lt;&gt;"",#REF!,OFFSET(#REF!,-1,0))</f>
        <v>#REF!</v>
      </c>
      <c r="BA101" s="144"/>
      <c r="BB101" s="3" t="e">
        <f>#REF!</f>
        <v>#REF!</v>
      </c>
      <c r="BC101" s="146" t="e">
        <f>-#REF! / 2 + -#REF! * 2 + -#REF! / 2</f>
        <v>#REF!</v>
      </c>
      <c r="BD101" s="146"/>
      <c r="BE101" s="146"/>
      <c r="BF101" s="146"/>
      <c r="BG101" s="147" t="e">
        <f>#REF!</f>
        <v>#REF!</v>
      </c>
      <c r="BH101" s="3" t="e">
        <f>IF(AND(#REF!=0,#REF!=0,#REF!=0,#REF!=0),"",IF(#REF!&gt;0,IF((#REF!+#REF!)/2+#REF!*2+ROUNDUP(#REF!/(1 + tech_2_2*Techs!Y101),0)=0,"Ok","Nope"),IF(#REF!&gt;0,IF((#REF!+#REF!)/2+#REF!*2+ROUNDUP(#REF!/(1 + tech_2_2*Techs!Y101),0)=0,"Ok","Nope"),IF(#REF!&gt;0,IF((#REF!+#REF!)/2+#REF!*2+ROUNDUP(#REF!/(1 + tech_2_2*Techs!Y101),0)=0,"Ok","Nope")))))</f>
        <v>#REF!</v>
      </c>
      <c r="BI101" s="39" t="e">
        <f>#REF!</f>
        <v>#REF!</v>
      </c>
      <c r="BJ101" s="39" t="e">
        <f>#REF!</f>
        <v>#REF!</v>
      </c>
      <c r="BK101" s="39" t="e">
        <f>#REF!</f>
        <v>#REF!</v>
      </c>
      <c r="BL101" s="39" t="e">
        <f>#REF!</f>
        <v>#REF!</v>
      </c>
      <c r="BM101" s="39" t="e">
        <f>#REF!</f>
        <v>#REF!</v>
      </c>
    </row>
    <row r="102" spans="1:65" x14ac:dyDescent="0.25">
      <c r="A102" s="130">
        <v>27</v>
      </c>
      <c r="B102" s="143" t="e">
        <f>#REF!</f>
        <v>#REF!</v>
      </c>
      <c r="C102" s="144"/>
      <c r="D102" s="133"/>
      <c r="E102" s="39" t="e">
        <f>#REF!</f>
        <v>#REF!</v>
      </c>
      <c r="F102" s="39" t="e">
        <f>#REF!</f>
        <v>#REF!</v>
      </c>
      <c r="G102" s="39" t="e">
        <f>#REF!</f>
        <v>#REF!</v>
      </c>
      <c r="H102" s="39" t="e">
        <f ca="1">OFFSET(#REF!,-1,0)+OFFSET(#REF!,-1,0) -#REF! + IF(#REF!,#REF!*4) + SUM(#REF!)*#REF!*tech_3_3_2*#REF!</f>
        <v>#REF!</v>
      </c>
      <c r="I102" s="39" t="e">
        <f ca="1">OFFSET(#REF!,-1,0)+OFFSET(#REF!,-1,0)+ROUNDUP((#REF!*80+#REF!*35)*(1+OFFSET(#REF!,-1,0)),0)</f>
        <v>#REF!</v>
      </c>
      <c r="J102" s="39" t="e">
        <f ca="1">OFFSET(#REF!,-1,0)+OFFSET(#REF!,-1,0) -#REF! + SUM(#REF!)*#REF!*tech_3_3_2*#REF!</f>
        <v>#REF!</v>
      </c>
      <c r="K102" s="39" t="e">
        <f ca="1">OFFSET(#REF!,-1,0)+OFFSET(#REF!,-1,0) -#REF!</f>
        <v>#REF!</v>
      </c>
      <c r="L102" s="39" t="e">
        <f ca="1">OFFSET(#REF!,-1,0)+OFFSET(#REF!,-1,0) -#REF!</f>
        <v>#REF!</v>
      </c>
      <c r="M102" s="39" t="e">
        <f ca="1">OFFSET(#REF!,-1,0)+OFFSET(#REF!,-1,0) -#REF!</f>
        <v>#REF!</v>
      </c>
      <c r="N102" s="39" t="e">
        <f ca="1">OFFSET(#REF!,-1,0)+OFFSET(#REF!,-1,0)</f>
        <v>#REF!</v>
      </c>
      <c r="O102" s="39" t="e">
        <f ca="1">OFFSET(#REF!,-1,0)</f>
        <v>#REF!</v>
      </c>
      <c r="P102" s="39" t="e">
        <f ca="1">ROUNDDOWN(OFFSET(#REF!,-1,0)+(1+research_bonus)*(MIN(#REF!,#REF!*school_max)*(1 - MIN((#REF!/(#REF!-#REF!)),school_max)))-#REF!*#REF!,0) + IF(#REF!&lt;&gt;"",350,0)</f>
        <v>#REF!</v>
      </c>
      <c r="Q102" s="39" t="e">
        <f ca="1">MAX(3750,_xlfn.CEILING.MATH(#REF!*2.5+OFFSET(#REF!,-1,0)*150))</f>
        <v>#REF!</v>
      </c>
      <c r="R102" s="134"/>
      <c r="S102" s="39" t="e">
        <f>ROUNDDOWN(#REF!*(1+#REF!),0)</f>
        <v>#REF!</v>
      </c>
      <c r="T102" s="39" t="e">
        <f>ROUND(#REF!*(1+#REF!)-#REF!-#REF!,0)</f>
        <v>#REF!</v>
      </c>
      <c r="U102" s="39" t="e">
        <f>ROUND(#REF!*(1+#REF!)-#REF!,0)</f>
        <v>#REF!</v>
      </c>
      <c r="V102" s="39" t="e">
        <f>ROUND(#REF!*(1+#REF!)-#REF!,0)</f>
        <v>#REF!</v>
      </c>
      <c r="W102" s="39" t="e">
        <f>ROUNDDOWN(#REF!*(1+#REF!),0)</f>
        <v>#REF!</v>
      </c>
      <c r="X102" s="39" t="e">
        <f>ROUNDDOWN(#REF!*(1+#REF!),0)</f>
        <v>#REF!</v>
      </c>
      <c r="Y102" s="145" t="e">
        <f ca="1">OFFSET(#REF!,1,0)*dock_boats_hr * (1 + tech_4_1*#REF!)</f>
        <v>#REF!</v>
      </c>
      <c r="Z102" s="133"/>
      <c r="AA102" s="39" t="e">
        <f ca="1">#REF!*tax*#REF! + (Construction!AZ103+Construction!BX103)*(alch_plat+(Magic!AM102&gt;0)*alchemist_flame_bonus)</f>
        <v>#REF!</v>
      </c>
      <c r="AB102" s="39" t="e">
        <f>#REF!*farm_food +#REF!* dock_food</f>
        <v>#REF!</v>
      </c>
      <c r="AC102" s="39" t="e">
        <f>#REF!*ly_lumber +#REF!* fh_lumber</f>
        <v>#REF!</v>
      </c>
      <c r="AD102" s="39" t="e">
        <f ca="1">OFFSET(#REF!,1,0)*(tower_mana + tech_4_5*#REF!) + OFFSET(#REF!,1,0)*wg_mana_prod</f>
        <v>#REF!</v>
      </c>
      <c r="AE102" s="39" t="e">
        <f ca="1">OFFSET(#REF!,1,0)*om_ore+IF(race="Dwarf",ROUNDDOWN(#REF!*0.4,0),)</f>
        <v>#REF!</v>
      </c>
      <c r="AF102" s="39" t="e">
        <f ca="1">OFFSET(#REF!,1,0)*dm_gems</f>
        <v>#REF!</v>
      </c>
      <c r="AG102" s="134"/>
      <c r="AH102" s="135" t="e">
        <f>MIN(race_platinum_bonus + IF(#REF!&gt;0,alch_frost_bonus,IF(Magic!AD102&gt;0,midas_bonus)) +#REF! -#REF!*( 0.02 + tech_5_7*#REF!) + tech_1_5*#REF! + tech_4_4*#REF!, 0.5)</f>
        <v>#REF!</v>
      </c>
      <c r="AI102" s="132" t="e">
        <f>(1 + race_food_bonus + IF(#REF!&gt;0,gaias_blessing_food,IF(#REF!&gt;0,gaias_watch_bonus)) +#REF! + tech_1_1*#REF! + tech_1_4*#REF! + tech_5_1*#REF! +#REF!/ 100*prestige_food_bonus*(1 + tech_8_1*#REF!)) - 1</f>
        <v>#REF!</v>
      </c>
      <c r="AJ102" s="135" t="e">
        <f>race_lumber_bonus+ IF(#REF!&gt;0,gaias_blessing_lumber)+ tech_1_3*#REF! + tech_1_6*#REF! + tech_3_3*#REF!</f>
        <v>#REF!</v>
      </c>
      <c r="AK102" s="135" t="e">
        <f>race_mana_bonus+ 0 +#REF! + tech_1_2*#REF! + tech_3_4*#REF!</f>
        <v>#REF!</v>
      </c>
      <c r="AL102" s="135" t="e">
        <f>race_ore_bonus + IF(#REF!&gt;0,miners_sight_bonus,IF(#REF!&gt;0,mining_strength_bonus)) +  tech_1_6*#REF!</f>
        <v>#REF!</v>
      </c>
      <c r="AM102" s="135" t="e">
        <f>race_gem_bonus+ tech_3_2*#REF! + tech_4_3*#REF! + tech_6_2*#REF!</f>
        <v>#REF!</v>
      </c>
      <c r="AN102" s="134"/>
      <c r="AO102" s="39" t="e">
        <f>#REF!*food_decay * (1 + tech_2_1*#REF! + tech_2_8*#REF!)</f>
        <v>#REF!</v>
      </c>
      <c r="AP102" s="39" t="e">
        <f>(1+race_food_consumption)*#REF!*food_per_person*(1+tech_1_10*#REF!+tech_7_5*#REF!)</f>
        <v>#REF!</v>
      </c>
      <c r="AQ102" s="39" t="e">
        <f>#REF!*lumber_rot * (1 + tech_2_1*#REF! + tech_2_8*#REF! + tech_5_2*#REF!)</f>
        <v>#REF!</v>
      </c>
      <c r="AR102" s="39" t="e">
        <f>#REF!*mana_drain * (1 + tech_2_1*#REF! + tech_2_8*#REF!)</f>
        <v>#REF!</v>
      </c>
      <c r="AS102" s="133"/>
      <c r="AT102" s="39" t="e">
        <f>#REF!+#REF!+#REF!+#REF!+#REF!-#REF!</f>
        <v>#REF!</v>
      </c>
      <c r="AU102" s="39" t="e">
        <f>#REF!+#REF!-#REF! + Military!$CL$25*#REF!</f>
        <v>#REF!</v>
      </c>
      <c r="AV102" s="39" t="e">
        <f>#REF! + Military!$CL$26*#REF!</f>
        <v>#REF!</v>
      </c>
      <c r="AW102" s="39" t="e">
        <f>Military!$CL$24*#REF!+#REF!-#REF!</f>
        <v>#REF!</v>
      </c>
      <c r="AX102" s="39" t="e">
        <f>#REF!-#REF!</f>
        <v>#REF!</v>
      </c>
      <c r="AY102" s="134"/>
      <c r="AZ102" s="61" t="e">
        <f ca="1">IF(#REF!&lt;&gt;"",#REF!,OFFSET(#REF!,-1,0))</f>
        <v>#REF!</v>
      </c>
      <c r="BA102" s="144"/>
      <c r="BB102" s="3" t="e">
        <f>#REF!</f>
        <v>#REF!</v>
      </c>
      <c r="BC102" s="146" t="e">
        <f>-#REF! / 2 + -#REF! * 2 + -#REF! / 2</f>
        <v>#REF!</v>
      </c>
      <c r="BD102" s="146"/>
      <c r="BE102" s="146"/>
      <c r="BF102" s="146"/>
      <c r="BG102" s="147" t="e">
        <f>#REF!</f>
        <v>#REF!</v>
      </c>
      <c r="BH102" s="3" t="e">
        <f>IF(AND(#REF!=0,#REF!=0,#REF!=0,#REF!=0),"",IF(#REF!&gt;0,IF((#REF!+#REF!)/2+#REF!*2+ROUNDUP(#REF!/(1 + tech_2_2*Techs!Y102),0)=0,"Ok","Nope"),IF(#REF!&gt;0,IF((#REF!+#REF!)/2+#REF!*2+ROUNDUP(#REF!/(1 + tech_2_2*Techs!Y102),0)=0,"Ok","Nope"),IF(#REF!&gt;0,IF((#REF!+#REF!)/2+#REF!*2+ROUNDUP(#REF!/(1 + tech_2_2*Techs!Y102),0)=0,"Ok","Nope")))))</f>
        <v>#REF!</v>
      </c>
      <c r="BI102" s="39" t="e">
        <f>#REF!</f>
        <v>#REF!</v>
      </c>
      <c r="BJ102" s="39" t="e">
        <f>#REF!</f>
        <v>#REF!</v>
      </c>
      <c r="BK102" s="39" t="e">
        <f>#REF!</f>
        <v>#REF!</v>
      </c>
      <c r="BL102" s="39" t="e">
        <f>#REF!</f>
        <v>#REF!</v>
      </c>
      <c r="BM102" s="39" t="e">
        <f>#REF!</f>
        <v>#REF!</v>
      </c>
    </row>
    <row r="103" spans="1:65" x14ac:dyDescent="0.25">
      <c r="A103" s="130">
        <v>28</v>
      </c>
      <c r="B103" s="143" t="e">
        <f>#REF!</f>
        <v>#REF!</v>
      </c>
      <c r="C103" s="144"/>
      <c r="D103" s="133"/>
      <c r="E103" s="39" t="e">
        <f>#REF!</f>
        <v>#REF!</v>
      </c>
      <c r="F103" s="39" t="e">
        <f>#REF!</f>
        <v>#REF!</v>
      </c>
      <c r="G103" s="39" t="e">
        <f>#REF!</f>
        <v>#REF!</v>
      </c>
      <c r="H103" s="39" t="e">
        <f ca="1">OFFSET(#REF!,-1,0)+OFFSET(#REF!,-1,0) -#REF! + IF(#REF!,#REF!*4) + SUM(#REF!)*#REF!*tech_3_3_2*#REF!</f>
        <v>#REF!</v>
      </c>
      <c r="I103" s="39" t="e">
        <f ca="1">OFFSET(#REF!,-1,0)+OFFSET(#REF!,-1,0)+ROUNDUP((#REF!*80+#REF!*35)*(1+OFFSET(#REF!,-1,0)),0)</f>
        <v>#REF!</v>
      </c>
      <c r="J103" s="39" t="e">
        <f ca="1">OFFSET(#REF!,-1,0)+OFFSET(#REF!,-1,0) -#REF! + SUM(#REF!)*#REF!*tech_3_3_2*#REF!</f>
        <v>#REF!</v>
      </c>
      <c r="K103" s="39" t="e">
        <f ca="1">OFFSET(#REF!,-1,0)+OFFSET(#REF!,-1,0) -#REF!</f>
        <v>#REF!</v>
      </c>
      <c r="L103" s="39" t="e">
        <f ca="1">OFFSET(#REF!,-1,0)+OFFSET(#REF!,-1,0) -#REF!</f>
        <v>#REF!</v>
      </c>
      <c r="M103" s="39" t="e">
        <f ca="1">OFFSET(#REF!,-1,0)+OFFSET(#REF!,-1,0) -#REF!</f>
        <v>#REF!</v>
      </c>
      <c r="N103" s="39" t="e">
        <f ca="1">OFFSET(#REF!,-1,0)+OFFSET(#REF!,-1,0)</f>
        <v>#REF!</v>
      </c>
      <c r="O103" s="39" t="e">
        <f ca="1">OFFSET(#REF!,-1,0)</f>
        <v>#REF!</v>
      </c>
      <c r="P103" s="39" t="e">
        <f ca="1">ROUNDDOWN(OFFSET(#REF!,-1,0)+(1+research_bonus)*(MIN(#REF!,#REF!*school_max)*(1 - MIN((#REF!/(#REF!-#REF!)),school_max)))-#REF!*#REF!,0) + IF(#REF!&lt;&gt;"",350,0)</f>
        <v>#REF!</v>
      </c>
      <c r="Q103" s="39" t="e">
        <f ca="1">MAX(3750,_xlfn.CEILING.MATH(#REF!*2.5+OFFSET(#REF!,-1,0)*150))</f>
        <v>#REF!</v>
      </c>
      <c r="R103" s="134"/>
      <c r="S103" s="39" t="e">
        <f>ROUNDDOWN(#REF!*(1+#REF!),0)</f>
        <v>#REF!</v>
      </c>
      <c r="T103" s="39" t="e">
        <f>ROUND(#REF!*(1+#REF!)-#REF!-#REF!,0)</f>
        <v>#REF!</v>
      </c>
      <c r="U103" s="39" t="e">
        <f>ROUND(#REF!*(1+#REF!)-#REF!,0)</f>
        <v>#REF!</v>
      </c>
      <c r="V103" s="39" t="e">
        <f>ROUND(#REF!*(1+#REF!)-#REF!,0)</f>
        <v>#REF!</v>
      </c>
      <c r="W103" s="39" t="e">
        <f>ROUNDDOWN(#REF!*(1+#REF!),0)</f>
        <v>#REF!</v>
      </c>
      <c r="X103" s="39" t="e">
        <f>ROUNDDOWN(#REF!*(1+#REF!),0)</f>
        <v>#REF!</v>
      </c>
      <c r="Y103" s="145" t="e">
        <f ca="1">OFFSET(#REF!,1,0)*dock_boats_hr * (1 + tech_4_1*#REF!)</f>
        <v>#REF!</v>
      </c>
      <c r="Z103" s="133"/>
      <c r="AA103" s="39" t="e">
        <f ca="1">#REF!*tax*#REF! + (Construction!AZ104+Construction!BX104)*(alch_plat+(Magic!AM103&gt;0)*alchemist_flame_bonus)</f>
        <v>#REF!</v>
      </c>
      <c r="AB103" s="39" t="e">
        <f>#REF!*farm_food +#REF!* dock_food</f>
        <v>#REF!</v>
      </c>
      <c r="AC103" s="39" t="e">
        <f>#REF!*ly_lumber +#REF!* fh_lumber</f>
        <v>#REF!</v>
      </c>
      <c r="AD103" s="39" t="e">
        <f ca="1">OFFSET(#REF!,1,0)*(tower_mana + tech_4_5*#REF!) + OFFSET(#REF!,1,0)*wg_mana_prod</f>
        <v>#REF!</v>
      </c>
      <c r="AE103" s="39" t="e">
        <f ca="1">OFFSET(#REF!,1,0)*om_ore+IF(race="Dwarf",ROUNDDOWN(#REF!*0.4,0),)</f>
        <v>#REF!</v>
      </c>
      <c r="AF103" s="39" t="e">
        <f ca="1">OFFSET(#REF!,1,0)*dm_gems</f>
        <v>#REF!</v>
      </c>
      <c r="AG103" s="134"/>
      <c r="AH103" s="135" t="e">
        <f>MIN(race_platinum_bonus + IF(#REF!&gt;0,alch_frost_bonus,IF(Magic!AD103&gt;0,midas_bonus)) +#REF! -#REF!*( 0.02 + tech_5_7*#REF!) + tech_1_5*#REF! + tech_4_4*#REF!, 0.5)</f>
        <v>#REF!</v>
      </c>
      <c r="AI103" s="132" t="e">
        <f>(1 + race_food_bonus + IF(#REF!&gt;0,gaias_blessing_food,IF(#REF!&gt;0,gaias_watch_bonus)) +#REF! + tech_1_1*#REF! + tech_1_4*#REF! + tech_5_1*#REF! +#REF!/ 100*prestige_food_bonus*(1 + tech_8_1*#REF!)) - 1</f>
        <v>#REF!</v>
      </c>
      <c r="AJ103" s="135" t="e">
        <f>race_lumber_bonus+ IF(#REF!&gt;0,gaias_blessing_lumber)+ tech_1_3*#REF! + tech_1_6*#REF! + tech_3_3*#REF!</f>
        <v>#REF!</v>
      </c>
      <c r="AK103" s="135" t="e">
        <f>race_mana_bonus+ 0 +#REF! + tech_1_2*#REF! + tech_3_4*#REF!</f>
        <v>#REF!</v>
      </c>
      <c r="AL103" s="135" t="e">
        <f>race_ore_bonus + IF(#REF!&gt;0,miners_sight_bonus,IF(#REF!&gt;0,mining_strength_bonus)) +  tech_1_6*#REF!</f>
        <v>#REF!</v>
      </c>
      <c r="AM103" s="135" t="e">
        <f>race_gem_bonus+ tech_3_2*#REF! + tech_4_3*#REF! + tech_6_2*#REF!</f>
        <v>#REF!</v>
      </c>
      <c r="AN103" s="134"/>
      <c r="AO103" s="39" t="e">
        <f>#REF!*food_decay * (1 + tech_2_1*#REF! + tech_2_8*#REF!)</f>
        <v>#REF!</v>
      </c>
      <c r="AP103" s="39" t="e">
        <f>(1+race_food_consumption)*#REF!*food_per_person*(1+tech_1_10*#REF!+tech_7_5*#REF!)</f>
        <v>#REF!</v>
      </c>
      <c r="AQ103" s="39" t="e">
        <f>#REF!*lumber_rot * (1 + tech_2_1*#REF! + tech_2_8*#REF! + tech_5_2*#REF!)</f>
        <v>#REF!</v>
      </c>
      <c r="AR103" s="39" t="e">
        <f>#REF!*mana_drain * (1 + tech_2_1*#REF! + tech_2_8*#REF!)</f>
        <v>#REF!</v>
      </c>
      <c r="AS103" s="133"/>
      <c r="AT103" s="39" t="e">
        <f>#REF!+#REF!+#REF!+#REF!+#REF!-#REF!</f>
        <v>#REF!</v>
      </c>
      <c r="AU103" s="39" t="e">
        <f>#REF!+#REF!-#REF! + Military!$CL$25*#REF!</f>
        <v>#REF!</v>
      </c>
      <c r="AV103" s="39" t="e">
        <f>#REF! + Military!$CL$26*#REF!</f>
        <v>#REF!</v>
      </c>
      <c r="AW103" s="39" t="e">
        <f>Military!$CL$24*#REF!+#REF!-#REF!</f>
        <v>#REF!</v>
      </c>
      <c r="AX103" s="39" t="e">
        <f>#REF!-#REF!</f>
        <v>#REF!</v>
      </c>
      <c r="AY103" s="134"/>
      <c r="AZ103" s="61" t="e">
        <f ca="1">IF(#REF!&lt;&gt;"",#REF!,OFFSET(#REF!,-1,0))</f>
        <v>#REF!</v>
      </c>
      <c r="BA103" s="144"/>
      <c r="BB103" s="3" t="e">
        <f>#REF!</f>
        <v>#REF!</v>
      </c>
      <c r="BC103" s="146" t="e">
        <f>-#REF! / 2 + -#REF! * 2 + -#REF! / 2</f>
        <v>#REF!</v>
      </c>
      <c r="BD103" s="146"/>
      <c r="BE103" s="146"/>
      <c r="BF103" s="146"/>
      <c r="BG103" s="147" t="e">
        <f>#REF!</f>
        <v>#REF!</v>
      </c>
      <c r="BH103" s="3" t="e">
        <f>IF(AND(#REF!=0,#REF!=0,#REF!=0,#REF!=0),"",IF(#REF!&gt;0,IF((#REF!+#REF!)/2+#REF!*2+ROUNDUP(#REF!/(1 + tech_2_2*Techs!Y103),0)=0,"Ok","Nope"),IF(#REF!&gt;0,IF((#REF!+#REF!)/2+#REF!*2+ROUNDUP(#REF!/(1 + tech_2_2*Techs!Y103),0)=0,"Ok","Nope"),IF(#REF!&gt;0,IF((#REF!+#REF!)/2+#REF!*2+ROUNDUP(#REF!/(1 + tech_2_2*Techs!Y103),0)=0,"Ok","Nope")))))</f>
        <v>#REF!</v>
      </c>
      <c r="BI103" s="39" t="e">
        <f>#REF!</f>
        <v>#REF!</v>
      </c>
      <c r="BJ103" s="39" t="e">
        <f>#REF!</f>
        <v>#REF!</v>
      </c>
      <c r="BK103" s="39" t="e">
        <f>#REF!</f>
        <v>#REF!</v>
      </c>
      <c r="BL103" s="39" t="e">
        <f>#REF!</f>
        <v>#REF!</v>
      </c>
      <c r="BM103" s="39" t="e">
        <f>#REF!</f>
        <v>#REF!</v>
      </c>
    </row>
    <row r="104" spans="1:65" x14ac:dyDescent="0.25">
      <c r="A104" s="130">
        <v>29</v>
      </c>
      <c r="B104" s="143" t="e">
        <f>#REF!</f>
        <v>#REF!</v>
      </c>
      <c r="C104" s="144"/>
      <c r="D104" s="133"/>
      <c r="E104" s="39" t="e">
        <f>#REF!</f>
        <v>#REF!</v>
      </c>
      <c r="F104" s="39" t="e">
        <f>#REF!</f>
        <v>#REF!</v>
      </c>
      <c r="G104" s="39" t="e">
        <f>#REF!</f>
        <v>#REF!</v>
      </c>
      <c r="H104" s="39" t="e">
        <f ca="1">OFFSET(#REF!,-1,0)+OFFSET(#REF!,-1,0) -#REF! + IF(#REF!,#REF!*4) + SUM(#REF!)*#REF!*tech_3_3_2*#REF!</f>
        <v>#REF!</v>
      </c>
      <c r="I104" s="39" t="e">
        <f ca="1">OFFSET(#REF!,-1,0)+OFFSET(#REF!,-1,0)+ROUNDUP((#REF!*80+#REF!*35)*(1+OFFSET(#REF!,-1,0)),0)</f>
        <v>#REF!</v>
      </c>
      <c r="J104" s="39" t="e">
        <f ca="1">OFFSET(#REF!,-1,0)+OFFSET(#REF!,-1,0) -#REF! + SUM(#REF!)*#REF!*tech_3_3_2*#REF!</f>
        <v>#REF!</v>
      </c>
      <c r="K104" s="39" t="e">
        <f ca="1">OFFSET(#REF!,-1,0)+OFFSET(#REF!,-1,0) -#REF!</f>
        <v>#REF!</v>
      </c>
      <c r="L104" s="39" t="e">
        <f ca="1">OFFSET(#REF!,-1,0)+OFFSET(#REF!,-1,0) -#REF!</f>
        <v>#REF!</v>
      </c>
      <c r="M104" s="39" t="e">
        <f ca="1">OFFSET(#REF!,-1,0)+OFFSET(#REF!,-1,0) -#REF!</f>
        <v>#REF!</v>
      </c>
      <c r="N104" s="39" t="e">
        <f ca="1">OFFSET(#REF!,-1,0)+OFFSET(#REF!,-1,0)</f>
        <v>#REF!</v>
      </c>
      <c r="O104" s="39" t="e">
        <f ca="1">OFFSET(#REF!,-1,0)</f>
        <v>#REF!</v>
      </c>
      <c r="P104" s="39" t="e">
        <f ca="1">ROUNDDOWN(OFFSET(#REF!,-1,0)+(1+research_bonus)*(MIN(#REF!,#REF!*school_max)*(1 - MIN((#REF!/(#REF!-#REF!)),school_max)))-#REF!*#REF!,0) + IF(#REF!&lt;&gt;"",350,0)</f>
        <v>#REF!</v>
      </c>
      <c r="Q104" s="39" t="e">
        <f ca="1">MAX(3750,_xlfn.CEILING.MATH(#REF!*2.5+OFFSET(#REF!,-1,0)*150))</f>
        <v>#REF!</v>
      </c>
      <c r="R104" s="134"/>
      <c r="S104" s="39" t="e">
        <f>ROUNDDOWN(#REF!*(1+#REF!),0)</f>
        <v>#REF!</v>
      </c>
      <c r="T104" s="39" t="e">
        <f>ROUND(#REF!*(1+#REF!)-#REF!-#REF!,0)</f>
        <v>#REF!</v>
      </c>
      <c r="U104" s="39" t="e">
        <f>ROUND(#REF!*(1+#REF!)-#REF!,0)</f>
        <v>#REF!</v>
      </c>
      <c r="V104" s="39" t="e">
        <f>ROUND(#REF!*(1+#REF!)-#REF!,0)</f>
        <v>#REF!</v>
      </c>
      <c r="W104" s="39" t="e">
        <f>ROUNDDOWN(#REF!*(1+#REF!),0)</f>
        <v>#REF!</v>
      </c>
      <c r="X104" s="39" t="e">
        <f>ROUNDDOWN(#REF!*(1+#REF!),0)</f>
        <v>#REF!</v>
      </c>
      <c r="Y104" s="145" t="e">
        <f ca="1">OFFSET(#REF!,1,0)*dock_boats_hr * (1 + tech_4_1*#REF!)</f>
        <v>#REF!</v>
      </c>
      <c r="Z104" s="133"/>
      <c r="AA104" s="39" t="e">
        <f ca="1">#REF!*tax*#REF! + (Construction!AZ105+Construction!BX105)*(alch_plat+(Magic!AM104&gt;0)*alchemist_flame_bonus)</f>
        <v>#REF!</v>
      </c>
      <c r="AB104" s="39" t="e">
        <f>#REF!*farm_food +#REF!* dock_food</f>
        <v>#REF!</v>
      </c>
      <c r="AC104" s="39" t="e">
        <f>#REF!*ly_lumber +#REF!* fh_lumber</f>
        <v>#REF!</v>
      </c>
      <c r="AD104" s="39" t="e">
        <f ca="1">OFFSET(#REF!,1,0)*(tower_mana + tech_4_5*#REF!) + OFFSET(#REF!,1,0)*wg_mana_prod</f>
        <v>#REF!</v>
      </c>
      <c r="AE104" s="39" t="e">
        <f ca="1">OFFSET(#REF!,1,0)*om_ore+IF(race="Dwarf",ROUNDDOWN(#REF!*0.4,0),)</f>
        <v>#REF!</v>
      </c>
      <c r="AF104" s="39" t="e">
        <f ca="1">OFFSET(#REF!,1,0)*dm_gems</f>
        <v>#REF!</v>
      </c>
      <c r="AG104" s="134"/>
      <c r="AH104" s="135" t="e">
        <f>MIN(race_platinum_bonus + IF(#REF!&gt;0,alch_frost_bonus,IF(Magic!AD104&gt;0,midas_bonus)) +#REF! -#REF!*( 0.02 + tech_5_7*#REF!) + tech_1_5*#REF! + tech_4_4*#REF!, 0.5)</f>
        <v>#REF!</v>
      </c>
      <c r="AI104" s="132" t="e">
        <f>(1 + race_food_bonus + IF(#REF!&gt;0,gaias_blessing_food,IF(#REF!&gt;0,gaias_watch_bonus)) +#REF! + tech_1_1*#REF! + tech_1_4*#REF! + tech_5_1*#REF! +#REF!/ 100*prestige_food_bonus*(1 + tech_8_1*#REF!)) - 1</f>
        <v>#REF!</v>
      </c>
      <c r="AJ104" s="135" t="e">
        <f>race_lumber_bonus+ IF(#REF!&gt;0,gaias_blessing_lumber)+ tech_1_3*#REF! + tech_1_6*#REF! + tech_3_3*#REF!</f>
        <v>#REF!</v>
      </c>
      <c r="AK104" s="135" t="e">
        <f>race_mana_bonus+ 0 +#REF! + tech_1_2*#REF! + tech_3_4*#REF!</f>
        <v>#REF!</v>
      </c>
      <c r="AL104" s="135" t="e">
        <f>race_ore_bonus + IF(#REF!&gt;0,miners_sight_bonus,IF(#REF!&gt;0,mining_strength_bonus)) +  tech_1_6*#REF!</f>
        <v>#REF!</v>
      </c>
      <c r="AM104" s="135" t="e">
        <f>race_gem_bonus+ tech_3_2*#REF! + tech_4_3*#REF! + tech_6_2*#REF!</f>
        <v>#REF!</v>
      </c>
      <c r="AN104" s="134"/>
      <c r="AO104" s="39" t="e">
        <f>#REF!*food_decay * (1 + tech_2_1*#REF! + tech_2_8*#REF!)</f>
        <v>#REF!</v>
      </c>
      <c r="AP104" s="39" t="e">
        <f>(1+race_food_consumption)*#REF!*food_per_person*(1+tech_1_10*#REF!+tech_7_5*#REF!)</f>
        <v>#REF!</v>
      </c>
      <c r="AQ104" s="39" t="e">
        <f>#REF!*lumber_rot * (1 + tech_2_1*#REF! + tech_2_8*#REF! + tech_5_2*#REF!)</f>
        <v>#REF!</v>
      </c>
      <c r="AR104" s="39" t="e">
        <f>#REF!*mana_drain * (1 + tech_2_1*#REF! + tech_2_8*#REF!)</f>
        <v>#REF!</v>
      </c>
      <c r="AS104" s="133"/>
      <c r="AT104" s="39" t="e">
        <f>#REF!+#REF!+#REF!+#REF!+#REF!-#REF!</f>
        <v>#REF!</v>
      </c>
      <c r="AU104" s="39" t="e">
        <f>#REF!+#REF!-#REF! + Military!$CL$25*#REF!</f>
        <v>#REF!</v>
      </c>
      <c r="AV104" s="39" t="e">
        <f>#REF! + Military!$CL$26*#REF!</f>
        <v>#REF!</v>
      </c>
      <c r="AW104" s="39" t="e">
        <f>Military!$CL$24*#REF!+#REF!-#REF!</f>
        <v>#REF!</v>
      </c>
      <c r="AX104" s="39" t="e">
        <f>#REF!-#REF!</f>
        <v>#REF!</v>
      </c>
      <c r="AY104" s="134"/>
      <c r="AZ104" s="61" t="e">
        <f ca="1">IF(#REF!&lt;&gt;"",#REF!,OFFSET(#REF!,-1,0))</f>
        <v>#REF!</v>
      </c>
      <c r="BA104" s="144"/>
      <c r="BB104" s="3" t="e">
        <f>#REF!</f>
        <v>#REF!</v>
      </c>
      <c r="BC104" s="146" t="e">
        <f>-#REF! / 2 + -#REF! * 2 + -#REF! / 2</f>
        <v>#REF!</v>
      </c>
      <c r="BD104" s="146"/>
      <c r="BE104" s="146"/>
      <c r="BF104" s="146"/>
      <c r="BG104" s="147" t="e">
        <f>#REF!</f>
        <v>#REF!</v>
      </c>
      <c r="BH104" s="3" t="e">
        <f>IF(AND(#REF!=0,#REF!=0,#REF!=0,#REF!=0),"",IF(#REF!&gt;0,IF((#REF!+#REF!)/2+#REF!*2+ROUNDUP(#REF!/(1 + tech_2_2*Techs!Y104),0)=0,"Ok","Nope"),IF(#REF!&gt;0,IF((#REF!+#REF!)/2+#REF!*2+ROUNDUP(#REF!/(1 + tech_2_2*Techs!Y104),0)=0,"Ok","Nope"),IF(#REF!&gt;0,IF((#REF!+#REF!)/2+#REF!*2+ROUNDUP(#REF!/(1 + tech_2_2*Techs!Y104),0)=0,"Ok","Nope")))))</f>
        <v>#REF!</v>
      </c>
      <c r="BI104" s="39" t="e">
        <f>#REF!</f>
        <v>#REF!</v>
      </c>
      <c r="BJ104" s="39" t="e">
        <f>#REF!</f>
        <v>#REF!</v>
      </c>
      <c r="BK104" s="39" t="e">
        <f>#REF!</f>
        <v>#REF!</v>
      </c>
      <c r="BL104" s="39" t="e">
        <f>#REF!</f>
        <v>#REF!</v>
      </c>
      <c r="BM104" s="39" t="e">
        <f>#REF!</f>
        <v>#REF!</v>
      </c>
    </row>
    <row r="105" spans="1:65" x14ac:dyDescent="0.25">
      <c r="A105" s="130">
        <v>30</v>
      </c>
      <c r="B105" s="143" t="e">
        <f>#REF!</f>
        <v>#REF!</v>
      </c>
      <c r="C105" s="144"/>
      <c r="D105" s="133"/>
      <c r="E105" s="39" t="e">
        <f>#REF!</f>
        <v>#REF!</v>
      </c>
      <c r="F105" s="39" t="e">
        <f>#REF!</f>
        <v>#REF!</v>
      </c>
      <c r="G105" s="39" t="e">
        <f>#REF!</f>
        <v>#REF!</v>
      </c>
      <c r="H105" s="39" t="e">
        <f ca="1">OFFSET(#REF!,-1,0)+OFFSET(#REF!,-1,0) -#REF! + IF(#REF!,#REF!*4) + SUM(#REF!)*#REF!*tech_3_3_2*#REF!</f>
        <v>#REF!</v>
      </c>
      <c r="I105" s="39" t="e">
        <f ca="1">OFFSET(#REF!,-1,0)+OFFSET(#REF!,-1,0)+ROUNDUP((#REF!*80+#REF!*35)*(1+OFFSET(#REF!,-1,0)),0)</f>
        <v>#REF!</v>
      </c>
      <c r="J105" s="39" t="e">
        <f ca="1">OFFSET(#REF!,-1,0)+OFFSET(#REF!,-1,0) -#REF! + SUM(#REF!)*#REF!*tech_3_3_2*#REF!</f>
        <v>#REF!</v>
      </c>
      <c r="K105" s="39" t="e">
        <f ca="1">OFFSET(#REF!,-1,0)+OFFSET(#REF!,-1,0) -#REF!</f>
        <v>#REF!</v>
      </c>
      <c r="L105" s="39" t="e">
        <f ca="1">OFFSET(#REF!,-1,0)+OFFSET(#REF!,-1,0) -#REF!</f>
        <v>#REF!</v>
      </c>
      <c r="M105" s="39" t="e">
        <f ca="1">OFFSET(#REF!,-1,0)+OFFSET(#REF!,-1,0) -#REF!</f>
        <v>#REF!</v>
      </c>
      <c r="N105" s="39" t="e">
        <f ca="1">OFFSET(#REF!,-1,0)+OFFSET(#REF!,-1,0)</f>
        <v>#REF!</v>
      </c>
      <c r="O105" s="39" t="e">
        <f ca="1">OFFSET(#REF!,-1,0)</f>
        <v>#REF!</v>
      </c>
      <c r="P105" s="39" t="e">
        <f ca="1">ROUNDDOWN(OFFSET(#REF!,-1,0)+(1+research_bonus)*(MIN(#REF!,#REF!*school_max)*(1 - MIN((#REF!/(#REF!-#REF!)),school_max)))-#REF!*#REF!,0) + IF(#REF!&lt;&gt;"",350,0)</f>
        <v>#REF!</v>
      </c>
      <c r="Q105" s="39" t="e">
        <f ca="1">MAX(3750,_xlfn.CEILING.MATH(#REF!*2.5+OFFSET(#REF!,-1,0)*150))</f>
        <v>#REF!</v>
      </c>
      <c r="R105" s="134"/>
      <c r="S105" s="39" t="e">
        <f>ROUNDDOWN(#REF!*(1+#REF!),0)</f>
        <v>#REF!</v>
      </c>
      <c r="T105" s="39" t="e">
        <f>ROUND(#REF!*(1+#REF!)-#REF!-#REF!,0)</f>
        <v>#REF!</v>
      </c>
      <c r="U105" s="39" t="e">
        <f>ROUND(#REF!*(1+#REF!)-#REF!,0)</f>
        <v>#REF!</v>
      </c>
      <c r="V105" s="39" t="e">
        <f>ROUND(#REF!*(1+#REF!)-#REF!,0)</f>
        <v>#REF!</v>
      </c>
      <c r="W105" s="39" t="e">
        <f>ROUNDDOWN(#REF!*(1+#REF!),0)</f>
        <v>#REF!</v>
      </c>
      <c r="X105" s="39" t="e">
        <f>ROUNDDOWN(#REF!*(1+#REF!),0)</f>
        <v>#REF!</v>
      </c>
      <c r="Y105" s="145" t="e">
        <f ca="1">OFFSET(#REF!,1,0)*dock_boats_hr * (1 + tech_4_1*#REF!)</f>
        <v>#REF!</v>
      </c>
      <c r="Z105" s="133"/>
      <c r="AA105" s="39" t="e">
        <f ca="1">#REF!*tax*#REF! + (Construction!AZ106+Construction!BX106)*(alch_plat+(Magic!AM105&gt;0)*alchemist_flame_bonus)</f>
        <v>#REF!</v>
      </c>
      <c r="AB105" s="39" t="e">
        <f>#REF!*farm_food +#REF!* dock_food</f>
        <v>#REF!</v>
      </c>
      <c r="AC105" s="39" t="e">
        <f>#REF!*ly_lumber +#REF!* fh_lumber</f>
        <v>#REF!</v>
      </c>
      <c r="AD105" s="39" t="e">
        <f ca="1">OFFSET(#REF!,1,0)*(tower_mana + tech_4_5*#REF!) + OFFSET(#REF!,1,0)*wg_mana_prod</f>
        <v>#REF!</v>
      </c>
      <c r="AE105" s="39" t="e">
        <f ca="1">OFFSET(#REF!,1,0)*om_ore+IF(race="Dwarf",ROUNDDOWN(#REF!*0.4,0),)</f>
        <v>#REF!</v>
      </c>
      <c r="AF105" s="39" t="e">
        <f ca="1">OFFSET(#REF!,1,0)*dm_gems</f>
        <v>#REF!</v>
      </c>
      <c r="AG105" s="134"/>
      <c r="AH105" s="135" t="e">
        <f>MIN(race_platinum_bonus + IF(#REF!&gt;0,alch_frost_bonus,IF(Magic!AD105&gt;0,midas_bonus)) +#REF! -#REF!*( 0.02 + tech_5_7*#REF!) + tech_1_5*#REF! + tech_4_4*#REF!, 0.5)</f>
        <v>#REF!</v>
      </c>
      <c r="AI105" s="132" t="e">
        <f>(1 + race_food_bonus + IF(#REF!&gt;0,gaias_blessing_food,IF(#REF!&gt;0,gaias_watch_bonus)) +#REF! + tech_1_1*#REF! + tech_1_4*#REF! + tech_5_1*#REF! +#REF!/ 100*prestige_food_bonus*(1 + tech_8_1*#REF!)) - 1</f>
        <v>#REF!</v>
      </c>
      <c r="AJ105" s="135" t="e">
        <f>race_lumber_bonus+ IF(#REF!&gt;0,gaias_blessing_lumber)+ tech_1_3*#REF! + tech_1_6*#REF! + tech_3_3*#REF!</f>
        <v>#REF!</v>
      </c>
      <c r="AK105" s="135" t="e">
        <f>race_mana_bonus+ 0 +#REF! + tech_1_2*#REF! + tech_3_4*#REF!</f>
        <v>#REF!</v>
      </c>
      <c r="AL105" s="135" t="e">
        <f>race_ore_bonus + IF(#REF!&gt;0,miners_sight_bonus,IF(#REF!&gt;0,mining_strength_bonus)) +  tech_1_6*#REF!</f>
        <v>#REF!</v>
      </c>
      <c r="AM105" s="135" t="e">
        <f>race_gem_bonus+ tech_3_2*#REF! + tech_4_3*#REF! + tech_6_2*#REF!</f>
        <v>#REF!</v>
      </c>
      <c r="AN105" s="134"/>
      <c r="AO105" s="39" t="e">
        <f>#REF!*food_decay * (1 + tech_2_1*#REF! + tech_2_8*#REF!)</f>
        <v>#REF!</v>
      </c>
      <c r="AP105" s="39" t="e">
        <f>(1+race_food_consumption)*#REF!*food_per_person*(1+tech_1_10*#REF!+tech_7_5*#REF!)</f>
        <v>#REF!</v>
      </c>
      <c r="AQ105" s="39" t="e">
        <f>#REF!*lumber_rot * (1 + tech_2_1*#REF! + tech_2_8*#REF! + tech_5_2*#REF!)</f>
        <v>#REF!</v>
      </c>
      <c r="AR105" s="39" t="e">
        <f>#REF!*mana_drain * (1 + tech_2_1*#REF! + tech_2_8*#REF!)</f>
        <v>#REF!</v>
      </c>
      <c r="AS105" s="133"/>
      <c r="AT105" s="39" t="e">
        <f>#REF!+#REF!+#REF!+#REF!+#REF!-#REF!</f>
        <v>#REF!</v>
      </c>
      <c r="AU105" s="39" t="e">
        <f>#REF!+#REF!-#REF! + Military!$CL$25*#REF!</f>
        <v>#REF!</v>
      </c>
      <c r="AV105" s="39" t="e">
        <f>#REF! + Military!$CL$26*#REF!</f>
        <v>#REF!</v>
      </c>
      <c r="AW105" s="39" t="e">
        <f>Military!$CL$24*#REF!+#REF!-#REF!</f>
        <v>#REF!</v>
      </c>
      <c r="AX105" s="39" t="e">
        <f>#REF!-#REF!</f>
        <v>#REF!</v>
      </c>
      <c r="AY105" s="134"/>
      <c r="AZ105" s="61" t="e">
        <f ca="1">IF(#REF!&lt;&gt;"",#REF!,OFFSET(#REF!,-1,0))</f>
        <v>#REF!</v>
      </c>
      <c r="BA105" s="144"/>
      <c r="BB105" s="3" t="e">
        <f>#REF!</f>
        <v>#REF!</v>
      </c>
      <c r="BC105" s="146" t="e">
        <f>-#REF! / 2 + -#REF! * 2 + -#REF! / 2</f>
        <v>#REF!</v>
      </c>
      <c r="BD105" s="146"/>
      <c r="BE105" s="146"/>
      <c r="BF105" s="146"/>
      <c r="BG105" s="147" t="e">
        <f>#REF!</f>
        <v>#REF!</v>
      </c>
      <c r="BH105" s="3" t="e">
        <f>IF(AND(#REF!=0,#REF!=0,#REF!=0,#REF!=0),"",IF(#REF!&gt;0,IF((#REF!+#REF!)/2+#REF!*2+ROUNDUP(#REF!/(1 + tech_2_2*Techs!Y105),0)=0,"Ok","Nope"),IF(#REF!&gt;0,IF((#REF!+#REF!)/2+#REF!*2+ROUNDUP(#REF!/(1 + tech_2_2*Techs!Y105),0)=0,"Ok","Nope"),IF(#REF!&gt;0,IF((#REF!+#REF!)/2+#REF!*2+ROUNDUP(#REF!/(1 + tech_2_2*Techs!Y105),0)=0,"Ok","Nope")))))</f>
        <v>#REF!</v>
      </c>
      <c r="BI105" s="39" t="e">
        <f>#REF!</f>
        <v>#REF!</v>
      </c>
      <c r="BJ105" s="39" t="e">
        <f>#REF!</f>
        <v>#REF!</v>
      </c>
      <c r="BK105" s="39" t="e">
        <f>#REF!</f>
        <v>#REF!</v>
      </c>
      <c r="BL105" s="39" t="e">
        <f>#REF!</f>
        <v>#REF!</v>
      </c>
      <c r="BM105" s="39" t="e">
        <f>#REF!</f>
        <v>#REF!</v>
      </c>
    </row>
    <row r="106" spans="1:65" x14ac:dyDescent="0.25">
      <c r="A106" s="130">
        <v>31</v>
      </c>
      <c r="B106" s="143" t="e">
        <f>#REF!</f>
        <v>#REF!</v>
      </c>
      <c r="C106" s="144"/>
      <c r="D106" s="133"/>
      <c r="E106" s="39" t="e">
        <f>#REF!</f>
        <v>#REF!</v>
      </c>
      <c r="F106" s="39" t="e">
        <f>#REF!</f>
        <v>#REF!</v>
      </c>
      <c r="G106" s="39" t="e">
        <f>#REF!</f>
        <v>#REF!</v>
      </c>
      <c r="H106" s="39" t="e">
        <f ca="1">OFFSET(#REF!,-1,0)+OFFSET(#REF!,-1,0) -#REF! + IF(#REF!,#REF!*4) + SUM(#REF!)*#REF!*tech_3_3_2*#REF!</f>
        <v>#REF!</v>
      </c>
      <c r="I106" s="39" t="e">
        <f ca="1">OFFSET(#REF!,-1,0)+OFFSET(#REF!,-1,0)+ROUNDUP((#REF!*80+#REF!*35)*(1+OFFSET(#REF!,-1,0)),0)</f>
        <v>#REF!</v>
      </c>
      <c r="J106" s="39" t="e">
        <f ca="1">OFFSET(#REF!,-1,0)+OFFSET(#REF!,-1,0) -#REF! + SUM(#REF!)*#REF!*tech_3_3_2*#REF!</f>
        <v>#REF!</v>
      </c>
      <c r="K106" s="39" t="e">
        <f ca="1">OFFSET(#REF!,-1,0)+OFFSET(#REF!,-1,0) -#REF!</f>
        <v>#REF!</v>
      </c>
      <c r="L106" s="39" t="e">
        <f ca="1">OFFSET(#REF!,-1,0)+OFFSET(#REF!,-1,0) -#REF!</f>
        <v>#REF!</v>
      </c>
      <c r="M106" s="39" t="e">
        <f ca="1">OFFSET(#REF!,-1,0)+OFFSET(#REF!,-1,0) -#REF!</f>
        <v>#REF!</v>
      </c>
      <c r="N106" s="39" t="e">
        <f ca="1">OFFSET(#REF!,-1,0)+OFFSET(#REF!,-1,0)</f>
        <v>#REF!</v>
      </c>
      <c r="O106" s="39" t="e">
        <f ca="1">OFFSET(#REF!,-1,0)</f>
        <v>#REF!</v>
      </c>
      <c r="P106" s="39" t="e">
        <f ca="1">ROUNDDOWN(OFFSET(#REF!,-1,0)+(1+research_bonus)*(MIN(#REF!,#REF!*school_max)*(1 - MIN((#REF!/(#REF!-#REF!)),school_max)))-#REF!*#REF!,0) + IF(#REF!&lt;&gt;"",350,0)</f>
        <v>#REF!</v>
      </c>
      <c r="Q106" s="39" t="e">
        <f ca="1">MAX(3750,_xlfn.CEILING.MATH(#REF!*2.5+OFFSET(#REF!,-1,0)*150))</f>
        <v>#REF!</v>
      </c>
      <c r="R106" s="134"/>
      <c r="S106" s="39" t="e">
        <f>ROUNDDOWN(#REF!*(1+#REF!),0)</f>
        <v>#REF!</v>
      </c>
      <c r="T106" s="39" t="e">
        <f>ROUND(#REF!*(1+#REF!)-#REF!-#REF!,0)</f>
        <v>#REF!</v>
      </c>
      <c r="U106" s="39" t="e">
        <f>ROUND(#REF!*(1+#REF!)-#REF!,0)</f>
        <v>#REF!</v>
      </c>
      <c r="V106" s="39" t="e">
        <f>ROUND(#REF!*(1+#REF!)-#REF!,0)</f>
        <v>#REF!</v>
      </c>
      <c r="W106" s="39" t="e">
        <f>ROUNDDOWN(#REF!*(1+#REF!),0)</f>
        <v>#REF!</v>
      </c>
      <c r="X106" s="39" t="e">
        <f>ROUNDDOWN(#REF!*(1+#REF!),0)</f>
        <v>#REF!</v>
      </c>
      <c r="Y106" s="145" t="e">
        <f ca="1">OFFSET(#REF!,1,0)*dock_boats_hr * (1 + tech_4_1*#REF!)</f>
        <v>#REF!</v>
      </c>
      <c r="Z106" s="133"/>
      <c r="AA106" s="39" t="e">
        <f ca="1">#REF!*tax*#REF! + (Construction!AZ107+Construction!BX107)*(alch_plat+(Magic!AM106&gt;0)*alchemist_flame_bonus)</f>
        <v>#REF!</v>
      </c>
      <c r="AB106" s="39" t="e">
        <f>#REF!*farm_food +#REF!* dock_food</f>
        <v>#REF!</v>
      </c>
      <c r="AC106" s="39" t="e">
        <f>#REF!*ly_lumber +#REF!* fh_lumber</f>
        <v>#REF!</v>
      </c>
      <c r="AD106" s="39" t="e">
        <f ca="1">OFFSET(#REF!,1,0)*(tower_mana + tech_4_5*#REF!) + OFFSET(#REF!,1,0)*wg_mana_prod</f>
        <v>#REF!</v>
      </c>
      <c r="AE106" s="39" t="e">
        <f ca="1">OFFSET(#REF!,1,0)*om_ore+IF(race="Dwarf",ROUNDDOWN(#REF!*0.4,0),)</f>
        <v>#REF!</v>
      </c>
      <c r="AF106" s="39" t="e">
        <f ca="1">OFFSET(#REF!,1,0)*dm_gems</f>
        <v>#REF!</v>
      </c>
      <c r="AG106" s="134"/>
      <c r="AH106" s="135" t="e">
        <f>MIN(race_platinum_bonus + IF(#REF!&gt;0,alch_frost_bonus,IF(Magic!AD106&gt;0,midas_bonus)) +#REF! -#REF!*( 0.02 + tech_5_7*#REF!) + tech_1_5*#REF! + tech_4_4*#REF!, 0.5)</f>
        <v>#REF!</v>
      </c>
      <c r="AI106" s="132" t="e">
        <f>(1 + race_food_bonus + IF(#REF!&gt;0,gaias_blessing_food,IF(#REF!&gt;0,gaias_watch_bonus)) +#REF! + tech_1_1*#REF! + tech_1_4*#REF! + tech_5_1*#REF! +#REF!/ 100*prestige_food_bonus*(1 + tech_8_1*#REF!)) - 1</f>
        <v>#REF!</v>
      </c>
      <c r="AJ106" s="135" t="e">
        <f>race_lumber_bonus+ IF(#REF!&gt;0,gaias_blessing_lumber)+ tech_1_3*#REF! + tech_1_6*#REF! + tech_3_3*#REF!</f>
        <v>#REF!</v>
      </c>
      <c r="AK106" s="135" t="e">
        <f>race_mana_bonus+ 0 +#REF! + tech_1_2*#REF! + tech_3_4*#REF!</f>
        <v>#REF!</v>
      </c>
      <c r="AL106" s="135" t="e">
        <f>race_ore_bonus + IF(#REF!&gt;0,miners_sight_bonus,IF(#REF!&gt;0,mining_strength_bonus)) +  tech_1_6*#REF!</f>
        <v>#REF!</v>
      </c>
      <c r="AM106" s="135" t="e">
        <f>race_gem_bonus+ tech_3_2*#REF! + tech_4_3*#REF! + tech_6_2*#REF!</f>
        <v>#REF!</v>
      </c>
      <c r="AN106" s="134"/>
      <c r="AO106" s="39" t="e">
        <f>#REF!*food_decay * (1 + tech_2_1*#REF! + tech_2_8*#REF!)</f>
        <v>#REF!</v>
      </c>
      <c r="AP106" s="39" t="e">
        <f>(1+race_food_consumption)*#REF!*food_per_person*(1+tech_1_10*#REF!+tech_7_5*#REF!)</f>
        <v>#REF!</v>
      </c>
      <c r="AQ106" s="39" t="e">
        <f>#REF!*lumber_rot * (1 + tech_2_1*#REF! + tech_2_8*#REF! + tech_5_2*#REF!)</f>
        <v>#REF!</v>
      </c>
      <c r="AR106" s="39" t="e">
        <f>#REF!*mana_drain * (1 + tech_2_1*#REF! + tech_2_8*#REF!)</f>
        <v>#REF!</v>
      </c>
      <c r="AS106" s="133"/>
      <c r="AT106" s="39" t="e">
        <f>#REF!+#REF!+#REF!+#REF!+#REF!-#REF!</f>
        <v>#REF!</v>
      </c>
      <c r="AU106" s="39" t="e">
        <f>#REF!+#REF!-#REF! + Military!$CL$25*#REF!</f>
        <v>#REF!</v>
      </c>
      <c r="AV106" s="39" t="e">
        <f>#REF! + Military!$CL$26*#REF!</f>
        <v>#REF!</v>
      </c>
      <c r="AW106" s="39" t="e">
        <f>Military!$CL$24*#REF!+#REF!-#REF!</f>
        <v>#REF!</v>
      </c>
      <c r="AX106" s="39" t="e">
        <f>#REF!-#REF!</f>
        <v>#REF!</v>
      </c>
      <c r="AY106" s="134"/>
      <c r="AZ106" s="61" t="e">
        <f ca="1">IF(#REF!&lt;&gt;"",#REF!,OFFSET(#REF!,-1,0))</f>
        <v>#REF!</v>
      </c>
      <c r="BA106" s="144"/>
      <c r="BB106" s="3" t="e">
        <f>#REF!</f>
        <v>#REF!</v>
      </c>
      <c r="BC106" s="146" t="e">
        <f>-#REF! / 2 + -#REF! * 2 + -#REF! / 2</f>
        <v>#REF!</v>
      </c>
      <c r="BD106" s="146"/>
      <c r="BE106" s="146"/>
      <c r="BF106" s="146"/>
      <c r="BG106" s="147" t="e">
        <f>#REF!</f>
        <v>#REF!</v>
      </c>
      <c r="BH106" s="3" t="e">
        <f>IF(AND(#REF!=0,#REF!=0,#REF!=0,#REF!=0),"",IF(#REF!&gt;0,IF((#REF!+#REF!)/2+#REF!*2+ROUNDUP(#REF!/(1 + tech_2_2*Techs!Y106),0)=0,"Ok","Nope"),IF(#REF!&gt;0,IF((#REF!+#REF!)/2+#REF!*2+ROUNDUP(#REF!/(1 + tech_2_2*Techs!Y106),0)=0,"Ok","Nope"),IF(#REF!&gt;0,IF((#REF!+#REF!)/2+#REF!*2+ROUNDUP(#REF!/(1 + tech_2_2*Techs!Y106),0)=0,"Ok","Nope")))))</f>
        <v>#REF!</v>
      </c>
      <c r="BI106" s="39" t="e">
        <f>#REF!</f>
        <v>#REF!</v>
      </c>
      <c r="BJ106" s="39" t="e">
        <f>#REF!</f>
        <v>#REF!</v>
      </c>
      <c r="BK106" s="39" t="e">
        <f>#REF!</f>
        <v>#REF!</v>
      </c>
      <c r="BL106" s="39" t="e">
        <f>#REF!</f>
        <v>#REF!</v>
      </c>
      <c r="BM106" s="39" t="e">
        <f>#REF!</f>
        <v>#REF!</v>
      </c>
    </row>
    <row r="107" spans="1:65" x14ac:dyDescent="0.25">
      <c r="A107" s="130">
        <v>32</v>
      </c>
      <c r="B107" s="143" t="e">
        <f>#REF!</f>
        <v>#REF!</v>
      </c>
      <c r="C107" s="144"/>
      <c r="D107" s="133"/>
      <c r="E107" s="39" t="e">
        <f>#REF!</f>
        <v>#REF!</v>
      </c>
      <c r="F107" s="39" t="e">
        <f>#REF!</f>
        <v>#REF!</v>
      </c>
      <c r="G107" s="39" t="e">
        <f>#REF!</f>
        <v>#REF!</v>
      </c>
      <c r="H107" s="39" t="e">
        <f ca="1">OFFSET(#REF!,-1,0)+OFFSET(#REF!,-1,0) -#REF! + IF(#REF!,#REF!*4) + SUM(#REF!)*#REF!*tech_3_3_2*#REF!</f>
        <v>#REF!</v>
      </c>
      <c r="I107" s="39" t="e">
        <f ca="1">OFFSET(#REF!,-1,0)+OFFSET(#REF!,-1,0)+ROUNDUP((#REF!*80+#REF!*35)*(1+OFFSET(#REF!,-1,0)),0)</f>
        <v>#REF!</v>
      </c>
      <c r="J107" s="39" t="e">
        <f ca="1">OFFSET(#REF!,-1,0)+OFFSET(#REF!,-1,0) -#REF! + SUM(#REF!)*#REF!*tech_3_3_2*#REF!</f>
        <v>#REF!</v>
      </c>
      <c r="K107" s="39" t="e">
        <f ca="1">OFFSET(#REF!,-1,0)+OFFSET(#REF!,-1,0) -#REF!</f>
        <v>#REF!</v>
      </c>
      <c r="L107" s="39" t="e">
        <f ca="1">OFFSET(#REF!,-1,0)+OFFSET(#REF!,-1,0) -#REF!</f>
        <v>#REF!</v>
      </c>
      <c r="M107" s="39" t="e">
        <f ca="1">OFFSET(#REF!,-1,0)+OFFSET(#REF!,-1,0) -#REF!</f>
        <v>#REF!</v>
      </c>
      <c r="N107" s="39" t="e">
        <f ca="1">OFFSET(#REF!,-1,0)+OFFSET(#REF!,-1,0)</f>
        <v>#REF!</v>
      </c>
      <c r="O107" s="39" t="e">
        <f ca="1">OFFSET(#REF!,-1,0)</f>
        <v>#REF!</v>
      </c>
      <c r="P107" s="39" t="e">
        <f ca="1">ROUNDDOWN(OFFSET(#REF!,-1,0)+(1+research_bonus)*(MIN(#REF!,#REF!*school_max)*(1 - MIN((#REF!/(#REF!-#REF!)),school_max)))-#REF!*#REF!,0) + IF(#REF!&lt;&gt;"",350,0)</f>
        <v>#REF!</v>
      </c>
      <c r="Q107" s="39" t="e">
        <f ca="1">MAX(3750,_xlfn.CEILING.MATH(#REF!*2.5+OFFSET(#REF!,-1,0)*150))</f>
        <v>#REF!</v>
      </c>
      <c r="R107" s="134"/>
      <c r="S107" s="39" t="e">
        <f>ROUNDDOWN(#REF!*(1+#REF!),0)</f>
        <v>#REF!</v>
      </c>
      <c r="T107" s="39" t="e">
        <f>ROUND(#REF!*(1+#REF!)-#REF!-#REF!,0)</f>
        <v>#REF!</v>
      </c>
      <c r="U107" s="39" t="e">
        <f>ROUND(#REF!*(1+#REF!)-#REF!,0)</f>
        <v>#REF!</v>
      </c>
      <c r="V107" s="39" t="e">
        <f>ROUND(#REF!*(1+#REF!)-#REF!,0)</f>
        <v>#REF!</v>
      </c>
      <c r="W107" s="39" t="e">
        <f>ROUNDDOWN(#REF!*(1+#REF!),0)</f>
        <v>#REF!</v>
      </c>
      <c r="X107" s="39" t="e">
        <f>ROUNDDOWN(#REF!*(1+#REF!),0)</f>
        <v>#REF!</v>
      </c>
      <c r="Y107" s="145" t="e">
        <f ca="1">OFFSET(#REF!,1,0)*dock_boats_hr * (1 + tech_4_1*#REF!)</f>
        <v>#REF!</v>
      </c>
      <c r="Z107" s="133"/>
      <c r="AA107" s="39" t="e">
        <f ca="1">#REF!*tax*#REF! + (Construction!AZ108+Construction!BX108)*(alch_plat+(Magic!AM107&gt;0)*alchemist_flame_bonus)</f>
        <v>#REF!</v>
      </c>
      <c r="AB107" s="39" t="e">
        <f>#REF!*farm_food +#REF!* dock_food</f>
        <v>#REF!</v>
      </c>
      <c r="AC107" s="39" t="e">
        <f>#REF!*ly_lumber +#REF!* fh_lumber</f>
        <v>#REF!</v>
      </c>
      <c r="AD107" s="39" t="e">
        <f ca="1">OFFSET(#REF!,1,0)*(tower_mana + tech_4_5*#REF!) + OFFSET(#REF!,1,0)*wg_mana_prod</f>
        <v>#REF!</v>
      </c>
      <c r="AE107" s="39" t="e">
        <f ca="1">OFFSET(#REF!,1,0)*om_ore+IF(race="Dwarf",ROUNDDOWN(#REF!*0.4,0),)</f>
        <v>#REF!</v>
      </c>
      <c r="AF107" s="39" t="e">
        <f ca="1">OFFSET(#REF!,1,0)*dm_gems</f>
        <v>#REF!</v>
      </c>
      <c r="AG107" s="134"/>
      <c r="AH107" s="135" t="e">
        <f>MIN(race_platinum_bonus + IF(#REF!&gt;0,alch_frost_bonus,IF(Magic!AD107&gt;0,midas_bonus)) +#REF! -#REF!*( 0.02 + tech_5_7*#REF!) + tech_1_5*#REF! + tech_4_4*#REF!, 0.5)</f>
        <v>#REF!</v>
      </c>
      <c r="AI107" s="132" t="e">
        <f>(1 + race_food_bonus + IF(#REF!&gt;0,gaias_blessing_food,IF(#REF!&gt;0,gaias_watch_bonus)) +#REF! + tech_1_1*#REF! + tech_1_4*#REF! + tech_5_1*#REF! +#REF!/ 100*prestige_food_bonus*(1 + tech_8_1*#REF!)) - 1</f>
        <v>#REF!</v>
      </c>
      <c r="AJ107" s="135" t="e">
        <f>race_lumber_bonus+ IF(#REF!&gt;0,gaias_blessing_lumber)+ tech_1_3*#REF! + tech_1_6*#REF! + tech_3_3*#REF!</f>
        <v>#REF!</v>
      </c>
      <c r="AK107" s="135" t="e">
        <f>race_mana_bonus+ 0 +#REF! + tech_1_2*#REF! + tech_3_4*#REF!</f>
        <v>#REF!</v>
      </c>
      <c r="AL107" s="135" t="e">
        <f>race_ore_bonus + IF(#REF!&gt;0,miners_sight_bonus,IF(#REF!&gt;0,mining_strength_bonus)) +  tech_1_6*#REF!</f>
        <v>#REF!</v>
      </c>
      <c r="AM107" s="135" t="e">
        <f>race_gem_bonus+ tech_3_2*#REF! + tech_4_3*#REF! + tech_6_2*#REF!</f>
        <v>#REF!</v>
      </c>
      <c r="AN107" s="134"/>
      <c r="AO107" s="39" t="e">
        <f>#REF!*food_decay * (1 + tech_2_1*#REF! + tech_2_8*#REF!)</f>
        <v>#REF!</v>
      </c>
      <c r="AP107" s="39" t="e">
        <f>(1+race_food_consumption)*#REF!*food_per_person*(1+tech_1_10*#REF!+tech_7_5*#REF!)</f>
        <v>#REF!</v>
      </c>
      <c r="AQ107" s="39" t="e">
        <f>#REF!*lumber_rot * (1 + tech_2_1*#REF! + tech_2_8*#REF! + tech_5_2*#REF!)</f>
        <v>#REF!</v>
      </c>
      <c r="AR107" s="39" t="e">
        <f>#REF!*mana_drain * (1 + tech_2_1*#REF! + tech_2_8*#REF!)</f>
        <v>#REF!</v>
      </c>
      <c r="AS107" s="133"/>
      <c r="AT107" s="39" t="e">
        <f>#REF!+#REF!+#REF!+#REF!+#REF!-#REF!</f>
        <v>#REF!</v>
      </c>
      <c r="AU107" s="39" t="e">
        <f>#REF!+#REF!-#REF! + Military!$CL$25*#REF!</f>
        <v>#REF!</v>
      </c>
      <c r="AV107" s="39" t="e">
        <f>#REF! + Military!$CL$26*#REF!</f>
        <v>#REF!</v>
      </c>
      <c r="AW107" s="39" t="e">
        <f>Military!$CL$24*#REF!+#REF!-#REF!</f>
        <v>#REF!</v>
      </c>
      <c r="AX107" s="39" t="e">
        <f>#REF!-#REF!</f>
        <v>#REF!</v>
      </c>
      <c r="AY107" s="134"/>
      <c r="AZ107" s="61" t="e">
        <f ca="1">IF(#REF!&lt;&gt;"",#REF!,OFFSET(#REF!,-1,0))</f>
        <v>#REF!</v>
      </c>
      <c r="BA107" s="144"/>
      <c r="BB107" s="3" t="e">
        <f>#REF!</f>
        <v>#REF!</v>
      </c>
      <c r="BC107" s="146" t="e">
        <f>-#REF! / 2 + -#REF! * 2 + -#REF! / 2</f>
        <v>#REF!</v>
      </c>
      <c r="BD107" s="146"/>
      <c r="BE107" s="146"/>
      <c r="BF107" s="146"/>
      <c r="BG107" s="147" t="e">
        <f>#REF!</f>
        <v>#REF!</v>
      </c>
      <c r="BH107" s="3" t="e">
        <f>IF(AND(#REF!=0,#REF!=0,#REF!=0,#REF!=0),"",IF(#REF!&gt;0,IF((#REF!+#REF!)/2+#REF!*2+ROUNDUP(#REF!/(1 + tech_2_2*Techs!Y107),0)=0,"Ok","Nope"),IF(#REF!&gt;0,IF((#REF!+#REF!)/2+#REF!*2+ROUNDUP(#REF!/(1 + tech_2_2*Techs!Y107),0)=0,"Ok","Nope"),IF(#REF!&gt;0,IF((#REF!+#REF!)/2+#REF!*2+ROUNDUP(#REF!/(1 + tech_2_2*Techs!Y107),0)=0,"Ok","Nope")))))</f>
        <v>#REF!</v>
      </c>
      <c r="BI107" s="39" t="e">
        <f>#REF!</f>
        <v>#REF!</v>
      </c>
      <c r="BJ107" s="39" t="e">
        <f>#REF!</f>
        <v>#REF!</v>
      </c>
      <c r="BK107" s="39" t="e">
        <f>#REF!</f>
        <v>#REF!</v>
      </c>
      <c r="BL107" s="39" t="e">
        <f>#REF!</f>
        <v>#REF!</v>
      </c>
      <c r="BM107" s="39" t="e">
        <f>#REF!</f>
        <v>#REF!</v>
      </c>
    </row>
    <row r="108" spans="1:65" x14ac:dyDescent="0.25">
      <c r="A108" s="130">
        <v>33</v>
      </c>
      <c r="B108" s="143" t="e">
        <f>#REF!</f>
        <v>#REF!</v>
      </c>
      <c r="C108" s="144"/>
      <c r="D108" s="133"/>
      <c r="E108" s="39" t="e">
        <f>#REF!</f>
        <v>#REF!</v>
      </c>
      <c r="F108" s="39" t="e">
        <f>#REF!</f>
        <v>#REF!</v>
      </c>
      <c r="G108" s="39" t="e">
        <f>#REF!</f>
        <v>#REF!</v>
      </c>
      <c r="H108" s="39" t="e">
        <f ca="1">OFFSET(#REF!,-1,0)+OFFSET(#REF!,-1,0) -#REF! + IF(#REF!,#REF!*4) + SUM(#REF!)*#REF!*tech_3_3_2*#REF!</f>
        <v>#REF!</v>
      </c>
      <c r="I108" s="39" t="e">
        <f ca="1">OFFSET(#REF!,-1,0)+OFFSET(#REF!,-1,0)+ROUNDUP((#REF!*80+#REF!*35)*(1+OFFSET(#REF!,-1,0)),0)</f>
        <v>#REF!</v>
      </c>
      <c r="J108" s="39" t="e">
        <f ca="1">OFFSET(#REF!,-1,0)+OFFSET(#REF!,-1,0) -#REF! + SUM(#REF!)*#REF!*tech_3_3_2*#REF!</f>
        <v>#REF!</v>
      </c>
      <c r="K108" s="39" t="e">
        <f ca="1">OFFSET(#REF!,-1,0)+OFFSET(#REF!,-1,0) -#REF!</f>
        <v>#REF!</v>
      </c>
      <c r="L108" s="39" t="e">
        <f ca="1">OFFSET(#REF!,-1,0)+OFFSET(#REF!,-1,0) -#REF!</f>
        <v>#REF!</v>
      </c>
      <c r="M108" s="39" t="e">
        <f ca="1">OFFSET(#REF!,-1,0)+OFFSET(#REF!,-1,0) -#REF!</f>
        <v>#REF!</v>
      </c>
      <c r="N108" s="39" t="e">
        <f ca="1">OFFSET(#REF!,-1,0)+OFFSET(#REF!,-1,0)</f>
        <v>#REF!</v>
      </c>
      <c r="O108" s="39" t="e">
        <f ca="1">OFFSET(#REF!,-1,0)</f>
        <v>#REF!</v>
      </c>
      <c r="P108" s="39" t="e">
        <f ca="1">ROUNDDOWN(OFFSET(#REF!,-1,0)+(1+research_bonus)*(MIN(#REF!,#REF!*school_max)*(1 - MIN((#REF!/(#REF!-#REF!)),school_max)))-#REF!*#REF!,0) + IF(#REF!&lt;&gt;"",350,0)</f>
        <v>#REF!</v>
      </c>
      <c r="Q108" s="39" t="e">
        <f ca="1">MAX(3750,_xlfn.CEILING.MATH(#REF!*2.5+OFFSET(#REF!,-1,0)*150))</f>
        <v>#REF!</v>
      </c>
      <c r="R108" s="134"/>
      <c r="S108" s="39" t="e">
        <f>ROUNDDOWN(#REF!*(1+#REF!),0)</f>
        <v>#REF!</v>
      </c>
      <c r="T108" s="39" t="e">
        <f>ROUND(#REF!*(1+#REF!)-#REF!-#REF!,0)</f>
        <v>#REF!</v>
      </c>
      <c r="U108" s="39" t="e">
        <f>ROUND(#REF!*(1+#REF!)-#REF!,0)</f>
        <v>#REF!</v>
      </c>
      <c r="V108" s="39" t="e">
        <f>ROUND(#REF!*(1+#REF!)-#REF!,0)</f>
        <v>#REF!</v>
      </c>
      <c r="W108" s="39" t="e">
        <f>ROUNDDOWN(#REF!*(1+#REF!),0)</f>
        <v>#REF!</v>
      </c>
      <c r="X108" s="39" t="e">
        <f>ROUNDDOWN(#REF!*(1+#REF!),0)</f>
        <v>#REF!</v>
      </c>
      <c r="Y108" s="145" t="e">
        <f ca="1">OFFSET(#REF!,1,0)*dock_boats_hr * (1 + tech_4_1*#REF!)</f>
        <v>#REF!</v>
      </c>
      <c r="Z108" s="133"/>
      <c r="AA108" s="39" t="e">
        <f ca="1">#REF!*tax*#REF! + (Construction!AZ109+Construction!BX109)*(alch_plat+(Magic!AM108&gt;0)*alchemist_flame_bonus)</f>
        <v>#REF!</v>
      </c>
      <c r="AB108" s="39" t="e">
        <f>#REF!*farm_food +#REF!* dock_food</f>
        <v>#REF!</v>
      </c>
      <c r="AC108" s="39" t="e">
        <f>#REF!*ly_lumber +#REF!* fh_lumber</f>
        <v>#REF!</v>
      </c>
      <c r="AD108" s="39" t="e">
        <f ca="1">OFFSET(#REF!,1,0)*(tower_mana + tech_4_5*#REF!) + OFFSET(#REF!,1,0)*wg_mana_prod</f>
        <v>#REF!</v>
      </c>
      <c r="AE108" s="39" t="e">
        <f ca="1">OFFSET(#REF!,1,0)*om_ore+IF(race="Dwarf",ROUNDDOWN(#REF!*0.4,0),)</f>
        <v>#REF!</v>
      </c>
      <c r="AF108" s="39" t="e">
        <f ca="1">OFFSET(#REF!,1,0)*dm_gems</f>
        <v>#REF!</v>
      </c>
      <c r="AG108" s="134"/>
      <c r="AH108" s="135" t="e">
        <f>MIN(race_platinum_bonus + IF(#REF!&gt;0,alch_frost_bonus,IF(Magic!AD108&gt;0,midas_bonus)) +#REF! -#REF!*( 0.02 + tech_5_7*#REF!) + tech_1_5*#REF! + tech_4_4*#REF!, 0.5)</f>
        <v>#REF!</v>
      </c>
      <c r="AI108" s="132" t="e">
        <f>(1 + race_food_bonus + IF(#REF!&gt;0,gaias_blessing_food,IF(#REF!&gt;0,gaias_watch_bonus)) +#REF! + tech_1_1*#REF! + tech_1_4*#REF! + tech_5_1*#REF! +#REF!/ 100*prestige_food_bonus*(1 + tech_8_1*#REF!)) - 1</f>
        <v>#REF!</v>
      </c>
      <c r="AJ108" s="135" t="e">
        <f>race_lumber_bonus+ IF(#REF!&gt;0,gaias_blessing_lumber)+ tech_1_3*#REF! + tech_1_6*#REF! + tech_3_3*#REF!</f>
        <v>#REF!</v>
      </c>
      <c r="AK108" s="135" t="e">
        <f>race_mana_bonus+ 0 +#REF! + tech_1_2*#REF! + tech_3_4*#REF!</f>
        <v>#REF!</v>
      </c>
      <c r="AL108" s="135" t="e">
        <f>race_ore_bonus + IF(#REF!&gt;0,miners_sight_bonus,IF(#REF!&gt;0,mining_strength_bonus)) +  tech_1_6*#REF!</f>
        <v>#REF!</v>
      </c>
      <c r="AM108" s="135" t="e">
        <f>race_gem_bonus+ tech_3_2*#REF! + tech_4_3*#REF! + tech_6_2*#REF!</f>
        <v>#REF!</v>
      </c>
      <c r="AN108" s="134"/>
      <c r="AO108" s="39" t="e">
        <f>#REF!*food_decay * (1 + tech_2_1*#REF! + tech_2_8*#REF!)</f>
        <v>#REF!</v>
      </c>
      <c r="AP108" s="39" t="e">
        <f>(1+race_food_consumption)*#REF!*food_per_person*(1+tech_1_10*#REF!+tech_7_5*#REF!)</f>
        <v>#REF!</v>
      </c>
      <c r="AQ108" s="39" t="e">
        <f>#REF!*lumber_rot * (1 + tech_2_1*#REF! + tech_2_8*#REF! + tech_5_2*#REF!)</f>
        <v>#REF!</v>
      </c>
      <c r="AR108" s="39" t="e">
        <f>#REF!*mana_drain * (1 + tech_2_1*#REF! + tech_2_8*#REF!)</f>
        <v>#REF!</v>
      </c>
      <c r="AS108" s="133"/>
      <c r="AT108" s="39" t="e">
        <f>#REF!+#REF!+#REF!+#REF!+#REF!-#REF!</f>
        <v>#REF!</v>
      </c>
      <c r="AU108" s="39" t="e">
        <f>#REF!+#REF!-#REF! + Military!$CL$25*#REF!</f>
        <v>#REF!</v>
      </c>
      <c r="AV108" s="39" t="e">
        <f>#REF! + Military!$CL$26*#REF!</f>
        <v>#REF!</v>
      </c>
      <c r="AW108" s="39" t="e">
        <f>Military!$CL$24*#REF!+#REF!-#REF!</f>
        <v>#REF!</v>
      </c>
      <c r="AX108" s="39" t="e">
        <f>#REF!-#REF!</f>
        <v>#REF!</v>
      </c>
      <c r="AY108" s="134"/>
      <c r="AZ108" s="61" t="e">
        <f ca="1">IF(#REF!&lt;&gt;"",#REF!,OFFSET(#REF!,-1,0))</f>
        <v>#REF!</v>
      </c>
      <c r="BA108" s="144"/>
      <c r="BB108" s="3" t="e">
        <f>#REF!</f>
        <v>#REF!</v>
      </c>
      <c r="BC108" s="146" t="e">
        <f>-#REF! / 2 + -#REF! * 2 + -#REF! / 2</f>
        <v>#REF!</v>
      </c>
      <c r="BD108" s="146"/>
      <c r="BE108" s="146"/>
      <c r="BF108" s="146"/>
      <c r="BG108" s="147" t="e">
        <f>#REF!</f>
        <v>#REF!</v>
      </c>
      <c r="BH108" s="3" t="e">
        <f>IF(AND(#REF!=0,#REF!=0,#REF!=0,#REF!=0),"",IF(#REF!&gt;0,IF((#REF!+#REF!)/2+#REF!*2+ROUNDUP(#REF!/(1 + tech_2_2*Techs!Y108),0)=0,"Ok","Nope"),IF(#REF!&gt;0,IF((#REF!+#REF!)/2+#REF!*2+ROUNDUP(#REF!/(1 + tech_2_2*Techs!Y108),0)=0,"Ok","Nope"),IF(#REF!&gt;0,IF((#REF!+#REF!)/2+#REF!*2+ROUNDUP(#REF!/(1 + tech_2_2*Techs!Y108),0)=0,"Ok","Nope")))))</f>
        <v>#REF!</v>
      </c>
      <c r="BI108" s="39" t="e">
        <f>#REF!</f>
        <v>#REF!</v>
      </c>
      <c r="BJ108" s="39" t="e">
        <f>#REF!</f>
        <v>#REF!</v>
      </c>
      <c r="BK108" s="39" t="e">
        <f>#REF!</f>
        <v>#REF!</v>
      </c>
      <c r="BL108" s="39" t="e">
        <f>#REF!</f>
        <v>#REF!</v>
      </c>
      <c r="BM108" s="39" t="e">
        <f>#REF!</f>
        <v>#REF!</v>
      </c>
    </row>
    <row r="109" spans="1:65" x14ac:dyDescent="0.25">
      <c r="A109" s="130">
        <v>34</v>
      </c>
      <c r="B109" s="143" t="e">
        <f>#REF!</f>
        <v>#REF!</v>
      </c>
      <c r="C109" s="144"/>
      <c r="D109" s="133"/>
      <c r="E109" s="39" t="e">
        <f>#REF!</f>
        <v>#REF!</v>
      </c>
      <c r="F109" s="39" t="e">
        <f>#REF!</f>
        <v>#REF!</v>
      </c>
      <c r="G109" s="39" t="e">
        <f>#REF!</f>
        <v>#REF!</v>
      </c>
      <c r="H109" s="39" t="e">
        <f ca="1">OFFSET(#REF!,-1,0)+OFFSET(#REF!,-1,0) -#REF! + IF(#REF!,#REF!*4) + SUM(#REF!)*#REF!*tech_3_3_2*#REF!</f>
        <v>#REF!</v>
      </c>
      <c r="I109" s="39" t="e">
        <f ca="1">OFFSET(#REF!,-1,0)+OFFSET(#REF!,-1,0)+ROUNDUP((#REF!*80+#REF!*35)*(1+OFFSET(#REF!,-1,0)),0)</f>
        <v>#REF!</v>
      </c>
      <c r="J109" s="39" t="e">
        <f ca="1">OFFSET(#REF!,-1,0)+OFFSET(#REF!,-1,0) -#REF! + SUM(#REF!)*#REF!*tech_3_3_2*#REF!</f>
        <v>#REF!</v>
      </c>
      <c r="K109" s="39" t="e">
        <f ca="1">OFFSET(#REF!,-1,0)+OFFSET(#REF!,-1,0) -#REF!</f>
        <v>#REF!</v>
      </c>
      <c r="L109" s="39" t="e">
        <f ca="1">OFFSET(#REF!,-1,0)+OFFSET(#REF!,-1,0) -#REF!</f>
        <v>#REF!</v>
      </c>
      <c r="M109" s="39" t="e">
        <f ca="1">OFFSET(#REF!,-1,0)+OFFSET(#REF!,-1,0) -#REF!</f>
        <v>#REF!</v>
      </c>
      <c r="N109" s="39" t="e">
        <f ca="1">OFFSET(#REF!,-1,0)+OFFSET(#REF!,-1,0)</f>
        <v>#REF!</v>
      </c>
      <c r="O109" s="39" t="e">
        <f ca="1">OFFSET(#REF!,-1,0)</f>
        <v>#REF!</v>
      </c>
      <c r="P109" s="39" t="e">
        <f ca="1">ROUNDDOWN(OFFSET(#REF!,-1,0)+(1+research_bonus)*(MIN(#REF!,#REF!*school_max)*(1 - MIN((#REF!/(#REF!-#REF!)),school_max)))-#REF!*#REF!,0) + IF(#REF!&lt;&gt;"",350,0)</f>
        <v>#REF!</v>
      </c>
      <c r="Q109" s="39" t="e">
        <f ca="1">MAX(3750,_xlfn.CEILING.MATH(#REF!*2.5+OFFSET(#REF!,-1,0)*150))</f>
        <v>#REF!</v>
      </c>
      <c r="R109" s="134"/>
      <c r="S109" s="39" t="e">
        <f>ROUNDDOWN(#REF!*(1+#REF!),0)</f>
        <v>#REF!</v>
      </c>
      <c r="T109" s="39" t="e">
        <f>ROUND(#REF!*(1+#REF!)-#REF!-#REF!,0)</f>
        <v>#REF!</v>
      </c>
      <c r="U109" s="39" t="e">
        <f>ROUND(#REF!*(1+#REF!)-#REF!,0)</f>
        <v>#REF!</v>
      </c>
      <c r="V109" s="39" t="e">
        <f>ROUND(#REF!*(1+#REF!)-#REF!,0)</f>
        <v>#REF!</v>
      </c>
      <c r="W109" s="39" t="e">
        <f>ROUNDDOWN(#REF!*(1+#REF!),0)</f>
        <v>#REF!</v>
      </c>
      <c r="X109" s="39" t="e">
        <f>ROUNDDOWN(#REF!*(1+#REF!),0)</f>
        <v>#REF!</v>
      </c>
      <c r="Y109" s="145" t="e">
        <f ca="1">OFFSET(#REF!,1,0)*dock_boats_hr * (1 + tech_4_1*#REF!)</f>
        <v>#REF!</v>
      </c>
      <c r="Z109" s="133"/>
      <c r="AA109" s="39" t="e">
        <f ca="1">#REF!*tax*#REF! + (Construction!AZ110+Construction!BX110)*(alch_plat+(Magic!AM109&gt;0)*alchemist_flame_bonus)</f>
        <v>#REF!</v>
      </c>
      <c r="AB109" s="39" t="e">
        <f>#REF!*farm_food +#REF!* dock_food</f>
        <v>#REF!</v>
      </c>
      <c r="AC109" s="39" t="e">
        <f>#REF!*ly_lumber +#REF!* fh_lumber</f>
        <v>#REF!</v>
      </c>
      <c r="AD109" s="39" t="e">
        <f ca="1">OFFSET(#REF!,1,0)*(tower_mana + tech_4_5*#REF!) + OFFSET(#REF!,1,0)*wg_mana_prod</f>
        <v>#REF!</v>
      </c>
      <c r="AE109" s="39" t="e">
        <f ca="1">OFFSET(#REF!,1,0)*om_ore+IF(race="Dwarf",ROUNDDOWN(#REF!*0.4,0),)</f>
        <v>#REF!</v>
      </c>
      <c r="AF109" s="39" t="e">
        <f ca="1">OFFSET(#REF!,1,0)*dm_gems</f>
        <v>#REF!</v>
      </c>
      <c r="AG109" s="134"/>
      <c r="AH109" s="135" t="e">
        <f>MIN(race_platinum_bonus + IF(#REF!&gt;0,alch_frost_bonus,IF(Magic!AD109&gt;0,midas_bonus)) +#REF! -#REF!*( 0.02 + tech_5_7*#REF!) + tech_1_5*#REF! + tech_4_4*#REF!, 0.5)</f>
        <v>#REF!</v>
      </c>
      <c r="AI109" s="132" t="e">
        <f>(1 + race_food_bonus + IF(#REF!&gt;0,gaias_blessing_food,IF(#REF!&gt;0,gaias_watch_bonus)) +#REF! + tech_1_1*#REF! + tech_1_4*#REF! + tech_5_1*#REF! +#REF!/ 100*prestige_food_bonus*(1 + tech_8_1*#REF!)) - 1</f>
        <v>#REF!</v>
      </c>
      <c r="AJ109" s="135" t="e">
        <f>race_lumber_bonus+ IF(#REF!&gt;0,gaias_blessing_lumber)+ tech_1_3*#REF! + tech_1_6*#REF! + tech_3_3*#REF!</f>
        <v>#REF!</v>
      </c>
      <c r="AK109" s="135" t="e">
        <f>race_mana_bonus+ 0 +#REF! + tech_1_2*#REF! + tech_3_4*#REF!</f>
        <v>#REF!</v>
      </c>
      <c r="AL109" s="135" t="e">
        <f>race_ore_bonus + IF(#REF!&gt;0,miners_sight_bonus,IF(#REF!&gt;0,mining_strength_bonus)) +  tech_1_6*#REF!</f>
        <v>#REF!</v>
      </c>
      <c r="AM109" s="135" t="e">
        <f>race_gem_bonus+ tech_3_2*#REF! + tech_4_3*#REF! + tech_6_2*#REF!</f>
        <v>#REF!</v>
      </c>
      <c r="AN109" s="134"/>
      <c r="AO109" s="39" t="e">
        <f>#REF!*food_decay * (1 + tech_2_1*#REF! + tech_2_8*#REF!)</f>
        <v>#REF!</v>
      </c>
      <c r="AP109" s="39" t="e">
        <f>(1+race_food_consumption)*#REF!*food_per_person*(1+tech_1_10*#REF!+tech_7_5*#REF!)</f>
        <v>#REF!</v>
      </c>
      <c r="AQ109" s="39" t="e">
        <f>#REF!*lumber_rot * (1 + tech_2_1*#REF! + tech_2_8*#REF! + tech_5_2*#REF!)</f>
        <v>#REF!</v>
      </c>
      <c r="AR109" s="39" t="e">
        <f>#REF!*mana_drain * (1 + tech_2_1*#REF! + tech_2_8*#REF!)</f>
        <v>#REF!</v>
      </c>
      <c r="AS109" s="133"/>
      <c r="AT109" s="39" t="e">
        <f>#REF!+#REF!+#REF!+#REF!+#REF!-#REF!</f>
        <v>#REF!</v>
      </c>
      <c r="AU109" s="39" t="e">
        <f>#REF!+#REF!-#REF! + Military!$CL$25*#REF!</f>
        <v>#REF!</v>
      </c>
      <c r="AV109" s="39" t="e">
        <f>#REF! + Military!$CL$26*#REF!</f>
        <v>#REF!</v>
      </c>
      <c r="AW109" s="39" t="e">
        <f>Military!$CL$24*#REF!+#REF!-#REF!</f>
        <v>#REF!</v>
      </c>
      <c r="AX109" s="39" t="e">
        <f>#REF!-#REF!</f>
        <v>#REF!</v>
      </c>
      <c r="AY109" s="134"/>
      <c r="AZ109" s="61" t="e">
        <f ca="1">IF(#REF!&lt;&gt;"",#REF!,OFFSET(#REF!,-1,0))</f>
        <v>#REF!</v>
      </c>
      <c r="BA109" s="144"/>
      <c r="BB109" s="3" t="e">
        <f>#REF!</f>
        <v>#REF!</v>
      </c>
      <c r="BC109" s="146" t="e">
        <f>-#REF! / 2 + -#REF! * 2 + -#REF! / 2</f>
        <v>#REF!</v>
      </c>
      <c r="BD109" s="146"/>
      <c r="BE109" s="146"/>
      <c r="BF109" s="146"/>
      <c r="BG109" s="147" t="e">
        <f>#REF!</f>
        <v>#REF!</v>
      </c>
      <c r="BH109" s="3" t="e">
        <f>IF(AND(#REF!=0,#REF!=0,#REF!=0,#REF!=0),"",IF(#REF!&gt;0,IF((#REF!+#REF!)/2+#REF!*2+ROUNDUP(#REF!/(1 + tech_2_2*Techs!Y109),0)=0,"Ok","Nope"),IF(#REF!&gt;0,IF((#REF!+#REF!)/2+#REF!*2+ROUNDUP(#REF!/(1 + tech_2_2*Techs!Y109),0)=0,"Ok","Nope"),IF(#REF!&gt;0,IF((#REF!+#REF!)/2+#REF!*2+ROUNDUP(#REF!/(1 + tech_2_2*Techs!Y109),0)=0,"Ok","Nope")))))</f>
        <v>#REF!</v>
      </c>
      <c r="BI109" s="39" t="e">
        <f>#REF!</f>
        <v>#REF!</v>
      </c>
      <c r="BJ109" s="39" t="e">
        <f>#REF!</f>
        <v>#REF!</v>
      </c>
      <c r="BK109" s="39" t="e">
        <f>#REF!</f>
        <v>#REF!</v>
      </c>
      <c r="BL109" s="39" t="e">
        <f>#REF!</f>
        <v>#REF!</v>
      </c>
      <c r="BM109" s="39" t="e">
        <f>#REF!</f>
        <v>#REF!</v>
      </c>
    </row>
    <row r="110" spans="1:65" x14ac:dyDescent="0.25">
      <c r="A110" s="130">
        <v>35</v>
      </c>
      <c r="B110" s="143" t="e">
        <f>#REF!</f>
        <v>#REF!</v>
      </c>
      <c r="C110" s="144"/>
      <c r="D110" s="133"/>
      <c r="E110" s="39" t="e">
        <f>#REF!</f>
        <v>#REF!</v>
      </c>
      <c r="F110" s="39" t="e">
        <f>#REF!</f>
        <v>#REF!</v>
      </c>
      <c r="G110" s="39" t="e">
        <f>#REF!</f>
        <v>#REF!</v>
      </c>
      <c r="H110" s="39" t="e">
        <f ca="1">OFFSET(#REF!,-1,0)+OFFSET(#REF!,-1,0) -#REF! + IF(#REF!,#REF!*4) + SUM(#REF!)*#REF!*tech_3_3_2*#REF!</f>
        <v>#REF!</v>
      </c>
      <c r="I110" s="39" t="e">
        <f ca="1">OFFSET(#REF!,-1,0)+OFFSET(#REF!,-1,0)+ROUNDUP((#REF!*80+#REF!*35)*(1+OFFSET(#REF!,-1,0)),0)</f>
        <v>#REF!</v>
      </c>
      <c r="J110" s="39" t="e">
        <f ca="1">OFFSET(#REF!,-1,0)+OFFSET(#REF!,-1,0) -#REF! + SUM(#REF!)*#REF!*tech_3_3_2*#REF!</f>
        <v>#REF!</v>
      </c>
      <c r="K110" s="39" t="e">
        <f ca="1">OFFSET(#REF!,-1,0)+OFFSET(#REF!,-1,0) -#REF!</f>
        <v>#REF!</v>
      </c>
      <c r="L110" s="39" t="e">
        <f ca="1">OFFSET(#REF!,-1,0)+OFFSET(#REF!,-1,0) -#REF!</f>
        <v>#REF!</v>
      </c>
      <c r="M110" s="39" t="e">
        <f ca="1">OFFSET(#REF!,-1,0)+OFFSET(#REF!,-1,0) -#REF!</f>
        <v>#REF!</v>
      </c>
      <c r="N110" s="39" t="e">
        <f ca="1">OFFSET(#REF!,-1,0)+OFFSET(#REF!,-1,0)</f>
        <v>#REF!</v>
      </c>
      <c r="O110" s="39" t="e">
        <f ca="1">OFFSET(#REF!,-1,0)</f>
        <v>#REF!</v>
      </c>
      <c r="P110" s="39" t="e">
        <f ca="1">ROUNDDOWN(OFFSET(#REF!,-1,0)+(1+research_bonus)*(MIN(#REF!,#REF!*school_max)*(1 - MIN((#REF!/(#REF!-#REF!)),school_max)))-#REF!*#REF!,0) + IF(#REF!&lt;&gt;"",350,0)</f>
        <v>#REF!</v>
      </c>
      <c r="Q110" s="39" t="e">
        <f ca="1">MAX(3750,_xlfn.CEILING.MATH(#REF!*2.5+OFFSET(#REF!,-1,0)*150))</f>
        <v>#REF!</v>
      </c>
      <c r="R110" s="134"/>
      <c r="S110" s="39" t="e">
        <f>ROUNDDOWN(#REF!*(1+#REF!),0)</f>
        <v>#REF!</v>
      </c>
      <c r="T110" s="39" t="e">
        <f>ROUND(#REF!*(1+#REF!)-#REF!-#REF!,0)</f>
        <v>#REF!</v>
      </c>
      <c r="U110" s="39" t="e">
        <f>ROUND(#REF!*(1+#REF!)-#REF!,0)</f>
        <v>#REF!</v>
      </c>
      <c r="V110" s="39" t="e">
        <f>ROUND(#REF!*(1+#REF!)-#REF!,0)</f>
        <v>#REF!</v>
      </c>
      <c r="W110" s="39" t="e">
        <f>ROUNDDOWN(#REF!*(1+#REF!),0)</f>
        <v>#REF!</v>
      </c>
      <c r="X110" s="39" t="e">
        <f>ROUNDDOWN(#REF!*(1+#REF!),0)</f>
        <v>#REF!</v>
      </c>
      <c r="Y110" s="145" t="e">
        <f ca="1">OFFSET(#REF!,1,0)*dock_boats_hr * (1 + tech_4_1*#REF!)</f>
        <v>#REF!</v>
      </c>
      <c r="Z110" s="133"/>
      <c r="AA110" s="39" t="e">
        <f ca="1">#REF!*tax*#REF! + (Construction!AZ111+Construction!BX111)*(alch_plat+(Magic!AM110&gt;0)*alchemist_flame_bonus)</f>
        <v>#REF!</v>
      </c>
      <c r="AB110" s="39" t="e">
        <f>#REF!*farm_food +#REF!* dock_food</f>
        <v>#REF!</v>
      </c>
      <c r="AC110" s="39" t="e">
        <f>#REF!*ly_lumber +#REF!* fh_lumber</f>
        <v>#REF!</v>
      </c>
      <c r="AD110" s="39" t="e">
        <f ca="1">OFFSET(#REF!,1,0)*(tower_mana + tech_4_5*#REF!) + OFFSET(#REF!,1,0)*wg_mana_prod</f>
        <v>#REF!</v>
      </c>
      <c r="AE110" s="39" t="e">
        <f ca="1">OFFSET(#REF!,1,0)*om_ore+IF(race="Dwarf",ROUNDDOWN(#REF!*0.4,0),)</f>
        <v>#REF!</v>
      </c>
      <c r="AF110" s="39" t="e">
        <f ca="1">OFFSET(#REF!,1,0)*dm_gems</f>
        <v>#REF!</v>
      </c>
      <c r="AG110" s="134"/>
      <c r="AH110" s="135" t="e">
        <f>MIN(race_platinum_bonus + IF(#REF!&gt;0,alch_frost_bonus,IF(Magic!AD110&gt;0,midas_bonus)) +#REF! -#REF!*( 0.02 + tech_5_7*#REF!) + tech_1_5*#REF! + tech_4_4*#REF!, 0.5)</f>
        <v>#REF!</v>
      </c>
      <c r="AI110" s="132" t="e">
        <f>(1 + race_food_bonus + IF(#REF!&gt;0,gaias_blessing_food,IF(#REF!&gt;0,gaias_watch_bonus)) +#REF! + tech_1_1*#REF! + tech_1_4*#REF! + tech_5_1*#REF! +#REF!/ 100*prestige_food_bonus*(1 + tech_8_1*#REF!)) - 1</f>
        <v>#REF!</v>
      </c>
      <c r="AJ110" s="135" t="e">
        <f>race_lumber_bonus+ IF(#REF!&gt;0,gaias_blessing_lumber)+ tech_1_3*#REF! + tech_1_6*#REF! + tech_3_3*#REF!</f>
        <v>#REF!</v>
      </c>
      <c r="AK110" s="135" t="e">
        <f>race_mana_bonus+ 0 +#REF! + tech_1_2*#REF! + tech_3_4*#REF!</f>
        <v>#REF!</v>
      </c>
      <c r="AL110" s="135" t="e">
        <f>race_ore_bonus + IF(#REF!&gt;0,miners_sight_bonus,IF(#REF!&gt;0,mining_strength_bonus)) +  tech_1_6*#REF!</f>
        <v>#REF!</v>
      </c>
      <c r="AM110" s="135" t="e">
        <f>race_gem_bonus+ tech_3_2*#REF! + tech_4_3*#REF! + tech_6_2*#REF!</f>
        <v>#REF!</v>
      </c>
      <c r="AN110" s="134"/>
      <c r="AO110" s="39" t="e">
        <f>#REF!*food_decay * (1 + tech_2_1*#REF! + tech_2_8*#REF!)</f>
        <v>#REF!</v>
      </c>
      <c r="AP110" s="39" t="e">
        <f>(1+race_food_consumption)*#REF!*food_per_person*(1+tech_1_10*#REF!+tech_7_5*#REF!)</f>
        <v>#REF!</v>
      </c>
      <c r="AQ110" s="39" t="e">
        <f>#REF!*lumber_rot * (1 + tech_2_1*#REF! + tech_2_8*#REF! + tech_5_2*#REF!)</f>
        <v>#REF!</v>
      </c>
      <c r="AR110" s="39" t="e">
        <f>#REF!*mana_drain * (1 + tech_2_1*#REF! + tech_2_8*#REF!)</f>
        <v>#REF!</v>
      </c>
      <c r="AS110" s="133"/>
      <c r="AT110" s="39" t="e">
        <f>#REF!+#REF!+#REF!+#REF!+#REF!-#REF!</f>
        <v>#REF!</v>
      </c>
      <c r="AU110" s="39" t="e">
        <f>#REF!+#REF!-#REF! + Military!$CL$25*#REF!</f>
        <v>#REF!</v>
      </c>
      <c r="AV110" s="39" t="e">
        <f>#REF! + Military!$CL$26*#REF!</f>
        <v>#REF!</v>
      </c>
      <c r="AW110" s="39" t="e">
        <f>Military!$CL$24*#REF!+#REF!-#REF!</f>
        <v>#REF!</v>
      </c>
      <c r="AX110" s="39" t="e">
        <f>#REF!-#REF!</f>
        <v>#REF!</v>
      </c>
      <c r="AY110" s="134"/>
      <c r="AZ110" s="61" t="e">
        <f ca="1">IF(#REF!&lt;&gt;"",#REF!,OFFSET(#REF!,-1,0))</f>
        <v>#REF!</v>
      </c>
      <c r="BA110" s="144"/>
      <c r="BB110" s="3" t="e">
        <f>#REF!</f>
        <v>#REF!</v>
      </c>
      <c r="BC110" s="146" t="e">
        <f>-#REF! / 2 + -#REF! * 2 + -#REF! / 2</f>
        <v>#REF!</v>
      </c>
      <c r="BD110" s="146"/>
      <c r="BE110" s="146"/>
      <c r="BF110" s="146"/>
      <c r="BG110" s="147" t="e">
        <f>#REF!</f>
        <v>#REF!</v>
      </c>
      <c r="BH110" s="3" t="e">
        <f>IF(AND(#REF!=0,#REF!=0,#REF!=0,#REF!=0),"",IF(#REF!&gt;0,IF((#REF!+#REF!)/2+#REF!*2+ROUNDUP(#REF!/(1 + tech_2_2*Techs!Y110),0)=0,"Ok","Nope"),IF(#REF!&gt;0,IF((#REF!+#REF!)/2+#REF!*2+ROUNDUP(#REF!/(1 + tech_2_2*Techs!Y110),0)=0,"Ok","Nope"),IF(#REF!&gt;0,IF((#REF!+#REF!)/2+#REF!*2+ROUNDUP(#REF!/(1 + tech_2_2*Techs!Y110),0)=0,"Ok","Nope")))))</f>
        <v>#REF!</v>
      </c>
      <c r="BI110" s="39" t="e">
        <f>#REF!</f>
        <v>#REF!</v>
      </c>
      <c r="BJ110" s="39" t="e">
        <f>#REF!</f>
        <v>#REF!</v>
      </c>
      <c r="BK110" s="39" t="e">
        <f>#REF!</f>
        <v>#REF!</v>
      </c>
      <c r="BL110" s="39" t="e">
        <f>#REF!</f>
        <v>#REF!</v>
      </c>
      <c r="BM110" s="39" t="e">
        <f>#REF!</f>
        <v>#REF!</v>
      </c>
    </row>
    <row r="111" spans="1:65" x14ac:dyDescent="0.25">
      <c r="A111" s="130">
        <v>36</v>
      </c>
      <c r="B111" s="143" t="e">
        <f>#REF!</f>
        <v>#REF!</v>
      </c>
      <c r="C111" s="144"/>
      <c r="D111" s="133"/>
      <c r="E111" s="39" t="e">
        <f>#REF!</f>
        <v>#REF!</v>
      </c>
      <c r="F111" s="39" t="e">
        <f>#REF!</f>
        <v>#REF!</v>
      </c>
      <c r="G111" s="39" t="e">
        <f>#REF!</f>
        <v>#REF!</v>
      </c>
      <c r="H111" s="39" t="e">
        <f ca="1">OFFSET(#REF!,-1,0)+OFFSET(#REF!,-1,0) -#REF! + IF(#REF!,#REF!*4) + SUM(#REF!)*#REF!*tech_3_3_2*#REF!</f>
        <v>#REF!</v>
      </c>
      <c r="I111" s="39" t="e">
        <f ca="1">OFFSET(#REF!,-1,0)+OFFSET(#REF!,-1,0)+ROUNDUP((#REF!*80+#REF!*35)*(1+OFFSET(#REF!,-1,0)),0)</f>
        <v>#REF!</v>
      </c>
      <c r="J111" s="39" t="e">
        <f ca="1">OFFSET(#REF!,-1,0)+OFFSET(#REF!,-1,0) -#REF! + SUM(#REF!)*#REF!*tech_3_3_2*#REF!</f>
        <v>#REF!</v>
      </c>
      <c r="K111" s="39" t="e">
        <f ca="1">OFFSET(#REF!,-1,0)+OFFSET(#REF!,-1,0) -#REF!</f>
        <v>#REF!</v>
      </c>
      <c r="L111" s="39" t="e">
        <f ca="1">OFFSET(#REF!,-1,0)+OFFSET(#REF!,-1,0) -#REF!</f>
        <v>#REF!</v>
      </c>
      <c r="M111" s="39" t="e">
        <f ca="1">OFFSET(#REF!,-1,0)+OFFSET(#REF!,-1,0) -#REF!</f>
        <v>#REF!</v>
      </c>
      <c r="N111" s="39" t="e">
        <f ca="1">OFFSET(#REF!,-1,0)+OFFSET(#REF!,-1,0)</f>
        <v>#REF!</v>
      </c>
      <c r="O111" s="39" t="e">
        <f ca="1">OFFSET(#REF!,-1,0)</f>
        <v>#REF!</v>
      </c>
      <c r="P111" s="39" t="e">
        <f ca="1">ROUNDDOWN(OFFSET(#REF!,-1,0)+(1+research_bonus)*(MIN(#REF!,#REF!*school_max)*(1 - MIN((#REF!/(#REF!-#REF!)),school_max)))-#REF!*#REF!,0) + IF(#REF!&lt;&gt;"",350,0)</f>
        <v>#REF!</v>
      </c>
      <c r="Q111" s="39" t="e">
        <f ca="1">MAX(3750,_xlfn.CEILING.MATH(#REF!*2.5+OFFSET(#REF!,-1,0)*150))</f>
        <v>#REF!</v>
      </c>
      <c r="R111" s="134"/>
      <c r="S111" s="39" t="e">
        <f>ROUNDDOWN(#REF!*(1+#REF!),0)</f>
        <v>#REF!</v>
      </c>
      <c r="T111" s="39" t="e">
        <f>ROUND(#REF!*(1+#REF!)-#REF!-#REF!,0)</f>
        <v>#REF!</v>
      </c>
      <c r="U111" s="39" t="e">
        <f>ROUND(#REF!*(1+#REF!)-#REF!,0)</f>
        <v>#REF!</v>
      </c>
      <c r="V111" s="39" t="e">
        <f>ROUND(#REF!*(1+#REF!)-#REF!,0)</f>
        <v>#REF!</v>
      </c>
      <c r="W111" s="39" t="e">
        <f>ROUNDDOWN(#REF!*(1+#REF!),0)</f>
        <v>#REF!</v>
      </c>
      <c r="X111" s="39" t="e">
        <f>ROUNDDOWN(#REF!*(1+#REF!),0)</f>
        <v>#REF!</v>
      </c>
      <c r="Y111" s="145" t="e">
        <f ca="1">OFFSET(#REF!,1,0)*dock_boats_hr * (1 + tech_4_1*#REF!)</f>
        <v>#REF!</v>
      </c>
      <c r="Z111" s="133"/>
      <c r="AA111" s="39" t="e">
        <f ca="1">#REF!*tax*#REF! + (Construction!AZ112+Construction!BX112)*(alch_plat+(Magic!AM111&gt;0)*alchemist_flame_bonus)</f>
        <v>#REF!</v>
      </c>
      <c r="AB111" s="39" t="e">
        <f>#REF!*farm_food +#REF!* dock_food</f>
        <v>#REF!</v>
      </c>
      <c r="AC111" s="39" t="e">
        <f>#REF!*ly_lumber +#REF!* fh_lumber</f>
        <v>#REF!</v>
      </c>
      <c r="AD111" s="39" t="e">
        <f ca="1">OFFSET(#REF!,1,0)*(tower_mana + tech_4_5*#REF!) + OFFSET(#REF!,1,0)*wg_mana_prod</f>
        <v>#REF!</v>
      </c>
      <c r="AE111" s="39" t="e">
        <f ca="1">OFFSET(#REF!,1,0)*om_ore+IF(race="Dwarf",ROUNDDOWN(#REF!*0.4,0),)</f>
        <v>#REF!</v>
      </c>
      <c r="AF111" s="39" t="e">
        <f ca="1">OFFSET(#REF!,1,0)*dm_gems</f>
        <v>#REF!</v>
      </c>
      <c r="AG111" s="134"/>
      <c r="AH111" s="135" t="e">
        <f>MIN(race_platinum_bonus + IF(#REF!&gt;0,alch_frost_bonus,IF(Magic!AD111&gt;0,midas_bonus)) +#REF! -#REF!*( 0.02 + tech_5_7*#REF!) + tech_1_5*#REF! + tech_4_4*#REF!, 0.5)</f>
        <v>#REF!</v>
      </c>
      <c r="AI111" s="132" t="e">
        <f>(1 + race_food_bonus + IF(#REF!&gt;0,gaias_blessing_food,IF(#REF!&gt;0,gaias_watch_bonus)) +#REF! + tech_1_1*#REF! + tech_1_4*#REF! + tech_5_1*#REF! +#REF!/ 100*prestige_food_bonus*(1 + tech_8_1*#REF!)) - 1</f>
        <v>#REF!</v>
      </c>
      <c r="AJ111" s="135" t="e">
        <f>race_lumber_bonus+ IF(#REF!&gt;0,gaias_blessing_lumber)+ tech_1_3*#REF! + tech_1_6*#REF! + tech_3_3*#REF!</f>
        <v>#REF!</v>
      </c>
      <c r="AK111" s="135" t="e">
        <f>race_mana_bonus+ 0 +#REF! + tech_1_2*#REF! + tech_3_4*#REF!</f>
        <v>#REF!</v>
      </c>
      <c r="AL111" s="135" t="e">
        <f>race_ore_bonus + IF(#REF!&gt;0,miners_sight_bonus,IF(#REF!&gt;0,mining_strength_bonus)) +  tech_1_6*#REF!</f>
        <v>#REF!</v>
      </c>
      <c r="AM111" s="135" t="e">
        <f>race_gem_bonus+ tech_3_2*#REF! + tech_4_3*#REF! + tech_6_2*#REF!</f>
        <v>#REF!</v>
      </c>
      <c r="AN111" s="134"/>
      <c r="AO111" s="39" t="e">
        <f>#REF!*food_decay * (1 + tech_2_1*#REF! + tech_2_8*#REF!)</f>
        <v>#REF!</v>
      </c>
      <c r="AP111" s="39" t="e">
        <f>(1+race_food_consumption)*#REF!*food_per_person*(1+tech_1_10*#REF!+tech_7_5*#REF!)</f>
        <v>#REF!</v>
      </c>
      <c r="AQ111" s="39" t="e">
        <f>#REF!*lumber_rot * (1 + tech_2_1*#REF! + tech_2_8*#REF! + tech_5_2*#REF!)</f>
        <v>#REF!</v>
      </c>
      <c r="AR111" s="39" t="e">
        <f>#REF!*mana_drain * (1 + tech_2_1*#REF! + tech_2_8*#REF!)</f>
        <v>#REF!</v>
      </c>
      <c r="AS111" s="133"/>
      <c r="AT111" s="39" t="e">
        <f>#REF!+#REF!+#REF!+#REF!+#REF!-#REF!</f>
        <v>#REF!</v>
      </c>
      <c r="AU111" s="39" t="e">
        <f>#REF!+#REF!-#REF! + Military!$CL$25*#REF!</f>
        <v>#REF!</v>
      </c>
      <c r="AV111" s="39" t="e">
        <f>#REF! + Military!$CL$26*#REF!</f>
        <v>#REF!</v>
      </c>
      <c r="AW111" s="39" t="e">
        <f>Military!$CL$24*#REF!+#REF!-#REF!</f>
        <v>#REF!</v>
      </c>
      <c r="AX111" s="39" t="e">
        <f>#REF!-#REF!</f>
        <v>#REF!</v>
      </c>
      <c r="AY111" s="134"/>
      <c r="AZ111" s="61" t="e">
        <f ca="1">IF(#REF!&lt;&gt;"",#REF!,OFFSET(#REF!,-1,0))</f>
        <v>#REF!</v>
      </c>
      <c r="BA111" s="144"/>
      <c r="BB111" s="3" t="e">
        <f>#REF!</f>
        <v>#REF!</v>
      </c>
      <c r="BC111" s="146" t="e">
        <f>-#REF! / 2 + -#REF! * 2 + -#REF! / 2</f>
        <v>#REF!</v>
      </c>
      <c r="BD111" s="146"/>
      <c r="BE111" s="146"/>
      <c r="BF111" s="146"/>
      <c r="BG111" s="147" t="e">
        <f>#REF!</f>
        <v>#REF!</v>
      </c>
      <c r="BH111" s="3" t="e">
        <f>IF(AND(#REF!=0,#REF!=0,#REF!=0,#REF!=0),"",IF(#REF!&gt;0,IF((#REF!+#REF!)/2+#REF!*2+ROUNDUP(#REF!/(1 + tech_2_2*Techs!Y111),0)=0,"Ok","Nope"),IF(#REF!&gt;0,IF((#REF!+#REF!)/2+#REF!*2+ROUNDUP(#REF!/(1 + tech_2_2*Techs!Y111),0)=0,"Ok","Nope"),IF(#REF!&gt;0,IF((#REF!+#REF!)/2+#REF!*2+ROUNDUP(#REF!/(1 + tech_2_2*Techs!Y111),0)=0,"Ok","Nope")))))</f>
        <v>#REF!</v>
      </c>
      <c r="BI111" s="39" t="e">
        <f>#REF!</f>
        <v>#REF!</v>
      </c>
      <c r="BJ111" s="39" t="e">
        <f>#REF!</f>
        <v>#REF!</v>
      </c>
      <c r="BK111" s="39" t="e">
        <f>#REF!</f>
        <v>#REF!</v>
      </c>
      <c r="BL111" s="39" t="e">
        <f>#REF!</f>
        <v>#REF!</v>
      </c>
      <c r="BM111" s="39" t="e">
        <f>#REF!</f>
        <v>#REF!</v>
      </c>
    </row>
    <row r="112" spans="1:65" x14ac:dyDescent="0.25">
      <c r="A112" s="130">
        <v>37</v>
      </c>
      <c r="B112" s="143" t="e">
        <f>#REF!</f>
        <v>#REF!</v>
      </c>
      <c r="C112" s="144"/>
      <c r="D112" s="133"/>
      <c r="E112" s="39" t="e">
        <f>#REF!</f>
        <v>#REF!</v>
      </c>
      <c r="F112" s="39" t="e">
        <f>#REF!</f>
        <v>#REF!</v>
      </c>
      <c r="G112" s="39" t="e">
        <f>#REF!</f>
        <v>#REF!</v>
      </c>
      <c r="H112" s="39" t="e">
        <f ca="1">OFFSET(#REF!,-1,0)+OFFSET(#REF!,-1,0) -#REF! + IF(#REF!,#REF!*4) + SUM(#REF!)*#REF!*tech_3_3_2*#REF!</f>
        <v>#REF!</v>
      </c>
      <c r="I112" s="39" t="e">
        <f ca="1">OFFSET(#REF!,-1,0)+OFFSET(#REF!,-1,0)+ROUNDUP((#REF!*80+#REF!*35)*(1+OFFSET(#REF!,-1,0)),0)</f>
        <v>#REF!</v>
      </c>
      <c r="J112" s="39" t="e">
        <f ca="1">OFFSET(#REF!,-1,0)+OFFSET(#REF!,-1,0) -#REF! + SUM(#REF!)*#REF!*tech_3_3_2*#REF!</f>
        <v>#REF!</v>
      </c>
      <c r="K112" s="39" t="e">
        <f ca="1">OFFSET(#REF!,-1,0)+OFFSET(#REF!,-1,0) -#REF!</f>
        <v>#REF!</v>
      </c>
      <c r="L112" s="39" t="e">
        <f ca="1">OFFSET(#REF!,-1,0)+OFFSET(#REF!,-1,0) -#REF!</f>
        <v>#REF!</v>
      </c>
      <c r="M112" s="39" t="e">
        <f ca="1">OFFSET(#REF!,-1,0)+OFFSET(#REF!,-1,0) -#REF!</f>
        <v>#REF!</v>
      </c>
      <c r="N112" s="39" t="e">
        <f ca="1">OFFSET(#REF!,-1,0)+OFFSET(#REF!,-1,0)</f>
        <v>#REF!</v>
      </c>
      <c r="O112" s="39" t="e">
        <f ca="1">OFFSET(#REF!,-1,0)</f>
        <v>#REF!</v>
      </c>
      <c r="P112" s="39" t="e">
        <f ca="1">ROUNDDOWN(OFFSET(#REF!,-1,0)+(1+research_bonus)*(MIN(#REF!,#REF!*school_max)*(1 - MIN((#REF!/(#REF!-#REF!)),school_max)))-#REF!*#REF!,0) + IF(#REF!&lt;&gt;"",350,0)</f>
        <v>#REF!</v>
      </c>
      <c r="Q112" s="39" t="e">
        <f ca="1">MAX(3750,_xlfn.CEILING.MATH(#REF!*2.5+OFFSET(#REF!,-1,0)*150))</f>
        <v>#REF!</v>
      </c>
      <c r="R112" s="134"/>
      <c r="S112" s="39" t="e">
        <f>ROUNDDOWN(#REF!*(1+#REF!),0)</f>
        <v>#REF!</v>
      </c>
      <c r="T112" s="39" t="e">
        <f>ROUND(#REF!*(1+#REF!)-#REF!-#REF!,0)</f>
        <v>#REF!</v>
      </c>
      <c r="U112" s="39" t="e">
        <f>ROUND(#REF!*(1+#REF!)-#REF!,0)</f>
        <v>#REF!</v>
      </c>
      <c r="V112" s="39" t="e">
        <f>ROUND(#REF!*(1+#REF!)-#REF!,0)</f>
        <v>#REF!</v>
      </c>
      <c r="W112" s="39" t="e">
        <f>ROUNDDOWN(#REF!*(1+#REF!),0)</f>
        <v>#REF!</v>
      </c>
      <c r="X112" s="39" t="e">
        <f>ROUNDDOWN(#REF!*(1+#REF!),0)</f>
        <v>#REF!</v>
      </c>
      <c r="Y112" s="145" t="e">
        <f ca="1">OFFSET(#REF!,1,0)*dock_boats_hr * (1 + tech_4_1*#REF!)</f>
        <v>#REF!</v>
      </c>
      <c r="Z112" s="133"/>
      <c r="AA112" s="39" t="e">
        <f ca="1">#REF!*tax*#REF! + (Construction!AZ113+Construction!BX113)*(alch_plat+(Magic!AM112&gt;0)*alchemist_flame_bonus)</f>
        <v>#REF!</v>
      </c>
      <c r="AB112" s="39" t="e">
        <f>#REF!*farm_food +#REF!* dock_food</f>
        <v>#REF!</v>
      </c>
      <c r="AC112" s="39" t="e">
        <f>#REF!*ly_lumber +#REF!* fh_lumber</f>
        <v>#REF!</v>
      </c>
      <c r="AD112" s="39" t="e">
        <f ca="1">OFFSET(#REF!,1,0)*(tower_mana + tech_4_5*#REF!) + OFFSET(#REF!,1,0)*wg_mana_prod</f>
        <v>#REF!</v>
      </c>
      <c r="AE112" s="39" t="e">
        <f ca="1">OFFSET(#REF!,1,0)*om_ore+IF(race="Dwarf",ROUNDDOWN(#REF!*0.4,0),)</f>
        <v>#REF!</v>
      </c>
      <c r="AF112" s="39" t="e">
        <f ca="1">OFFSET(#REF!,1,0)*dm_gems</f>
        <v>#REF!</v>
      </c>
      <c r="AG112" s="134"/>
      <c r="AH112" s="135" t="e">
        <f>MIN(race_platinum_bonus + IF(#REF!&gt;0,alch_frost_bonus,IF(Magic!AD112&gt;0,midas_bonus)) +#REF! -#REF!*( 0.02 + tech_5_7*#REF!) + tech_1_5*#REF! + tech_4_4*#REF!, 0.5)</f>
        <v>#REF!</v>
      </c>
      <c r="AI112" s="132" t="e">
        <f>(1 + race_food_bonus + IF(#REF!&gt;0,gaias_blessing_food,IF(#REF!&gt;0,gaias_watch_bonus)) +#REF! + tech_1_1*#REF! + tech_1_4*#REF! + tech_5_1*#REF! +#REF!/ 100*prestige_food_bonus*(1 + tech_8_1*#REF!)) - 1</f>
        <v>#REF!</v>
      </c>
      <c r="AJ112" s="135" t="e">
        <f>race_lumber_bonus+ IF(#REF!&gt;0,gaias_blessing_lumber)+ tech_1_3*#REF! + tech_1_6*#REF! + tech_3_3*#REF!</f>
        <v>#REF!</v>
      </c>
      <c r="AK112" s="135" t="e">
        <f>race_mana_bonus+ 0 +#REF! + tech_1_2*#REF! + tech_3_4*#REF!</f>
        <v>#REF!</v>
      </c>
      <c r="AL112" s="135" t="e">
        <f>race_ore_bonus + IF(#REF!&gt;0,miners_sight_bonus,IF(#REF!&gt;0,mining_strength_bonus)) +  tech_1_6*#REF!</f>
        <v>#REF!</v>
      </c>
      <c r="AM112" s="135" t="e">
        <f>race_gem_bonus+ tech_3_2*#REF! + tech_4_3*#REF! + tech_6_2*#REF!</f>
        <v>#REF!</v>
      </c>
      <c r="AN112" s="134"/>
      <c r="AO112" s="39" t="e">
        <f>#REF!*food_decay * (1 + tech_2_1*#REF! + tech_2_8*#REF!)</f>
        <v>#REF!</v>
      </c>
      <c r="AP112" s="39" t="e">
        <f>(1+race_food_consumption)*#REF!*food_per_person*(1+tech_1_10*#REF!+tech_7_5*#REF!)</f>
        <v>#REF!</v>
      </c>
      <c r="AQ112" s="39" t="e">
        <f>#REF!*lumber_rot * (1 + tech_2_1*#REF! + tech_2_8*#REF! + tech_5_2*#REF!)</f>
        <v>#REF!</v>
      </c>
      <c r="AR112" s="39" t="e">
        <f>#REF!*mana_drain * (1 + tech_2_1*#REF! + tech_2_8*#REF!)</f>
        <v>#REF!</v>
      </c>
      <c r="AS112" s="133"/>
      <c r="AT112" s="39" t="e">
        <f>#REF!+#REF!+#REF!+#REF!+#REF!-#REF!</f>
        <v>#REF!</v>
      </c>
      <c r="AU112" s="39" t="e">
        <f>#REF!+#REF!-#REF! + Military!$CL$25*#REF!</f>
        <v>#REF!</v>
      </c>
      <c r="AV112" s="39" t="e">
        <f>#REF! + Military!$CL$26*#REF!</f>
        <v>#REF!</v>
      </c>
      <c r="AW112" s="39" t="e">
        <f>Military!$CL$24*#REF!+#REF!-#REF!</f>
        <v>#REF!</v>
      </c>
      <c r="AX112" s="39" t="e">
        <f>#REF!-#REF!</f>
        <v>#REF!</v>
      </c>
      <c r="AY112" s="134"/>
      <c r="AZ112" s="61" t="e">
        <f ca="1">IF(#REF!&lt;&gt;"",#REF!,OFFSET(#REF!,-1,0))</f>
        <v>#REF!</v>
      </c>
      <c r="BA112" s="144"/>
      <c r="BB112" s="3" t="e">
        <f>#REF!</f>
        <v>#REF!</v>
      </c>
      <c r="BC112" s="146" t="e">
        <f>-#REF! / 2 + -#REF! * 2 + -#REF! / 2</f>
        <v>#REF!</v>
      </c>
      <c r="BD112" s="146"/>
      <c r="BE112" s="146"/>
      <c r="BF112" s="146"/>
      <c r="BG112" s="147" t="e">
        <f>#REF!</f>
        <v>#REF!</v>
      </c>
      <c r="BH112" s="3" t="e">
        <f>IF(AND(#REF!=0,#REF!=0,#REF!=0,#REF!=0),"",IF(#REF!&gt;0,IF((#REF!+#REF!)/2+#REF!*2+ROUNDUP(#REF!/(1 + tech_2_2*Techs!Y112),0)=0,"Ok","Nope"),IF(#REF!&gt;0,IF((#REF!+#REF!)/2+#REF!*2+ROUNDUP(#REF!/(1 + tech_2_2*Techs!Y112),0)=0,"Ok","Nope"),IF(#REF!&gt;0,IF((#REF!+#REF!)/2+#REF!*2+ROUNDUP(#REF!/(1 + tech_2_2*Techs!Y112),0)=0,"Ok","Nope")))))</f>
        <v>#REF!</v>
      </c>
      <c r="BI112" s="39" t="e">
        <f>#REF!</f>
        <v>#REF!</v>
      </c>
      <c r="BJ112" s="39" t="e">
        <f>#REF!</f>
        <v>#REF!</v>
      </c>
      <c r="BK112" s="39" t="e">
        <f>#REF!</f>
        <v>#REF!</v>
      </c>
      <c r="BL112" s="39" t="e">
        <f>#REF!</f>
        <v>#REF!</v>
      </c>
      <c r="BM112" s="39" t="e">
        <f>#REF!</f>
        <v>#REF!</v>
      </c>
    </row>
    <row r="113" spans="1:65" x14ac:dyDescent="0.25">
      <c r="A113" s="130">
        <v>38</v>
      </c>
      <c r="B113" s="143" t="e">
        <f>#REF!</f>
        <v>#REF!</v>
      </c>
      <c r="C113" s="144"/>
      <c r="D113" s="133"/>
      <c r="E113" s="39" t="e">
        <f>#REF!</f>
        <v>#REF!</v>
      </c>
      <c r="F113" s="39" t="e">
        <f>#REF!</f>
        <v>#REF!</v>
      </c>
      <c r="G113" s="39" t="e">
        <f>#REF!</f>
        <v>#REF!</v>
      </c>
      <c r="H113" s="39" t="e">
        <f ca="1">OFFSET(#REF!,-1,0)+OFFSET(#REF!,-1,0) -#REF! + IF(#REF!,#REF!*4) + SUM(#REF!)*#REF!*tech_3_3_2*#REF!</f>
        <v>#REF!</v>
      </c>
      <c r="I113" s="39" t="e">
        <f ca="1">OFFSET(#REF!,-1,0)+OFFSET(#REF!,-1,0)+ROUNDUP((#REF!*80+#REF!*35)*(1+OFFSET(#REF!,-1,0)),0)</f>
        <v>#REF!</v>
      </c>
      <c r="J113" s="39" t="e">
        <f ca="1">OFFSET(#REF!,-1,0)+OFFSET(#REF!,-1,0) -#REF! + SUM(#REF!)*#REF!*tech_3_3_2*#REF!</f>
        <v>#REF!</v>
      </c>
      <c r="K113" s="39" t="e">
        <f ca="1">OFFSET(#REF!,-1,0)+OFFSET(#REF!,-1,0) -#REF!</f>
        <v>#REF!</v>
      </c>
      <c r="L113" s="39" t="e">
        <f ca="1">OFFSET(#REF!,-1,0)+OFFSET(#REF!,-1,0) -#REF!</f>
        <v>#REF!</v>
      </c>
      <c r="M113" s="39" t="e">
        <f ca="1">OFFSET(#REF!,-1,0)+OFFSET(#REF!,-1,0) -#REF!</f>
        <v>#REF!</v>
      </c>
      <c r="N113" s="39" t="e">
        <f ca="1">OFFSET(#REF!,-1,0)+OFFSET(#REF!,-1,0)</f>
        <v>#REF!</v>
      </c>
      <c r="O113" s="39" t="e">
        <f ca="1">OFFSET(#REF!,-1,0)</f>
        <v>#REF!</v>
      </c>
      <c r="P113" s="39" t="e">
        <f ca="1">ROUNDDOWN(OFFSET(#REF!,-1,0)+(1+research_bonus)*(MIN(#REF!,#REF!*school_max)*(1 - MIN((#REF!/(#REF!-#REF!)),school_max)))-#REF!*#REF!,0) + IF(#REF!&lt;&gt;"",350,0)</f>
        <v>#REF!</v>
      </c>
      <c r="Q113" s="39" t="e">
        <f ca="1">MAX(3750,_xlfn.CEILING.MATH(#REF!*2.5+OFFSET(#REF!,-1,0)*150))</f>
        <v>#REF!</v>
      </c>
      <c r="R113" s="134"/>
      <c r="S113" s="39" t="e">
        <f>ROUNDDOWN(#REF!*(1+#REF!),0)</f>
        <v>#REF!</v>
      </c>
      <c r="T113" s="39" t="e">
        <f>ROUND(#REF!*(1+#REF!)-#REF!-#REF!,0)</f>
        <v>#REF!</v>
      </c>
      <c r="U113" s="39" t="e">
        <f>ROUND(#REF!*(1+#REF!)-#REF!,0)</f>
        <v>#REF!</v>
      </c>
      <c r="V113" s="39" t="e">
        <f>ROUND(#REF!*(1+#REF!)-#REF!,0)</f>
        <v>#REF!</v>
      </c>
      <c r="W113" s="39" t="e">
        <f>ROUNDDOWN(#REF!*(1+#REF!),0)</f>
        <v>#REF!</v>
      </c>
      <c r="X113" s="39" t="e">
        <f>ROUNDDOWN(#REF!*(1+#REF!),0)</f>
        <v>#REF!</v>
      </c>
      <c r="Y113" s="145" t="e">
        <f ca="1">OFFSET(#REF!,1,0)*dock_boats_hr * (1 + tech_4_1*#REF!)</f>
        <v>#REF!</v>
      </c>
      <c r="Z113" s="133"/>
      <c r="AA113" s="39" t="e">
        <f ca="1">#REF!*tax*#REF! + (Construction!AZ114+Construction!BX114)*(alch_plat+(Magic!AM113&gt;0)*alchemist_flame_bonus)</f>
        <v>#REF!</v>
      </c>
      <c r="AB113" s="39" t="e">
        <f>#REF!*farm_food +#REF!* dock_food</f>
        <v>#REF!</v>
      </c>
      <c r="AC113" s="39" t="e">
        <f>#REF!*ly_lumber +#REF!* fh_lumber</f>
        <v>#REF!</v>
      </c>
      <c r="AD113" s="39" t="e">
        <f ca="1">OFFSET(#REF!,1,0)*(tower_mana + tech_4_5*#REF!) + OFFSET(#REF!,1,0)*wg_mana_prod</f>
        <v>#REF!</v>
      </c>
      <c r="AE113" s="39" t="e">
        <f ca="1">OFFSET(#REF!,1,0)*om_ore+IF(race="Dwarf",ROUNDDOWN(#REF!*0.4,0),)</f>
        <v>#REF!</v>
      </c>
      <c r="AF113" s="39" t="e">
        <f ca="1">OFFSET(#REF!,1,0)*dm_gems</f>
        <v>#REF!</v>
      </c>
      <c r="AG113" s="134"/>
      <c r="AH113" s="135" t="e">
        <f>MIN(race_platinum_bonus + IF(#REF!&gt;0,alch_frost_bonus,IF(Magic!AD113&gt;0,midas_bonus)) +#REF! -#REF!*( 0.02 + tech_5_7*#REF!) + tech_1_5*#REF! + tech_4_4*#REF!, 0.5)</f>
        <v>#REF!</v>
      </c>
      <c r="AI113" s="132" t="e">
        <f>(1 + race_food_bonus + IF(#REF!&gt;0,gaias_blessing_food,IF(#REF!&gt;0,gaias_watch_bonus)) +#REF! + tech_1_1*#REF! + tech_1_4*#REF! + tech_5_1*#REF! +#REF!/ 100*prestige_food_bonus*(1 + tech_8_1*#REF!)) - 1</f>
        <v>#REF!</v>
      </c>
      <c r="AJ113" s="135" t="e">
        <f>race_lumber_bonus+ IF(#REF!&gt;0,gaias_blessing_lumber)+ tech_1_3*#REF! + tech_1_6*#REF! + tech_3_3*#REF!</f>
        <v>#REF!</v>
      </c>
      <c r="AK113" s="135" t="e">
        <f>race_mana_bonus+ 0 +#REF! + tech_1_2*#REF! + tech_3_4*#REF!</f>
        <v>#REF!</v>
      </c>
      <c r="AL113" s="135" t="e">
        <f>race_ore_bonus + IF(#REF!&gt;0,miners_sight_bonus,IF(#REF!&gt;0,mining_strength_bonus)) +  tech_1_6*#REF!</f>
        <v>#REF!</v>
      </c>
      <c r="AM113" s="135" t="e">
        <f>race_gem_bonus+ tech_3_2*#REF! + tech_4_3*#REF! + tech_6_2*#REF!</f>
        <v>#REF!</v>
      </c>
      <c r="AN113" s="134"/>
      <c r="AO113" s="39" t="e">
        <f>#REF!*food_decay * (1 + tech_2_1*#REF! + tech_2_8*#REF!)</f>
        <v>#REF!</v>
      </c>
      <c r="AP113" s="39" t="e">
        <f>(1+race_food_consumption)*#REF!*food_per_person*(1+tech_1_10*#REF!+tech_7_5*#REF!)</f>
        <v>#REF!</v>
      </c>
      <c r="AQ113" s="39" t="e">
        <f>#REF!*lumber_rot * (1 + tech_2_1*#REF! + tech_2_8*#REF! + tech_5_2*#REF!)</f>
        <v>#REF!</v>
      </c>
      <c r="AR113" s="39" t="e">
        <f>#REF!*mana_drain * (1 + tech_2_1*#REF! + tech_2_8*#REF!)</f>
        <v>#REF!</v>
      </c>
      <c r="AS113" s="133"/>
      <c r="AT113" s="39" t="e">
        <f>#REF!+#REF!+#REF!+#REF!+#REF!-#REF!</f>
        <v>#REF!</v>
      </c>
      <c r="AU113" s="39" t="e">
        <f>#REF!+#REF!-#REF! + Military!$CL$25*#REF!</f>
        <v>#REF!</v>
      </c>
      <c r="AV113" s="39" t="e">
        <f>#REF! + Military!$CL$26*#REF!</f>
        <v>#REF!</v>
      </c>
      <c r="AW113" s="39" t="e">
        <f>Military!$CL$24*#REF!+#REF!-#REF!</f>
        <v>#REF!</v>
      </c>
      <c r="AX113" s="39" t="e">
        <f>#REF!-#REF!</f>
        <v>#REF!</v>
      </c>
      <c r="AY113" s="134"/>
      <c r="AZ113" s="61" t="e">
        <f ca="1">IF(#REF!&lt;&gt;"",#REF!,OFFSET(#REF!,-1,0))</f>
        <v>#REF!</v>
      </c>
      <c r="BA113" s="144"/>
      <c r="BB113" s="3" t="e">
        <f>#REF!</f>
        <v>#REF!</v>
      </c>
      <c r="BC113" s="146" t="e">
        <f>-#REF! / 2 + -#REF! * 2 + -#REF! / 2</f>
        <v>#REF!</v>
      </c>
      <c r="BD113" s="146"/>
      <c r="BE113" s="146"/>
      <c r="BF113" s="146"/>
      <c r="BG113" s="147" t="e">
        <f>#REF!</f>
        <v>#REF!</v>
      </c>
      <c r="BH113" s="3" t="e">
        <f>IF(AND(#REF!=0,#REF!=0,#REF!=0,#REF!=0),"",IF(#REF!&gt;0,IF((#REF!+#REF!)/2+#REF!*2+ROUNDUP(#REF!/(1 + tech_2_2*Techs!Y113),0)=0,"Ok","Nope"),IF(#REF!&gt;0,IF((#REF!+#REF!)/2+#REF!*2+ROUNDUP(#REF!/(1 + tech_2_2*Techs!Y113),0)=0,"Ok","Nope"),IF(#REF!&gt;0,IF((#REF!+#REF!)/2+#REF!*2+ROUNDUP(#REF!/(1 + tech_2_2*Techs!Y113),0)=0,"Ok","Nope")))))</f>
        <v>#REF!</v>
      </c>
      <c r="BI113" s="39" t="e">
        <f>#REF!</f>
        <v>#REF!</v>
      </c>
      <c r="BJ113" s="39" t="e">
        <f>#REF!</f>
        <v>#REF!</v>
      </c>
      <c r="BK113" s="39" t="e">
        <f>#REF!</f>
        <v>#REF!</v>
      </c>
      <c r="BL113" s="39" t="e">
        <f>#REF!</f>
        <v>#REF!</v>
      </c>
      <c r="BM113" s="39" t="e">
        <f>#REF!</f>
        <v>#REF!</v>
      </c>
    </row>
    <row r="114" spans="1:65" x14ac:dyDescent="0.25">
      <c r="A114" s="130">
        <v>39</v>
      </c>
      <c r="B114" s="143" t="e">
        <f>#REF!</f>
        <v>#REF!</v>
      </c>
      <c r="C114" s="144"/>
      <c r="D114" s="133"/>
      <c r="E114" s="39" t="e">
        <f>#REF!</f>
        <v>#REF!</v>
      </c>
      <c r="F114" s="39" t="e">
        <f>#REF!</f>
        <v>#REF!</v>
      </c>
      <c r="G114" s="39" t="e">
        <f>#REF!</f>
        <v>#REF!</v>
      </c>
      <c r="H114" s="39" t="e">
        <f ca="1">OFFSET(#REF!,-1,0)+OFFSET(#REF!,-1,0) -#REF! + IF(#REF!,#REF!*4) + SUM(#REF!)*#REF!*tech_3_3_2*#REF!</f>
        <v>#REF!</v>
      </c>
      <c r="I114" s="39" t="e">
        <f ca="1">OFFSET(#REF!,-1,0)+OFFSET(#REF!,-1,0)+ROUNDUP((#REF!*80+#REF!*35)*(1+OFFSET(#REF!,-1,0)),0)</f>
        <v>#REF!</v>
      </c>
      <c r="J114" s="39" t="e">
        <f ca="1">OFFSET(#REF!,-1,0)+OFFSET(#REF!,-1,0) -#REF! + SUM(#REF!)*#REF!*tech_3_3_2*#REF!</f>
        <v>#REF!</v>
      </c>
      <c r="K114" s="39" t="e">
        <f ca="1">OFFSET(#REF!,-1,0)+OFFSET(#REF!,-1,0) -#REF!</f>
        <v>#REF!</v>
      </c>
      <c r="L114" s="39" t="e">
        <f ca="1">OFFSET(#REF!,-1,0)+OFFSET(#REF!,-1,0) -#REF!</f>
        <v>#REF!</v>
      </c>
      <c r="M114" s="39" t="e">
        <f ca="1">OFFSET(#REF!,-1,0)+OFFSET(#REF!,-1,0) -#REF!</f>
        <v>#REF!</v>
      </c>
      <c r="N114" s="39" t="e">
        <f ca="1">OFFSET(#REF!,-1,0)+OFFSET(#REF!,-1,0)</f>
        <v>#REF!</v>
      </c>
      <c r="O114" s="39" t="e">
        <f ca="1">OFFSET(#REF!,-1,0)</f>
        <v>#REF!</v>
      </c>
      <c r="P114" s="39" t="e">
        <f ca="1">ROUNDDOWN(OFFSET(#REF!,-1,0)+(1+research_bonus)*(MIN(#REF!,#REF!*school_max)*(1 - MIN((#REF!/(#REF!-#REF!)),school_max)))-#REF!*#REF!,0) + IF(#REF!&lt;&gt;"",350,0)</f>
        <v>#REF!</v>
      </c>
      <c r="Q114" s="39" t="e">
        <f ca="1">MAX(3750,_xlfn.CEILING.MATH(#REF!*2.5+OFFSET(#REF!,-1,0)*150))</f>
        <v>#REF!</v>
      </c>
      <c r="R114" s="134"/>
      <c r="S114" s="39" t="e">
        <f>ROUNDDOWN(#REF!*(1+#REF!),0)</f>
        <v>#REF!</v>
      </c>
      <c r="T114" s="39" t="e">
        <f>ROUND(#REF!*(1+#REF!)-#REF!-#REF!,0)</f>
        <v>#REF!</v>
      </c>
      <c r="U114" s="39" t="e">
        <f>ROUND(#REF!*(1+#REF!)-#REF!,0)</f>
        <v>#REF!</v>
      </c>
      <c r="V114" s="39" t="e">
        <f>ROUND(#REF!*(1+#REF!)-#REF!,0)</f>
        <v>#REF!</v>
      </c>
      <c r="W114" s="39" t="e">
        <f>ROUNDDOWN(#REF!*(1+#REF!),0)</f>
        <v>#REF!</v>
      </c>
      <c r="X114" s="39" t="e">
        <f>ROUNDDOWN(#REF!*(1+#REF!),0)</f>
        <v>#REF!</v>
      </c>
      <c r="Y114" s="145" t="e">
        <f ca="1">OFFSET(#REF!,1,0)*dock_boats_hr * (1 + tech_4_1*#REF!)</f>
        <v>#REF!</v>
      </c>
      <c r="Z114" s="133"/>
      <c r="AA114" s="39" t="e">
        <f ca="1">#REF!*tax*#REF! + (Construction!AZ115+Construction!BX115)*(alch_plat+(Magic!AM114&gt;0)*alchemist_flame_bonus)</f>
        <v>#REF!</v>
      </c>
      <c r="AB114" s="39" t="e">
        <f>#REF!*farm_food +#REF!* dock_food</f>
        <v>#REF!</v>
      </c>
      <c r="AC114" s="39" t="e">
        <f>#REF!*ly_lumber +#REF!* fh_lumber</f>
        <v>#REF!</v>
      </c>
      <c r="AD114" s="39" t="e">
        <f ca="1">OFFSET(#REF!,1,0)*(tower_mana + tech_4_5*#REF!) + OFFSET(#REF!,1,0)*wg_mana_prod</f>
        <v>#REF!</v>
      </c>
      <c r="AE114" s="39" t="e">
        <f ca="1">OFFSET(#REF!,1,0)*om_ore+IF(race="Dwarf",ROUNDDOWN(#REF!*0.4,0),)</f>
        <v>#REF!</v>
      </c>
      <c r="AF114" s="39" t="e">
        <f ca="1">OFFSET(#REF!,1,0)*dm_gems</f>
        <v>#REF!</v>
      </c>
      <c r="AG114" s="134"/>
      <c r="AH114" s="135" t="e">
        <f>MIN(race_platinum_bonus + IF(#REF!&gt;0,alch_frost_bonus,IF(Magic!AD114&gt;0,midas_bonus)) +#REF! -#REF!*( 0.02 + tech_5_7*#REF!) + tech_1_5*#REF! + tech_4_4*#REF!, 0.5)</f>
        <v>#REF!</v>
      </c>
      <c r="AI114" s="132" t="e">
        <f>(1 + race_food_bonus + IF(#REF!&gt;0,gaias_blessing_food,IF(#REF!&gt;0,gaias_watch_bonus)) +#REF! + tech_1_1*#REF! + tech_1_4*#REF! + tech_5_1*#REF! +#REF!/ 100*prestige_food_bonus*(1 + tech_8_1*#REF!)) - 1</f>
        <v>#REF!</v>
      </c>
      <c r="AJ114" s="135" t="e">
        <f>race_lumber_bonus+ IF(#REF!&gt;0,gaias_blessing_lumber)+ tech_1_3*#REF! + tech_1_6*#REF! + tech_3_3*#REF!</f>
        <v>#REF!</v>
      </c>
      <c r="AK114" s="135" t="e">
        <f>race_mana_bonus+ 0 +#REF! + tech_1_2*#REF! + tech_3_4*#REF!</f>
        <v>#REF!</v>
      </c>
      <c r="AL114" s="135" t="e">
        <f>race_ore_bonus + IF(#REF!&gt;0,miners_sight_bonus,IF(#REF!&gt;0,mining_strength_bonus)) +  tech_1_6*#REF!</f>
        <v>#REF!</v>
      </c>
      <c r="AM114" s="135" t="e">
        <f>race_gem_bonus+ tech_3_2*#REF! + tech_4_3*#REF! + tech_6_2*#REF!</f>
        <v>#REF!</v>
      </c>
      <c r="AN114" s="134"/>
      <c r="AO114" s="39" t="e">
        <f>#REF!*food_decay * (1 + tech_2_1*#REF! + tech_2_8*#REF!)</f>
        <v>#REF!</v>
      </c>
      <c r="AP114" s="39" t="e">
        <f>(1+race_food_consumption)*#REF!*food_per_person*(1+tech_1_10*#REF!+tech_7_5*#REF!)</f>
        <v>#REF!</v>
      </c>
      <c r="AQ114" s="39" t="e">
        <f>#REF!*lumber_rot * (1 + tech_2_1*#REF! + tech_2_8*#REF! + tech_5_2*#REF!)</f>
        <v>#REF!</v>
      </c>
      <c r="AR114" s="39" t="e">
        <f>#REF!*mana_drain * (1 + tech_2_1*#REF! + tech_2_8*#REF!)</f>
        <v>#REF!</v>
      </c>
      <c r="AS114" s="133"/>
      <c r="AT114" s="39" t="e">
        <f>#REF!+#REF!+#REF!+#REF!+#REF!-#REF!</f>
        <v>#REF!</v>
      </c>
      <c r="AU114" s="39" t="e">
        <f>#REF!+#REF!-#REF! + Military!$CL$25*#REF!</f>
        <v>#REF!</v>
      </c>
      <c r="AV114" s="39" t="e">
        <f>#REF! + Military!$CL$26*#REF!</f>
        <v>#REF!</v>
      </c>
      <c r="AW114" s="39" t="e">
        <f>Military!$CL$24*#REF!+#REF!-#REF!</f>
        <v>#REF!</v>
      </c>
      <c r="AX114" s="39" t="e">
        <f>#REF!-#REF!</f>
        <v>#REF!</v>
      </c>
      <c r="AY114" s="134"/>
      <c r="AZ114" s="61" t="e">
        <f ca="1">IF(#REF!&lt;&gt;"",#REF!,OFFSET(#REF!,-1,0))</f>
        <v>#REF!</v>
      </c>
      <c r="BA114" s="144"/>
      <c r="BB114" s="3" t="e">
        <f>#REF!</f>
        <v>#REF!</v>
      </c>
      <c r="BC114" s="146" t="e">
        <f>-#REF! / 2 + -#REF! * 2 + -#REF! / 2</f>
        <v>#REF!</v>
      </c>
      <c r="BD114" s="146"/>
      <c r="BE114" s="146"/>
      <c r="BF114" s="146"/>
      <c r="BG114" s="147" t="e">
        <f>#REF!</f>
        <v>#REF!</v>
      </c>
      <c r="BH114" s="3" t="e">
        <f>IF(AND(#REF!=0,#REF!=0,#REF!=0,#REF!=0),"",IF(#REF!&gt;0,IF((#REF!+#REF!)/2+#REF!*2+ROUNDUP(#REF!/(1 + tech_2_2*Techs!Y114),0)=0,"Ok","Nope"),IF(#REF!&gt;0,IF((#REF!+#REF!)/2+#REF!*2+ROUNDUP(#REF!/(1 + tech_2_2*Techs!Y114),0)=0,"Ok","Nope"),IF(#REF!&gt;0,IF((#REF!+#REF!)/2+#REF!*2+ROUNDUP(#REF!/(1 + tech_2_2*Techs!Y114),0)=0,"Ok","Nope")))))</f>
        <v>#REF!</v>
      </c>
      <c r="BI114" s="39" t="e">
        <f>#REF!</f>
        <v>#REF!</v>
      </c>
      <c r="BJ114" s="39" t="e">
        <f>#REF!</f>
        <v>#REF!</v>
      </c>
      <c r="BK114" s="39" t="e">
        <f>#REF!</f>
        <v>#REF!</v>
      </c>
      <c r="BL114" s="39" t="e">
        <f>#REF!</f>
        <v>#REF!</v>
      </c>
      <c r="BM114" s="39" t="e">
        <f>#REF!</f>
        <v>#REF!</v>
      </c>
    </row>
    <row r="115" spans="1:65" x14ac:dyDescent="0.25">
      <c r="A115" s="130">
        <v>40</v>
      </c>
      <c r="B115" s="143" t="e">
        <f>#REF!</f>
        <v>#REF!</v>
      </c>
      <c r="C115" s="144"/>
      <c r="D115" s="133"/>
      <c r="E115" s="39" t="e">
        <f>#REF!</f>
        <v>#REF!</v>
      </c>
      <c r="F115" s="39" t="e">
        <f>#REF!</f>
        <v>#REF!</v>
      </c>
      <c r="G115" s="39" t="e">
        <f>#REF!</f>
        <v>#REF!</v>
      </c>
      <c r="H115" s="39" t="e">
        <f ca="1">OFFSET(#REF!,-1,0)+OFFSET(#REF!,-1,0) -#REF! + IF(#REF!,#REF!*4) + SUM(#REF!)*#REF!*tech_3_3_2*#REF!</f>
        <v>#REF!</v>
      </c>
      <c r="I115" s="39" t="e">
        <f ca="1">OFFSET(#REF!,-1,0)+OFFSET(#REF!,-1,0)+ROUNDUP((#REF!*80+#REF!*35)*(1+OFFSET(#REF!,-1,0)),0)</f>
        <v>#REF!</v>
      </c>
      <c r="J115" s="39" t="e">
        <f ca="1">OFFSET(#REF!,-1,0)+OFFSET(#REF!,-1,0) -#REF! + SUM(#REF!)*#REF!*tech_3_3_2*#REF!</f>
        <v>#REF!</v>
      </c>
      <c r="K115" s="39" t="e">
        <f ca="1">OFFSET(#REF!,-1,0)+OFFSET(#REF!,-1,0) -#REF!</f>
        <v>#REF!</v>
      </c>
      <c r="L115" s="39" t="e">
        <f ca="1">OFFSET(#REF!,-1,0)+OFFSET(#REF!,-1,0) -#REF!</f>
        <v>#REF!</v>
      </c>
      <c r="M115" s="39" t="e">
        <f ca="1">OFFSET(#REF!,-1,0)+OFFSET(#REF!,-1,0) -#REF!</f>
        <v>#REF!</v>
      </c>
      <c r="N115" s="39" t="e">
        <f ca="1">OFFSET(#REF!,-1,0)+OFFSET(#REF!,-1,0)</f>
        <v>#REF!</v>
      </c>
      <c r="O115" s="39" t="e">
        <f ca="1">OFFSET(#REF!,-1,0)</f>
        <v>#REF!</v>
      </c>
      <c r="P115" s="39" t="e">
        <f ca="1">ROUNDDOWN(OFFSET(#REF!,-1,0)+(1+research_bonus)*(MIN(#REF!,#REF!*school_max)*(1 - MIN((#REF!/(#REF!-#REF!)),school_max)))-#REF!*#REF!,0) + IF(#REF!&lt;&gt;"",350,0)</f>
        <v>#REF!</v>
      </c>
      <c r="Q115" s="39" t="e">
        <f ca="1">MAX(3750,_xlfn.CEILING.MATH(#REF!*2.5+OFFSET(#REF!,-1,0)*150))</f>
        <v>#REF!</v>
      </c>
      <c r="R115" s="134"/>
      <c r="S115" s="39" t="e">
        <f>ROUNDDOWN(#REF!*(1+#REF!),0)</f>
        <v>#REF!</v>
      </c>
      <c r="T115" s="39" t="e">
        <f>ROUND(#REF!*(1+#REF!)-#REF!-#REF!,0)</f>
        <v>#REF!</v>
      </c>
      <c r="U115" s="39" t="e">
        <f>ROUND(#REF!*(1+#REF!)-#REF!,0)</f>
        <v>#REF!</v>
      </c>
      <c r="V115" s="39" t="e">
        <f>ROUND(#REF!*(1+#REF!)-#REF!,0)</f>
        <v>#REF!</v>
      </c>
      <c r="W115" s="39" t="e">
        <f>ROUNDDOWN(#REF!*(1+#REF!),0)</f>
        <v>#REF!</v>
      </c>
      <c r="X115" s="39" t="e">
        <f>ROUNDDOWN(#REF!*(1+#REF!),0)</f>
        <v>#REF!</v>
      </c>
      <c r="Y115" s="145" t="e">
        <f ca="1">OFFSET(#REF!,1,0)*dock_boats_hr * (1 + tech_4_1*#REF!)</f>
        <v>#REF!</v>
      </c>
      <c r="Z115" s="133"/>
      <c r="AA115" s="39" t="e">
        <f ca="1">#REF!*tax*#REF! + (Construction!AZ116+Construction!BX116)*(alch_plat+(Magic!AM115&gt;0)*alchemist_flame_bonus)</f>
        <v>#REF!</v>
      </c>
      <c r="AB115" s="39" t="e">
        <f>#REF!*farm_food +#REF!* dock_food</f>
        <v>#REF!</v>
      </c>
      <c r="AC115" s="39" t="e">
        <f>#REF!*ly_lumber +#REF!* fh_lumber</f>
        <v>#REF!</v>
      </c>
      <c r="AD115" s="39" t="e">
        <f ca="1">OFFSET(#REF!,1,0)*(tower_mana + tech_4_5*#REF!) + OFFSET(#REF!,1,0)*wg_mana_prod</f>
        <v>#REF!</v>
      </c>
      <c r="AE115" s="39" t="e">
        <f ca="1">OFFSET(#REF!,1,0)*om_ore+IF(race="Dwarf",ROUNDDOWN(#REF!*0.4,0),)</f>
        <v>#REF!</v>
      </c>
      <c r="AF115" s="39" t="e">
        <f ca="1">OFFSET(#REF!,1,0)*dm_gems</f>
        <v>#REF!</v>
      </c>
      <c r="AG115" s="134"/>
      <c r="AH115" s="135" t="e">
        <f>MIN(race_platinum_bonus + IF(#REF!&gt;0,alch_frost_bonus,IF(Magic!AD115&gt;0,midas_bonus)) +#REF! -#REF!*( 0.02 + tech_5_7*#REF!) + tech_1_5*#REF! + tech_4_4*#REF!, 0.5)</f>
        <v>#REF!</v>
      </c>
      <c r="AI115" s="132" t="e">
        <f>(1 + race_food_bonus + IF(#REF!&gt;0,gaias_blessing_food,IF(#REF!&gt;0,gaias_watch_bonus)) +#REF! + tech_1_1*#REF! + tech_1_4*#REF! + tech_5_1*#REF! +#REF!/ 100*prestige_food_bonus*(1 + tech_8_1*#REF!)) - 1</f>
        <v>#REF!</v>
      </c>
      <c r="AJ115" s="135" t="e">
        <f>race_lumber_bonus+ IF(#REF!&gt;0,gaias_blessing_lumber)+ tech_1_3*#REF! + tech_1_6*#REF! + tech_3_3*#REF!</f>
        <v>#REF!</v>
      </c>
      <c r="AK115" s="135" t="e">
        <f>race_mana_bonus+ 0 +#REF! + tech_1_2*#REF! + tech_3_4*#REF!</f>
        <v>#REF!</v>
      </c>
      <c r="AL115" s="135" t="e">
        <f>race_ore_bonus + IF(#REF!&gt;0,miners_sight_bonus,IF(#REF!&gt;0,mining_strength_bonus)) +  tech_1_6*#REF!</f>
        <v>#REF!</v>
      </c>
      <c r="AM115" s="135" t="e">
        <f>race_gem_bonus+ tech_3_2*#REF! + tech_4_3*#REF! + tech_6_2*#REF!</f>
        <v>#REF!</v>
      </c>
      <c r="AN115" s="134"/>
      <c r="AO115" s="39" t="e">
        <f>#REF!*food_decay * (1 + tech_2_1*#REF! + tech_2_8*#REF!)</f>
        <v>#REF!</v>
      </c>
      <c r="AP115" s="39" t="e">
        <f>(1+race_food_consumption)*#REF!*food_per_person*(1+tech_1_10*#REF!+tech_7_5*#REF!)</f>
        <v>#REF!</v>
      </c>
      <c r="AQ115" s="39" t="e">
        <f>#REF!*lumber_rot * (1 + tech_2_1*#REF! + tech_2_8*#REF! + tech_5_2*#REF!)</f>
        <v>#REF!</v>
      </c>
      <c r="AR115" s="39" t="e">
        <f>#REF!*mana_drain * (1 + tech_2_1*#REF! + tech_2_8*#REF!)</f>
        <v>#REF!</v>
      </c>
      <c r="AS115" s="133"/>
      <c r="AT115" s="39" t="e">
        <f>#REF!+#REF!+#REF!+#REF!+#REF!-#REF!</f>
        <v>#REF!</v>
      </c>
      <c r="AU115" s="39" t="e">
        <f>#REF!+#REF!-#REF! + Military!$CL$25*#REF!</f>
        <v>#REF!</v>
      </c>
      <c r="AV115" s="39" t="e">
        <f>#REF! + Military!$CL$26*#REF!</f>
        <v>#REF!</v>
      </c>
      <c r="AW115" s="39" t="e">
        <f>Military!$CL$24*#REF!+#REF!-#REF!</f>
        <v>#REF!</v>
      </c>
      <c r="AX115" s="39" t="e">
        <f>#REF!-#REF!</f>
        <v>#REF!</v>
      </c>
      <c r="AY115" s="134"/>
      <c r="AZ115" s="61" t="e">
        <f ca="1">IF(#REF!&lt;&gt;"",#REF!,OFFSET(#REF!,-1,0))</f>
        <v>#REF!</v>
      </c>
      <c r="BA115" s="144"/>
      <c r="BB115" s="3" t="e">
        <f>#REF!</f>
        <v>#REF!</v>
      </c>
      <c r="BC115" s="146" t="e">
        <f>-#REF! / 2 + -#REF! * 2 + -#REF! / 2</f>
        <v>#REF!</v>
      </c>
      <c r="BD115" s="146"/>
      <c r="BE115" s="146"/>
      <c r="BF115" s="146"/>
      <c r="BG115" s="147" t="e">
        <f>#REF!</f>
        <v>#REF!</v>
      </c>
      <c r="BH115" s="3" t="e">
        <f>IF(AND(#REF!=0,#REF!=0,#REF!=0,#REF!=0),"",IF(#REF!&gt;0,IF((#REF!+#REF!)/2+#REF!*2+ROUNDUP(#REF!/(1 + tech_2_2*Techs!Y115),0)=0,"Ok","Nope"),IF(#REF!&gt;0,IF((#REF!+#REF!)/2+#REF!*2+ROUNDUP(#REF!/(1 + tech_2_2*Techs!Y115),0)=0,"Ok","Nope"),IF(#REF!&gt;0,IF((#REF!+#REF!)/2+#REF!*2+ROUNDUP(#REF!/(1 + tech_2_2*Techs!Y115),0)=0,"Ok","Nope")))))</f>
        <v>#REF!</v>
      </c>
      <c r="BI115" s="39" t="e">
        <f>#REF!</f>
        <v>#REF!</v>
      </c>
      <c r="BJ115" s="39" t="e">
        <f>#REF!</f>
        <v>#REF!</v>
      </c>
      <c r="BK115" s="39" t="e">
        <f>#REF!</f>
        <v>#REF!</v>
      </c>
      <c r="BL115" s="39" t="e">
        <f>#REF!</f>
        <v>#REF!</v>
      </c>
      <c r="BM115" s="39" t="e">
        <f>#REF!</f>
        <v>#REF!</v>
      </c>
    </row>
    <row r="116" spans="1:65" x14ac:dyDescent="0.25">
      <c r="A116" s="130">
        <v>41</v>
      </c>
      <c r="B116" s="143" t="e">
        <f>#REF!</f>
        <v>#REF!</v>
      </c>
      <c r="C116" s="144"/>
      <c r="D116" s="133"/>
      <c r="E116" s="39" t="e">
        <f>#REF!</f>
        <v>#REF!</v>
      </c>
      <c r="F116" s="39" t="e">
        <f>#REF!</f>
        <v>#REF!</v>
      </c>
      <c r="G116" s="39" t="e">
        <f>#REF!</f>
        <v>#REF!</v>
      </c>
      <c r="H116" s="39" t="e">
        <f ca="1">OFFSET(#REF!,-1,0)+OFFSET(#REF!,-1,0) -#REF! + IF(#REF!,#REF!*4) + SUM(#REF!)*#REF!*tech_3_3_2*#REF!</f>
        <v>#REF!</v>
      </c>
      <c r="I116" s="39" t="e">
        <f ca="1">OFFSET(#REF!,-1,0)+OFFSET(#REF!,-1,0)+ROUNDUP((#REF!*80+#REF!*35)*(1+OFFSET(#REF!,-1,0)),0)</f>
        <v>#REF!</v>
      </c>
      <c r="J116" s="39" t="e">
        <f ca="1">OFFSET(#REF!,-1,0)+OFFSET(#REF!,-1,0) -#REF! + SUM(#REF!)*#REF!*tech_3_3_2*#REF!</f>
        <v>#REF!</v>
      </c>
      <c r="K116" s="39" t="e">
        <f ca="1">OFFSET(#REF!,-1,0)+OFFSET(#REF!,-1,0) -#REF!</f>
        <v>#REF!</v>
      </c>
      <c r="L116" s="39" t="e">
        <f ca="1">OFFSET(#REF!,-1,0)+OFFSET(#REF!,-1,0) -#REF!</f>
        <v>#REF!</v>
      </c>
      <c r="M116" s="39" t="e">
        <f ca="1">OFFSET(#REF!,-1,0)+OFFSET(#REF!,-1,0) -#REF!</f>
        <v>#REF!</v>
      </c>
      <c r="N116" s="39" t="e">
        <f ca="1">OFFSET(#REF!,-1,0)+OFFSET(#REF!,-1,0)</f>
        <v>#REF!</v>
      </c>
      <c r="O116" s="39" t="e">
        <f ca="1">OFFSET(#REF!,-1,0)</f>
        <v>#REF!</v>
      </c>
      <c r="P116" s="39" t="e">
        <f ca="1">ROUNDDOWN(OFFSET(#REF!,-1,0)+(1+research_bonus)*(MIN(#REF!,#REF!*school_max)*(1 - MIN((#REF!/(#REF!-#REF!)),school_max)))-#REF!*#REF!,0) + IF(#REF!&lt;&gt;"",350,0)</f>
        <v>#REF!</v>
      </c>
      <c r="Q116" s="39" t="e">
        <f ca="1">MAX(3750,_xlfn.CEILING.MATH(#REF!*2.5+OFFSET(#REF!,-1,0)*150))</f>
        <v>#REF!</v>
      </c>
      <c r="R116" s="134"/>
      <c r="S116" s="39" t="e">
        <f>ROUNDDOWN(#REF!*(1+#REF!),0)</f>
        <v>#REF!</v>
      </c>
      <c r="T116" s="39" t="e">
        <f>ROUND(#REF!*(1+#REF!)-#REF!-#REF!,0)</f>
        <v>#REF!</v>
      </c>
      <c r="U116" s="39" t="e">
        <f>ROUND(#REF!*(1+#REF!)-#REF!,0)</f>
        <v>#REF!</v>
      </c>
      <c r="V116" s="39" t="e">
        <f>ROUND(#REF!*(1+#REF!)-#REF!,0)</f>
        <v>#REF!</v>
      </c>
      <c r="W116" s="39" t="e">
        <f>ROUNDDOWN(#REF!*(1+#REF!),0)</f>
        <v>#REF!</v>
      </c>
      <c r="X116" s="39" t="e">
        <f>ROUNDDOWN(#REF!*(1+#REF!),0)</f>
        <v>#REF!</v>
      </c>
      <c r="Y116" s="145" t="e">
        <f ca="1">OFFSET(#REF!,1,0)*dock_boats_hr * (1 + tech_4_1*#REF!)</f>
        <v>#REF!</v>
      </c>
      <c r="Z116" s="133"/>
      <c r="AA116" s="39" t="e">
        <f ca="1">#REF!*tax*#REF! + (Construction!AZ117+Construction!BX117)*(alch_plat+(Magic!AM116&gt;0)*alchemist_flame_bonus)</f>
        <v>#REF!</v>
      </c>
      <c r="AB116" s="39" t="e">
        <f>#REF!*farm_food +#REF!* dock_food</f>
        <v>#REF!</v>
      </c>
      <c r="AC116" s="39" t="e">
        <f>#REF!*ly_lumber +#REF!* fh_lumber</f>
        <v>#REF!</v>
      </c>
      <c r="AD116" s="39" t="e">
        <f ca="1">OFFSET(#REF!,1,0)*(tower_mana + tech_4_5*#REF!) + OFFSET(#REF!,1,0)*wg_mana_prod</f>
        <v>#REF!</v>
      </c>
      <c r="AE116" s="39" t="e">
        <f ca="1">OFFSET(#REF!,1,0)*om_ore+IF(race="Dwarf",ROUNDDOWN(#REF!*0.4,0),)</f>
        <v>#REF!</v>
      </c>
      <c r="AF116" s="39" t="e">
        <f ca="1">OFFSET(#REF!,1,0)*dm_gems</f>
        <v>#REF!</v>
      </c>
      <c r="AG116" s="134"/>
      <c r="AH116" s="135" t="e">
        <f>MIN(race_platinum_bonus + IF(#REF!&gt;0,alch_frost_bonus,IF(Magic!AD116&gt;0,midas_bonus)) +#REF! -#REF!*( 0.02 + tech_5_7*#REF!) + tech_1_5*#REF! + tech_4_4*#REF!, 0.5)</f>
        <v>#REF!</v>
      </c>
      <c r="AI116" s="132" t="e">
        <f>(1 + race_food_bonus + IF(#REF!&gt;0,gaias_blessing_food,IF(#REF!&gt;0,gaias_watch_bonus)) +#REF! + tech_1_1*#REF! + tech_1_4*#REF! + tech_5_1*#REF! +#REF!/ 100*prestige_food_bonus*(1 + tech_8_1*#REF!)) - 1</f>
        <v>#REF!</v>
      </c>
      <c r="AJ116" s="135" t="e">
        <f>race_lumber_bonus+ IF(#REF!&gt;0,gaias_blessing_lumber)+ tech_1_3*#REF! + tech_1_6*#REF! + tech_3_3*#REF!</f>
        <v>#REF!</v>
      </c>
      <c r="AK116" s="135" t="e">
        <f>race_mana_bonus+ 0 +#REF! + tech_1_2*#REF! + tech_3_4*#REF!</f>
        <v>#REF!</v>
      </c>
      <c r="AL116" s="135" t="e">
        <f>race_ore_bonus + IF(#REF!&gt;0,miners_sight_bonus,IF(#REF!&gt;0,mining_strength_bonus)) +  tech_1_6*#REF!</f>
        <v>#REF!</v>
      </c>
      <c r="AM116" s="135" t="e">
        <f>race_gem_bonus+ tech_3_2*#REF! + tech_4_3*#REF! + tech_6_2*#REF!</f>
        <v>#REF!</v>
      </c>
      <c r="AN116" s="134"/>
      <c r="AO116" s="39" t="e">
        <f>#REF!*food_decay * (1 + tech_2_1*#REF! + tech_2_8*#REF!)</f>
        <v>#REF!</v>
      </c>
      <c r="AP116" s="39" t="e">
        <f>(1+race_food_consumption)*#REF!*food_per_person*(1+tech_1_10*#REF!+tech_7_5*#REF!)</f>
        <v>#REF!</v>
      </c>
      <c r="AQ116" s="39" t="e">
        <f>#REF!*lumber_rot * (1 + tech_2_1*#REF! + tech_2_8*#REF! + tech_5_2*#REF!)</f>
        <v>#REF!</v>
      </c>
      <c r="AR116" s="39" t="e">
        <f>#REF!*mana_drain * (1 + tech_2_1*#REF! + tech_2_8*#REF!)</f>
        <v>#REF!</v>
      </c>
      <c r="AS116" s="133"/>
      <c r="AT116" s="39" t="e">
        <f>#REF!+#REF!+#REF!+#REF!+#REF!-#REF!</f>
        <v>#REF!</v>
      </c>
      <c r="AU116" s="39" t="e">
        <f>#REF!+#REF!-#REF! + Military!$CL$25*#REF!</f>
        <v>#REF!</v>
      </c>
      <c r="AV116" s="39" t="e">
        <f>#REF! + Military!$CL$26*#REF!</f>
        <v>#REF!</v>
      </c>
      <c r="AW116" s="39" t="e">
        <f>Military!$CL$24*#REF!+#REF!-#REF!</f>
        <v>#REF!</v>
      </c>
      <c r="AX116" s="39" t="e">
        <f>#REF!-#REF!</f>
        <v>#REF!</v>
      </c>
      <c r="AY116" s="134"/>
      <c r="AZ116" s="61" t="e">
        <f ca="1">IF(#REF!&lt;&gt;"",#REF!,OFFSET(#REF!,-1,0))</f>
        <v>#REF!</v>
      </c>
      <c r="BA116" s="144"/>
      <c r="BB116" s="3" t="e">
        <f>#REF!</f>
        <v>#REF!</v>
      </c>
      <c r="BC116" s="146" t="e">
        <f>-#REF! / 2 + -#REF! * 2 + -#REF! / 2</f>
        <v>#REF!</v>
      </c>
      <c r="BD116" s="146"/>
      <c r="BE116" s="146"/>
      <c r="BF116" s="146"/>
      <c r="BG116" s="147" t="e">
        <f>#REF!</f>
        <v>#REF!</v>
      </c>
      <c r="BH116" s="3" t="e">
        <f>IF(AND(#REF!=0,#REF!=0,#REF!=0,#REF!=0),"",IF(#REF!&gt;0,IF((#REF!+#REF!)/2+#REF!*2+ROUNDUP(#REF!/(1 + tech_2_2*Techs!Y116),0)=0,"Ok","Nope"),IF(#REF!&gt;0,IF((#REF!+#REF!)/2+#REF!*2+ROUNDUP(#REF!/(1 + tech_2_2*Techs!Y116),0)=0,"Ok","Nope"),IF(#REF!&gt;0,IF((#REF!+#REF!)/2+#REF!*2+ROUNDUP(#REF!/(1 + tech_2_2*Techs!Y116),0)=0,"Ok","Nope")))))</f>
        <v>#REF!</v>
      </c>
      <c r="BI116" s="39" t="e">
        <f>#REF!</f>
        <v>#REF!</v>
      </c>
      <c r="BJ116" s="39" t="e">
        <f>#REF!</f>
        <v>#REF!</v>
      </c>
      <c r="BK116" s="39" t="e">
        <f>#REF!</f>
        <v>#REF!</v>
      </c>
      <c r="BL116" s="39" t="e">
        <f>#REF!</f>
        <v>#REF!</v>
      </c>
      <c r="BM116" s="39" t="e">
        <f>#REF!</f>
        <v>#REF!</v>
      </c>
    </row>
    <row r="117" spans="1:65" x14ac:dyDescent="0.25">
      <c r="A117" s="130">
        <v>42</v>
      </c>
      <c r="B117" s="143" t="e">
        <f>#REF!</f>
        <v>#REF!</v>
      </c>
      <c r="C117" s="144"/>
      <c r="D117" s="133"/>
      <c r="E117" s="39" t="e">
        <f>#REF!</f>
        <v>#REF!</v>
      </c>
      <c r="F117" s="39" t="e">
        <f>#REF!</f>
        <v>#REF!</v>
      </c>
      <c r="G117" s="39" t="e">
        <f>#REF!</f>
        <v>#REF!</v>
      </c>
      <c r="H117" s="39" t="e">
        <f ca="1">OFFSET(#REF!,-1,0)+OFFSET(#REF!,-1,0) -#REF! + IF(#REF!,#REF!*4) + SUM(#REF!)*#REF!*tech_3_3_2*#REF!</f>
        <v>#REF!</v>
      </c>
      <c r="I117" s="39" t="e">
        <f ca="1">OFFSET(#REF!,-1,0)+OFFSET(#REF!,-1,0)+ROUNDUP((#REF!*80+#REF!*35)*(1+OFFSET(#REF!,-1,0)),0)</f>
        <v>#REF!</v>
      </c>
      <c r="J117" s="39" t="e">
        <f ca="1">OFFSET(#REF!,-1,0)+OFFSET(#REF!,-1,0) -#REF! + SUM(#REF!)*#REF!*tech_3_3_2*#REF!</f>
        <v>#REF!</v>
      </c>
      <c r="K117" s="39" t="e">
        <f ca="1">OFFSET(#REF!,-1,0)+OFFSET(#REF!,-1,0) -#REF!</f>
        <v>#REF!</v>
      </c>
      <c r="L117" s="39" t="e">
        <f ca="1">OFFSET(#REF!,-1,0)+OFFSET(#REF!,-1,0) -#REF!</f>
        <v>#REF!</v>
      </c>
      <c r="M117" s="39" t="e">
        <f ca="1">OFFSET(#REF!,-1,0)+OFFSET(#REF!,-1,0) -#REF!</f>
        <v>#REF!</v>
      </c>
      <c r="N117" s="39" t="e">
        <f ca="1">OFFSET(#REF!,-1,0)+OFFSET(#REF!,-1,0)</f>
        <v>#REF!</v>
      </c>
      <c r="O117" s="39" t="e">
        <f ca="1">OFFSET(#REF!,-1,0)</f>
        <v>#REF!</v>
      </c>
      <c r="P117" s="39" t="e">
        <f ca="1">ROUNDDOWN(OFFSET(#REF!,-1,0)+(1+research_bonus)*(MIN(#REF!,#REF!*school_max)*(1 - MIN((#REF!/(#REF!-#REF!)),school_max)))-#REF!*#REF!,0) + IF(#REF!&lt;&gt;"",350,0)</f>
        <v>#REF!</v>
      </c>
      <c r="Q117" s="39" t="e">
        <f ca="1">MAX(3750,_xlfn.CEILING.MATH(#REF!*2.5+OFFSET(#REF!,-1,0)*150))</f>
        <v>#REF!</v>
      </c>
      <c r="R117" s="134"/>
      <c r="S117" s="39" t="e">
        <f>ROUNDDOWN(#REF!*(1+#REF!),0)</f>
        <v>#REF!</v>
      </c>
      <c r="T117" s="39" t="e">
        <f>ROUND(#REF!*(1+#REF!)-#REF!-#REF!,0)</f>
        <v>#REF!</v>
      </c>
      <c r="U117" s="39" t="e">
        <f>ROUND(#REF!*(1+#REF!)-#REF!,0)</f>
        <v>#REF!</v>
      </c>
      <c r="V117" s="39" t="e">
        <f>ROUND(#REF!*(1+#REF!)-#REF!,0)</f>
        <v>#REF!</v>
      </c>
      <c r="W117" s="39" t="e">
        <f>ROUNDDOWN(#REF!*(1+#REF!),0)</f>
        <v>#REF!</v>
      </c>
      <c r="X117" s="39" t="e">
        <f>ROUNDDOWN(#REF!*(1+#REF!),0)</f>
        <v>#REF!</v>
      </c>
      <c r="Y117" s="145" t="e">
        <f ca="1">OFFSET(#REF!,1,0)*dock_boats_hr * (1 + tech_4_1*#REF!)</f>
        <v>#REF!</v>
      </c>
      <c r="Z117" s="133"/>
      <c r="AA117" s="39" t="e">
        <f ca="1">#REF!*tax*#REF! + (Construction!AZ118+Construction!BX118)*(alch_plat+(Magic!AM117&gt;0)*alchemist_flame_bonus)</f>
        <v>#REF!</v>
      </c>
      <c r="AB117" s="39" t="e">
        <f>#REF!*farm_food +#REF!* dock_food</f>
        <v>#REF!</v>
      </c>
      <c r="AC117" s="39" t="e">
        <f>#REF!*ly_lumber +#REF!* fh_lumber</f>
        <v>#REF!</v>
      </c>
      <c r="AD117" s="39" t="e">
        <f ca="1">OFFSET(#REF!,1,0)*(tower_mana + tech_4_5*#REF!) + OFFSET(#REF!,1,0)*wg_mana_prod</f>
        <v>#REF!</v>
      </c>
      <c r="AE117" s="39" t="e">
        <f ca="1">OFFSET(#REF!,1,0)*om_ore+IF(race="Dwarf",ROUNDDOWN(#REF!*0.4,0),)</f>
        <v>#REF!</v>
      </c>
      <c r="AF117" s="39" t="e">
        <f ca="1">OFFSET(#REF!,1,0)*dm_gems</f>
        <v>#REF!</v>
      </c>
      <c r="AG117" s="134"/>
      <c r="AH117" s="135" t="e">
        <f>MIN(race_platinum_bonus + IF(#REF!&gt;0,alch_frost_bonus,IF(Magic!AD117&gt;0,midas_bonus)) +#REF! -#REF!*( 0.02 + tech_5_7*#REF!) + tech_1_5*#REF! + tech_4_4*#REF!, 0.5)</f>
        <v>#REF!</v>
      </c>
      <c r="AI117" s="132" t="e">
        <f>(1 + race_food_bonus + IF(#REF!&gt;0,gaias_blessing_food,IF(#REF!&gt;0,gaias_watch_bonus)) +#REF! + tech_1_1*#REF! + tech_1_4*#REF! + tech_5_1*#REF! +#REF!/ 100*prestige_food_bonus*(1 + tech_8_1*#REF!)) - 1</f>
        <v>#REF!</v>
      </c>
      <c r="AJ117" s="135" t="e">
        <f>race_lumber_bonus+ IF(#REF!&gt;0,gaias_blessing_lumber)+ tech_1_3*#REF! + tech_1_6*#REF! + tech_3_3*#REF!</f>
        <v>#REF!</v>
      </c>
      <c r="AK117" s="135" t="e">
        <f>race_mana_bonus+ 0 +#REF! + tech_1_2*#REF! + tech_3_4*#REF!</f>
        <v>#REF!</v>
      </c>
      <c r="AL117" s="135" t="e">
        <f>race_ore_bonus + IF(#REF!&gt;0,miners_sight_bonus,IF(#REF!&gt;0,mining_strength_bonus)) +  tech_1_6*#REF!</f>
        <v>#REF!</v>
      </c>
      <c r="AM117" s="135" t="e">
        <f>race_gem_bonus+ tech_3_2*#REF! + tech_4_3*#REF! + tech_6_2*#REF!</f>
        <v>#REF!</v>
      </c>
      <c r="AN117" s="134"/>
      <c r="AO117" s="39" t="e">
        <f>#REF!*food_decay * (1 + tech_2_1*#REF! + tech_2_8*#REF!)</f>
        <v>#REF!</v>
      </c>
      <c r="AP117" s="39" t="e">
        <f>(1+race_food_consumption)*#REF!*food_per_person*(1+tech_1_10*#REF!+tech_7_5*#REF!)</f>
        <v>#REF!</v>
      </c>
      <c r="AQ117" s="39" t="e">
        <f>#REF!*lumber_rot * (1 + tech_2_1*#REF! + tech_2_8*#REF! + tech_5_2*#REF!)</f>
        <v>#REF!</v>
      </c>
      <c r="AR117" s="39" t="e">
        <f>#REF!*mana_drain * (1 + tech_2_1*#REF! + tech_2_8*#REF!)</f>
        <v>#REF!</v>
      </c>
      <c r="AS117" s="133"/>
      <c r="AT117" s="39" t="e">
        <f>#REF!+#REF!+#REF!+#REF!+#REF!-#REF!</f>
        <v>#REF!</v>
      </c>
      <c r="AU117" s="39" t="e">
        <f>#REF!+#REF!-#REF! + Military!$CL$25*#REF!</f>
        <v>#REF!</v>
      </c>
      <c r="AV117" s="39" t="e">
        <f>#REF! + Military!$CL$26*#REF!</f>
        <v>#REF!</v>
      </c>
      <c r="AW117" s="39" t="e">
        <f>Military!$CL$24*#REF!+#REF!-#REF!</f>
        <v>#REF!</v>
      </c>
      <c r="AX117" s="39" t="e">
        <f>#REF!-#REF!</f>
        <v>#REF!</v>
      </c>
      <c r="AY117" s="134"/>
      <c r="AZ117" s="61" t="e">
        <f ca="1">IF(#REF!&lt;&gt;"",#REF!,OFFSET(#REF!,-1,0))</f>
        <v>#REF!</v>
      </c>
      <c r="BA117" s="144"/>
      <c r="BB117" s="3" t="e">
        <f>#REF!</f>
        <v>#REF!</v>
      </c>
      <c r="BC117" s="146" t="e">
        <f>-#REF! / 2 + -#REF! * 2 + -#REF! / 2</f>
        <v>#REF!</v>
      </c>
      <c r="BD117" s="146"/>
      <c r="BE117" s="146"/>
      <c r="BF117" s="146"/>
      <c r="BG117" s="147" t="e">
        <f>#REF!</f>
        <v>#REF!</v>
      </c>
      <c r="BH117" s="3" t="e">
        <f>IF(AND(#REF!=0,#REF!=0,#REF!=0,#REF!=0),"",IF(#REF!&gt;0,IF((#REF!+#REF!)/2+#REF!*2+ROUNDUP(#REF!/(1 + tech_2_2*Techs!Y117),0)=0,"Ok","Nope"),IF(#REF!&gt;0,IF((#REF!+#REF!)/2+#REF!*2+ROUNDUP(#REF!/(1 + tech_2_2*Techs!Y117),0)=0,"Ok","Nope"),IF(#REF!&gt;0,IF((#REF!+#REF!)/2+#REF!*2+ROUNDUP(#REF!/(1 + tech_2_2*Techs!Y117),0)=0,"Ok","Nope")))))</f>
        <v>#REF!</v>
      </c>
      <c r="BI117" s="39" t="e">
        <f>#REF!</f>
        <v>#REF!</v>
      </c>
      <c r="BJ117" s="39" t="e">
        <f>#REF!</f>
        <v>#REF!</v>
      </c>
      <c r="BK117" s="39" t="e">
        <f>#REF!</f>
        <v>#REF!</v>
      </c>
      <c r="BL117" s="39" t="e">
        <f>#REF!</f>
        <v>#REF!</v>
      </c>
      <c r="BM117" s="39" t="e">
        <f>#REF!</f>
        <v>#REF!</v>
      </c>
    </row>
    <row r="118" spans="1:65" x14ac:dyDescent="0.25">
      <c r="A118" s="130">
        <v>43</v>
      </c>
      <c r="B118" s="143" t="e">
        <f>#REF!</f>
        <v>#REF!</v>
      </c>
      <c r="C118" s="144"/>
      <c r="D118" s="133"/>
      <c r="E118" s="39" t="e">
        <f>#REF!</f>
        <v>#REF!</v>
      </c>
      <c r="F118" s="39" t="e">
        <f>#REF!</f>
        <v>#REF!</v>
      </c>
      <c r="G118" s="39" t="e">
        <f>#REF!</f>
        <v>#REF!</v>
      </c>
      <c r="H118" s="39" t="e">
        <f ca="1">OFFSET(#REF!,-1,0)+OFFSET(#REF!,-1,0) -#REF! + IF(#REF!,#REF!*4) + SUM(#REF!)*#REF!*tech_3_3_2*#REF!</f>
        <v>#REF!</v>
      </c>
      <c r="I118" s="39" t="e">
        <f ca="1">OFFSET(#REF!,-1,0)+OFFSET(#REF!,-1,0)+ROUNDUP((#REF!*80+#REF!*35)*(1+OFFSET(#REF!,-1,0)),0)</f>
        <v>#REF!</v>
      </c>
      <c r="J118" s="39" t="e">
        <f ca="1">OFFSET(#REF!,-1,0)+OFFSET(#REF!,-1,0) -#REF! + SUM(#REF!)*#REF!*tech_3_3_2*#REF!</f>
        <v>#REF!</v>
      </c>
      <c r="K118" s="39" t="e">
        <f ca="1">OFFSET(#REF!,-1,0)+OFFSET(#REF!,-1,0) -#REF!</f>
        <v>#REF!</v>
      </c>
      <c r="L118" s="39" t="e">
        <f ca="1">OFFSET(#REF!,-1,0)+OFFSET(#REF!,-1,0) -#REF!</f>
        <v>#REF!</v>
      </c>
      <c r="M118" s="39" t="e">
        <f ca="1">OFFSET(#REF!,-1,0)+OFFSET(#REF!,-1,0) -#REF!</f>
        <v>#REF!</v>
      </c>
      <c r="N118" s="39" t="e">
        <f ca="1">OFFSET(#REF!,-1,0)+OFFSET(#REF!,-1,0)</f>
        <v>#REF!</v>
      </c>
      <c r="O118" s="39" t="e">
        <f ca="1">OFFSET(#REF!,-1,0)</f>
        <v>#REF!</v>
      </c>
      <c r="P118" s="39" t="e">
        <f ca="1">ROUNDDOWN(OFFSET(#REF!,-1,0)+(1+research_bonus)*(MIN(#REF!,#REF!*school_max)*(1 - MIN((#REF!/(#REF!-#REF!)),school_max)))-#REF!*#REF!,0) + IF(#REF!&lt;&gt;"",350,0)</f>
        <v>#REF!</v>
      </c>
      <c r="Q118" s="39" t="e">
        <f ca="1">MAX(3750,_xlfn.CEILING.MATH(#REF!*2.5+OFFSET(#REF!,-1,0)*150))</f>
        <v>#REF!</v>
      </c>
      <c r="R118" s="134"/>
      <c r="S118" s="39" t="e">
        <f>ROUNDDOWN(#REF!*(1+#REF!),0)</f>
        <v>#REF!</v>
      </c>
      <c r="T118" s="39" t="e">
        <f>ROUND(#REF!*(1+#REF!)-#REF!-#REF!,0)</f>
        <v>#REF!</v>
      </c>
      <c r="U118" s="39" t="e">
        <f>ROUND(#REF!*(1+#REF!)-#REF!,0)</f>
        <v>#REF!</v>
      </c>
      <c r="V118" s="39" t="e">
        <f>ROUND(#REF!*(1+#REF!)-#REF!,0)</f>
        <v>#REF!</v>
      </c>
      <c r="W118" s="39" t="e">
        <f>ROUNDDOWN(#REF!*(1+#REF!),0)</f>
        <v>#REF!</v>
      </c>
      <c r="X118" s="39" t="e">
        <f>ROUNDDOWN(#REF!*(1+#REF!),0)</f>
        <v>#REF!</v>
      </c>
      <c r="Y118" s="145" t="e">
        <f ca="1">OFFSET(#REF!,1,0)*dock_boats_hr * (1 + tech_4_1*#REF!)</f>
        <v>#REF!</v>
      </c>
      <c r="Z118" s="133"/>
      <c r="AA118" s="39" t="e">
        <f ca="1">#REF!*tax*#REF! + (Construction!AZ119+Construction!BX119)*(alch_plat+(Magic!AM118&gt;0)*alchemist_flame_bonus)</f>
        <v>#REF!</v>
      </c>
      <c r="AB118" s="39" t="e">
        <f>#REF!*farm_food +#REF!* dock_food</f>
        <v>#REF!</v>
      </c>
      <c r="AC118" s="39" t="e">
        <f>#REF!*ly_lumber +#REF!* fh_lumber</f>
        <v>#REF!</v>
      </c>
      <c r="AD118" s="39" t="e">
        <f ca="1">OFFSET(#REF!,1,0)*(tower_mana + tech_4_5*#REF!) + OFFSET(#REF!,1,0)*wg_mana_prod</f>
        <v>#REF!</v>
      </c>
      <c r="AE118" s="39" t="e">
        <f ca="1">OFFSET(#REF!,1,0)*om_ore+IF(race="Dwarf",ROUNDDOWN(#REF!*0.4,0),)</f>
        <v>#REF!</v>
      </c>
      <c r="AF118" s="39" t="e">
        <f ca="1">OFFSET(#REF!,1,0)*dm_gems</f>
        <v>#REF!</v>
      </c>
      <c r="AG118" s="134"/>
      <c r="AH118" s="135" t="e">
        <f>MIN(race_platinum_bonus + IF(#REF!&gt;0,alch_frost_bonus,IF(Magic!AD118&gt;0,midas_bonus)) +#REF! -#REF!*( 0.02 + tech_5_7*#REF!) + tech_1_5*#REF! + tech_4_4*#REF!, 0.5)</f>
        <v>#REF!</v>
      </c>
      <c r="AI118" s="132" t="e">
        <f>(1 + race_food_bonus + IF(#REF!&gt;0,gaias_blessing_food,IF(#REF!&gt;0,gaias_watch_bonus)) +#REF! + tech_1_1*#REF! + tech_1_4*#REF! + tech_5_1*#REF! +#REF!/ 100*prestige_food_bonus*(1 + tech_8_1*#REF!)) - 1</f>
        <v>#REF!</v>
      </c>
      <c r="AJ118" s="135" t="e">
        <f>race_lumber_bonus+ IF(#REF!&gt;0,gaias_blessing_lumber)+ tech_1_3*#REF! + tech_1_6*#REF! + tech_3_3*#REF!</f>
        <v>#REF!</v>
      </c>
      <c r="AK118" s="135" t="e">
        <f>race_mana_bonus+ 0 +#REF! + tech_1_2*#REF! + tech_3_4*#REF!</f>
        <v>#REF!</v>
      </c>
      <c r="AL118" s="135" t="e">
        <f>race_ore_bonus + IF(#REF!&gt;0,miners_sight_bonus,IF(#REF!&gt;0,mining_strength_bonus)) +  tech_1_6*#REF!</f>
        <v>#REF!</v>
      </c>
      <c r="AM118" s="135" t="e">
        <f>race_gem_bonus+ tech_3_2*#REF! + tech_4_3*#REF! + tech_6_2*#REF!</f>
        <v>#REF!</v>
      </c>
      <c r="AN118" s="134"/>
      <c r="AO118" s="39" t="e">
        <f>#REF!*food_decay * (1 + tech_2_1*#REF! + tech_2_8*#REF!)</f>
        <v>#REF!</v>
      </c>
      <c r="AP118" s="39" t="e">
        <f>(1+race_food_consumption)*#REF!*food_per_person*(1+tech_1_10*#REF!+tech_7_5*#REF!)</f>
        <v>#REF!</v>
      </c>
      <c r="AQ118" s="39" t="e">
        <f>#REF!*lumber_rot * (1 + tech_2_1*#REF! + tech_2_8*#REF! + tech_5_2*#REF!)</f>
        <v>#REF!</v>
      </c>
      <c r="AR118" s="39" t="e">
        <f>#REF!*mana_drain * (1 + tech_2_1*#REF! + tech_2_8*#REF!)</f>
        <v>#REF!</v>
      </c>
      <c r="AS118" s="133"/>
      <c r="AT118" s="39" t="e">
        <f>#REF!+#REF!+#REF!+#REF!+#REF!-#REF!</f>
        <v>#REF!</v>
      </c>
      <c r="AU118" s="39" t="e">
        <f>#REF!+#REF!-#REF! + Military!$CL$25*#REF!</f>
        <v>#REF!</v>
      </c>
      <c r="AV118" s="39" t="e">
        <f>#REF! + Military!$CL$26*#REF!</f>
        <v>#REF!</v>
      </c>
      <c r="AW118" s="39" t="e">
        <f>Military!$CL$24*#REF!+#REF!-#REF!</f>
        <v>#REF!</v>
      </c>
      <c r="AX118" s="39" t="e">
        <f>#REF!-#REF!</f>
        <v>#REF!</v>
      </c>
      <c r="AY118" s="134"/>
      <c r="AZ118" s="61" t="e">
        <f ca="1">IF(#REF!&lt;&gt;"",#REF!,OFFSET(#REF!,-1,0))</f>
        <v>#REF!</v>
      </c>
      <c r="BA118" s="144"/>
      <c r="BB118" s="3" t="e">
        <f>#REF!</f>
        <v>#REF!</v>
      </c>
      <c r="BC118" s="146" t="e">
        <f>-#REF! / 2 + -#REF! * 2 + -#REF! / 2</f>
        <v>#REF!</v>
      </c>
      <c r="BD118" s="146"/>
      <c r="BE118" s="146"/>
      <c r="BF118" s="146"/>
      <c r="BG118" s="147" t="e">
        <f>#REF!</f>
        <v>#REF!</v>
      </c>
      <c r="BH118" s="3" t="e">
        <f>IF(AND(#REF!=0,#REF!=0,#REF!=0,#REF!=0),"",IF(#REF!&gt;0,IF((#REF!+#REF!)/2+#REF!*2+ROUNDUP(#REF!/(1 + tech_2_2*Techs!Y118),0)=0,"Ok","Nope"),IF(#REF!&gt;0,IF((#REF!+#REF!)/2+#REF!*2+ROUNDUP(#REF!/(1 + tech_2_2*Techs!Y118),0)=0,"Ok","Nope"),IF(#REF!&gt;0,IF((#REF!+#REF!)/2+#REF!*2+ROUNDUP(#REF!/(1 + tech_2_2*Techs!Y118),0)=0,"Ok","Nope")))))</f>
        <v>#REF!</v>
      </c>
      <c r="BI118" s="39" t="e">
        <f>#REF!</f>
        <v>#REF!</v>
      </c>
      <c r="BJ118" s="39" t="e">
        <f>#REF!</f>
        <v>#REF!</v>
      </c>
      <c r="BK118" s="39" t="e">
        <f>#REF!</f>
        <v>#REF!</v>
      </c>
      <c r="BL118" s="39" t="e">
        <f>#REF!</f>
        <v>#REF!</v>
      </c>
      <c r="BM118" s="39" t="e">
        <f>#REF!</f>
        <v>#REF!</v>
      </c>
    </row>
    <row r="119" spans="1:65" x14ac:dyDescent="0.25">
      <c r="A119" s="130">
        <v>44</v>
      </c>
      <c r="B119" s="143" t="e">
        <f>#REF!</f>
        <v>#REF!</v>
      </c>
      <c r="C119" s="144"/>
      <c r="D119" s="133"/>
      <c r="E119" s="39" t="e">
        <f>#REF!</f>
        <v>#REF!</v>
      </c>
      <c r="F119" s="39" t="e">
        <f>#REF!</f>
        <v>#REF!</v>
      </c>
      <c r="G119" s="39" t="e">
        <f>#REF!</f>
        <v>#REF!</v>
      </c>
      <c r="H119" s="39" t="e">
        <f ca="1">OFFSET(#REF!,-1,0)+OFFSET(#REF!,-1,0) -#REF! + IF(#REF!,#REF!*4) + SUM(#REF!)*#REF!*tech_3_3_2*#REF!</f>
        <v>#REF!</v>
      </c>
      <c r="I119" s="39" t="e">
        <f ca="1">OFFSET(#REF!,-1,0)+OFFSET(#REF!,-1,0)+ROUNDUP((#REF!*80+#REF!*35)*(1+OFFSET(#REF!,-1,0)),0)</f>
        <v>#REF!</v>
      </c>
      <c r="J119" s="39" t="e">
        <f ca="1">OFFSET(#REF!,-1,0)+OFFSET(#REF!,-1,0) -#REF! + SUM(#REF!)*#REF!*tech_3_3_2*#REF!</f>
        <v>#REF!</v>
      </c>
      <c r="K119" s="39" t="e">
        <f ca="1">OFFSET(#REF!,-1,0)+OFFSET(#REF!,-1,0) -#REF!</f>
        <v>#REF!</v>
      </c>
      <c r="L119" s="39" t="e">
        <f ca="1">OFFSET(#REF!,-1,0)+OFFSET(#REF!,-1,0) -#REF!</f>
        <v>#REF!</v>
      </c>
      <c r="M119" s="39" t="e">
        <f ca="1">OFFSET(#REF!,-1,0)+OFFSET(#REF!,-1,0) -#REF!</f>
        <v>#REF!</v>
      </c>
      <c r="N119" s="39" t="e">
        <f ca="1">OFFSET(#REF!,-1,0)+OFFSET(#REF!,-1,0)</f>
        <v>#REF!</v>
      </c>
      <c r="O119" s="39" t="e">
        <f ca="1">OFFSET(#REF!,-1,0)</f>
        <v>#REF!</v>
      </c>
      <c r="P119" s="39" t="e">
        <f ca="1">ROUNDDOWN(OFFSET(#REF!,-1,0)+(1+research_bonus)*(MIN(#REF!,#REF!*school_max)*(1 - MIN((#REF!/(#REF!-#REF!)),school_max)))-#REF!*#REF!,0) + IF(#REF!&lt;&gt;"",350,0)</f>
        <v>#REF!</v>
      </c>
      <c r="Q119" s="39" t="e">
        <f ca="1">MAX(3750,_xlfn.CEILING.MATH(#REF!*2.5+OFFSET(#REF!,-1,0)*150))</f>
        <v>#REF!</v>
      </c>
      <c r="R119" s="134"/>
      <c r="S119" s="39" t="e">
        <f>ROUNDDOWN(#REF!*(1+#REF!),0)</f>
        <v>#REF!</v>
      </c>
      <c r="T119" s="39" t="e">
        <f>ROUND(#REF!*(1+#REF!)-#REF!-#REF!,0)</f>
        <v>#REF!</v>
      </c>
      <c r="U119" s="39" t="e">
        <f>ROUND(#REF!*(1+#REF!)-#REF!,0)</f>
        <v>#REF!</v>
      </c>
      <c r="V119" s="39" t="e">
        <f>ROUND(#REF!*(1+#REF!)-#REF!,0)</f>
        <v>#REF!</v>
      </c>
      <c r="W119" s="39" t="e">
        <f>ROUNDDOWN(#REF!*(1+#REF!),0)</f>
        <v>#REF!</v>
      </c>
      <c r="X119" s="39" t="e">
        <f>ROUNDDOWN(#REF!*(1+#REF!),0)</f>
        <v>#REF!</v>
      </c>
      <c r="Y119" s="145" t="e">
        <f ca="1">OFFSET(#REF!,1,0)*dock_boats_hr * (1 + tech_4_1*#REF!)</f>
        <v>#REF!</v>
      </c>
      <c r="Z119" s="133"/>
      <c r="AA119" s="39" t="e">
        <f ca="1">#REF!*tax*#REF! + (Construction!AZ120+Construction!BX120)*(alch_plat+(Magic!AM119&gt;0)*alchemist_flame_bonus)</f>
        <v>#REF!</v>
      </c>
      <c r="AB119" s="39" t="e">
        <f>#REF!*farm_food +#REF!* dock_food</f>
        <v>#REF!</v>
      </c>
      <c r="AC119" s="39" t="e">
        <f>#REF!*ly_lumber +#REF!* fh_lumber</f>
        <v>#REF!</v>
      </c>
      <c r="AD119" s="39" t="e">
        <f ca="1">OFFSET(#REF!,1,0)*(tower_mana + tech_4_5*#REF!) + OFFSET(#REF!,1,0)*wg_mana_prod</f>
        <v>#REF!</v>
      </c>
      <c r="AE119" s="39" t="e">
        <f ca="1">OFFSET(#REF!,1,0)*om_ore+IF(race="Dwarf",ROUNDDOWN(#REF!*0.4,0),)</f>
        <v>#REF!</v>
      </c>
      <c r="AF119" s="39" t="e">
        <f ca="1">OFFSET(#REF!,1,0)*dm_gems</f>
        <v>#REF!</v>
      </c>
      <c r="AG119" s="134"/>
      <c r="AH119" s="135" t="e">
        <f>MIN(race_platinum_bonus + IF(#REF!&gt;0,alch_frost_bonus,IF(Magic!AD119&gt;0,midas_bonus)) +#REF! -#REF!*( 0.02 + tech_5_7*#REF!) + tech_1_5*#REF! + tech_4_4*#REF!, 0.5)</f>
        <v>#REF!</v>
      </c>
      <c r="AI119" s="132" t="e">
        <f>(1 + race_food_bonus + IF(#REF!&gt;0,gaias_blessing_food,IF(#REF!&gt;0,gaias_watch_bonus)) +#REF! + tech_1_1*#REF! + tech_1_4*#REF! + tech_5_1*#REF! +#REF!/ 100*prestige_food_bonus*(1 + tech_8_1*#REF!)) - 1</f>
        <v>#REF!</v>
      </c>
      <c r="AJ119" s="135" t="e">
        <f>race_lumber_bonus+ IF(#REF!&gt;0,gaias_blessing_lumber)+ tech_1_3*#REF! + tech_1_6*#REF! + tech_3_3*#REF!</f>
        <v>#REF!</v>
      </c>
      <c r="AK119" s="135" t="e">
        <f>race_mana_bonus+ 0 +#REF! + tech_1_2*#REF! + tech_3_4*#REF!</f>
        <v>#REF!</v>
      </c>
      <c r="AL119" s="135" t="e">
        <f>race_ore_bonus + IF(#REF!&gt;0,miners_sight_bonus,IF(#REF!&gt;0,mining_strength_bonus)) +  tech_1_6*#REF!</f>
        <v>#REF!</v>
      </c>
      <c r="AM119" s="135" t="e">
        <f>race_gem_bonus+ tech_3_2*#REF! + tech_4_3*#REF! + tech_6_2*#REF!</f>
        <v>#REF!</v>
      </c>
      <c r="AN119" s="134"/>
      <c r="AO119" s="39" t="e">
        <f>#REF!*food_decay * (1 + tech_2_1*#REF! + tech_2_8*#REF!)</f>
        <v>#REF!</v>
      </c>
      <c r="AP119" s="39" t="e">
        <f>(1+race_food_consumption)*#REF!*food_per_person*(1+tech_1_10*#REF!+tech_7_5*#REF!)</f>
        <v>#REF!</v>
      </c>
      <c r="AQ119" s="39" t="e">
        <f>#REF!*lumber_rot * (1 + tech_2_1*#REF! + tech_2_8*#REF! + tech_5_2*#REF!)</f>
        <v>#REF!</v>
      </c>
      <c r="AR119" s="39" t="e">
        <f>#REF!*mana_drain * (1 + tech_2_1*#REF! + tech_2_8*#REF!)</f>
        <v>#REF!</v>
      </c>
      <c r="AS119" s="133"/>
      <c r="AT119" s="39" t="e">
        <f>#REF!+#REF!+#REF!+#REF!+#REF!-#REF!</f>
        <v>#REF!</v>
      </c>
      <c r="AU119" s="39" t="e">
        <f>#REF!+#REF!-#REF! + Military!$CL$25*#REF!</f>
        <v>#REF!</v>
      </c>
      <c r="AV119" s="39" t="e">
        <f>#REF! + Military!$CL$26*#REF!</f>
        <v>#REF!</v>
      </c>
      <c r="AW119" s="39" t="e">
        <f>Military!$CL$24*#REF!+#REF!-#REF!</f>
        <v>#REF!</v>
      </c>
      <c r="AX119" s="39" t="e">
        <f>#REF!-#REF!</f>
        <v>#REF!</v>
      </c>
      <c r="AY119" s="134"/>
      <c r="AZ119" s="61" t="e">
        <f ca="1">IF(#REF!&lt;&gt;"",#REF!,OFFSET(#REF!,-1,0))</f>
        <v>#REF!</v>
      </c>
      <c r="BA119" s="144"/>
      <c r="BB119" s="3" t="e">
        <f>#REF!</f>
        <v>#REF!</v>
      </c>
      <c r="BC119" s="146" t="e">
        <f>-#REF! / 2 + -#REF! * 2 + -#REF! / 2</f>
        <v>#REF!</v>
      </c>
      <c r="BD119" s="146"/>
      <c r="BE119" s="146"/>
      <c r="BF119" s="146"/>
      <c r="BG119" s="147" t="e">
        <f>#REF!</f>
        <v>#REF!</v>
      </c>
      <c r="BH119" s="3" t="e">
        <f>IF(AND(#REF!=0,#REF!=0,#REF!=0,#REF!=0),"",IF(#REF!&gt;0,IF((#REF!+#REF!)/2+#REF!*2+ROUNDUP(#REF!/(1 + tech_2_2*Techs!Y119),0)=0,"Ok","Nope"),IF(#REF!&gt;0,IF((#REF!+#REF!)/2+#REF!*2+ROUNDUP(#REF!/(1 + tech_2_2*Techs!Y119),0)=0,"Ok","Nope"),IF(#REF!&gt;0,IF((#REF!+#REF!)/2+#REF!*2+ROUNDUP(#REF!/(1 + tech_2_2*Techs!Y119),0)=0,"Ok","Nope")))))</f>
        <v>#REF!</v>
      </c>
      <c r="BI119" s="39" t="e">
        <f>#REF!</f>
        <v>#REF!</v>
      </c>
      <c r="BJ119" s="39" t="e">
        <f>#REF!</f>
        <v>#REF!</v>
      </c>
      <c r="BK119" s="39" t="e">
        <f>#REF!</f>
        <v>#REF!</v>
      </c>
      <c r="BL119" s="39" t="e">
        <f>#REF!</f>
        <v>#REF!</v>
      </c>
      <c r="BM119" s="39" t="e">
        <f>#REF!</f>
        <v>#REF!</v>
      </c>
    </row>
    <row r="120" spans="1:65" x14ac:dyDescent="0.25">
      <c r="A120" s="130">
        <v>45</v>
      </c>
      <c r="B120" s="143" t="e">
        <f>#REF!</f>
        <v>#REF!</v>
      </c>
      <c r="C120" s="144"/>
      <c r="D120" s="133"/>
      <c r="E120" s="39" t="e">
        <f>#REF!</f>
        <v>#REF!</v>
      </c>
      <c r="F120" s="39" t="e">
        <f>#REF!</f>
        <v>#REF!</v>
      </c>
      <c r="G120" s="39" t="e">
        <f>#REF!</f>
        <v>#REF!</v>
      </c>
      <c r="H120" s="39" t="e">
        <f ca="1">OFFSET(#REF!,-1,0)+OFFSET(#REF!,-1,0) -#REF! + IF(#REF!,#REF!*4) + SUM(#REF!)*#REF!*tech_3_3_2*#REF!</f>
        <v>#REF!</v>
      </c>
      <c r="I120" s="39" t="e">
        <f ca="1">OFFSET(#REF!,-1,0)+OFFSET(#REF!,-1,0)+ROUNDUP((#REF!*80+#REF!*35)*(1+OFFSET(#REF!,-1,0)),0)</f>
        <v>#REF!</v>
      </c>
      <c r="J120" s="39" t="e">
        <f ca="1">OFFSET(#REF!,-1,0)+OFFSET(#REF!,-1,0) -#REF! + SUM(#REF!)*#REF!*tech_3_3_2*#REF!</f>
        <v>#REF!</v>
      </c>
      <c r="K120" s="39" t="e">
        <f ca="1">OFFSET(#REF!,-1,0)+OFFSET(#REF!,-1,0) -#REF!</f>
        <v>#REF!</v>
      </c>
      <c r="L120" s="39" t="e">
        <f ca="1">OFFSET(#REF!,-1,0)+OFFSET(#REF!,-1,0) -#REF!</f>
        <v>#REF!</v>
      </c>
      <c r="M120" s="39" t="e">
        <f ca="1">OFFSET(#REF!,-1,0)+OFFSET(#REF!,-1,0) -#REF!</f>
        <v>#REF!</v>
      </c>
      <c r="N120" s="39" t="e">
        <f ca="1">OFFSET(#REF!,-1,0)+OFFSET(#REF!,-1,0)</f>
        <v>#REF!</v>
      </c>
      <c r="O120" s="39" t="e">
        <f ca="1">OFFSET(#REF!,-1,0)</f>
        <v>#REF!</v>
      </c>
      <c r="P120" s="39" t="e">
        <f ca="1">ROUNDDOWN(OFFSET(#REF!,-1,0)+(1+research_bonus)*(MIN(#REF!,#REF!*school_max)*(1 - MIN((#REF!/(#REF!-#REF!)),school_max)))-#REF!*#REF!,0) + IF(#REF!&lt;&gt;"",350,0)</f>
        <v>#REF!</v>
      </c>
      <c r="Q120" s="39" t="e">
        <f ca="1">MAX(3750,_xlfn.CEILING.MATH(#REF!*2.5+OFFSET(#REF!,-1,0)*150))</f>
        <v>#REF!</v>
      </c>
      <c r="R120" s="134"/>
      <c r="S120" s="39" t="e">
        <f>ROUNDDOWN(#REF!*(1+#REF!),0)</f>
        <v>#REF!</v>
      </c>
      <c r="T120" s="39" t="e">
        <f>ROUND(#REF!*(1+#REF!)-#REF!-#REF!,0)</f>
        <v>#REF!</v>
      </c>
      <c r="U120" s="39" t="e">
        <f>ROUND(#REF!*(1+#REF!)-#REF!,0)</f>
        <v>#REF!</v>
      </c>
      <c r="V120" s="39" t="e">
        <f>ROUND(#REF!*(1+#REF!)-#REF!,0)</f>
        <v>#REF!</v>
      </c>
      <c r="W120" s="39" t="e">
        <f>ROUNDDOWN(#REF!*(1+#REF!),0)</f>
        <v>#REF!</v>
      </c>
      <c r="X120" s="39" t="e">
        <f>ROUNDDOWN(#REF!*(1+#REF!),0)</f>
        <v>#REF!</v>
      </c>
      <c r="Y120" s="145" t="e">
        <f ca="1">OFFSET(#REF!,1,0)*dock_boats_hr * (1 + tech_4_1*#REF!)</f>
        <v>#REF!</v>
      </c>
      <c r="Z120" s="133"/>
      <c r="AA120" s="39" t="e">
        <f ca="1">#REF!*tax*#REF! + (Construction!AZ121+Construction!BX121)*(alch_plat+(Magic!AM120&gt;0)*alchemist_flame_bonus)</f>
        <v>#REF!</v>
      </c>
      <c r="AB120" s="39" t="e">
        <f>#REF!*farm_food +#REF!* dock_food</f>
        <v>#REF!</v>
      </c>
      <c r="AC120" s="39" t="e">
        <f>#REF!*ly_lumber +#REF!* fh_lumber</f>
        <v>#REF!</v>
      </c>
      <c r="AD120" s="39" t="e">
        <f ca="1">OFFSET(#REF!,1,0)*(tower_mana + tech_4_5*#REF!) + OFFSET(#REF!,1,0)*wg_mana_prod</f>
        <v>#REF!</v>
      </c>
      <c r="AE120" s="39" t="e">
        <f ca="1">OFFSET(#REF!,1,0)*om_ore+IF(race="Dwarf",ROUNDDOWN(#REF!*0.4,0),)</f>
        <v>#REF!</v>
      </c>
      <c r="AF120" s="39" t="e">
        <f ca="1">OFFSET(#REF!,1,0)*dm_gems</f>
        <v>#REF!</v>
      </c>
      <c r="AG120" s="134"/>
      <c r="AH120" s="135" t="e">
        <f>MIN(race_platinum_bonus + IF(#REF!&gt;0,alch_frost_bonus,IF(Magic!AD120&gt;0,midas_bonus)) +#REF! -#REF!*( 0.02 + tech_5_7*#REF!) + tech_1_5*#REF! + tech_4_4*#REF!, 0.5)</f>
        <v>#REF!</v>
      </c>
      <c r="AI120" s="132" t="e">
        <f>(1 + race_food_bonus + IF(#REF!&gt;0,gaias_blessing_food,IF(#REF!&gt;0,gaias_watch_bonus)) +#REF! + tech_1_1*#REF! + tech_1_4*#REF! + tech_5_1*#REF! +#REF!/ 100*prestige_food_bonus*(1 + tech_8_1*#REF!)) - 1</f>
        <v>#REF!</v>
      </c>
      <c r="AJ120" s="135" t="e">
        <f>race_lumber_bonus+ IF(#REF!&gt;0,gaias_blessing_lumber)+ tech_1_3*#REF! + tech_1_6*#REF! + tech_3_3*#REF!</f>
        <v>#REF!</v>
      </c>
      <c r="AK120" s="135" t="e">
        <f>race_mana_bonus+ 0 +#REF! + tech_1_2*#REF! + tech_3_4*#REF!</f>
        <v>#REF!</v>
      </c>
      <c r="AL120" s="135" t="e">
        <f>race_ore_bonus + IF(#REF!&gt;0,miners_sight_bonus,IF(#REF!&gt;0,mining_strength_bonus)) +  tech_1_6*#REF!</f>
        <v>#REF!</v>
      </c>
      <c r="AM120" s="135" t="e">
        <f>race_gem_bonus+ tech_3_2*#REF! + tech_4_3*#REF! + tech_6_2*#REF!</f>
        <v>#REF!</v>
      </c>
      <c r="AN120" s="134"/>
      <c r="AO120" s="39" t="e">
        <f>#REF!*food_decay * (1 + tech_2_1*#REF! + tech_2_8*#REF!)</f>
        <v>#REF!</v>
      </c>
      <c r="AP120" s="39" t="e">
        <f>(1+race_food_consumption)*#REF!*food_per_person*(1+tech_1_10*#REF!+tech_7_5*#REF!)</f>
        <v>#REF!</v>
      </c>
      <c r="AQ120" s="39" t="e">
        <f>#REF!*lumber_rot * (1 + tech_2_1*#REF! + tech_2_8*#REF! + tech_5_2*#REF!)</f>
        <v>#REF!</v>
      </c>
      <c r="AR120" s="39" t="e">
        <f>#REF!*mana_drain * (1 + tech_2_1*#REF! + tech_2_8*#REF!)</f>
        <v>#REF!</v>
      </c>
      <c r="AS120" s="133"/>
      <c r="AT120" s="39" t="e">
        <f>#REF!+#REF!+#REF!+#REF!+#REF!-#REF!</f>
        <v>#REF!</v>
      </c>
      <c r="AU120" s="39" t="e">
        <f>#REF!+#REF!-#REF! + Military!$CL$25*#REF!</f>
        <v>#REF!</v>
      </c>
      <c r="AV120" s="39" t="e">
        <f>#REF! + Military!$CL$26*#REF!</f>
        <v>#REF!</v>
      </c>
      <c r="AW120" s="39" t="e">
        <f>Military!$CL$24*#REF!+#REF!-#REF!</f>
        <v>#REF!</v>
      </c>
      <c r="AX120" s="39" t="e">
        <f>#REF!-#REF!</f>
        <v>#REF!</v>
      </c>
      <c r="AY120" s="134"/>
      <c r="AZ120" s="61" t="e">
        <f ca="1">IF(#REF!&lt;&gt;"",#REF!,OFFSET(#REF!,-1,0))</f>
        <v>#REF!</v>
      </c>
      <c r="BA120" s="144"/>
      <c r="BB120" s="3" t="e">
        <f>#REF!</f>
        <v>#REF!</v>
      </c>
      <c r="BC120" s="146" t="e">
        <f>-#REF! / 2 + -#REF! * 2 + -#REF! / 2</f>
        <v>#REF!</v>
      </c>
      <c r="BD120" s="146"/>
      <c r="BE120" s="146"/>
      <c r="BF120" s="146"/>
      <c r="BG120" s="147" t="e">
        <f>#REF!</f>
        <v>#REF!</v>
      </c>
      <c r="BH120" s="3" t="e">
        <f>IF(AND(#REF!=0,#REF!=0,#REF!=0,#REF!=0),"",IF(#REF!&gt;0,IF((#REF!+#REF!)/2+#REF!*2+ROUNDUP(#REF!/(1 + tech_2_2*Techs!Y120),0)=0,"Ok","Nope"),IF(#REF!&gt;0,IF((#REF!+#REF!)/2+#REF!*2+ROUNDUP(#REF!/(1 + tech_2_2*Techs!Y120),0)=0,"Ok","Nope"),IF(#REF!&gt;0,IF((#REF!+#REF!)/2+#REF!*2+ROUNDUP(#REF!/(1 + tech_2_2*Techs!Y120),0)=0,"Ok","Nope")))))</f>
        <v>#REF!</v>
      </c>
      <c r="BI120" s="39" t="e">
        <f>#REF!</f>
        <v>#REF!</v>
      </c>
      <c r="BJ120" s="39" t="e">
        <f>#REF!</f>
        <v>#REF!</v>
      </c>
      <c r="BK120" s="39" t="e">
        <f>#REF!</f>
        <v>#REF!</v>
      </c>
      <c r="BL120" s="39" t="e">
        <f>#REF!</f>
        <v>#REF!</v>
      </c>
      <c r="BM120" s="39" t="e">
        <f>#REF!</f>
        <v>#REF!</v>
      </c>
    </row>
    <row r="121" spans="1:65" x14ac:dyDescent="0.25">
      <c r="A121" s="130">
        <v>46</v>
      </c>
      <c r="B121" s="143" t="e">
        <f>#REF!</f>
        <v>#REF!</v>
      </c>
      <c r="C121" s="144"/>
      <c r="D121" s="133"/>
      <c r="E121" s="39" t="e">
        <f>#REF!</f>
        <v>#REF!</v>
      </c>
      <c r="F121" s="39" t="e">
        <f>#REF!</f>
        <v>#REF!</v>
      </c>
      <c r="G121" s="39" t="e">
        <f>#REF!</f>
        <v>#REF!</v>
      </c>
      <c r="H121" s="39" t="e">
        <f ca="1">OFFSET(#REF!,-1,0)+OFFSET(#REF!,-1,0) -#REF! + IF(#REF!,#REF!*4) + SUM(#REF!)*#REF!*tech_3_3_2*#REF!</f>
        <v>#REF!</v>
      </c>
      <c r="I121" s="39" t="e">
        <f ca="1">OFFSET(#REF!,-1,0)+OFFSET(#REF!,-1,0)+ROUNDUP((#REF!*80+#REF!*35)*(1+OFFSET(#REF!,-1,0)),0)</f>
        <v>#REF!</v>
      </c>
      <c r="J121" s="39" t="e">
        <f ca="1">OFFSET(#REF!,-1,0)+OFFSET(#REF!,-1,0) -#REF! + SUM(#REF!)*#REF!*tech_3_3_2*#REF!</f>
        <v>#REF!</v>
      </c>
      <c r="K121" s="39" t="e">
        <f ca="1">OFFSET(#REF!,-1,0)+OFFSET(#REF!,-1,0) -#REF!</f>
        <v>#REF!</v>
      </c>
      <c r="L121" s="39" t="e">
        <f ca="1">OFFSET(#REF!,-1,0)+OFFSET(#REF!,-1,0) -#REF!</f>
        <v>#REF!</v>
      </c>
      <c r="M121" s="39" t="e">
        <f ca="1">OFFSET(#REF!,-1,0)+OFFSET(#REF!,-1,0) -#REF!</f>
        <v>#REF!</v>
      </c>
      <c r="N121" s="39" t="e">
        <f ca="1">OFFSET(#REF!,-1,0)+OFFSET(#REF!,-1,0)</f>
        <v>#REF!</v>
      </c>
      <c r="O121" s="39" t="e">
        <f ca="1">OFFSET(#REF!,-1,0)</f>
        <v>#REF!</v>
      </c>
      <c r="P121" s="39" t="e">
        <f ca="1">ROUNDDOWN(OFFSET(#REF!,-1,0)+(1+research_bonus)*(MIN(#REF!,#REF!*school_max)*(1 - MIN((#REF!/(#REF!-#REF!)),school_max)))-#REF!*#REF!,0) + IF(#REF!&lt;&gt;"",350,0)</f>
        <v>#REF!</v>
      </c>
      <c r="Q121" s="39" t="e">
        <f ca="1">MAX(3750,_xlfn.CEILING.MATH(#REF!*2.5+OFFSET(#REF!,-1,0)*150))</f>
        <v>#REF!</v>
      </c>
      <c r="R121" s="134"/>
      <c r="S121" s="39" t="e">
        <f>ROUNDDOWN(#REF!*(1+#REF!),0)</f>
        <v>#REF!</v>
      </c>
      <c r="T121" s="39" t="e">
        <f>ROUND(#REF!*(1+#REF!)-#REF!-#REF!,0)</f>
        <v>#REF!</v>
      </c>
      <c r="U121" s="39" t="e">
        <f>ROUND(#REF!*(1+#REF!)-#REF!,0)</f>
        <v>#REF!</v>
      </c>
      <c r="V121" s="39" t="e">
        <f>ROUND(#REF!*(1+#REF!)-#REF!,0)</f>
        <v>#REF!</v>
      </c>
      <c r="W121" s="39" t="e">
        <f>ROUNDDOWN(#REF!*(1+#REF!),0)</f>
        <v>#REF!</v>
      </c>
      <c r="X121" s="39" t="e">
        <f>ROUNDDOWN(#REF!*(1+#REF!),0)</f>
        <v>#REF!</v>
      </c>
      <c r="Y121" s="145" t="e">
        <f ca="1">OFFSET(#REF!,1,0)*dock_boats_hr * (1 + tech_4_1*#REF!)</f>
        <v>#REF!</v>
      </c>
      <c r="Z121" s="133"/>
      <c r="AA121" s="39" t="e">
        <f ca="1">#REF!*tax*#REF! + (Construction!AZ122+Construction!BX122)*(alch_plat+(Magic!AM121&gt;0)*alchemist_flame_bonus)</f>
        <v>#REF!</v>
      </c>
      <c r="AB121" s="39" t="e">
        <f>#REF!*farm_food +#REF!* dock_food</f>
        <v>#REF!</v>
      </c>
      <c r="AC121" s="39" t="e">
        <f>#REF!*ly_lumber +#REF!* fh_lumber</f>
        <v>#REF!</v>
      </c>
      <c r="AD121" s="39" t="e">
        <f ca="1">OFFSET(#REF!,1,0)*(tower_mana + tech_4_5*#REF!) + OFFSET(#REF!,1,0)*wg_mana_prod</f>
        <v>#REF!</v>
      </c>
      <c r="AE121" s="39" t="e">
        <f ca="1">OFFSET(#REF!,1,0)*om_ore+IF(race="Dwarf",ROUNDDOWN(#REF!*0.4,0),)</f>
        <v>#REF!</v>
      </c>
      <c r="AF121" s="39" t="e">
        <f ca="1">OFFSET(#REF!,1,0)*dm_gems</f>
        <v>#REF!</v>
      </c>
      <c r="AG121" s="134"/>
      <c r="AH121" s="135" t="e">
        <f>MIN(race_platinum_bonus + IF(#REF!&gt;0,alch_frost_bonus,IF(Magic!AD121&gt;0,midas_bonus)) +#REF! -#REF!*( 0.02 + tech_5_7*#REF!) + tech_1_5*#REF! + tech_4_4*#REF!, 0.5)</f>
        <v>#REF!</v>
      </c>
      <c r="AI121" s="132" t="e">
        <f>(1 + race_food_bonus + IF(#REF!&gt;0,gaias_blessing_food,IF(#REF!&gt;0,gaias_watch_bonus)) +#REF! + tech_1_1*#REF! + tech_1_4*#REF! + tech_5_1*#REF! +#REF!/ 100*prestige_food_bonus*(1 + tech_8_1*#REF!)) - 1</f>
        <v>#REF!</v>
      </c>
      <c r="AJ121" s="135" t="e">
        <f>race_lumber_bonus+ IF(#REF!&gt;0,gaias_blessing_lumber)+ tech_1_3*#REF! + tech_1_6*#REF! + tech_3_3*#REF!</f>
        <v>#REF!</v>
      </c>
      <c r="AK121" s="135" t="e">
        <f>race_mana_bonus+ 0 +#REF! + tech_1_2*#REF! + tech_3_4*#REF!</f>
        <v>#REF!</v>
      </c>
      <c r="AL121" s="135" t="e">
        <f>race_ore_bonus + IF(#REF!&gt;0,miners_sight_bonus,IF(#REF!&gt;0,mining_strength_bonus)) +  tech_1_6*#REF!</f>
        <v>#REF!</v>
      </c>
      <c r="AM121" s="135" t="e">
        <f>race_gem_bonus+ tech_3_2*#REF! + tech_4_3*#REF! + tech_6_2*#REF!</f>
        <v>#REF!</v>
      </c>
      <c r="AN121" s="134"/>
      <c r="AO121" s="39" t="e">
        <f>#REF!*food_decay * (1 + tech_2_1*#REF! + tech_2_8*#REF!)</f>
        <v>#REF!</v>
      </c>
      <c r="AP121" s="39" t="e">
        <f>(1+race_food_consumption)*#REF!*food_per_person*(1+tech_1_10*#REF!+tech_7_5*#REF!)</f>
        <v>#REF!</v>
      </c>
      <c r="AQ121" s="39" t="e">
        <f>#REF!*lumber_rot * (1 + tech_2_1*#REF! + tech_2_8*#REF! + tech_5_2*#REF!)</f>
        <v>#REF!</v>
      </c>
      <c r="AR121" s="39" t="e">
        <f>#REF!*mana_drain * (1 + tech_2_1*#REF! + tech_2_8*#REF!)</f>
        <v>#REF!</v>
      </c>
      <c r="AS121" s="133"/>
      <c r="AT121" s="39" t="e">
        <f>#REF!+#REF!+#REF!+#REF!+#REF!-#REF!</f>
        <v>#REF!</v>
      </c>
      <c r="AU121" s="39" t="e">
        <f>#REF!+#REF!-#REF! + Military!$CL$25*#REF!</f>
        <v>#REF!</v>
      </c>
      <c r="AV121" s="39" t="e">
        <f>#REF! + Military!$CL$26*#REF!</f>
        <v>#REF!</v>
      </c>
      <c r="AW121" s="39" t="e">
        <f>Military!$CL$24*#REF!+#REF!-#REF!</f>
        <v>#REF!</v>
      </c>
      <c r="AX121" s="39" t="e">
        <f>#REF!-#REF!</f>
        <v>#REF!</v>
      </c>
      <c r="AY121" s="134"/>
      <c r="AZ121" s="61" t="e">
        <f ca="1">IF(#REF!&lt;&gt;"",#REF!,OFFSET(#REF!,-1,0))</f>
        <v>#REF!</v>
      </c>
      <c r="BA121" s="144"/>
      <c r="BB121" s="3" t="e">
        <f>#REF!</f>
        <v>#REF!</v>
      </c>
      <c r="BC121" s="146" t="e">
        <f>-#REF! / 2 + -#REF! * 2 + -#REF! / 2</f>
        <v>#REF!</v>
      </c>
      <c r="BD121" s="146"/>
      <c r="BE121" s="146"/>
      <c r="BF121" s="146"/>
      <c r="BG121" s="147" t="e">
        <f>#REF!</f>
        <v>#REF!</v>
      </c>
      <c r="BH121" s="3" t="e">
        <f>IF(AND(#REF!=0,#REF!=0,#REF!=0,#REF!=0),"",IF(#REF!&gt;0,IF((#REF!+#REF!)/2+#REF!*2+ROUNDUP(#REF!/(1 + tech_2_2*Techs!Y121),0)=0,"Ok","Nope"),IF(#REF!&gt;0,IF((#REF!+#REF!)/2+#REF!*2+ROUNDUP(#REF!/(1 + tech_2_2*Techs!Y121),0)=0,"Ok","Nope"),IF(#REF!&gt;0,IF((#REF!+#REF!)/2+#REF!*2+ROUNDUP(#REF!/(1 + tech_2_2*Techs!Y121),0)=0,"Ok","Nope")))))</f>
        <v>#REF!</v>
      </c>
      <c r="BI121" s="39" t="e">
        <f>#REF!</f>
        <v>#REF!</v>
      </c>
      <c r="BJ121" s="39" t="e">
        <f>#REF!</f>
        <v>#REF!</v>
      </c>
      <c r="BK121" s="39" t="e">
        <f>#REF!</f>
        <v>#REF!</v>
      </c>
      <c r="BL121" s="39" t="e">
        <f>#REF!</f>
        <v>#REF!</v>
      </c>
      <c r="BM121" s="39" t="e">
        <f>#REF!</f>
        <v>#REF!</v>
      </c>
    </row>
    <row r="122" spans="1:65" x14ac:dyDescent="0.25">
      <c r="A122" s="130">
        <v>47</v>
      </c>
      <c r="B122" s="143" t="e">
        <f>#REF!</f>
        <v>#REF!</v>
      </c>
      <c r="C122" s="144"/>
      <c r="D122" s="133"/>
      <c r="E122" s="39" t="e">
        <f>#REF!</f>
        <v>#REF!</v>
      </c>
      <c r="F122" s="39" t="e">
        <f>#REF!</f>
        <v>#REF!</v>
      </c>
      <c r="G122" s="39" t="e">
        <f>#REF!</f>
        <v>#REF!</v>
      </c>
      <c r="H122" s="39" t="e">
        <f ca="1">OFFSET(#REF!,-1,0)+OFFSET(#REF!,-1,0) -#REF! + IF(#REF!,#REF!*4) + SUM(#REF!)*#REF!*tech_3_3_2*#REF!</f>
        <v>#REF!</v>
      </c>
      <c r="I122" s="39" t="e">
        <f ca="1">OFFSET(#REF!,-1,0)+OFFSET(#REF!,-1,0)+ROUNDUP((#REF!*80+#REF!*35)*(1+OFFSET(#REF!,-1,0)),0)</f>
        <v>#REF!</v>
      </c>
      <c r="J122" s="39" t="e">
        <f ca="1">OFFSET(#REF!,-1,0)+OFFSET(#REF!,-1,0) -#REF! + SUM(#REF!)*#REF!*tech_3_3_2*#REF!</f>
        <v>#REF!</v>
      </c>
      <c r="K122" s="39" t="e">
        <f ca="1">OFFSET(#REF!,-1,0)+OFFSET(#REF!,-1,0) -#REF!</f>
        <v>#REF!</v>
      </c>
      <c r="L122" s="39" t="e">
        <f ca="1">OFFSET(#REF!,-1,0)+OFFSET(#REF!,-1,0) -#REF!</f>
        <v>#REF!</v>
      </c>
      <c r="M122" s="39" t="e">
        <f ca="1">OFFSET(#REF!,-1,0)+OFFSET(#REF!,-1,0) -#REF!</f>
        <v>#REF!</v>
      </c>
      <c r="N122" s="39" t="e">
        <f ca="1">OFFSET(#REF!,-1,0)+OFFSET(#REF!,-1,0)</f>
        <v>#REF!</v>
      </c>
      <c r="O122" s="39" t="e">
        <f ca="1">OFFSET(#REF!,-1,0)</f>
        <v>#REF!</v>
      </c>
      <c r="P122" s="39" t="e">
        <f ca="1">ROUNDDOWN(OFFSET(#REF!,-1,0)+(1+research_bonus)*(MIN(#REF!,#REF!*school_max)*(1 - MIN((#REF!/(#REF!-#REF!)),school_max)))-#REF!*#REF!,0) + IF(#REF!&lt;&gt;"",350,0)</f>
        <v>#REF!</v>
      </c>
      <c r="Q122" s="39" t="e">
        <f ca="1">MAX(3750,_xlfn.CEILING.MATH(#REF!*2.5+OFFSET(#REF!,-1,0)*150))</f>
        <v>#REF!</v>
      </c>
      <c r="R122" s="134"/>
      <c r="S122" s="39" t="e">
        <f>ROUNDDOWN(#REF!*(1+#REF!),0)</f>
        <v>#REF!</v>
      </c>
      <c r="T122" s="39" t="e">
        <f>ROUND(#REF!*(1+#REF!)-#REF!-#REF!,0)</f>
        <v>#REF!</v>
      </c>
      <c r="U122" s="39" t="e">
        <f>ROUND(#REF!*(1+#REF!)-#REF!,0)</f>
        <v>#REF!</v>
      </c>
      <c r="V122" s="39" t="e">
        <f>ROUND(#REF!*(1+#REF!)-#REF!,0)</f>
        <v>#REF!</v>
      </c>
      <c r="W122" s="39" t="e">
        <f>ROUNDDOWN(#REF!*(1+#REF!),0)</f>
        <v>#REF!</v>
      </c>
      <c r="X122" s="39" t="e">
        <f>ROUNDDOWN(#REF!*(1+#REF!),0)</f>
        <v>#REF!</v>
      </c>
      <c r="Y122" s="145" t="e">
        <f ca="1">OFFSET(#REF!,1,0)*dock_boats_hr * (1 + tech_4_1*#REF!)</f>
        <v>#REF!</v>
      </c>
      <c r="Z122" s="133"/>
      <c r="AA122" s="39" t="e">
        <f ca="1">#REF!*tax*#REF! + (Construction!AZ123+Construction!BX123)*(alch_plat+(Magic!AM122&gt;0)*alchemist_flame_bonus)</f>
        <v>#REF!</v>
      </c>
      <c r="AB122" s="39" t="e">
        <f>#REF!*farm_food +#REF!* dock_food</f>
        <v>#REF!</v>
      </c>
      <c r="AC122" s="39" t="e">
        <f>#REF!*ly_lumber +#REF!* fh_lumber</f>
        <v>#REF!</v>
      </c>
      <c r="AD122" s="39" t="e">
        <f ca="1">OFFSET(#REF!,1,0)*(tower_mana + tech_4_5*#REF!) + OFFSET(#REF!,1,0)*wg_mana_prod</f>
        <v>#REF!</v>
      </c>
      <c r="AE122" s="39" t="e">
        <f ca="1">OFFSET(#REF!,1,0)*om_ore+IF(race="Dwarf",ROUNDDOWN(#REF!*0.4,0),)</f>
        <v>#REF!</v>
      </c>
      <c r="AF122" s="39" t="e">
        <f ca="1">OFFSET(#REF!,1,0)*dm_gems</f>
        <v>#REF!</v>
      </c>
      <c r="AG122" s="134"/>
      <c r="AH122" s="135" t="e">
        <f>MIN(race_platinum_bonus + IF(#REF!&gt;0,alch_frost_bonus,IF(Magic!AD122&gt;0,midas_bonus)) +#REF! -#REF!*( 0.02 + tech_5_7*#REF!) + tech_1_5*#REF! + tech_4_4*#REF!, 0.5)</f>
        <v>#REF!</v>
      </c>
      <c r="AI122" s="132" t="e">
        <f>(1 + race_food_bonus + IF(#REF!&gt;0,gaias_blessing_food,IF(#REF!&gt;0,gaias_watch_bonus)) +#REF! + tech_1_1*#REF! + tech_1_4*#REF! + tech_5_1*#REF! +#REF!/ 100*prestige_food_bonus*(1 + tech_8_1*#REF!)) - 1</f>
        <v>#REF!</v>
      </c>
      <c r="AJ122" s="135" t="e">
        <f>race_lumber_bonus+ IF(#REF!&gt;0,gaias_blessing_lumber)+ tech_1_3*#REF! + tech_1_6*#REF! + tech_3_3*#REF!</f>
        <v>#REF!</v>
      </c>
      <c r="AK122" s="135" t="e">
        <f>race_mana_bonus+ 0 +#REF! + tech_1_2*#REF! + tech_3_4*#REF!</f>
        <v>#REF!</v>
      </c>
      <c r="AL122" s="135" t="e">
        <f>race_ore_bonus + IF(#REF!&gt;0,miners_sight_bonus,IF(#REF!&gt;0,mining_strength_bonus)) +  tech_1_6*#REF!</f>
        <v>#REF!</v>
      </c>
      <c r="AM122" s="135" t="e">
        <f>race_gem_bonus+ tech_3_2*#REF! + tech_4_3*#REF! + tech_6_2*#REF!</f>
        <v>#REF!</v>
      </c>
      <c r="AN122" s="134"/>
      <c r="AO122" s="39" t="e">
        <f>#REF!*food_decay * (1 + tech_2_1*#REF! + tech_2_8*#REF!)</f>
        <v>#REF!</v>
      </c>
      <c r="AP122" s="39" t="e">
        <f>(1+race_food_consumption)*#REF!*food_per_person*(1+tech_1_10*#REF!+tech_7_5*#REF!)</f>
        <v>#REF!</v>
      </c>
      <c r="AQ122" s="39" t="e">
        <f>#REF!*lumber_rot * (1 + tech_2_1*#REF! + tech_2_8*#REF! + tech_5_2*#REF!)</f>
        <v>#REF!</v>
      </c>
      <c r="AR122" s="39" t="e">
        <f>#REF!*mana_drain * (1 + tech_2_1*#REF! + tech_2_8*#REF!)</f>
        <v>#REF!</v>
      </c>
      <c r="AS122" s="133"/>
      <c r="AT122" s="39" t="e">
        <f>#REF!+#REF!+#REF!+#REF!+#REF!-#REF!</f>
        <v>#REF!</v>
      </c>
      <c r="AU122" s="39" t="e">
        <f>#REF!+#REF!-#REF! + Military!$CL$25*#REF!</f>
        <v>#REF!</v>
      </c>
      <c r="AV122" s="39" t="e">
        <f>#REF! + Military!$CL$26*#REF!</f>
        <v>#REF!</v>
      </c>
      <c r="AW122" s="39" t="e">
        <f>Military!$CL$24*#REF!+#REF!-#REF!</f>
        <v>#REF!</v>
      </c>
      <c r="AX122" s="39" t="e">
        <f>#REF!-#REF!</f>
        <v>#REF!</v>
      </c>
      <c r="AY122" s="134"/>
      <c r="AZ122" s="61" t="e">
        <f ca="1">IF(#REF!&lt;&gt;"",#REF!,OFFSET(#REF!,-1,0))</f>
        <v>#REF!</v>
      </c>
      <c r="BA122" s="144"/>
      <c r="BB122" s="3" t="e">
        <f>#REF!</f>
        <v>#REF!</v>
      </c>
      <c r="BC122" s="146" t="e">
        <f>-#REF! / 2 + -#REF! * 2 + -#REF! / 2</f>
        <v>#REF!</v>
      </c>
      <c r="BD122" s="146"/>
      <c r="BE122" s="146"/>
      <c r="BF122" s="146"/>
      <c r="BG122" s="147" t="e">
        <f>#REF!</f>
        <v>#REF!</v>
      </c>
      <c r="BH122" s="3" t="e">
        <f>IF(AND(#REF!=0,#REF!=0,#REF!=0,#REF!=0),"",IF(#REF!&gt;0,IF((#REF!+#REF!)/2+#REF!*2+ROUNDUP(#REF!/(1 + tech_2_2*Techs!Y122),0)=0,"Ok","Nope"),IF(#REF!&gt;0,IF((#REF!+#REF!)/2+#REF!*2+ROUNDUP(#REF!/(1 + tech_2_2*Techs!Y122),0)=0,"Ok","Nope"),IF(#REF!&gt;0,IF((#REF!+#REF!)/2+#REF!*2+ROUNDUP(#REF!/(1 + tech_2_2*Techs!Y122),0)=0,"Ok","Nope")))))</f>
        <v>#REF!</v>
      </c>
      <c r="BI122" s="39" t="e">
        <f>#REF!</f>
        <v>#REF!</v>
      </c>
      <c r="BJ122" s="39" t="e">
        <f>#REF!</f>
        <v>#REF!</v>
      </c>
      <c r="BK122" s="39" t="e">
        <f>#REF!</f>
        <v>#REF!</v>
      </c>
      <c r="BL122" s="39" t="e">
        <f>#REF!</f>
        <v>#REF!</v>
      </c>
      <c r="BM122" s="39" t="e">
        <f>#REF!</f>
        <v>#REF!</v>
      </c>
    </row>
    <row r="123" spans="1:65" x14ac:dyDescent="0.25">
      <c r="A123" s="130">
        <v>48</v>
      </c>
      <c r="B123" s="143" t="e">
        <f>#REF!</f>
        <v>#REF!</v>
      </c>
      <c r="C123" s="144"/>
      <c r="D123" s="133"/>
      <c r="E123" s="39" t="e">
        <f>#REF!</f>
        <v>#REF!</v>
      </c>
      <c r="F123" s="39" t="e">
        <f>#REF!</f>
        <v>#REF!</v>
      </c>
      <c r="G123" s="39" t="e">
        <f>#REF!</f>
        <v>#REF!</v>
      </c>
      <c r="H123" s="39" t="e">
        <f ca="1">OFFSET(#REF!,-1,0)+OFFSET(#REF!,-1,0) -#REF! + IF(#REF!,#REF!*4) + SUM(#REF!)*#REF!*tech_3_3_2*#REF!</f>
        <v>#REF!</v>
      </c>
      <c r="I123" s="39" t="e">
        <f ca="1">OFFSET(#REF!,-1,0)+OFFSET(#REF!,-1,0)+ROUNDUP((#REF!*80+#REF!*35)*(1+OFFSET(#REF!,-1,0)),0)</f>
        <v>#REF!</v>
      </c>
      <c r="J123" s="39" t="e">
        <f ca="1">OFFSET(#REF!,-1,0)+OFFSET(#REF!,-1,0) -#REF! + SUM(#REF!)*#REF!*tech_3_3_2*#REF!</f>
        <v>#REF!</v>
      </c>
      <c r="K123" s="39" t="e">
        <f ca="1">OFFSET(#REF!,-1,0)+OFFSET(#REF!,-1,0) -#REF!</f>
        <v>#REF!</v>
      </c>
      <c r="L123" s="39" t="e">
        <f ca="1">OFFSET(#REF!,-1,0)+OFFSET(#REF!,-1,0) -#REF!</f>
        <v>#REF!</v>
      </c>
      <c r="M123" s="39" t="e">
        <f ca="1">OFFSET(#REF!,-1,0)+OFFSET(#REF!,-1,0) -#REF!</f>
        <v>#REF!</v>
      </c>
      <c r="N123" s="39" t="e">
        <f ca="1">OFFSET(#REF!,-1,0)+OFFSET(#REF!,-1,0)</f>
        <v>#REF!</v>
      </c>
      <c r="O123" s="39" t="e">
        <f ca="1">OFFSET(#REF!,-1,0)</f>
        <v>#REF!</v>
      </c>
      <c r="P123" s="39" t="e">
        <f ca="1">ROUNDDOWN(OFFSET(#REF!,-1,0)+(1+research_bonus)*(MIN(#REF!,#REF!*school_max)*(1 - MIN((#REF!/(#REF!-#REF!)),school_max)))-#REF!*#REF!,0) + IF(#REF!&lt;&gt;"",350,0)</f>
        <v>#REF!</v>
      </c>
      <c r="Q123" s="39" t="e">
        <f ca="1">MAX(3750,_xlfn.CEILING.MATH(#REF!*2.5+OFFSET(#REF!,-1,0)*150))</f>
        <v>#REF!</v>
      </c>
      <c r="R123" s="134"/>
      <c r="S123" s="39" t="e">
        <f>ROUNDDOWN(#REF!*(1+#REF!),0)</f>
        <v>#REF!</v>
      </c>
      <c r="T123" s="39" t="e">
        <f>ROUND(#REF!*(1+#REF!)-#REF!-#REF!,0)</f>
        <v>#REF!</v>
      </c>
      <c r="U123" s="39" t="e">
        <f>ROUND(#REF!*(1+#REF!)-#REF!,0)</f>
        <v>#REF!</v>
      </c>
      <c r="V123" s="39" t="e">
        <f>ROUND(#REF!*(1+#REF!)-#REF!,0)</f>
        <v>#REF!</v>
      </c>
      <c r="W123" s="39" t="e">
        <f>ROUNDDOWN(#REF!*(1+#REF!),0)</f>
        <v>#REF!</v>
      </c>
      <c r="X123" s="39" t="e">
        <f>ROUNDDOWN(#REF!*(1+#REF!),0)</f>
        <v>#REF!</v>
      </c>
      <c r="Y123" s="145" t="e">
        <f ca="1">OFFSET(#REF!,1,0)*dock_boats_hr * (1 + tech_4_1*#REF!)</f>
        <v>#REF!</v>
      </c>
      <c r="Z123" s="133"/>
      <c r="AA123" s="39" t="e">
        <f ca="1">#REF!*tax*#REF! + (Construction!AZ124+Construction!BX124)*(alch_plat+(Magic!AM123&gt;0)*alchemist_flame_bonus)</f>
        <v>#REF!</v>
      </c>
      <c r="AB123" s="39" t="e">
        <f>#REF!*farm_food +#REF!* dock_food</f>
        <v>#REF!</v>
      </c>
      <c r="AC123" s="39" t="e">
        <f>#REF!*ly_lumber +#REF!* fh_lumber</f>
        <v>#REF!</v>
      </c>
      <c r="AD123" s="39" t="e">
        <f ca="1">OFFSET(#REF!,1,0)*(tower_mana + tech_4_5*#REF!) + OFFSET(#REF!,1,0)*wg_mana_prod</f>
        <v>#REF!</v>
      </c>
      <c r="AE123" s="39" t="e">
        <f ca="1">OFFSET(#REF!,1,0)*om_ore+IF(race="Dwarf",ROUNDDOWN(#REF!*0.4,0),)</f>
        <v>#REF!</v>
      </c>
      <c r="AF123" s="39" t="e">
        <f ca="1">OFFSET(#REF!,1,0)*dm_gems</f>
        <v>#REF!</v>
      </c>
      <c r="AG123" s="134"/>
      <c r="AH123" s="135" t="e">
        <f>MIN(race_platinum_bonus + IF(#REF!&gt;0,alch_frost_bonus,IF(Magic!AD123&gt;0,midas_bonus)) +#REF! -#REF!*( 0.02 + tech_5_7*#REF!) + tech_1_5*#REF! + tech_4_4*#REF!, 0.5)</f>
        <v>#REF!</v>
      </c>
      <c r="AI123" s="132" t="e">
        <f>(1 + race_food_bonus + IF(#REF!&gt;0,gaias_blessing_food,IF(#REF!&gt;0,gaias_watch_bonus)) +#REF! + tech_1_1*#REF! + tech_1_4*#REF! + tech_5_1*#REF! +#REF!/ 100*prestige_food_bonus*(1 + tech_8_1*#REF!)) - 1</f>
        <v>#REF!</v>
      </c>
      <c r="AJ123" s="135" t="e">
        <f>race_lumber_bonus+ IF(#REF!&gt;0,gaias_blessing_lumber)+ tech_1_3*#REF! + tech_1_6*#REF! + tech_3_3*#REF!</f>
        <v>#REF!</v>
      </c>
      <c r="AK123" s="135" t="e">
        <f>race_mana_bonus+ 0 +#REF! + tech_1_2*#REF! + tech_3_4*#REF!</f>
        <v>#REF!</v>
      </c>
      <c r="AL123" s="135" t="e">
        <f>race_ore_bonus + IF(#REF!&gt;0,miners_sight_bonus,IF(#REF!&gt;0,mining_strength_bonus)) +  tech_1_6*#REF!</f>
        <v>#REF!</v>
      </c>
      <c r="AM123" s="135" t="e">
        <f>race_gem_bonus+ tech_3_2*#REF! + tech_4_3*#REF! + tech_6_2*#REF!</f>
        <v>#REF!</v>
      </c>
      <c r="AN123" s="134"/>
      <c r="AO123" s="39" t="e">
        <f>#REF!*food_decay * (1 + tech_2_1*#REF! + tech_2_8*#REF!)</f>
        <v>#REF!</v>
      </c>
      <c r="AP123" s="39" t="e">
        <f>(1+race_food_consumption)*#REF!*food_per_person*(1+tech_1_10*#REF!+tech_7_5*#REF!)</f>
        <v>#REF!</v>
      </c>
      <c r="AQ123" s="39" t="e">
        <f>#REF!*lumber_rot * (1 + tech_2_1*#REF! + tech_2_8*#REF! + tech_5_2*#REF!)</f>
        <v>#REF!</v>
      </c>
      <c r="AR123" s="39" t="e">
        <f>#REF!*mana_drain * (1 + tech_2_1*#REF! + tech_2_8*#REF!)</f>
        <v>#REF!</v>
      </c>
      <c r="AS123" s="133"/>
      <c r="AT123" s="39" t="e">
        <f>#REF!+#REF!+#REF!+#REF!+#REF!-#REF!</f>
        <v>#REF!</v>
      </c>
      <c r="AU123" s="39" t="e">
        <f>#REF!+#REF!-#REF! + Military!$CL$25*#REF!</f>
        <v>#REF!</v>
      </c>
      <c r="AV123" s="39" t="e">
        <f>#REF! + Military!$CL$26*#REF!</f>
        <v>#REF!</v>
      </c>
      <c r="AW123" s="39" t="e">
        <f>Military!$CL$24*#REF!+#REF!-#REF!</f>
        <v>#REF!</v>
      </c>
      <c r="AX123" s="39" t="e">
        <f>#REF!-#REF!</f>
        <v>#REF!</v>
      </c>
      <c r="AY123" s="134"/>
      <c r="AZ123" s="61" t="e">
        <f ca="1">IF(#REF!&lt;&gt;"",#REF!,OFFSET(#REF!,-1,0))</f>
        <v>#REF!</v>
      </c>
      <c r="BA123" s="144"/>
      <c r="BB123" s="3" t="e">
        <f>#REF!</f>
        <v>#REF!</v>
      </c>
      <c r="BC123" s="146" t="e">
        <f>-#REF! / 2 + -#REF! * 2 + -#REF! / 2</f>
        <v>#REF!</v>
      </c>
      <c r="BD123" s="146"/>
      <c r="BE123" s="146"/>
      <c r="BF123" s="146"/>
      <c r="BG123" s="147" t="e">
        <f>#REF!</f>
        <v>#REF!</v>
      </c>
      <c r="BH123" s="3" t="e">
        <f>IF(AND(#REF!=0,#REF!=0,#REF!=0,#REF!=0),"",IF(#REF!&gt;0,IF((#REF!+#REF!)/2+#REF!*2+ROUNDUP(#REF!/(1 + tech_2_2*Techs!Y123),0)=0,"Ok","Nope"),IF(#REF!&gt;0,IF((#REF!+#REF!)/2+#REF!*2+ROUNDUP(#REF!/(1 + tech_2_2*Techs!Y123),0)=0,"Ok","Nope"),IF(#REF!&gt;0,IF((#REF!+#REF!)/2+#REF!*2+ROUNDUP(#REF!/(1 + tech_2_2*Techs!Y123),0)=0,"Ok","Nope")))))</f>
        <v>#REF!</v>
      </c>
      <c r="BI123" s="39" t="e">
        <f>#REF!</f>
        <v>#REF!</v>
      </c>
      <c r="BJ123" s="39" t="e">
        <f>#REF!</f>
        <v>#REF!</v>
      </c>
      <c r="BK123" s="39" t="e">
        <f>#REF!</f>
        <v>#REF!</v>
      </c>
      <c r="BL123" s="39" t="e">
        <f>#REF!</f>
        <v>#REF!</v>
      </c>
      <c r="BM123" s="39" t="e">
        <f>#REF!</f>
        <v>#REF!</v>
      </c>
    </row>
    <row r="124" spans="1:65" x14ac:dyDescent="0.25">
      <c r="A124" s="130">
        <v>49</v>
      </c>
      <c r="B124" s="143" t="e">
        <f>#REF!</f>
        <v>#REF!</v>
      </c>
      <c r="C124" s="144"/>
      <c r="D124" s="133"/>
      <c r="E124" s="39" t="e">
        <f>#REF!</f>
        <v>#REF!</v>
      </c>
      <c r="F124" s="39" t="e">
        <f>#REF!</f>
        <v>#REF!</v>
      </c>
      <c r="G124" s="39" t="e">
        <f>#REF!</f>
        <v>#REF!</v>
      </c>
      <c r="H124" s="39" t="e">
        <f ca="1">OFFSET(#REF!,-1,0)+OFFSET(#REF!,-1,0) -#REF! + IF(#REF!,#REF!*4) + SUM(#REF!)*#REF!*tech_3_3_2*#REF!</f>
        <v>#REF!</v>
      </c>
      <c r="I124" s="39" t="e">
        <f ca="1">OFFSET(#REF!,-1,0)+OFFSET(#REF!,-1,0)+ROUNDUP((#REF!*80+#REF!*35)*(1+OFFSET(#REF!,-1,0)),0)</f>
        <v>#REF!</v>
      </c>
      <c r="J124" s="39" t="e">
        <f ca="1">OFFSET(#REF!,-1,0)+OFFSET(#REF!,-1,0) -#REF! + SUM(#REF!)*#REF!*tech_3_3_2*#REF!</f>
        <v>#REF!</v>
      </c>
      <c r="K124" s="39" t="e">
        <f ca="1">OFFSET(#REF!,-1,0)+OFFSET(#REF!,-1,0) -#REF!</f>
        <v>#REF!</v>
      </c>
      <c r="L124" s="39" t="e">
        <f ca="1">OFFSET(#REF!,-1,0)+OFFSET(#REF!,-1,0) -#REF!</f>
        <v>#REF!</v>
      </c>
      <c r="M124" s="39" t="e">
        <f ca="1">OFFSET(#REF!,-1,0)+OFFSET(#REF!,-1,0) -#REF!</f>
        <v>#REF!</v>
      </c>
      <c r="N124" s="39" t="e">
        <f ca="1">OFFSET(#REF!,-1,0)+OFFSET(#REF!,-1,0)</f>
        <v>#REF!</v>
      </c>
      <c r="O124" s="39" t="e">
        <f ca="1">OFFSET(#REF!,-1,0)</f>
        <v>#REF!</v>
      </c>
      <c r="P124" s="39" t="e">
        <f ca="1">ROUNDDOWN(OFFSET(#REF!,-1,0)+(1+research_bonus)*(MIN(#REF!,#REF!*school_max)*(1 - MIN((#REF!/(#REF!-#REF!)),school_max)))-#REF!*#REF!,0) + IF(#REF!&lt;&gt;"",350,0)</f>
        <v>#REF!</v>
      </c>
      <c r="Q124" s="39" t="e">
        <f ca="1">MAX(3750,_xlfn.CEILING.MATH(#REF!*2.5+OFFSET(#REF!,-1,0)*150))</f>
        <v>#REF!</v>
      </c>
      <c r="R124" s="134"/>
      <c r="S124" s="39" t="e">
        <f>ROUNDDOWN(#REF!*(1+#REF!),0)</f>
        <v>#REF!</v>
      </c>
      <c r="T124" s="39" t="e">
        <f>ROUND(#REF!*(1+#REF!)-#REF!-#REF!,0)</f>
        <v>#REF!</v>
      </c>
      <c r="U124" s="39" t="e">
        <f>ROUND(#REF!*(1+#REF!)-#REF!,0)</f>
        <v>#REF!</v>
      </c>
      <c r="V124" s="39" t="e">
        <f>ROUND(#REF!*(1+#REF!)-#REF!,0)</f>
        <v>#REF!</v>
      </c>
      <c r="W124" s="39" t="e">
        <f>ROUNDDOWN(#REF!*(1+#REF!),0)</f>
        <v>#REF!</v>
      </c>
      <c r="X124" s="39" t="e">
        <f>ROUNDDOWN(#REF!*(1+#REF!),0)</f>
        <v>#REF!</v>
      </c>
      <c r="Y124" s="145" t="e">
        <f ca="1">OFFSET(#REF!,1,0)*dock_boats_hr * (1 + tech_4_1*#REF!)</f>
        <v>#REF!</v>
      </c>
      <c r="Z124" s="133"/>
      <c r="AA124" s="39" t="e">
        <f ca="1">#REF!*tax*#REF! + (Construction!AZ125+Construction!BX125)*(alch_plat+(Magic!AM124&gt;0)*alchemist_flame_bonus)</f>
        <v>#REF!</v>
      </c>
      <c r="AB124" s="39" t="e">
        <f>#REF!*farm_food +#REF!* dock_food</f>
        <v>#REF!</v>
      </c>
      <c r="AC124" s="39" t="e">
        <f>#REF!*ly_lumber +#REF!* fh_lumber</f>
        <v>#REF!</v>
      </c>
      <c r="AD124" s="39" t="e">
        <f ca="1">OFFSET(#REF!,1,0)*(tower_mana + tech_4_5*#REF!) + OFFSET(#REF!,1,0)*wg_mana_prod</f>
        <v>#REF!</v>
      </c>
      <c r="AE124" s="39" t="e">
        <f ca="1">OFFSET(#REF!,1,0)*om_ore+IF(race="Dwarf",ROUNDDOWN(#REF!*0.4,0),)</f>
        <v>#REF!</v>
      </c>
      <c r="AF124" s="39" t="e">
        <f ca="1">OFFSET(#REF!,1,0)*dm_gems</f>
        <v>#REF!</v>
      </c>
      <c r="AG124" s="134"/>
      <c r="AH124" s="135" t="e">
        <f>MIN(race_platinum_bonus + IF(#REF!&gt;0,alch_frost_bonus,IF(Magic!AD124&gt;0,midas_bonus)) +#REF! -#REF!*( 0.02 + tech_5_7*#REF!) + tech_1_5*#REF! + tech_4_4*#REF!, 0.5)</f>
        <v>#REF!</v>
      </c>
      <c r="AI124" s="132" t="e">
        <f>(1 + race_food_bonus + IF(#REF!&gt;0,gaias_blessing_food,IF(#REF!&gt;0,gaias_watch_bonus)) +#REF! + tech_1_1*#REF! + tech_1_4*#REF! + tech_5_1*#REF! +#REF!/ 100*prestige_food_bonus*(1 + tech_8_1*#REF!)) - 1</f>
        <v>#REF!</v>
      </c>
      <c r="AJ124" s="135" t="e">
        <f>race_lumber_bonus+ IF(#REF!&gt;0,gaias_blessing_lumber)+ tech_1_3*#REF! + tech_1_6*#REF! + tech_3_3*#REF!</f>
        <v>#REF!</v>
      </c>
      <c r="AK124" s="135" t="e">
        <f>race_mana_bonus+ 0 +#REF! + tech_1_2*#REF! + tech_3_4*#REF!</f>
        <v>#REF!</v>
      </c>
      <c r="AL124" s="135" t="e">
        <f>race_ore_bonus + IF(#REF!&gt;0,miners_sight_bonus,IF(#REF!&gt;0,mining_strength_bonus)) +  tech_1_6*#REF!</f>
        <v>#REF!</v>
      </c>
      <c r="AM124" s="135" t="e">
        <f>race_gem_bonus+ tech_3_2*#REF! + tech_4_3*#REF! + tech_6_2*#REF!</f>
        <v>#REF!</v>
      </c>
      <c r="AN124" s="134"/>
      <c r="AO124" s="39" t="e">
        <f>#REF!*food_decay * (1 + tech_2_1*#REF! + tech_2_8*#REF!)</f>
        <v>#REF!</v>
      </c>
      <c r="AP124" s="39" t="e">
        <f>(1+race_food_consumption)*#REF!*food_per_person*(1+tech_1_10*#REF!+tech_7_5*#REF!)</f>
        <v>#REF!</v>
      </c>
      <c r="AQ124" s="39" t="e">
        <f>#REF!*lumber_rot * (1 + tech_2_1*#REF! + tech_2_8*#REF! + tech_5_2*#REF!)</f>
        <v>#REF!</v>
      </c>
      <c r="AR124" s="39" t="e">
        <f>#REF!*mana_drain * (1 + tech_2_1*#REF! + tech_2_8*#REF!)</f>
        <v>#REF!</v>
      </c>
      <c r="AS124" s="133"/>
      <c r="AT124" s="39" t="e">
        <f>#REF!+#REF!+#REF!+#REF!+#REF!-#REF!</f>
        <v>#REF!</v>
      </c>
      <c r="AU124" s="39" t="e">
        <f>#REF!+#REF!-#REF! + Military!$CL$25*#REF!</f>
        <v>#REF!</v>
      </c>
      <c r="AV124" s="39" t="e">
        <f>#REF! + Military!$CL$26*#REF!</f>
        <v>#REF!</v>
      </c>
      <c r="AW124" s="39" t="e">
        <f>Military!$CL$24*#REF!+#REF!-#REF!</f>
        <v>#REF!</v>
      </c>
      <c r="AX124" s="39" t="e">
        <f>#REF!-#REF!</f>
        <v>#REF!</v>
      </c>
      <c r="AY124" s="134"/>
      <c r="AZ124" s="61" t="e">
        <f ca="1">IF(#REF!&lt;&gt;"",#REF!,OFFSET(#REF!,-1,0))</f>
        <v>#REF!</v>
      </c>
      <c r="BA124" s="144"/>
      <c r="BB124" s="3" t="e">
        <f>#REF!</f>
        <v>#REF!</v>
      </c>
      <c r="BC124" s="146" t="e">
        <f>-#REF! / 2 + -#REF! * 2 + -#REF! / 2</f>
        <v>#REF!</v>
      </c>
      <c r="BD124" s="146"/>
      <c r="BE124" s="146"/>
      <c r="BF124" s="146"/>
      <c r="BG124" s="147" t="e">
        <f>#REF!</f>
        <v>#REF!</v>
      </c>
      <c r="BH124" s="3" t="e">
        <f>IF(AND(#REF!=0,#REF!=0,#REF!=0,#REF!=0),"",IF(#REF!&gt;0,IF((#REF!+#REF!)/2+#REF!*2+ROUNDUP(#REF!/(1 + tech_2_2*Techs!Y124),0)=0,"Ok","Nope"),IF(#REF!&gt;0,IF((#REF!+#REF!)/2+#REF!*2+ROUNDUP(#REF!/(1 + tech_2_2*Techs!Y124),0)=0,"Ok","Nope"),IF(#REF!&gt;0,IF((#REF!+#REF!)/2+#REF!*2+ROUNDUP(#REF!/(1 + tech_2_2*Techs!Y124),0)=0,"Ok","Nope")))))</f>
        <v>#REF!</v>
      </c>
      <c r="BI124" s="39" t="e">
        <f>#REF!</f>
        <v>#REF!</v>
      </c>
      <c r="BJ124" s="39" t="e">
        <f>#REF!</f>
        <v>#REF!</v>
      </c>
      <c r="BK124" s="39" t="e">
        <f>#REF!</f>
        <v>#REF!</v>
      </c>
      <c r="BL124" s="39" t="e">
        <f>#REF!</f>
        <v>#REF!</v>
      </c>
      <c r="BM124" s="39" t="e">
        <f>#REF!</f>
        <v>#REF!</v>
      </c>
    </row>
    <row r="125" spans="1:65" x14ac:dyDescent="0.25">
      <c r="A125" s="130">
        <v>50</v>
      </c>
      <c r="B125" s="143" t="e">
        <f>#REF!</f>
        <v>#REF!</v>
      </c>
      <c r="C125" s="144"/>
      <c r="D125" s="133"/>
      <c r="E125" s="39" t="e">
        <f>#REF!</f>
        <v>#REF!</v>
      </c>
      <c r="F125" s="39" t="e">
        <f>#REF!</f>
        <v>#REF!</v>
      </c>
      <c r="G125" s="39" t="e">
        <f>#REF!</f>
        <v>#REF!</v>
      </c>
      <c r="H125" s="39" t="e">
        <f ca="1">OFFSET(#REF!,-1,0)+OFFSET(#REF!,-1,0) -#REF! + IF(#REF!,#REF!*4) + SUM(#REF!)*#REF!*tech_3_3_2*#REF!</f>
        <v>#REF!</v>
      </c>
      <c r="I125" s="39" t="e">
        <f ca="1">OFFSET(#REF!,-1,0)+OFFSET(#REF!,-1,0)+ROUNDUP((#REF!*80+#REF!*35)*(1+OFFSET(#REF!,-1,0)),0)</f>
        <v>#REF!</v>
      </c>
      <c r="J125" s="39" t="e">
        <f ca="1">OFFSET(#REF!,-1,0)+OFFSET(#REF!,-1,0) -#REF! + SUM(#REF!)*#REF!*tech_3_3_2*#REF!</f>
        <v>#REF!</v>
      </c>
      <c r="K125" s="39" t="e">
        <f ca="1">OFFSET(#REF!,-1,0)+OFFSET(#REF!,-1,0) -#REF!</f>
        <v>#REF!</v>
      </c>
      <c r="L125" s="39" t="e">
        <f ca="1">OFFSET(#REF!,-1,0)+OFFSET(#REF!,-1,0) -#REF!</f>
        <v>#REF!</v>
      </c>
      <c r="M125" s="39" t="e">
        <f ca="1">OFFSET(#REF!,-1,0)+OFFSET(#REF!,-1,0) -#REF!</f>
        <v>#REF!</v>
      </c>
      <c r="N125" s="39" t="e">
        <f ca="1">OFFSET(#REF!,-1,0)+OFFSET(#REF!,-1,0)</f>
        <v>#REF!</v>
      </c>
      <c r="O125" s="39" t="e">
        <f ca="1">OFFSET(#REF!,-1,0)</f>
        <v>#REF!</v>
      </c>
      <c r="P125" s="39" t="e">
        <f ca="1">ROUNDDOWN(OFFSET(#REF!,-1,0)+(1+research_bonus)*(MIN(#REF!,#REF!*school_max)*(1 - MIN((#REF!/(#REF!-#REF!)),school_max)))-#REF!*#REF!,0) + IF(#REF!&lt;&gt;"",350,0)</f>
        <v>#REF!</v>
      </c>
      <c r="Q125" s="39" t="e">
        <f ca="1">MAX(3750,_xlfn.CEILING.MATH(#REF!*2.5+OFFSET(#REF!,-1,0)*150))</f>
        <v>#REF!</v>
      </c>
      <c r="R125" s="134"/>
      <c r="S125" s="39" t="e">
        <f>ROUNDDOWN(#REF!*(1+#REF!),0)</f>
        <v>#REF!</v>
      </c>
      <c r="T125" s="39" t="e">
        <f>ROUND(#REF!*(1+#REF!)-#REF!-#REF!,0)</f>
        <v>#REF!</v>
      </c>
      <c r="U125" s="39" t="e">
        <f>ROUND(#REF!*(1+#REF!)-#REF!,0)</f>
        <v>#REF!</v>
      </c>
      <c r="V125" s="39" t="e">
        <f>ROUND(#REF!*(1+#REF!)-#REF!,0)</f>
        <v>#REF!</v>
      </c>
      <c r="W125" s="39" t="e">
        <f>ROUNDDOWN(#REF!*(1+#REF!),0)</f>
        <v>#REF!</v>
      </c>
      <c r="X125" s="39" t="e">
        <f>ROUNDDOWN(#REF!*(1+#REF!),0)</f>
        <v>#REF!</v>
      </c>
      <c r="Y125" s="145" t="e">
        <f ca="1">OFFSET(#REF!,1,0)*dock_boats_hr * (1 + tech_4_1*#REF!)</f>
        <v>#REF!</v>
      </c>
      <c r="Z125" s="133"/>
      <c r="AA125" s="39" t="e">
        <f ca="1">#REF!*tax*#REF! + (Construction!AZ126+Construction!BX126)*(alch_plat+(Magic!AM125&gt;0)*alchemist_flame_bonus)</f>
        <v>#REF!</v>
      </c>
      <c r="AB125" s="39" t="e">
        <f>#REF!*farm_food +#REF!* dock_food</f>
        <v>#REF!</v>
      </c>
      <c r="AC125" s="39" t="e">
        <f>#REF!*ly_lumber +#REF!* fh_lumber</f>
        <v>#REF!</v>
      </c>
      <c r="AD125" s="39" t="e">
        <f ca="1">OFFSET(#REF!,1,0)*(tower_mana + tech_4_5*#REF!) + OFFSET(#REF!,1,0)*wg_mana_prod</f>
        <v>#REF!</v>
      </c>
      <c r="AE125" s="39" t="e">
        <f ca="1">OFFSET(#REF!,1,0)*om_ore+IF(race="Dwarf",ROUNDDOWN(#REF!*0.4,0),)</f>
        <v>#REF!</v>
      </c>
      <c r="AF125" s="39" t="e">
        <f ca="1">OFFSET(#REF!,1,0)*dm_gems</f>
        <v>#REF!</v>
      </c>
      <c r="AG125" s="134"/>
      <c r="AH125" s="135" t="e">
        <f>MIN(race_platinum_bonus + IF(#REF!&gt;0,alch_frost_bonus,IF(Magic!AD125&gt;0,midas_bonus)) +#REF! -#REF!*( 0.02 + tech_5_7*#REF!) + tech_1_5*#REF! + tech_4_4*#REF!, 0.5)</f>
        <v>#REF!</v>
      </c>
      <c r="AI125" s="132" t="e">
        <f>(1 + race_food_bonus + IF(#REF!&gt;0,gaias_blessing_food,IF(#REF!&gt;0,gaias_watch_bonus)) +#REF! + tech_1_1*#REF! + tech_1_4*#REF! + tech_5_1*#REF! +#REF!/ 100*prestige_food_bonus*(1 + tech_8_1*#REF!)) - 1</f>
        <v>#REF!</v>
      </c>
      <c r="AJ125" s="135" t="e">
        <f>race_lumber_bonus+ IF(#REF!&gt;0,gaias_blessing_lumber)+ tech_1_3*#REF! + tech_1_6*#REF! + tech_3_3*#REF!</f>
        <v>#REF!</v>
      </c>
      <c r="AK125" s="135" t="e">
        <f>race_mana_bonus+ 0 +#REF! + tech_1_2*#REF! + tech_3_4*#REF!</f>
        <v>#REF!</v>
      </c>
      <c r="AL125" s="135" t="e">
        <f>race_ore_bonus + IF(#REF!&gt;0,miners_sight_bonus,IF(#REF!&gt;0,mining_strength_bonus)) +  tech_1_6*#REF!</f>
        <v>#REF!</v>
      </c>
      <c r="AM125" s="135" t="e">
        <f>race_gem_bonus+ tech_3_2*#REF! + tech_4_3*#REF! + tech_6_2*#REF!</f>
        <v>#REF!</v>
      </c>
      <c r="AN125" s="134"/>
      <c r="AO125" s="39" t="e">
        <f>#REF!*food_decay * (1 + tech_2_1*#REF! + tech_2_8*#REF!)</f>
        <v>#REF!</v>
      </c>
      <c r="AP125" s="39" t="e">
        <f>(1+race_food_consumption)*#REF!*food_per_person*(1+tech_1_10*#REF!+tech_7_5*#REF!)</f>
        <v>#REF!</v>
      </c>
      <c r="AQ125" s="39" t="e">
        <f>#REF!*lumber_rot * (1 + tech_2_1*#REF! + tech_2_8*#REF! + tech_5_2*#REF!)</f>
        <v>#REF!</v>
      </c>
      <c r="AR125" s="39" t="e">
        <f>#REF!*mana_drain * (1 + tech_2_1*#REF! + tech_2_8*#REF!)</f>
        <v>#REF!</v>
      </c>
      <c r="AS125" s="133"/>
      <c r="AT125" s="39" t="e">
        <f>#REF!+#REF!+#REF!+#REF!+#REF!-#REF!</f>
        <v>#REF!</v>
      </c>
      <c r="AU125" s="39" t="e">
        <f>#REF!+#REF!-#REF! + Military!$CL$25*#REF!</f>
        <v>#REF!</v>
      </c>
      <c r="AV125" s="39" t="e">
        <f>#REF! + Military!$CL$26*#REF!</f>
        <v>#REF!</v>
      </c>
      <c r="AW125" s="39" t="e">
        <f>Military!$CL$24*#REF!+#REF!-#REF!</f>
        <v>#REF!</v>
      </c>
      <c r="AX125" s="39" t="e">
        <f>#REF!-#REF!</f>
        <v>#REF!</v>
      </c>
      <c r="AY125" s="134"/>
      <c r="AZ125" s="61" t="e">
        <f ca="1">IF(#REF!&lt;&gt;"",#REF!,OFFSET(#REF!,-1,0))</f>
        <v>#REF!</v>
      </c>
      <c r="BA125" s="144"/>
      <c r="BB125" s="3" t="e">
        <f>#REF!</f>
        <v>#REF!</v>
      </c>
      <c r="BC125" s="146" t="e">
        <f>-#REF! / 2 + -#REF! * 2 + -#REF! / 2</f>
        <v>#REF!</v>
      </c>
      <c r="BD125" s="146"/>
      <c r="BE125" s="146"/>
      <c r="BF125" s="146"/>
      <c r="BG125" s="147" t="e">
        <f>#REF!</f>
        <v>#REF!</v>
      </c>
      <c r="BH125" s="3" t="e">
        <f>IF(AND(#REF!=0,#REF!=0,#REF!=0,#REF!=0),"",IF(#REF!&gt;0,IF((#REF!+#REF!)/2+#REF!*2+ROUNDUP(#REF!/(1 + tech_2_2*Techs!Y125),0)=0,"Ok","Nope"),IF(#REF!&gt;0,IF((#REF!+#REF!)/2+#REF!*2+ROUNDUP(#REF!/(1 + tech_2_2*Techs!Y125),0)=0,"Ok","Nope"),IF(#REF!&gt;0,IF((#REF!+#REF!)/2+#REF!*2+ROUNDUP(#REF!/(1 + tech_2_2*Techs!Y125),0)=0,"Ok","Nope")))))</f>
        <v>#REF!</v>
      </c>
      <c r="BI125" s="39" t="e">
        <f>#REF!</f>
        <v>#REF!</v>
      </c>
      <c r="BJ125" s="39" t="e">
        <f>#REF!</f>
        <v>#REF!</v>
      </c>
      <c r="BK125" s="39" t="e">
        <f>#REF!</f>
        <v>#REF!</v>
      </c>
      <c r="BL125" s="39" t="e">
        <f>#REF!</f>
        <v>#REF!</v>
      </c>
      <c r="BM125" s="39" t="e">
        <f>#REF!</f>
        <v>#REF!</v>
      </c>
    </row>
    <row r="126" spans="1:65" x14ac:dyDescent="0.25">
      <c r="A126" s="130">
        <v>51</v>
      </c>
      <c r="B126" s="143" t="e">
        <f>#REF!</f>
        <v>#REF!</v>
      </c>
      <c r="C126" s="144"/>
      <c r="D126" s="133"/>
      <c r="E126" s="39" t="e">
        <f>#REF!</f>
        <v>#REF!</v>
      </c>
      <c r="F126" s="39" t="e">
        <f>#REF!</f>
        <v>#REF!</v>
      </c>
      <c r="G126" s="39" t="e">
        <f>#REF!</f>
        <v>#REF!</v>
      </c>
      <c r="H126" s="39" t="e">
        <f ca="1">OFFSET(#REF!,-1,0)+OFFSET(#REF!,-1,0) -#REF! + IF(#REF!,#REF!*4) + SUM(#REF!)*#REF!*tech_3_3_2*#REF!</f>
        <v>#REF!</v>
      </c>
      <c r="I126" s="39" t="e">
        <f ca="1">OFFSET(#REF!,-1,0)+OFFSET(#REF!,-1,0)+ROUNDUP((#REF!*80+#REF!*35)*(1+OFFSET(#REF!,-1,0)),0)</f>
        <v>#REF!</v>
      </c>
      <c r="J126" s="39" t="e">
        <f ca="1">OFFSET(#REF!,-1,0)+OFFSET(#REF!,-1,0) -#REF! + SUM(#REF!)*#REF!*tech_3_3_2*#REF!</f>
        <v>#REF!</v>
      </c>
      <c r="K126" s="39" t="e">
        <f ca="1">OFFSET(#REF!,-1,0)+OFFSET(#REF!,-1,0) -#REF!</f>
        <v>#REF!</v>
      </c>
      <c r="L126" s="39" t="e">
        <f ca="1">OFFSET(#REF!,-1,0)+OFFSET(#REF!,-1,0) -#REF!</f>
        <v>#REF!</v>
      </c>
      <c r="M126" s="39" t="e">
        <f ca="1">OFFSET(#REF!,-1,0)+OFFSET(#REF!,-1,0) -#REF!</f>
        <v>#REF!</v>
      </c>
      <c r="N126" s="39" t="e">
        <f ca="1">OFFSET(#REF!,-1,0)+OFFSET(#REF!,-1,0)</f>
        <v>#REF!</v>
      </c>
      <c r="O126" s="39" t="e">
        <f ca="1">OFFSET(#REF!,-1,0)</f>
        <v>#REF!</v>
      </c>
      <c r="P126" s="39" t="e">
        <f ca="1">ROUNDDOWN(OFFSET(#REF!,-1,0)+(1+research_bonus)*(MIN(#REF!,#REF!*school_max)*(1 - MIN((#REF!/(#REF!-#REF!)),school_max)))-#REF!*#REF!,0) + IF(#REF!&lt;&gt;"",350,0)</f>
        <v>#REF!</v>
      </c>
      <c r="Q126" s="39" t="e">
        <f ca="1">MAX(3750,_xlfn.CEILING.MATH(#REF!*2.5+OFFSET(#REF!,-1,0)*150))</f>
        <v>#REF!</v>
      </c>
      <c r="R126" s="134"/>
      <c r="S126" s="39" t="e">
        <f>ROUNDDOWN(#REF!*(1+#REF!),0)</f>
        <v>#REF!</v>
      </c>
      <c r="T126" s="39" t="e">
        <f>ROUND(#REF!*(1+#REF!)-#REF!-#REF!,0)</f>
        <v>#REF!</v>
      </c>
      <c r="U126" s="39" t="e">
        <f>ROUND(#REF!*(1+#REF!)-#REF!,0)</f>
        <v>#REF!</v>
      </c>
      <c r="V126" s="39" t="e">
        <f>ROUND(#REF!*(1+#REF!)-#REF!,0)</f>
        <v>#REF!</v>
      </c>
      <c r="W126" s="39" t="e">
        <f>ROUNDDOWN(#REF!*(1+#REF!),0)</f>
        <v>#REF!</v>
      </c>
      <c r="X126" s="39" t="e">
        <f>ROUNDDOWN(#REF!*(1+#REF!),0)</f>
        <v>#REF!</v>
      </c>
      <c r="Y126" s="145" t="e">
        <f ca="1">OFFSET(#REF!,1,0)*dock_boats_hr * (1 + tech_4_1*#REF!)</f>
        <v>#REF!</v>
      </c>
      <c r="Z126" s="133"/>
      <c r="AA126" s="39" t="e">
        <f ca="1">#REF!*tax*#REF! + (Construction!AZ127+Construction!BX127)*(alch_plat+(Magic!AM126&gt;0)*alchemist_flame_bonus)</f>
        <v>#REF!</v>
      </c>
      <c r="AB126" s="39" t="e">
        <f>#REF!*farm_food +#REF!* dock_food</f>
        <v>#REF!</v>
      </c>
      <c r="AC126" s="39" t="e">
        <f>#REF!*ly_lumber +#REF!* fh_lumber</f>
        <v>#REF!</v>
      </c>
      <c r="AD126" s="39" t="e">
        <f ca="1">OFFSET(#REF!,1,0)*(tower_mana + tech_4_5*#REF!) + OFFSET(#REF!,1,0)*wg_mana_prod</f>
        <v>#REF!</v>
      </c>
      <c r="AE126" s="39" t="e">
        <f ca="1">OFFSET(#REF!,1,0)*om_ore+IF(race="Dwarf",ROUNDDOWN(#REF!*0.4,0),)</f>
        <v>#REF!</v>
      </c>
      <c r="AF126" s="39" t="e">
        <f ca="1">OFFSET(#REF!,1,0)*dm_gems</f>
        <v>#REF!</v>
      </c>
      <c r="AG126" s="134"/>
      <c r="AH126" s="135" t="e">
        <f>MIN(race_platinum_bonus + IF(#REF!&gt;0,alch_frost_bonus,IF(Magic!AD126&gt;0,midas_bonus)) +#REF! -#REF!*( 0.02 + tech_5_7*#REF!) + tech_1_5*#REF! + tech_4_4*#REF!, 0.5)</f>
        <v>#REF!</v>
      </c>
      <c r="AI126" s="132" t="e">
        <f>(1 + race_food_bonus + IF(#REF!&gt;0,gaias_blessing_food,IF(#REF!&gt;0,gaias_watch_bonus)) +#REF! + tech_1_1*#REF! + tech_1_4*#REF! + tech_5_1*#REF! +#REF!/ 100*prestige_food_bonus*(1 + tech_8_1*#REF!)) - 1</f>
        <v>#REF!</v>
      </c>
      <c r="AJ126" s="135" t="e">
        <f>race_lumber_bonus+ IF(#REF!&gt;0,gaias_blessing_lumber)+ tech_1_3*#REF! + tech_1_6*#REF! + tech_3_3*#REF!</f>
        <v>#REF!</v>
      </c>
      <c r="AK126" s="135" t="e">
        <f>race_mana_bonus+ 0 +#REF! + tech_1_2*#REF! + tech_3_4*#REF!</f>
        <v>#REF!</v>
      </c>
      <c r="AL126" s="135" t="e">
        <f>race_ore_bonus + IF(#REF!&gt;0,miners_sight_bonus,IF(#REF!&gt;0,mining_strength_bonus)) +  tech_1_6*#REF!</f>
        <v>#REF!</v>
      </c>
      <c r="AM126" s="135" t="e">
        <f>race_gem_bonus+ tech_3_2*#REF! + tech_4_3*#REF! + tech_6_2*#REF!</f>
        <v>#REF!</v>
      </c>
      <c r="AN126" s="134"/>
      <c r="AO126" s="39" t="e">
        <f>#REF!*food_decay * (1 + tech_2_1*#REF! + tech_2_8*#REF!)</f>
        <v>#REF!</v>
      </c>
      <c r="AP126" s="39" t="e">
        <f>(1+race_food_consumption)*#REF!*food_per_person*(1+tech_1_10*#REF!+tech_7_5*#REF!)</f>
        <v>#REF!</v>
      </c>
      <c r="AQ126" s="39" t="e">
        <f>#REF!*lumber_rot * (1 + tech_2_1*#REF! + tech_2_8*#REF! + tech_5_2*#REF!)</f>
        <v>#REF!</v>
      </c>
      <c r="AR126" s="39" t="e">
        <f>#REF!*mana_drain * (1 + tech_2_1*#REF! + tech_2_8*#REF!)</f>
        <v>#REF!</v>
      </c>
      <c r="AS126" s="133"/>
      <c r="AT126" s="39" t="e">
        <f>#REF!+#REF!+#REF!+#REF!+#REF!-#REF!</f>
        <v>#REF!</v>
      </c>
      <c r="AU126" s="39" t="e">
        <f>#REF!+#REF!-#REF! + Military!$CL$25*#REF!</f>
        <v>#REF!</v>
      </c>
      <c r="AV126" s="39" t="e">
        <f>#REF! + Military!$CL$26*#REF!</f>
        <v>#REF!</v>
      </c>
      <c r="AW126" s="39" t="e">
        <f>Military!$CL$24*#REF!+#REF!-#REF!</f>
        <v>#REF!</v>
      </c>
      <c r="AX126" s="39" t="e">
        <f>#REF!-#REF!</f>
        <v>#REF!</v>
      </c>
      <c r="AY126" s="134"/>
      <c r="AZ126" s="61" t="e">
        <f ca="1">IF(#REF!&lt;&gt;"",#REF!,OFFSET(#REF!,-1,0))</f>
        <v>#REF!</v>
      </c>
      <c r="BA126" s="144"/>
      <c r="BB126" s="3" t="e">
        <f>#REF!</f>
        <v>#REF!</v>
      </c>
      <c r="BC126" s="146" t="e">
        <f>-#REF! / 2 + -#REF! * 2 + -#REF! / 2</f>
        <v>#REF!</v>
      </c>
      <c r="BD126" s="146"/>
      <c r="BE126" s="146"/>
      <c r="BF126" s="146"/>
      <c r="BG126" s="147" t="e">
        <f>#REF!</f>
        <v>#REF!</v>
      </c>
      <c r="BH126" s="3" t="e">
        <f>IF(AND(#REF!=0,#REF!=0,#REF!=0,#REF!=0),"",IF(#REF!&gt;0,IF((#REF!+#REF!)/2+#REF!*2+ROUNDUP(#REF!/(1 + tech_2_2*Techs!Y126),0)=0,"Ok","Nope"),IF(#REF!&gt;0,IF((#REF!+#REF!)/2+#REF!*2+ROUNDUP(#REF!/(1 + tech_2_2*Techs!Y126),0)=0,"Ok","Nope"),IF(#REF!&gt;0,IF((#REF!+#REF!)/2+#REF!*2+ROUNDUP(#REF!/(1 + tech_2_2*Techs!Y126),0)=0,"Ok","Nope")))))</f>
        <v>#REF!</v>
      </c>
      <c r="BI126" s="39" t="e">
        <f>#REF!</f>
        <v>#REF!</v>
      </c>
      <c r="BJ126" s="39" t="e">
        <f>#REF!</f>
        <v>#REF!</v>
      </c>
      <c r="BK126" s="39" t="e">
        <f>#REF!</f>
        <v>#REF!</v>
      </c>
      <c r="BL126" s="39" t="e">
        <f>#REF!</f>
        <v>#REF!</v>
      </c>
      <c r="BM126" s="39" t="e">
        <f>#REF!</f>
        <v>#REF!</v>
      </c>
    </row>
    <row r="127" spans="1:65" x14ac:dyDescent="0.25">
      <c r="A127" s="130">
        <v>52</v>
      </c>
      <c r="B127" s="143" t="e">
        <f>#REF!</f>
        <v>#REF!</v>
      </c>
      <c r="C127" s="144"/>
      <c r="D127" s="133"/>
      <c r="E127" s="39" t="e">
        <f>#REF!</f>
        <v>#REF!</v>
      </c>
      <c r="F127" s="39" t="e">
        <f>#REF!</f>
        <v>#REF!</v>
      </c>
      <c r="G127" s="39" t="e">
        <f>#REF!</f>
        <v>#REF!</v>
      </c>
      <c r="H127" s="39" t="e">
        <f ca="1">OFFSET(#REF!,-1,0)+OFFSET(#REF!,-1,0) -#REF! + IF(#REF!,#REF!*4) + SUM(#REF!)*#REF!*tech_3_3_2*#REF!</f>
        <v>#REF!</v>
      </c>
      <c r="I127" s="39" t="e">
        <f ca="1">OFFSET(#REF!,-1,0)+OFFSET(#REF!,-1,0)+ROUNDUP((#REF!*80+#REF!*35)*(1+OFFSET(#REF!,-1,0)),0)</f>
        <v>#REF!</v>
      </c>
      <c r="J127" s="39" t="e">
        <f ca="1">OFFSET(#REF!,-1,0)+OFFSET(#REF!,-1,0) -#REF! + SUM(#REF!)*#REF!*tech_3_3_2*#REF!</f>
        <v>#REF!</v>
      </c>
      <c r="K127" s="39" t="e">
        <f ca="1">OFFSET(#REF!,-1,0)+OFFSET(#REF!,-1,0) -#REF!</f>
        <v>#REF!</v>
      </c>
      <c r="L127" s="39" t="e">
        <f ca="1">OFFSET(#REF!,-1,0)+OFFSET(#REF!,-1,0) -#REF!</f>
        <v>#REF!</v>
      </c>
      <c r="M127" s="39" t="e">
        <f ca="1">OFFSET(#REF!,-1,0)+OFFSET(#REF!,-1,0) -#REF!</f>
        <v>#REF!</v>
      </c>
      <c r="N127" s="39" t="e">
        <f ca="1">OFFSET(#REF!,-1,0)+OFFSET(#REF!,-1,0)</f>
        <v>#REF!</v>
      </c>
      <c r="O127" s="39" t="e">
        <f ca="1">OFFSET(#REF!,-1,0)</f>
        <v>#REF!</v>
      </c>
      <c r="P127" s="39" t="e">
        <f ca="1">ROUNDDOWN(OFFSET(#REF!,-1,0)+(1+research_bonus)*(MIN(#REF!,#REF!*school_max)*(1 - MIN((#REF!/(#REF!-#REF!)),school_max)))-#REF!*#REF!,0) + IF(#REF!&lt;&gt;"",350,0)</f>
        <v>#REF!</v>
      </c>
      <c r="Q127" s="39" t="e">
        <f ca="1">MAX(3750,_xlfn.CEILING.MATH(#REF!*2.5+OFFSET(#REF!,-1,0)*150))</f>
        <v>#REF!</v>
      </c>
      <c r="R127" s="134"/>
      <c r="S127" s="39" t="e">
        <f>ROUNDDOWN(#REF!*(1+#REF!),0)</f>
        <v>#REF!</v>
      </c>
      <c r="T127" s="39" t="e">
        <f>ROUND(#REF!*(1+#REF!)-#REF!-#REF!,0)</f>
        <v>#REF!</v>
      </c>
      <c r="U127" s="39" t="e">
        <f>ROUND(#REF!*(1+#REF!)-#REF!,0)</f>
        <v>#REF!</v>
      </c>
      <c r="V127" s="39" t="e">
        <f>ROUND(#REF!*(1+#REF!)-#REF!,0)</f>
        <v>#REF!</v>
      </c>
      <c r="W127" s="39" t="e">
        <f>ROUNDDOWN(#REF!*(1+#REF!),0)</f>
        <v>#REF!</v>
      </c>
      <c r="X127" s="39" t="e">
        <f>ROUNDDOWN(#REF!*(1+#REF!),0)</f>
        <v>#REF!</v>
      </c>
      <c r="Y127" s="145" t="e">
        <f ca="1">OFFSET(#REF!,1,0)*dock_boats_hr * (1 + tech_4_1*#REF!)</f>
        <v>#REF!</v>
      </c>
      <c r="Z127" s="133"/>
      <c r="AA127" s="39" t="e">
        <f ca="1">#REF!*tax*#REF! + (Construction!AZ128+Construction!BX128)*(alch_plat+(Magic!AM127&gt;0)*alchemist_flame_bonus)</f>
        <v>#REF!</v>
      </c>
      <c r="AB127" s="39" t="e">
        <f>#REF!*farm_food +#REF!* dock_food</f>
        <v>#REF!</v>
      </c>
      <c r="AC127" s="39" t="e">
        <f>#REF!*ly_lumber +#REF!* fh_lumber</f>
        <v>#REF!</v>
      </c>
      <c r="AD127" s="39" t="e">
        <f ca="1">OFFSET(#REF!,1,0)*(tower_mana + tech_4_5*#REF!) + OFFSET(#REF!,1,0)*wg_mana_prod</f>
        <v>#REF!</v>
      </c>
      <c r="AE127" s="39" t="e">
        <f ca="1">OFFSET(#REF!,1,0)*om_ore+IF(race="Dwarf",ROUNDDOWN(#REF!*0.4,0),)</f>
        <v>#REF!</v>
      </c>
      <c r="AF127" s="39" t="e">
        <f ca="1">OFFSET(#REF!,1,0)*dm_gems</f>
        <v>#REF!</v>
      </c>
      <c r="AG127" s="134"/>
      <c r="AH127" s="135" t="e">
        <f>MIN(race_platinum_bonus + IF(#REF!&gt;0,alch_frost_bonus,IF(Magic!AD127&gt;0,midas_bonus)) +#REF! -#REF!*( 0.02 + tech_5_7*#REF!) + tech_1_5*#REF! + tech_4_4*#REF!, 0.5)</f>
        <v>#REF!</v>
      </c>
      <c r="AI127" s="132" t="e">
        <f>(1 + race_food_bonus + IF(#REF!&gt;0,gaias_blessing_food,IF(#REF!&gt;0,gaias_watch_bonus)) +#REF! + tech_1_1*#REF! + tech_1_4*#REF! + tech_5_1*#REF! +#REF!/ 100*prestige_food_bonus*(1 + tech_8_1*#REF!)) - 1</f>
        <v>#REF!</v>
      </c>
      <c r="AJ127" s="135" t="e">
        <f>race_lumber_bonus+ IF(#REF!&gt;0,gaias_blessing_lumber)+ tech_1_3*#REF! + tech_1_6*#REF! + tech_3_3*#REF!</f>
        <v>#REF!</v>
      </c>
      <c r="AK127" s="135" t="e">
        <f>race_mana_bonus+ 0 +#REF! + tech_1_2*#REF! + tech_3_4*#REF!</f>
        <v>#REF!</v>
      </c>
      <c r="AL127" s="135" t="e">
        <f>race_ore_bonus + IF(#REF!&gt;0,miners_sight_bonus,IF(#REF!&gt;0,mining_strength_bonus)) +  tech_1_6*#REF!</f>
        <v>#REF!</v>
      </c>
      <c r="AM127" s="135" t="e">
        <f>race_gem_bonus+ tech_3_2*#REF! + tech_4_3*#REF! + tech_6_2*#REF!</f>
        <v>#REF!</v>
      </c>
      <c r="AN127" s="134"/>
      <c r="AO127" s="39" t="e">
        <f>#REF!*food_decay * (1 + tech_2_1*#REF! + tech_2_8*#REF!)</f>
        <v>#REF!</v>
      </c>
      <c r="AP127" s="39" t="e">
        <f>(1+race_food_consumption)*#REF!*food_per_person*(1+tech_1_10*#REF!+tech_7_5*#REF!)</f>
        <v>#REF!</v>
      </c>
      <c r="AQ127" s="39" t="e">
        <f>#REF!*lumber_rot * (1 + tech_2_1*#REF! + tech_2_8*#REF! + tech_5_2*#REF!)</f>
        <v>#REF!</v>
      </c>
      <c r="AR127" s="39" t="e">
        <f>#REF!*mana_drain * (1 + tech_2_1*#REF! + tech_2_8*#REF!)</f>
        <v>#REF!</v>
      </c>
      <c r="AS127" s="133"/>
      <c r="AT127" s="39" t="e">
        <f>#REF!+#REF!+#REF!+#REF!+#REF!-#REF!</f>
        <v>#REF!</v>
      </c>
      <c r="AU127" s="39" t="e">
        <f>#REF!+#REF!-#REF! + Military!$CL$25*#REF!</f>
        <v>#REF!</v>
      </c>
      <c r="AV127" s="39" t="e">
        <f>#REF! + Military!$CL$26*#REF!</f>
        <v>#REF!</v>
      </c>
      <c r="AW127" s="39" t="e">
        <f>Military!$CL$24*#REF!+#REF!-#REF!</f>
        <v>#REF!</v>
      </c>
      <c r="AX127" s="39" t="e">
        <f>#REF!-#REF!</f>
        <v>#REF!</v>
      </c>
      <c r="AY127" s="134"/>
      <c r="AZ127" s="61" t="e">
        <f ca="1">IF(#REF!&lt;&gt;"",#REF!,OFFSET(#REF!,-1,0))</f>
        <v>#REF!</v>
      </c>
      <c r="BA127" s="144"/>
      <c r="BB127" s="3" t="e">
        <f>#REF!</f>
        <v>#REF!</v>
      </c>
      <c r="BC127" s="146" t="e">
        <f>-#REF! / 2 + -#REF! * 2 + -#REF! / 2</f>
        <v>#REF!</v>
      </c>
      <c r="BD127" s="146"/>
      <c r="BE127" s="146"/>
      <c r="BF127" s="146"/>
      <c r="BG127" s="147" t="e">
        <f>#REF!</f>
        <v>#REF!</v>
      </c>
      <c r="BH127" s="3" t="e">
        <f>IF(AND(#REF!=0,#REF!=0,#REF!=0,#REF!=0),"",IF(#REF!&gt;0,IF((#REF!+#REF!)/2+#REF!*2+ROUNDUP(#REF!/(1 + tech_2_2*Techs!Y127),0)=0,"Ok","Nope"),IF(#REF!&gt;0,IF((#REF!+#REF!)/2+#REF!*2+ROUNDUP(#REF!/(1 + tech_2_2*Techs!Y127),0)=0,"Ok","Nope"),IF(#REF!&gt;0,IF((#REF!+#REF!)/2+#REF!*2+ROUNDUP(#REF!/(1 + tech_2_2*Techs!Y127),0)=0,"Ok","Nope")))))</f>
        <v>#REF!</v>
      </c>
      <c r="BI127" s="39" t="e">
        <f>#REF!</f>
        <v>#REF!</v>
      </c>
      <c r="BJ127" s="39" t="e">
        <f>#REF!</f>
        <v>#REF!</v>
      </c>
      <c r="BK127" s="39" t="e">
        <f>#REF!</f>
        <v>#REF!</v>
      </c>
      <c r="BL127" s="39" t="e">
        <f>#REF!</f>
        <v>#REF!</v>
      </c>
      <c r="BM127" s="39" t="e">
        <f>#REF!</f>
        <v>#REF!</v>
      </c>
    </row>
    <row r="128" spans="1:65" x14ac:dyDescent="0.25">
      <c r="A128" s="130">
        <v>53</v>
      </c>
      <c r="B128" s="143" t="e">
        <f>#REF!</f>
        <v>#REF!</v>
      </c>
      <c r="C128" s="144"/>
      <c r="D128" s="133"/>
      <c r="E128" s="39" t="e">
        <f>#REF!</f>
        <v>#REF!</v>
      </c>
      <c r="F128" s="39" t="e">
        <f>#REF!</f>
        <v>#REF!</v>
      </c>
      <c r="G128" s="39" t="e">
        <f>#REF!</f>
        <v>#REF!</v>
      </c>
      <c r="H128" s="39" t="e">
        <f ca="1">OFFSET(#REF!,-1,0)+OFFSET(#REF!,-1,0) -#REF! + IF(#REF!,#REF!*4) + SUM(#REF!)*#REF!*tech_3_3_2*#REF!</f>
        <v>#REF!</v>
      </c>
      <c r="I128" s="39" t="e">
        <f ca="1">OFFSET(#REF!,-1,0)+OFFSET(#REF!,-1,0)+ROUNDUP((#REF!*80+#REF!*35)*(1+OFFSET(#REF!,-1,0)),0)</f>
        <v>#REF!</v>
      </c>
      <c r="J128" s="39" t="e">
        <f ca="1">OFFSET(#REF!,-1,0)+OFFSET(#REF!,-1,0) -#REF! + SUM(#REF!)*#REF!*tech_3_3_2*#REF!</f>
        <v>#REF!</v>
      </c>
      <c r="K128" s="39" t="e">
        <f ca="1">OFFSET(#REF!,-1,0)+OFFSET(#REF!,-1,0) -#REF!</f>
        <v>#REF!</v>
      </c>
      <c r="L128" s="39" t="e">
        <f ca="1">OFFSET(#REF!,-1,0)+OFFSET(#REF!,-1,0) -#REF!</f>
        <v>#REF!</v>
      </c>
      <c r="M128" s="39" t="e">
        <f ca="1">OFFSET(#REF!,-1,0)+OFFSET(#REF!,-1,0) -#REF!</f>
        <v>#REF!</v>
      </c>
      <c r="N128" s="39" t="e">
        <f ca="1">OFFSET(#REF!,-1,0)+OFFSET(#REF!,-1,0)</f>
        <v>#REF!</v>
      </c>
      <c r="O128" s="39" t="e">
        <f ca="1">OFFSET(#REF!,-1,0)</f>
        <v>#REF!</v>
      </c>
      <c r="P128" s="39" t="e">
        <f ca="1">ROUNDDOWN(OFFSET(#REF!,-1,0)+(1+research_bonus)*(MIN(#REF!,#REF!*school_max)*(1 - MIN((#REF!/(#REF!-#REF!)),school_max)))-#REF!*#REF!,0) + IF(#REF!&lt;&gt;"",350,0)</f>
        <v>#REF!</v>
      </c>
      <c r="Q128" s="39" t="e">
        <f ca="1">MAX(3750,_xlfn.CEILING.MATH(#REF!*2.5+OFFSET(#REF!,-1,0)*150))</f>
        <v>#REF!</v>
      </c>
      <c r="R128" s="134"/>
      <c r="S128" s="39" t="e">
        <f>ROUNDDOWN(#REF!*(1+#REF!),0)</f>
        <v>#REF!</v>
      </c>
      <c r="T128" s="39" t="e">
        <f>ROUND(#REF!*(1+#REF!)-#REF!-#REF!,0)</f>
        <v>#REF!</v>
      </c>
      <c r="U128" s="39" t="e">
        <f>ROUND(#REF!*(1+#REF!)-#REF!,0)</f>
        <v>#REF!</v>
      </c>
      <c r="V128" s="39" t="e">
        <f>ROUND(#REF!*(1+#REF!)-#REF!,0)</f>
        <v>#REF!</v>
      </c>
      <c r="W128" s="39" t="e">
        <f>ROUNDDOWN(#REF!*(1+#REF!),0)</f>
        <v>#REF!</v>
      </c>
      <c r="X128" s="39" t="e">
        <f>ROUNDDOWN(#REF!*(1+#REF!),0)</f>
        <v>#REF!</v>
      </c>
      <c r="Y128" s="145" t="e">
        <f ca="1">OFFSET(#REF!,1,0)*dock_boats_hr * (1 + tech_4_1*#REF!)</f>
        <v>#REF!</v>
      </c>
      <c r="Z128" s="133"/>
      <c r="AA128" s="39" t="e">
        <f ca="1">#REF!*tax*#REF! + (Construction!AZ129+Construction!BX129)*(alch_plat+(Magic!AM128&gt;0)*alchemist_flame_bonus)</f>
        <v>#REF!</v>
      </c>
      <c r="AB128" s="39" t="e">
        <f>#REF!*farm_food +#REF!* dock_food</f>
        <v>#REF!</v>
      </c>
      <c r="AC128" s="39" t="e">
        <f>#REF!*ly_lumber +#REF!* fh_lumber</f>
        <v>#REF!</v>
      </c>
      <c r="AD128" s="39" t="e">
        <f ca="1">OFFSET(#REF!,1,0)*(tower_mana + tech_4_5*#REF!) + OFFSET(#REF!,1,0)*wg_mana_prod</f>
        <v>#REF!</v>
      </c>
      <c r="AE128" s="39" t="e">
        <f ca="1">OFFSET(#REF!,1,0)*om_ore+IF(race="Dwarf",ROUNDDOWN(#REF!*0.4,0),)</f>
        <v>#REF!</v>
      </c>
      <c r="AF128" s="39" t="e">
        <f ca="1">OFFSET(#REF!,1,0)*dm_gems</f>
        <v>#REF!</v>
      </c>
      <c r="AG128" s="134"/>
      <c r="AH128" s="135" t="e">
        <f>MIN(race_platinum_bonus + IF(#REF!&gt;0,alch_frost_bonus,IF(Magic!AD128&gt;0,midas_bonus)) +#REF! -#REF!*( 0.02 + tech_5_7*#REF!) + tech_1_5*#REF! + tech_4_4*#REF!, 0.5)</f>
        <v>#REF!</v>
      </c>
      <c r="AI128" s="132" t="e">
        <f>(1 + race_food_bonus + IF(#REF!&gt;0,gaias_blessing_food,IF(#REF!&gt;0,gaias_watch_bonus)) +#REF! + tech_1_1*#REF! + tech_1_4*#REF! + tech_5_1*#REF! +#REF!/ 100*prestige_food_bonus*(1 + tech_8_1*#REF!)) - 1</f>
        <v>#REF!</v>
      </c>
      <c r="AJ128" s="135" t="e">
        <f>race_lumber_bonus+ IF(#REF!&gt;0,gaias_blessing_lumber)+ tech_1_3*#REF! + tech_1_6*#REF! + tech_3_3*#REF!</f>
        <v>#REF!</v>
      </c>
      <c r="AK128" s="135" t="e">
        <f>race_mana_bonus+ 0 +#REF! + tech_1_2*#REF! + tech_3_4*#REF!</f>
        <v>#REF!</v>
      </c>
      <c r="AL128" s="135" t="e">
        <f>race_ore_bonus + IF(#REF!&gt;0,miners_sight_bonus,IF(#REF!&gt;0,mining_strength_bonus)) +  tech_1_6*#REF!</f>
        <v>#REF!</v>
      </c>
      <c r="AM128" s="135" t="e">
        <f>race_gem_bonus+ tech_3_2*#REF! + tech_4_3*#REF! + tech_6_2*#REF!</f>
        <v>#REF!</v>
      </c>
      <c r="AN128" s="134"/>
      <c r="AO128" s="39" t="e">
        <f>#REF!*food_decay * (1 + tech_2_1*#REF! + tech_2_8*#REF!)</f>
        <v>#REF!</v>
      </c>
      <c r="AP128" s="39" t="e">
        <f>(1+race_food_consumption)*#REF!*food_per_person*(1+tech_1_10*#REF!+tech_7_5*#REF!)</f>
        <v>#REF!</v>
      </c>
      <c r="AQ128" s="39" t="e">
        <f>#REF!*lumber_rot * (1 + tech_2_1*#REF! + tech_2_8*#REF! + tech_5_2*#REF!)</f>
        <v>#REF!</v>
      </c>
      <c r="AR128" s="39" t="e">
        <f>#REF!*mana_drain * (1 + tech_2_1*#REF! + tech_2_8*#REF!)</f>
        <v>#REF!</v>
      </c>
      <c r="AS128" s="133"/>
      <c r="AT128" s="39" t="e">
        <f>#REF!+#REF!+#REF!+#REF!+#REF!-#REF!</f>
        <v>#REF!</v>
      </c>
      <c r="AU128" s="39" t="e">
        <f>#REF!+#REF!-#REF! + Military!$CL$25*#REF!</f>
        <v>#REF!</v>
      </c>
      <c r="AV128" s="39" t="e">
        <f>#REF! + Military!$CL$26*#REF!</f>
        <v>#REF!</v>
      </c>
      <c r="AW128" s="39" t="e">
        <f>Military!$CL$24*#REF!+#REF!-#REF!</f>
        <v>#REF!</v>
      </c>
      <c r="AX128" s="39" t="e">
        <f>#REF!-#REF!</f>
        <v>#REF!</v>
      </c>
      <c r="AY128" s="134"/>
      <c r="AZ128" s="61" t="e">
        <f ca="1">IF(#REF!&lt;&gt;"",#REF!,OFFSET(#REF!,-1,0))</f>
        <v>#REF!</v>
      </c>
      <c r="BA128" s="144"/>
      <c r="BB128" s="3" t="e">
        <f>#REF!</f>
        <v>#REF!</v>
      </c>
      <c r="BC128" s="146" t="e">
        <f>-#REF! / 2 + -#REF! * 2 + -#REF! / 2</f>
        <v>#REF!</v>
      </c>
      <c r="BD128" s="146"/>
      <c r="BE128" s="146"/>
      <c r="BF128" s="146"/>
      <c r="BG128" s="147" t="e">
        <f>#REF!</f>
        <v>#REF!</v>
      </c>
      <c r="BH128" s="3" t="e">
        <f>IF(AND(#REF!=0,#REF!=0,#REF!=0,#REF!=0),"",IF(#REF!&gt;0,IF((#REF!+#REF!)/2+#REF!*2+ROUNDUP(#REF!/(1 + tech_2_2*Techs!Y128),0)=0,"Ok","Nope"),IF(#REF!&gt;0,IF((#REF!+#REF!)/2+#REF!*2+ROUNDUP(#REF!/(1 + tech_2_2*Techs!Y128),0)=0,"Ok","Nope"),IF(#REF!&gt;0,IF((#REF!+#REF!)/2+#REF!*2+ROUNDUP(#REF!/(1 + tech_2_2*Techs!Y128),0)=0,"Ok","Nope")))))</f>
        <v>#REF!</v>
      </c>
      <c r="BI128" s="39" t="e">
        <f>#REF!</f>
        <v>#REF!</v>
      </c>
      <c r="BJ128" s="39" t="e">
        <f>#REF!</f>
        <v>#REF!</v>
      </c>
      <c r="BK128" s="39" t="e">
        <f>#REF!</f>
        <v>#REF!</v>
      </c>
      <c r="BL128" s="39" t="e">
        <f>#REF!</f>
        <v>#REF!</v>
      </c>
      <c r="BM128" s="39" t="e">
        <f>#REF!</f>
        <v>#REF!</v>
      </c>
    </row>
    <row r="129" spans="1:65" x14ac:dyDescent="0.25">
      <c r="A129" s="130">
        <v>54</v>
      </c>
      <c r="B129" s="143" t="e">
        <f>#REF!</f>
        <v>#REF!</v>
      </c>
      <c r="C129" s="144"/>
      <c r="D129" s="133"/>
      <c r="E129" s="39" t="e">
        <f>#REF!</f>
        <v>#REF!</v>
      </c>
      <c r="F129" s="39" t="e">
        <f>#REF!</f>
        <v>#REF!</v>
      </c>
      <c r="G129" s="39" t="e">
        <f>#REF!</f>
        <v>#REF!</v>
      </c>
      <c r="H129" s="39" t="e">
        <f ca="1">OFFSET(#REF!,-1,0)+OFFSET(#REF!,-1,0) -#REF! + IF(#REF!,#REF!*4) + SUM(#REF!)*#REF!*tech_3_3_2*#REF!</f>
        <v>#REF!</v>
      </c>
      <c r="I129" s="39" t="e">
        <f ca="1">OFFSET(#REF!,-1,0)+OFFSET(#REF!,-1,0)+ROUNDUP((#REF!*80+#REF!*35)*(1+OFFSET(#REF!,-1,0)),0)</f>
        <v>#REF!</v>
      </c>
      <c r="J129" s="39" t="e">
        <f ca="1">OFFSET(#REF!,-1,0)+OFFSET(#REF!,-1,0) -#REF! + SUM(#REF!)*#REF!*tech_3_3_2*#REF!</f>
        <v>#REF!</v>
      </c>
      <c r="K129" s="39" t="e">
        <f ca="1">OFFSET(#REF!,-1,0)+OFFSET(#REF!,-1,0) -#REF!</f>
        <v>#REF!</v>
      </c>
      <c r="L129" s="39" t="e">
        <f ca="1">OFFSET(#REF!,-1,0)+OFFSET(#REF!,-1,0) -#REF!</f>
        <v>#REF!</v>
      </c>
      <c r="M129" s="39" t="e">
        <f ca="1">OFFSET(#REF!,-1,0)+OFFSET(#REF!,-1,0) -#REF!</f>
        <v>#REF!</v>
      </c>
      <c r="N129" s="39" t="e">
        <f ca="1">OFFSET(#REF!,-1,0)+OFFSET(#REF!,-1,0)</f>
        <v>#REF!</v>
      </c>
      <c r="O129" s="39" t="e">
        <f ca="1">OFFSET(#REF!,-1,0)</f>
        <v>#REF!</v>
      </c>
      <c r="P129" s="39" t="e">
        <f ca="1">ROUNDDOWN(OFFSET(#REF!,-1,0)+(1+research_bonus)*(MIN(#REF!,#REF!*school_max)*(1 - MIN((#REF!/(#REF!-#REF!)),school_max)))-#REF!*#REF!,0) + IF(#REF!&lt;&gt;"",350,0)</f>
        <v>#REF!</v>
      </c>
      <c r="Q129" s="39" t="e">
        <f ca="1">MAX(3750,_xlfn.CEILING.MATH(#REF!*2.5+OFFSET(#REF!,-1,0)*150))</f>
        <v>#REF!</v>
      </c>
      <c r="R129" s="134"/>
      <c r="S129" s="39" t="e">
        <f>ROUNDDOWN(#REF!*(1+#REF!),0)</f>
        <v>#REF!</v>
      </c>
      <c r="T129" s="39" t="e">
        <f>ROUND(#REF!*(1+#REF!)-#REF!-#REF!,0)</f>
        <v>#REF!</v>
      </c>
      <c r="U129" s="39" t="e">
        <f>ROUND(#REF!*(1+#REF!)-#REF!,0)</f>
        <v>#REF!</v>
      </c>
      <c r="V129" s="39" t="e">
        <f>ROUND(#REF!*(1+#REF!)-#REF!,0)</f>
        <v>#REF!</v>
      </c>
      <c r="W129" s="39" t="e">
        <f>ROUNDDOWN(#REF!*(1+#REF!),0)</f>
        <v>#REF!</v>
      </c>
      <c r="X129" s="39" t="e">
        <f>ROUNDDOWN(#REF!*(1+#REF!),0)</f>
        <v>#REF!</v>
      </c>
      <c r="Y129" s="145" t="e">
        <f ca="1">OFFSET(#REF!,1,0)*dock_boats_hr * (1 + tech_4_1*#REF!)</f>
        <v>#REF!</v>
      </c>
      <c r="Z129" s="133"/>
      <c r="AA129" s="39" t="e">
        <f ca="1">#REF!*tax*#REF! + (Construction!AZ130+Construction!BX130)*(alch_plat+(Magic!AM129&gt;0)*alchemist_flame_bonus)</f>
        <v>#REF!</v>
      </c>
      <c r="AB129" s="39" t="e">
        <f>#REF!*farm_food +#REF!* dock_food</f>
        <v>#REF!</v>
      </c>
      <c r="AC129" s="39" t="e">
        <f>#REF!*ly_lumber +#REF!* fh_lumber</f>
        <v>#REF!</v>
      </c>
      <c r="AD129" s="39" t="e">
        <f ca="1">OFFSET(#REF!,1,0)*(tower_mana + tech_4_5*#REF!) + OFFSET(#REF!,1,0)*wg_mana_prod</f>
        <v>#REF!</v>
      </c>
      <c r="AE129" s="39" t="e">
        <f ca="1">OFFSET(#REF!,1,0)*om_ore+IF(race="Dwarf",ROUNDDOWN(#REF!*0.4,0),)</f>
        <v>#REF!</v>
      </c>
      <c r="AF129" s="39" t="e">
        <f ca="1">OFFSET(#REF!,1,0)*dm_gems</f>
        <v>#REF!</v>
      </c>
      <c r="AG129" s="134"/>
      <c r="AH129" s="135" t="e">
        <f>MIN(race_platinum_bonus + IF(#REF!&gt;0,alch_frost_bonus,IF(Magic!AD129&gt;0,midas_bonus)) +#REF! -#REF!*( 0.02 + tech_5_7*#REF!) + tech_1_5*#REF! + tech_4_4*#REF!, 0.5)</f>
        <v>#REF!</v>
      </c>
      <c r="AI129" s="132" t="e">
        <f>(1 + race_food_bonus + IF(#REF!&gt;0,gaias_blessing_food,IF(#REF!&gt;0,gaias_watch_bonus)) +#REF! + tech_1_1*#REF! + tech_1_4*#REF! + tech_5_1*#REF! +#REF!/ 100*prestige_food_bonus*(1 + tech_8_1*#REF!)) - 1</f>
        <v>#REF!</v>
      </c>
      <c r="AJ129" s="135" t="e">
        <f>race_lumber_bonus+ IF(#REF!&gt;0,gaias_blessing_lumber)+ tech_1_3*#REF! + tech_1_6*#REF! + tech_3_3*#REF!</f>
        <v>#REF!</v>
      </c>
      <c r="AK129" s="135" t="e">
        <f>race_mana_bonus+ 0 +#REF! + tech_1_2*#REF! + tech_3_4*#REF!</f>
        <v>#REF!</v>
      </c>
      <c r="AL129" s="135" t="e">
        <f>race_ore_bonus + IF(#REF!&gt;0,miners_sight_bonus,IF(#REF!&gt;0,mining_strength_bonus)) +  tech_1_6*#REF!</f>
        <v>#REF!</v>
      </c>
      <c r="AM129" s="135" t="e">
        <f>race_gem_bonus+ tech_3_2*#REF! + tech_4_3*#REF! + tech_6_2*#REF!</f>
        <v>#REF!</v>
      </c>
      <c r="AN129" s="134"/>
      <c r="AO129" s="39" t="e">
        <f>#REF!*food_decay * (1 + tech_2_1*#REF! + tech_2_8*#REF!)</f>
        <v>#REF!</v>
      </c>
      <c r="AP129" s="39" t="e">
        <f>(1+race_food_consumption)*#REF!*food_per_person*(1+tech_1_10*#REF!+tech_7_5*#REF!)</f>
        <v>#REF!</v>
      </c>
      <c r="AQ129" s="39" t="e">
        <f>#REF!*lumber_rot * (1 + tech_2_1*#REF! + tech_2_8*#REF! + tech_5_2*#REF!)</f>
        <v>#REF!</v>
      </c>
      <c r="AR129" s="39" t="e">
        <f>#REF!*mana_drain * (1 + tech_2_1*#REF! + tech_2_8*#REF!)</f>
        <v>#REF!</v>
      </c>
      <c r="AS129" s="133"/>
      <c r="AT129" s="39" t="e">
        <f>#REF!+#REF!+#REF!+#REF!+#REF!-#REF!</f>
        <v>#REF!</v>
      </c>
      <c r="AU129" s="39" t="e">
        <f>#REF!+#REF!-#REF! + Military!$CL$25*#REF!</f>
        <v>#REF!</v>
      </c>
      <c r="AV129" s="39" t="e">
        <f>#REF! + Military!$CL$26*#REF!</f>
        <v>#REF!</v>
      </c>
      <c r="AW129" s="39" t="e">
        <f>Military!$CL$24*#REF!+#REF!-#REF!</f>
        <v>#REF!</v>
      </c>
      <c r="AX129" s="39" t="e">
        <f>#REF!-#REF!</f>
        <v>#REF!</v>
      </c>
      <c r="AY129" s="134"/>
      <c r="AZ129" s="61" t="e">
        <f ca="1">IF(#REF!&lt;&gt;"",#REF!,OFFSET(#REF!,-1,0))</f>
        <v>#REF!</v>
      </c>
      <c r="BA129" s="144"/>
      <c r="BB129" s="3" t="e">
        <f>#REF!</f>
        <v>#REF!</v>
      </c>
      <c r="BC129" s="146" t="e">
        <f>-#REF! / 2 + -#REF! * 2 + -#REF! / 2</f>
        <v>#REF!</v>
      </c>
      <c r="BD129" s="146"/>
      <c r="BE129" s="146"/>
      <c r="BF129" s="146"/>
      <c r="BG129" s="147" t="e">
        <f>#REF!</f>
        <v>#REF!</v>
      </c>
      <c r="BH129" s="3" t="e">
        <f>IF(AND(#REF!=0,#REF!=0,#REF!=0,#REF!=0),"",IF(#REF!&gt;0,IF((#REF!+#REF!)/2+#REF!*2+ROUNDUP(#REF!/(1 + tech_2_2*Techs!Y129),0)=0,"Ok","Nope"),IF(#REF!&gt;0,IF((#REF!+#REF!)/2+#REF!*2+ROUNDUP(#REF!/(1 + tech_2_2*Techs!Y129),0)=0,"Ok","Nope"),IF(#REF!&gt;0,IF((#REF!+#REF!)/2+#REF!*2+ROUNDUP(#REF!/(1 + tech_2_2*Techs!Y129),0)=0,"Ok","Nope")))))</f>
        <v>#REF!</v>
      </c>
      <c r="BI129" s="39" t="e">
        <f>#REF!</f>
        <v>#REF!</v>
      </c>
      <c r="BJ129" s="39" t="e">
        <f>#REF!</f>
        <v>#REF!</v>
      </c>
      <c r="BK129" s="39" t="e">
        <f>#REF!</f>
        <v>#REF!</v>
      </c>
      <c r="BL129" s="39" t="e">
        <f>#REF!</f>
        <v>#REF!</v>
      </c>
      <c r="BM129" s="39" t="e">
        <f>#REF!</f>
        <v>#REF!</v>
      </c>
    </row>
    <row r="130" spans="1:65" x14ac:dyDescent="0.25">
      <c r="A130" s="130">
        <v>55</v>
      </c>
      <c r="B130" s="143" t="e">
        <f>#REF!</f>
        <v>#REF!</v>
      </c>
      <c r="C130" s="144"/>
      <c r="D130" s="133"/>
      <c r="E130" s="39" t="e">
        <f>#REF!</f>
        <v>#REF!</v>
      </c>
      <c r="F130" s="39" t="e">
        <f>#REF!</f>
        <v>#REF!</v>
      </c>
      <c r="G130" s="39" t="e">
        <f>#REF!</f>
        <v>#REF!</v>
      </c>
      <c r="H130" s="39" t="e">
        <f ca="1">OFFSET(#REF!,-1,0)+OFFSET(#REF!,-1,0) -#REF! + IF(#REF!,#REF!*4) + SUM(#REF!)*#REF!*tech_3_3_2*#REF!</f>
        <v>#REF!</v>
      </c>
      <c r="I130" s="39" t="e">
        <f ca="1">OFFSET(#REF!,-1,0)+OFFSET(#REF!,-1,0)+ROUNDUP((#REF!*80+#REF!*35)*(1+OFFSET(#REF!,-1,0)),0)</f>
        <v>#REF!</v>
      </c>
      <c r="J130" s="39" t="e">
        <f ca="1">OFFSET(#REF!,-1,0)+OFFSET(#REF!,-1,0) -#REF! + SUM(#REF!)*#REF!*tech_3_3_2*#REF!</f>
        <v>#REF!</v>
      </c>
      <c r="K130" s="39" t="e">
        <f ca="1">OFFSET(#REF!,-1,0)+OFFSET(#REF!,-1,0) -#REF!</f>
        <v>#REF!</v>
      </c>
      <c r="L130" s="39" t="e">
        <f ca="1">OFFSET(#REF!,-1,0)+OFFSET(#REF!,-1,0) -#REF!</f>
        <v>#REF!</v>
      </c>
      <c r="M130" s="39" t="e">
        <f ca="1">OFFSET(#REF!,-1,0)+OFFSET(#REF!,-1,0) -#REF!</f>
        <v>#REF!</v>
      </c>
      <c r="N130" s="39" t="e">
        <f ca="1">OFFSET(#REF!,-1,0)+OFFSET(#REF!,-1,0)</f>
        <v>#REF!</v>
      </c>
      <c r="O130" s="39" t="e">
        <f ca="1">OFFSET(#REF!,-1,0)</f>
        <v>#REF!</v>
      </c>
      <c r="P130" s="39" t="e">
        <f ca="1">ROUNDDOWN(OFFSET(#REF!,-1,0)+(1+research_bonus)*(MIN(#REF!,#REF!*school_max)*(1 - MIN((#REF!/(#REF!-#REF!)),school_max)))-#REF!*#REF!,0) + IF(#REF!&lt;&gt;"",350,0)</f>
        <v>#REF!</v>
      </c>
      <c r="Q130" s="39" t="e">
        <f ca="1">MAX(3750,_xlfn.CEILING.MATH(#REF!*2.5+OFFSET(#REF!,-1,0)*150))</f>
        <v>#REF!</v>
      </c>
      <c r="R130" s="134"/>
      <c r="S130" s="39" t="e">
        <f>ROUNDDOWN(#REF!*(1+#REF!),0)</f>
        <v>#REF!</v>
      </c>
      <c r="T130" s="39" t="e">
        <f>ROUND(#REF!*(1+#REF!)-#REF!-#REF!,0)</f>
        <v>#REF!</v>
      </c>
      <c r="U130" s="39" t="e">
        <f>ROUND(#REF!*(1+#REF!)-#REF!,0)</f>
        <v>#REF!</v>
      </c>
      <c r="V130" s="39" t="e">
        <f>ROUND(#REF!*(1+#REF!)-#REF!,0)</f>
        <v>#REF!</v>
      </c>
      <c r="W130" s="39" t="e">
        <f>ROUNDDOWN(#REF!*(1+#REF!),0)</f>
        <v>#REF!</v>
      </c>
      <c r="X130" s="39" t="e">
        <f>ROUNDDOWN(#REF!*(1+#REF!),0)</f>
        <v>#REF!</v>
      </c>
      <c r="Y130" s="145" t="e">
        <f ca="1">OFFSET(#REF!,1,0)*dock_boats_hr * (1 + tech_4_1*#REF!)</f>
        <v>#REF!</v>
      </c>
      <c r="Z130" s="133"/>
      <c r="AA130" s="39" t="e">
        <f ca="1">#REF!*tax*#REF! + (Construction!AZ131+Construction!BX131)*(alch_plat+(Magic!AM130&gt;0)*alchemist_flame_bonus)</f>
        <v>#REF!</v>
      </c>
      <c r="AB130" s="39" t="e">
        <f>#REF!*farm_food +#REF!* dock_food</f>
        <v>#REF!</v>
      </c>
      <c r="AC130" s="39" t="e">
        <f>#REF!*ly_lumber +#REF!* fh_lumber</f>
        <v>#REF!</v>
      </c>
      <c r="AD130" s="39" t="e">
        <f ca="1">OFFSET(#REF!,1,0)*(tower_mana + tech_4_5*#REF!) + OFFSET(#REF!,1,0)*wg_mana_prod</f>
        <v>#REF!</v>
      </c>
      <c r="AE130" s="39" t="e">
        <f ca="1">OFFSET(#REF!,1,0)*om_ore+IF(race="Dwarf",ROUNDDOWN(#REF!*0.4,0),)</f>
        <v>#REF!</v>
      </c>
      <c r="AF130" s="39" t="e">
        <f ca="1">OFFSET(#REF!,1,0)*dm_gems</f>
        <v>#REF!</v>
      </c>
      <c r="AG130" s="134"/>
      <c r="AH130" s="135" t="e">
        <f>MIN(race_platinum_bonus + IF(#REF!&gt;0,alch_frost_bonus,IF(Magic!AD130&gt;0,midas_bonus)) +#REF! -#REF!*( 0.02 + tech_5_7*#REF!) + tech_1_5*#REF! + tech_4_4*#REF!, 0.5)</f>
        <v>#REF!</v>
      </c>
      <c r="AI130" s="132" t="e">
        <f>(1 + race_food_bonus + IF(#REF!&gt;0,gaias_blessing_food,IF(#REF!&gt;0,gaias_watch_bonus)) +#REF! + tech_1_1*#REF! + tech_1_4*#REF! + tech_5_1*#REF! +#REF!/ 100*prestige_food_bonus*(1 + tech_8_1*#REF!)) - 1</f>
        <v>#REF!</v>
      </c>
      <c r="AJ130" s="135" t="e">
        <f>race_lumber_bonus+ IF(#REF!&gt;0,gaias_blessing_lumber)+ tech_1_3*#REF! + tech_1_6*#REF! + tech_3_3*#REF!</f>
        <v>#REF!</v>
      </c>
      <c r="AK130" s="135" t="e">
        <f>race_mana_bonus+ 0 +#REF! + tech_1_2*#REF! + tech_3_4*#REF!</f>
        <v>#REF!</v>
      </c>
      <c r="AL130" s="135" t="e">
        <f>race_ore_bonus + IF(#REF!&gt;0,miners_sight_bonus,IF(#REF!&gt;0,mining_strength_bonus)) +  tech_1_6*#REF!</f>
        <v>#REF!</v>
      </c>
      <c r="AM130" s="135" t="e">
        <f>race_gem_bonus+ tech_3_2*#REF! + tech_4_3*#REF! + tech_6_2*#REF!</f>
        <v>#REF!</v>
      </c>
      <c r="AN130" s="134"/>
      <c r="AO130" s="39" t="e">
        <f>#REF!*food_decay * (1 + tech_2_1*#REF! + tech_2_8*#REF!)</f>
        <v>#REF!</v>
      </c>
      <c r="AP130" s="39" t="e">
        <f>(1+race_food_consumption)*#REF!*food_per_person*(1+tech_1_10*#REF!+tech_7_5*#REF!)</f>
        <v>#REF!</v>
      </c>
      <c r="AQ130" s="39" t="e">
        <f>#REF!*lumber_rot * (1 + tech_2_1*#REF! + tech_2_8*#REF! + tech_5_2*#REF!)</f>
        <v>#REF!</v>
      </c>
      <c r="AR130" s="39" t="e">
        <f>#REF!*mana_drain * (1 + tech_2_1*#REF! + tech_2_8*#REF!)</f>
        <v>#REF!</v>
      </c>
      <c r="AS130" s="133"/>
      <c r="AT130" s="39" t="e">
        <f>#REF!+#REF!+#REF!+#REF!+#REF!-#REF!</f>
        <v>#REF!</v>
      </c>
      <c r="AU130" s="39" t="e">
        <f>#REF!+#REF!-#REF! + Military!$CL$25*#REF!</f>
        <v>#REF!</v>
      </c>
      <c r="AV130" s="39" t="e">
        <f>#REF! + Military!$CL$26*#REF!</f>
        <v>#REF!</v>
      </c>
      <c r="AW130" s="39" t="e">
        <f>Military!$CL$24*#REF!+#REF!-#REF!</f>
        <v>#REF!</v>
      </c>
      <c r="AX130" s="39" t="e">
        <f>#REF!-#REF!</f>
        <v>#REF!</v>
      </c>
      <c r="AY130" s="134"/>
      <c r="AZ130" s="61" t="e">
        <f ca="1">IF(#REF!&lt;&gt;"",#REF!,OFFSET(#REF!,-1,0))</f>
        <v>#REF!</v>
      </c>
      <c r="BA130" s="144"/>
      <c r="BB130" s="3" t="e">
        <f>#REF!</f>
        <v>#REF!</v>
      </c>
      <c r="BC130" s="146" t="e">
        <f>-#REF! / 2 + -#REF! * 2 + -#REF! / 2</f>
        <v>#REF!</v>
      </c>
      <c r="BD130" s="146"/>
      <c r="BE130" s="146"/>
      <c r="BF130" s="146"/>
      <c r="BG130" s="147" t="e">
        <f>#REF!</f>
        <v>#REF!</v>
      </c>
      <c r="BH130" s="3" t="e">
        <f>IF(AND(#REF!=0,#REF!=0,#REF!=0,#REF!=0),"",IF(#REF!&gt;0,IF((#REF!+#REF!)/2+#REF!*2+ROUNDUP(#REF!/(1 + tech_2_2*Techs!Y130),0)=0,"Ok","Nope"),IF(#REF!&gt;0,IF((#REF!+#REF!)/2+#REF!*2+ROUNDUP(#REF!/(1 + tech_2_2*Techs!Y130),0)=0,"Ok","Nope"),IF(#REF!&gt;0,IF((#REF!+#REF!)/2+#REF!*2+ROUNDUP(#REF!/(1 + tech_2_2*Techs!Y130),0)=0,"Ok","Nope")))))</f>
        <v>#REF!</v>
      </c>
      <c r="BI130" s="39" t="e">
        <f>#REF!</f>
        <v>#REF!</v>
      </c>
      <c r="BJ130" s="39" t="e">
        <f>#REF!</f>
        <v>#REF!</v>
      </c>
      <c r="BK130" s="39" t="e">
        <f>#REF!</f>
        <v>#REF!</v>
      </c>
      <c r="BL130" s="39" t="e">
        <f>#REF!</f>
        <v>#REF!</v>
      </c>
      <c r="BM130" s="39" t="e">
        <f>#REF!</f>
        <v>#REF!</v>
      </c>
    </row>
    <row r="131" spans="1:65" x14ac:dyDescent="0.25">
      <c r="A131" s="130">
        <v>56</v>
      </c>
      <c r="B131" s="143" t="e">
        <f>#REF!</f>
        <v>#REF!</v>
      </c>
      <c r="C131" s="144"/>
      <c r="D131" s="133"/>
      <c r="E131" s="39" t="e">
        <f>#REF!</f>
        <v>#REF!</v>
      </c>
      <c r="F131" s="39" t="e">
        <f>#REF!</f>
        <v>#REF!</v>
      </c>
      <c r="G131" s="39" t="e">
        <f>#REF!</f>
        <v>#REF!</v>
      </c>
      <c r="H131" s="39" t="e">
        <f ca="1">OFFSET(#REF!,-1,0)+OFFSET(#REF!,-1,0) -#REF! + IF(#REF!,#REF!*4) + SUM(#REF!)*#REF!*tech_3_3_2*#REF!</f>
        <v>#REF!</v>
      </c>
      <c r="I131" s="39" t="e">
        <f ca="1">OFFSET(#REF!,-1,0)+OFFSET(#REF!,-1,0)+ROUNDUP((#REF!*80+#REF!*35)*(1+OFFSET(#REF!,-1,0)),0)</f>
        <v>#REF!</v>
      </c>
      <c r="J131" s="39" t="e">
        <f ca="1">OFFSET(#REF!,-1,0)+OFFSET(#REF!,-1,0) -#REF! + SUM(#REF!)*#REF!*tech_3_3_2*#REF!</f>
        <v>#REF!</v>
      </c>
      <c r="K131" s="39" t="e">
        <f ca="1">OFFSET(#REF!,-1,0)+OFFSET(#REF!,-1,0) -#REF!</f>
        <v>#REF!</v>
      </c>
      <c r="L131" s="39" t="e">
        <f ca="1">OFFSET(#REF!,-1,0)+OFFSET(#REF!,-1,0) -#REF!</f>
        <v>#REF!</v>
      </c>
      <c r="M131" s="39" t="e">
        <f ca="1">OFFSET(#REF!,-1,0)+OFFSET(#REF!,-1,0) -#REF!</f>
        <v>#REF!</v>
      </c>
      <c r="N131" s="39" t="e">
        <f ca="1">OFFSET(#REF!,-1,0)+OFFSET(#REF!,-1,0)</f>
        <v>#REF!</v>
      </c>
      <c r="O131" s="39" t="e">
        <f ca="1">OFFSET(#REF!,-1,0)</f>
        <v>#REF!</v>
      </c>
      <c r="P131" s="39" t="e">
        <f ca="1">ROUNDDOWN(OFFSET(#REF!,-1,0)+(1+research_bonus)*(MIN(#REF!,#REF!*school_max)*(1 - MIN((#REF!/(#REF!-#REF!)),school_max)))-#REF!*#REF!,0) + IF(#REF!&lt;&gt;"",350,0)</f>
        <v>#REF!</v>
      </c>
      <c r="Q131" s="39" t="e">
        <f ca="1">MAX(3750,_xlfn.CEILING.MATH(#REF!*2.5+OFFSET(#REF!,-1,0)*150))</f>
        <v>#REF!</v>
      </c>
      <c r="R131" s="134"/>
      <c r="S131" s="39" t="e">
        <f>ROUNDDOWN(#REF!*(1+#REF!),0)</f>
        <v>#REF!</v>
      </c>
      <c r="T131" s="39" t="e">
        <f>ROUND(#REF!*(1+#REF!)-#REF!-#REF!,0)</f>
        <v>#REF!</v>
      </c>
      <c r="U131" s="39" t="e">
        <f>ROUND(#REF!*(1+#REF!)-#REF!,0)</f>
        <v>#REF!</v>
      </c>
      <c r="V131" s="39" t="e">
        <f>ROUND(#REF!*(1+#REF!)-#REF!,0)</f>
        <v>#REF!</v>
      </c>
      <c r="W131" s="39" t="e">
        <f>ROUNDDOWN(#REF!*(1+#REF!),0)</f>
        <v>#REF!</v>
      </c>
      <c r="X131" s="39" t="e">
        <f>ROUNDDOWN(#REF!*(1+#REF!),0)</f>
        <v>#REF!</v>
      </c>
      <c r="Y131" s="145" t="e">
        <f ca="1">OFFSET(#REF!,1,0)*dock_boats_hr * (1 + tech_4_1*#REF!)</f>
        <v>#REF!</v>
      </c>
      <c r="Z131" s="133"/>
      <c r="AA131" s="39" t="e">
        <f ca="1">#REF!*tax*#REF! + (Construction!AZ132+Construction!BX132)*(alch_plat+(Magic!AM131&gt;0)*alchemist_flame_bonus)</f>
        <v>#REF!</v>
      </c>
      <c r="AB131" s="39" t="e">
        <f>#REF!*farm_food +#REF!* dock_food</f>
        <v>#REF!</v>
      </c>
      <c r="AC131" s="39" t="e">
        <f>#REF!*ly_lumber +#REF!* fh_lumber</f>
        <v>#REF!</v>
      </c>
      <c r="AD131" s="39" t="e">
        <f ca="1">OFFSET(#REF!,1,0)*(tower_mana + tech_4_5*#REF!) + OFFSET(#REF!,1,0)*wg_mana_prod</f>
        <v>#REF!</v>
      </c>
      <c r="AE131" s="39" t="e">
        <f ca="1">OFFSET(#REF!,1,0)*om_ore+IF(race="Dwarf",ROUNDDOWN(#REF!*0.4,0),)</f>
        <v>#REF!</v>
      </c>
      <c r="AF131" s="39" t="e">
        <f ca="1">OFFSET(#REF!,1,0)*dm_gems</f>
        <v>#REF!</v>
      </c>
      <c r="AG131" s="134"/>
      <c r="AH131" s="135" t="e">
        <f>MIN(race_platinum_bonus + IF(#REF!&gt;0,alch_frost_bonus,IF(Magic!AD131&gt;0,midas_bonus)) +#REF! -#REF!*( 0.02 + tech_5_7*#REF!) + tech_1_5*#REF! + tech_4_4*#REF!, 0.5)</f>
        <v>#REF!</v>
      </c>
      <c r="AI131" s="132" t="e">
        <f>(1 + race_food_bonus + IF(#REF!&gt;0,gaias_blessing_food,IF(#REF!&gt;0,gaias_watch_bonus)) +#REF! + tech_1_1*#REF! + tech_1_4*#REF! + tech_5_1*#REF! +#REF!/ 100*prestige_food_bonus*(1 + tech_8_1*#REF!)) - 1</f>
        <v>#REF!</v>
      </c>
      <c r="AJ131" s="135" t="e">
        <f>race_lumber_bonus+ IF(#REF!&gt;0,gaias_blessing_lumber)+ tech_1_3*#REF! + tech_1_6*#REF! + tech_3_3*#REF!</f>
        <v>#REF!</v>
      </c>
      <c r="AK131" s="135" t="e">
        <f>race_mana_bonus+ 0 +#REF! + tech_1_2*#REF! + tech_3_4*#REF!</f>
        <v>#REF!</v>
      </c>
      <c r="AL131" s="135" t="e">
        <f>race_ore_bonus + IF(#REF!&gt;0,miners_sight_bonus,IF(#REF!&gt;0,mining_strength_bonus)) +  tech_1_6*#REF!</f>
        <v>#REF!</v>
      </c>
      <c r="AM131" s="135" t="e">
        <f>race_gem_bonus+ tech_3_2*#REF! + tech_4_3*#REF! + tech_6_2*#REF!</f>
        <v>#REF!</v>
      </c>
      <c r="AN131" s="134"/>
      <c r="AO131" s="39" t="e">
        <f>#REF!*food_decay * (1 + tech_2_1*#REF! + tech_2_8*#REF!)</f>
        <v>#REF!</v>
      </c>
      <c r="AP131" s="39" t="e">
        <f>(1+race_food_consumption)*#REF!*food_per_person*(1+tech_1_10*#REF!+tech_7_5*#REF!)</f>
        <v>#REF!</v>
      </c>
      <c r="AQ131" s="39" t="e">
        <f>#REF!*lumber_rot * (1 + tech_2_1*#REF! + tech_2_8*#REF! + tech_5_2*#REF!)</f>
        <v>#REF!</v>
      </c>
      <c r="AR131" s="39" t="e">
        <f>#REF!*mana_drain * (1 + tech_2_1*#REF! + tech_2_8*#REF!)</f>
        <v>#REF!</v>
      </c>
      <c r="AS131" s="133"/>
      <c r="AT131" s="39" t="e">
        <f>#REF!+#REF!+#REF!+#REF!+#REF!-#REF!</f>
        <v>#REF!</v>
      </c>
      <c r="AU131" s="39" t="e">
        <f>#REF!+#REF!-#REF! + Military!$CL$25*#REF!</f>
        <v>#REF!</v>
      </c>
      <c r="AV131" s="39" t="e">
        <f>#REF! + Military!$CL$26*#REF!</f>
        <v>#REF!</v>
      </c>
      <c r="AW131" s="39" t="e">
        <f>Military!$CL$24*#REF!+#REF!-#REF!</f>
        <v>#REF!</v>
      </c>
      <c r="AX131" s="39" t="e">
        <f>#REF!-#REF!</f>
        <v>#REF!</v>
      </c>
      <c r="AY131" s="134"/>
      <c r="AZ131" s="61" t="e">
        <f ca="1">IF(#REF!&lt;&gt;"",#REF!,OFFSET(#REF!,-1,0))</f>
        <v>#REF!</v>
      </c>
      <c r="BA131" s="144"/>
      <c r="BB131" s="3" t="e">
        <f>#REF!</f>
        <v>#REF!</v>
      </c>
      <c r="BC131" s="146" t="e">
        <f>-#REF! / 2 + -#REF! * 2 + -#REF! / 2</f>
        <v>#REF!</v>
      </c>
      <c r="BD131" s="146"/>
      <c r="BE131" s="146"/>
      <c r="BF131" s="146"/>
      <c r="BG131" s="147" t="e">
        <f>#REF!</f>
        <v>#REF!</v>
      </c>
      <c r="BH131" s="3" t="e">
        <f>IF(AND(#REF!=0,#REF!=0,#REF!=0,#REF!=0),"",IF(#REF!&gt;0,IF((#REF!+#REF!)/2+#REF!*2+ROUNDUP(#REF!/(1 + tech_2_2*Techs!Y131),0)=0,"Ok","Nope"),IF(#REF!&gt;0,IF((#REF!+#REF!)/2+#REF!*2+ROUNDUP(#REF!/(1 + tech_2_2*Techs!Y131),0)=0,"Ok","Nope"),IF(#REF!&gt;0,IF((#REF!+#REF!)/2+#REF!*2+ROUNDUP(#REF!/(1 + tech_2_2*Techs!Y131),0)=0,"Ok","Nope")))))</f>
        <v>#REF!</v>
      </c>
      <c r="BI131" s="39" t="e">
        <f>#REF!</f>
        <v>#REF!</v>
      </c>
      <c r="BJ131" s="39" t="e">
        <f>#REF!</f>
        <v>#REF!</v>
      </c>
      <c r="BK131" s="39" t="e">
        <f>#REF!</f>
        <v>#REF!</v>
      </c>
      <c r="BL131" s="39" t="e">
        <f>#REF!</f>
        <v>#REF!</v>
      </c>
      <c r="BM131" s="39" t="e">
        <f>#REF!</f>
        <v>#REF!</v>
      </c>
    </row>
    <row r="132" spans="1:65" x14ac:dyDescent="0.25">
      <c r="A132" s="130">
        <v>57</v>
      </c>
      <c r="B132" s="143" t="e">
        <f>#REF!</f>
        <v>#REF!</v>
      </c>
      <c r="C132" s="144"/>
      <c r="D132" s="133"/>
      <c r="E132" s="39" t="e">
        <f>#REF!</f>
        <v>#REF!</v>
      </c>
      <c r="F132" s="39" t="e">
        <f>#REF!</f>
        <v>#REF!</v>
      </c>
      <c r="G132" s="39" t="e">
        <f>#REF!</f>
        <v>#REF!</v>
      </c>
      <c r="H132" s="39" t="e">
        <f ca="1">OFFSET(#REF!,-1,0)+OFFSET(#REF!,-1,0) -#REF! + IF(#REF!,#REF!*4) + SUM(#REF!)*#REF!*tech_3_3_2*#REF!</f>
        <v>#REF!</v>
      </c>
      <c r="I132" s="39" t="e">
        <f ca="1">OFFSET(#REF!,-1,0)+OFFSET(#REF!,-1,0)+ROUNDUP((#REF!*80+#REF!*35)*(1+OFFSET(#REF!,-1,0)),0)</f>
        <v>#REF!</v>
      </c>
      <c r="J132" s="39" t="e">
        <f ca="1">OFFSET(#REF!,-1,0)+OFFSET(#REF!,-1,0) -#REF! + SUM(#REF!)*#REF!*tech_3_3_2*#REF!</f>
        <v>#REF!</v>
      </c>
      <c r="K132" s="39" t="e">
        <f ca="1">OFFSET(#REF!,-1,0)+OFFSET(#REF!,-1,0) -#REF!</f>
        <v>#REF!</v>
      </c>
      <c r="L132" s="39" t="e">
        <f ca="1">OFFSET(#REF!,-1,0)+OFFSET(#REF!,-1,0) -#REF!</f>
        <v>#REF!</v>
      </c>
      <c r="M132" s="39" t="e">
        <f ca="1">OFFSET(#REF!,-1,0)+OFFSET(#REF!,-1,0) -#REF!</f>
        <v>#REF!</v>
      </c>
      <c r="N132" s="39" t="e">
        <f ca="1">OFFSET(#REF!,-1,0)+OFFSET(#REF!,-1,0)</f>
        <v>#REF!</v>
      </c>
      <c r="O132" s="39" t="e">
        <f ca="1">OFFSET(#REF!,-1,0)</f>
        <v>#REF!</v>
      </c>
      <c r="P132" s="39" t="e">
        <f ca="1">ROUNDDOWN(OFFSET(#REF!,-1,0)+(1+research_bonus)*(MIN(#REF!,#REF!*school_max)*(1 - MIN((#REF!/(#REF!-#REF!)),school_max)))-#REF!*#REF!,0) + IF(#REF!&lt;&gt;"",350,0)</f>
        <v>#REF!</v>
      </c>
      <c r="Q132" s="39" t="e">
        <f ca="1">MAX(3750,_xlfn.CEILING.MATH(#REF!*2.5+OFFSET(#REF!,-1,0)*150))</f>
        <v>#REF!</v>
      </c>
      <c r="R132" s="134"/>
      <c r="S132" s="39" t="e">
        <f>ROUNDDOWN(#REF!*(1+#REF!),0)</f>
        <v>#REF!</v>
      </c>
      <c r="T132" s="39" t="e">
        <f>ROUND(#REF!*(1+#REF!)-#REF!-#REF!,0)</f>
        <v>#REF!</v>
      </c>
      <c r="U132" s="39" t="e">
        <f>ROUND(#REF!*(1+#REF!)-#REF!,0)</f>
        <v>#REF!</v>
      </c>
      <c r="V132" s="39" t="e">
        <f>ROUND(#REF!*(1+#REF!)-#REF!,0)</f>
        <v>#REF!</v>
      </c>
      <c r="W132" s="39" t="e">
        <f>ROUNDDOWN(#REF!*(1+#REF!),0)</f>
        <v>#REF!</v>
      </c>
      <c r="X132" s="39" t="e">
        <f>ROUNDDOWN(#REF!*(1+#REF!),0)</f>
        <v>#REF!</v>
      </c>
      <c r="Y132" s="145" t="e">
        <f ca="1">OFFSET(#REF!,1,0)*dock_boats_hr * (1 + tech_4_1*#REF!)</f>
        <v>#REF!</v>
      </c>
      <c r="Z132" s="133"/>
      <c r="AA132" s="39" t="e">
        <f ca="1">#REF!*tax*#REF! + (Construction!AZ133+Construction!BX133)*(alch_plat+(Magic!AM132&gt;0)*alchemist_flame_bonus)</f>
        <v>#REF!</v>
      </c>
      <c r="AB132" s="39" t="e">
        <f>#REF!*farm_food +#REF!* dock_food</f>
        <v>#REF!</v>
      </c>
      <c r="AC132" s="39" t="e">
        <f>#REF!*ly_lumber +#REF!* fh_lumber</f>
        <v>#REF!</v>
      </c>
      <c r="AD132" s="39" t="e">
        <f ca="1">OFFSET(#REF!,1,0)*(tower_mana + tech_4_5*#REF!) + OFFSET(#REF!,1,0)*wg_mana_prod</f>
        <v>#REF!</v>
      </c>
      <c r="AE132" s="39" t="e">
        <f ca="1">OFFSET(#REF!,1,0)*om_ore+IF(race="Dwarf",ROUNDDOWN(#REF!*0.4,0),)</f>
        <v>#REF!</v>
      </c>
      <c r="AF132" s="39" t="e">
        <f ca="1">OFFSET(#REF!,1,0)*dm_gems</f>
        <v>#REF!</v>
      </c>
      <c r="AG132" s="134"/>
      <c r="AH132" s="135" t="e">
        <f>MIN(race_platinum_bonus + IF(#REF!&gt;0,alch_frost_bonus,IF(Magic!AD132&gt;0,midas_bonus)) +#REF! -#REF!*( 0.02 + tech_5_7*#REF!) + tech_1_5*#REF! + tech_4_4*#REF!, 0.5)</f>
        <v>#REF!</v>
      </c>
      <c r="AI132" s="132" t="e">
        <f>(1 + race_food_bonus + IF(#REF!&gt;0,gaias_blessing_food,IF(#REF!&gt;0,gaias_watch_bonus)) +#REF! + tech_1_1*#REF! + tech_1_4*#REF! + tech_5_1*#REF! +#REF!/ 100*prestige_food_bonus*(1 + tech_8_1*#REF!)) - 1</f>
        <v>#REF!</v>
      </c>
      <c r="AJ132" s="135" t="e">
        <f>race_lumber_bonus+ IF(#REF!&gt;0,gaias_blessing_lumber)+ tech_1_3*#REF! + tech_1_6*#REF! + tech_3_3*#REF!</f>
        <v>#REF!</v>
      </c>
      <c r="AK132" s="135" t="e">
        <f>race_mana_bonus+ 0 +#REF! + tech_1_2*#REF! + tech_3_4*#REF!</f>
        <v>#REF!</v>
      </c>
      <c r="AL132" s="135" t="e">
        <f>race_ore_bonus + IF(#REF!&gt;0,miners_sight_bonus,IF(#REF!&gt;0,mining_strength_bonus)) +  tech_1_6*#REF!</f>
        <v>#REF!</v>
      </c>
      <c r="AM132" s="135" t="e">
        <f>race_gem_bonus+ tech_3_2*#REF! + tech_4_3*#REF! + tech_6_2*#REF!</f>
        <v>#REF!</v>
      </c>
      <c r="AN132" s="134"/>
      <c r="AO132" s="39" t="e">
        <f>#REF!*food_decay * (1 + tech_2_1*#REF! + tech_2_8*#REF!)</f>
        <v>#REF!</v>
      </c>
      <c r="AP132" s="39" t="e">
        <f>(1+race_food_consumption)*#REF!*food_per_person*(1+tech_1_10*#REF!+tech_7_5*#REF!)</f>
        <v>#REF!</v>
      </c>
      <c r="AQ132" s="39" t="e">
        <f>#REF!*lumber_rot * (1 + tech_2_1*#REF! + tech_2_8*#REF! + tech_5_2*#REF!)</f>
        <v>#REF!</v>
      </c>
      <c r="AR132" s="39" t="e">
        <f>#REF!*mana_drain * (1 + tech_2_1*#REF! + tech_2_8*#REF!)</f>
        <v>#REF!</v>
      </c>
      <c r="AS132" s="133"/>
      <c r="AT132" s="39" t="e">
        <f>#REF!+#REF!+#REF!+#REF!+#REF!-#REF!</f>
        <v>#REF!</v>
      </c>
      <c r="AU132" s="39" t="e">
        <f>#REF!+#REF!-#REF! + Military!$CL$25*#REF!</f>
        <v>#REF!</v>
      </c>
      <c r="AV132" s="39" t="e">
        <f>#REF! + Military!$CL$26*#REF!</f>
        <v>#REF!</v>
      </c>
      <c r="AW132" s="39" t="e">
        <f>Military!$CL$24*#REF!+#REF!-#REF!</f>
        <v>#REF!</v>
      </c>
      <c r="AX132" s="39" t="e">
        <f>#REF!-#REF!</f>
        <v>#REF!</v>
      </c>
      <c r="AY132" s="134"/>
      <c r="AZ132" s="61" t="e">
        <f ca="1">IF(#REF!&lt;&gt;"",#REF!,OFFSET(#REF!,-1,0))</f>
        <v>#REF!</v>
      </c>
      <c r="BA132" s="144"/>
      <c r="BB132" s="3" t="e">
        <f>#REF!</f>
        <v>#REF!</v>
      </c>
      <c r="BC132" s="146" t="e">
        <f>-#REF! / 2 + -#REF! * 2 + -#REF! / 2</f>
        <v>#REF!</v>
      </c>
      <c r="BD132" s="146"/>
      <c r="BE132" s="146"/>
      <c r="BF132" s="146"/>
      <c r="BG132" s="147" t="e">
        <f>#REF!</f>
        <v>#REF!</v>
      </c>
      <c r="BH132" s="3" t="e">
        <f>IF(AND(#REF!=0,#REF!=0,#REF!=0,#REF!=0),"",IF(#REF!&gt;0,IF((#REF!+#REF!)/2+#REF!*2+ROUNDUP(#REF!/(1 + tech_2_2*Techs!Y132),0)=0,"Ok","Nope"),IF(#REF!&gt;0,IF((#REF!+#REF!)/2+#REF!*2+ROUNDUP(#REF!/(1 + tech_2_2*Techs!Y132),0)=0,"Ok","Nope"),IF(#REF!&gt;0,IF((#REF!+#REF!)/2+#REF!*2+ROUNDUP(#REF!/(1 + tech_2_2*Techs!Y132),0)=0,"Ok","Nope")))))</f>
        <v>#REF!</v>
      </c>
      <c r="BI132" s="39" t="e">
        <f>#REF!</f>
        <v>#REF!</v>
      </c>
      <c r="BJ132" s="39" t="e">
        <f>#REF!</f>
        <v>#REF!</v>
      </c>
      <c r="BK132" s="39" t="e">
        <f>#REF!</f>
        <v>#REF!</v>
      </c>
      <c r="BL132" s="39" t="e">
        <f>#REF!</f>
        <v>#REF!</v>
      </c>
      <c r="BM132" s="39" t="e">
        <f>#REF!</f>
        <v>#REF!</v>
      </c>
    </row>
    <row r="133" spans="1:65" x14ac:dyDescent="0.25">
      <c r="A133" s="130">
        <v>58</v>
      </c>
      <c r="B133" s="143" t="e">
        <f>#REF!</f>
        <v>#REF!</v>
      </c>
      <c r="C133" s="144"/>
      <c r="D133" s="133"/>
      <c r="E133" s="39" t="e">
        <f>#REF!</f>
        <v>#REF!</v>
      </c>
      <c r="F133" s="39" t="e">
        <f>#REF!</f>
        <v>#REF!</v>
      </c>
      <c r="G133" s="39" t="e">
        <f>#REF!</f>
        <v>#REF!</v>
      </c>
      <c r="H133" s="39" t="e">
        <f ca="1">OFFSET(#REF!,-1,0)+OFFSET(#REF!,-1,0) -#REF! + IF(#REF!,#REF!*4) + SUM(#REF!)*#REF!*tech_3_3_2*#REF!</f>
        <v>#REF!</v>
      </c>
      <c r="I133" s="39" t="e">
        <f ca="1">OFFSET(#REF!,-1,0)+OFFSET(#REF!,-1,0)+ROUNDUP((#REF!*80+#REF!*35)*(1+OFFSET(#REF!,-1,0)),0)</f>
        <v>#REF!</v>
      </c>
      <c r="J133" s="39" t="e">
        <f ca="1">OFFSET(#REF!,-1,0)+OFFSET(#REF!,-1,0) -#REF! + SUM(#REF!)*#REF!*tech_3_3_2*#REF!</f>
        <v>#REF!</v>
      </c>
      <c r="K133" s="39" t="e">
        <f ca="1">OFFSET(#REF!,-1,0)+OFFSET(#REF!,-1,0) -#REF!</f>
        <v>#REF!</v>
      </c>
      <c r="L133" s="39" t="e">
        <f ca="1">OFFSET(#REF!,-1,0)+OFFSET(#REF!,-1,0) -#REF!</f>
        <v>#REF!</v>
      </c>
      <c r="M133" s="39" t="e">
        <f ca="1">OFFSET(#REF!,-1,0)+OFFSET(#REF!,-1,0) -#REF!</f>
        <v>#REF!</v>
      </c>
      <c r="N133" s="39" t="e">
        <f ca="1">OFFSET(#REF!,-1,0)+OFFSET(#REF!,-1,0)</f>
        <v>#REF!</v>
      </c>
      <c r="O133" s="39" t="e">
        <f ca="1">OFFSET(#REF!,-1,0)</f>
        <v>#REF!</v>
      </c>
      <c r="P133" s="39" t="e">
        <f ca="1">ROUNDDOWN(OFFSET(#REF!,-1,0)+(1+research_bonus)*(MIN(#REF!,#REF!*school_max)*(1 - MIN((#REF!/(#REF!-#REF!)),school_max)))-#REF!*#REF!,0) + IF(#REF!&lt;&gt;"",350,0)</f>
        <v>#REF!</v>
      </c>
      <c r="Q133" s="39" t="e">
        <f ca="1">MAX(3750,_xlfn.CEILING.MATH(#REF!*2.5+OFFSET(#REF!,-1,0)*150))</f>
        <v>#REF!</v>
      </c>
      <c r="R133" s="134"/>
      <c r="S133" s="39" t="e">
        <f>ROUNDDOWN(#REF!*(1+#REF!),0)</f>
        <v>#REF!</v>
      </c>
      <c r="T133" s="39" t="e">
        <f>ROUND(#REF!*(1+#REF!)-#REF!-#REF!,0)</f>
        <v>#REF!</v>
      </c>
      <c r="U133" s="39" t="e">
        <f>ROUND(#REF!*(1+#REF!)-#REF!,0)</f>
        <v>#REF!</v>
      </c>
      <c r="V133" s="39" t="e">
        <f>ROUND(#REF!*(1+#REF!)-#REF!,0)</f>
        <v>#REF!</v>
      </c>
      <c r="W133" s="39" t="e">
        <f>ROUNDDOWN(#REF!*(1+#REF!),0)</f>
        <v>#REF!</v>
      </c>
      <c r="X133" s="39" t="e">
        <f>ROUNDDOWN(#REF!*(1+#REF!),0)</f>
        <v>#REF!</v>
      </c>
      <c r="Y133" s="145" t="e">
        <f ca="1">OFFSET(#REF!,1,0)*dock_boats_hr * (1 + tech_4_1*#REF!)</f>
        <v>#REF!</v>
      </c>
      <c r="Z133" s="133"/>
      <c r="AA133" s="39" t="e">
        <f ca="1">#REF!*tax*#REF! + (Construction!AZ134+Construction!BX134)*(alch_plat+(Magic!AM133&gt;0)*alchemist_flame_bonus)</f>
        <v>#REF!</v>
      </c>
      <c r="AB133" s="39" t="e">
        <f>#REF!*farm_food +#REF!* dock_food</f>
        <v>#REF!</v>
      </c>
      <c r="AC133" s="39" t="e">
        <f>#REF!*ly_lumber +#REF!* fh_lumber</f>
        <v>#REF!</v>
      </c>
      <c r="AD133" s="39" t="e">
        <f ca="1">OFFSET(#REF!,1,0)*(tower_mana + tech_4_5*#REF!) + OFFSET(#REF!,1,0)*wg_mana_prod</f>
        <v>#REF!</v>
      </c>
      <c r="AE133" s="39" t="e">
        <f ca="1">OFFSET(#REF!,1,0)*om_ore+IF(race="Dwarf",ROUNDDOWN(#REF!*0.4,0),)</f>
        <v>#REF!</v>
      </c>
      <c r="AF133" s="39" t="e">
        <f ca="1">OFFSET(#REF!,1,0)*dm_gems</f>
        <v>#REF!</v>
      </c>
      <c r="AG133" s="134"/>
      <c r="AH133" s="135" t="e">
        <f>MIN(race_platinum_bonus + IF(#REF!&gt;0,alch_frost_bonus,IF(Magic!AD133&gt;0,midas_bonus)) +#REF! -#REF!*( 0.02 + tech_5_7*#REF!) + tech_1_5*#REF! + tech_4_4*#REF!, 0.5)</f>
        <v>#REF!</v>
      </c>
      <c r="AI133" s="132" t="e">
        <f>(1 + race_food_bonus + IF(#REF!&gt;0,gaias_blessing_food,IF(#REF!&gt;0,gaias_watch_bonus)) +#REF! + tech_1_1*#REF! + tech_1_4*#REF! + tech_5_1*#REF! +#REF!/ 100*prestige_food_bonus*(1 + tech_8_1*#REF!)) - 1</f>
        <v>#REF!</v>
      </c>
      <c r="AJ133" s="135" t="e">
        <f>race_lumber_bonus+ IF(#REF!&gt;0,gaias_blessing_lumber)+ tech_1_3*#REF! + tech_1_6*#REF! + tech_3_3*#REF!</f>
        <v>#REF!</v>
      </c>
      <c r="AK133" s="135" t="e">
        <f>race_mana_bonus+ 0 +#REF! + tech_1_2*#REF! + tech_3_4*#REF!</f>
        <v>#REF!</v>
      </c>
      <c r="AL133" s="135" t="e">
        <f>race_ore_bonus + IF(#REF!&gt;0,miners_sight_bonus,IF(#REF!&gt;0,mining_strength_bonus)) +  tech_1_6*#REF!</f>
        <v>#REF!</v>
      </c>
      <c r="AM133" s="135" t="e">
        <f>race_gem_bonus+ tech_3_2*#REF! + tech_4_3*#REF! + tech_6_2*#REF!</f>
        <v>#REF!</v>
      </c>
      <c r="AN133" s="134"/>
      <c r="AO133" s="39" t="e">
        <f>#REF!*food_decay * (1 + tech_2_1*#REF! + tech_2_8*#REF!)</f>
        <v>#REF!</v>
      </c>
      <c r="AP133" s="39" t="e">
        <f>(1+race_food_consumption)*#REF!*food_per_person*(1+tech_1_10*#REF!+tech_7_5*#REF!)</f>
        <v>#REF!</v>
      </c>
      <c r="AQ133" s="39" t="e">
        <f>#REF!*lumber_rot * (1 + tech_2_1*#REF! + tech_2_8*#REF! + tech_5_2*#REF!)</f>
        <v>#REF!</v>
      </c>
      <c r="AR133" s="39" t="e">
        <f>#REF!*mana_drain * (1 + tech_2_1*#REF! + tech_2_8*#REF!)</f>
        <v>#REF!</v>
      </c>
      <c r="AS133" s="133"/>
      <c r="AT133" s="39" t="e">
        <f>#REF!+#REF!+#REF!+#REF!+#REF!-#REF!</f>
        <v>#REF!</v>
      </c>
      <c r="AU133" s="39" t="e">
        <f>#REF!+#REF!-#REF! + Military!$CL$25*#REF!</f>
        <v>#REF!</v>
      </c>
      <c r="AV133" s="39" t="e">
        <f>#REF! + Military!$CL$26*#REF!</f>
        <v>#REF!</v>
      </c>
      <c r="AW133" s="39" t="e">
        <f>Military!$CL$24*#REF!+#REF!-#REF!</f>
        <v>#REF!</v>
      </c>
      <c r="AX133" s="39" t="e">
        <f>#REF!-#REF!</f>
        <v>#REF!</v>
      </c>
      <c r="AY133" s="134"/>
      <c r="AZ133" s="61" t="e">
        <f ca="1">IF(#REF!&lt;&gt;"",#REF!,OFFSET(#REF!,-1,0))</f>
        <v>#REF!</v>
      </c>
      <c r="BA133" s="144"/>
      <c r="BB133" s="3" t="e">
        <f>#REF!</f>
        <v>#REF!</v>
      </c>
      <c r="BC133" s="146" t="e">
        <f>-#REF! / 2 + -#REF! * 2 + -#REF! / 2</f>
        <v>#REF!</v>
      </c>
      <c r="BD133" s="146"/>
      <c r="BE133" s="146"/>
      <c r="BF133" s="146"/>
      <c r="BG133" s="147" t="e">
        <f>#REF!</f>
        <v>#REF!</v>
      </c>
      <c r="BH133" s="3" t="e">
        <f>IF(AND(#REF!=0,#REF!=0,#REF!=0,#REF!=0),"",IF(#REF!&gt;0,IF((#REF!+#REF!)/2+#REF!*2+ROUNDUP(#REF!/(1 + tech_2_2*Techs!Y133),0)=0,"Ok","Nope"),IF(#REF!&gt;0,IF((#REF!+#REF!)/2+#REF!*2+ROUNDUP(#REF!/(1 + tech_2_2*Techs!Y133),0)=0,"Ok","Nope"),IF(#REF!&gt;0,IF((#REF!+#REF!)/2+#REF!*2+ROUNDUP(#REF!/(1 + tech_2_2*Techs!Y133),0)=0,"Ok","Nope")))))</f>
        <v>#REF!</v>
      </c>
      <c r="BI133" s="39" t="e">
        <f>#REF!</f>
        <v>#REF!</v>
      </c>
      <c r="BJ133" s="39" t="e">
        <f>#REF!</f>
        <v>#REF!</v>
      </c>
      <c r="BK133" s="39" t="e">
        <f>#REF!</f>
        <v>#REF!</v>
      </c>
      <c r="BL133" s="39" t="e">
        <f>#REF!</f>
        <v>#REF!</v>
      </c>
      <c r="BM133" s="39" t="e">
        <f>#REF!</f>
        <v>#REF!</v>
      </c>
    </row>
    <row r="134" spans="1:65" x14ac:dyDescent="0.25">
      <c r="A134" s="130">
        <v>59</v>
      </c>
      <c r="B134" s="143" t="e">
        <f>#REF!</f>
        <v>#REF!</v>
      </c>
      <c r="C134" s="144"/>
      <c r="D134" s="133"/>
      <c r="E134" s="39" t="e">
        <f>#REF!</f>
        <v>#REF!</v>
      </c>
      <c r="F134" s="39" t="e">
        <f>#REF!</f>
        <v>#REF!</v>
      </c>
      <c r="G134" s="39" t="e">
        <f>#REF!</f>
        <v>#REF!</v>
      </c>
      <c r="H134" s="39" t="e">
        <f ca="1">OFFSET(#REF!,-1,0)+OFFSET(#REF!,-1,0) -#REF! + IF(#REF!,#REF!*4) + SUM(#REF!)*#REF!*tech_3_3_2*#REF!</f>
        <v>#REF!</v>
      </c>
      <c r="I134" s="39" t="e">
        <f ca="1">OFFSET(#REF!,-1,0)+OFFSET(#REF!,-1,0)+ROUNDUP((#REF!*80+#REF!*35)*(1+OFFSET(#REF!,-1,0)),0)</f>
        <v>#REF!</v>
      </c>
      <c r="J134" s="39" t="e">
        <f ca="1">OFFSET(#REF!,-1,0)+OFFSET(#REF!,-1,0) -#REF! + SUM(#REF!)*#REF!*tech_3_3_2*#REF!</f>
        <v>#REF!</v>
      </c>
      <c r="K134" s="39" t="e">
        <f ca="1">OFFSET(#REF!,-1,0)+OFFSET(#REF!,-1,0) -#REF!</f>
        <v>#REF!</v>
      </c>
      <c r="L134" s="39" t="e">
        <f ca="1">OFFSET(#REF!,-1,0)+OFFSET(#REF!,-1,0) -#REF!</f>
        <v>#REF!</v>
      </c>
      <c r="M134" s="39" t="e">
        <f ca="1">OFFSET(#REF!,-1,0)+OFFSET(#REF!,-1,0) -#REF!</f>
        <v>#REF!</v>
      </c>
      <c r="N134" s="39" t="e">
        <f ca="1">OFFSET(#REF!,-1,0)+OFFSET(#REF!,-1,0)</f>
        <v>#REF!</v>
      </c>
      <c r="O134" s="39" t="e">
        <f ca="1">OFFSET(#REF!,-1,0)</f>
        <v>#REF!</v>
      </c>
      <c r="P134" s="39" t="e">
        <f ca="1">ROUNDDOWN(OFFSET(#REF!,-1,0)+(1+research_bonus)*(MIN(#REF!,#REF!*school_max)*(1 - MIN((#REF!/(#REF!-#REF!)),school_max)))-#REF!*#REF!,0) + IF(#REF!&lt;&gt;"",350,0)</f>
        <v>#REF!</v>
      </c>
      <c r="Q134" s="39" t="e">
        <f ca="1">MAX(3750,_xlfn.CEILING.MATH(#REF!*2.5+OFFSET(#REF!,-1,0)*150))</f>
        <v>#REF!</v>
      </c>
      <c r="R134" s="134"/>
      <c r="S134" s="39" t="e">
        <f>ROUNDDOWN(#REF!*(1+#REF!),0)</f>
        <v>#REF!</v>
      </c>
      <c r="T134" s="39" t="e">
        <f>ROUND(#REF!*(1+#REF!)-#REF!-#REF!,0)</f>
        <v>#REF!</v>
      </c>
      <c r="U134" s="39" t="e">
        <f>ROUND(#REF!*(1+#REF!)-#REF!,0)</f>
        <v>#REF!</v>
      </c>
      <c r="V134" s="39" t="e">
        <f>ROUND(#REF!*(1+#REF!)-#REF!,0)</f>
        <v>#REF!</v>
      </c>
      <c r="W134" s="39" t="e">
        <f>ROUNDDOWN(#REF!*(1+#REF!),0)</f>
        <v>#REF!</v>
      </c>
      <c r="X134" s="39" t="e">
        <f>ROUNDDOWN(#REF!*(1+#REF!),0)</f>
        <v>#REF!</v>
      </c>
      <c r="Y134" s="145" t="e">
        <f ca="1">OFFSET(#REF!,1,0)*dock_boats_hr * (1 + tech_4_1*#REF!)</f>
        <v>#REF!</v>
      </c>
      <c r="Z134" s="133"/>
      <c r="AA134" s="39" t="e">
        <f ca="1">#REF!*tax*#REF! + (Construction!AZ135+Construction!BX135)*(alch_plat+(Magic!AM134&gt;0)*alchemist_flame_bonus)</f>
        <v>#REF!</v>
      </c>
      <c r="AB134" s="39" t="e">
        <f>#REF!*farm_food +#REF!* dock_food</f>
        <v>#REF!</v>
      </c>
      <c r="AC134" s="39" t="e">
        <f>#REF!*ly_lumber +#REF!* fh_lumber</f>
        <v>#REF!</v>
      </c>
      <c r="AD134" s="39" t="e">
        <f ca="1">OFFSET(#REF!,1,0)*(tower_mana + tech_4_5*#REF!) + OFFSET(#REF!,1,0)*wg_mana_prod</f>
        <v>#REF!</v>
      </c>
      <c r="AE134" s="39" t="e">
        <f ca="1">OFFSET(#REF!,1,0)*om_ore+IF(race="Dwarf",ROUNDDOWN(#REF!*0.4,0),)</f>
        <v>#REF!</v>
      </c>
      <c r="AF134" s="39" t="e">
        <f ca="1">OFFSET(#REF!,1,0)*dm_gems</f>
        <v>#REF!</v>
      </c>
      <c r="AG134" s="134"/>
      <c r="AH134" s="135" t="e">
        <f>MIN(race_platinum_bonus + IF(#REF!&gt;0,alch_frost_bonus,IF(Magic!AD134&gt;0,midas_bonus)) +#REF! -#REF!*( 0.02 + tech_5_7*#REF!) + tech_1_5*#REF! + tech_4_4*#REF!, 0.5)</f>
        <v>#REF!</v>
      </c>
      <c r="AI134" s="132" t="e">
        <f>(1 + race_food_bonus + IF(#REF!&gt;0,gaias_blessing_food,IF(#REF!&gt;0,gaias_watch_bonus)) +#REF! + tech_1_1*#REF! + tech_1_4*#REF! + tech_5_1*#REF! +#REF!/ 100*prestige_food_bonus*(1 + tech_8_1*#REF!)) - 1</f>
        <v>#REF!</v>
      </c>
      <c r="AJ134" s="135" t="e">
        <f>race_lumber_bonus+ IF(#REF!&gt;0,gaias_blessing_lumber)+ tech_1_3*#REF! + tech_1_6*#REF! + tech_3_3*#REF!</f>
        <v>#REF!</v>
      </c>
      <c r="AK134" s="135" t="e">
        <f>race_mana_bonus+ 0 +#REF! + tech_1_2*#REF! + tech_3_4*#REF!</f>
        <v>#REF!</v>
      </c>
      <c r="AL134" s="135" t="e">
        <f>race_ore_bonus + IF(#REF!&gt;0,miners_sight_bonus,IF(#REF!&gt;0,mining_strength_bonus)) +  tech_1_6*#REF!</f>
        <v>#REF!</v>
      </c>
      <c r="AM134" s="135" t="e">
        <f>race_gem_bonus+ tech_3_2*#REF! + tech_4_3*#REF! + tech_6_2*#REF!</f>
        <v>#REF!</v>
      </c>
      <c r="AN134" s="134"/>
      <c r="AO134" s="39" t="e">
        <f>#REF!*food_decay * (1 + tech_2_1*#REF! + tech_2_8*#REF!)</f>
        <v>#REF!</v>
      </c>
      <c r="AP134" s="39" t="e">
        <f>(1+race_food_consumption)*#REF!*food_per_person*(1+tech_1_10*#REF!+tech_7_5*#REF!)</f>
        <v>#REF!</v>
      </c>
      <c r="AQ134" s="39" t="e">
        <f>#REF!*lumber_rot * (1 + tech_2_1*#REF! + tech_2_8*#REF! + tech_5_2*#REF!)</f>
        <v>#REF!</v>
      </c>
      <c r="AR134" s="39" t="e">
        <f>#REF!*mana_drain * (1 + tech_2_1*#REF! + tech_2_8*#REF!)</f>
        <v>#REF!</v>
      </c>
      <c r="AS134" s="133"/>
      <c r="AT134" s="39" t="e">
        <f>#REF!+#REF!+#REF!+#REF!+#REF!-#REF!</f>
        <v>#REF!</v>
      </c>
      <c r="AU134" s="39" t="e">
        <f>#REF!+#REF!-#REF! + Military!$CL$25*#REF!</f>
        <v>#REF!</v>
      </c>
      <c r="AV134" s="39" t="e">
        <f>#REF! + Military!$CL$26*#REF!</f>
        <v>#REF!</v>
      </c>
      <c r="AW134" s="39" t="e">
        <f>Military!$CL$24*#REF!+#REF!-#REF!</f>
        <v>#REF!</v>
      </c>
      <c r="AX134" s="39" t="e">
        <f>#REF!-#REF!</f>
        <v>#REF!</v>
      </c>
      <c r="AY134" s="134"/>
      <c r="AZ134" s="61" t="e">
        <f ca="1">IF(#REF!&lt;&gt;"",#REF!,OFFSET(#REF!,-1,0))</f>
        <v>#REF!</v>
      </c>
      <c r="BA134" s="144"/>
      <c r="BB134" s="3" t="e">
        <f>#REF!</f>
        <v>#REF!</v>
      </c>
      <c r="BC134" s="146" t="e">
        <f>-#REF! / 2 + -#REF! * 2 + -#REF! / 2</f>
        <v>#REF!</v>
      </c>
      <c r="BD134" s="146"/>
      <c r="BE134" s="146"/>
      <c r="BF134" s="146"/>
      <c r="BG134" s="147" t="e">
        <f>#REF!</f>
        <v>#REF!</v>
      </c>
      <c r="BH134" s="3" t="e">
        <f>IF(AND(#REF!=0,#REF!=0,#REF!=0,#REF!=0),"",IF(#REF!&gt;0,IF((#REF!+#REF!)/2+#REF!*2+ROUNDUP(#REF!/(1 + tech_2_2*Techs!Y134),0)=0,"Ok","Nope"),IF(#REF!&gt;0,IF((#REF!+#REF!)/2+#REF!*2+ROUNDUP(#REF!/(1 + tech_2_2*Techs!Y134),0)=0,"Ok","Nope"),IF(#REF!&gt;0,IF((#REF!+#REF!)/2+#REF!*2+ROUNDUP(#REF!/(1 + tech_2_2*Techs!Y134),0)=0,"Ok","Nope")))))</f>
        <v>#REF!</v>
      </c>
      <c r="BI134" s="39" t="e">
        <f>#REF!</f>
        <v>#REF!</v>
      </c>
      <c r="BJ134" s="39" t="e">
        <f>#REF!</f>
        <v>#REF!</v>
      </c>
      <c r="BK134" s="39" t="e">
        <f>#REF!</f>
        <v>#REF!</v>
      </c>
      <c r="BL134" s="39" t="e">
        <f>#REF!</f>
        <v>#REF!</v>
      </c>
      <c r="BM134" s="39" t="e">
        <f>#REF!</f>
        <v>#REF!</v>
      </c>
    </row>
    <row r="135" spans="1:65" x14ac:dyDescent="0.25">
      <c r="A135" s="130">
        <v>60</v>
      </c>
      <c r="B135" s="143" t="e">
        <f>#REF!</f>
        <v>#REF!</v>
      </c>
      <c r="C135" s="144"/>
      <c r="D135" s="133"/>
      <c r="E135" s="39" t="e">
        <f>#REF!</f>
        <v>#REF!</v>
      </c>
      <c r="F135" s="39" t="e">
        <f>#REF!</f>
        <v>#REF!</v>
      </c>
      <c r="G135" s="39" t="e">
        <f>#REF!</f>
        <v>#REF!</v>
      </c>
      <c r="H135" s="39" t="e">
        <f ca="1">OFFSET(#REF!,-1,0)+OFFSET(#REF!,-1,0) -#REF! + IF(#REF!,#REF!*4) + SUM(#REF!)*#REF!*tech_3_3_2*#REF!</f>
        <v>#REF!</v>
      </c>
      <c r="I135" s="39" t="e">
        <f ca="1">OFFSET(#REF!,-1,0)+OFFSET(#REF!,-1,0)+ROUNDUP((#REF!*80+#REF!*35)*(1+OFFSET(#REF!,-1,0)),0)</f>
        <v>#REF!</v>
      </c>
      <c r="J135" s="39" t="e">
        <f ca="1">OFFSET(#REF!,-1,0)+OFFSET(#REF!,-1,0) -#REF! + SUM(#REF!)*#REF!*tech_3_3_2*#REF!</f>
        <v>#REF!</v>
      </c>
      <c r="K135" s="39" t="e">
        <f ca="1">OFFSET(#REF!,-1,0)+OFFSET(#REF!,-1,0) -#REF!</f>
        <v>#REF!</v>
      </c>
      <c r="L135" s="39" t="e">
        <f ca="1">OFFSET(#REF!,-1,0)+OFFSET(#REF!,-1,0) -#REF!</f>
        <v>#REF!</v>
      </c>
      <c r="M135" s="39" t="e">
        <f ca="1">OFFSET(#REF!,-1,0)+OFFSET(#REF!,-1,0) -#REF!</f>
        <v>#REF!</v>
      </c>
      <c r="N135" s="39" t="e">
        <f ca="1">OFFSET(#REF!,-1,0)+OFFSET(#REF!,-1,0)</f>
        <v>#REF!</v>
      </c>
      <c r="O135" s="39" t="e">
        <f ca="1">OFFSET(#REF!,-1,0)</f>
        <v>#REF!</v>
      </c>
      <c r="P135" s="39" t="e">
        <f ca="1">ROUNDDOWN(OFFSET(#REF!,-1,0)+(1+research_bonus)*(MIN(#REF!,#REF!*school_max)*(1 - MIN((#REF!/(#REF!-#REF!)),school_max)))-#REF!*#REF!,0) + IF(#REF!&lt;&gt;"",350,0)</f>
        <v>#REF!</v>
      </c>
      <c r="Q135" s="39" t="e">
        <f ca="1">MAX(3750,_xlfn.CEILING.MATH(#REF!*2.5+OFFSET(#REF!,-1,0)*150))</f>
        <v>#REF!</v>
      </c>
      <c r="R135" s="134"/>
      <c r="S135" s="39" t="e">
        <f>ROUNDDOWN(#REF!*(1+#REF!),0)</f>
        <v>#REF!</v>
      </c>
      <c r="T135" s="39" t="e">
        <f>ROUND(#REF!*(1+#REF!)-#REF!-#REF!,0)</f>
        <v>#REF!</v>
      </c>
      <c r="U135" s="39" t="e">
        <f>ROUND(#REF!*(1+#REF!)-#REF!,0)</f>
        <v>#REF!</v>
      </c>
      <c r="V135" s="39" t="e">
        <f>ROUND(#REF!*(1+#REF!)-#REF!,0)</f>
        <v>#REF!</v>
      </c>
      <c r="W135" s="39" t="e">
        <f>ROUNDDOWN(#REF!*(1+#REF!),0)</f>
        <v>#REF!</v>
      </c>
      <c r="X135" s="39" t="e">
        <f>ROUNDDOWN(#REF!*(1+#REF!),0)</f>
        <v>#REF!</v>
      </c>
      <c r="Y135" s="145" t="e">
        <f ca="1">OFFSET(#REF!,1,0)*dock_boats_hr * (1 + tech_4_1*#REF!)</f>
        <v>#REF!</v>
      </c>
      <c r="Z135" s="133"/>
      <c r="AA135" s="39" t="e">
        <f ca="1">#REF!*tax*#REF! + (Construction!AZ136+Construction!BX136)*(alch_plat+(Magic!AM135&gt;0)*alchemist_flame_bonus)</f>
        <v>#REF!</v>
      </c>
      <c r="AB135" s="39" t="e">
        <f>#REF!*farm_food +#REF!* dock_food</f>
        <v>#REF!</v>
      </c>
      <c r="AC135" s="39" t="e">
        <f>#REF!*ly_lumber +#REF!* fh_lumber</f>
        <v>#REF!</v>
      </c>
      <c r="AD135" s="39" t="e">
        <f ca="1">OFFSET(#REF!,1,0)*(tower_mana + tech_4_5*#REF!) + OFFSET(#REF!,1,0)*wg_mana_prod</f>
        <v>#REF!</v>
      </c>
      <c r="AE135" s="39" t="e">
        <f ca="1">OFFSET(#REF!,1,0)*om_ore+IF(race="Dwarf",ROUNDDOWN(#REF!*0.4,0),)</f>
        <v>#REF!</v>
      </c>
      <c r="AF135" s="39" t="e">
        <f ca="1">OFFSET(#REF!,1,0)*dm_gems</f>
        <v>#REF!</v>
      </c>
      <c r="AG135" s="134"/>
      <c r="AH135" s="135" t="e">
        <f>MIN(race_platinum_bonus + IF(#REF!&gt;0,alch_frost_bonus,IF(Magic!AD135&gt;0,midas_bonus)) +#REF! -#REF!*( 0.02 + tech_5_7*#REF!) + tech_1_5*#REF! + tech_4_4*#REF!, 0.5)</f>
        <v>#REF!</v>
      </c>
      <c r="AI135" s="132" t="e">
        <f>(1 + race_food_bonus + IF(#REF!&gt;0,gaias_blessing_food,IF(#REF!&gt;0,gaias_watch_bonus)) +#REF! + tech_1_1*#REF! + tech_1_4*#REF! + tech_5_1*#REF! +#REF!/ 100*prestige_food_bonus*(1 + tech_8_1*#REF!)) - 1</f>
        <v>#REF!</v>
      </c>
      <c r="AJ135" s="135" t="e">
        <f>race_lumber_bonus+ IF(#REF!&gt;0,gaias_blessing_lumber)+ tech_1_3*#REF! + tech_1_6*#REF! + tech_3_3*#REF!</f>
        <v>#REF!</v>
      </c>
      <c r="AK135" s="135" t="e">
        <f>race_mana_bonus+ 0 +#REF! + tech_1_2*#REF! + tech_3_4*#REF!</f>
        <v>#REF!</v>
      </c>
      <c r="AL135" s="135" t="e">
        <f>race_ore_bonus + IF(#REF!&gt;0,miners_sight_bonus,IF(#REF!&gt;0,mining_strength_bonus)) +  tech_1_6*#REF!</f>
        <v>#REF!</v>
      </c>
      <c r="AM135" s="135" t="e">
        <f>race_gem_bonus+ tech_3_2*#REF! + tech_4_3*#REF! + tech_6_2*#REF!</f>
        <v>#REF!</v>
      </c>
      <c r="AN135" s="134"/>
      <c r="AO135" s="39" t="e">
        <f>#REF!*food_decay * (1 + tech_2_1*#REF! + tech_2_8*#REF!)</f>
        <v>#REF!</v>
      </c>
      <c r="AP135" s="39" t="e">
        <f>(1+race_food_consumption)*#REF!*food_per_person*(1+tech_1_10*#REF!+tech_7_5*#REF!)</f>
        <v>#REF!</v>
      </c>
      <c r="AQ135" s="39" t="e">
        <f>#REF!*lumber_rot * (1 + tech_2_1*#REF! + tech_2_8*#REF! + tech_5_2*#REF!)</f>
        <v>#REF!</v>
      </c>
      <c r="AR135" s="39" t="e">
        <f>#REF!*mana_drain * (1 + tech_2_1*#REF! + tech_2_8*#REF!)</f>
        <v>#REF!</v>
      </c>
      <c r="AS135" s="133"/>
      <c r="AT135" s="39" t="e">
        <f>#REF!+#REF!+#REF!+#REF!+#REF!-#REF!</f>
        <v>#REF!</v>
      </c>
      <c r="AU135" s="39" t="e">
        <f>#REF!+#REF!-#REF! + Military!$CL$25*#REF!</f>
        <v>#REF!</v>
      </c>
      <c r="AV135" s="39" t="e">
        <f>#REF! + Military!$CL$26*#REF!</f>
        <v>#REF!</v>
      </c>
      <c r="AW135" s="39" t="e">
        <f>Military!$CL$24*#REF!+#REF!-#REF!</f>
        <v>#REF!</v>
      </c>
      <c r="AX135" s="39" t="e">
        <f>#REF!-#REF!</f>
        <v>#REF!</v>
      </c>
      <c r="AY135" s="134"/>
      <c r="AZ135" s="61" t="e">
        <f ca="1">IF(#REF!&lt;&gt;"",#REF!,OFFSET(#REF!,-1,0))</f>
        <v>#REF!</v>
      </c>
      <c r="BA135" s="144"/>
      <c r="BB135" s="3" t="e">
        <f>#REF!</f>
        <v>#REF!</v>
      </c>
      <c r="BC135" s="146" t="e">
        <f>-#REF! / 2 + -#REF! * 2 + -#REF! / 2</f>
        <v>#REF!</v>
      </c>
      <c r="BD135" s="146"/>
      <c r="BE135" s="146"/>
      <c r="BF135" s="146"/>
      <c r="BG135" s="147" t="e">
        <f>#REF!</f>
        <v>#REF!</v>
      </c>
      <c r="BH135" s="3" t="e">
        <f>IF(AND(#REF!=0,#REF!=0,#REF!=0,#REF!=0),"",IF(#REF!&gt;0,IF((#REF!+#REF!)/2+#REF!*2+ROUNDUP(#REF!/(1 + tech_2_2*Techs!Y135),0)=0,"Ok","Nope"),IF(#REF!&gt;0,IF((#REF!+#REF!)/2+#REF!*2+ROUNDUP(#REF!/(1 + tech_2_2*Techs!Y135),0)=0,"Ok","Nope"),IF(#REF!&gt;0,IF((#REF!+#REF!)/2+#REF!*2+ROUNDUP(#REF!/(1 + tech_2_2*Techs!Y135),0)=0,"Ok","Nope")))))</f>
        <v>#REF!</v>
      </c>
      <c r="BI135" s="39" t="e">
        <f>#REF!</f>
        <v>#REF!</v>
      </c>
      <c r="BJ135" s="39" t="e">
        <f>#REF!</f>
        <v>#REF!</v>
      </c>
      <c r="BK135" s="39" t="e">
        <f>#REF!</f>
        <v>#REF!</v>
      </c>
      <c r="BL135" s="39" t="e">
        <f>#REF!</f>
        <v>#REF!</v>
      </c>
      <c r="BM135" s="39" t="e">
        <f>#REF!</f>
        <v>#REF!</v>
      </c>
    </row>
    <row r="136" spans="1:65" x14ac:dyDescent="0.25">
      <c r="A136" s="130">
        <v>61</v>
      </c>
      <c r="B136" s="143" t="e">
        <f>#REF!</f>
        <v>#REF!</v>
      </c>
      <c r="C136" s="144"/>
      <c r="D136" s="133"/>
      <c r="E136" s="39" t="e">
        <f>#REF!</f>
        <v>#REF!</v>
      </c>
      <c r="F136" s="39" t="e">
        <f>#REF!</f>
        <v>#REF!</v>
      </c>
      <c r="G136" s="39" t="e">
        <f>#REF!</f>
        <v>#REF!</v>
      </c>
      <c r="H136" s="39" t="e">
        <f ca="1">OFFSET(#REF!,-1,0)+OFFSET(#REF!,-1,0) -#REF! + IF(#REF!,#REF!*4) + SUM(#REF!)*#REF!*tech_3_3_2*#REF!</f>
        <v>#REF!</v>
      </c>
      <c r="I136" s="39" t="e">
        <f ca="1">OFFSET(#REF!,-1,0)+OFFSET(#REF!,-1,0)+ROUNDUP((#REF!*80+#REF!*35)*(1+OFFSET(#REF!,-1,0)),0)</f>
        <v>#REF!</v>
      </c>
      <c r="J136" s="39" t="e">
        <f ca="1">OFFSET(#REF!,-1,0)+OFFSET(#REF!,-1,0) -#REF! + SUM(#REF!)*#REF!*tech_3_3_2*#REF!</f>
        <v>#REF!</v>
      </c>
      <c r="K136" s="39" t="e">
        <f ca="1">OFFSET(#REF!,-1,0)+OFFSET(#REF!,-1,0) -#REF!</f>
        <v>#REF!</v>
      </c>
      <c r="L136" s="39" t="e">
        <f ca="1">OFFSET(#REF!,-1,0)+OFFSET(#REF!,-1,0) -#REF!</f>
        <v>#REF!</v>
      </c>
      <c r="M136" s="39" t="e">
        <f ca="1">OFFSET(#REF!,-1,0)+OFFSET(#REF!,-1,0) -#REF!</f>
        <v>#REF!</v>
      </c>
      <c r="N136" s="39" t="e">
        <f ca="1">OFFSET(#REF!,-1,0)+OFFSET(#REF!,-1,0)</f>
        <v>#REF!</v>
      </c>
      <c r="O136" s="39" t="e">
        <f ca="1">OFFSET(#REF!,-1,0)</f>
        <v>#REF!</v>
      </c>
      <c r="P136" s="39" t="e">
        <f ca="1">ROUNDDOWN(OFFSET(#REF!,-1,0)+(1+research_bonus)*(MIN(#REF!,#REF!*school_max)*(1 - MIN((#REF!/(#REF!-#REF!)),school_max)))-#REF!*#REF!,0) + IF(#REF!&lt;&gt;"",350,0)</f>
        <v>#REF!</v>
      </c>
      <c r="Q136" s="39" t="e">
        <f ca="1">MAX(3750,_xlfn.CEILING.MATH(#REF!*2.5+OFFSET(#REF!,-1,0)*150))</f>
        <v>#REF!</v>
      </c>
      <c r="R136" s="134"/>
      <c r="S136" s="39" t="e">
        <f>ROUNDDOWN(#REF!*(1+#REF!),0)</f>
        <v>#REF!</v>
      </c>
      <c r="T136" s="39" t="e">
        <f>ROUND(#REF!*(1+#REF!)-#REF!-#REF!,0)</f>
        <v>#REF!</v>
      </c>
      <c r="U136" s="39" t="e">
        <f>ROUND(#REF!*(1+#REF!)-#REF!,0)</f>
        <v>#REF!</v>
      </c>
      <c r="V136" s="39" t="e">
        <f>ROUND(#REF!*(1+#REF!)-#REF!,0)</f>
        <v>#REF!</v>
      </c>
      <c r="W136" s="39" t="e">
        <f>ROUNDDOWN(#REF!*(1+#REF!),0)</f>
        <v>#REF!</v>
      </c>
      <c r="X136" s="39" t="e">
        <f>ROUNDDOWN(#REF!*(1+#REF!),0)</f>
        <v>#REF!</v>
      </c>
      <c r="Y136" s="145" t="e">
        <f ca="1">OFFSET(#REF!,1,0)*dock_boats_hr * (1 + tech_4_1*#REF!)</f>
        <v>#REF!</v>
      </c>
      <c r="Z136" s="133"/>
      <c r="AA136" s="39" t="e">
        <f ca="1">#REF!*tax*#REF! + (Construction!AZ137+Construction!BX137)*(alch_plat+(Magic!AM136&gt;0)*alchemist_flame_bonus)</f>
        <v>#REF!</v>
      </c>
      <c r="AB136" s="39" t="e">
        <f>#REF!*farm_food +#REF!* dock_food</f>
        <v>#REF!</v>
      </c>
      <c r="AC136" s="39" t="e">
        <f>#REF!*ly_lumber +#REF!* fh_lumber</f>
        <v>#REF!</v>
      </c>
      <c r="AD136" s="39" t="e">
        <f ca="1">OFFSET(#REF!,1,0)*(tower_mana + tech_4_5*#REF!) + OFFSET(#REF!,1,0)*wg_mana_prod</f>
        <v>#REF!</v>
      </c>
      <c r="AE136" s="39" t="e">
        <f ca="1">OFFSET(#REF!,1,0)*om_ore+IF(race="Dwarf",ROUNDDOWN(#REF!*0.4,0),)</f>
        <v>#REF!</v>
      </c>
      <c r="AF136" s="39" t="e">
        <f ca="1">OFFSET(#REF!,1,0)*dm_gems</f>
        <v>#REF!</v>
      </c>
      <c r="AG136" s="134"/>
      <c r="AH136" s="135" t="e">
        <f>MIN(race_platinum_bonus + IF(#REF!&gt;0,alch_frost_bonus,IF(Magic!AD136&gt;0,midas_bonus)) +#REF! -#REF!*( 0.02 + tech_5_7*#REF!) + tech_1_5*#REF! + tech_4_4*#REF!, 0.5)</f>
        <v>#REF!</v>
      </c>
      <c r="AI136" s="132" t="e">
        <f>(1 + race_food_bonus + IF(#REF!&gt;0,gaias_blessing_food,IF(#REF!&gt;0,gaias_watch_bonus)) +#REF! + tech_1_1*#REF! + tech_1_4*#REF! + tech_5_1*#REF! +#REF!/ 100*prestige_food_bonus*(1 + tech_8_1*#REF!)) - 1</f>
        <v>#REF!</v>
      </c>
      <c r="AJ136" s="135" t="e">
        <f>race_lumber_bonus+ IF(#REF!&gt;0,gaias_blessing_lumber)+ tech_1_3*#REF! + tech_1_6*#REF! + tech_3_3*#REF!</f>
        <v>#REF!</v>
      </c>
      <c r="AK136" s="135" t="e">
        <f>race_mana_bonus+ 0 +#REF! + tech_1_2*#REF! + tech_3_4*#REF!</f>
        <v>#REF!</v>
      </c>
      <c r="AL136" s="135" t="e">
        <f>race_ore_bonus + IF(#REF!&gt;0,miners_sight_bonus,IF(#REF!&gt;0,mining_strength_bonus)) +  tech_1_6*#REF!</f>
        <v>#REF!</v>
      </c>
      <c r="AM136" s="135" t="e">
        <f>race_gem_bonus+ tech_3_2*#REF! + tech_4_3*#REF! + tech_6_2*#REF!</f>
        <v>#REF!</v>
      </c>
      <c r="AN136" s="134"/>
      <c r="AO136" s="39" t="e">
        <f>#REF!*food_decay * (1 + tech_2_1*#REF! + tech_2_8*#REF!)</f>
        <v>#REF!</v>
      </c>
      <c r="AP136" s="39" t="e">
        <f>(1+race_food_consumption)*#REF!*food_per_person*(1+tech_1_10*#REF!+tech_7_5*#REF!)</f>
        <v>#REF!</v>
      </c>
      <c r="AQ136" s="39" t="e">
        <f>#REF!*lumber_rot * (1 + tech_2_1*#REF! + tech_2_8*#REF! + tech_5_2*#REF!)</f>
        <v>#REF!</v>
      </c>
      <c r="AR136" s="39" t="e">
        <f>#REF!*mana_drain * (1 + tech_2_1*#REF! + tech_2_8*#REF!)</f>
        <v>#REF!</v>
      </c>
      <c r="AS136" s="133"/>
      <c r="AT136" s="39" t="e">
        <f>#REF!+#REF!+#REF!+#REF!+#REF!-#REF!</f>
        <v>#REF!</v>
      </c>
      <c r="AU136" s="39" t="e">
        <f>#REF!+#REF!-#REF! + Military!$CL$25*#REF!</f>
        <v>#REF!</v>
      </c>
      <c r="AV136" s="39" t="e">
        <f>#REF! + Military!$CL$26*#REF!</f>
        <v>#REF!</v>
      </c>
      <c r="AW136" s="39" t="e">
        <f>Military!$CL$24*#REF!+#REF!-#REF!</f>
        <v>#REF!</v>
      </c>
      <c r="AX136" s="39" t="e">
        <f>#REF!-#REF!</f>
        <v>#REF!</v>
      </c>
      <c r="AY136" s="134"/>
      <c r="AZ136" s="61" t="e">
        <f ca="1">IF(#REF!&lt;&gt;"",#REF!,OFFSET(#REF!,-1,0))</f>
        <v>#REF!</v>
      </c>
      <c r="BA136" s="144"/>
      <c r="BB136" s="3" t="e">
        <f>#REF!</f>
        <v>#REF!</v>
      </c>
      <c r="BC136" s="146" t="e">
        <f>-#REF! / 2 + -#REF! * 2 + -#REF! / 2</f>
        <v>#REF!</v>
      </c>
      <c r="BD136" s="146"/>
      <c r="BE136" s="146"/>
      <c r="BF136" s="146"/>
      <c r="BG136" s="147" t="e">
        <f>#REF!</f>
        <v>#REF!</v>
      </c>
      <c r="BH136" s="3" t="e">
        <f>IF(AND(#REF!=0,#REF!=0,#REF!=0,#REF!=0),"",IF(#REF!&gt;0,IF((#REF!+#REF!)/2+#REF!*2+ROUNDUP(#REF!/(1 + tech_2_2*Techs!Y136),0)=0,"Ok","Nope"),IF(#REF!&gt;0,IF((#REF!+#REF!)/2+#REF!*2+ROUNDUP(#REF!/(1 + tech_2_2*Techs!Y136),0)=0,"Ok","Nope"),IF(#REF!&gt;0,IF((#REF!+#REF!)/2+#REF!*2+ROUNDUP(#REF!/(1 + tech_2_2*Techs!Y136),0)=0,"Ok","Nope")))))</f>
        <v>#REF!</v>
      </c>
      <c r="BI136" s="39" t="e">
        <f>#REF!</f>
        <v>#REF!</v>
      </c>
      <c r="BJ136" s="39" t="e">
        <f>#REF!</f>
        <v>#REF!</v>
      </c>
      <c r="BK136" s="39" t="e">
        <f>#REF!</f>
        <v>#REF!</v>
      </c>
      <c r="BL136" s="39" t="e">
        <f>#REF!</f>
        <v>#REF!</v>
      </c>
      <c r="BM136" s="39" t="e">
        <f>#REF!</f>
        <v>#REF!</v>
      </c>
    </row>
    <row r="1269" spans="3:12" ht="13" x14ac:dyDescent="0.3">
      <c r="C1269" s="448" t="s">
        <v>316</v>
      </c>
      <c r="D1269" s="405"/>
      <c r="L1269" s="57"/>
    </row>
    <row r="1270" spans="3:12" ht="13" x14ac:dyDescent="0.3">
      <c r="C1270" s="31" t="e">
        <f>Overview!E17</f>
        <v>#REF!</v>
      </c>
      <c r="D1270" s="31"/>
      <c r="E1270" s="154"/>
      <c r="F1270" s="154"/>
      <c r="G1270" s="154"/>
      <c r="H1270" s="154"/>
      <c r="I1270" s="154"/>
      <c r="J1270" s="154"/>
      <c r="K1270" s="57"/>
      <c r="L1270" s="155"/>
    </row>
  </sheetData>
  <mergeCells count="5">
    <mergeCell ref="C1269:D1269"/>
    <mergeCell ref="AH1:AM1"/>
    <mergeCell ref="AT1:AU1"/>
    <mergeCell ref="S1:U1"/>
    <mergeCell ref="AA1:AB1"/>
  </mergeCells>
  <phoneticPr fontId="1"/>
  <conditionalFormatting sqref="A4:BM136">
    <cfRule type="expression" dxfId="76" priority="1" stopIfTrue="1">
      <formula>ROW()-3=$C$1270</formula>
    </cfRule>
    <cfRule type="expression" dxfId="75" priority="56">
      <formula>$A4="OOP"</formula>
    </cfRule>
    <cfRule type="expression" dxfId="74" priority="57">
      <formula>ROUND(($A4-1)/12,0)=INT($A4-1)/12</formula>
    </cfRule>
  </conditionalFormatting>
  <conditionalFormatting sqref="A1:XFD3">
    <cfRule type="expression" dxfId="73" priority="64">
      <formula>$C$1270&lt;0</formula>
    </cfRule>
  </conditionalFormatting>
  <conditionalFormatting sqref="A1269:XFD1270">
    <cfRule type="expression" dxfId="72" priority="59" stopIfTrue="1">
      <formula>$C$1270&gt;144</formula>
    </cfRule>
  </conditionalFormatting>
  <conditionalFormatting sqref="E4:Q136">
    <cfRule type="expression" dxfId="71" priority="39" stopIfTrue="1">
      <formula>OR(ROW()-3=$C$1270,E4&lt;0)</formula>
    </cfRule>
  </conditionalFormatting>
  <conditionalFormatting sqref="BH4:BH136">
    <cfRule type="cellIs" dxfId="70" priority="61" stopIfTrue="1" operator="equal">
      <formula>"Nope"</formula>
    </cfRule>
  </conditionalFormatting>
  <conditionalFormatting sqref="BM137:IV411 B137:BL447 BM8135:IV8135 B8183:BL8183 B12456:BK20568 B12456:C20613 BM18583:IV29751 U18619:BL29787">
    <cfRule type="expression" dxfId="69" priority="58" stopIfTrue="1">
      <formula>ROW()-2=#REF!</formula>
    </cfRule>
  </conditionalFormatting>
  <dataValidations count="1">
    <dataValidation type="whole" operator="equal" allowBlank="1" showInputMessage="1" showErrorMessage="1" sqref="BA4:BA136 C4:D136" xr:uid="{00000000-0002-0000-0200-000000000000}">
      <formula1>1</formula1>
    </dataValidation>
  </dataValidations>
  <pageMargins left="0.75" right="0.75" top="1" bottom="1" header="0.5" footer="0.5"/>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tint="0.14999847407452621"/>
  </sheetPr>
  <dimension ref="A1:DJ1270"/>
  <sheetViews>
    <sheetView zoomScale="85" zoomScaleNormal="85" workbookViewId="0">
      <pane ySplit="3" topLeftCell="A4" activePane="bottomLeft" state="frozenSplit"/>
      <selection activeCell="A3" sqref="A3"/>
      <selection pane="bottomLeft" activeCell="O4" sqref="O4"/>
    </sheetView>
  </sheetViews>
  <sheetFormatPr defaultColWidth="9.1796875" defaultRowHeight="12.5" x14ac:dyDescent="0.25"/>
  <cols>
    <col min="1" max="1" width="8.54296875" style="162" customWidth="1"/>
    <col min="2" max="3" width="11.453125" style="162" customWidth="1"/>
    <col min="4" max="4" width="12.54296875" style="3" customWidth="1"/>
    <col min="5" max="5" width="2.81640625" style="3" customWidth="1"/>
    <col min="6" max="6" width="8.81640625" style="57" customWidth="1"/>
    <col min="7" max="7" width="7" style="57" bestFit="1" customWidth="1"/>
    <col min="8" max="8" width="6.81640625" style="57" customWidth="1"/>
    <col min="9" max="9" width="9.453125" style="57" customWidth="1"/>
    <col min="10" max="10" width="4.26953125" style="57" bestFit="1" customWidth="1"/>
    <col min="11" max="11" width="7.81640625" style="57" customWidth="1"/>
    <col min="12" max="12" width="7.54296875" style="57" customWidth="1"/>
    <col min="13" max="13" width="6.1796875" style="102" bestFit="1" customWidth="1"/>
    <col min="14" max="14" width="5.54296875" style="57" customWidth="1"/>
    <col min="15" max="15" width="5" style="3" customWidth="1"/>
    <col min="16" max="17" width="4.1796875" style="3" bestFit="1" customWidth="1"/>
    <col min="18" max="18" width="4.26953125" style="3" customWidth="1"/>
    <col min="19" max="19" width="4.7265625" style="3" customWidth="1"/>
    <col min="20" max="27" width="4.1796875" style="3" bestFit="1" customWidth="1"/>
    <col min="28" max="28" width="4.81640625" style="3" customWidth="1"/>
    <col min="29" max="29" width="5" style="3" customWidth="1"/>
    <col min="30" max="33" width="4.1796875" style="3" bestFit="1" customWidth="1"/>
    <col min="34" max="34" width="6.453125" style="3" bestFit="1" customWidth="1"/>
    <col min="35" max="35" width="7.54296875" style="3" bestFit="1" customWidth="1"/>
    <col min="36" max="36" width="7" style="3" bestFit="1" customWidth="1"/>
    <col min="37" max="37" width="8.81640625" style="3" customWidth="1"/>
    <col min="38" max="38" width="8.26953125" style="3" customWidth="1"/>
    <col min="39" max="39" width="11.54296875" style="3" hidden="1" customWidth="1"/>
    <col min="40" max="41" width="11.81640625" style="3" hidden="1" customWidth="1"/>
    <col min="42" max="42" width="10.81640625" style="3" hidden="1" customWidth="1"/>
    <col min="43" max="44" width="8.7265625" style="3" hidden="1" customWidth="1"/>
    <col min="45" max="45" width="8.1796875" style="3" hidden="1" customWidth="1"/>
    <col min="46" max="46" width="8.54296875" style="3" hidden="1" customWidth="1"/>
    <col min="47" max="47" width="3.26953125" style="3" hidden="1" customWidth="1"/>
    <col min="48" max="49" width="9.81640625" style="3" hidden="1" customWidth="1"/>
    <col min="50" max="50" width="3.26953125" style="3" customWidth="1"/>
    <col min="51" max="51" width="7.81640625" style="57" bestFit="1" customWidth="1"/>
    <col min="52" max="52" width="6.7265625" style="57" bestFit="1" customWidth="1"/>
    <col min="53" max="53" width="8.1796875" style="57" bestFit="1" customWidth="1"/>
    <col min="54" max="54" width="7" style="57" bestFit="1" customWidth="1"/>
    <col min="55" max="55" width="7.26953125" style="57" bestFit="1" customWidth="1"/>
    <col min="56" max="56" width="5.81640625" style="57" bestFit="1" customWidth="1"/>
    <col min="57" max="58" width="7" style="57" bestFit="1" customWidth="1"/>
    <col min="59" max="59" width="6.54296875" style="57" bestFit="1" customWidth="1"/>
    <col min="60" max="60" width="6.7265625" style="57" bestFit="1" customWidth="1"/>
    <col min="61" max="61" width="6.1796875" style="57" bestFit="1" customWidth="1"/>
    <col min="62" max="63" width="6.7265625" style="57" bestFit="1" customWidth="1"/>
    <col min="64" max="64" width="7.453125" style="57" bestFit="1" customWidth="1"/>
    <col min="65" max="65" width="7.54296875" style="57" bestFit="1" customWidth="1"/>
    <col min="66" max="67" width="7" style="57" bestFit="1" customWidth="1"/>
    <col min="68" max="68" width="6.81640625" style="57" bestFit="1" customWidth="1"/>
    <col min="69" max="69" width="7.1796875" style="57" bestFit="1" customWidth="1"/>
    <col min="70" max="70" width="3" style="3" bestFit="1" customWidth="1"/>
    <col min="71" max="71" width="4.1796875" style="3" customWidth="1"/>
    <col min="72" max="72" width="10.1796875" style="3" customWidth="1"/>
    <col min="73" max="73" width="10.453125" style="3" customWidth="1"/>
    <col min="74" max="74" width="4.1796875" style="3" customWidth="1"/>
    <col min="75" max="75" width="5.81640625" style="3" bestFit="1" customWidth="1"/>
    <col min="76" max="76" width="5.26953125" style="3" customWidth="1"/>
    <col min="77" max="77" width="5.81640625" style="3" bestFit="1" customWidth="1"/>
    <col min="78" max="87" width="5.26953125" style="3" customWidth="1"/>
    <col min="88" max="88" width="5.7265625" style="3" bestFit="1" customWidth="1"/>
    <col min="89" max="89" width="5.81640625" style="3" bestFit="1" customWidth="1"/>
    <col min="90" max="93" width="5.26953125" style="3" customWidth="1"/>
    <col min="94" max="94" width="3.81640625" style="3" hidden="1" customWidth="1"/>
    <col min="95" max="95" width="8" style="57" hidden="1" customWidth="1"/>
    <col min="96" max="96" width="9" style="57" hidden="1" customWidth="1"/>
    <col min="97" max="97" width="11.81640625" style="57" hidden="1" customWidth="1"/>
    <col min="98" max="98" width="6.81640625" style="57" hidden="1" customWidth="1"/>
    <col min="99" max="99" width="9.7265625" style="57" hidden="1" customWidth="1"/>
    <col min="100" max="100" width="9.54296875" style="57" hidden="1" customWidth="1"/>
    <col min="101" max="101" width="9" style="57" hidden="1" customWidth="1"/>
    <col min="102" max="102" width="11.81640625" style="3" hidden="1" customWidth="1"/>
    <col min="103" max="103" width="2.7265625" style="3" hidden="1" customWidth="1"/>
    <col min="104" max="114" width="10.7265625" style="3" hidden="1" customWidth="1"/>
    <col min="115" max="115" width="9.1796875" style="3" customWidth="1"/>
    <col min="116" max="16384" width="9.1796875" style="3"/>
  </cols>
  <sheetData>
    <row r="1" spans="1:114" ht="13" x14ac:dyDescent="0.3">
      <c r="A1" s="159"/>
      <c r="B1" s="159"/>
      <c r="C1" s="159"/>
      <c r="D1" s="8"/>
      <c r="E1" s="8"/>
      <c r="F1" s="31"/>
      <c r="G1" s="31" t="s">
        <v>54</v>
      </c>
      <c r="H1" s="31"/>
      <c r="I1" s="31"/>
      <c r="J1" s="31"/>
      <c r="K1" s="31"/>
      <c r="L1" s="31"/>
      <c r="M1" s="31"/>
      <c r="N1" s="31"/>
      <c r="O1" s="451" t="s">
        <v>56</v>
      </c>
      <c r="P1" s="451"/>
      <c r="Q1" s="405"/>
      <c r="R1" s="8"/>
      <c r="S1" s="8"/>
      <c r="T1" s="8"/>
      <c r="U1" s="8"/>
      <c r="V1" s="8"/>
      <c r="W1" s="8"/>
      <c r="X1" s="8"/>
      <c r="Y1" s="8"/>
      <c r="Z1" s="8"/>
      <c r="AA1" s="8"/>
      <c r="AB1" s="8"/>
      <c r="AC1" s="8"/>
      <c r="AD1" s="8"/>
      <c r="AE1" s="8"/>
      <c r="AF1" s="8"/>
      <c r="AG1" s="8"/>
      <c r="AH1" s="8"/>
      <c r="AI1" s="8" t="s">
        <v>514</v>
      </c>
      <c r="AJ1" s="8" t="s">
        <v>517</v>
      </c>
      <c r="AK1" s="451" t="s">
        <v>77</v>
      </c>
      <c r="AL1" s="451"/>
      <c r="AM1" s="449" t="s">
        <v>515</v>
      </c>
      <c r="AN1" s="449"/>
      <c r="AO1" s="449" t="s">
        <v>516</v>
      </c>
      <c r="AP1" s="449"/>
      <c r="AQ1" s="449" t="s">
        <v>513</v>
      </c>
      <c r="AR1" s="449"/>
      <c r="AS1" s="8"/>
      <c r="AT1" s="8"/>
      <c r="AU1" s="8"/>
      <c r="AV1" s="8" t="s">
        <v>512</v>
      </c>
      <c r="AW1" s="8"/>
      <c r="AX1" s="8"/>
      <c r="AY1" s="449" t="s">
        <v>53</v>
      </c>
      <c r="AZ1" s="449"/>
      <c r="BA1" s="449"/>
      <c r="BB1" s="31"/>
      <c r="BC1" s="31"/>
      <c r="BD1" s="31"/>
      <c r="BE1" s="31"/>
      <c r="BF1" s="31"/>
      <c r="BG1" s="31"/>
      <c r="BH1" s="31"/>
      <c r="BI1" s="31"/>
      <c r="BJ1" s="31"/>
      <c r="BK1" s="31"/>
      <c r="BL1" s="31"/>
      <c r="BM1" s="31"/>
      <c r="BN1" s="31"/>
      <c r="BO1" s="31"/>
      <c r="BP1" s="31"/>
      <c r="BQ1" s="31"/>
      <c r="BR1" s="8"/>
      <c r="BS1" s="8"/>
      <c r="BT1" s="8"/>
      <c r="BU1" s="8"/>
      <c r="BV1" s="8"/>
      <c r="BW1" s="451" t="s">
        <v>84</v>
      </c>
      <c r="BX1" s="451"/>
      <c r="BY1" s="8"/>
      <c r="BZ1" s="8"/>
      <c r="CA1" s="8"/>
      <c r="CB1" s="8"/>
      <c r="CC1" s="8"/>
      <c r="CD1" s="8"/>
      <c r="CE1" s="8"/>
      <c r="CF1" s="8"/>
      <c r="CG1" s="8"/>
      <c r="CH1" s="8"/>
      <c r="CI1" s="8"/>
      <c r="CJ1" s="8"/>
      <c r="CK1" s="8"/>
      <c r="CL1" s="8"/>
      <c r="CM1" s="8"/>
      <c r="CN1" s="8"/>
      <c r="CO1" s="8"/>
      <c r="CP1" s="8"/>
      <c r="CQ1" s="449" t="s">
        <v>18</v>
      </c>
      <c r="CR1" s="449"/>
      <c r="CS1" s="31"/>
      <c r="CT1" s="31"/>
      <c r="CU1" s="31"/>
      <c r="CV1" s="31"/>
      <c r="CW1" s="31"/>
      <c r="CX1" s="8"/>
      <c r="CY1" s="8"/>
      <c r="CZ1" s="451" t="s">
        <v>295</v>
      </c>
      <c r="DA1" s="451"/>
      <c r="DB1" s="451"/>
      <c r="DC1" s="451"/>
      <c r="DD1" s="451"/>
      <c r="DE1" s="8"/>
      <c r="DF1" s="8"/>
      <c r="DG1" s="451" t="s">
        <v>258</v>
      </c>
      <c r="DH1" s="451"/>
      <c r="DI1" s="8" t="s">
        <v>532</v>
      </c>
      <c r="DJ1" s="8"/>
    </row>
    <row r="2" spans="1:114" ht="13" x14ac:dyDescent="0.3">
      <c r="A2" s="159"/>
      <c r="B2" s="159"/>
      <c r="C2" s="159"/>
      <c r="D2" s="8"/>
      <c r="E2" s="8"/>
      <c r="F2" s="31"/>
      <c r="G2" s="31"/>
      <c r="H2" s="31"/>
      <c r="I2" s="31"/>
      <c r="J2" s="31"/>
      <c r="K2" s="31"/>
      <c r="L2" s="31"/>
      <c r="M2" s="31"/>
      <c r="N2" s="31"/>
      <c r="O2" s="8"/>
      <c r="P2" s="8"/>
      <c r="R2" s="8"/>
      <c r="S2" s="8"/>
      <c r="T2" s="8"/>
      <c r="U2" s="8"/>
      <c r="V2" s="8"/>
      <c r="W2" s="8"/>
      <c r="X2" s="8"/>
      <c r="Y2" s="8"/>
      <c r="Z2" s="8"/>
      <c r="AA2" s="8"/>
      <c r="AB2" s="8"/>
      <c r="AC2" s="8"/>
      <c r="AD2" s="8"/>
      <c r="AE2" s="8"/>
      <c r="AF2" s="8"/>
      <c r="AG2" s="8"/>
      <c r="AH2" s="8"/>
      <c r="AI2" s="8"/>
      <c r="AJ2" s="8"/>
      <c r="AK2" s="8"/>
      <c r="AL2" s="8"/>
      <c r="AM2" s="31"/>
      <c r="AN2" s="31"/>
      <c r="AO2" s="31"/>
      <c r="AP2" s="31"/>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31"/>
      <c r="CR2" s="31"/>
      <c r="CS2" s="31"/>
      <c r="CT2" s="31"/>
      <c r="CU2" s="31"/>
      <c r="CV2" s="31"/>
      <c r="CW2" s="31"/>
      <c r="CX2" s="8"/>
      <c r="CY2" s="8"/>
      <c r="CZ2" s="8"/>
      <c r="DA2" s="8"/>
      <c r="DB2" s="8"/>
      <c r="DC2" s="8"/>
      <c r="DD2" s="8"/>
      <c r="DE2" s="8"/>
      <c r="DF2" s="8"/>
      <c r="DG2" s="8"/>
      <c r="DH2" s="8"/>
      <c r="DI2" s="8"/>
      <c r="DJ2" s="8"/>
    </row>
    <row r="3" spans="1:114" ht="29.15" customHeight="1" x14ac:dyDescent="0.25">
      <c r="A3" s="128" t="s">
        <v>0</v>
      </c>
      <c r="B3" s="128" t="s">
        <v>54</v>
      </c>
      <c r="C3" s="128" t="s">
        <v>53</v>
      </c>
      <c r="D3" s="128" t="s">
        <v>1004</v>
      </c>
      <c r="E3" s="128" t="s">
        <v>773</v>
      </c>
      <c r="F3" s="128" t="s">
        <v>1</v>
      </c>
      <c r="G3" s="156" t="s">
        <v>244</v>
      </c>
      <c r="H3" s="128" t="s">
        <v>58</v>
      </c>
      <c r="I3" s="128" t="s">
        <v>246</v>
      </c>
      <c r="J3" s="128" t="s">
        <v>245</v>
      </c>
      <c r="K3" s="128" t="s">
        <v>60</v>
      </c>
      <c r="L3" s="128" t="s">
        <v>243</v>
      </c>
      <c r="M3" s="128" t="s">
        <v>62</v>
      </c>
      <c r="N3" s="128" t="s">
        <v>1048</v>
      </c>
      <c r="O3" s="157" t="s">
        <v>72</v>
      </c>
      <c r="P3" s="157" t="s">
        <v>71</v>
      </c>
      <c r="Q3" s="157" t="s">
        <v>70</v>
      </c>
      <c r="R3" s="157" t="s">
        <v>69</v>
      </c>
      <c r="S3" s="157" t="s">
        <v>68</v>
      </c>
      <c r="T3" s="157" t="s">
        <v>63</v>
      </c>
      <c r="U3" s="157" t="s">
        <v>348</v>
      </c>
      <c r="V3" s="157" t="s">
        <v>64</v>
      </c>
      <c r="W3" s="157" t="s">
        <v>65</v>
      </c>
      <c r="X3" s="157" t="s">
        <v>66</v>
      </c>
      <c r="Y3" s="157" t="s">
        <v>67</v>
      </c>
      <c r="Z3" s="157" t="s">
        <v>350</v>
      </c>
      <c r="AA3" s="157" t="s">
        <v>353</v>
      </c>
      <c r="AB3" s="157" t="s">
        <v>74</v>
      </c>
      <c r="AC3" s="157" t="s">
        <v>351</v>
      </c>
      <c r="AD3" s="157" t="s">
        <v>297</v>
      </c>
      <c r="AE3" s="157" t="s">
        <v>75</v>
      </c>
      <c r="AF3" s="157" t="s">
        <v>371</v>
      </c>
      <c r="AG3" s="157" t="s">
        <v>76</v>
      </c>
      <c r="AH3" s="128" t="s">
        <v>363</v>
      </c>
      <c r="AI3" s="128" t="s">
        <v>815</v>
      </c>
      <c r="AJ3" s="128" t="s">
        <v>816</v>
      </c>
      <c r="AK3" s="128" t="s">
        <v>2</v>
      </c>
      <c r="AL3" s="128" t="s">
        <v>7</v>
      </c>
      <c r="AM3" s="128" t="s">
        <v>811</v>
      </c>
      <c r="AN3" s="128" t="s">
        <v>812</v>
      </c>
      <c r="AO3" s="128" t="s">
        <v>813</v>
      </c>
      <c r="AP3" s="128" t="s">
        <v>814</v>
      </c>
      <c r="AQ3" s="128" t="s">
        <v>1036</v>
      </c>
      <c r="AR3" s="128" t="s">
        <v>1037</v>
      </c>
      <c r="AS3" s="128" t="s">
        <v>518</v>
      </c>
      <c r="AT3" s="128" t="s">
        <v>519</v>
      </c>
      <c r="AU3" s="128" t="s">
        <v>774</v>
      </c>
      <c r="AV3" s="128" t="s">
        <v>817</v>
      </c>
      <c r="AW3" s="128" t="s">
        <v>818</v>
      </c>
      <c r="AX3" s="128" t="s">
        <v>775</v>
      </c>
      <c r="AY3" s="156" t="s">
        <v>819</v>
      </c>
      <c r="AZ3" s="128" t="s">
        <v>820</v>
      </c>
      <c r="BA3" s="128" t="s">
        <v>821</v>
      </c>
      <c r="BB3" s="128" t="s">
        <v>822</v>
      </c>
      <c r="BC3" s="128" t="s">
        <v>823</v>
      </c>
      <c r="BD3" s="128" t="s">
        <v>824</v>
      </c>
      <c r="BE3" s="128" t="s">
        <v>825</v>
      </c>
      <c r="BF3" s="128" t="s">
        <v>826</v>
      </c>
      <c r="BG3" s="128" t="s">
        <v>827</v>
      </c>
      <c r="BH3" s="128" t="s">
        <v>828</v>
      </c>
      <c r="BI3" s="128" t="s">
        <v>829</v>
      </c>
      <c r="BJ3" s="128" t="s">
        <v>830</v>
      </c>
      <c r="BK3" s="128" t="s">
        <v>831</v>
      </c>
      <c r="BL3" s="128" t="s">
        <v>832</v>
      </c>
      <c r="BM3" s="128" t="s">
        <v>833</v>
      </c>
      <c r="BN3" s="128" t="s">
        <v>834</v>
      </c>
      <c r="BO3" s="128" t="s">
        <v>835</v>
      </c>
      <c r="BP3" s="128" t="s">
        <v>836</v>
      </c>
      <c r="BQ3" s="158" t="s">
        <v>837</v>
      </c>
      <c r="BR3" s="128" t="s">
        <v>790</v>
      </c>
      <c r="BS3" s="128" t="s">
        <v>791</v>
      </c>
      <c r="BT3" s="128" t="s">
        <v>882</v>
      </c>
      <c r="BU3" s="128" t="s">
        <v>860</v>
      </c>
      <c r="BV3" s="128" t="s">
        <v>792</v>
      </c>
      <c r="BW3" s="128" t="s">
        <v>1019</v>
      </c>
      <c r="BX3" s="128" t="s">
        <v>903</v>
      </c>
      <c r="BY3" s="128" t="s">
        <v>904</v>
      </c>
      <c r="BZ3" s="128" t="s">
        <v>905</v>
      </c>
      <c r="CA3" s="128" t="s">
        <v>906</v>
      </c>
      <c r="CB3" s="128" t="s">
        <v>907</v>
      </c>
      <c r="CC3" s="128" t="s">
        <v>908</v>
      </c>
      <c r="CD3" s="128" t="s">
        <v>909</v>
      </c>
      <c r="CE3" s="128" t="s">
        <v>910</v>
      </c>
      <c r="CF3" s="128" t="s">
        <v>911</v>
      </c>
      <c r="CG3" s="128" t="s">
        <v>912</v>
      </c>
      <c r="CH3" s="128" t="s">
        <v>913</v>
      </c>
      <c r="CI3" s="128" t="s">
        <v>914</v>
      </c>
      <c r="CJ3" s="128" t="s">
        <v>915</v>
      </c>
      <c r="CK3" s="128" t="s">
        <v>916</v>
      </c>
      <c r="CL3" s="128" t="s">
        <v>917</v>
      </c>
      <c r="CM3" s="128" t="s">
        <v>918</v>
      </c>
      <c r="CN3" s="128" t="s">
        <v>919</v>
      </c>
      <c r="CO3" s="128" t="s">
        <v>920</v>
      </c>
      <c r="CP3" s="128" t="s">
        <v>866</v>
      </c>
      <c r="CQ3" s="128" t="s">
        <v>803</v>
      </c>
      <c r="CR3" s="128" t="s">
        <v>804</v>
      </c>
      <c r="CS3" s="128" t="s">
        <v>805</v>
      </c>
      <c r="CT3" s="128" t="s">
        <v>806</v>
      </c>
      <c r="CU3" s="128" t="s">
        <v>807</v>
      </c>
      <c r="CV3" s="128" t="s">
        <v>808</v>
      </c>
      <c r="CW3" s="128" t="s">
        <v>809</v>
      </c>
      <c r="CX3" s="128" t="s">
        <v>258</v>
      </c>
      <c r="CY3" s="128" t="s">
        <v>867</v>
      </c>
      <c r="CZ3" s="128" t="s">
        <v>871</v>
      </c>
      <c r="DA3" s="128" t="s">
        <v>872</v>
      </c>
      <c r="DB3" s="128" t="s">
        <v>873</v>
      </c>
      <c r="DC3" s="128" t="s">
        <v>874</v>
      </c>
      <c r="DD3" s="128" t="s">
        <v>875</v>
      </c>
      <c r="DE3" s="128" t="s">
        <v>876</v>
      </c>
      <c r="DF3" s="128" t="s">
        <v>877</v>
      </c>
      <c r="DG3" s="128" t="s">
        <v>810</v>
      </c>
      <c r="DH3" s="128" t="s">
        <v>296</v>
      </c>
      <c r="DI3" s="128" t="s">
        <v>533</v>
      </c>
      <c r="DJ3" s="128" t="s">
        <v>534</v>
      </c>
    </row>
    <row r="4" spans="1:114" x14ac:dyDescent="0.25">
      <c r="A4" s="160" t="e">
        <f>#REF!</f>
        <v>#REF!</v>
      </c>
      <c r="B4" s="161" t="e">
        <f>SUM(#REF!)</f>
        <v>#REF!</v>
      </c>
      <c r="C4" s="162" t="e">
        <f>SUM(#REF!)</f>
        <v>#REF!</v>
      </c>
      <c r="D4" s="162" t="e">
        <f>SUM(#REF!)</f>
        <v>#REF!</v>
      </c>
      <c r="E4" s="163"/>
      <c r="F4" s="61" t="e">
        <f>#REF!+#REF!+#REF!</f>
        <v>#REF!</v>
      </c>
      <c r="G4" s="361" t="e">
        <f>start_plains+#REF!</f>
        <v>#REF!</v>
      </c>
      <c r="H4" s="362" t="e">
        <f>start_forest+#REF!</f>
        <v>#REF!</v>
      </c>
      <c r="I4" s="363" t="e">
        <f>start_mountains+#REF!</f>
        <v>#REF!</v>
      </c>
      <c r="J4" s="364" t="e">
        <f>start_hills+#REF!</f>
        <v>#REF!</v>
      </c>
      <c r="K4" s="365" t="e">
        <f>start_swamp+#REF!</f>
        <v>#REF!</v>
      </c>
      <c r="L4" s="366" t="e">
        <f>start_caverns+#REF!</f>
        <v>#REF!</v>
      </c>
      <c r="M4" s="367" t="e">
        <f>start_water+#REF!</f>
        <v>#REF!</v>
      </c>
      <c r="N4" s="339" t="e">
        <f>#REF!</f>
        <v>#REF!</v>
      </c>
      <c r="O4" s="164"/>
      <c r="P4" s="146"/>
      <c r="Q4" s="164"/>
      <c r="R4" s="164"/>
      <c r="S4" s="164"/>
      <c r="T4" s="164"/>
      <c r="U4" s="164"/>
      <c r="V4" s="164"/>
      <c r="W4" s="164"/>
      <c r="X4" s="146"/>
      <c r="Y4" s="164"/>
      <c r="Z4" s="164"/>
      <c r="AA4" s="164"/>
      <c r="AB4" s="164"/>
      <c r="AC4" s="146"/>
      <c r="AD4" s="164"/>
      <c r="AE4" s="164"/>
      <c r="AF4" s="164"/>
      <c r="AG4" s="146"/>
      <c r="AH4" s="53" t="e">
        <f>#REF!</f>
        <v>#REF!</v>
      </c>
      <c r="AI4" s="132" t="e">
        <f>MIN(25%,(#REF!+#REF!)/(#REF!-#REF!*20))</f>
        <v>#REF!</v>
      </c>
      <c r="AJ4" s="132" t="e">
        <f>MIN(25%,(#REF!+#REF!)/#REF!)</f>
        <v>#REF!</v>
      </c>
      <c r="AK4" s="39" t="e">
        <f>#REF!</f>
        <v>#REF!</v>
      </c>
      <c r="AL4" s="39" t="e">
        <f>#REF!</f>
        <v>#REF!</v>
      </c>
      <c r="AM4" s="39" t="e">
        <f>ROUNDDOWN( MAX((1 - MIN(facs_constr_factor*#REF!,facs_constr_max) + tech_2_3*#REF! + tech_2_6_2*#REF! + tech_2_10*#REF! + tech_4_6*#REF! + tech_6_3*#REF! + tech_9_2*#REF! + race_construction_cost), 1-global_constr_cap) *#REF!,0)</f>
        <v>#REF!</v>
      </c>
      <c r="AN4" s="39" t="e">
        <f>ROUNDDOWN( MAX(1 - MIN(facs_constr_factor*#REF!,facs_constr_max) + tech_1_11*#REF! + tech_6_3_2*#REF! + tech_5_2_3*#REF!, 1-global_constr_cap) *#REF!,0)</f>
        <v>#REF!</v>
      </c>
      <c r="AO4" s="39" t="e">
        <f>ROUNDDOWN( MAX((1 - MIN(facs_constr_factor*#REF!,facs_constr_max) + tech_2_3*#REF! + tech_2_6_2*#REF! + tech_2_10*#REF! + tech_4_6*#REF! + tech_6_3*#REF! + tech_9_2*#REF! + race_construction_cost), 1-global_constr_cap) * (ROUND((#REF!-250)*1.25 + 850 + 0,0)),0)</f>
        <v>#REF!</v>
      </c>
      <c r="AP4" s="39" t="e">
        <f>ROUNDDOWN( MAX(1 - MIN(facs_constr_factor*#REF!,facs_constr_max) + tech_1_11*#REF! + tech_6_3_2*#REF! + tech_5_2_3*#REF!, 1-global_constr_cap) * ROUND((#REF!-250)*0.285 + 87.5 + 0/4.25,0),0)</f>
        <v>#REF!</v>
      </c>
      <c r="AQ4" s="3" t="e">
        <f>#REF!*#REF! +#REF! *#REF!</f>
        <v>#REF!</v>
      </c>
      <c r="AR4" s="368" t="e">
        <f>SUM($O4:$AG4)*AN4</f>
        <v>#REF!</v>
      </c>
      <c r="AS4" s="360" t="e">
        <f>MIN(SUM(Constants!A30:G30)+SUM(#REF!),SUM(#REF!))</f>
        <v>#REF!</v>
      </c>
      <c r="AT4" s="368" t="e">
        <f>IF(#REF!&lt;&gt;0,MAX(0, MIN(20, 20 + SUM(#REF!) - SUM(#REF!) - SUM(Constants!A$30:G$30)-20*#REF!)),0)</f>
        <v>#REF!</v>
      </c>
      <c r="AU4" s="134"/>
      <c r="AV4" s="39" t="e">
        <f>ROUND((#REF!-250 - IF(#REF!&lt;&gt;0,20,0))*1.25 + 850 + 0,0)</f>
        <v>#REF!</v>
      </c>
      <c r="AW4" s="39" t="e">
        <f>ROUND((#REF!-250 - IF(#REF!&lt;&gt;0,20,0))*0.285 + 87.5 + 0/4.25,0)</f>
        <v>#REF!</v>
      </c>
      <c r="AX4" s="133"/>
      <c r="AY4" s="369" t="e">
        <f>start_homes-#REF!</f>
        <v>#REF!</v>
      </c>
      <c r="AZ4" s="370" t="e">
        <f>start_alchs-#REF!</f>
        <v>#REF!</v>
      </c>
      <c r="BA4" s="370" t="e">
        <f>start_farms-#REF!</f>
        <v>#REF!</v>
      </c>
      <c r="BB4" s="370" t="e">
        <f>start_smithies-#REF!</f>
        <v>#REF!</v>
      </c>
      <c r="BC4" s="370" t="e">
        <f>start_masons-#REF!</f>
        <v>#REF!</v>
      </c>
      <c r="BD4" s="371" t="e">
        <f>start_ly-#REF!</f>
        <v>#REF!</v>
      </c>
      <c r="BE4" s="371" t="e">
        <f>start_havens-#REF!</f>
        <v>#REF!</v>
      </c>
      <c r="BF4" s="372" t="e">
        <f>start_om-#REF!</f>
        <v>#REF!</v>
      </c>
      <c r="BG4" s="372" t="e">
        <f>start_gn-#REF!</f>
        <v>#REF!</v>
      </c>
      <c r="BH4" s="373" t="e">
        <f>start_facs-#REF!</f>
        <v>#REF!</v>
      </c>
      <c r="BI4" s="373" t="e">
        <f>start_gt-#REF!</f>
        <v>#REF!</v>
      </c>
      <c r="BJ4" s="373" t="e">
        <f>start_rax-#REF!</f>
        <v>#REF!</v>
      </c>
      <c r="BK4" s="373" t="e">
        <f>start_shrines-#REF!</f>
        <v>#REF!</v>
      </c>
      <c r="BL4" s="374" t="e">
        <f>start_towers-#REF!</f>
        <v>#REF!</v>
      </c>
      <c r="BM4" s="374" t="e">
        <f>start_temples-#REF!</f>
        <v>#REF!</v>
      </c>
      <c r="BN4" s="374" t="e">
        <f>start_temples-#REF!</f>
        <v>#REF!</v>
      </c>
      <c r="BO4" s="375" t="e">
        <f>start_dm-#REF!</f>
        <v>#REF!</v>
      </c>
      <c r="BP4" s="375" t="e">
        <f>start_schools-#REF!</f>
        <v>#REF!</v>
      </c>
      <c r="BQ4" s="376" t="e">
        <f>start_docks-#REF!</f>
        <v>#REF!</v>
      </c>
      <c r="BR4" s="134"/>
      <c r="BS4" s="133"/>
      <c r="BT4" s="39" t="e">
        <f>#REF!</f>
        <v>#REF!</v>
      </c>
      <c r="BU4" s="147" t="e">
        <f>#REF!</f>
        <v>#REF!</v>
      </c>
      <c r="BV4" s="134"/>
      <c r="BW4" s="164"/>
      <c r="BX4" s="164"/>
      <c r="BY4" s="164"/>
      <c r="BZ4" s="164"/>
      <c r="CA4" s="164"/>
      <c r="CB4" s="164"/>
      <c r="CC4" s="164"/>
      <c r="CD4" s="164"/>
      <c r="CE4" s="164"/>
      <c r="CF4" s="164"/>
      <c r="CG4" s="164"/>
      <c r="CH4" s="164"/>
      <c r="CI4" s="164"/>
      <c r="CJ4" s="164"/>
      <c r="CK4" s="164"/>
      <c r="CL4" s="164"/>
      <c r="CM4" s="164"/>
      <c r="CN4" s="164"/>
      <c r="CO4" s="164"/>
      <c r="CP4" s="134"/>
      <c r="CQ4" s="165" t="e">
        <f ca="1">-SUM(#REF!)+SUM(#REF!)+Rezone!L4+IF("Ch_"&amp; home_land=#REF!,#REF!)+IF(#REF!&gt;12,OFFSET(#REF!,-12,0),0)</f>
        <v>#REF!</v>
      </c>
      <c r="CR4" s="166" t="e">
        <f ca="1">-SUM(#REF!)+SUM(#REF!) +Rezone!M4 + IF("Ch_"&amp; home_land=#REF!,#REF!)+IF(#REF!&gt;12,OFFSET(#REF!,-12,0),0)</f>
        <v>#REF!</v>
      </c>
      <c r="CS4" s="343" t="e">
        <f ca="1">-SUM(#REF!)+SUM(#REF!) +Rezone!N4 + IF("Ch_"&amp; home_land=#REF!,#REF!)+IF(#REF!&gt;12,OFFSET(#REF!,-12,0),0)</f>
        <v>#REF!</v>
      </c>
      <c r="CT4" s="167" t="e">
        <f ca="1">-SUM(#REF!)+SUM(#REF!) +Rezone!O4 + IF("Ch_" &amp; home_land=#REF!,#REF!)+IF(#REF!&gt;12,OFFSET(#REF!,-12,0),0)</f>
        <v>#REF!</v>
      </c>
      <c r="CU4" s="168" t="e">
        <f ca="1">-SUM(#REF!)+SUM(#REF!) +Rezone!P4 + IF("Ch_" &amp; home_land=#REF!,#REF!)+IF(#REF!&gt;12,OFFSET(#REF!,-12,0),0)</f>
        <v>#REF!</v>
      </c>
      <c r="CV4" s="169" t="e">
        <f ca="1">- SUM(#REF!)+SUM(#REF!) +Rezone!Q4 + IF("Ch_" &amp; home_land=#REF!,#REF!)+IF(#REF!&gt;12,OFFSET(#REF!,-12,0),0)</f>
        <v>#REF!</v>
      </c>
      <c r="CW4" s="170" t="e">
        <f ca="1">-#REF!+#REF! +Rezone!R4 + IF("Ch_" &amp; home_land=#REF!,#REF!)+IF(#REF!&gt;12,OFFSET(#REF!,-12,0),0)</f>
        <v>#REF!</v>
      </c>
      <c r="CX4" s="3" t="e">
        <f>IF(Explore!S4=1,20) -#REF! +#REF!</f>
        <v>#REF!</v>
      </c>
      <c r="CY4" s="134"/>
      <c r="CZ4" s="39" t="e">
        <f>G4+SUM(P$4:S4)+SUM(AZ4:BC4)</f>
        <v>#REF!</v>
      </c>
      <c r="DA4" s="39" t="e">
        <f>H4+SUM(T$4:U4)+SUM(BD4:BE4)</f>
        <v>#REF!</v>
      </c>
      <c r="DB4" s="3" t="e">
        <f>I4+SUM(V$4:W4)+SUM(BF4:BG4)</f>
        <v>#REF!</v>
      </c>
      <c r="DC4" s="39" t="e">
        <f>J4+SUM(X$4:Y4)+SUM(BH4:BI4)</f>
        <v>#REF!</v>
      </c>
      <c r="DD4" s="39" t="e">
        <f>K4+SUM(AB$4:AD4)+SUM(BL4:BN4)</f>
        <v>#REF!</v>
      </c>
      <c r="DE4" s="3" t="e">
        <f>L4+SUM(AE$4:AE4)+BO4</f>
        <v>#REF!</v>
      </c>
      <c r="DF4" s="39" t="e">
        <f>M4+SUM(AG$4:AG4)+BQ4</f>
        <v>#REF!</v>
      </c>
      <c r="DG4" s="3" t="e">
        <f t="array" ref="DG4">INDEX(#REF!,ROW()-ROW(#REF!),MATCH("Total "&amp;home_land,#REF!,0))+#REF!</f>
        <v>#REF!</v>
      </c>
      <c r="DH4" s="3" t="e">
        <f>SUM(O$4:O4)+AY4</f>
        <v>#REF!</v>
      </c>
      <c r="DI4" s="39">
        <v>0</v>
      </c>
      <c r="DJ4" s="3">
        <v>0</v>
      </c>
    </row>
    <row r="5" spans="1:114" x14ac:dyDescent="0.25">
      <c r="A5" s="160" t="e">
        <f>#REF!</f>
        <v>#REF!</v>
      </c>
      <c r="B5" s="161" t="e">
        <f>SUM(#REF!)</f>
        <v>#REF!</v>
      </c>
      <c r="C5" s="162" t="e">
        <f>SUM(#REF!)</f>
        <v>#REF!</v>
      </c>
      <c r="D5" s="162">
        <f>SUM(O$4:AG5)</f>
        <v>0</v>
      </c>
      <c r="E5" s="163"/>
      <c r="F5" s="61" t="e">
        <f>#REF!+#REF!+#REF!</f>
        <v>#REF!</v>
      </c>
      <c r="G5" s="171" t="e">
        <f ca="1">OFFSET(#REF!,-1,0)+#REF!</f>
        <v>#REF!</v>
      </c>
      <c r="H5" s="166" t="e">
        <f ca="1">OFFSET(#REF!,-1,0)+#REF!</f>
        <v>#REF!</v>
      </c>
      <c r="I5" s="341" t="e">
        <f ca="1">OFFSET(#REF!,-1,0)+#REF!</f>
        <v>#REF!</v>
      </c>
      <c r="J5" s="345" t="e">
        <f ca="1">OFFSET(#REF!,-1,0)+#REF!</f>
        <v>#REF!</v>
      </c>
      <c r="K5" s="349" t="e">
        <f ca="1">OFFSET(#REF!,-1,0)+#REF!</f>
        <v>#REF!</v>
      </c>
      <c r="L5" s="169" t="e">
        <f ca="1">OFFSET(#REF!,-1,0)+#REF!</f>
        <v>#REF!</v>
      </c>
      <c r="M5" s="170" t="e">
        <f ca="1">OFFSET(#REF!,-1,0)+#REF!</f>
        <v>#REF!</v>
      </c>
      <c r="N5" s="339" t="e">
        <f>#REF!</f>
        <v>#REF!</v>
      </c>
      <c r="O5" s="164"/>
      <c r="P5" s="164"/>
      <c r="Q5" s="164"/>
      <c r="R5" s="164"/>
      <c r="S5" s="164"/>
      <c r="T5" s="164"/>
      <c r="U5" s="164"/>
      <c r="V5" s="164"/>
      <c r="W5" s="164"/>
      <c r="X5" s="164"/>
      <c r="Y5" s="164"/>
      <c r="Z5" s="164"/>
      <c r="AA5" s="164"/>
      <c r="AB5" s="164"/>
      <c r="AC5" s="164"/>
      <c r="AD5" s="164"/>
      <c r="AE5" s="164"/>
      <c r="AF5" s="164"/>
      <c r="AG5" s="164"/>
      <c r="AH5" s="53" t="e">
        <f>#REF!</f>
        <v>#REF!</v>
      </c>
      <c r="AI5" s="132" t="e">
        <f>MIN(25%,(#REF!+#REF!)/(#REF!-#REF!*20))</f>
        <v>#REF!</v>
      </c>
      <c r="AJ5" s="132" t="e">
        <f>MIN(25%,(#REF!+#REF!)/#REF!)</f>
        <v>#REF!</v>
      </c>
      <c r="AK5" s="39" t="e">
        <f>#REF!</f>
        <v>#REF!</v>
      </c>
      <c r="AL5" s="39" t="e">
        <f>#REF!</f>
        <v>#REF!</v>
      </c>
      <c r="AM5" s="39" t="e">
        <f>ROUNDDOWN( MAX((1 - MIN(facs_constr_factor*#REF!,facs_constr_max) + tech_2_3*#REF! + tech_2_6_2*#REF! + tech_2_10*#REF! + tech_4_6*#REF! + tech_6_3*#REF! + tech_9_2*#REF! + race_construction_cost), 1-global_constr_cap) *#REF!,0)</f>
        <v>#REF!</v>
      </c>
      <c r="AN5" s="39" t="e">
        <f>ROUNDDOWN( MAX(1 - MIN(facs_constr_factor*#REF!,facs_constr_max) + tech_1_11*#REF! + tech_6_3_2*#REF! + tech_5_2_3*#REF!, 1-global_constr_cap) *#REF!,0)</f>
        <v>#REF!</v>
      </c>
      <c r="AO5" s="39" t="e">
        <f>ROUNDDOWN( MAX((1 - MIN(facs_constr_factor*#REF!,facs_constr_max) + tech_2_3*#REF! + tech_2_6_2*#REF! + tech_2_10*#REF! + tech_4_6*#REF! + tech_6_3*#REF! + tech_9_2*#REF! + race_construction_cost), 1-global_constr_cap) * (ROUND((#REF!-250)*1.25 + 850 + 0,0)),0)</f>
        <v>#REF!</v>
      </c>
      <c r="AP5" s="39" t="e">
        <f>ROUNDDOWN( MAX(1 - MIN(facs_constr_factor*#REF!,facs_constr_max) + tech_1_11*#REF! + tech_6_3_2*#REF! + tech_5_2_3*#REF!, 1-global_constr_cap) * ROUND((#REF!-250)*0.285 + 87.5 + 0/4.25,0),0)</f>
        <v>#REF!</v>
      </c>
      <c r="AQ5" s="3" t="e">
        <f>#REF!*#REF! +#REF! *#REF!</f>
        <v>#REF!</v>
      </c>
      <c r="AR5" s="3" t="e">
        <f>#REF!*#REF!+#REF!*#REF!</f>
        <v>#REF!</v>
      </c>
      <c r="AS5" s="39" t="e">
        <f ca="1">MIN(SUM(OFFSET(#REF!,-1,0))+SUM(#REF!)+IF(#REF!&gt;12,SUM(OFFSET(#REF!,-12,0)),0),SUM(#REF!))</f>
        <v>#REF!</v>
      </c>
      <c r="AT5" s="3" t="e">
        <f ca="1">IF(#REF!&lt;&gt;0,MAX(0, MIN(20, 20 + SUM(#REF!) - SUM(#REF!) - SUM(OFFSET(#REF!,-1,0)) - IF(#REF!&gt;12,SUM(OFFSET(#REF!,-12,0)),0) - 20*#REF!)),0)</f>
        <v>#REF!</v>
      </c>
      <c r="AU5" s="134"/>
      <c r="AV5" s="39" t="e">
        <f>ROUND((#REF!-250 - IF(#REF!&lt;&gt;0,20,0))*1.25 + 850 + 0,0)</f>
        <v>#REF!</v>
      </c>
      <c r="AW5" s="39" t="e">
        <f>ROUND((#REF!-250 - IF(#REF!&lt;&gt;0,20,0))*0.285 + 87.5 + 0/4.25,0)</f>
        <v>#REF!</v>
      </c>
      <c r="AX5" s="133"/>
      <c r="AY5" s="172" t="e">
        <f t="array" aca="1" ref="AY5" ca="1">IF(#REF!&gt;12,OFFSET(#REF!,-12,0),0)+OFFSET(#REF!,-1,0)-#REF!</f>
        <v>#REF!</v>
      </c>
      <c r="AZ5" s="173" t="e">
        <f t="array" aca="1" ref="AZ5" ca="1">IF(#REF!&gt;12,OFFSET(#REF!,-12,0),0)+OFFSET(#REF!,-1,0)-#REF!</f>
        <v>#REF!</v>
      </c>
      <c r="BA5" s="173" t="e">
        <f t="array" aca="1" ref="BA5" ca="1">IF(#REF!&gt;12,OFFSET(#REF!,-12,0),0)+OFFSET(#REF!,-1,0)-#REF!</f>
        <v>#REF!</v>
      </c>
      <c r="BB5" s="173" t="e">
        <f t="array" aca="1" ref="BB5" ca="1">IF(#REF!&gt;12,OFFSET(#REF!,-12,0),0)+OFFSET(#REF!,-1,0)-#REF!</f>
        <v>#REF!</v>
      </c>
      <c r="BC5" s="173" t="e">
        <f t="array" aca="1" ref="BC5" ca="1">IF(#REF!&gt;12,OFFSET(#REF!,-12,0),0)+OFFSET(#REF!,-1,0)-#REF!</f>
        <v>#REF!</v>
      </c>
      <c r="BD5" s="174" t="e">
        <f t="array" aca="1" ref="BD5" ca="1">IF(#REF!&gt;12,OFFSET(#REF!,-12,0),0)+OFFSET(#REF!,-1,0)-#REF!</f>
        <v>#REF!</v>
      </c>
      <c r="BE5" s="174" t="e">
        <f t="array" aca="1" ref="BE5" ca="1">IF(#REF!&gt;12,OFFSET(#REF!,-12,0),0)+OFFSET(#REF!,-1,0)-#REF!</f>
        <v>#REF!</v>
      </c>
      <c r="BF5" s="343" t="e">
        <f t="array" aca="1" ref="BF5" ca="1">IF(#REF!&gt;12,OFFSET(#REF!,-12,0),0)+OFFSET(#REF!,-1,0)-#REF!</f>
        <v>#REF!</v>
      </c>
      <c r="BG5" s="343" t="e">
        <f t="array" aca="1" ref="BG5" ca="1">IF(#REF!&gt;12,OFFSET(#REF!,-12,0),0)+OFFSET(#REF!,-1,0)-#REF!</f>
        <v>#REF!</v>
      </c>
      <c r="BH5" s="347" t="e">
        <f t="array" aca="1" ref="BH5" ca="1">IF(#REF!&gt;12,OFFSET(#REF!,-12,0),0)+OFFSET(#REF!,-1,0)-#REF!</f>
        <v>#REF!</v>
      </c>
      <c r="BI5" s="347" t="e">
        <f t="array" aca="1" ref="BI5" ca="1">IF(#REF!&gt;12,OFFSET(#REF!,-12,0),0)+OFFSET(#REF!,-1,0)-#REF!</f>
        <v>#REF!</v>
      </c>
      <c r="BJ5" s="347" t="e">
        <f t="array" aca="1" ref="BJ5" ca="1">IF(#REF!&gt;12,OFFSET(#REF!,-12,0),0)+OFFSET(#REF!,-1,0)-#REF!</f>
        <v>#REF!</v>
      </c>
      <c r="BK5" s="347" t="e">
        <f t="array" aca="1" ref="BK5" ca="1">IF(#REF!&gt;12,OFFSET(#REF!,-12,0),0)+OFFSET(#REF!,-1,0)-#REF!</f>
        <v>#REF!</v>
      </c>
      <c r="BL5" s="351" t="e">
        <f t="array" aca="1" ref="BL5" ca="1">IF(#REF!&gt;12,OFFSET(#REF!,-12,0),0)+OFFSET(#REF!,-1,0)-#REF!</f>
        <v>#REF!</v>
      </c>
      <c r="BM5" s="351" t="e">
        <f t="array" aca="1" ref="BM5" ca="1">IF(#REF!&gt;12,OFFSET(#REF!,-12,0),0)+OFFSET(#REF!,-1,0)-#REF!</f>
        <v>#REF!</v>
      </c>
      <c r="BN5" s="351" t="e">
        <f t="array" aca="1" ref="BN5" ca="1">IF(#REF!&gt;12,OFFSET(#REF!,-12,0),0)+OFFSET(#REF!,-1,0)-#REF!</f>
        <v>#REF!</v>
      </c>
      <c r="BO5" s="175" t="e">
        <f t="array" aca="1" ref="BO5" ca="1">IF(#REF!&gt;12,OFFSET(#REF!,-12,0),0)+OFFSET(#REF!,-1,0)-#REF!</f>
        <v>#REF!</v>
      </c>
      <c r="BP5" s="175" t="e">
        <f t="array" aca="1" ref="BP5" ca="1">IF(#REF!&gt;12,OFFSET(#REF!,-12,0),0)+OFFSET(#REF!,-1,0)-#REF!</f>
        <v>#REF!</v>
      </c>
      <c r="BQ5" s="176" t="e">
        <f t="array" aca="1" ref="BQ5" ca="1">IF(#REF!&gt;12,OFFSET(#REF!,-12,0),0)+OFFSET(#REF!,-1,0)-#REF!</f>
        <v>#REF!</v>
      </c>
      <c r="BR5" s="134"/>
      <c r="BS5" s="133"/>
      <c r="BT5" s="39" t="e">
        <f>#REF!</f>
        <v>#REF!</v>
      </c>
      <c r="BU5" s="147" t="e">
        <f>#REF!</f>
        <v>#REF!</v>
      </c>
      <c r="BV5" s="134"/>
      <c r="BW5" s="164"/>
      <c r="BX5" s="164"/>
      <c r="BY5" s="164"/>
      <c r="BZ5" s="164"/>
      <c r="CA5" s="164"/>
      <c r="CB5" s="164"/>
      <c r="CC5" s="164"/>
      <c r="CD5" s="164"/>
      <c r="CE5" s="164"/>
      <c r="CF5" s="164"/>
      <c r="CG5" s="164"/>
      <c r="CH5" s="164"/>
      <c r="CI5" s="164"/>
      <c r="CJ5" s="164"/>
      <c r="CK5" s="164"/>
      <c r="CL5" s="164"/>
      <c r="CM5" s="164"/>
      <c r="CN5" s="164"/>
      <c r="CO5" s="164"/>
      <c r="CP5" s="134"/>
      <c r="CQ5" s="165" t="e">
        <f ca="1">-SUM(#REF!)+SUM(#REF!)+Rezone!L5+IF("Ch_"&amp; home_land=#REF!,#REF!)+IF(#REF!&gt;12,OFFSET(#REF!,-12,0),0)</f>
        <v>#REF!</v>
      </c>
      <c r="CR5" s="166" t="e">
        <f ca="1">-SUM(#REF!)+SUM(#REF!) +Rezone!M5 + IF("Ch_"&amp; home_land=#REF!,#REF!)+IF(#REF!&gt;12,OFFSET(#REF!,-12,0),0)</f>
        <v>#REF!</v>
      </c>
      <c r="CS5" s="341" t="e">
        <f ca="1">-SUM(#REF!)+SUM(#REF!) +Rezone!N5 + IF("Ch_"&amp; home_land=#REF!,#REF!)+IF(#REF!&gt;12,OFFSET(#REF!,-12,0),0)</f>
        <v>#REF!</v>
      </c>
      <c r="CT5" s="167" t="e">
        <f ca="1">-SUM(#REF!)+SUM(#REF!) +Rezone!O5 + IF("Ch_" &amp; home_land=#REF!,#REF!)+IF(#REF!&gt;12,OFFSET(#REF!,-12,0),0)</f>
        <v>#REF!</v>
      </c>
      <c r="CU5" s="168" t="e">
        <f ca="1">-SUM(#REF!)+SUM(#REF!) +Rezone!P5 + IF("Ch_" &amp; home_land=#REF!,#REF!)+IF(#REF!&gt;12,OFFSET(#REF!,-12,0),0)</f>
        <v>#REF!</v>
      </c>
      <c r="CV5" s="169" t="e">
        <f ca="1">- SUM(#REF!)+SUM(#REF!) +Rezone!Q5 + IF("Ch_" &amp; home_land=#REF!,#REF!)+IF(#REF!&gt;12,OFFSET(#REF!,-12,0),0)</f>
        <v>#REF!</v>
      </c>
      <c r="CW5" s="170" t="e">
        <f ca="1">-#REF!+#REF! +Rezone!R5 + IF("Ch_" &amp; home_land=#REF!,#REF!)+IF(#REF!&gt;12,OFFSET(#REF!,-12,0),0)</f>
        <v>#REF!</v>
      </c>
      <c r="CX5" s="3" t="e">
        <f>IF(Explore!S5=1,20) -#REF! +#REF!</f>
        <v>#REF!</v>
      </c>
      <c r="CY5" s="134"/>
      <c r="CZ5" s="39" t="e">
        <f ca="1">G5+SUM(P$4:S5)+SUM(AZ5:BC5)</f>
        <v>#REF!</v>
      </c>
      <c r="DA5" s="39" t="e">
        <f ca="1">H5+SUM(T$4:U5)+SUM(BD5:BE5)</f>
        <v>#REF!</v>
      </c>
      <c r="DB5" s="3" t="e">
        <f ca="1">I5+SUM(V$4:W5)+SUM(BF5:BG5)</f>
        <v>#REF!</v>
      </c>
      <c r="DC5" s="39" t="e">
        <f ca="1">J5+SUM(X$4:Y5)+SUM(BH5:BI5)</f>
        <v>#REF!</v>
      </c>
      <c r="DD5" s="39" t="e">
        <f ca="1">K5+SUM(AB$4:AD5)+SUM(BL5:BN5)</f>
        <v>#REF!</v>
      </c>
      <c r="DE5" s="3" t="e">
        <f ca="1">L5+SUM(AE$4:AE5)+BO5</f>
        <v>#REF!</v>
      </c>
      <c r="DF5" s="39" t="e">
        <f ca="1">M5+SUM(AG$4:AG5)+BQ5</f>
        <v>#REF!</v>
      </c>
      <c r="DG5" s="39" t="e">
        <f t="array" ref="DG5">INDEX(#REF!,ROW()-ROW(#REF!),MATCH("Total "&amp;home_land,#REF!,0))+#REF!</f>
        <v>#REF!</v>
      </c>
      <c r="DH5" s="3" t="e">
        <f ca="1">SUM(O$4:O5)+AY5</f>
        <v>#REF!</v>
      </c>
      <c r="DI5" s="39" t="e">
        <f ca="1">MAX(BA5-BA4,0)</f>
        <v>#REF!</v>
      </c>
      <c r="DJ5" s="3" t="e">
        <f ca="1">MAX(BQ5-BQ4,0)</f>
        <v>#REF!</v>
      </c>
    </row>
    <row r="6" spans="1:114" x14ac:dyDescent="0.25">
      <c r="A6" s="160" t="e">
        <f>#REF!</f>
        <v>#REF!</v>
      </c>
      <c r="B6" s="161" t="e">
        <f>SUM(#REF!)</f>
        <v>#REF!</v>
      </c>
      <c r="C6" s="162" t="e">
        <f>SUM(#REF!)</f>
        <v>#REF!</v>
      </c>
      <c r="D6" s="162">
        <f>SUM(O$4:AG6)</f>
        <v>0</v>
      </c>
      <c r="E6" s="163"/>
      <c r="F6" s="61" t="e">
        <f>#REF!+#REF!+#REF!</f>
        <v>#REF!</v>
      </c>
      <c r="G6" s="171" t="e">
        <f ca="1">OFFSET(#REF!,-1,0)+#REF!</f>
        <v>#REF!</v>
      </c>
      <c r="H6" s="166" t="e">
        <f ca="1">OFFSET(#REF!,-1,0)+#REF!</f>
        <v>#REF!</v>
      </c>
      <c r="I6" s="341" t="e">
        <f ca="1">OFFSET(#REF!,-1,0)+#REF!</f>
        <v>#REF!</v>
      </c>
      <c r="J6" s="345" t="e">
        <f ca="1">OFFSET(#REF!,-1,0)+#REF!</f>
        <v>#REF!</v>
      </c>
      <c r="K6" s="349" t="e">
        <f ca="1">OFFSET(#REF!,-1,0)+#REF!</f>
        <v>#REF!</v>
      </c>
      <c r="L6" s="169" t="e">
        <f ca="1">OFFSET(#REF!,-1,0)+#REF!</f>
        <v>#REF!</v>
      </c>
      <c r="M6" s="170" t="e">
        <f ca="1">OFFSET(#REF!,-1,0)+#REF!</f>
        <v>#REF!</v>
      </c>
      <c r="N6" s="339" t="e">
        <f>#REF!</f>
        <v>#REF!</v>
      </c>
      <c r="O6" s="164"/>
      <c r="P6" s="164"/>
      <c r="Q6" s="164"/>
      <c r="R6" s="164"/>
      <c r="S6" s="164"/>
      <c r="T6" s="164"/>
      <c r="U6" s="164"/>
      <c r="V6" s="164"/>
      <c r="W6" s="164"/>
      <c r="X6" s="164"/>
      <c r="Y6" s="164"/>
      <c r="Z6" s="164"/>
      <c r="AA6" s="164"/>
      <c r="AB6" s="164"/>
      <c r="AC6" s="164"/>
      <c r="AD6" s="164"/>
      <c r="AE6" s="164"/>
      <c r="AF6" s="164"/>
      <c r="AG6" s="164"/>
      <c r="AH6" s="53" t="e">
        <f>#REF!</f>
        <v>#REF!</v>
      </c>
      <c r="AI6" s="132" t="e">
        <f>MIN(25%,(#REF!+#REF!)/(#REF!-#REF!*20))</f>
        <v>#REF!</v>
      </c>
      <c r="AJ6" s="132" t="e">
        <f>MIN(25%,(#REF!+#REF!)/#REF!)</f>
        <v>#REF!</v>
      </c>
      <c r="AK6" s="39" t="e">
        <f>#REF!</f>
        <v>#REF!</v>
      </c>
      <c r="AL6" s="39" t="e">
        <f>#REF!</f>
        <v>#REF!</v>
      </c>
      <c r="AM6" s="39" t="e">
        <f>ROUNDDOWN( MAX((1 - MIN(facs_constr_factor*#REF!,facs_constr_max) + tech_2_3*#REF! + tech_2_6_2*#REF! + tech_2_10*#REF! + tech_4_6*#REF! + tech_6_3*#REF! + tech_9_2*#REF! + race_construction_cost), 1-global_constr_cap) *#REF!,0)</f>
        <v>#REF!</v>
      </c>
      <c r="AN6" s="39" t="e">
        <f>ROUNDDOWN( MAX(1 - MIN(facs_constr_factor*#REF!,facs_constr_max) + tech_1_11*#REF! + tech_6_3_2*#REF! + tech_5_2_3*#REF!, 1-global_constr_cap) *#REF!,0)</f>
        <v>#REF!</v>
      </c>
      <c r="AO6" s="39" t="e">
        <f>ROUNDDOWN( MAX((1 - MIN(facs_constr_factor*#REF!,facs_constr_max) + tech_2_3*#REF! + tech_2_6_2*#REF! + tech_2_10*#REF! + tech_4_6*#REF! + tech_6_3*#REF! + tech_9_2*#REF! + race_construction_cost), 1-global_constr_cap) * (ROUND((#REF!-250)*1.25 + 850 + 0,0)),0)</f>
        <v>#REF!</v>
      </c>
      <c r="AP6" s="39" t="e">
        <f>ROUNDDOWN( MAX(1 - MIN(facs_constr_factor*#REF!,facs_constr_max) + tech_1_11*#REF! + tech_6_3_2*#REF! + tech_5_2_3*#REF!, 1-global_constr_cap) * ROUND((#REF!-250)*0.285 + 87.5 + 0/4.25,0),0)</f>
        <v>#REF!</v>
      </c>
      <c r="AQ6" s="3" t="e">
        <f>#REF!*#REF! +#REF! *#REF!</f>
        <v>#REF!</v>
      </c>
      <c r="AR6" s="3" t="e">
        <f>#REF!*#REF!+#REF!*#REF!</f>
        <v>#REF!</v>
      </c>
      <c r="AS6" s="39" t="e">
        <f ca="1">MIN(SUM(OFFSET(#REF!,-1,0))+SUM(#REF!)+IF(#REF!&gt;12,SUM(OFFSET(#REF!,-12,0)),0),SUM(#REF!))</f>
        <v>#REF!</v>
      </c>
      <c r="AT6" s="3" t="e">
        <f ca="1">IF(#REF!&lt;&gt;0,MAX(0, MIN(20, 20 + SUM(#REF!) - SUM(#REF!) - SUM(OFFSET(#REF!,-1,0)) - IF(#REF!&gt;12,SUM(OFFSET(#REF!,-12,0)),0) - 20*#REF!)),0)</f>
        <v>#REF!</v>
      </c>
      <c r="AU6" s="134"/>
      <c r="AV6" s="39" t="e">
        <f>ROUND((#REF!-250 - IF(#REF!&lt;&gt;0,20,0))*1.25 + 850 + 0,0)</f>
        <v>#REF!</v>
      </c>
      <c r="AW6" s="39" t="e">
        <f>ROUND((#REF!-250 - IF(#REF!&lt;&gt;0,20,0))*0.285 + 87.5 + 0/4.25,0)</f>
        <v>#REF!</v>
      </c>
      <c r="AX6" s="133"/>
      <c r="AY6" s="172" t="e">
        <f t="array" aca="1" ref="AY6" ca="1">IF(#REF!&gt;12,OFFSET(#REF!,-12,0),0)+OFFSET(#REF!,-1,0)-#REF!</f>
        <v>#REF!</v>
      </c>
      <c r="AZ6" s="173" t="e">
        <f t="array" aca="1" ref="AZ6" ca="1">IF(#REF!&gt;12,OFFSET(#REF!,-12,0),0)+OFFSET(#REF!,-1,0)-#REF!</f>
        <v>#REF!</v>
      </c>
      <c r="BA6" s="173" t="e">
        <f t="array" aca="1" ref="BA6" ca="1">IF(#REF!&gt;12,OFFSET(#REF!,-12,0),0)+OFFSET(#REF!,-1,0)-#REF!</f>
        <v>#REF!</v>
      </c>
      <c r="BB6" s="173" t="e">
        <f t="array" aca="1" ref="BB6" ca="1">IF(#REF!&gt;12,OFFSET(#REF!,-12,0),0)+OFFSET(#REF!,-1,0)-#REF!</f>
        <v>#REF!</v>
      </c>
      <c r="BC6" s="173" t="e">
        <f t="array" aca="1" ref="BC6" ca="1">IF(#REF!&gt;12,OFFSET(#REF!,-12,0),0)+OFFSET(#REF!,-1,0)-#REF!</f>
        <v>#REF!</v>
      </c>
      <c r="BD6" s="174" t="e">
        <f t="array" aca="1" ref="BD6" ca="1">IF(#REF!&gt;12,OFFSET(#REF!,-12,0),0)+OFFSET(#REF!,-1,0)-#REF!</f>
        <v>#REF!</v>
      </c>
      <c r="BE6" s="174" t="e">
        <f t="array" aca="1" ref="BE6" ca="1">IF(#REF!&gt;12,OFFSET(#REF!,-12,0),0)+OFFSET(#REF!,-1,0)-#REF!</f>
        <v>#REF!</v>
      </c>
      <c r="BF6" s="343" t="e">
        <f t="array" aca="1" ref="BF6" ca="1">IF(#REF!&gt;12,OFFSET(#REF!,-12,0),0)+OFFSET(#REF!,-1,0)-#REF!</f>
        <v>#REF!</v>
      </c>
      <c r="BG6" s="343" t="e">
        <f t="array" aca="1" ref="BG6" ca="1">IF(#REF!&gt;12,OFFSET(#REF!,-12,0),0)+OFFSET(#REF!,-1,0)-#REF!</f>
        <v>#REF!</v>
      </c>
      <c r="BH6" s="347" t="e">
        <f t="array" aca="1" ref="BH6" ca="1">IF(#REF!&gt;12,OFFSET(#REF!,-12,0),0)+OFFSET(#REF!,-1,0)-#REF!</f>
        <v>#REF!</v>
      </c>
      <c r="BI6" s="347" t="e">
        <f t="array" aca="1" ref="BI6" ca="1">IF(#REF!&gt;12,OFFSET(#REF!,-12,0),0)+OFFSET(#REF!,-1,0)-#REF!</f>
        <v>#REF!</v>
      </c>
      <c r="BJ6" s="347" t="e">
        <f t="array" aca="1" ref="BJ6" ca="1">IF(#REF!&gt;12,OFFSET(#REF!,-12,0),0)+OFFSET(#REF!,-1,0)-#REF!</f>
        <v>#REF!</v>
      </c>
      <c r="BK6" s="347" t="e">
        <f t="array" aca="1" ref="BK6" ca="1">IF(#REF!&gt;12,OFFSET(#REF!,-12,0),0)+OFFSET(#REF!,-1,0)-#REF!</f>
        <v>#REF!</v>
      </c>
      <c r="BL6" s="351" t="e">
        <f t="array" aca="1" ref="BL6" ca="1">IF(#REF!&gt;12,OFFSET(#REF!,-12,0),0)+OFFSET(#REF!,-1,0)-#REF!</f>
        <v>#REF!</v>
      </c>
      <c r="BM6" s="351" t="e">
        <f t="array" aca="1" ref="BM6" ca="1">IF(#REF!&gt;12,OFFSET(#REF!,-12,0),0)+OFFSET(#REF!,-1,0)-#REF!</f>
        <v>#REF!</v>
      </c>
      <c r="BN6" s="351" t="e">
        <f t="array" aca="1" ref="BN6" ca="1">IF(#REF!&gt;12,OFFSET(#REF!,-12,0),0)+OFFSET(#REF!,-1,0)-#REF!</f>
        <v>#REF!</v>
      </c>
      <c r="BO6" s="175" t="e">
        <f t="array" aca="1" ref="BO6" ca="1">IF(#REF!&gt;12,OFFSET(#REF!,-12,0),0)+OFFSET(#REF!,-1,0)-#REF!</f>
        <v>#REF!</v>
      </c>
      <c r="BP6" s="175" t="e">
        <f t="array" aca="1" ref="BP6" ca="1">IF(#REF!&gt;12,OFFSET(#REF!,-12,0),0)+OFFSET(#REF!,-1,0)-#REF!</f>
        <v>#REF!</v>
      </c>
      <c r="BQ6" s="176" t="e">
        <f t="array" aca="1" ref="BQ6" ca="1">IF(#REF!&gt;12,OFFSET(#REF!,-12,0),0)+OFFSET(#REF!,-1,0)-#REF!</f>
        <v>#REF!</v>
      </c>
      <c r="BR6" s="134"/>
      <c r="BS6" s="133"/>
      <c r="BT6" s="39" t="e">
        <f>#REF!</f>
        <v>#REF!</v>
      </c>
      <c r="BU6" s="147" t="e">
        <f>#REF!</f>
        <v>#REF!</v>
      </c>
      <c r="BV6" s="134"/>
      <c r="BW6" s="164"/>
      <c r="BX6" s="164"/>
      <c r="BY6" s="164"/>
      <c r="BZ6" s="164"/>
      <c r="CA6" s="164"/>
      <c r="CB6" s="164"/>
      <c r="CC6" s="164"/>
      <c r="CD6" s="164"/>
      <c r="CE6" s="164"/>
      <c r="CF6" s="164"/>
      <c r="CG6" s="164"/>
      <c r="CH6" s="164"/>
      <c r="CI6" s="164"/>
      <c r="CJ6" s="164"/>
      <c r="CK6" s="164"/>
      <c r="CL6" s="164"/>
      <c r="CM6" s="164"/>
      <c r="CN6" s="164"/>
      <c r="CO6" s="164"/>
      <c r="CP6" s="134"/>
      <c r="CQ6" s="165" t="e">
        <f ca="1">-SUM(#REF!)+SUM(#REF!)+Rezone!L6+IF("Ch_"&amp; home_land=#REF!,#REF!)+IF(#REF!&gt;12,OFFSET(#REF!,-12,0),0)</f>
        <v>#REF!</v>
      </c>
      <c r="CR6" s="166" t="e">
        <f ca="1">-SUM(#REF!)+SUM(#REF!) +Rezone!M6 + IF("Ch_"&amp; home_land=#REF!,#REF!)+IF(#REF!&gt;12,OFFSET(#REF!,-12,0),0)</f>
        <v>#REF!</v>
      </c>
      <c r="CS6" s="341" t="e">
        <f ca="1">-SUM(#REF!)+SUM(#REF!) +Rezone!N6 + IF("Ch_"&amp; home_land=#REF!,#REF!)+IF(#REF!&gt;12,OFFSET(#REF!,-12,0),0)</f>
        <v>#REF!</v>
      </c>
      <c r="CT6" s="167" t="e">
        <f ca="1">-SUM(#REF!)+SUM(#REF!) +Rezone!O6 + IF("Ch_" &amp; home_land=#REF!,#REF!)+IF(#REF!&gt;12,OFFSET(#REF!,-12,0),0)</f>
        <v>#REF!</v>
      </c>
      <c r="CU6" s="168" t="e">
        <f ca="1">-SUM(#REF!)+SUM(#REF!) +Rezone!P6 + IF("Ch_" &amp; home_land=#REF!,#REF!)+IF(#REF!&gt;12,OFFSET(#REF!,-12,0),0)</f>
        <v>#REF!</v>
      </c>
      <c r="CV6" s="169" t="e">
        <f ca="1">- SUM(#REF!)+SUM(#REF!) +Rezone!Q6 + IF("Ch_" &amp; home_land=#REF!,#REF!)+IF(#REF!&gt;12,OFFSET(#REF!,-12,0),0)</f>
        <v>#REF!</v>
      </c>
      <c r="CW6" s="170" t="e">
        <f ca="1">-#REF!+#REF! +Rezone!R6 + IF("Ch_" &amp; home_land=#REF!,#REF!)+IF(#REF!&gt;12,OFFSET(#REF!,-12,0),0)</f>
        <v>#REF!</v>
      </c>
      <c r="CX6" s="3" t="e">
        <f>IF(Explore!S6=1,20) -#REF! +#REF!</f>
        <v>#REF!</v>
      </c>
      <c r="CY6" s="134"/>
      <c r="CZ6" s="39" t="e">
        <f ca="1">G6+SUM(P$4:S6)+SUM(AZ6:BC6)</f>
        <v>#REF!</v>
      </c>
      <c r="DA6" s="39" t="e">
        <f ca="1">H6+SUM(T$4:U6)+SUM(BD6:BE6)</f>
        <v>#REF!</v>
      </c>
      <c r="DB6" s="3" t="e">
        <f ca="1">I6+SUM(V$4:W6)+SUM(BF6:BG6)</f>
        <v>#REF!</v>
      </c>
      <c r="DC6" s="39" t="e">
        <f ca="1">J6+SUM(X$4:Y6)+SUM(BH6:BI6)</f>
        <v>#REF!</v>
      </c>
      <c r="DD6" s="39" t="e">
        <f ca="1">K6+SUM(AB$4:AD6)+SUM(BL6:BN6)</f>
        <v>#REF!</v>
      </c>
      <c r="DE6" s="3" t="e">
        <f ca="1">L6+SUM(AE$4:AE6)+BO6</f>
        <v>#REF!</v>
      </c>
      <c r="DF6" s="39" t="e">
        <f ca="1">M6+SUM(AG$4:AG6)+BQ6</f>
        <v>#REF!</v>
      </c>
      <c r="DG6" s="39" t="e">
        <f t="array" ref="DG6">INDEX(#REF!,ROW()-ROW(#REF!),MATCH("Total "&amp;home_land,#REF!,0))+#REF!</f>
        <v>#REF!</v>
      </c>
      <c r="DH6" s="3" t="e">
        <f ca="1">SUM(O$4:O6)+AY6</f>
        <v>#REF!</v>
      </c>
      <c r="DI6" s="3" t="e">
        <f t="shared" ref="DI6:DI69" ca="1" si="0">MAX(BA6-BA5,0)</f>
        <v>#REF!</v>
      </c>
      <c r="DJ6" s="3" t="e">
        <f t="shared" ref="DJ6:DJ69" ca="1" si="1">MAX(BQ6-BQ5,0)</f>
        <v>#REF!</v>
      </c>
    </row>
    <row r="7" spans="1:114" x14ac:dyDescent="0.25">
      <c r="A7" s="160" t="e">
        <f>#REF!</f>
        <v>#REF!</v>
      </c>
      <c r="B7" s="161" t="e">
        <f>SUM(#REF!)</f>
        <v>#REF!</v>
      </c>
      <c r="C7" s="162" t="e">
        <f>SUM(#REF!)</f>
        <v>#REF!</v>
      </c>
      <c r="D7" s="162">
        <f>SUM(O$4:AG7)</f>
        <v>0</v>
      </c>
      <c r="E7" s="163"/>
      <c r="F7" s="61" t="e">
        <f>#REF!+#REF!+#REF!</f>
        <v>#REF!</v>
      </c>
      <c r="G7" s="171" t="e">
        <f ca="1">OFFSET(#REF!,-1,0)+#REF!</f>
        <v>#REF!</v>
      </c>
      <c r="H7" s="166" t="e">
        <f ca="1">OFFSET(#REF!,-1,0)+#REF!</f>
        <v>#REF!</v>
      </c>
      <c r="I7" s="341" t="e">
        <f ca="1">OFFSET(#REF!,-1,0)+#REF!</f>
        <v>#REF!</v>
      </c>
      <c r="J7" s="345" t="e">
        <f ca="1">OFFSET(#REF!,-1,0)+#REF!</f>
        <v>#REF!</v>
      </c>
      <c r="K7" s="349" t="e">
        <f ca="1">OFFSET(#REF!,-1,0)+#REF!</f>
        <v>#REF!</v>
      </c>
      <c r="L7" s="169" t="e">
        <f ca="1">OFFSET(#REF!,-1,0)+#REF!</f>
        <v>#REF!</v>
      </c>
      <c r="M7" s="170" t="e">
        <f ca="1">OFFSET(#REF!,-1,0)+#REF!</f>
        <v>#REF!</v>
      </c>
      <c r="N7" s="339" t="e">
        <f>#REF!</f>
        <v>#REF!</v>
      </c>
      <c r="O7" s="164"/>
      <c r="P7" s="164"/>
      <c r="Q7" s="164"/>
      <c r="R7" s="164"/>
      <c r="S7" s="164"/>
      <c r="T7" s="164"/>
      <c r="U7" s="164"/>
      <c r="V7" s="164"/>
      <c r="W7" s="164"/>
      <c r="X7" s="164"/>
      <c r="Y7" s="164"/>
      <c r="Z7" s="164"/>
      <c r="AA7" s="164"/>
      <c r="AB7" s="164"/>
      <c r="AC7" s="164"/>
      <c r="AD7" s="164"/>
      <c r="AE7" s="164"/>
      <c r="AF7" s="164"/>
      <c r="AG7" s="164"/>
      <c r="AH7" s="53" t="e">
        <f>#REF!</f>
        <v>#REF!</v>
      </c>
      <c r="AI7" s="132" t="e">
        <f>MIN(25%,(#REF!+#REF!)/(#REF!-#REF!*20))</f>
        <v>#REF!</v>
      </c>
      <c r="AJ7" s="132" t="e">
        <f>MIN(25%,(#REF!+#REF!)/#REF!)</f>
        <v>#REF!</v>
      </c>
      <c r="AK7" s="39" t="e">
        <f>#REF!</f>
        <v>#REF!</v>
      </c>
      <c r="AL7" s="39" t="e">
        <f>#REF!</f>
        <v>#REF!</v>
      </c>
      <c r="AM7" s="39" t="e">
        <f>ROUNDDOWN( MAX((1 - MIN(facs_constr_factor*#REF!,facs_constr_max) + tech_2_3*#REF! + tech_2_6_2*#REF! + tech_2_10*#REF! + tech_4_6*#REF! + tech_6_3*#REF! + tech_9_2*#REF! + race_construction_cost), 1-global_constr_cap) *#REF!,0)</f>
        <v>#REF!</v>
      </c>
      <c r="AN7" s="39" t="e">
        <f>ROUNDDOWN( MAX(1 - MIN(facs_constr_factor*#REF!,facs_constr_max) + tech_1_11*#REF! + tech_6_3_2*#REF! + tech_5_2_3*#REF!, 1-global_constr_cap) *#REF!,0)</f>
        <v>#REF!</v>
      </c>
      <c r="AO7" s="39" t="e">
        <f>ROUNDDOWN( MAX((1 - MIN(facs_constr_factor*#REF!,facs_constr_max) + tech_2_3*#REF! + tech_2_6_2*#REF! + tech_2_10*#REF! + tech_4_6*#REF! + tech_6_3*#REF! + tech_9_2*#REF! + race_construction_cost), 1-global_constr_cap) * (ROUND((#REF!-250)*1.25 + 850 + 0,0)),0)</f>
        <v>#REF!</v>
      </c>
      <c r="AP7" s="39" t="e">
        <f>ROUNDDOWN( MAX(1 - MIN(facs_constr_factor*#REF!,facs_constr_max) + tech_1_11*#REF! + tech_6_3_2*#REF! + tech_5_2_3*#REF!, 1-global_constr_cap) * ROUND((#REF!-250)*0.285 + 87.5 + 0/4.25,0),0)</f>
        <v>#REF!</v>
      </c>
      <c r="AQ7" s="3" t="e">
        <f>#REF!*#REF! +#REF! *#REF!</f>
        <v>#REF!</v>
      </c>
      <c r="AR7" s="3" t="e">
        <f>#REF!*#REF!+#REF!*#REF!</f>
        <v>#REF!</v>
      </c>
      <c r="AS7" s="39" t="e">
        <f ca="1">MIN(SUM(OFFSET(#REF!,-1,0))+SUM(#REF!)+IF(#REF!&gt;12,SUM(OFFSET(#REF!,-12,0)),0),SUM(#REF!))</f>
        <v>#REF!</v>
      </c>
      <c r="AT7" s="3" t="e">
        <f ca="1">IF(#REF!&lt;&gt;0,MAX(0, MIN(20, 20 + SUM(#REF!) - SUM(#REF!) - SUM(OFFSET(#REF!,-1,0)) - IF(#REF!&gt;12,SUM(OFFSET(#REF!,-12,0)),0) - 20*#REF!)),0)</f>
        <v>#REF!</v>
      </c>
      <c r="AU7" s="134"/>
      <c r="AV7" s="39" t="e">
        <f>ROUND((#REF!-250 - IF(#REF!&lt;&gt;0,20,0))*1.25 + 850 + 0,0)</f>
        <v>#REF!</v>
      </c>
      <c r="AW7" s="39" t="e">
        <f>ROUND((#REF!-250 - IF(#REF!&lt;&gt;0,20,0))*0.285 + 87.5 + 0/4.25,0)</f>
        <v>#REF!</v>
      </c>
      <c r="AX7" s="133"/>
      <c r="AY7" s="172" t="e">
        <f t="array" aca="1" ref="AY7" ca="1">IF(#REF!&gt;12,OFFSET(#REF!,-12,0),0)+OFFSET(#REF!,-1,0)-#REF!</f>
        <v>#REF!</v>
      </c>
      <c r="AZ7" s="173" t="e">
        <f t="array" aca="1" ref="AZ7" ca="1">IF(#REF!&gt;12,OFFSET(#REF!,-12,0),0)+OFFSET(#REF!,-1,0)-#REF!</f>
        <v>#REF!</v>
      </c>
      <c r="BA7" s="173" t="e">
        <f t="array" aca="1" ref="BA7" ca="1">IF(#REF!&gt;12,OFFSET(#REF!,-12,0),0)+OFFSET(#REF!,-1,0)-#REF!</f>
        <v>#REF!</v>
      </c>
      <c r="BB7" s="173" t="e">
        <f t="array" aca="1" ref="BB7" ca="1">IF(#REF!&gt;12,OFFSET(#REF!,-12,0),0)+OFFSET(#REF!,-1,0)-#REF!</f>
        <v>#REF!</v>
      </c>
      <c r="BC7" s="173" t="e">
        <f t="array" aca="1" ref="BC7" ca="1">IF(#REF!&gt;12,OFFSET(#REF!,-12,0),0)+OFFSET(#REF!,-1,0)-#REF!</f>
        <v>#REF!</v>
      </c>
      <c r="BD7" s="174" t="e">
        <f t="array" aca="1" ref="BD7" ca="1">IF(#REF!&gt;12,OFFSET(#REF!,-12,0),0)+OFFSET(#REF!,-1,0)-#REF!</f>
        <v>#REF!</v>
      </c>
      <c r="BE7" s="174" t="e">
        <f t="array" aca="1" ref="BE7" ca="1">IF(#REF!&gt;12,OFFSET(#REF!,-12,0),0)+OFFSET(#REF!,-1,0)-#REF!</f>
        <v>#REF!</v>
      </c>
      <c r="BF7" s="343" t="e">
        <f t="array" aca="1" ref="BF7" ca="1">IF(#REF!&gt;12,OFFSET(#REF!,-12,0),0)+OFFSET(#REF!,-1,0)-#REF!</f>
        <v>#REF!</v>
      </c>
      <c r="BG7" s="343" t="e">
        <f t="array" aca="1" ref="BG7" ca="1">IF(#REF!&gt;12,OFFSET(#REF!,-12,0),0)+OFFSET(#REF!,-1,0)-#REF!</f>
        <v>#REF!</v>
      </c>
      <c r="BH7" s="347" t="e">
        <f t="array" aca="1" ref="BH7" ca="1">IF(#REF!&gt;12,OFFSET(#REF!,-12,0),0)+OFFSET(#REF!,-1,0)-#REF!</f>
        <v>#REF!</v>
      </c>
      <c r="BI7" s="347" t="e">
        <f t="array" aca="1" ref="BI7" ca="1">IF(#REF!&gt;12,OFFSET(#REF!,-12,0),0)+OFFSET(#REF!,-1,0)-#REF!</f>
        <v>#REF!</v>
      </c>
      <c r="BJ7" s="347" t="e">
        <f t="array" aca="1" ref="BJ7" ca="1">IF(#REF!&gt;12,OFFSET(#REF!,-12,0),0)+OFFSET(#REF!,-1,0)-#REF!</f>
        <v>#REF!</v>
      </c>
      <c r="BK7" s="347" t="e">
        <f t="array" aca="1" ref="BK7" ca="1">IF(#REF!&gt;12,OFFSET(#REF!,-12,0),0)+OFFSET(#REF!,-1,0)-#REF!</f>
        <v>#REF!</v>
      </c>
      <c r="BL7" s="351" t="e">
        <f t="array" aca="1" ref="BL7" ca="1">IF(#REF!&gt;12,OFFSET(#REF!,-12,0),0)+OFFSET(#REF!,-1,0)-#REF!</f>
        <v>#REF!</v>
      </c>
      <c r="BM7" s="351" t="e">
        <f t="array" aca="1" ref="BM7" ca="1">IF(#REF!&gt;12,OFFSET(#REF!,-12,0),0)+OFFSET(#REF!,-1,0)-#REF!</f>
        <v>#REF!</v>
      </c>
      <c r="BN7" s="351" t="e">
        <f t="array" aca="1" ref="BN7" ca="1">IF(#REF!&gt;12,OFFSET(#REF!,-12,0),0)+OFFSET(#REF!,-1,0)-#REF!</f>
        <v>#REF!</v>
      </c>
      <c r="BO7" s="175" t="e">
        <f t="array" aca="1" ref="BO7" ca="1">IF(#REF!&gt;12,OFFSET(#REF!,-12,0),0)+OFFSET(#REF!,-1,0)-#REF!</f>
        <v>#REF!</v>
      </c>
      <c r="BP7" s="175" t="e">
        <f t="array" aca="1" ref="BP7" ca="1">IF(#REF!&gt;12,OFFSET(#REF!,-12,0),0)+OFFSET(#REF!,-1,0)-#REF!</f>
        <v>#REF!</v>
      </c>
      <c r="BQ7" s="176" t="e">
        <f t="array" aca="1" ref="BQ7" ca="1">IF(#REF!&gt;12,OFFSET(#REF!,-12,0),0)+OFFSET(#REF!,-1,0)-#REF!</f>
        <v>#REF!</v>
      </c>
      <c r="BR7" s="134"/>
      <c r="BS7" s="133"/>
      <c r="BT7" s="39" t="e">
        <f>#REF!</f>
        <v>#REF!</v>
      </c>
      <c r="BU7" s="147" t="e">
        <f>#REF!</f>
        <v>#REF!</v>
      </c>
      <c r="BV7" s="134"/>
      <c r="BW7" s="164"/>
      <c r="BX7" s="164"/>
      <c r="BY7" s="164"/>
      <c r="BZ7" s="164"/>
      <c r="CA7" s="164"/>
      <c r="CB7" s="164"/>
      <c r="CC7" s="164"/>
      <c r="CD7" s="164"/>
      <c r="CE7" s="164"/>
      <c r="CF7" s="164"/>
      <c r="CG7" s="164"/>
      <c r="CH7" s="164"/>
      <c r="CI7" s="164"/>
      <c r="CJ7" s="164"/>
      <c r="CK7" s="164"/>
      <c r="CL7" s="164"/>
      <c r="CM7" s="164"/>
      <c r="CN7" s="164"/>
      <c r="CO7" s="164"/>
      <c r="CP7" s="134"/>
      <c r="CQ7" s="165" t="e">
        <f ca="1">-SUM(#REF!)+SUM(#REF!)+Rezone!L7+IF("Ch_"&amp; home_land=#REF!,#REF!)+IF(#REF!&gt;12,OFFSET(#REF!,-12,0),0)</f>
        <v>#REF!</v>
      </c>
      <c r="CR7" s="166" t="e">
        <f ca="1">-SUM(#REF!)+SUM(#REF!) +Rezone!M7 + IF("Ch_"&amp; home_land=#REF!,#REF!)+IF(#REF!&gt;12,OFFSET(#REF!,-12,0),0)</f>
        <v>#REF!</v>
      </c>
      <c r="CS7" s="341" t="e">
        <f ca="1">-SUM(#REF!)+SUM(#REF!) +Rezone!N7 + IF("Ch_"&amp; home_land=#REF!,#REF!)+IF(#REF!&gt;12,OFFSET(#REF!,-12,0),0)</f>
        <v>#REF!</v>
      </c>
      <c r="CT7" s="167" t="e">
        <f ca="1">-SUM(#REF!)+SUM(#REF!) +Rezone!O7 + IF("Ch_" &amp; home_land=#REF!,#REF!)+IF(#REF!&gt;12,OFFSET(#REF!,-12,0),0)</f>
        <v>#REF!</v>
      </c>
      <c r="CU7" s="168" t="e">
        <f ca="1">-SUM(#REF!)+SUM(#REF!) +Rezone!P7 + IF("Ch_" &amp; home_land=#REF!,#REF!)+IF(#REF!&gt;12,OFFSET(#REF!,-12,0),0)</f>
        <v>#REF!</v>
      </c>
      <c r="CV7" s="169" t="e">
        <f ca="1">- SUM(#REF!)+SUM(#REF!) +Rezone!Q7 + IF("Ch_" &amp; home_land=#REF!,#REF!)+IF(#REF!&gt;12,OFFSET(#REF!,-12,0),0)</f>
        <v>#REF!</v>
      </c>
      <c r="CW7" s="170" t="e">
        <f ca="1">-#REF!+#REF! +Rezone!R7 + IF("Ch_" &amp; home_land=#REF!,#REF!)+IF(#REF!&gt;12,OFFSET(#REF!,-12,0),0)</f>
        <v>#REF!</v>
      </c>
      <c r="CX7" s="3" t="e">
        <f>IF(Explore!S7=1,20) -#REF! +#REF!</f>
        <v>#REF!</v>
      </c>
      <c r="CY7" s="134"/>
      <c r="CZ7" s="39" t="e">
        <f ca="1">G7+SUM(P$4:S7)+SUM(AZ7:BC7)</f>
        <v>#REF!</v>
      </c>
      <c r="DA7" s="39" t="e">
        <f ca="1">H7+SUM(T$4:U7)+SUM(BD7:BE7)</f>
        <v>#REF!</v>
      </c>
      <c r="DB7" s="3" t="e">
        <f ca="1">I7+SUM(V$4:W7)+SUM(BF7:BG7)</f>
        <v>#REF!</v>
      </c>
      <c r="DC7" s="39" t="e">
        <f ca="1">J7+SUM(X$4:Y7)+SUM(BH7:BI7)</f>
        <v>#REF!</v>
      </c>
      <c r="DD7" s="39" t="e">
        <f ca="1">K7+SUM(AB$4:AD7)+SUM(BL7:BN7)</f>
        <v>#REF!</v>
      </c>
      <c r="DE7" s="3" t="e">
        <f ca="1">L7+SUM(AE$4:AE7)+BO7</f>
        <v>#REF!</v>
      </c>
      <c r="DF7" s="39" t="e">
        <f ca="1">M7+SUM(AG$4:AG7)+BQ7</f>
        <v>#REF!</v>
      </c>
      <c r="DG7" s="39" t="e">
        <f t="array" ref="DG7">INDEX(#REF!,ROW()-ROW(#REF!),MATCH("Total "&amp;home_land,#REF!,0))+#REF!</f>
        <v>#REF!</v>
      </c>
      <c r="DH7" s="3" t="e">
        <f ca="1">SUM(O$4:O7)+AY7</f>
        <v>#REF!</v>
      </c>
      <c r="DI7" s="3" t="e">
        <f t="shared" ca="1" si="0"/>
        <v>#REF!</v>
      </c>
      <c r="DJ7" s="3" t="e">
        <f t="shared" ca="1" si="1"/>
        <v>#REF!</v>
      </c>
    </row>
    <row r="8" spans="1:114" x14ac:dyDescent="0.25">
      <c r="A8" s="338" t="e">
        <f>#REF!</f>
        <v>#REF!</v>
      </c>
      <c r="B8" s="161" t="e">
        <f>SUM(#REF!)</f>
        <v>#REF!</v>
      </c>
      <c r="C8" s="162" t="e">
        <f>SUM(#REF!)</f>
        <v>#REF!</v>
      </c>
      <c r="D8" s="162">
        <f>SUM(O$4:AG8)</f>
        <v>0</v>
      </c>
      <c r="E8" s="163"/>
      <c r="F8" s="61" t="e">
        <f>#REF!+#REF!+#REF!</f>
        <v>#REF!</v>
      </c>
      <c r="G8" s="171" t="e">
        <f ca="1">OFFSET(#REF!,-1,0)+#REF!</f>
        <v>#REF!</v>
      </c>
      <c r="H8" s="166" t="e">
        <f ca="1">OFFSET(#REF!,-1,0)+#REF!</f>
        <v>#REF!</v>
      </c>
      <c r="I8" s="341" t="e">
        <f ca="1">OFFSET(#REF!,-1,0)+#REF!</f>
        <v>#REF!</v>
      </c>
      <c r="J8" s="345" t="e">
        <f ca="1">OFFSET(#REF!,-1,0)+#REF!</f>
        <v>#REF!</v>
      </c>
      <c r="K8" s="349" t="e">
        <f ca="1">OFFSET(#REF!,-1,0)+#REF!</f>
        <v>#REF!</v>
      </c>
      <c r="L8" s="169" t="e">
        <f ca="1">OFFSET(#REF!,-1,0)+#REF!</f>
        <v>#REF!</v>
      </c>
      <c r="M8" s="170" t="e">
        <f ca="1">OFFSET(#REF!,-1,0)+#REF!</f>
        <v>#REF!</v>
      </c>
      <c r="N8" s="339" t="e">
        <f>#REF!</f>
        <v>#REF!</v>
      </c>
      <c r="O8" s="164"/>
      <c r="P8" s="164"/>
      <c r="Q8" s="164"/>
      <c r="R8" s="164"/>
      <c r="S8" s="164"/>
      <c r="T8" s="164"/>
      <c r="U8" s="164"/>
      <c r="V8" s="164"/>
      <c r="W8" s="164"/>
      <c r="X8" s="164"/>
      <c r="Y8" s="164"/>
      <c r="Z8" s="164"/>
      <c r="AA8" s="164"/>
      <c r="AB8" s="164"/>
      <c r="AC8" s="164"/>
      <c r="AD8" s="164"/>
      <c r="AE8" s="164"/>
      <c r="AF8" s="164"/>
      <c r="AG8" s="164"/>
      <c r="AH8" s="53" t="e">
        <f>#REF!</f>
        <v>#REF!</v>
      </c>
      <c r="AI8" s="132" t="e">
        <f>MIN(25%,(#REF!+#REF!)/(#REF!-#REF!*20))</f>
        <v>#REF!</v>
      </c>
      <c r="AJ8" s="132" t="e">
        <f>MIN(25%,(#REF!+#REF!)/#REF!)</f>
        <v>#REF!</v>
      </c>
      <c r="AK8" s="39" t="e">
        <f>#REF!</f>
        <v>#REF!</v>
      </c>
      <c r="AL8" s="39" t="e">
        <f>#REF!</f>
        <v>#REF!</v>
      </c>
      <c r="AM8" s="39" t="e">
        <f>ROUNDDOWN( MAX((1 - MIN(facs_constr_factor*#REF!,facs_constr_max) + tech_2_3*#REF! + tech_2_6_2*#REF! + tech_2_10*#REF! + tech_4_6*#REF! + tech_6_3*#REF! + tech_9_2*#REF! + race_construction_cost), 1-global_constr_cap) *#REF!,0)</f>
        <v>#REF!</v>
      </c>
      <c r="AN8" s="39" t="e">
        <f>ROUNDDOWN( MAX(1 - MIN(facs_constr_factor*#REF!,facs_constr_max) + tech_1_11*#REF! + tech_6_3_2*#REF! + tech_5_2_3*#REF!, 1-global_constr_cap) *#REF!,0)</f>
        <v>#REF!</v>
      </c>
      <c r="AO8" s="39" t="e">
        <f>ROUNDDOWN( MAX((1 - MIN(facs_constr_factor*#REF!,facs_constr_max) + tech_2_3*#REF! + tech_2_6_2*#REF! + tech_2_10*#REF! + tech_4_6*#REF! + tech_6_3*#REF! + tech_9_2*#REF! + race_construction_cost), 1-global_constr_cap) * (ROUND((#REF!-250)*1.25 + 850 + 0,0)),0)</f>
        <v>#REF!</v>
      </c>
      <c r="AP8" s="39" t="e">
        <f>ROUNDDOWN( MAX(1 - MIN(facs_constr_factor*#REF!,facs_constr_max) + tech_1_11*#REF! + tech_6_3_2*#REF! + tech_5_2_3*#REF!, 1-global_constr_cap) * ROUND((#REF!-250)*0.285 + 87.5 + 0/4.25,0),0)</f>
        <v>#REF!</v>
      </c>
      <c r="AQ8" s="3" t="e">
        <f>#REF!*#REF! +#REF! *#REF!</f>
        <v>#REF!</v>
      </c>
      <c r="AR8" s="3" t="e">
        <f>#REF!*#REF!+#REF!*#REF!</f>
        <v>#REF!</v>
      </c>
      <c r="AS8" s="39" t="e">
        <f ca="1">MIN(SUM(OFFSET(#REF!,-1,0))+SUM(#REF!)+IF(#REF!&gt;12,SUM(OFFSET(#REF!,-12,0)),0),SUM(#REF!))</f>
        <v>#REF!</v>
      </c>
      <c r="AT8" s="3" t="e">
        <f ca="1">IF(#REF!&lt;&gt;0,MAX(0, MIN(20, 20 + SUM(#REF!) - SUM(#REF!) - SUM(OFFSET(#REF!,-1,0)) - IF(#REF!&gt;12,SUM(OFFSET(#REF!,-12,0)),0) - 20*#REF!)),0)</f>
        <v>#REF!</v>
      </c>
      <c r="AU8" s="134"/>
      <c r="AV8" s="39" t="e">
        <f>ROUND((#REF!-250 - IF(#REF!&lt;&gt;0,20,0))*1.25 + 850 + 0,0)</f>
        <v>#REF!</v>
      </c>
      <c r="AW8" s="39" t="e">
        <f>ROUND((#REF!-250 - IF(#REF!&lt;&gt;0,20,0))*0.285 + 87.5 + 0/4.25,0)</f>
        <v>#REF!</v>
      </c>
      <c r="AX8" s="133"/>
      <c r="AY8" s="172" t="e">
        <f t="array" aca="1" ref="AY8" ca="1">IF(#REF!&gt;12,OFFSET(#REF!,-12,0),0)+OFFSET(#REF!,-1,0)-#REF!</f>
        <v>#REF!</v>
      </c>
      <c r="AZ8" s="173" t="e">
        <f t="array" aca="1" ref="AZ8" ca="1">IF(#REF!&gt;12,OFFSET(#REF!,-12,0),0)+OFFSET(#REF!,-1,0)-#REF!</f>
        <v>#REF!</v>
      </c>
      <c r="BA8" s="173" t="e">
        <f t="array" aca="1" ref="BA8" ca="1">IF(#REF!&gt;12,OFFSET(#REF!,-12,0),0)+OFFSET(#REF!,-1,0)-#REF!</f>
        <v>#REF!</v>
      </c>
      <c r="BB8" s="173" t="e">
        <f t="array" aca="1" ref="BB8" ca="1">IF(#REF!&gt;12,OFFSET(#REF!,-12,0),0)+OFFSET(#REF!,-1,0)-#REF!</f>
        <v>#REF!</v>
      </c>
      <c r="BC8" s="173" t="e">
        <f t="array" aca="1" ref="BC8" ca="1">IF(#REF!&gt;12,OFFSET(#REF!,-12,0),0)+OFFSET(#REF!,-1,0)-#REF!</f>
        <v>#REF!</v>
      </c>
      <c r="BD8" s="174" t="e">
        <f t="array" aca="1" ref="BD8" ca="1">IF(#REF!&gt;12,OFFSET(#REF!,-12,0),0)+OFFSET(#REF!,-1,0)-#REF!</f>
        <v>#REF!</v>
      </c>
      <c r="BE8" s="174" t="e">
        <f t="array" aca="1" ref="BE8" ca="1">IF(#REF!&gt;12,OFFSET(#REF!,-12,0),0)+OFFSET(#REF!,-1,0)-#REF!</f>
        <v>#REF!</v>
      </c>
      <c r="BF8" s="343" t="e">
        <f t="array" aca="1" ref="BF8" ca="1">IF(#REF!&gt;12,OFFSET(#REF!,-12,0),0)+OFFSET(#REF!,-1,0)-#REF!</f>
        <v>#REF!</v>
      </c>
      <c r="BG8" s="343" t="e">
        <f t="array" aca="1" ref="BG8" ca="1">IF(#REF!&gt;12,OFFSET(#REF!,-12,0),0)+OFFSET(#REF!,-1,0)-#REF!</f>
        <v>#REF!</v>
      </c>
      <c r="BH8" s="347" t="e">
        <f t="array" aca="1" ref="BH8" ca="1">IF(#REF!&gt;12,OFFSET(#REF!,-12,0),0)+OFFSET(#REF!,-1,0)-#REF!</f>
        <v>#REF!</v>
      </c>
      <c r="BI8" s="347" t="e">
        <f t="array" aca="1" ref="BI8" ca="1">IF(#REF!&gt;12,OFFSET(#REF!,-12,0),0)+OFFSET(#REF!,-1,0)-#REF!</f>
        <v>#REF!</v>
      </c>
      <c r="BJ8" s="347" t="e">
        <f t="array" aca="1" ref="BJ8" ca="1">IF(#REF!&gt;12,OFFSET(#REF!,-12,0),0)+OFFSET(#REF!,-1,0)-#REF!</f>
        <v>#REF!</v>
      </c>
      <c r="BK8" s="347" t="e">
        <f t="array" aca="1" ref="BK8" ca="1">IF(#REF!&gt;12,OFFSET(#REF!,-12,0),0)+OFFSET(#REF!,-1,0)-#REF!</f>
        <v>#REF!</v>
      </c>
      <c r="BL8" s="351" t="e">
        <f t="array" aca="1" ref="BL8" ca="1">IF(#REF!&gt;12,OFFSET(#REF!,-12,0),0)+OFFSET(#REF!,-1,0)-#REF!</f>
        <v>#REF!</v>
      </c>
      <c r="BM8" s="351" t="e">
        <f t="array" aca="1" ref="BM8" ca="1">IF(#REF!&gt;12,OFFSET(#REF!,-12,0),0)+OFFSET(#REF!,-1,0)-#REF!</f>
        <v>#REF!</v>
      </c>
      <c r="BN8" s="351" t="e">
        <f t="array" aca="1" ref="BN8" ca="1">IF(#REF!&gt;12,OFFSET(#REF!,-12,0),0)+OFFSET(#REF!,-1,0)-#REF!</f>
        <v>#REF!</v>
      </c>
      <c r="BO8" s="175" t="e">
        <f t="array" aca="1" ref="BO8" ca="1">IF(#REF!&gt;12,OFFSET(#REF!,-12,0),0)+OFFSET(#REF!,-1,0)-#REF!</f>
        <v>#REF!</v>
      </c>
      <c r="BP8" s="175" t="e">
        <f t="array" aca="1" ref="BP8" ca="1">IF(#REF!&gt;12,OFFSET(#REF!,-12,0),0)+OFFSET(#REF!,-1,0)-#REF!</f>
        <v>#REF!</v>
      </c>
      <c r="BQ8" s="176" t="e">
        <f t="array" aca="1" ref="BQ8" ca="1">IF(#REF!&gt;12,OFFSET(#REF!,-12,0),0)+OFFSET(#REF!,-1,0)-#REF!</f>
        <v>#REF!</v>
      </c>
      <c r="BR8" s="134"/>
      <c r="BS8" s="133"/>
      <c r="BT8" s="39" t="e">
        <f>#REF!</f>
        <v>#REF!</v>
      </c>
      <c r="BU8" s="147" t="e">
        <f>#REF!</f>
        <v>#REF!</v>
      </c>
      <c r="BV8" s="134"/>
      <c r="BW8" s="164"/>
      <c r="BX8" s="164"/>
      <c r="BY8" s="164"/>
      <c r="BZ8" s="164"/>
      <c r="CA8" s="164"/>
      <c r="CB8" s="164"/>
      <c r="CC8" s="164"/>
      <c r="CD8" s="164"/>
      <c r="CE8" s="164"/>
      <c r="CF8" s="164"/>
      <c r="CG8" s="164"/>
      <c r="CH8" s="164"/>
      <c r="CI8" s="164"/>
      <c r="CJ8" s="164"/>
      <c r="CK8" s="164"/>
      <c r="CL8" s="164"/>
      <c r="CM8" s="164"/>
      <c r="CN8" s="164"/>
      <c r="CO8" s="164"/>
      <c r="CP8" s="134"/>
      <c r="CQ8" s="165" t="e">
        <f ca="1">-SUM(#REF!)+SUM(#REF!)+Rezone!L8+IF("Ch_"&amp; home_land=#REF!,#REF!)+IF(#REF!&gt;12,OFFSET(#REF!,-12,0),0)</f>
        <v>#REF!</v>
      </c>
      <c r="CR8" s="166" t="e">
        <f ca="1">-SUM(#REF!)+SUM(#REF!) +Rezone!M8 + IF("Ch_"&amp; home_land=#REF!,#REF!)+IF(#REF!&gt;12,OFFSET(#REF!,-12,0),0)</f>
        <v>#REF!</v>
      </c>
      <c r="CS8" s="341" t="e">
        <f ca="1">-SUM(#REF!)+SUM(#REF!) +Rezone!N8 + IF("Ch_"&amp; home_land=#REF!,#REF!)+IF(#REF!&gt;12,OFFSET(#REF!,-12,0),0)</f>
        <v>#REF!</v>
      </c>
      <c r="CT8" s="167" t="e">
        <f ca="1">-SUM(#REF!)+SUM(#REF!) +Rezone!O8 + IF("Ch_" &amp; home_land=#REF!,#REF!)+IF(#REF!&gt;12,OFFSET(#REF!,-12,0),0)</f>
        <v>#REF!</v>
      </c>
      <c r="CU8" s="168" t="e">
        <f ca="1">-SUM(#REF!)+SUM(#REF!) +Rezone!P8 + IF("Ch_" &amp; home_land=#REF!,#REF!)+IF(#REF!&gt;12,OFFSET(#REF!,-12,0),0)</f>
        <v>#REF!</v>
      </c>
      <c r="CV8" s="169" t="e">
        <f ca="1">- SUM(#REF!)+SUM(#REF!) +Rezone!Q8 + IF("Ch_" &amp; home_land=#REF!,#REF!)+IF(#REF!&gt;12,OFFSET(#REF!,-12,0),0)</f>
        <v>#REF!</v>
      </c>
      <c r="CW8" s="170" t="e">
        <f ca="1">-#REF!+#REF! +Rezone!R8 + IF("Ch_" &amp; home_land=#REF!,#REF!)+IF(#REF!&gt;12,OFFSET(#REF!,-12,0),0)</f>
        <v>#REF!</v>
      </c>
      <c r="CX8" s="3" t="e">
        <f>IF(Explore!S8=1,20) -#REF! +#REF!</f>
        <v>#REF!</v>
      </c>
      <c r="CY8" s="134"/>
      <c r="CZ8" s="39" t="e">
        <f ca="1">G8+SUM(P$4:S8)+SUM(AZ8:BC8)</f>
        <v>#REF!</v>
      </c>
      <c r="DA8" s="39" t="e">
        <f ca="1">H8+SUM(T$4:U8)+SUM(BD8:BE8)</f>
        <v>#REF!</v>
      </c>
      <c r="DB8" s="3" t="e">
        <f ca="1">I8+SUM(V$4:W8)+SUM(BF8:BG8)</f>
        <v>#REF!</v>
      </c>
      <c r="DC8" s="39" t="e">
        <f ca="1">J8+SUM(X$4:Y8)+SUM(BH8:BI8)</f>
        <v>#REF!</v>
      </c>
      <c r="DD8" s="39" t="e">
        <f ca="1">K8+SUM(AB$4:AD8)+SUM(BL8:BN8)</f>
        <v>#REF!</v>
      </c>
      <c r="DE8" s="3" t="e">
        <f ca="1">L8+SUM(AE$4:AE8)+BO8</f>
        <v>#REF!</v>
      </c>
      <c r="DF8" s="39" t="e">
        <f ca="1">M8+SUM(AG$4:AG8)+BQ8</f>
        <v>#REF!</v>
      </c>
      <c r="DG8" s="39" t="e">
        <f t="array" ref="DG8">INDEX(#REF!,ROW()-ROW(#REF!),MATCH("Total "&amp;home_land,#REF!,0))+#REF!</f>
        <v>#REF!</v>
      </c>
      <c r="DH8" s="3" t="e">
        <f ca="1">SUM(O$4:O8)+AY8</f>
        <v>#REF!</v>
      </c>
      <c r="DI8" s="3" t="e">
        <f t="shared" ca="1" si="0"/>
        <v>#REF!</v>
      </c>
      <c r="DJ8" s="3" t="e">
        <f t="shared" ca="1" si="1"/>
        <v>#REF!</v>
      </c>
    </row>
    <row r="9" spans="1:114" x14ac:dyDescent="0.25">
      <c r="A9" s="160" t="e">
        <f>#REF!</f>
        <v>#REF!</v>
      </c>
      <c r="B9" s="161" t="e">
        <f>SUM(#REF!)</f>
        <v>#REF!</v>
      </c>
      <c r="C9" s="162" t="e">
        <f>SUM(#REF!)</f>
        <v>#REF!</v>
      </c>
      <c r="D9" s="162">
        <f>SUM(O$4:AG9)</f>
        <v>0</v>
      </c>
      <c r="E9" s="163"/>
      <c r="F9" s="61" t="e">
        <f>#REF!+#REF!+#REF!</f>
        <v>#REF!</v>
      </c>
      <c r="G9" s="171" t="e">
        <f ca="1">OFFSET(#REF!,-1,0)+#REF!</f>
        <v>#REF!</v>
      </c>
      <c r="H9" s="166" t="e">
        <f ca="1">OFFSET(#REF!,-1,0)+#REF!</f>
        <v>#REF!</v>
      </c>
      <c r="I9" s="341" t="e">
        <f ca="1">OFFSET(#REF!,-1,0)+#REF!</f>
        <v>#REF!</v>
      </c>
      <c r="J9" s="345" t="e">
        <f ca="1">OFFSET(#REF!,-1,0)+#REF!</f>
        <v>#REF!</v>
      </c>
      <c r="K9" s="349" t="e">
        <f ca="1">OFFSET(#REF!,-1,0)+#REF!</f>
        <v>#REF!</v>
      </c>
      <c r="L9" s="169" t="e">
        <f ca="1">OFFSET(#REF!,-1,0)+#REF!</f>
        <v>#REF!</v>
      </c>
      <c r="M9" s="170" t="e">
        <f ca="1">OFFSET(#REF!,-1,0)+#REF!</f>
        <v>#REF!</v>
      </c>
      <c r="N9" s="339" t="e">
        <f>#REF!</f>
        <v>#REF!</v>
      </c>
      <c r="O9" s="164"/>
      <c r="P9" s="164"/>
      <c r="Q9" s="164"/>
      <c r="R9" s="164"/>
      <c r="S9" s="164"/>
      <c r="T9" s="164"/>
      <c r="U9" s="164"/>
      <c r="V9" s="164"/>
      <c r="W9" s="164"/>
      <c r="X9" s="164"/>
      <c r="Y9" s="164"/>
      <c r="Z9" s="164"/>
      <c r="AA9" s="164"/>
      <c r="AB9" s="164"/>
      <c r="AC9" s="164"/>
      <c r="AD9" s="164"/>
      <c r="AE9" s="164"/>
      <c r="AF9" s="164"/>
      <c r="AG9" s="164"/>
      <c r="AH9" s="53" t="e">
        <f>#REF!</f>
        <v>#REF!</v>
      </c>
      <c r="AI9" s="132" t="e">
        <f>MIN(25%,(#REF!+#REF!)/(#REF!-#REF!*20))</f>
        <v>#REF!</v>
      </c>
      <c r="AJ9" s="132" t="e">
        <f>MIN(25%,(#REF!+#REF!)/#REF!)</f>
        <v>#REF!</v>
      </c>
      <c r="AK9" s="39" t="e">
        <f>#REF!</f>
        <v>#REF!</v>
      </c>
      <c r="AL9" s="39" t="e">
        <f>#REF!</f>
        <v>#REF!</v>
      </c>
      <c r="AM9" s="39" t="e">
        <f>ROUNDDOWN( MAX((1 - MIN(facs_constr_factor*#REF!,facs_constr_max) + tech_2_3*#REF! + tech_2_6_2*#REF! + tech_2_10*#REF! + tech_4_6*#REF! + tech_6_3*#REF! + tech_9_2*#REF! + race_construction_cost), 1-global_constr_cap) *#REF!,0)</f>
        <v>#REF!</v>
      </c>
      <c r="AN9" s="39" t="e">
        <f>ROUNDDOWN( MAX(1 - MIN(facs_constr_factor*#REF!,facs_constr_max) + tech_1_11*#REF! + tech_6_3_2*#REF! + tech_5_2_3*#REF!, 1-global_constr_cap) *#REF!,0)</f>
        <v>#REF!</v>
      </c>
      <c r="AO9" s="39" t="e">
        <f>ROUNDDOWN( MAX((1 - MIN(facs_constr_factor*#REF!,facs_constr_max) + tech_2_3*#REF! + tech_2_6_2*#REF! + tech_2_10*#REF! + tech_4_6*#REF! + tech_6_3*#REF! + tech_9_2*#REF! + race_construction_cost), 1-global_constr_cap) * (ROUND((#REF!-250)*1.25 + 850 + 0,0)),0)</f>
        <v>#REF!</v>
      </c>
      <c r="AP9" s="39" t="e">
        <f>ROUNDDOWN( MAX(1 - MIN(facs_constr_factor*#REF!,facs_constr_max) + tech_1_11*#REF! + tech_6_3_2*#REF! + tech_5_2_3*#REF!, 1-global_constr_cap) * ROUND((#REF!-250)*0.285 + 87.5 + 0/4.25,0),0)</f>
        <v>#REF!</v>
      </c>
      <c r="AQ9" s="3" t="e">
        <f>#REF!*#REF! +#REF! *#REF!</f>
        <v>#REF!</v>
      </c>
      <c r="AR9" s="3" t="e">
        <f>#REF!*#REF!+#REF!*#REF!</f>
        <v>#REF!</v>
      </c>
      <c r="AS9" s="39" t="e">
        <f ca="1">MIN(SUM(OFFSET(#REF!,-1,0))+SUM(#REF!)+IF(#REF!&gt;12,SUM(OFFSET(#REF!,-12,0)),0),SUM(#REF!))</f>
        <v>#REF!</v>
      </c>
      <c r="AT9" s="3" t="e">
        <f ca="1">IF(#REF!&lt;&gt;0,MAX(0, MIN(20, 20 + SUM(#REF!) - SUM(#REF!) - SUM(OFFSET(#REF!,-1,0)) - IF(#REF!&gt;12,SUM(OFFSET(#REF!,-12,0)),0) - 20*#REF!)),0)</f>
        <v>#REF!</v>
      </c>
      <c r="AU9" s="134"/>
      <c r="AV9" s="39" t="e">
        <f>ROUND((#REF!-250 - IF(#REF!&lt;&gt;0,20,0))*1.25 + 850 + 0,0)</f>
        <v>#REF!</v>
      </c>
      <c r="AW9" s="39" t="e">
        <f>ROUND((#REF!-250 - IF(#REF!&lt;&gt;0,20,0))*0.285 + 87.5 + 0/4.25,0)</f>
        <v>#REF!</v>
      </c>
      <c r="AX9" s="133"/>
      <c r="AY9" s="172" t="e">
        <f t="array" aca="1" ref="AY9" ca="1">IF(#REF!&gt;12,OFFSET(#REF!,-12,0),0)+OFFSET(#REF!,-1,0)-#REF!</f>
        <v>#REF!</v>
      </c>
      <c r="AZ9" s="173" t="e">
        <f t="array" aca="1" ref="AZ9" ca="1">IF(#REF!&gt;12,OFFSET(#REF!,-12,0),0)+OFFSET(#REF!,-1,0)-#REF!</f>
        <v>#REF!</v>
      </c>
      <c r="BA9" s="173" t="e">
        <f t="array" aca="1" ref="BA9" ca="1">IF(#REF!&gt;12,OFFSET(#REF!,-12,0),0)+OFFSET(#REF!,-1,0)-#REF!</f>
        <v>#REF!</v>
      </c>
      <c r="BB9" s="173" t="e">
        <f t="array" aca="1" ref="BB9" ca="1">IF(#REF!&gt;12,OFFSET(#REF!,-12,0),0)+OFFSET(#REF!,-1,0)-#REF!</f>
        <v>#REF!</v>
      </c>
      <c r="BC9" s="173" t="e">
        <f t="array" aca="1" ref="BC9" ca="1">IF(#REF!&gt;12,OFFSET(#REF!,-12,0),0)+OFFSET(#REF!,-1,0)-#REF!</f>
        <v>#REF!</v>
      </c>
      <c r="BD9" s="174" t="e">
        <f t="array" aca="1" ref="BD9" ca="1">IF(#REF!&gt;12,OFFSET(#REF!,-12,0),0)+OFFSET(#REF!,-1,0)-#REF!</f>
        <v>#REF!</v>
      </c>
      <c r="BE9" s="174" t="e">
        <f t="array" aca="1" ref="BE9" ca="1">IF(#REF!&gt;12,OFFSET(#REF!,-12,0),0)+OFFSET(#REF!,-1,0)-#REF!</f>
        <v>#REF!</v>
      </c>
      <c r="BF9" s="343" t="e">
        <f t="array" aca="1" ref="BF9" ca="1">IF(#REF!&gt;12,OFFSET(#REF!,-12,0),0)+OFFSET(#REF!,-1,0)-#REF!</f>
        <v>#REF!</v>
      </c>
      <c r="BG9" s="343" t="e">
        <f t="array" aca="1" ref="BG9" ca="1">IF(#REF!&gt;12,OFFSET(#REF!,-12,0),0)+OFFSET(#REF!,-1,0)-#REF!</f>
        <v>#REF!</v>
      </c>
      <c r="BH9" s="347" t="e">
        <f t="array" aca="1" ref="BH9" ca="1">IF(#REF!&gt;12,OFFSET(#REF!,-12,0),0)+OFFSET(#REF!,-1,0)-#REF!</f>
        <v>#REF!</v>
      </c>
      <c r="BI9" s="347" t="e">
        <f t="array" aca="1" ref="BI9" ca="1">IF(#REF!&gt;12,OFFSET(#REF!,-12,0),0)+OFFSET(#REF!,-1,0)-#REF!</f>
        <v>#REF!</v>
      </c>
      <c r="BJ9" s="347" t="e">
        <f t="array" aca="1" ref="BJ9" ca="1">IF(#REF!&gt;12,OFFSET(#REF!,-12,0),0)+OFFSET(#REF!,-1,0)-#REF!</f>
        <v>#REF!</v>
      </c>
      <c r="BK9" s="347" t="e">
        <f t="array" aca="1" ref="BK9" ca="1">IF(#REF!&gt;12,OFFSET(#REF!,-12,0),0)+OFFSET(#REF!,-1,0)-#REF!</f>
        <v>#REF!</v>
      </c>
      <c r="BL9" s="351" t="e">
        <f t="array" aca="1" ref="BL9" ca="1">IF(#REF!&gt;12,OFFSET(#REF!,-12,0),0)+OFFSET(#REF!,-1,0)-#REF!</f>
        <v>#REF!</v>
      </c>
      <c r="BM9" s="351" t="e">
        <f t="array" aca="1" ref="BM9" ca="1">IF(#REF!&gt;12,OFFSET(#REF!,-12,0),0)+OFFSET(#REF!,-1,0)-#REF!</f>
        <v>#REF!</v>
      </c>
      <c r="BN9" s="351" t="e">
        <f t="array" aca="1" ref="BN9" ca="1">IF(#REF!&gt;12,OFFSET(#REF!,-12,0),0)+OFFSET(#REF!,-1,0)-#REF!</f>
        <v>#REF!</v>
      </c>
      <c r="BO9" s="175" t="e">
        <f t="array" aca="1" ref="BO9" ca="1">IF(#REF!&gt;12,OFFSET(#REF!,-12,0),0)+OFFSET(#REF!,-1,0)-#REF!</f>
        <v>#REF!</v>
      </c>
      <c r="BP9" s="175" t="e">
        <f t="array" aca="1" ref="BP9" ca="1">IF(#REF!&gt;12,OFFSET(#REF!,-12,0),0)+OFFSET(#REF!,-1,0)-#REF!</f>
        <v>#REF!</v>
      </c>
      <c r="BQ9" s="176" t="e">
        <f t="array" aca="1" ref="BQ9" ca="1">IF(#REF!&gt;12,OFFSET(#REF!,-12,0),0)+OFFSET(#REF!,-1,0)-#REF!</f>
        <v>#REF!</v>
      </c>
      <c r="BR9" s="134"/>
      <c r="BS9" s="133"/>
      <c r="BT9" s="39" t="e">
        <f>#REF!</f>
        <v>#REF!</v>
      </c>
      <c r="BU9" s="147" t="e">
        <f>#REF!</f>
        <v>#REF!</v>
      </c>
      <c r="BV9" s="134"/>
      <c r="BW9" s="164"/>
      <c r="BX9" s="164"/>
      <c r="BY9" s="164"/>
      <c r="BZ9" s="164"/>
      <c r="CA9" s="164"/>
      <c r="CB9" s="164"/>
      <c r="CC9" s="164"/>
      <c r="CD9" s="164"/>
      <c r="CE9" s="164"/>
      <c r="CF9" s="164"/>
      <c r="CG9" s="164"/>
      <c r="CH9" s="164"/>
      <c r="CI9" s="164"/>
      <c r="CJ9" s="164"/>
      <c r="CK9" s="164"/>
      <c r="CL9" s="164"/>
      <c r="CM9" s="164"/>
      <c r="CN9" s="164"/>
      <c r="CO9" s="164"/>
      <c r="CP9" s="134"/>
      <c r="CQ9" s="165" t="e">
        <f ca="1">-SUM(#REF!)+SUM(#REF!)+Rezone!L9+IF("Ch_"&amp; home_land=#REF!,#REF!)+IF(#REF!&gt;12,OFFSET(#REF!,-12,0),0)</f>
        <v>#REF!</v>
      </c>
      <c r="CR9" s="166" t="e">
        <f ca="1">-SUM(#REF!)+SUM(#REF!) +Rezone!M9 + IF("Ch_"&amp; home_land=#REF!,#REF!)+IF(#REF!&gt;12,OFFSET(#REF!,-12,0),0)</f>
        <v>#REF!</v>
      </c>
      <c r="CS9" s="341" t="e">
        <f ca="1">-SUM(#REF!)+SUM(#REF!) +Rezone!N9 + IF("Ch_"&amp; home_land=#REF!,#REF!)+IF(#REF!&gt;12,OFFSET(#REF!,-12,0),0)</f>
        <v>#REF!</v>
      </c>
      <c r="CT9" s="167" t="e">
        <f ca="1">-SUM(#REF!)+SUM(#REF!) +Rezone!O9 + IF("Ch_" &amp; home_land=#REF!,#REF!)+IF(#REF!&gt;12,OFFSET(#REF!,-12,0),0)</f>
        <v>#REF!</v>
      </c>
      <c r="CU9" s="168" t="e">
        <f ca="1">-SUM(#REF!)+SUM(#REF!) +Rezone!P9 + IF("Ch_" &amp; home_land=#REF!,#REF!)+IF(#REF!&gt;12,OFFSET(#REF!,-12,0),0)</f>
        <v>#REF!</v>
      </c>
      <c r="CV9" s="169" t="e">
        <f ca="1">- SUM(#REF!)+SUM(#REF!) +Rezone!Q9 + IF("Ch_" &amp; home_land=#REF!,#REF!)+IF(#REF!&gt;12,OFFSET(#REF!,-12,0),0)</f>
        <v>#REF!</v>
      </c>
      <c r="CW9" s="170" t="e">
        <f ca="1">-#REF!+#REF! +Rezone!R9 + IF("Ch_" &amp; home_land=#REF!,#REF!)+IF(#REF!&gt;12,OFFSET(#REF!,-12,0),0)</f>
        <v>#REF!</v>
      </c>
      <c r="CX9" s="3" t="e">
        <f>IF(Explore!S9=1,20) -#REF! +#REF!</f>
        <v>#REF!</v>
      </c>
      <c r="CY9" s="134"/>
      <c r="CZ9" s="39" t="e">
        <f ca="1">G9+SUM(P$4:S9)+SUM(AZ9:BC9)</f>
        <v>#REF!</v>
      </c>
      <c r="DA9" s="39" t="e">
        <f ca="1">H9+SUM(T$4:U9)+SUM(BD9:BE9)</f>
        <v>#REF!</v>
      </c>
      <c r="DB9" s="3" t="e">
        <f ca="1">I9+SUM(V$4:W9)+SUM(BF9:BG9)</f>
        <v>#REF!</v>
      </c>
      <c r="DC9" s="39" t="e">
        <f ca="1">J9+SUM(X$4:Y9)+SUM(BH9:BI9)</f>
        <v>#REF!</v>
      </c>
      <c r="DD9" s="39" t="e">
        <f ca="1">K9+SUM(AB$4:AD9)+SUM(BL9:BN9)</f>
        <v>#REF!</v>
      </c>
      <c r="DE9" s="3" t="e">
        <f ca="1">L9+SUM(AE$4:AE9)+BO9</f>
        <v>#REF!</v>
      </c>
      <c r="DF9" s="39" t="e">
        <f ca="1">M9+SUM(AG$4:AG9)+BQ9</f>
        <v>#REF!</v>
      </c>
      <c r="DG9" s="39" t="e">
        <f t="array" ref="DG9">INDEX(#REF!,ROW()-ROW(#REF!),MATCH("Total "&amp;home_land,#REF!,0))+#REF!</f>
        <v>#REF!</v>
      </c>
      <c r="DH9" s="3" t="e">
        <f ca="1">SUM(O$4:O9)+AY9</f>
        <v>#REF!</v>
      </c>
      <c r="DI9" s="3" t="e">
        <f t="shared" ca="1" si="0"/>
        <v>#REF!</v>
      </c>
      <c r="DJ9" s="3" t="e">
        <f t="shared" ca="1" si="1"/>
        <v>#REF!</v>
      </c>
    </row>
    <row r="10" spans="1:114" x14ac:dyDescent="0.25">
      <c r="A10" s="160" t="e">
        <f>#REF!</f>
        <v>#REF!</v>
      </c>
      <c r="B10" s="161" t="e">
        <f>SUM(#REF!)</f>
        <v>#REF!</v>
      </c>
      <c r="C10" s="162" t="e">
        <f>SUM(#REF!)</f>
        <v>#REF!</v>
      </c>
      <c r="D10" s="162">
        <f>SUM(O$4:AG10)</f>
        <v>0</v>
      </c>
      <c r="E10" s="163"/>
      <c r="F10" s="61" t="e">
        <f>#REF!+#REF!+#REF!</f>
        <v>#REF!</v>
      </c>
      <c r="G10" s="171" t="e">
        <f ca="1">OFFSET(#REF!,-1,0)+#REF!</f>
        <v>#REF!</v>
      </c>
      <c r="H10" s="166" t="e">
        <f ca="1">OFFSET(#REF!,-1,0)+#REF!</f>
        <v>#REF!</v>
      </c>
      <c r="I10" s="341" t="e">
        <f ca="1">OFFSET(#REF!,-1,0)+#REF!</f>
        <v>#REF!</v>
      </c>
      <c r="J10" s="345" t="e">
        <f ca="1">OFFSET(#REF!,-1,0)+#REF!</f>
        <v>#REF!</v>
      </c>
      <c r="K10" s="349" t="e">
        <f ca="1">OFFSET(#REF!,-1,0)+#REF!</f>
        <v>#REF!</v>
      </c>
      <c r="L10" s="169" t="e">
        <f ca="1">OFFSET(#REF!,-1,0)+#REF!</f>
        <v>#REF!</v>
      </c>
      <c r="M10" s="170" t="e">
        <f ca="1">OFFSET(#REF!,-1,0)+#REF!</f>
        <v>#REF!</v>
      </c>
      <c r="N10" s="339" t="e">
        <f>#REF!</f>
        <v>#REF!</v>
      </c>
      <c r="O10" s="164"/>
      <c r="P10" s="164"/>
      <c r="Q10" s="164"/>
      <c r="R10" s="164"/>
      <c r="S10" s="164"/>
      <c r="T10" s="164"/>
      <c r="U10" s="164"/>
      <c r="V10" s="164"/>
      <c r="W10" s="164"/>
      <c r="X10" s="164"/>
      <c r="Y10" s="164"/>
      <c r="Z10" s="164"/>
      <c r="AA10" s="164"/>
      <c r="AB10" s="164"/>
      <c r="AC10" s="164"/>
      <c r="AD10" s="164"/>
      <c r="AE10" s="164"/>
      <c r="AF10" s="164"/>
      <c r="AG10" s="164"/>
      <c r="AH10" s="53" t="e">
        <f>#REF!</f>
        <v>#REF!</v>
      </c>
      <c r="AI10" s="132" t="e">
        <f>MIN(25%,(#REF!+#REF!)/(#REF!-#REF!*20))</f>
        <v>#REF!</v>
      </c>
      <c r="AJ10" s="132" t="e">
        <f>MIN(25%,(#REF!+#REF!)/#REF!)</f>
        <v>#REF!</v>
      </c>
      <c r="AK10" s="39" t="e">
        <f>#REF!</f>
        <v>#REF!</v>
      </c>
      <c r="AL10" s="39" t="e">
        <f>#REF!</f>
        <v>#REF!</v>
      </c>
      <c r="AM10" s="39" t="e">
        <f>ROUNDDOWN( MAX((1 - MIN(facs_constr_factor*#REF!,facs_constr_max) + tech_2_3*#REF! + tech_2_6_2*#REF! + tech_2_10*#REF! + tech_4_6*#REF! + tech_6_3*#REF! + tech_9_2*#REF! + race_construction_cost), 1-global_constr_cap) *#REF!,0)</f>
        <v>#REF!</v>
      </c>
      <c r="AN10" s="39" t="e">
        <f>ROUNDDOWN( MAX(1 - MIN(facs_constr_factor*#REF!,facs_constr_max) + tech_1_11*#REF! + tech_6_3_2*#REF! + tech_5_2_3*#REF!, 1-global_constr_cap) *#REF!,0)</f>
        <v>#REF!</v>
      </c>
      <c r="AO10" s="39" t="e">
        <f>ROUNDDOWN( MAX((1 - MIN(facs_constr_factor*#REF!,facs_constr_max) + tech_2_3*#REF! + tech_2_6_2*#REF! + tech_2_10*#REF! + tech_4_6*#REF! + tech_6_3*#REF! + tech_9_2*#REF! + race_construction_cost), 1-global_constr_cap) * (ROUND((#REF!-250)*1.25 + 850 + 0,0)),0)</f>
        <v>#REF!</v>
      </c>
      <c r="AP10" s="39" t="e">
        <f>ROUNDDOWN( MAX(1 - MIN(facs_constr_factor*#REF!,facs_constr_max) + tech_1_11*#REF! + tech_6_3_2*#REF! + tech_5_2_3*#REF!, 1-global_constr_cap) * ROUND((#REF!-250)*0.285 + 87.5 + 0/4.25,0),0)</f>
        <v>#REF!</v>
      </c>
      <c r="AQ10" s="3" t="e">
        <f>#REF!*#REF! +#REF! *#REF!</f>
        <v>#REF!</v>
      </c>
      <c r="AR10" s="3" t="e">
        <f>#REF!*#REF!+#REF!*#REF!</f>
        <v>#REF!</v>
      </c>
      <c r="AS10" s="39" t="e">
        <f ca="1">MIN(SUM(OFFSET(#REF!,-1,0))+SUM(#REF!)+IF(#REF!&gt;12,SUM(OFFSET(#REF!,-12,0)),0),SUM(#REF!))</f>
        <v>#REF!</v>
      </c>
      <c r="AT10" s="3" t="e">
        <f ca="1">IF(#REF!&lt;&gt;0,MAX(0, MIN(20, 20 + SUM(#REF!) - SUM(#REF!) - SUM(OFFSET(#REF!,-1,0)) - IF(#REF!&gt;12,SUM(OFFSET(#REF!,-12,0)),0) - 20*#REF!)),0)</f>
        <v>#REF!</v>
      </c>
      <c r="AU10" s="134"/>
      <c r="AV10" s="39" t="e">
        <f>ROUND((#REF!-250 - IF(#REF!&lt;&gt;0,20,0))*1.25 + 850 + 0,0)</f>
        <v>#REF!</v>
      </c>
      <c r="AW10" s="39" t="e">
        <f>ROUND((#REF!-250 - IF(#REF!&lt;&gt;0,20,0))*0.285 + 87.5 + 0/4.25,0)</f>
        <v>#REF!</v>
      </c>
      <c r="AX10" s="133"/>
      <c r="AY10" s="172" t="e">
        <f t="array" aca="1" ref="AY10" ca="1">IF(#REF!&gt;12,OFFSET(#REF!,-12,0),0)+OFFSET(#REF!,-1,0)-#REF!</f>
        <v>#REF!</v>
      </c>
      <c r="AZ10" s="173" t="e">
        <f t="array" aca="1" ref="AZ10" ca="1">IF(#REF!&gt;12,OFFSET(#REF!,-12,0),0)+OFFSET(#REF!,-1,0)-#REF!</f>
        <v>#REF!</v>
      </c>
      <c r="BA10" s="173" t="e">
        <f t="array" aca="1" ref="BA10" ca="1">IF(#REF!&gt;12,OFFSET(#REF!,-12,0),0)+OFFSET(#REF!,-1,0)-#REF!</f>
        <v>#REF!</v>
      </c>
      <c r="BB10" s="173" t="e">
        <f t="array" aca="1" ref="BB10" ca="1">IF(#REF!&gt;12,OFFSET(#REF!,-12,0),0)+OFFSET(#REF!,-1,0)-#REF!</f>
        <v>#REF!</v>
      </c>
      <c r="BC10" s="173" t="e">
        <f t="array" aca="1" ref="BC10" ca="1">IF(#REF!&gt;12,OFFSET(#REF!,-12,0),0)+OFFSET(#REF!,-1,0)-#REF!</f>
        <v>#REF!</v>
      </c>
      <c r="BD10" s="174" t="e">
        <f t="array" aca="1" ref="BD10" ca="1">IF(#REF!&gt;12,OFFSET(#REF!,-12,0),0)+OFFSET(#REF!,-1,0)-#REF!</f>
        <v>#REF!</v>
      </c>
      <c r="BE10" s="174" t="e">
        <f t="array" aca="1" ref="BE10" ca="1">IF(#REF!&gt;12,OFFSET(#REF!,-12,0),0)+OFFSET(#REF!,-1,0)-#REF!</f>
        <v>#REF!</v>
      </c>
      <c r="BF10" s="343" t="e">
        <f t="array" aca="1" ref="BF10" ca="1">IF(#REF!&gt;12,OFFSET(#REF!,-12,0),0)+OFFSET(#REF!,-1,0)-#REF!</f>
        <v>#REF!</v>
      </c>
      <c r="BG10" s="343" t="e">
        <f t="array" aca="1" ref="BG10" ca="1">IF(#REF!&gt;12,OFFSET(#REF!,-12,0),0)+OFFSET(#REF!,-1,0)-#REF!</f>
        <v>#REF!</v>
      </c>
      <c r="BH10" s="347" t="e">
        <f t="array" aca="1" ref="BH10" ca="1">IF(#REF!&gt;12,OFFSET(#REF!,-12,0),0)+OFFSET(#REF!,-1,0)-#REF!</f>
        <v>#REF!</v>
      </c>
      <c r="BI10" s="347" t="e">
        <f t="array" aca="1" ref="BI10" ca="1">IF(#REF!&gt;12,OFFSET(#REF!,-12,0),0)+OFFSET(#REF!,-1,0)-#REF!</f>
        <v>#REF!</v>
      </c>
      <c r="BJ10" s="347" t="e">
        <f t="array" aca="1" ref="BJ10" ca="1">IF(#REF!&gt;12,OFFSET(#REF!,-12,0),0)+OFFSET(#REF!,-1,0)-#REF!</f>
        <v>#REF!</v>
      </c>
      <c r="BK10" s="347" t="e">
        <f t="array" aca="1" ref="BK10" ca="1">IF(#REF!&gt;12,OFFSET(#REF!,-12,0),0)+OFFSET(#REF!,-1,0)-#REF!</f>
        <v>#REF!</v>
      </c>
      <c r="BL10" s="351" t="e">
        <f t="array" aca="1" ref="BL10" ca="1">IF(#REF!&gt;12,OFFSET(#REF!,-12,0),0)+OFFSET(#REF!,-1,0)-#REF!</f>
        <v>#REF!</v>
      </c>
      <c r="BM10" s="351" t="e">
        <f t="array" aca="1" ref="BM10" ca="1">IF(#REF!&gt;12,OFFSET(#REF!,-12,0),0)+OFFSET(#REF!,-1,0)-#REF!</f>
        <v>#REF!</v>
      </c>
      <c r="BN10" s="351" t="e">
        <f t="array" aca="1" ref="BN10" ca="1">IF(#REF!&gt;12,OFFSET(#REF!,-12,0),0)+OFFSET(#REF!,-1,0)-#REF!</f>
        <v>#REF!</v>
      </c>
      <c r="BO10" s="175" t="e">
        <f t="array" aca="1" ref="BO10" ca="1">IF(#REF!&gt;12,OFFSET(#REF!,-12,0),0)+OFFSET(#REF!,-1,0)-#REF!</f>
        <v>#REF!</v>
      </c>
      <c r="BP10" s="175" t="e">
        <f t="array" aca="1" ref="BP10" ca="1">IF(#REF!&gt;12,OFFSET(#REF!,-12,0),0)+OFFSET(#REF!,-1,0)-#REF!</f>
        <v>#REF!</v>
      </c>
      <c r="BQ10" s="176" t="e">
        <f t="array" aca="1" ref="BQ10" ca="1">IF(#REF!&gt;12,OFFSET(#REF!,-12,0),0)+OFFSET(#REF!,-1,0)-#REF!</f>
        <v>#REF!</v>
      </c>
      <c r="BR10" s="134"/>
      <c r="BS10" s="133"/>
      <c r="BT10" s="39" t="e">
        <f>#REF!</f>
        <v>#REF!</v>
      </c>
      <c r="BU10" s="147" t="e">
        <f>#REF!</f>
        <v>#REF!</v>
      </c>
      <c r="BV10" s="134"/>
      <c r="BW10" s="164"/>
      <c r="BX10" s="164"/>
      <c r="BY10" s="164"/>
      <c r="BZ10" s="164"/>
      <c r="CA10" s="164"/>
      <c r="CB10" s="164"/>
      <c r="CC10" s="164"/>
      <c r="CD10" s="164"/>
      <c r="CE10" s="164"/>
      <c r="CF10" s="164"/>
      <c r="CG10" s="164"/>
      <c r="CH10" s="164"/>
      <c r="CI10" s="164"/>
      <c r="CJ10" s="164"/>
      <c r="CK10" s="164"/>
      <c r="CL10" s="164"/>
      <c r="CM10" s="164"/>
      <c r="CN10" s="164"/>
      <c r="CO10" s="164"/>
      <c r="CP10" s="134"/>
      <c r="CQ10" s="165" t="e">
        <f ca="1">-SUM(#REF!)+SUM(#REF!)+Rezone!L10+IF("Ch_"&amp; home_land=#REF!,#REF!)+IF(#REF!&gt;12,OFFSET(#REF!,-12,0),0)</f>
        <v>#REF!</v>
      </c>
      <c r="CR10" s="166" t="e">
        <f ca="1">-SUM(#REF!)+SUM(#REF!) +Rezone!M10 + IF("Ch_"&amp; home_land=#REF!,#REF!)+IF(#REF!&gt;12,OFFSET(#REF!,-12,0),0)</f>
        <v>#REF!</v>
      </c>
      <c r="CS10" s="341" t="e">
        <f ca="1">-SUM(#REF!)+SUM(#REF!) +Rezone!N10 + IF("Ch_"&amp; home_land=#REF!,#REF!)+IF(#REF!&gt;12,OFFSET(#REF!,-12,0),0)</f>
        <v>#REF!</v>
      </c>
      <c r="CT10" s="167" t="e">
        <f ca="1">-SUM(#REF!)+SUM(#REF!) +Rezone!O10 + IF("Ch_" &amp; home_land=#REF!,#REF!)+IF(#REF!&gt;12,OFFSET(#REF!,-12,0),0)</f>
        <v>#REF!</v>
      </c>
      <c r="CU10" s="168" t="e">
        <f ca="1">-SUM(#REF!)+SUM(#REF!) +Rezone!P10 + IF("Ch_" &amp; home_land=#REF!,#REF!)+IF(#REF!&gt;12,OFFSET(#REF!,-12,0),0)</f>
        <v>#REF!</v>
      </c>
      <c r="CV10" s="169" t="e">
        <f ca="1">- SUM(#REF!)+SUM(#REF!) +Rezone!Q10 + IF("Ch_" &amp; home_land=#REF!,#REF!)+IF(#REF!&gt;12,OFFSET(#REF!,-12,0),0)</f>
        <v>#REF!</v>
      </c>
      <c r="CW10" s="170" t="e">
        <f ca="1">-#REF!+#REF! +Rezone!R10 + IF("Ch_" &amp; home_land=#REF!,#REF!)+IF(#REF!&gt;12,OFFSET(#REF!,-12,0),0)</f>
        <v>#REF!</v>
      </c>
      <c r="CX10" s="3" t="e">
        <f>IF(Explore!S10=1,20) -#REF! +#REF!</f>
        <v>#REF!</v>
      </c>
      <c r="CY10" s="134"/>
      <c r="CZ10" s="39" t="e">
        <f ca="1">G10+SUM(P$4:S10)+SUM(AZ10:BC10)</f>
        <v>#REF!</v>
      </c>
      <c r="DA10" s="39" t="e">
        <f ca="1">H10+SUM(T$4:U10)+SUM(BD10:BE10)</f>
        <v>#REF!</v>
      </c>
      <c r="DB10" s="3" t="e">
        <f ca="1">I10+SUM(V$4:W10)+SUM(BF10:BG10)</f>
        <v>#REF!</v>
      </c>
      <c r="DC10" s="39" t="e">
        <f ca="1">J10+SUM(X$4:Y10)+SUM(BH10:BI10)</f>
        <v>#REF!</v>
      </c>
      <c r="DD10" s="39" t="e">
        <f ca="1">K10+SUM(AB$4:AD10)+SUM(BL10:BN10)</f>
        <v>#REF!</v>
      </c>
      <c r="DE10" s="3" t="e">
        <f ca="1">L10+SUM(AE$4:AE10)+BO10</f>
        <v>#REF!</v>
      </c>
      <c r="DF10" s="39" t="e">
        <f ca="1">M10+SUM(AG$4:AG10)+BQ10</f>
        <v>#REF!</v>
      </c>
      <c r="DG10" s="39" t="e">
        <f t="array" ref="DG10">INDEX(#REF!,ROW()-ROW(#REF!),MATCH("Total "&amp;home_land,#REF!,0))+#REF!</f>
        <v>#REF!</v>
      </c>
      <c r="DH10" s="3" t="e">
        <f ca="1">SUM(O$4:O10)+AY10</f>
        <v>#REF!</v>
      </c>
      <c r="DI10" s="3" t="e">
        <f t="shared" ca="1" si="0"/>
        <v>#REF!</v>
      </c>
      <c r="DJ10" s="3" t="e">
        <f t="shared" ca="1" si="1"/>
        <v>#REF!</v>
      </c>
    </row>
    <row r="11" spans="1:114" x14ac:dyDescent="0.25">
      <c r="A11" s="160" t="e">
        <f>#REF!</f>
        <v>#REF!</v>
      </c>
      <c r="B11" s="161" t="e">
        <f>SUM(#REF!)</f>
        <v>#REF!</v>
      </c>
      <c r="C11" s="162" t="e">
        <f>SUM(#REF!)</f>
        <v>#REF!</v>
      </c>
      <c r="D11" s="162">
        <f>SUM(O$4:AG11)</f>
        <v>0</v>
      </c>
      <c r="E11" s="163"/>
      <c r="F11" s="61" t="e">
        <f>#REF!+#REF!+#REF!</f>
        <v>#REF!</v>
      </c>
      <c r="G11" s="171" t="e">
        <f ca="1">OFFSET(#REF!,-1,0)+#REF!</f>
        <v>#REF!</v>
      </c>
      <c r="H11" s="166" t="e">
        <f ca="1">OFFSET(#REF!,-1,0)+#REF!</f>
        <v>#REF!</v>
      </c>
      <c r="I11" s="341" t="e">
        <f ca="1">OFFSET(#REF!,-1,0)+#REF!</f>
        <v>#REF!</v>
      </c>
      <c r="J11" s="345" t="e">
        <f ca="1">OFFSET(#REF!,-1,0)+#REF!</f>
        <v>#REF!</v>
      </c>
      <c r="K11" s="349" t="e">
        <f ca="1">OFFSET(#REF!,-1,0)+#REF!</f>
        <v>#REF!</v>
      </c>
      <c r="L11" s="169" t="e">
        <f ca="1">OFFSET(#REF!,-1,0)+#REF!</f>
        <v>#REF!</v>
      </c>
      <c r="M11" s="170" t="e">
        <f ca="1">OFFSET(#REF!,-1,0)+#REF!</f>
        <v>#REF!</v>
      </c>
      <c r="N11" s="339" t="e">
        <f>#REF!</f>
        <v>#REF!</v>
      </c>
      <c r="O11" s="164"/>
      <c r="P11" s="164"/>
      <c r="Q11" s="164"/>
      <c r="R11" s="164"/>
      <c r="S11" s="164"/>
      <c r="T11" s="164"/>
      <c r="U11" s="164"/>
      <c r="V11" s="164"/>
      <c r="W11" s="164"/>
      <c r="X11" s="164"/>
      <c r="Y11" s="164"/>
      <c r="Z11" s="164"/>
      <c r="AA11" s="164"/>
      <c r="AB11" s="164"/>
      <c r="AC11" s="164"/>
      <c r="AD11" s="164"/>
      <c r="AE11" s="164"/>
      <c r="AF11" s="164"/>
      <c r="AG11" s="164"/>
      <c r="AH11" s="53" t="e">
        <f>#REF!</f>
        <v>#REF!</v>
      </c>
      <c r="AI11" s="132" t="e">
        <f>MIN(25%,(#REF!+#REF!)/(#REF!-#REF!*20))</f>
        <v>#REF!</v>
      </c>
      <c r="AJ11" s="132" t="e">
        <f>MIN(25%,(#REF!+#REF!)/#REF!)</f>
        <v>#REF!</v>
      </c>
      <c r="AK11" s="39" t="e">
        <f>#REF!</f>
        <v>#REF!</v>
      </c>
      <c r="AL11" s="39" t="e">
        <f>#REF!</f>
        <v>#REF!</v>
      </c>
      <c r="AM11" s="39" t="e">
        <f>ROUNDDOWN( MAX((1 - MIN(facs_constr_factor*#REF!,facs_constr_max) + tech_2_3*#REF! + tech_2_6_2*#REF! + tech_2_10*#REF! + tech_4_6*#REF! + tech_6_3*#REF! + tech_9_2*#REF! + race_construction_cost), 1-global_constr_cap) *#REF!,0)</f>
        <v>#REF!</v>
      </c>
      <c r="AN11" s="39" t="e">
        <f>ROUNDDOWN( MAX(1 - MIN(facs_constr_factor*#REF!,facs_constr_max) + tech_1_11*#REF! + tech_6_3_2*#REF! + tech_5_2_3*#REF!, 1-global_constr_cap) *#REF!,0)</f>
        <v>#REF!</v>
      </c>
      <c r="AO11" s="39" t="e">
        <f>ROUNDDOWN( MAX((1 - MIN(facs_constr_factor*#REF!,facs_constr_max) + tech_2_3*#REF! + tech_2_6_2*#REF! + tech_2_10*#REF! + tech_4_6*#REF! + tech_6_3*#REF! + tech_9_2*#REF! + race_construction_cost), 1-global_constr_cap) * (ROUND((#REF!-250)*1.25 + 850 + 0,0)),0)</f>
        <v>#REF!</v>
      </c>
      <c r="AP11" s="39" t="e">
        <f>ROUNDDOWN( MAX(1 - MIN(facs_constr_factor*#REF!,facs_constr_max) + tech_1_11*#REF! + tech_6_3_2*#REF! + tech_5_2_3*#REF!, 1-global_constr_cap) * ROUND((#REF!-250)*0.285 + 87.5 + 0/4.25,0),0)</f>
        <v>#REF!</v>
      </c>
      <c r="AQ11" s="3" t="e">
        <f>#REF!*#REF! +#REF! *#REF!</f>
        <v>#REF!</v>
      </c>
      <c r="AR11" s="3" t="e">
        <f>#REF!*#REF!+#REF!*#REF!</f>
        <v>#REF!</v>
      </c>
      <c r="AS11" s="39" t="e">
        <f ca="1">MIN(SUM(OFFSET(#REF!,-1,0))+SUM(#REF!)+IF(#REF!&gt;12,SUM(OFFSET(#REF!,-12,0)),0),SUM(#REF!))</f>
        <v>#REF!</v>
      </c>
      <c r="AT11" s="3" t="e">
        <f ca="1">IF(#REF!&lt;&gt;0,MAX(0, MIN(20, 20 + SUM(#REF!) - SUM(#REF!) - SUM(OFFSET(#REF!,-1,0)) - IF(#REF!&gt;12,SUM(OFFSET(#REF!,-12,0)),0) - 20*#REF!)),0)</f>
        <v>#REF!</v>
      </c>
      <c r="AU11" s="134"/>
      <c r="AV11" s="39" t="e">
        <f>ROUND((#REF!-250 - IF(#REF!&lt;&gt;0,20,0))*1.25 + 850 + 0,0)</f>
        <v>#REF!</v>
      </c>
      <c r="AW11" s="39" t="e">
        <f>ROUND((#REF!-250 - IF(#REF!&lt;&gt;0,20,0))*0.285 + 87.5 + 0/4.25,0)</f>
        <v>#REF!</v>
      </c>
      <c r="AX11" s="133"/>
      <c r="AY11" s="172" t="e">
        <f t="array" aca="1" ref="AY11" ca="1">IF(#REF!&gt;12,OFFSET(#REF!,-12,0),0)+OFFSET(#REF!,-1,0)-#REF!</f>
        <v>#REF!</v>
      </c>
      <c r="AZ11" s="173" t="e">
        <f t="array" aca="1" ref="AZ11" ca="1">IF(#REF!&gt;12,OFFSET(#REF!,-12,0),0)+OFFSET(#REF!,-1,0)-#REF!</f>
        <v>#REF!</v>
      </c>
      <c r="BA11" s="173" t="e">
        <f t="array" aca="1" ref="BA11" ca="1">IF(#REF!&gt;12,OFFSET(#REF!,-12,0),0)+OFFSET(#REF!,-1,0)-#REF!</f>
        <v>#REF!</v>
      </c>
      <c r="BB11" s="173" t="e">
        <f t="array" aca="1" ref="BB11" ca="1">IF(#REF!&gt;12,OFFSET(#REF!,-12,0),0)+OFFSET(#REF!,-1,0)-#REF!</f>
        <v>#REF!</v>
      </c>
      <c r="BC11" s="173" t="e">
        <f t="array" aca="1" ref="BC11" ca="1">IF(#REF!&gt;12,OFFSET(#REF!,-12,0),0)+OFFSET(#REF!,-1,0)-#REF!</f>
        <v>#REF!</v>
      </c>
      <c r="BD11" s="174" t="e">
        <f t="array" aca="1" ref="BD11" ca="1">IF(#REF!&gt;12,OFFSET(#REF!,-12,0),0)+OFFSET(#REF!,-1,0)-#REF!</f>
        <v>#REF!</v>
      </c>
      <c r="BE11" s="174" t="e">
        <f t="array" aca="1" ref="BE11" ca="1">IF(#REF!&gt;12,OFFSET(#REF!,-12,0),0)+OFFSET(#REF!,-1,0)-#REF!</f>
        <v>#REF!</v>
      </c>
      <c r="BF11" s="343" t="e">
        <f t="array" aca="1" ref="BF11" ca="1">IF(#REF!&gt;12,OFFSET(#REF!,-12,0),0)+OFFSET(#REF!,-1,0)-#REF!</f>
        <v>#REF!</v>
      </c>
      <c r="BG11" s="343" t="e">
        <f t="array" aca="1" ref="BG11" ca="1">IF(#REF!&gt;12,OFFSET(#REF!,-12,0),0)+OFFSET(#REF!,-1,0)-#REF!</f>
        <v>#REF!</v>
      </c>
      <c r="BH11" s="347" t="e">
        <f t="array" aca="1" ref="BH11" ca="1">IF(#REF!&gt;12,OFFSET(#REF!,-12,0),0)+OFFSET(#REF!,-1,0)-#REF!</f>
        <v>#REF!</v>
      </c>
      <c r="BI11" s="347" t="e">
        <f t="array" aca="1" ref="BI11" ca="1">IF(#REF!&gt;12,OFFSET(#REF!,-12,0),0)+OFFSET(#REF!,-1,0)-#REF!</f>
        <v>#REF!</v>
      </c>
      <c r="BJ11" s="347" t="e">
        <f t="array" aca="1" ref="BJ11" ca="1">IF(#REF!&gt;12,OFFSET(#REF!,-12,0),0)+OFFSET(#REF!,-1,0)-#REF!</f>
        <v>#REF!</v>
      </c>
      <c r="BK11" s="347" t="e">
        <f t="array" aca="1" ref="BK11" ca="1">IF(#REF!&gt;12,OFFSET(#REF!,-12,0),0)+OFFSET(#REF!,-1,0)-#REF!</f>
        <v>#REF!</v>
      </c>
      <c r="BL11" s="351" t="e">
        <f t="array" aca="1" ref="BL11" ca="1">IF(#REF!&gt;12,OFFSET(#REF!,-12,0),0)+OFFSET(#REF!,-1,0)-#REF!</f>
        <v>#REF!</v>
      </c>
      <c r="BM11" s="351" t="e">
        <f t="array" aca="1" ref="BM11" ca="1">IF(#REF!&gt;12,OFFSET(#REF!,-12,0),0)+OFFSET(#REF!,-1,0)-#REF!</f>
        <v>#REF!</v>
      </c>
      <c r="BN11" s="351" t="e">
        <f t="array" aca="1" ref="BN11" ca="1">IF(#REF!&gt;12,OFFSET(#REF!,-12,0),0)+OFFSET(#REF!,-1,0)-#REF!</f>
        <v>#REF!</v>
      </c>
      <c r="BO11" s="175" t="e">
        <f t="array" aca="1" ref="BO11" ca="1">IF(#REF!&gt;12,OFFSET(#REF!,-12,0),0)+OFFSET(#REF!,-1,0)-#REF!</f>
        <v>#REF!</v>
      </c>
      <c r="BP11" s="175" t="e">
        <f t="array" aca="1" ref="BP11" ca="1">IF(#REF!&gt;12,OFFSET(#REF!,-12,0),0)+OFFSET(#REF!,-1,0)-#REF!</f>
        <v>#REF!</v>
      </c>
      <c r="BQ11" s="176" t="e">
        <f t="array" aca="1" ref="BQ11" ca="1">IF(#REF!&gt;12,OFFSET(#REF!,-12,0),0)+OFFSET(#REF!,-1,0)-#REF!</f>
        <v>#REF!</v>
      </c>
      <c r="BR11" s="134"/>
      <c r="BS11" s="133"/>
      <c r="BT11" s="39" t="e">
        <f>#REF!</f>
        <v>#REF!</v>
      </c>
      <c r="BU11" s="147" t="e">
        <f>#REF!</f>
        <v>#REF!</v>
      </c>
      <c r="BV11" s="134"/>
      <c r="BW11" s="164"/>
      <c r="BX11" s="164"/>
      <c r="BY11" s="164"/>
      <c r="BZ11" s="164"/>
      <c r="CA11" s="164"/>
      <c r="CB11" s="164"/>
      <c r="CC11" s="164"/>
      <c r="CD11" s="164"/>
      <c r="CE11" s="164"/>
      <c r="CF11" s="164"/>
      <c r="CG11" s="164"/>
      <c r="CH11" s="164"/>
      <c r="CI11" s="164"/>
      <c r="CJ11" s="164"/>
      <c r="CK11" s="164"/>
      <c r="CL11" s="164"/>
      <c r="CM11" s="164"/>
      <c r="CN11" s="164"/>
      <c r="CO11" s="164"/>
      <c r="CP11" s="134"/>
      <c r="CQ11" s="165" t="e">
        <f ca="1">-SUM(#REF!)+SUM(#REF!)+Rezone!L11+IF("Ch_"&amp; home_land=#REF!,#REF!)+IF(#REF!&gt;12,OFFSET(#REF!,-12,0),0)</f>
        <v>#REF!</v>
      </c>
      <c r="CR11" s="166" t="e">
        <f ca="1">-SUM(#REF!)+SUM(#REF!) +Rezone!M11 + IF("Ch_"&amp; home_land=#REF!,#REF!)+IF(#REF!&gt;12,OFFSET(#REF!,-12,0),0)</f>
        <v>#REF!</v>
      </c>
      <c r="CS11" s="341" t="e">
        <f ca="1">-SUM(#REF!)+SUM(#REF!) +Rezone!N11 + IF("Ch_"&amp; home_land=#REF!,#REF!)+IF(#REF!&gt;12,OFFSET(#REF!,-12,0),0)</f>
        <v>#REF!</v>
      </c>
      <c r="CT11" s="167" t="e">
        <f ca="1">-SUM(#REF!)+SUM(#REF!) +Rezone!O11 + IF("Ch_" &amp; home_land=#REF!,#REF!)+IF(#REF!&gt;12,OFFSET(#REF!,-12,0),0)</f>
        <v>#REF!</v>
      </c>
      <c r="CU11" s="168" t="e">
        <f ca="1">-SUM(#REF!)+SUM(#REF!) +Rezone!P11 + IF("Ch_" &amp; home_land=#REF!,#REF!)+IF(#REF!&gt;12,OFFSET(#REF!,-12,0),0)</f>
        <v>#REF!</v>
      </c>
      <c r="CV11" s="169" t="e">
        <f ca="1">- SUM(#REF!)+SUM(#REF!) +Rezone!Q11 + IF("Ch_" &amp; home_land=#REF!,#REF!)+IF(#REF!&gt;12,OFFSET(#REF!,-12,0),0)</f>
        <v>#REF!</v>
      </c>
      <c r="CW11" s="170" t="e">
        <f ca="1">-#REF!+#REF! +Rezone!R11 + IF("Ch_" &amp; home_land=#REF!,#REF!)+IF(#REF!&gt;12,OFFSET(#REF!,-12,0),0)</f>
        <v>#REF!</v>
      </c>
      <c r="CX11" s="3" t="e">
        <f>IF(Explore!S11=1,20) -#REF! +#REF!</f>
        <v>#REF!</v>
      </c>
      <c r="CY11" s="134"/>
      <c r="CZ11" s="39" t="e">
        <f ca="1">G11+SUM(P$4:S11)+SUM(AZ11:BC11)</f>
        <v>#REF!</v>
      </c>
      <c r="DA11" s="39" t="e">
        <f ca="1">H11+SUM(T$4:U11)+SUM(BD11:BE11)</f>
        <v>#REF!</v>
      </c>
      <c r="DB11" s="3" t="e">
        <f ca="1">I11+SUM(V$4:W11)+SUM(BF11:BG11)</f>
        <v>#REF!</v>
      </c>
      <c r="DC11" s="39" t="e">
        <f ca="1">J11+SUM(X$4:Y11)+SUM(BH11:BI11)</f>
        <v>#REF!</v>
      </c>
      <c r="DD11" s="39" t="e">
        <f ca="1">K11+SUM(AB$4:AD11)+SUM(BL11:BN11)</f>
        <v>#REF!</v>
      </c>
      <c r="DE11" s="3" t="e">
        <f ca="1">L11+SUM(AE$4:AE11)+BO11</f>
        <v>#REF!</v>
      </c>
      <c r="DF11" s="39" t="e">
        <f ca="1">M11+SUM(AG$4:AG11)+BQ11</f>
        <v>#REF!</v>
      </c>
      <c r="DG11" s="39" t="e">
        <f t="array" ref="DG11">INDEX(#REF!,ROW()-ROW(#REF!),MATCH("Total "&amp;home_land,#REF!,0))+#REF!</f>
        <v>#REF!</v>
      </c>
      <c r="DH11" s="3" t="e">
        <f ca="1">SUM(O$4:O11)+AY11</f>
        <v>#REF!</v>
      </c>
      <c r="DI11" s="3" t="e">
        <f t="shared" ca="1" si="0"/>
        <v>#REF!</v>
      </c>
      <c r="DJ11" s="3" t="e">
        <f t="shared" ca="1" si="1"/>
        <v>#REF!</v>
      </c>
    </row>
    <row r="12" spans="1:114" x14ac:dyDescent="0.25">
      <c r="A12" s="160" t="e">
        <f>#REF!</f>
        <v>#REF!</v>
      </c>
      <c r="B12" s="161" t="e">
        <f>SUM(#REF!)</f>
        <v>#REF!</v>
      </c>
      <c r="C12" s="162" t="e">
        <f>SUM(#REF!)</f>
        <v>#REF!</v>
      </c>
      <c r="D12" s="162">
        <f>SUM(O$4:AG12)</f>
        <v>0</v>
      </c>
      <c r="E12" s="163"/>
      <c r="F12" s="61" t="e">
        <f>#REF!+#REF!+#REF!</f>
        <v>#REF!</v>
      </c>
      <c r="G12" s="171" t="e">
        <f ca="1">OFFSET(#REF!,-1,0)+#REF!</f>
        <v>#REF!</v>
      </c>
      <c r="H12" s="166" t="e">
        <f ca="1">OFFSET(#REF!,-1,0)+#REF!</f>
        <v>#REF!</v>
      </c>
      <c r="I12" s="341" t="e">
        <f ca="1">OFFSET(#REF!,-1,0)+#REF!</f>
        <v>#REF!</v>
      </c>
      <c r="J12" s="345" t="e">
        <f ca="1">OFFSET(#REF!,-1,0)+#REF!</f>
        <v>#REF!</v>
      </c>
      <c r="K12" s="349" t="e">
        <f ca="1">OFFSET(#REF!,-1,0)+#REF!</f>
        <v>#REF!</v>
      </c>
      <c r="L12" s="169" t="e">
        <f ca="1">OFFSET(#REF!,-1,0)+#REF!</f>
        <v>#REF!</v>
      </c>
      <c r="M12" s="170" t="e">
        <f ca="1">OFFSET(#REF!,-1,0)+#REF!</f>
        <v>#REF!</v>
      </c>
      <c r="N12" s="339" t="e">
        <f>#REF!</f>
        <v>#REF!</v>
      </c>
      <c r="O12" s="164"/>
      <c r="P12" s="164"/>
      <c r="Q12" s="164"/>
      <c r="R12" s="146"/>
      <c r="S12" s="164"/>
      <c r="T12" s="164"/>
      <c r="U12" s="164"/>
      <c r="V12" s="164"/>
      <c r="W12" s="164"/>
      <c r="X12" s="164"/>
      <c r="Y12" s="164"/>
      <c r="Z12" s="164"/>
      <c r="AA12" s="164"/>
      <c r="AB12" s="164"/>
      <c r="AC12" s="164"/>
      <c r="AD12" s="164"/>
      <c r="AE12" s="164"/>
      <c r="AF12" s="164"/>
      <c r="AG12" s="164"/>
      <c r="AH12" s="53" t="e">
        <f>#REF!</f>
        <v>#REF!</v>
      </c>
      <c r="AI12" s="132" t="e">
        <f>MIN(25%,(#REF!+#REF!)/(#REF!-#REF!*20))</f>
        <v>#REF!</v>
      </c>
      <c r="AJ12" s="132" t="e">
        <f>MIN(25%,(#REF!+#REF!)/#REF!)</f>
        <v>#REF!</v>
      </c>
      <c r="AK12" s="39" t="e">
        <f>#REF!</f>
        <v>#REF!</v>
      </c>
      <c r="AL12" s="39" t="e">
        <f>#REF!</f>
        <v>#REF!</v>
      </c>
      <c r="AM12" s="39" t="e">
        <f>ROUNDDOWN( MAX((1 - MIN(facs_constr_factor*#REF!,facs_constr_max) + tech_2_3*#REF! + tech_2_6_2*#REF! + tech_2_10*#REF! + tech_4_6*#REF! + tech_6_3*#REF! + tech_9_2*#REF! + race_construction_cost), 1-global_constr_cap) *#REF!,0)</f>
        <v>#REF!</v>
      </c>
      <c r="AN12" s="39" t="e">
        <f>ROUNDDOWN( MAX(1 - MIN(facs_constr_factor*#REF!,facs_constr_max) + tech_1_11*#REF! + tech_6_3_2*#REF! + tech_5_2_3*#REF!, 1-global_constr_cap) *#REF!,0)</f>
        <v>#REF!</v>
      </c>
      <c r="AO12" s="39" t="e">
        <f>ROUNDDOWN( MAX((1 - MIN(facs_constr_factor*#REF!,facs_constr_max) + tech_2_3*#REF! + tech_2_6_2*#REF! + tech_2_10*#REF! + tech_4_6*#REF! + tech_6_3*#REF! + tech_9_2*#REF! + race_construction_cost), 1-global_constr_cap) * (ROUND((#REF!-250)*1.25 + 850 + 0,0)),0)</f>
        <v>#REF!</v>
      </c>
      <c r="AP12" s="39" t="e">
        <f>ROUNDDOWN( MAX(1 - MIN(facs_constr_factor*#REF!,facs_constr_max) + tech_1_11*#REF! + tech_6_3_2*#REF! + tech_5_2_3*#REF!, 1-global_constr_cap) * ROUND((#REF!-250)*0.285 + 87.5 + 0/4.25,0),0)</f>
        <v>#REF!</v>
      </c>
      <c r="AQ12" s="3" t="e">
        <f>#REF!*#REF! +#REF! *#REF!</f>
        <v>#REF!</v>
      </c>
      <c r="AR12" s="3" t="e">
        <f>#REF!*#REF!+#REF!*#REF!</f>
        <v>#REF!</v>
      </c>
      <c r="AS12" s="39" t="e">
        <f ca="1">MIN(SUM(OFFSET(#REF!,-1,0))+SUM(#REF!)+IF(#REF!&gt;12,SUM(OFFSET(#REF!,-12,0)),0),SUM(#REF!))</f>
        <v>#REF!</v>
      </c>
      <c r="AT12" s="3" t="e">
        <f ca="1">IF(#REF!&lt;&gt;0,MAX(0, MIN(20, 20 + SUM(#REF!) - SUM(#REF!) - SUM(OFFSET(#REF!,-1,0)) - IF(#REF!&gt;12,SUM(OFFSET(#REF!,-12,0)),0) - 20*#REF!)),0)</f>
        <v>#REF!</v>
      </c>
      <c r="AU12" s="134"/>
      <c r="AV12" s="39" t="e">
        <f>ROUND((#REF!-250 - IF(#REF!&lt;&gt;0,20,0))*1.25 + 850 + 0,0)</f>
        <v>#REF!</v>
      </c>
      <c r="AW12" s="39" t="e">
        <f>ROUND((#REF!-250 - IF(#REF!&lt;&gt;0,20,0))*0.285 + 87.5 + 0/4.25,0)</f>
        <v>#REF!</v>
      </c>
      <c r="AX12" s="133"/>
      <c r="AY12" s="172" t="e">
        <f t="array" aca="1" ref="AY12" ca="1">IF(#REF!&gt;12,OFFSET(#REF!,-12,0),0)+OFFSET(#REF!,-1,0)-#REF!</f>
        <v>#REF!</v>
      </c>
      <c r="AZ12" s="173" t="e">
        <f t="array" aca="1" ref="AZ12" ca="1">IF(#REF!&gt;12,OFFSET(#REF!,-12,0),0)+OFFSET(#REF!,-1,0)-#REF!</f>
        <v>#REF!</v>
      </c>
      <c r="BA12" s="173" t="e">
        <f t="array" aca="1" ref="BA12" ca="1">IF(#REF!&gt;12,OFFSET(#REF!,-12,0),0)+OFFSET(#REF!,-1,0)-#REF!</f>
        <v>#REF!</v>
      </c>
      <c r="BB12" s="173" t="e">
        <f t="array" aca="1" ref="BB12" ca="1">IF(#REF!&gt;12,OFFSET(#REF!,-12,0),0)+OFFSET(#REF!,-1,0)-#REF!</f>
        <v>#REF!</v>
      </c>
      <c r="BC12" s="173" t="e">
        <f t="array" aca="1" ref="BC12" ca="1">IF(#REF!&gt;12,OFFSET(#REF!,-12,0),0)+OFFSET(#REF!,-1,0)-#REF!</f>
        <v>#REF!</v>
      </c>
      <c r="BD12" s="174" t="e">
        <f t="array" aca="1" ref="BD12" ca="1">IF(#REF!&gt;12,OFFSET(#REF!,-12,0),0)+OFFSET(#REF!,-1,0)-#REF!</f>
        <v>#REF!</v>
      </c>
      <c r="BE12" s="174" t="e">
        <f t="array" aca="1" ref="BE12" ca="1">IF(#REF!&gt;12,OFFSET(#REF!,-12,0),0)+OFFSET(#REF!,-1,0)-#REF!</f>
        <v>#REF!</v>
      </c>
      <c r="BF12" s="343" t="e">
        <f t="array" aca="1" ref="BF12" ca="1">IF(#REF!&gt;12,OFFSET(#REF!,-12,0),0)+OFFSET(#REF!,-1,0)-#REF!</f>
        <v>#REF!</v>
      </c>
      <c r="BG12" s="343" t="e">
        <f t="array" aca="1" ref="BG12" ca="1">IF(#REF!&gt;12,OFFSET(#REF!,-12,0),0)+OFFSET(#REF!,-1,0)-#REF!</f>
        <v>#REF!</v>
      </c>
      <c r="BH12" s="347" t="e">
        <f t="array" aca="1" ref="BH12" ca="1">IF(#REF!&gt;12,OFFSET(#REF!,-12,0),0)+OFFSET(#REF!,-1,0)-#REF!</f>
        <v>#REF!</v>
      </c>
      <c r="BI12" s="347" t="e">
        <f t="array" aca="1" ref="BI12" ca="1">IF(#REF!&gt;12,OFFSET(#REF!,-12,0),0)+OFFSET(#REF!,-1,0)-#REF!</f>
        <v>#REF!</v>
      </c>
      <c r="BJ12" s="347" t="e">
        <f t="array" aca="1" ref="BJ12" ca="1">IF(#REF!&gt;12,OFFSET(#REF!,-12,0),0)+OFFSET(#REF!,-1,0)-#REF!</f>
        <v>#REF!</v>
      </c>
      <c r="BK12" s="347" t="e">
        <f t="array" aca="1" ref="BK12" ca="1">IF(#REF!&gt;12,OFFSET(#REF!,-12,0),0)+OFFSET(#REF!,-1,0)-#REF!</f>
        <v>#REF!</v>
      </c>
      <c r="BL12" s="351" t="e">
        <f t="array" aca="1" ref="BL12" ca="1">IF(#REF!&gt;12,OFFSET(#REF!,-12,0),0)+OFFSET(#REF!,-1,0)-#REF!</f>
        <v>#REF!</v>
      </c>
      <c r="BM12" s="351" t="e">
        <f t="array" aca="1" ref="BM12" ca="1">IF(#REF!&gt;12,OFFSET(#REF!,-12,0),0)+OFFSET(#REF!,-1,0)-#REF!</f>
        <v>#REF!</v>
      </c>
      <c r="BN12" s="351" t="e">
        <f t="array" aca="1" ref="BN12" ca="1">IF(#REF!&gt;12,OFFSET(#REF!,-12,0),0)+OFFSET(#REF!,-1,0)-#REF!</f>
        <v>#REF!</v>
      </c>
      <c r="BO12" s="175" t="e">
        <f t="array" aca="1" ref="BO12" ca="1">IF(#REF!&gt;12,OFFSET(#REF!,-12,0),0)+OFFSET(#REF!,-1,0)-#REF!</f>
        <v>#REF!</v>
      </c>
      <c r="BP12" s="175" t="e">
        <f t="array" aca="1" ref="BP12" ca="1">IF(#REF!&gt;12,OFFSET(#REF!,-12,0),0)+OFFSET(#REF!,-1,0)-#REF!</f>
        <v>#REF!</v>
      </c>
      <c r="BQ12" s="176" t="e">
        <f t="array" aca="1" ref="BQ12" ca="1">IF(#REF!&gt;12,OFFSET(#REF!,-12,0),0)+OFFSET(#REF!,-1,0)-#REF!</f>
        <v>#REF!</v>
      </c>
      <c r="BR12" s="134"/>
      <c r="BS12" s="133"/>
      <c r="BT12" s="39" t="e">
        <f>#REF!</f>
        <v>#REF!</v>
      </c>
      <c r="BU12" s="147" t="e">
        <f>#REF!</f>
        <v>#REF!</v>
      </c>
      <c r="BV12" s="134"/>
      <c r="BW12" s="164"/>
      <c r="BX12" s="164"/>
      <c r="BY12" s="164"/>
      <c r="BZ12" s="164"/>
      <c r="CA12" s="164"/>
      <c r="CB12" s="164"/>
      <c r="CC12" s="164"/>
      <c r="CD12" s="164"/>
      <c r="CE12" s="164"/>
      <c r="CF12" s="164"/>
      <c r="CG12" s="164"/>
      <c r="CH12" s="164"/>
      <c r="CI12" s="164"/>
      <c r="CJ12" s="164"/>
      <c r="CK12" s="164"/>
      <c r="CL12" s="164"/>
      <c r="CM12" s="164"/>
      <c r="CN12" s="164"/>
      <c r="CO12" s="164"/>
      <c r="CP12" s="134"/>
      <c r="CQ12" s="165" t="e">
        <f ca="1">-SUM(#REF!)+SUM(#REF!)+Rezone!L12+IF("Ch_"&amp; home_land=#REF!,#REF!)+IF(#REF!&gt;12,OFFSET(#REF!,-12,0),0)</f>
        <v>#REF!</v>
      </c>
      <c r="CR12" s="166" t="e">
        <f ca="1">-SUM(#REF!)+SUM(#REF!) +Rezone!M12 + IF("Ch_"&amp; home_land=#REF!,#REF!)+IF(#REF!&gt;12,OFFSET(#REF!,-12,0),0)</f>
        <v>#REF!</v>
      </c>
      <c r="CS12" s="341" t="e">
        <f ca="1">-SUM(#REF!)+SUM(#REF!) +Rezone!N12 + IF("Ch_"&amp; home_land=#REF!,#REF!)+IF(#REF!&gt;12,OFFSET(#REF!,-12,0),0)</f>
        <v>#REF!</v>
      </c>
      <c r="CT12" s="167" t="e">
        <f ca="1">-SUM(#REF!)+SUM(#REF!) +Rezone!O12 + IF("Ch_" &amp; home_land=#REF!,#REF!)+IF(#REF!&gt;12,OFFSET(#REF!,-12,0),0)</f>
        <v>#REF!</v>
      </c>
      <c r="CU12" s="168" t="e">
        <f ca="1">-SUM(#REF!)+SUM(#REF!) +Rezone!P12 + IF("Ch_" &amp; home_land=#REF!,#REF!)+IF(#REF!&gt;12,OFFSET(#REF!,-12,0),0)</f>
        <v>#REF!</v>
      </c>
      <c r="CV12" s="169" t="e">
        <f ca="1">- SUM(#REF!)+SUM(#REF!) +Rezone!Q12 + IF("Ch_" &amp; home_land=#REF!,#REF!)+IF(#REF!&gt;12,OFFSET(#REF!,-12,0),0)</f>
        <v>#REF!</v>
      </c>
      <c r="CW12" s="170" t="e">
        <f ca="1">-#REF!+#REF! +Rezone!R12 + IF("Ch_" &amp; home_land=#REF!,#REF!)+IF(#REF!&gt;12,OFFSET(#REF!,-12,0),0)</f>
        <v>#REF!</v>
      </c>
      <c r="CX12" s="3" t="e">
        <f>IF(Explore!S12=1,20) -#REF! +#REF!</f>
        <v>#REF!</v>
      </c>
      <c r="CY12" s="134"/>
      <c r="CZ12" s="39" t="e">
        <f ca="1">G12+SUM(P$4:S12)+SUM(AZ12:BC12)</f>
        <v>#REF!</v>
      </c>
      <c r="DA12" s="39" t="e">
        <f ca="1">H12+SUM(T$4:U12)+SUM(BD12:BE12)</f>
        <v>#REF!</v>
      </c>
      <c r="DB12" s="3" t="e">
        <f ca="1">I12+SUM(V$4:W12)+SUM(BF12:BG12)</f>
        <v>#REF!</v>
      </c>
      <c r="DC12" s="39" t="e">
        <f ca="1">J12+SUM(X$4:Y12)+SUM(BH12:BI12)</f>
        <v>#REF!</v>
      </c>
      <c r="DD12" s="39" t="e">
        <f ca="1">K12+SUM(AB$4:AD12)+SUM(BL12:BN12)</f>
        <v>#REF!</v>
      </c>
      <c r="DE12" s="3" t="e">
        <f ca="1">L12+SUM(AE$4:AE12)+BO12</f>
        <v>#REF!</v>
      </c>
      <c r="DF12" s="39" t="e">
        <f ca="1">M12+SUM(AG$4:AG12)+BQ12</f>
        <v>#REF!</v>
      </c>
      <c r="DG12" s="39" t="e">
        <f t="array" ref="DG12">INDEX(#REF!,ROW()-ROW(#REF!),MATCH("Total "&amp;home_land,#REF!,0))+#REF!</f>
        <v>#REF!</v>
      </c>
      <c r="DH12" s="3" t="e">
        <f ca="1">SUM(O$4:O12)+AY12</f>
        <v>#REF!</v>
      </c>
      <c r="DI12" s="3" t="e">
        <f t="shared" ca="1" si="0"/>
        <v>#REF!</v>
      </c>
      <c r="DJ12" s="3" t="e">
        <f t="shared" ca="1" si="1"/>
        <v>#REF!</v>
      </c>
    </row>
    <row r="13" spans="1:114" x14ac:dyDescent="0.25">
      <c r="A13" s="160" t="e">
        <f>#REF!</f>
        <v>#REF!</v>
      </c>
      <c r="B13" s="161" t="e">
        <f>SUM(#REF!)</f>
        <v>#REF!</v>
      </c>
      <c r="C13" s="162" t="e">
        <f>SUM(#REF!)</f>
        <v>#REF!</v>
      </c>
      <c r="D13" s="162">
        <f>SUM(O$4:AG13)</f>
        <v>0</v>
      </c>
      <c r="E13" s="163"/>
      <c r="F13" s="61" t="e">
        <f>#REF!+#REF!+#REF!</f>
        <v>#REF!</v>
      </c>
      <c r="G13" s="171" t="e">
        <f ca="1">OFFSET(#REF!,-1,0)+#REF!</f>
        <v>#REF!</v>
      </c>
      <c r="H13" s="166" t="e">
        <f ca="1">OFFSET(#REF!,-1,0)+#REF!</f>
        <v>#REF!</v>
      </c>
      <c r="I13" s="341" t="e">
        <f ca="1">OFFSET(#REF!,-1,0)+#REF!</f>
        <v>#REF!</v>
      </c>
      <c r="J13" s="345" t="e">
        <f ca="1">OFFSET(#REF!,-1,0)+#REF!</f>
        <v>#REF!</v>
      </c>
      <c r="K13" s="349" t="e">
        <f ca="1">OFFSET(#REF!,-1,0)+#REF!</f>
        <v>#REF!</v>
      </c>
      <c r="L13" s="169" t="e">
        <f ca="1">OFFSET(#REF!,-1,0)+#REF!</f>
        <v>#REF!</v>
      </c>
      <c r="M13" s="170" t="e">
        <f ca="1">OFFSET(#REF!,-1,0)+#REF!</f>
        <v>#REF!</v>
      </c>
      <c r="N13" s="339" t="e">
        <f>#REF!</f>
        <v>#REF!</v>
      </c>
      <c r="O13" s="164"/>
      <c r="P13" s="164"/>
      <c r="Q13" s="164"/>
      <c r="R13" s="146"/>
      <c r="S13" s="164"/>
      <c r="T13" s="164"/>
      <c r="U13" s="164"/>
      <c r="V13" s="164"/>
      <c r="W13" s="164"/>
      <c r="X13" s="164"/>
      <c r="Y13" s="164"/>
      <c r="Z13" s="164"/>
      <c r="AA13" s="164"/>
      <c r="AB13" s="164"/>
      <c r="AC13" s="164"/>
      <c r="AD13" s="164"/>
      <c r="AE13" s="164"/>
      <c r="AF13" s="164"/>
      <c r="AG13" s="164"/>
      <c r="AH13" s="53" t="e">
        <f>#REF!</f>
        <v>#REF!</v>
      </c>
      <c r="AI13" s="132" t="e">
        <f>MIN(25%,(#REF!+#REF!)/(#REF!-#REF!*20))</f>
        <v>#REF!</v>
      </c>
      <c r="AJ13" s="132" t="e">
        <f>MIN(25%,(#REF!+#REF!)/#REF!)</f>
        <v>#REF!</v>
      </c>
      <c r="AK13" s="39" t="e">
        <f>#REF!</f>
        <v>#REF!</v>
      </c>
      <c r="AL13" s="39" t="e">
        <f>#REF!</f>
        <v>#REF!</v>
      </c>
      <c r="AM13" s="39" t="e">
        <f>ROUNDDOWN( MAX((1 - MIN(facs_constr_factor*#REF!,facs_constr_max) + tech_2_3*#REF! + tech_2_6_2*#REF! + tech_2_10*#REF! + tech_4_6*#REF! + tech_6_3*#REF! + tech_9_2*#REF! + race_construction_cost), 1-global_constr_cap) *#REF!,0)</f>
        <v>#REF!</v>
      </c>
      <c r="AN13" s="39" t="e">
        <f>ROUNDDOWN( MAX(1 - MIN(facs_constr_factor*#REF!,facs_constr_max) + tech_1_11*#REF! + tech_6_3_2*#REF! + tech_5_2_3*#REF!, 1-global_constr_cap) *#REF!,0)</f>
        <v>#REF!</v>
      </c>
      <c r="AO13" s="39" t="e">
        <f>ROUNDDOWN( MAX((1 - MIN(facs_constr_factor*#REF!,facs_constr_max) + tech_2_3*#REF! + tech_2_6_2*#REF! + tech_2_10*#REF! + tech_4_6*#REF! + tech_6_3*#REF! + tech_9_2*#REF! + race_construction_cost), 1-global_constr_cap) * (ROUND((#REF!-250)*1.25 + 850 + 0,0)),0)</f>
        <v>#REF!</v>
      </c>
      <c r="AP13" s="39" t="e">
        <f>ROUNDDOWN( MAX(1 - MIN(facs_constr_factor*#REF!,facs_constr_max) + tech_1_11*#REF! + tech_6_3_2*#REF! + tech_5_2_3*#REF!, 1-global_constr_cap) * ROUND((#REF!-250)*0.285 + 87.5 + 0/4.25,0),0)</f>
        <v>#REF!</v>
      </c>
      <c r="AQ13" s="3" t="e">
        <f>#REF!*#REF! +#REF! *#REF!</f>
        <v>#REF!</v>
      </c>
      <c r="AR13" s="3" t="e">
        <f>#REF!*#REF!+#REF!*#REF!</f>
        <v>#REF!</v>
      </c>
      <c r="AS13" s="39" t="e">
        <f ca="1">MIN(SUM(OFFSET(#REF!,-1,0))+SUM(#REF!)+IF(#REF!&gt;12,SUM(OFFSET(#REF!,-12,0)),0),SUM(#REF!))</f>
        <v>#REF!</v>
      </c>
      <c r="AT13" s="3" t="e">
        <f ca="1">IF(#REF!&lt;&gt;0,MAX(0, MIN(20, 20 + SUM(#REF!) - SUM(#REF!) - SUM(OFFSET(#REF!,-1,0)) - IF(#REF!&gt;12,SUM(OFFSET(#REF!,-12,0)),0) - 20*#REF!)),0)</f>
        <v>#REF!</v>
      </c>
      <c r="AU13" s="134"/>
      <c r="AV13" s="39" t="e">
        <f>ROUND((#REF!-250 - IF(#REF!&lt;&gt;0,20,0))*1.25 + 850 + 0,0)</f>
        <v>#REF!</v>
      </c>
      <c r="AW13" s="39" t="e">
        <f>ROUND((#REF!-250 - IF(#REF!&lt;&gt;0,20,0))*0.285 + 87.5 + 0/4.25,0)</f>
        <v>#REF!</v>
      </c>
      <c r="AX13" s="133"/>
      <c r="AY13" s="172" t="e">
        <f t="array" aca="1" ref="AY13" ca="1">IF(#REF!&gt;12,OFFSET(#REF!,-12,0),0)+OFFSET(#REF!,-1,0)-#REF!</f>
        <v>#REF!</v>
      </c>
      <c r="AZ13" s="173" t="e">
        <f t="array" aca="1" ref="AZ13" ca="1">IF(#REF!&gt;12,OFFSET(#REF!,-12,0),0)+OFFSET(#REF!,-1,0)-#REF!</f>
        <v>#REF!</v>
      </c>
      <c r="BA13" s="173" t="e">
        <f t="array" aca="1" ref="BA13" ca="1">IF(#REF!&gt;12,OFFSET(#REF!,-12,0),0)+OFFSET(#REF!,-1,0)-#REF!</f>
        <v>#REF!</v>
      </c>
      <c r="BB13" s="173" t="e">
        <f t="array" aca="1" ref="BB13" ca="1">IF(#REF!&gt;12,OFFSET(#REF!,-12,0),0)+OFFSET(#REF!,-1,0)-#REF!</f>
        <v>#REF!</v>
      </c>
      <c r="BC13" s="173" t="e">
        <f t="array" aca="1" ref="BC13" ca="1">IF(#REF!&gt;12,OFFSET(#REF!,-12,0),0)+OFFSET(#REF!,-1,0)-#REF!</f>
        <v>#REF!</v>
      </c>
      <c r="BD13" s="174" t="e">
        <f t="array" aca="1" ref="BD13" ca="1">IF(#REF!&gt;12,OFFSET(#REF!,-12,0),0)+OFFSET(#REF!,-1,0)-#REF!</f>
        <v>#REF!</v>
      </c>
      <c r="BE13" s="174" t="e">
        <f t="array" aca="1" ref="BE13" ca="1">IF(#REF!&gt;12,OFFSET(#REF!,-12,0),0)+OFFSET(#REF!,-1,0)-#REF!</f>
        <v>#REF!</v>
      </c>
      <c r="BF13" s="343" t="e">
        <f t="array" aca="1" ref="BF13" ca="1">IF(#REF!&gt;12,OFFSET(#REF!,-12,0),0)+OFFSET(#REF!,-1,0)-#REF!</f>
        <v>#REF!</v>
      </c>
      <c r="BG13" s="343" t="e">
        <f t="array" aca="1" ref="BG13" ca="1">IF(#REF!&gt;12,OFFSET(#REF!,-12,0),0)+OFFSET(#REF!,-1,0)-#REF!</f>
        <v>#REF!</v>
      </c>
      <c r="BH13" s="347" t="e">
        <f t="array" aca="1" ref="BH13" ca="1">IF(#REF!&gt;12,OFFSET(#REF!,-12,0),0)+OFFSET(#REF!,-1,0)-#REF!</f>
        <v>#REF!</v>
      </c>
      <c r="BI13" s="347" t="e">
        <f t="array" aca="1" ref="BI13" ca="1">IF(#REF!&gt;12,OFFSET(#REF!,-12,0),0)+OFFSET(#REF!,-1,0)-#REF!</f>
        <v>#REF!</v>
      </c>
      <c r="BJ13" s="347" t="e">
        <f t="array" aca="1" ref="BJ13" ca="1">IF(#REF!&gt;12,OFFSET(#REF!,-12,0),0)+OFFSET(#REF!,-1,0)-#REF!</f>
        <v>#REF!</v>
      </c>
      <c r="BK13" s="347" t="e">
        <f t="array" aca="1" ref="BK13" ca="1">IF(#REF!&gt;12,OFFSET(#REF!,-12,0),0)+OFFSET(#REF!,-1,0)-#REF!</f>
        <v>#REF!</v>
      </c>
      <c r="BL13" s="351" t="e">
        <f t="array" aca="1" ref="BL13" ca="1">IF(#REF!&gt;12,OFFSET(#REF!,-12,0),0)+OFFSET(#REF!,-1,0)-#REF!</f>
        <v>#REF!</v>
      </c>
      <c r="BM13" s="351" t="e">
        <f t="array" aca="1" ref="BM13" ca="1">IF(#REF!&gt;12,OFFSET(#REF!,-12,0),0)+OFFSET(#REF!,-1,0)-#REF!</f>
        <v>#REF!</v>
      </c>
      <c r="BN13" s="351" t="e">
        <f t="array" aca="1" ref="BN13" ca="1">IF(#REF!&gt;12,OFFSET(#REF!,-12,0),0)+OFFSET(#REF!,-1,0)-#REF!</f>
        <v>#REF!</v>
      </c>
      <c r="BO13" s="175" t="e">
        <f t="array" aca="1" ref="BO13" ca="1">IF(#REF!&gt;12,OFFSET(#REF!,-12,0),0)+OFFSET(#REF!,-1,0)-#REF!</f>
        <v>#REF!</v>
      </c>
      <c r="BP13" s="175" t="e">
        <f t="array" aca="1" ref="BP13" ca="1">IF(#REF!&gt;12,OFFSET(#REF!,-12,0),0)+OFFSET(#REF!,-1,0)-#REF!</f>
        <v>#REF!</v>
      </c>
      <c r="BQ13" s="176" t="e">
        <f t="array" aca="1" ref="BQ13" ca="1">IF(#REF!&gt;12,OFFSET(#REF!,-12,0),0)+OFFSET(#REF!,-1,0)-#REF!</f>
        <v>#REF!</v>
      </c>
      <c r="BR13" s="134"/>
      <c r="BS13" s="133"/>
      <c r="BT13" s="39" t="e">
        <f>#REF!</f>
        <v>#REF!</v>
      </c>
      <c r="BU13" s="147" t="e">
        <f>#REF!</f>
        <v>#REF!</v>
      </c>
      <c r="BV13" s="134"/>
      <c r="BW13" s="164"/>
      <c r="BX13" s="164"/>
      <c r="BY13" s="164"/>
      <c r="BZ13" s="164"/>
      <c r="CA13" s="164"/>
      <c r="CB13" s="164"/>
      <c r="CC13" s="164"/>
      <c r="CD13" s="164"/>
      <c r="CE13" s="164"/>
      <c r="CF13" s="164"/>
      <c r="CG13" s="164"/>
      <c r="CH13" s="164"/>
      <c r="CI13" s="164"/>
      <c r="CJ13" s="164"/>
      <c r="CK13" s="164"/>
      <c r="CL13" s="164"/>
      <c r="CM13" s="164"/>
      <c r="CN13" s="164"/>
      <c r="CO13" s="164"/>
      <c r="CP13" s="134"/>
      <c r="CQ13" s="165" t="e">
        <f ca="1">-SUM(#REF!)+SUM(#REF!)+Rezone!L13+IF("Ch_"&amp; home_land=#REF!,#REF!)+IF(#REF!&gt;12,OFFSET(#REF!,-12,0),0)</f>
        <v>#REF!</v>
      </c>
      <c r="CR13" s="166" t="e">
        <f ca="1">-SUM(#REF!)+SUM(#REF!) +Rezone!M13 + IF("Ch_"&amp; home_land=#REF!,#REF!)+IF(#REF!&gt;12,OFFSET(#REF!,-12,0),0)</f>
        <v>#REF!</v>
      </c>
      <c r="CS13" s="341" t="e">
        <f ca="1">-SUM(#REF!)+SUM(#REF!) +Rezone!N13 + IF("Ch_"&amp; home_land=#REF!,#REF!)+IF(#REF!&gt;12,OFFSET(#REF!,-12,0),0)</f>
        <v>#REF!</v>
      </c>
      <c r="CT13" s="167" t="e">
        <f ca="1">-SUM(#REF!)+SUM(#REF!) +Rezone!O13 + IF("Ch_" &amp; home_land=#REF!,#REF!)+IF(#REF!&gt;12,OFFSET(#REF!,-12,0),0)</f>
        <v>#REF!</v>
      </c>
      <c r="CU13" s="168" t="e">
        <f ca="1">-SUM(#REF!)+SUM(#REF!) +Rezone!P13 + IF("Ch_" &amp; home_land=#REF!,#REF!)+IF(#REF!&gt;12,OFFSET(#REF!,-12,0),0)</f>
        <v>#REF!</v>
      </c>
      <c r="CV13" s="169" t="e">
        <f ca="1">- SUM(#REF!)+SUM(#REF!) +Rezone!Q13 + IF("Ch_" &amp; home_land=#REF!,#REF!)+IF(#REF!&gt;12,OFFSET(#REF!,-12,0),0)</f>
        <v>#REF!</v>
      </c>
      <c r="CW13" s="170" t="e">
        <f ca="1">-#REF!+#REF! +Rezone!R13 + IF("Ch_" &amp; home_land=#REF!,#REF!)+IF(#REF!&gt;12,OFFSET(#REF!,-12,0),0)</f>
        <v>#REF!</v>
      </c>
      <c r="CX13" s="3" t="e">
        <f>IF(Explore!S13=1,20) -#REF! +#REF!</f>
        <v>#REF!</v>
      </c>
      <c r="CY13" s="134"/>
      <c r="CZ13" s="39" t="e">
        <f ca="1">G13+SUM(P$4:S13)+SUM(AZ13:BC13)</f>
        <v>#REF!</v>
      </c>
      <c r="DA13" s="39" t="e">
        <f ca="1">H13+SUM(T$4:U13)+SUM(BD13:BE13)</f>
        <v>#REF!</v>
      </c>
      <c r="DB13" s="3" t="e">
        <f ca="1">I13+SUM(V$4:W13)+SUM(BF13:BG13)</f>
        <v>#REF!</v>
      </c>
      <c r="DC13" s="39" t="e">
        <f ca="1">J13+SUM(X$4:Y13)+SUM(BH13:BI13)</f>
        <v>#REF!</v>
      </c>
      <c r="DD13" s="39" t="e">
        <f ca="1">K13+SUM(AB$4:AD13)+SUM(BL13:BN13)</f>
        <v>#REF!</v>
      </c>
      <c r="DE13" s="3" t="e">
        <f ca="1">L13+SUM(AE$4:AE13)+BO13</f>
        <v>#REF!</v>
      </c>
      <c r="DF13" s="39" t="e">
        <f ca="1">M13+SUM(AG$4:AG13)+BQ13</f>
        <v>#REF!</v>
      </c>
      <c r="DG13" s="39" t="e">
        <f t="array" ref="DG13">INDEX(#REF!,ROW()-ROW(#REF!),MATCH("Total "&amp;home_land,#REF!,0))+#REF!</f>
        <v>#REF!</v>
      </c>
      <c r="DH13" s="3" t="e">
        <f ca="1">SUM(O$4:O13)+AY13</f>
        <v>#REF!</v>
      </c>
      <c r="DI13" s="3" t="e">
        <f t="shared" ca="1" si="0"/>
        <v>#REF!</v>
      </c>
      <c r="DJ13" s="3" t="e">
        <f t="shared" ca="1" si="1"/>
        <v>#REF!</v>
      </c>
    </row>
    <row r="14" spans="1:114" x14ac:dyDescent="0.25">
      <c r="A14" s="160" t="e">
        <f>#REF!</f>
        <v>#REF!</v>
      </c>
      <c r="B14" s="161" t="e">
        <f>SUM(#REF!)</f>
        <v>#REF!</v>
      </c>
      <c r="C14" s="162" t="e">
        <f>SUM(#REF!)</f>
        <v>#REF!</v>
      </c>
      <c r="D14" s="162">
        <f>SUM(O$4:AG14)</f>
        <v>0</v>
      </c>
      <c r="E14" s="163"/>
      <c r="F14" s="61" t="e">
        <f>#REF!+#REF!+#REF!</f>
        <v>#REF!</v>
      </c>
      <c r="G14" s="171" t="e">
        <f ca="1">OFFSET(#REF!,-1,0)+#REF!</f>
        <v>#REF!</v>
      </c>
      <c r="H14" s="166" t="e">
        <f ca="1">OFFSET(#REF!,-1,0)+#REF!</f>
        <v>#REF!</v>
      </c>
      <c r="I14" s="341" t="e">
        <f ca="1">OFFSET(#REF!,-1,0)+#REF!</f>
        <v>#REF!</v>
      </c>
      <c r="J14" s="345" t="e">
        <f ca="1">OFFSET(#REF!,-1,0)+#REF!</f>
        <v>#REF!</v>
      </c>
      <c r="K14" s="349" t="e">
        <f ca="1">OFFSET(#REF!,-1,0)+#REF!</f>
        <v>#REF!</v>
      </c>
      <c r="L14" s="169" t="e">
        <f ca="1">OFFSET(#REF!,-1,0)+#REF!</f>
        <v>#REF!</v>
      </c>
      <c r="M14" s="170" t="e">
        <f ca="1">OFFSET(#REF!,-1,0)+#REF!</f>
        <v>#REF!</v>
      </c>
      <c r="N14" s="339" t="e">
        <f>#REF!</f>
        <v>#REF!</v>
      </c>
      <c r="O14" s="164"/>
      <c r="P14" s="164"/>
      <c r="Q14" s="164"/>
      <c r="R14" s="146"/>
      <c r="S14" s="164"/>
      <c r="T14" s="164"/>
      <c r="U14" s="164"/>
      <c r="V14" s="164"/>
      <c r="W14" s="164"/>
      <c r="X14" s="164"/>
      <c r="Y14" s="164"/>
      <c r="Z14" s="164"/>
      <c r="AA14" s="164"/>
      <c r="AB14" s="164"/>
      <c r="AC14" s="164"/>
      <c r="AD14" s="164"/>
      <c r="AE14" s="164"/>
      <c r="AF14" s="164"/>
      <c r="AG14" s="164"/>
      <c r="AH14" s="53" t="e">
        <f>#REF!</f>
        <v>#REF!</v>
      </c>
      <c r="AI14" s="132" t="e">
        <f>MIN(25%,(#REF!+#REF!)/(#REF!-#REF!*20))</f>
        <v>#REF!</v>
      </c>
      <c r="AJ14" s="132" t="e">
        <f>MIN(25%,(#REF!+#REF!)/#REF!)</f>
        <v>#REF!</v>
      </c>
      <c r="AK14" s="39" t="e">
        <f>#REF!</f>
        <v>#REF!</v>
      </c>
      <c r="AL14" s="39" t="e">
        <f>#REF!</f>
        <v>#REF!</v>
      </c>
      <c r="AM14" s="39" t="e">
        <f>ROUNDDOWN( MAX((1 - MIN(facs_constr_factor*#REF!,facs_constr_max) + tech_2_3*#REF! + tech_2_6_2*#REF! + tech_2_10*#REF! + tech_4_6*#REF! + tech_6_3*#REF! + tech_9_2*#REF! + race_construction_cost), 1-global_constr_cap) *#REF!,0)</f>
        <v>#REF!</v>
      </c>
      <c r="AN14" s="39" t="e">
        <f>ROUNDDOWN( MAX(1 - MIN(facs_constr_factor*#REF!,facs_constr_max) + tech_1_11*#REF! + tech_6_3_2*#REF! + tech_5_2_3*#REF!, 1-global_constr_cap) *#REF!,0)</f>
        <v>#REF!</v>
      </c>
      <c r="AO14" s="39" t="e">
        <f>ROUNDDOWN( MAX((1 - MIN(facs_constr_factor*#REF!,facs_constr_max) + tech_2_3*#REF! + tech_2_6_2*#REF! + tech_2_10*#REF! + tech_4_6*#REF! + tech_6_3*#REF! + tech_9_2*#REF! + race_construction_cost), 1-global_constr_cap) * (ROUND((#REF!-250)*1.25 + 850 + 0,0)),0)</f>
        <v>#REF!</v>
      </c>
      <c r="AP14" s="39" t="e">
        <f>ROUNDDOWN( MAX(1 - MIN(facs_constr_factor*#REF!,facs_constr_max) + tech_1_11*#REF! + tech_6_3_2*#REF! + tech_5_2_3*#REF!, 1-global_constr_cap) * ROUND((#REF!-250)*0.285 + 87.5 + 0/4.25,0),0)</f>
        <v>#REF!</v>
      </c>
      <c r="AQ14" s="3" t="e">
        <f>#REF!*#REF! +#REF! *#REF!</f>
        <v>#REF!</v>
      </c>
      <c r="AR14" s="3" t="e">
        <f>#REF!*#REF!+#REF!*#REF!</f>
        <v>#REF!</v>
      </c>
      <c r="AS14" s="39" t="e">
        <f ca="1">MIN(SUM(OFFSET(#REF!,-1,0))+SUM(#REF!)+IF(#REF!&gt;12,SUM(OFFSET(#REF!,-12,0)),0),SUM(#REF!))</f>
        <v>#REF!</v>
      </c>
      <c r="AT14" s="3" t="e">
        <f ca="1">IF(#REF!&lt;&gt;0,MAX(0, MIN(20, 20 + SUM(#REF!) - SUM(#REF!) - SUM(OFFSET(#REF!,-1,0)) - IF(#REF!&gt;12,SUM(OFFSET(#REF!,-12,0)),0) - 20*#REF!)),0)</f>
        <v>#REF!</v>
      </c>
      <c r="AU14" s="134"/>
      <c r="AV14" s="39" t="e">
        <f>ROUND((#REF!-250 - IF(#REF!&lt;&gt;0,20,0))*1.25 + 850 + 0,0)</f>
        <v>#REF!</v>
      </c>
      <c r="AW14" s="39" t="e">
        <f>ROUND((#REF!-250 - IF(#REF!&lt;&gt;0,20,0))*0.285 + 87.5 + 0/4.25,0)</f>
        <v>#REF!</v>
      </c>
      <c r="AX14" s="133"/>
      <c r="AY14" s="172" t="e">
        <f t="array" aca="1" ref="AY14" ca="1">IF(#REF!&gt;12,OFFSET(#REF!,-12,0),0)+OFFSET(#REF!,-1,0)-#REF!</f>
        <v>#REF!</v>
      </c>
      <c r="AZ14" s="173" t="e">
        <f t="array" aca="1" ref="AZ14" ca="1">IF(#REF!&gt;12,OFFSET(#REF!,-12,0),0)+OFFSET(#REF!,-1,0)-#REF!</f>
        <v>#REF!</v>
      </c>
      <c r="BA14" s="173" t="e">
        <f t="array" aca="1" ref="BA14" ca="1">IF(#REF!&gt;12,OFFSET(#REF!,-12,0),0)+OFFSET(#REF!,-1,0)-#REF!</f>
        <v>#REF!</v>
      </c>
      <c r="BB14" s="173" t="e">
        <f t="array" aca="1" ref="BB14" ca="1">IF(#REF!&gt;12,OFFSET(#REF!,-12,0),0)+OFFSET(#REF!,-1,0)-#REF!</f>
        <v>#REF!</v>
      </c>
      <c r="BC14" s="173" t="e">
        <f t="array" aca="1" ref="BC14" ca="1">IF(#REF!&gt;12,OFFSET(#REF!,-12,0),0)+OFFSET(#REF!,-1,0)-#REF!</f>
        <v>#REF!</v>
      </c>
      <c r="BD14" s="174" t="e">
        <f t="array" aca="1" ref="BD14" ca="1">IF(#REF!&gt;12,OFFSET(#REF!,-12,0),0)+OFFSET(#REF!,-1,0)-#REF!</f>
        <v>#REF!</v>
      </c>
      <c r="BE14" s="174" t="e">
        <f t="array" aca="1" ref="BE14" ca="1">IF(#REF!&gt;12,OFFSET(#REF!,-12,0),0)+OFFSET(#REF!,-1,0)-#REF!</f>
        <v>#REF!</v>
      </c>
      <c r="BF14" s="343" t="e">
        <f t="array" aca="1" ref="BF14" ca="1">IF(#REF!&gt;12,OFFSET(#REF!,-12,0),0)+OFFSET(#REF!,-1,0)-#REF!</f>
        <v>#REF!</v>
      </c>
      <c r="BG14" s="343" t="e">
        <f t="array" aca="1" ref="BG14" ca="1">IF(#REF!&gt;12,OFFSET(#REF!,-12,0),0)+OFFSET(#REF!,-1,0)-#REF!</f>
        <v>#REF!</v>
      </c>
      <c r="BH14" s="347" t="e">
        <f t="array" aca="1" ref="BH14" ca="1">IF(#REF!&gt;12,OFFSET(#REF!,-12,0),0)+OFFSET(#REF!,-1,0)-#REF!</f>
        <v>#REF!</v>
      </c>
      <c r="BI14" s="347" t="e">
        <f t="array" aca="1" ref="BI14" ca="1">IF(#REF!&gt;12,OFFSET(#REF!,-12,0),0)+OFFSET(#REF!,-1,0)-#REF!</f>
        <v>#REF!</v>
      </c>
      <c r="BJ14" s="347" t="e">
        <f t="array" aca="1" ref="BJ14" ca="1">IF(#REF!&gt;12,OFFSET(#REF!,-12,0),0)+OFFSET(#REF!,-1,0)-#REF!</f>
        <v>#REF!</v>
      </c>
      <c r="BK14" s="347" t="e">
        <f t="array" aca="1" ref="BK14" ca="1">IF(#REF!&gt;12,OFFSET(#REF!,-12,0),0)+OFFSET(#REF!,-1,0)-#REF!</f>
        <v>#REF!</v>
      </c>
      <c r="BL14" s="351" t="e">
        <f t="array" aca="1" ref="BL14" ca="1">IF(#REF!&gt;12,OFFSET(#REF!,-12,0),0)+OFFSET(#REF!,-1,0)-#REF!</f>
        <v>#REF!</v>
      </c>
      <c r="BM14" s="351" t="e">
        <f t="array" aca="1" ref="BM14" ca="1">IF(#REF!&gt;12,OFFSET(#REF!,-12,0),0)+OFFSET(#REF!,-1,0)-#REF!</f>
        <v>#REF!</v>
      </c>
      <c r="BN14" s="351" t="e">
        <f t="array" aca="1" ref="BN14" ca="1">IF(#REF!&gt;12,OFFSET(#REF!,-12,0),0)+OFFSET(#REF!,-1,0)-#REF!</f>
        <v>#REF!</v>
      </c>
      <c r="BO14" s="175" t="e">
        <f t="array" aca="1" ref="BO14" ca="1">IF(#REF!&gt;12,OFFSET(#REF!,-12,0),0)+OFFSET(#REF!,-1,0)-#REF!</f>
        <v>#REF!</v>
      </c>
      <c r="BP14" s="175" t="e">
        <f t="array" aca="1" ref="BP14" ca="1">IF(#REF!&gt;12,OFFSET(#REF!,-12,0),0)+OFFSET(#REF!,-1,0)-#REF!</f>
        <v>#REF!</v>
      </c>
      <c r="BQ14" s="176" t="e">
        <f t="array" aca="1" ref="BQ14" ca="1">IF(#REF!&gt;12,OFFSET(#REF!,-12,0),0)+OFFSET(#REF!,-1,0)-#REF!</f>
        <v>#REF!</v>
      </c>
      <c r="BR14" s="134"/>
      <c r="BS14" s="133"/>
      <c r="BT14" s="39" t="e">
        <f>#REF!</f>
        <v>#REF!</v>
      </c>
      <c r="BU14" s="147" t="e">
        <f>#REF!</f>
        <v>#REF!</v>
      </c>
      <c r="BV14" s="134"/>
      <c r="BW14" s="164"/>
      <c r="BX14" s="164"/>
      <c r="BY14" s="164"/>
      <c r="BZ14" s="164"/>
      <c r="CA14" s="164"/>
      <c r="CB14" s="164"/>
      <c r="CC14" s="164"/>
      <c r="CD14" s="164"/>
      <c r="CE14" s="164"/>
      <c r="CF14" s="164"/>
      <c r="CG14" s="164"/>
      <c r="CH14" s="164"/>
      <c r="CI14" s="164"/>
      <c r="CJ14" s="164"/>
      <c r="CK14" s="164"/>
      <c r="CL14" s="164"/>
      <c r="CM14" s="164"/>
      <c r="CN14" s="164"/>
      <c r="CO14" s="164"/>
      <c r="CP14" s="134"/>
      <c r="CQ14" s="165" t="e">
        <f ca="1">-SUM(#REF!)+SUM(#REF!)+Rezone!L14+IF("Ch_"&amp; home_land=#REF!,#REF!)+IF(#REF!&gt;12,OFFSET(#REF!,-12,0),0)</f>
        <v>#REF!</v>
      </c>
      <c r="CR14" s="166" t="e">
        <f ca="1">-SUM(#REF!)+SUM(#REF!) +Rezone!M14 + IF("Ch_"&amp; home_land=#REF!,#REF!)+IF(#REF!&gt;12,OFFSET(#REF!,-12,0),0)</f>
        <v>#REF!</v>
      </c>
      <c r="CS14" s="341" t="e">
        <f ca="1">-SUM(#REF!)+SUM(#REF!) +Rezone!N14 + IF("Ch_"&amp; home_land=#REF!,#REF!)+IF(#REF!&gt;12,OFFSET(#REF!,-12,0),0)</f>
        <v>#REF!</v>
      </c>
      <c r="CT14" s="167" t="e">
        <f ca="1">-SUM(#REF!)+SUM(#REF!) +Rezone!O14 + IF("Ch_" &amp; home_land=#REF!,#REF!)+IF(#REF!&gt;12,OFFSET(#REF!,-12,0),0)</f>
        <v>#REF!</v>
      </c>
      <c r="CU14" s="168" t="e">
        <f ca="1">-SUM(#REF!)+SUM(#REF!) +Rezone!P14 + IF("Ch_" &amp; home_land=#REF!,#REF!)+IF(#REF!&gt;12,OFFSET(#REF!,-12,0),0)</f>
        <v>#REF!</v>
      </c>
      <c r="CV14" s="169" t="e">
        <f ca="1">- SUM(#REF!)+SUM(#REF!) +Rezone!Q14 + IF("Ch_" &amp; home_land=#REF!,#REF!)+IF(#REF!&gt;12,OFFSET(#REF!,-12,0),0)</f>
        <v>#REF!</v>
      </c>
      <c r="CW14" s="170" t="e">
        <f ca="1">-#REF!+#REF! +Rezone!R14 + IF("Ch_" &amp; home_land=#REF!,#REF!)+IF(#REF!&gt;12,OFFSET(#REF!,-12,0),0)</f>
        <v>#REF!</v>
      </c>
      <c r="CX14" s="3" t="e">
        <f>IF(Explore!S14=1,20) -#REF! +#REF!</f>
        <v>#REF!</v>
      </c>
      <c r="CY14" s="134"/>
      <c r="CZ14" s="39" t="e">
        <f ca="1">G14+SUM(P$4:S14)+SUM(AZ14:BC14)</f>
        <v>#REF!</v>
      </c>
      <c r="DA14" s="39" t="e">
        <f ca="1">H14+SUM(T$4:U14)+SUM(BD14:BE14)</f>
        <v>#REF!</v>
      </c>
      <c r="DB14" s="3" t="e">
        <f ca="1">I14+SUM(V$4:W14)+SUM(BF14:BG14)</f>
        <v>#REF!</v>
      </c>
      <c r="DC14" s="39" t="e">
        <f ca="1">J14+SUM(X$4:Y14)+SUM(BH14:BI14)</f>
        <v>#REF!</v>
      </c>
      <c r="DD14" s="39" t="e">
        <f ca="1">K14+SUM(AB$4:AD14)+SUM(BL14:BN14)</f>
        <v>#REF!</v>
      </c>
      <c r="DE14" s="3" t="e">
        <f ca="1">L14+SUM(AE$4:AE14)+BO14</f>
        <v>#REF!</v>
      </c>
      <c r="DF14" s="39" t="e">
        <f ca="1">M14+SUM(AG$4:AG14)+BQ14</f>
        <v>#REF!</v>
      </c>
      <c r="DG14" s="39" t="e">
        <f t="array" ref="DG14">INDEX(#REF!,ROW()-ROW(#REF!),MATCH("Total "&amp;home_land,#REF!,0))+#REF!</f>
        <v>#REF!</v>
      </c>
      <c r="DH14" s="3" t="e">
        <f ca="1">SUM(O$4:O14)+AY14</f>
        <v>#REF!</v>
      </c>
      <c r="DI14" s="3" t="e">
        <f t="shared" ca="1" si="0"/>
        <v>#REF!</v>
      </c>
      <c r="DJ14" s="3" t="e">
        <f t="shared" ca="1" si="1"/>
        <v>#REF!</v>
      </c>
    </row>
    <row r="15" spans="1:114" x14ac:dyDescent="0.25">
      <c r="A15" s="160" t="e">
        <f>#REF!</f>
        <v>#REF!</v>
      </c>
      <c r="B15" s="161" t="e">
        <f>SUM(#REF!)</f>
        <v>#REF!</v>
      </c>
      <c r="C15" s="162" t="e">
        <f>SUM(#REF!)</f>
        <v>#REF!</v>
      </c>
      <c r="D15" s="162">
        <f>SUM(O$4:AG15)</f>
        <v>0</v>
      </c>
      <c r="E15" s="163"/>
      <c r="F15" s="61" t="e">
        <f>#REF!+#REF!+#REF!</f>
        <v>#REF!</v>
      </c>
      <c r="G15" s="171" t="e">
        <f ca="1">OFFSET(#REF!,-1,0)+#REF!</f>
        <v>#REF!</v>
      </c>
      <c r="H15" s="166" t="e">
        <f ca="1">OFFSET(#REF!,-1,0)+#REF!</f>
        <v>#REF!</v>
      </c>
      <c r="I15" s="341" t="e">
        <f ca="1">OFFSET(#REF!,-1,0)+#REF!</f>
        <v>#REF!</v>
      </c>
      <c r="J15" s="345" t="e">
        <f ca="1">OFFSET(#REF!,-1,0)+#REF!</f>
        <v>#REF!</v>
      </c>
      <c r="K15" s="349" t="e">
        <f ca="1">OFFSET(#REF!,-1,0)+#REF!</f>
        <v>#REF!</v>
      </c>
      <c r="L15" s="169" t="e">
        <f ca="1">OFFSET(#REF!,-1,0)+#REF!</f>
        <v>#REF!</v>
      </c>
      <c r="M15" s="170" t="e">
        <f ca="1">OFFSET(#REF!,-1,0)+#REF!</f>
        <v>#REF!</v>
      </c>
      <c r="N15" s="339" t="e">
        <f>#REF!</f>
        <v>#REF!</v>
      </c>
      <c r="O15" s="164"/>
      <c r="P15" s="164"/>
      <c r="Q15" s="164"/>
      <c r="R15" s="164"/>
      <c r="S15" s="164"/>
      <c r="T15" s="164"/>
      <c r="U15" s="164"/>
      <c r="V15" s="164"/>
      <c r="W15" s="164"/>
      <c r="X15" s="164"/>
      <c r="Y15" s="164"/>
      <c r="Z15" s="164"/>
      <c r="AA15" s="164"/>
      <c r="AB15" s="164"/>
      <c r="AC15" s="164"/>
      <c r="AD15" s="164"/>
      <c r="AE15" s="164"/>
      <c r="AF15" s="164"/>
      <c r="AG15" s="164"/>
      <c r="AH15" s="53" t="e">
        <f>#REF!</f>
        <v>#REF!</v>
      </c>
      <c r="AI15" s="132" t="e">
        <f>MIN(25%,(#REF!+#REF!)/(#REF!-#REF!*20))</f>
        <v>#REF!</v>
      </c>
      <c r="AJ15" s="132" t="e">
        <f>MIN(25%,(#REF!+#REF!)/#REF!)</f>
        <v>#REF!</v>
      </c>
      <c r="AK15" s="39" t="e">
        <f>#REF!</f>
        <v>#REF!</v>
      </c>
      <c r="AL15" s="39" t="e">
        <f>#REF!</f>
        <v>#REF!</v>
      </c>
      <c r="AM15" s="39" t="e">
        <f>ROUNDDOWN( MAX((1 - MIN(facs_constr_factor*#REF!,facs_constr_max) + tech_2_3*#REF! + tech_2_6_2*#REF! + tech_2_10*#REF! + tech_4_6*#REF! + tech_6_3*#REF! + tech_9_2*#REF! + race_construction_cost), 1-global_constr_cap) *#REF!,0)</f>
        <v>#REF!</v>
      </c>
      <c r="AN15" s="39" t="e">
        <f>ROUNDDOWN( MAX(1 - MIN(facs_constr_factor*#REF!,facs_constr_max) + tech_1_11*#REF! + tech_6_3_2*#REF! + tech_5_2_3*#REF!, 1-global_constr_cap) *#REF!,0)</f>
        <v>#REF!</v>
      </c>
      <c r="AO15" s="39" t="e">
        <f>ROUNDDOWN( MAX((1 - MIN(facs_constr_factor*#REF!,facs_constr_max) + tech_2_3*#REF! + tech_2_6_2*#REF! + tech_2_10*#REF! + tech_4_6*#REF! + tech_6_3*#REF! + tech_9_2*#REF! + race_construction_cost), 1-global_constr_cap) * (ROUND((#REF!-250)*1.25 + 850 + 0,0)),0)</f>
        <v>#REF!</v>
      </c>
      <c r="AP15" s="39" t="e">
        <f>ROUNDDOWN( MAX(1 - MIN(facs_constr_factor*#REF!,facs_constr_max) + tech_1_11*#REF! + tech_6_3_2*#REF! + tech_5_2_3*#REF!, 1-global_constr_cap) * ROUND((#REF!-250)*0.285 + 87.5 + 0/4.25,0),0)</f>
        <v>#REF!</v>
      </c>
      <c r="AQ15" s="3" t="e">
        <f>#REF!*#REF! +#REF! *#REF!</f>
        <v>#REF!</v>
      </c>
      <c r="AR15" s="3" t="e">
        <f>#REF!*#REF!+#REF!*#REF!</f>
        <v>#REF!</v>
      </c>
      <c r="AS15" s="39" t="e">
        <f ca="1">MIN(SUM(OFFSET(#REF!,-1,0))+SUM(#REF!)+IF(#REF!&gt;12,SUM(OFFSET(#REF!,-12,0)),0),SUM(#REF!))</f>
        <v>#REF!</v>
      </c>
      <c r="AT15" s="3" t="e">
        <f ca="1">IF(#REF!&lt;&gt;0,MAX(0, MIN(20, 20 + SUM(#REF!) - SUM(#REF!) - SUM(OFFSET(#REF!,-1,0)) - IF(#REF!&gt;12,SUM(OFFSET(#REF!,-12,0)),0) - 20*#REF!)),0)</f>
        <v>#REF!</v>
      </c>
      <c r="AU15" s="134"/>
      <c r="AV15" s="39" t="e">
        <f>ROUND((#REF!-250 - IF(#REF!&lt;&gt;0,20,0))*1.25 + 850 + 0,0)</f>
        <v>#REF!</v>
      </c>
      <c r="AW15" s="39" t="e">
        <f>ROUND((#REF!-250 - IF(#REF!&lt;&gt;0,20,0))*0.285 + 87.5 + 0/4.25,0)</f>
        <v>#REF!</v>
      </c>
      <c r="AX15" s="133"/>
      <c r="AY15" s="172" t="e">
        <f t="array" aca="1" ref="AY15" ca="1">IF(#REF!&gt;12,OFFSET(#REF!,-12,0),0)+OFFSET(#REF!,-1,0)-#REF!</f>
        <v>#REF!</v>
      </c>
      <c r="AZ15" s="173" t="e">
        <f t="array" aca="1" ref="AZ15" ca="1">IF(#REF!&gt;12,OFFSET(#REF!,-12,0),0)+OFFSET(#REF!,-1,0)-#REF!</f>
        <v>#REF!</v>
      </c>
      <c r="BA15" s="173" t="e">
        <f t="array" aca="1" ref="BA15" ca="1">IF(#REF!&gt;12,OFFSET(#REF!,-12,0),0)+OFFSET(#REF!,-1,0)-#REF!</f>
        <v>#REF!</v>
      </c>
      <c r="BB15" s="173" t="e">
        <f t="array" aca="1" ref="BB15" ca="1">IF(#REF!&gt;12,OFFSET(#REF!,-12,0),0)+OFFSET(#REF!,-1,0)-#REF!</f>
        <v>#REF!</v>
      </c>
      <c r="BC15" s="173" t="e">
        <f t="array" aca="1" ref="BC15" ca="1">IF(#REF!&gt;12,OFFSET(#REF!,-12,0),0)+OFFSET(#REF!,-1,0)-#REF!</f>
        <v>#REF!</v>
      </c>
      <c r="BD15" s="174" t="e">
        <f t="array" aca="1" ref="BD15" ca="1">IF(#REF!&gt;12,OFFSET(#REF!,-12,0),0)+OFFSET(#REF!,-1,0)-#REF!</f>
        <v>#REF!</v>
      </c>
      <c r="BE15" s="174" t="e">
        <f t="array" aca="1" ref="BE15" ca="1">IF(#REF!&gt;12,OFFSET(#REF!,-12,0),0)+OFFSET(#REF!,-1,0)-#REF!</f>
        <v>#REF!</v>
      </c>
      <c r="BF15" s="343" t="e">
        <f t="array" aca="1" ref="BF15" ca="1">IF(#REF!&gt;12,OFFSET(#REF!,-12,0),0)+OFFSET(#REF!,-1,0)-#REF!</f>
        <v>#REF!</v>
      </c>
      <c r="BG15" s="343" t="e">
        <f t="array" aca="1" ref="BG15" ca="1">IF(#REF!&gt;12,OFFSET(#REF!,-12,0),0)+OFFSET(#REF!,-1,0)-#REF!</f>
        <v>#REF!</v>
      </c>
      <c r="BH15" s="347" t="e">
        <f t="array" aca="1" ref="BH15" ca="1">IF(#REF!&gt;12,OFFSET(#REF!,-12,0),0)+OFFSET(#REF!,-1,0)-#REF!</f>
        <v>#REF!</v>
      </c>
      <c r="BI15" s="347" t="e">
        <f t="array" aca="1" ref="BI15" ca="1">IF(#REF!&gt;12,OFFSET(#REF!,-12,0),0)+OFFSET(#REF!,-1,0)-#REF!</f>
        <v>#REF!</v>
      </c>
      <c r="BJ15" s="347" t="e">
        <f t="array" aca="1" ref="BJ15" ca="1">IF(#REF!&gt;12,OFFSET(#REF!,-12,0),0)+OFFSET(#REF!,-1,0)-#REF!</f>
        <v>#REF!</v>
      </c>
      <c r="BK15" s="347" t="e">
        <f t="array" aca="1" ref="BK15" ca="1">IF(#REF!&gt;12,OFFSET(#REF!,-12,0),0)+OFFSET(#REF!,-1,0)-#REF!</f>
        <v>#REF!</v>
      </c>
      <c r="BL15" s="351" t="e">
        <f t="array" aca="1" ref="BL15" ca="1">IF(#REF!&gt;12,OFFSET(#REF!,-12,0),0)+OFFSET(#REF!,-1,0)-#REF!</f>
        <v>#REF!</v>
      </c>
      <c r="BM15" s="351" t="e">
        <f t="array" aca="1" ref="BM15" ca="1">IF(#REF!&gt;12,OFFSET(#REF!,-12,0),0)+OFFSET(#REF!,-1,0)-#REF!</f>
        <v>#REF!</v>
      </c>
      <c r="BN15" s="351" t="e">
        <f t="array" aca="1" ref="BN15" ca="1">IF(#REF!&gt;12,OFFSET(#REF!,-12,0),0)+OFFSET(#REF!,-1,0)-#REF!</f>
        <v>#REF!</v>
      </c>
      <c r="BO15" s="175" t="e">
        <f t="array" aca="1" ref="BO15" ca="1">IF(#REF!&gt;12,OFFSET(#REF!,-12,0),0)+OFFSET(#REF!,-1,0)-#REF!</f>
        <v>#REF!</v>
      </c>
      <c r="BP15" s="175" t="e">
        <f t="array" aca="1" ref="BP15" ca="1">IF(#REF!&gt;12,OFFSET(#REF!,-12,0),0)+OFFSET(#REF!,-1,0)-#REF!</f>
        <v>#REF!</v>
      </c>
      <c r="BQ15" s="176" t="e">
        <f t="array" aca="1" ref="BQ15" ca="1">IF(#REF!&gt;12,OFFSET(#REF!,-12,0),0)+OFFSET(#REF!,-1,0)-#REF!</f>
        <v>#REF!</v>
      </c>
      <c r="BR15" s="134"/>
      <c r="BS15" s="133"/>
      <c r="BT15" s="39" t="e">
        <f>#REF!</f>
        <v>#REF!</v>
      </c>
      <c r="BU15" s="147" t="e">
        <f>#REF!</f>
        <v>#REF!</v>
      </c>
      <c r="BV15" s="134"/>
      <c r="BW15" s="164"/>
      <c r="BX15" s="164"/>
      <c r="BY15" s="164"/>
      <c r="BZ15" s="164"/>
      <c r="CA15" s="164"/>
      <c r="CB15" s="164"/>
      <c r="CC15" s="164"/>
      <c r="CD15" s="164"/>
      <c r="CE15" s="164"/>
      <c r="CF15" s="164"/>
      <c r="CG15" s="164"/>
      <c r="CH15" s="164"/>
      <c r="CI15" s="164"/>
      <c r="CJ15" s="164"/>
      <c r="CK15" s="164"/>
      <c r="CL15" s="164"/>
      <c r="CM15" s="164"/>
      <c r="CN15" s="164"/>
      <c r="CO15" s="164"/>
      <c r="CP15" s="134"/>
      <c r="CQ15" s="165" t="e">
        <f ca="1">-SUM(#REF!)+SUM(#REF!)+Rezone!L15+IF("Ch_"&amp; home_land=#REF!,#REF!)+IF(#REF!&gt;12,OFFSET(#REF!,-12,0),0)</f>
        <v>#REF!</v>
      </c>
      <c r="CR15" s="166" t="e">
        <f ca="1">-SUM(#REF!)+SUM(#REF!) +Rezone!M15 + IF("Ch_"&amp; home_land=#REF!,#REF!)+IF(#REF!&gt;12,OFFSET(#REF!,-12,0),0)</f>
        <v>#REF!</v>
      </c>
      <c r="CS15" s="341" t="e">
        <f ca="1">-SUM(#REF!)+SUM(#REF!) +Rezone!N15 + IF("Ch_"&amp; home_land=#REF!,#REF!)+IF(#REF!&gt;12,OFFSET(#REF!,-12,0),0)</f>
        <v>#REF!</v>
      </c>
      <c r="CT15" s="167" t="e">
        <f ca="1">-SUM(#REF!)+SUM(#REF!) +Rezone!O15 + IF("Ch_" &amp; home_land=#REF!,#REF!)+IF(#REF!&gt;12,OFFSET(#REF!,-12,0),0)</f>
        <v>#REF!</v>
      </c>
      <c r="CU15" s="168" t="e">
        <f ca="1">-SUM(#REF!)+SUM(#REF!) +Rezone!P15 + IF("Ch_" &amp; home_land=#REF!,#REF!)+IF(#REF!&gt;12,OFFSET(#REF!,-12,0),0)</f>
        <v>#REF!</v>
      </c>
      <c r="CV15" s="169" t="e">
        <f ca="1">- SUM(#REF!)+SUM(#REF!) +Rezone!Q15 + IF("Ch_" &amp; home_land=#REF!,#REF!)+IF(#REF!&gt;12,OFFSET(#REF!,-12,0),0)</f>
        <v>#REF!</v>
      </c>
      <c r="CW15" s="170" t="e">
        <f ca="1">-#REF!+#REF! +Rezone!R15 + IF("Ch_" &amp; home_land=#REF!,#REF!)+IF(#REF!&gt;12,OFFSET(#REF!,-12,0),0)</f>
        <v>#REF!</v>
      </c>
      <c r="CX15" s="3" t="e">
        <f>IF(Explore!S15=1,20) -#REF! +#REF!</f>
        <v>#REF!</v>
      </c>
      <c r="CY15" s="134"/>
      <c r="CZ15" s="39" t="e">
        <f ca="1">G15+SUM(P$4:S15)+SUM(AZ15:BC15)</f>
        <v>#REF!</v>
      </c>
      <c r="DA15" s="39" t="e">
        <f ca="1">H15+SUM(T$4:U15)+SUM(BD15:BE15)</f>
        <v>#REF!</v>
      </c>
      <c r="DB15" s="3" t="e">
        <f ca="1">I15+SUM(V$4:W15)+SUM(BF15:BG15)</f>
        <v>#REF!</v>
      </c>
      <c r="DC15" s="39" t="e">
        <f ca="1">J15+SUM(X$4:Y15)+SUM(BH15:BI15)</f>
        <v>#REF!</v>
      </c>
      <c r="DD15" s="39" t="e">
        <f ca="1">K15+SUM(AB$4:AD15)+SUM(BL15:BN15)</f>
        <v>#REF!</v>
      </c>
      <c r="DE15" s="3" t="e">
        <f ca="1">L15+SUM(AE$4:AE15)+BO15</f>
        <v>#REF!</v>
      </c>
      <c r="DF15" s="39" t="e">
        <f ca="1">M15+SUM(AG$4:AG15)+BQ15</f>
        <v>#REF!</v>
      </c>
      <c r="DG15" s="39" t="e">
        <f t="array" ref="DG15">INDEX(#REF!,ROW()-ROW(#REF!),MATCH("Total "&amp;home_land,#REF!,0))+#REF!</f>
        <v>#REF!</v>
      </c>
      <c r="DH15" s="3" t="e">
        <f ca="1">SUM(O$4:O15)+AY15</f>
        <v>#REF!</v>
      </c>
      <c r="DI15" s="3" t="e">
        <f t="shared" ca="1" si="0"/>
        <v>#REF!</v>
      </c>
      <c r="DJ15" s="3" t="e">
        <f t="shared" ca="1" si="1"/>
        <v>#REF!</v>
      </c>
    </row>
    <row r="16" spans="1:114" x14ac:dyDescent="0.25">
      <c r="A16" s="160" t="e">
        <f>#REF!</f>
        <v>#REF!</v>
      </c>
      <c r="B16" s="161" t="e">
        <f>SUM(#REF!)</f>
        <v>#REF!</v>
      </c>
      <c r="C16" s="162" t="e">
        <f>SUM(#REF!)</f>
        <v>#REF!</v>
      </c>
      <c r="D16" s="162">
        <f t="shared" ref="D16:D46" si="2">SUM(O5:AG16)</f>
        <v>0</v>
      </c>
      <c r="E16" s="163"/>
      <c r="F16" s="61" t="e">
        <f>#REF!+#REF!+#REF!</f>
        <v>#REF!</v>
      </c>
      <c r="G16" s="171" t="e">
        <f ca="1">OFFSET(#REF!,-1,0)+#REF!</f>
        <v>#REF!</v>
      </c>
      <c r="H16" s="166" t="e">
        <f ca="1">OFFSET(#REF!,-1,0)+#REF!</f>
        <v>#REF!</v>
      </c>
      <c r="I16" s="341" t="e">
        <f ca="1">OFFSET(#REF!,-1,0)+#REF!</f>
        <v>#REF!</v>
      </c>
      <c r="J16" s="345" t="e">
        <f ca="1">OFFSET(#REF!,-1,0)+#REF!</f>
        <v>#REF!</v>
      </c>
      <c r="K16" s="349" t="e">
        <f ca="1">OFFSET(#REF!,-1,0)+#REF!</f>
        <v>#REF!</v>
      </c>
      <c r="L16" s="169" t="e">
        <f ca="1">OFFSET(#REF!,-1,0)+#REF!</f>
        <v>#REF!</v>
      </c>
      <c r="M16" s="170" t="e">
        <f ca="1">OFFSET(#REF!,-1,0)+#REF!</f>
        <v>#REF!</v>
      </c>
      <c r="N16" s="339" t="e">
        <f>#REF!</f>
        <v>#REF!</v>
      </c>
      <c r="O16" s="164"/>
      <c r="P16" s="146"/>
      <c r="Q16" s="164"/>
      <c r="R16" s="164"/>
      <c r="S16" s="164"/>
      <c r="T16" s="164"/>
      <c r="U16" s="164"/>
      <c r="V16" s="146"/>
      <c r="W16" s="164"/>
      <c r="X16" s="146"/>
      <c r="Y16" s="164"/>
      <c r="Z16" s="164"/>
      <c r="AA16" s="164"/>
      <c r="AB16" s="164"/>
      <c r="AC16" s="164"/>
      <c r="AD16" s="164"/>
      <c r="AE16" s="164"/>
      <c r="AF16" s="164"/>
      <c r="AG16" s="146"/>
      <c r="AH16" s="53" t="e">
        <f>#REF!</f>
        <v>#REF!</v>
      </c>
      <c r="AI16" s="132" t="e">
        <f>MIN(25%,(#REF!+#REF!)/(#REF!-#REF!*20))</f>
        <v>#REF!</v>
      </c>
      <c r="AJ16" s="132" t="e">
        <f>MIN(25%,(#REF!+#REF!)/#REF!)</f>
        <v>#REF!</v>
      </c>
      <c r="AK16" s="39" t="e">
        <f>#REF!</f>
        <v>#REF!</v>
      </c>
      <c r="AL16" s="39" t="e">
        <f>#REF!</f>
        <v>#REF!</v>
      </c>
      <c r="AM16" s="39" t="e">
        <f>ROUNDDOWN( MAX((1 - MIN(facs_constr_factor*#REF!,facs_constr_max) + tech_2_3*#REF! + tech_2_6_2*#REF! + tech_2_10*#REF! + tech_4_6*#REF! + tech_6_3*#REF! + tech_9_2*#REF! + race_construction_cost), 1-global_constr_cap) *#REF!,0)</f>
        <v>#REF!</v>
      </c>
      <c r="AN16" s="39" t="e">
        <f>ROUNDDOWN( MAX(1 - MIN(facs_constr_factor*#REF!,facs_constr_max) + tech_1_11*#REF! + tech_6_3_2*#REF! + tech_5_2_3*#REF!, 1-global_constr_cap) *#REF!,0)</f>
        <v>#REF!</v>
      </c>
      <c r="AO16" s="39" t="e">
        <f>ROUNDDOWN( MAX((1 - MIN(facs_constr_factor*#REF!,facs_constr_max) + tech_2_3*#REF! + tech_2_6_2*#REF! + tech_2_10*#REF! + tech_4_6*#REF! + tech_6_3*#REF! + tech_9_2*#REF! + race_construction_cost), 1-global_constr_cap) * (ROUND((#REF!-250)*1.25 + 850 + 0,0)),0)</f>
        <v>#REF!</v>
      </c>
      <c r="AP16" s="39" t="e">
        <f>ROUNDDOWN( MAX(1 - MIN(facs_constr_factor*#REF!,facs_constr_max) + tech_1_11*#REF! + tech_6_3_2*#REF! + tech_5_2_3*#REF!, 1-global_constr_cap) * ROUND((#REF!-250)*0.285 + 87.5 + 0/4.25,0),0)</f>
        <v>#REF!</v>
      </c>
      <c r="AQ16" s="3" t="e">
        <f>#REF!*#REF! +#REF! *#REF!</f>
        <v>#REF!</v>
      </c>
      <c r="AR16" s="3" t="e">
        <f>#REF!*#REF!+#REF!*#REF!</f>
        <v>#REF!</v>
      </c>
      <c r="AS16" s="39" t="e">
        <f ca="1">MIN(SUM(OFFSET(#REF!,-1,0))+SUM(#REF!)+IF(#REF!&gt;12,SUM(OFFSET(#REF!,-12,0)),0),SUM(#REF!))</f>
        <v>#REF!</v>
      </c>
      <c r="AT16" s="3" t="e">
        <f ca="1">IF(#REF!&lt;&gt;0,MAX(0, MIN(20, 20 + SUM(#REF!) - SUM(#REF!) - SUM(OFFSET(#REF!,-1,0)) - IF(#REF!&gt;12,SUM(OFFSET(#REF!,-12,0)),0) - 20*#REF!)),0)</f>
        <v>#REF!</v>
      </c>
      <c r="AU16" s="134"/>
      <c r="AV16" s="39" t="e">
        <f>ROUND((#REF!-250 - IF(#REF!&lt;&gt;0,20,0))*1.25 + 850 + 0,0)</f>
        <v>#REF!</v>
      </c>
      <c r="AW16" s="39" t="e">
        <f>ROUND((#REF!-250 - IF(#REF!&lt;&gt;0,20,0))*0.285 + 87.5 + 0/4.25,0)</f>
        <v>#REF!</v>
      </c>
      <c r="AX16" s="133"/>
      <c r="AY16" s="172" t="e">
        <f t="array" aca="1" ref="AY16" ca="1">IF(#REF!&gt;12,OFFSET(#REF!,-12,0),0)+OFFSET(#REF!,-1,0)-#REF!</f>
        <v>#REF!</v>
      </c>
      <c r="AZ16" s="173" t="e">
        <f ca="1">IF(#REF!&gt;12,OFFSET(#REF!,-12,0),0)+OFFSET(#REF!,-1,0)-#REF!</f>
        <v>#REF!</v>
      </c>
      <c r="BA16" s="173" t="e">
        <f t="array" aca="1" ref="BA16" ca="1">IF(#REF!&gt;12,OFFSET(#REF!,-12,0),0)+OFFSET(#REF!,-1,0)-#REF!</f>
        <v>#REF!</v>
      </c>
      <c r="BB16" s="173" t="e">
        <f t="array" aca="1" ref="BB16" ca="1">IF(#REF!&gt;12,OFFSET(#REF!,-12,0),0)+OFFSET(#REF!,-1,0)-#REF!</f>
        <v>#REF!</v>
      </c>
      <c r="BC16" s="173" t="e">
        <f t="array" aca="1" ref="BC16" ca="1">IF(#REF!&gt;12,OFFSET(#REF!,-12,0),0)+OFFSET(#REF!,-1,0)-#REF!</f>
        <v>#REF!</v>
      </c>
      <c r="BD16" s="174" t="e">
        <f t="array" aca="1" ref="BD16" ca="1">IF(#REF!&gt;12,OFFSET(#REF!,-12,0),0)+OFFSET(#REF!,-1,0)-#REF!</f>
        <v>#REF!</v>
      </c>
      <c r="BE16" s="174" t="e">
        <f t="array" aca="1" ref="BE16" ca="1">IF(#REF!&gt;12,OFFSET(#REF!,-12,0),0)+OFFSET(#REF!,-1,0)-#REF!</f>
        <v>#REF!</v>
      </c>
      <c r="BF16" s="343" t="e">
        <f t="array" aca="1" ref="BF16" ca="1">IF(#REF!&gt;12,OFFSET(#REF!,-12,0),0)+OFFSET(#REF!,-1,0)-#REF!</f>
        <v>#REF!</v>
      </c>
      <c r="BG16" s="343" t="e">
        <f t="array" aca="1" ref="BG16" ca="1">IF(#REF!&gt;12,OFFSET(#REF!,-12,0),0)+OFFSET(#REF!,-1,0)-#REF!</f>
        <v>#REF!</v>
      </c>
      <c r="BH16" s="347" t="e">
        <f t="array" aca="1" ref="BH16" ca="1">IF(#REF!&gt;12,OFFSET(#REF!,-12,0),0)+OFFSET(#REF!,-1,0)-#REF!</f>
        <v>#REF!</v>
      </c>
      <c r="BI16" s="347" t="e">
        <f t="array" aca="1" ref="BI16" ca="1">IF(#REF!&gt;12,OFFSET(#REF!,-12,0),0)+OFFSET(#REF!,-1,0)-#REF!</f>
        <v>#REF!</v>
      </c>
      <c r="BJ16" s="347" t="e">
        <f t="array" aca="1" ref="BJ16" ca="1">IF(#REF!&gt;12,OFFSET(#REF!,-12,0),0)+OFFSET(#REF!,-1,0)-#REF!</f>
        <v>#REF!</v>
      </c>
      <c r="BK16" s="347" t="e">
        <f t="array" aca="1" ref="BK16" ca="1">IF(#REF!&gt;12,OFFSET(#REF!,-12,0),0)+OFFSET(#REF!,-1,0)-#REF!</f>
        <v>#REF!</v>
      </c>
      <c r="BL16" s="351" t="e">
        <f t="array" aca="1" ref="BL16" ca="1">IF(#REF!&gt;12,OFFSET(#REF!,-12,0),0)+OFFSET(#REF!,-1,0)-#REF!</f>
        <v>#REF!</v>
      </c>
      <c r="BM16" s="351" t="e">
        <f t="array" aca="1" ref="BM16" ca="1">IF(#REF!&gt;12,OFFSET(#REF!,-12,0),0)+OFFSET(#REF!,-1,0)-#REF!</f>
        <v>#REF!</v>
      </c>
      <c r="BN16" s="351" t="e">
        <f t="array" aca="1" ref="BN16" ca="1">IF(#REF!&gt;12,OFFSET(#REF!,-12,0),0)+OFFSET(#REF!,-1,0)-#REF!</f>
        <v>#REF!</v>
      </c>
      <c r="BO16" s="175" t="e">
        <f t="array" aca="1" ref="BO16" ca="1">IF(#REF!&gt;12,OFFSET(#REF!,-12,0),0)+OFFSET(#REF!,-1,0)-#REF!</f>
        <v>#REF!</v>
      </c>
      <c r="BP16" s="175" t="e">
        <f t="array" aca="1" ref="BP16" ca="1">IF(#REF!&gt;12,OFFSET(#REF!,-12,0),0)+OFFSET(#REF!,-1,0)-#REF!</f>
        <v>#REF!</v>
      </c>
      <c r="BQ16" s="176" t="e">
        <f t="array" aca="1" ref="BQ16" ca="1">IF(#REF!&gt;12,OFFSET(#REF!,-12,0),0)+OFFSET(#REF!,-1,0)-#REF!</f>
        <v>#REF!</v>
      </c>
      <c r="BR16" s="134"/>
      <c r="BS16" s="133"/>
      <c r="BT16" s="39" t="e">
        <f>#REF!</f>
        <v>#REF!</v>
      </c>
      <c r="BU16" s="147" t="e">
        <f>#REF!</f>
        <v>#REF!</v>
      </c>
      <c r="BV16" s="134"/>
      <c r="BW16" s="164"/>
      <c r="BX16" s="164"/>
      <c r="BY16" s="146"/>
      <c r="BZ16" s="164"/>
      <c r="CA16" s="164"/>
      <c r="CB16" s="164"/>
      <c r="CC16" s="164"/>
      <c r="CD16" s="164"/>
      <c r="CE16" s="164"/>
      <c r="CF16" s="164"/>
      <c r="CG16" s="164"/>
      <c r="CH16" s="164"/>
      <c r="CI16" s="164"/>
      <c r="CJ16" s="164"/>
      <c r="CK16" s="164"/>
      <c r="CL16" s="164"/>
      <c r="CM16" s="164"/>
      <c r="CN16" s="164"/>
      <c r="CO16" s="164"/>
      <c r="CP16" s="134"/>
      <c r="CQ16" s="165" t="e">
        <f ca="1">-SUM(#REF!)+SUM(#REF!)+Rezone!L16+IF("Ch_"&amp; home_land=#REF!,#REF!)+IF(#REF!&gt;12,OFFSET(#REF!,-12,0),0)</f>
        <v>#REF!</v>
      </c>
      <c r="CR16" s="166" t="e">
        <f ca="1">-SUM(#REF!)+SUM(#REF!) +Rezone!M16 + IF("Ch_"&amp; home_land=#REF!,#REF!)+IF(#REF!&gt;12,OFFSET(#REF!,-12,0),0)</f>
        <v>#REF!</v>
      </c>
      <c r="CS16" s="341" t="e">
        <f ca="1">-SUM(#REF!)+SUM(#REF!) +Rezone!N16 + IF("Ch_"&amp; home_land=#REF!,#REF!)+IF(#REF!&gt;12,OFFSET(#REF!,-12,0),0)</f>
        <v>#REF!</v>
      </c>
      <c r="CT16" s="167" t="e">
        <f ca="1">-SUM(#REF!)+SUM(#REF!) +Rezone!O16 + IF("Ch_" &amp; home_land=#REF!,#REF!)+IF(#REF!&gt;12,OFFSET(#REF!,-12,0),0)</f>
        <v>#REF!</v>
      </c>
      <c r="CU16" s="168" t="e">
        <f ca="1">-SUM(#REF!)+SUM(#REF!) +Rezone!P16 + IF("Ch_" &amp; home_land=#REF!,#REF!)+IF(#REF!&gt;12,OFFSET(#REF!,-12,0),0)</f>
        <v>#REF!</v>
      </c>
      <c r="CV16" s="169" t="e">
        <f ca="1">- SUM(#REF!)+SUM(#REF!) +Rezone!Q16 + IF("Ch_" &amp; home_land=#REF!,#REF!)+IF(#REF!&gt;12,OFFSET(#REF!,-12,0),0)</f>
        <v>#REF!</v>
      </c>
      <c r="CW16" s="170" t="e">
        <f ca="1">-#REF!+#REF! +Rezone!R16 + IF("Ch_" &amp; home_land=#REF!,#REF!)+IF(#REF!&gt;12,OFFSET(#REF!,-12,0),0)</f>
        <v>#REF!</v>
      </c>
      <c r="CX16" s="3" t="e">
        <f>IF(Explore!S16=1,20) -#REF! +#REF!</f>
        <v>#REF!</v>
      </c>
      <c r="CY16" s="134"/>
      <c r="CZ16" s="39" t="e">
        <f t="shared" ref="CZ16:CZ47" ca="1" si="3">G16+SUM(P5:S16)+SUM(AZ16:BC16)</f>
        <v>#REF!</v>
      </c>
      <c r="DA16" s="39" t="e">
        <f t="shared" ref="DA16:DA47" ca="1" si="4">H16+SUM(T5:U16)+SUM(BD16:BE16)</f>
        <v>#REF!</v>
      </c>
      <c r="DB16" s="3" t="e">
        <f t="shared" ref="DB16:DB47" ca="1" si="5">I16+SUM(V5:W16)+SUM(BF16:BG16)</f>
        <v>#REF!</v>
      </c>
      <c r="DC16" s="39" t="e">
        <f t="shared" ref="DC16:DC47" ca="1" si="6">J16+SUM(X5:Y16)+SUM(BH16:BI16)</f>
        <v>#REF!</v>
      </c>
      <c r="DD16" s="39" t="e">
        <f t="shared" ref="DD16:DD47" ca="1" si="7">K16+SUM(AB5:AD16)+SUM(BL16:BN16)</f>
        <v>#REF!</v>
      </c>
      <c r="DE16" s="3" t="e">
        <f t="shared" ref="DE16:DE47" ca="1" si="8">L16+SUM(AE5:AE16)+BO16</f>
        <v>#REF!</v>
      </c>
      <c r="DF16" s="39" t="e">
        <f t="shared" ref="DF16:DF47" ca="1" si="9">M16+SUM(AG5:AG16)+BQ16</f>
        <v>#REF!</v>
      </c>
      <c r="DG16" s="39" t="e">
        <f t="array" ref="DG16">INDEX(#REF!,ROW()-ROW(#REF!),MATCH("Total "&amp;home_land,#REF!,0))+#REF!</f>
        <v>#REF!</v>
      </c>
      <c r="DH16" s="3" t="e">
        <f ca="1">SUM(O5:O16)+AY16</f>
        <v>#REF!</v>
      </c>
      <c r="DI16" s="3" t="e">
        <f t="shared" ca="1" si="0"/>
        <v>#REF!</v>
      </c>
      <c r="DJ16" s="3" t="e">
        <f t="shared" ca="1" si="1"/>
        <v>#REF!</v>
      </c>
    </row>
    <row r="17" spans="1:114" x14ac:dyDescent="0.25">
      <c r="A17" s="160" t="e">
        <f>#REF!</f>
        <v>#REF!</v>
      </c>
      <c r="B17" s="161" t="e">
        <f>SUM(#REF!)</f>
        <v>#REF!</v>
      </c>
      <c r="C17" s="162" t="e">
        <f>SUM(#REF!)</f>
        <v>#REF!</v>
      </c>
      <c r="D17" s="162">
        <f t="shared" si="2"/>
        <v>0</v>
      </c>
      <c r="E17" s="163"/>
      <c r="F17" s="61" t="e">
        <f>#REF!+#REF!+#REF!</f>
        <v>#REF!</v>
      </c>
      <c r="G17" s="171" t="e">
        <f ca="1">OFFSET(#REF!,-1,0)+#REF!</f>
        <v>#REF!</v>
      </c>
      <c r="H17" s="166" t="e">
        <f ca="1">OFFSET(#REF!,-1,0)+#REF!</f>
        <v>#REF!</v>
      </c>
      <c r="I17" s="341" t="e">
        <f ca="1">OFFSET(#REF!,-1,0)+#REF!</f>
        <v>#REF!</v>
      </c>
      <c r="J17" s="345" t="e">
        <f ca="1">OFFSET(#REF!,-1,0)+#REF!</f>
        <v>#REF!</v>
      </c>
      <c r="K17" s="349" t="e">
        <f ca="1">OFFSET(#REF!,-1,0)+#REF!</f>
        <v>#REF!</v>
      </c>
      <c r="L17" s="169" t="e">
        <f ca="1">OFFSET(#REF!,-1,0)+#REF!</f>
        <v>#REF!</v>
      </c>
      <c r="M17" s="170" t="e">
        <f ca="1">OFFSET(#REF!,-1,0)+#REF!</f>
        <v>#REF!</v>
      </c>
      <c r="N17" s="339" t="e">
        <f>#REF!</f>
        <v>#REF!</v>
      </c>
      <c r="O17" s="164"/>
      <c r="P17" s="164"/>
      <c r="Q17" s="164"/>
      <c r="R17" s="164"/>
      <c r="S17" s="164"/>
      <c r="T17" s="164"/>
      <c r="U17" s="164"/>
      <c r="V17" s="164"/>
      <c r="W17" s="164"/>
      <c r="X17" s="146"/>
      <c r="Y17" s="164"/>
      <c r="Z17" s="164"/>
      <c r="AA17" s="164"/>
      <c r="AB17" s="164"/>
      <c r="AC17" s="164"/>
      <c r="AD17" s="164"/>
      <c r="AE17" s="164"/>
      <c r="AF17" s="164"/>
      <c r="AG17" s="164"/>
      <c r="AH17" s="53" t="e">
        <f>#REF!</f>
        <v>#REF!</v>
      </c>
      <c r="AI17" s="132" t="e">
        <f>MIN(25%,(#REF!+#REF!)/(#REF!-#REF!*20))</f>
        <v>#REF!</v>
      </c>
      <c r="AJ17" s="132" t="e">
        <f>MIN(25%,(#REF!+#REF!)/#REF!)</f>
        <v>#REF!</v>
      </c>
      <c r="AK17" s="39" t="e">
        <f>#REF!</f>
        <v>#REF!</v>
      </c>
      <c r="AL17" s="39" t="e">
        <f>#REF!</f>
        <v>#REF!</v>
      </c>
      <c r="AM17" s="39" t="e">
        <f>ROUNDDOWN( MAX((1 - MIN(facs_constr_factor*#REF!,facs_constr_max) + tech_2_3*#REF! + tech_2_6_2*#REF! + tech_2_10*#REF! + tech_4_6*#REF! + tech_6_3*#REF! + tech_9_2*#REF! + race_construction_cost), 1-global_constr_cap) *#REF!,0)</f>
        <v>#REF!</v>
      </c>
      <c r="AN17" s="39" t="e">
        <f>ROUNDDOWN( MAX(1 - MIN(facs_constr_factor*#REF!,facs_constr_max) + tech_1_11*#REF! + tech_6_3_2*#REF! + tech_5_2_3*#REF!, 1-global_constr_cap) *#REF!,0)</f>
        <v>#REF!</v>
      </c>
      <c r="AO17" s="39" t="e">
        <f>ROUNDDOWN( MAX((1 - MIN(facs_constr_factor*#REF!,facs_constr_max) + tech_2_3*#REF! + tech_2_6_2*#REF! + tech_2_10*#REF! + tech_4_6*#REF! + tech_6_3*#REF! + tech_9_2*#REF! + race_construction_cost), 1-global_constr_cap) * (ROUND((#REF!-250)*1.25 + 850 + 0,0)),0)</f>
        <v>#REF!</v>
      </c>
      <c r="AP17" s="39" t="e">
        <f>ROUNDDOWN( MAX(1 - MIN(facs_constr_factor*#REF!,facs_constr_max) + tech_1_11*#REF! + tech_6_3_2*#REF! + tech_5_2_3*#REF!, 1-global_constr_cap) * ROUND((#REF!-250)*0.285 + 87.5 + 0/4.25,0),0)</f>
        <v>#REF!</v>
      </c>
      <c r="AQ17" s="3" t="e">
        <f>#REF!*#REF! +#REF! *#REF!</f>
        <v>#REF!</v>
      </c>
      <c r="AR17" s="3" t="e">
        <f>#REF!*#REF!+#REF!*#REF!</f>
        <v>#REF!</v>
      </c>
      <c r="AS17" s="39" t="e">
        <f ca="1">MIN(SUM(OFFSET(#REF!,-1,0))+SUM(#REF!)+IF(#REF!&gt;12,SUM(OFFSET(#REF!,-12,0)),0),SUM(#REF!))</f>
        <v>#REF!</v>
      </c>
      <c r="AT17" s="3" t="e">
        <f ca="1">IF(#REF!&lt;&gt;0,MAX(0, MIN(20, 20 + SUM(#REF!) - SUM(#REF!) - SUM(OFFSET(#REF!,-1,0)) - IF(#REF!&gt;12,SUM(OFFSET(#REF!,-12,0)),0) - 20*#REF!)),0)</f>
        <v>#REF!</v>
      </c>
      <c r="AU17" s="133"/>
      <c r="AV17" s="39" t="e">
        <f>ROUND((#REF!-250 - IF(#REF!&lt;&gt;0,20,0))*1.25 + 850 + 0,0)</f>
        <v>#REF!</v>
      </c>
      <c r="AW17" s="39" t="e">
        <f>ROUND((#REF!-250 - IF(#REF!&lt;&gt;0,20,0))*0.285 + 87.5 + 0/4.25,0)</f>
        <v>#REF!</v>
      </c>
      <c r="AX17" s="133"/>
      <c r="AY17" s="172" t="e">
        <f t="array" aca="1" ref="AY17" ca="1">IF(#REF!&gt;12,OFFSET(#REF!,-12,0),0)+OFFSET(#REF!,-1,0)-#REF!</f>
        <v>#REF!</v>
      </c>
      <c r="AZ17" s="173" t="e">
        <f t="array" aca="1" ref="AZ17" ca="1">IF(#REF!&gt;12,OFFSET(#REF!,-12,0),0)+OFFSET(#REF!,-1,0)-#REF!</f>
        <v>#REF!</v>
      </c>
      <c r="BA17" s="173" t="e">
        <f t="array" aca="1" ref="BA17" ca="1">IF(#REF!&gt;12,OFFSET(#REF!,-12,0),0)+OFFSET(#REF!,-1,0)-#REF!</f>
        <v>#REF!</v>
      </c>
      <c r="BB17" s="173" t="e">
        <f t="array" aca="1" ref="BB17" ca="1">IF(#REF!&gt;12,OFFSET(#REF!,-12,0),0)+OFFSET(#REF!,-1,0)-#REF!</f>
        <v>#REF!</v>
      </c>
      <c r="BC17" s="173" t="e">
        <f t="array" aca="1" ref="BC17" ca="1">IF(#REF!&gt;12,OFFSET(#REF!,-12,0),0)+OFFSET(#REF!,-1,0)-#REF!</f>
        <v>#REF!</v>
      </c>
      <c r="BD17" s="174" t="e">
        <f t="array" aca="1" ref="BD17" ca="1">IF(#REF!&gt;12,OFFSET(#REF!,-12,0),0)+OFFSET(#REF!,-1,0)-#REF!</f>
        <v>#REF!</v>
      </c>
      <c r="BE17" s="174" t="e">
        <f t="array" aca="1" ref="BE17" ca="1">IF(#REF!&gt;12,OFFSET(#REF!,-12,0),0)+OFFSET(#REF!,-1,0)-#REF!</f>
        <v>#REF!</v>
      </c>
      <c r="BF17" s="343" t="e">
        <f t="array" aca="1" ref="BF17" ca="1">IF(#REF!&gt;12,OFFSET(#REF!,-12,0),0)+OFFSET(#REF!,-1,0)-#REF!</f>
        <v>#REF!</v>
      </c>
      <c r="BG17" s="343" t="e">
        <f t="array" aca="1" ref="BG17" ca="1">IF(#REF!&gt;12,OFFSET(#REF!,-12,0),0)+OFFSET(#REF!,-1,0)-#REF!</f>
        <v>#REF!</v>
      </c>
      <c r="BH17" s="347" t="e">
        <f t="array" aca="1" ref="BH17" ca="1">IF(#REF!&gt;12,OFFSET(#REF!,-12,0),0)+OFFSET(#REF!,-1,0)-#REF!</f>
        <v>#REF!</v>
      </c>
      <c r="BI17" s="347" t="e">
        <f t="array" aca="1" ref="BI17" ca="1">IF(#REF!&gt;12,OFFSET(#REF!,-12,0),0)+OFFSET(#REF!,-1,0)-#REF!</f>
        <v>#REF!</v>
      </c>
      <c r="BJ17" s="347" t="e">
        <f t="array" aca="1" ref="BJ17" ca="1">IF(#REF!&gt;12,OFFSET(#REF!,-12,0),0)+OFFSET(#REF!,-1,0)-#REF!</f>
        <v>#REF!</v>
      </c>
      <c r="BK17" s="347" t="e">
        <f t="array" aca="1" ref="BK17" ca="1">IF(#REF!&gt;12,OFFSET(#REF!,-12,0),0)+OFFSET(#REF!,-1,0)-#REF!</f>
        <v>#REF!</v>
      </c>
      <c r="BL17" s="351" t="e">
        <f t="array" aca="1" ref="BL17" ca="1">IF(#REF!&gt;12,OFFSET(#REF!,-12,0),0)+OFFSET(#REF!,-1,0)-#REF!</f>
        <v>#REF!</v>
      </c>
      <c r="BM17" s="351" t="e">
        <f t="array" aca="1" ref="BM17" ca="1">IF(#REF!&gt;12,OFFSET(#REF!,-12,0),0)+OFFSET(#REF!,-1,0)-#REF!</f>
        <v>#REF!</v>
      </c>
      <c r="BN17" s="351" t="e">
        <f t="array" aca="1" ref="BN17" ca="1">IF(#REF!&gt;12,OFFSET(#REF!,-12,0),0)+OFFSET(#REF!,-1,0)-#REF!</f>
        <v>#REF!</v>
      </c>
      <c r="BO17" s="175" t="e">
        <f t="array" aca="1" ref="BO17" ca="1">IF(#REF!&gt;12,OFFSET(#REF!,-12,0),0)+OFFSET(#REF!,-1,0)-#REF!</f>
        <v>#REF!</v>
      </c>
      <c r="BP17" s="175" t="e">
        <f t="array" aca="1" ref="BP17" ca="1">IF(#REF!&gt;12,OFFSET(#REF!,-12,0),0)+OFFSET(#REF!,-1,0)-#REF!</f>
        <v>#REF!</v>
      </c>
      <c r="BQ17" s="176" t="e">
        <f t="array" aca="1" ref="BQ17" ca="1">IF(#REF!&gt;12,OFFSET(#REF!,-12,0),0)+OFFSET(#REF!,-1,0)-#REF!</f>
        <v>#REF!</v>
      </c>
      <c r="BR17" s="134"/>
      <c r="BS17" s="133"/>
      <c r="BT17" s="39" t="e">
        <f>#REF!</f>
        <v>#REF!</v>
      </c>
      <c r="BU17" s="147" t="e">
        <f>#REF!</f>
        <v>#REF!</v>
      </c>
      <c r="BV17" s="134"/>
      <c r="BW17" s="164"/>
      <c r="BX17" s="164"/>
      <c r="BY17" s="164"/>
      <c r="BZ17" s="164"/>
      <c r="CA17" s="164"/>
      <c r="CB17" s="164"/>
      <c r="CC17" s="164"/>
      <c r="CD17" s="164"/>
      <c r="CE17" s="164"/>
      <c r="CF17" s="164"/>
      <c r="CG17" s="164"/>
      <c r="CH17" s="164"/>
      <c r="CI17" s="164"/>
      <c r="CJ17" s="164"/>
      <c r="CK17" s="164"/>
      <c r="CL17" s="164"/>
      <c r="CM17" s="164"/>
      <c r="CN17" s="164"/>
      <c r="CO17" s="164"/>
      <c r="CP17" s="134"/>
      <c r="CQ17" s="165" t="e">
        <f ca="1">-SUM(#REF!)+SUM(#REF!)+Rezone!L17+IF("Ch_"&amp; home_land=#REF!,#REF!)+IF(#REF!&gt;12,OFFSET(#REF!,-12,0),0)</f>
        <v>#REF!</v>
      </c>
      <c r="CR17" s="166" t="e">
        <f ca="1">-SUM(#REF!)+SUM(#REF!) +Rezone!M17 + IF("Ch_"&amp; home_land=#REF!,#REF!)+IF(#REF!&gt;12,OFFSET(#REF!,-12,0),0)</f>
        <v>#REF!</v>
      </c>
      <c r="CS17" s="341" t="e">
        <f ca="1">-SUM(#REF!)+SUM(#REF!) +Rezone!N17 + IF("Ch_"&amp; home_land=#REF!,#REF!)+IF(#REF!&gt;12,OFFSET(#REF!,-12,0),0)</f>
        <v>#REF!</v>
      </c>
      <c r="CT17" s="167" t="e">
        <f ca="1">-SUM(#REF!)+SUM(#REF!) +Rezone!O17 + IF("Ch_" &amp; home_land=#REF!,#REF!)+IF(#REF!&gt;12,OFFSET(#REF!,-12,0),0)</f>
        <v>#REF!</v>
      </c>
      <c r="CU17" s="168" t="e">
        <f ca="1">-SUM(#REF!)+SUM(#REF!) +Rezone!P17 + IF("Ch_" &amp; home_land=#REF!,#REF!)+IF(#REF!&gt;12,OFFSET(#REF!,-12,0),0)</f>
        <v>#REF!</v>
      </c>
      <c r="CV17" s="169" t="e">
        <f ca="1">- SUM(#REF!)+SUM(#REF!) +Rezone!Q17 + IF("Ch_" &amp; home_land=#REF!,#REF!)+IF(#REF!&gt;12,OFFSET(#REF!,-12,0),0)</f>
        <v>#REF!</v>
      </c>
      <c r="CW17" s="170" t="e">
        <f ca="1">-#REF!+#REF! +Rezone!R17 + IF("Ch_" &amp; home_land=#REF!,#REF!)+IF(#REF!&gt;12,OFFSET(#REF!,-12,0),0)</f>
        <v>#REF!</v>
      </c>
      <c r="CX17" s="3" t="e">
        <f>IF(Explore!S17=1,20) -#REF! +#REF!</f>
        <v>#REF!</v>
      </c>
      <c r="CY17" s="134"/>
      <c r="CZ17" s="39" t="e">
        <f t="shared" ca="1" si="3"/>
        <v>#REF!</v>
      </c>
      <c r="DA17" s="39" t="e">
        <f t="shared" ca="1" si="4"/>
        <v>#REF!</v>
      </c>
      <c r="DB17" s="3" t="e">
        <f t="shared" ca="1" si="5"/>
        <v>#REF!</v>
      </c>
      <c r="DC17" s="39" t="e">
        <f t="shared" ca="1" si="6"/>
        <v>#REF!</v>
      </c>
      <c r="DD17" s="39" t="e">
        <f t="shared" ca="1" si="7"/>
        <v>#REF!</v>
      </c>
      <c r="DE17" s="3" t="e">
        <f t="shared" ca="1" si="8"/>
        <v>#REF!</v>
      </c>
      <c r="DF17" s="39" t="e">
        <f t="shared" ca="1" si="9"/>
        <v>#REF!</v>
      </c>
      <c r="DG17" s="39" t="e">
        <f t="array" ref="DG17">INDEX(#REF!,ROW()-ROW(#REF!),MATCH("Total "&amp;home_land,#REF!,0))+#REF!</f>
        <v>#REF!</v>
      </c>
      <c r="DH17" s="3" t="e">
        <f t="shared" ref="DH17:DH75" ca="1" si="10">SUM(O6:O17)+AY17</f>
        <v>#REF!</v>
      </c>
      <c r="DI17" s="3" t="e">
        <f t="shared" ca="1" si="0"/>
        <v>#REF!</v>
      </c>
      <c r="DJ17" s="3" t="e">
        <f t="shared" ca="1" si="1"/>
        <v>#REF!</v>
      </c>
    </row>
    <row r="18" spans="1:114" x14ac:dyDescent="0.25">
      <c r="A18" s="160" t="e">
        <f>#REF!</f>
        <v>#REF!</v>
      </c>
      <c r="B18" s="161" t="e">
        <f>SUM(#REF!)</f>
        <v>#REF!</v>
      </c>
      <c r="C18" s="162" t="e">
        <f>SUM(#REF!)</f>
        <v>#REF!</v>
      </c>
      <c r="D18" s="162">
        <f t="shared" si="2"/>
        <v>0</v>
      </c>
      <c r="E18" s="163"/>
      <c r="F18" s="61" t="e">
        <f>#REF!+#REF!+#REF!</f>
        <v>#REF!</v>
      </c>
      <c r="G18" s="171" t="e">
        <f ca="1">OFFSET(#REF!,-1,0)+#REF!</f>
        <v>#REF!</v>
      </c>
      <c r="H18" s="166" t="e">
        <f ca="1">OFFSET(#REF!,-1,0)+#REF!</f>
        <v>#REF!</v>
      </c>
      <c r="I18" s="341" t="e">
        <f ca="1">OFFSET(#REF!,-1,0)+#REF!</f>
        <v>#REF!</v>
      </c>
      <c r="J18" s="345" t="e">
        <f ca="1">OFFSET(#REF!,-1,0)+#REF!</f>
        <v>#REF!</v>
      </c>
      <c r="K18" s="349" t="e">
        <f ca="1">OFFSET(#REF!,-1,0)+#REF!</f>
        <v>#REF!</v>
      </c>
      <c r="L18" s="169" t="e">
        <f ca="1">OFFSET(#REF!,-1,0)+#REF!</f>
        <v>#REF!</v>
      </c>
      <c r="M18" s="170" t="e">
        <f ca="1">OFFSET(#REF!,-1,0)+#REF!</f>
        <v>#REF!</v>
      </c>
      <c r="N18" s="339" t="e">
        <f>#REF!</f>
        <v>#REF!</v>
      </c>
      <c r="O18" s="164"/>
      <c r="P18" s="164"/>
      <c r="Q18" s="164"/>
      <c r="R18" s="164"/>
      <c r="S18" s="164"/>
      <c r="T18" s="164"/>
      <c r="U18" s="164"/>
      <c r="V18" s="164"/>
      <c r="W18" s="164"/>
      <c r="X18" s="164"/>
      <c r="Y18" s="164"/>
      <c r="Z18" s="164"/>
      <c r="AA18" s="164"/>
      <c r="AB18" s="164"/>
      <c r="AC18" s="164"/>
      <c r="AD18" s="164"/>
      <c r="AE18" s="164"/>
      <c r="AF18" s="164"/>
      <c r="AG18" s="164"/>
      <c r="AH18" s="53" t="e">
        <f>#REF!</f>
        <v>#REF!</v>
      </c>
      <c r="AI18" s="132" t="e">
        <f>MIN(25%,(#REF!+#REF!)/(#REF!-#REF!*20))</f>
        <v>#REF!</v>
      </c>
      <c r="AJ18" s="132" t="e">
        <f>MIN(25%,(#REF!+#REF!)/#REF!)</f>
        <v>#REF!</v>
      </c>
      <c r="AK18" s="39" t="e">
        <f>#REF!</f>
        <v>#REF!</v>
      </c>
      <c r="AL18" s="39" t="e">
        <f>#REF!</f>
        <v>#REF!</v>
      </c>
      <c r="AM18" s="39" t="e">
        <f>ROUNDDOWN( MAX((1 - MIN(facs_constr_factor*#REF!,facs_constr_max) + tech_2_3*#REF! + tech_2_6_2*#REF! + tech_2_10*#REF! + tech_4_6*#REF! + tech_6_3*#REF! + tech_9_2*#REF! + race_construction_cost), 1-global_constr_cap) *#REF!,0)</f>
        <v>#REF!</v>
      </c>
      <c r="AN18" s="39" t="e">
        <f>ROUNDDOWN( MAX(1 - MIN(facs_constr_factor*#REF!,facs_constr_max) + tech_1_11*#REF! + tech_6_3_2*#REF! + tech_5_2_3*#REF!, 1-global_constr_cap) *#REF!,0)</f>
        <v>#REF!</v>
      </c>
      <c r="AO18" s="39" t="e">
        <f>ROUNDDOWN( MAX((1 - MIN(facs_constr_factor*#REF!,facs_constr_max) + tech_2_3*#REF! + tech_2_6_2*#REF! + tech_2_10*#REF! + tech_4_6*#REF! + tech_6_3*#REF! + tech_9_2*#REF! + race_construction_cost), 1-global_constr_cap) * (ROUND((#REF!-250)*1.25 + 850 + 0,0)),0)</f>
        <v>#REF!</v>
      </c>
      <c r="AP18" s="39" t="e">
        <f>ROUNDDOWN( MAX(1 - MIN(facs_constr_factor*#REF!,facs_constr_max) + tech_1_11*#REF! + tech_6_3_2*#REF! + tech_5_2_3*#REF!, 1-global_constr_cap) * ROUND((#REF!-250)*0.285 + 87.5 + 0/4.25,0),0)</f>
        <v>#REF!</v>
      </c>
      <c r="AQ18" s="3" t="e">
        <f>#REF!*#REF! +#REF! *#REF!</f>
        <v>#REF!</v>
      </c>
      <c r="AR18" s="3" t="e">
        <f>#REF!*#REF!+#REF!*#REF!</f>
        <v>#REF!</v>
      </c>
      <c r="AS18" s="39" t="e">
        <f ca="1">MIN(SUM(OFFSET(#REF!,-1,0))+SUM(#REF!)+IF(#REF!&gt;12,SUM(OFFSET(#REF!,-12,0)),0),SUM(#REF!))</f>
        <v>#REF!</v>
      </c>
      <c r="AT18" s="3" t="e">
        <f ca="1">IF(#REF!&lt;&gt;0,MAX(0, MIN(20, 20 + SUM(#REF!) - SUM(#REF!) - SUM(OFFSET(#REF!,-1,0)) - IF(#REF!&gt;12,SUM(OFFSET(#REF!,-12,0)),0) - 20*#REF!)),0)</f>
        <v>#REF!</v>
      </c>
      <c r="AU18" s="134"/>
      <c r="AV18" s="39" t="e">
        <f>ROUND((#REF!-250 - IF(#REF!&lt;&gt;0,20,0))*1.25 + 850 + 0,0)</f>
        <v>#REF!</v>
      </c>
      <c r="AW18" s="39" t="e">
        <f>ROUND((#REF!-250 - IF(#REF!&lt;&gt;0,20,0))*0.285 + 87.5 + 0/4.25,0)</f>
        <v>#REF!</v>
      </c>
      <c r="AX18" s="133"/>
      <c r="AY18" s="172" t="e">
        <f t="array" aca="1" ref="AY18" ca="1">IF(#REF!&gt;12,OFFSET(#REF!,-12,0),0)+OFFSET(#REF!,-1,0)-#REF!</f>
        <v>#REF!</v>
      </c>
      <c r="AZ18" s="173" t="e">
        <f t="array" aca="1" ref="AZ18" ca="1">IF(#REF!&gt;12,OFFSET(#REF!,-12,0),0)+OFFSET(#REF!,-1,0)-#REF!</f>
        <v>#REF!</v>
      </c>
      <c r="BA18" s="173" t="e">
        <f t="array" aca="1" ref="BA18" ca="1">IF(#REF!&gt;12,OFFSET(#REF!,-12,0),0)+OFFSET(#REF!,-1,0)-#REF!</f>
        <v>#REF!</v>
      </c>
      <c r="BB18" s="173" t="e">
        <f t="array" aca="1" ref="BB18" ca="1">IF(#REF!&gt;12,OFFSET(#REF!,-12,0),0)+OFFSET(#REF!,-1,0)-#REF!</f>
        <v>#REF!</v>
      </c>
      <c r="BC18" s="173" t="e">
        <f t="array" aca="1" ref="BC18" ca="1">IF(#REF!&gt;12,OFFSET(#REF!,-12,0),0)+OFFSET(#REF!,-1,0)-#REF!</f>
        <v>#REF!</v>
      </c>
      <c r="BD18" s="174" t="e">
        <f t="array" aca="1" ref="BD18" ca="1">IF(#REF!&gt;12,OFFSET(#REF!,-12,0),0)+OFFSET(#REF!,-1,0)-#REF!</f>
        <v>#REF!</v>
      </c>
      <c r="BE18" s="174" t="e">
        <f t="array" aca="1" ref="BE18" ca="1">IF(#REF!&gt;12,OFFSET(#REF!,-12,0),0)+OFFSET(#REF!,-1,0)-#REF!</f>
        <v>#REF!</v>
      </c>
      <c r="BF18" s="343" t="e">
        <f t="array" aca="1" ref="BF18" ca="1">IF(#REF!&gt;12,OFFSET(#REF!,-12,0),0)+OFFSET(#REF!,-1,0)-#REF!</f>
        <v>#REF!</v>
      </c>
      <c r="BG18" s="343" t="e">
        <f t="array" aca="1" ref="BG18" ca="1">IF(#REF!&gt;12,OFFSET(#REF!,-12,0),0)+OFFSET(#REF!,-1,0)-#REF!</f>
        <v>#REF!</v>
      </c>
      <c r="BH18" s="347" t="e">
        <f t="array" aca="1" ref="BH18" ca="1">IF(#REF!&gt;12,OFFSET(#REF!,-12,0),0)+OFFSET(#REF!,-1,0)-#REF!</f>
        <v>#REF!</v>
      </c>
      <c r="BI18" s="347" t="e">
        <f t="array" aca="1" ref="BI18" ca="1">IF(#REF!&gt;12,OFFSET(#REF!,-12,0),0)+OFFSET(#REF!,-1,0)-#REF!</f>
        <v>#REF!</v>
      </c>
      <c r="BJ18" s="347" t="e">
        <f t="array" aca="1" ref="BJ18" ca="1">IF(#REF!&gt;12,OFFSET(#REF!,-12,0),0)+OFFSET(#REF!,-1,0)-#REF!</f>
        <v>#REF!</v>
      </c>
      <c r="BK18" s="347" t="e">
        <f t="array" aca="1" ref="BK18" ca="1">IF(#REF!&gt;12,OFFSET(#REF!,-12,0),0)+OFFSET(#REF!,-1,0)-#REF!</f>
        <v>#REF!</v>
      </c>
      <c r="BL18" s="351" t="e">
        <f t="array" aca="1" ref="BL18" ca="1">IF(#REF!&gt;12,OFFSET(#REF!,-12,0),0)+OFFSET(#REF!,-1,0)-#REF!</f>
        <v>#REF!</v>
      </c>
      <c r="BM18" s="351" t="e">
        <f t="array" aca="1" ref="BM18" ca="1">IF(#REF!&gt;12,OFFSET(#REF!,-12,0),0)+OFFSET(#REF!,-1,0)-#REF!</f>
        <v>#REF!</v>
      </c>
      <c r="BN18" s="351" t="e">
        <f t="array" aca="1" ref="BN18" ca="1">IF(#REF!&gt;12,OFFSET(#REF!,-12,0),0)+OFFSET(#REF!,-1,0)-#REF!</f>
        <v>#REF!</v>
      </c>
      <c r="BO18" s="175" t="e">
        <f t="array" aca="1" ref="BO18" ca="1">IF(#REF!&gt;12,OFFSET(#REF!,-12,0),0)+OFFSET(#REF!,-1,0)-#REF!</f>
        <v>#REF!</v>
      </c>
      <c r="BP18" s="175" t="e">
        <f t="array" aca="1" ref="BP18" ca="1">IF(#REF!&gt;12,OFFSET(#REF!,-12,0),0)+OFFSET(#REF!,-1,0)-#REF!</f>
        <v>#REF!</v>
      </c>
      <c r="BQ18" s="176" t="e">
        <f t="array" aca="1" ref="BQ18" ca="1">IF(#REF!&gt;12,OFFSET(#REF!,-12,0),0)+OFFSET(#REF!,-1,0)-#REF!</f>
        <v>#REF!</v>
      </c>
      <c r="BR18" s="134"/>
      <c r="BS18" s="133"/>
      <c r="BT18" s="39" t="e">
        <f>#REF!</f>
        <v>#REF!</v>
      </c>
      <c r="BU18" s="147" t="e">
        <f>#REF!</f>
        <v>#REF!</v>
      </c>
      <c r="BV18" s="134"/>
      <c r="BW18" s="164"/>
      <c r="BX18" s="164"/>
      <c r="BY18" s="164"/>
      <c r="BZ18" s="164"/>
      <c r="CA18" s="164"/>
      <c r="CB18" s="164"/>
      <c r="CC18" s="164"/>
      <c r="CD18" s="164"/>
      <c r="CE18" s="164"/>
      <c r="CF18" s="164"/>
      <c r="CG18" s="164"/>
      <c r="CH18" s="164"/>
      <c r="CI18" s="164"/>
      <c r="CJ18" s="164"/>
      <c r="CK18" s="164"/>
      <c r="CL18" s="164"/>
      <c r="CM18" s="164"/>
      <c r="CN18" s="164"/>
      <c r="CO18" s="164"/>
      <c r="CP18" s="134"/>
      <c r="CQ18" s="165" t="e">
        <f ca="1">-SUM(#REF!)+SUM(#REF!)+Rezone!L18+IF("Ch_"&amp; home_land=#REF!,#REF!)+IF(#REF!&gt;12,OFFSET(#REF!,-12,0),0)</f>
        <v>#REF!</v>
      </c>
      <c r="CR18" s="166" t="e">
        <f ca="1">-SUM(#REF!)+SUM(#REF!) +Rezone!M18 + IF("Ch_"&amp; home_land=#REF!,#REF!)+IF(#REF!&gt;12,OFFSET(#REF!,-12,0),0)</f>
        <v>#REF!</v>
      </c>
      <c r="CS18" s="341" t="e">
        <f ca="1">-SUM(#REF!)+SUM(#REF!) +Rezone!N18 + IF("Ch_"&amp; home_land=#REF!,#REF!)+IF(#REF!&gt;12,OFFSET(#REF!,-12,0),0)</f>
        <v>#REF!</v>
      </c>
      <c r="CT18" s="167" t="e">
        <f ca="1">-SUM(#REF!)+SUM(#REF!) +Rezone!O18 + IF("Ch_" &amp; home_land=#REF!,#REF!)+IF(#REF!&gt;12,OFFSET(#REF!,-12,0),0)</f>
        <v>#REF!</v>
      </c>
      <c r="CU18" s="168" t="e">
        <f ca="1">-SUM(#REF!)+SUM(#REF!) +Rezone!P18 + IF("Ch_" &amp; home_land=#REF!,#REF!)+IF(#REF!&gt;12,OFFSET(#REF!,-12,0),0)</f>
        <v>#REF!</v>
      </c>
      <c r="CV18" s="169" t="e">
        <f ca="1">- SUM(#REF!)+SUM(#REF!) +Rezone!Q18 + IF("Ch_" &amp; home_land=#REF!,#REF!)+IF(#REF!&gt;12,OFFSET(#REF!,-12,0),0)</f>
        <v>#REF!</v>
      </c>
      <c r="CW18" s="170" t="e">
        <f ca="1">-#REF!+#REF! +Rezone!R18 + IF("Ch_" &amp; home_land=#REF!,#REF!)+IF(#REF!&gt;12,OFFSET(#REF!,-12,0),0)</f>
        <v>#REF!</v>
      </c>
      <c r="CX18" s="3" t="e">
        <f>IF(Explore!S18=1,20) -#REF! +#REF!</f>
        <v>#REF!</v>
      </c>
      <c r="CY18" s="134"/>
      <c r="CZ18" s="39" t="e">
        <f t="shared" ca="1" si="3"/>
        <v>#REF!</v>
      </c>
      <c r="DA18" s="39" t="e">
        <f t="shared" ca="1" si="4"/>
        <v>#REF!</v>
      </c>
      <c r="DB18" s="3" t="e">
        <f t="shared" ca="1" si="5"/>
        <v>#REF!</v>
      </c>
      <c r="DC18" s="39" t="e">
        <f t="shared" ca="1" si="6"/>
        <v>#REF!</v>
      </c>
      <c r="DD18" s="39" t="e">
        <f t="shared" ca="1" si="7"/>
        <v>#REF!</v>
      </c>
      <c r="DE18" s="3" t="e">
        <f t="shared" ca="1" si="8"/>
        <v>#REF!</v>
      </c>
      <c r="DF18" s="39" t="e">
        <f t="shared" ca="1" si="9"/>
        <v>#REF!</v>
      </c>
      <c r="DG18" s="39" t="e">
        <f t="array" ref="DG18">INDEX(#REF!,ROW()-ROW(#REF!),MATCH("Total "&amp;home_land,#REF!,0))+#REF!</f>
        <v>#REF!</v>
      </c>
      <c r="DH18" s="3" t="e">
        <f t="shared" ca="1" si="10"/>
        <v>#REF!</v>
      </c>
      <c r="DI18" s="3" t="e">
        <f t="shared" ca="1" si="0"/>
        <v>#REF!</v>
      </c>
      <c r="DJ18" s="3" t="e">
        <f t="shared" ca="1" si="1"/>
        <v>#REF!</v>
      </c>
    </row>
    <row r="19" spans="1:114" x14ac:dyDescent="0.25">
      <c r="A19" s="160" t="e">
        <f>#REF!</f>
        <v>#REF!</v>
      </c>
      <c r="B19" s="161" t="e">
        <f>SUM(#REF!)</f>
        <v>#REF!</v>
      </c>
      <c r="C19" s="162" t="e">
        <f>SUM(#REF!)</f>
        <v>#REF!</v>
      </c>
      <c r="D19" s="162">
        <f t="shared" si="2"/>
        <v>0</v>
      </c>
      <c r="E19" s="163"/>
      <c r="F19" s="61" t="e">
        <f>#REF!+#REF!+#REF!</f>
        <v>#REF!</v>
      </c>
      <c r="G19" s="171" t="e">
        <f ca="1">OFFSET(#REF!,-1,0)+#REF!</f>
        <v>#REF!</v>
      </c>
      <c r="H19" s="166" t="e">
        <f ca="1">OFFSET(#REF!,-1,0)+#REF!</f>
        <v>#REF!</v>
      </c>
      <c r="I19" s="341" t="e">
        <f ca="1">OFFSET(#REF!,-1,0)+#REF!</f>
        <v>#REF!</v>
      </c>
      <c r="J19" s="345" t="e">
        <f ca="1">OFFSET(#REF!,-1,0)+#REF!</f>
        <v>#REF!</v>
      </c>
      <c r="K19" s="349" t="e">
        <f ca="1">OFFSET(#REF!,-1,0)+#REF!</f>
        <v>#REF!</v>
      </c>
      <c r="L19" s="169" t="e">
        <f ca="1">OFFSET(#REF!,-1,0)+#REF!</f>
        <v>#REF!</v>
      </c>
      <c r="M19" s="170" t="e">
        <f ca="1">OFFSET(#REF!,-1,0)+#REF!</f>
        <v>#REF!</v>
      </c>
      <c r="N19" s="339" t="e">
        <f>#REF!</f>
        <v>#REF!</v>
      </c>
      <c r="O19" s="164"/>
      <c r="P19" s="164"/>
      <c r="Q19" s="164"/>
      <c r="R19" s="164"/>
      <c r="S19" s="164"/>
      <c r="T19" s="164"/>
      <c r="U19" s="164"/>
      <c r="V19" s="164"/>
      <c r="W19" s="164"/>
      <c r="X19" s="164"/>
      <c r="Y19" s="164"/>
      <c r="Z19" s="164"/>
      <c r="AA19" s="164"/>
      <c r="AB19" s="164"/>
      <c r="AC19" s="164"/>
      <c r="AD19" s="164"/>
      <c r="AE19" s="164"/>
      <c r="AF19" s="164"/>
      <c r="AG19" s="164"/>
      <c r="AH19" s="53" t="e">
        <f>#REF!</f>
        <v>#REF!</v>
      </c>
      <c r="AI19" s="132" t="e">
        <f>MIN(25%,(#REF!+#REF!)/(#REF!-#REF!*20))</f>
        <v>#REF!</v>
      </c>
      <c r="AJ19" s="132" t="e">
        <f>MIN(25%,(#REF!+#REF!)/#REF!)</f>
        <v>#REF!</v>
      </c>
      <c r="AK19" s="39" t="e">
        <f>#REF!</f>
        <v>#REF!</v>
      </c>
      <c r="AL19" s="39" t="e">
        <f>#REF!</f>
        <v>#REF!</v>
      </c>
      <c r="AM19" s="39" t="e">
        <f>ROUNDDOWN( MAX((1 - MIN(facs_constr_factor*#REF!,facs_constr_max) + tech_2_3*#REF! + tech_2_6_2*#REF! + tech_2_10*#REF! + tech_4_6*#REF! + tech_6_3*#REF! + tech_9_2*#REF! + race_construction_cost), 1-global_constr_cap) *#REF!,0)</f>
        <v>#REF!</v>
      </c>
      <c r="AN19" s="39" t="e">
        <f>ROUNDDOWN( MAX(1 - MIN(facs_constr_factor*#REF!,facs_constr_max) + tech_1_11*#REF! + tech_6_3_2*#REF! + tech_5_2_3*#REF!, 1-global_constr_cap) *#REF!,0)</f>
        <v>#REF!</v>
      </c>
      <c r="AO19" s="39" t="e">
        <f>ROUNDDOWN( MAX((1 - MIN(facs_constr_factor*#REF!,facs_constr_max) + tech_2_3*#REF! + tech_2_6_2*#REF! + tech_2_10*#REF! + tech_4_6*#REF! + tech_6_3*#REF! + tech_9_2*#REF! + race_construction_cost), 1-global_constr_cap) * (ROUND((#REF!-250)*1.25 + 850 + 0,0)),0)</f>
        <v>#REF!</v>
      </c>
      <c r="AP19" s="39" t="e">
        <f>ROUNDDOWN( MAX(1 - MIN(facs_constr_factor*#REF!,facs_constr_max) + tech_1_11*#REF! + tech_6_3_2*#REF! + tech_5_2_3*#REF!, 1-global_constr_cap) * ROUND((#REF!-250)*0.285 + 87.5 + 0/4.25,0),0)</f>
        <v>#REF!</v>
      </c>
      <c r="AQ19" s="3" t="e">
        <f>#REF!*#REF! +#REF! *#REF!</f>
        <v>#REF!</v>
      </c>
      <c r="AR19" s="3" t="e">
        <f>#REF!*#REF!+#REF!*#REF!</f>
        <v>#REF!</v>
      </c>
      <c r="AS19" s="39" t="e">
        <f ca="1">MIN(SUM(OFFSET(#REF!,-1,0))+SUM(#REF!)+IF(#REF!&gt;12,SUM(OFFSET(#REF!,-12,0)),0),SUM(#REF!))</f>
        <v>#REF!</v>
      </c>
      <c r="AT19" s="3" t="e">
        <f ca="1">IF(#REF!&lt;&gt;0,MAX(0, MIN(20, 20 + SUM(#REF!) - SUM(#REF!) - SUM(OFFSET(#REF!,-1,0)) - IF(#REF!&gt;12,SUM(OFFSET(#REF!,-12,0)),0) - 20*#REF!)),0)</f>
        <v>#REF!</v>
      </c>
      <c r="AU19" s="134"/>
      <c r="AV19" s="39" t="e">
        <f>ROUND((#REF!-250 - IF(#REF!&lt;&gt;0,20,0))*1.25 + 850 + 0,0)</f>
        <v>#REF!</v>
      </c>
      <c r="AW19" s="39" t="e">
        <f>ROUND((#REF!-250 - IF(#REF!&lt;&gt;0,20,0))*0.285 + 87.5 + 0/4.25,0)</f>
        <v>#REF!</v>
      </c>
      <c r="AX19" s="133"/>
      <c r="AY19" s="172" t="e">
        <f t="array" aca="1" ref="AY19" ca="1">IF(#REF!&gt;12,OFFSET(#REF!,-12,0),0)+OFFSET(#REF!,-1,0)-#REF!</f>
        <v>#REF!</v>
      </c>
      <c r="AZ19" s="173" t="e">
        <f t="array" aca="1" ref="AZ19" ca="1">IF(#REF!&gt;12,OFFSET(#REF!,-12,0),0)+OFFSET(#REF!,-1,0)-#REF!</f>
        <v>#REF!</v>
      </c>
      <c r="BA19" s="173" t="e">
        <f t="array" aca="1" ref="BA19" ca="1">IF(#REF!&gt;12,OFFSET(#REF!,-12,0),0)+OFFSET(#REF!,-1,0)-#REF!</f>
        <v>#REF!</v>
      </c>
      <c r="BB19" s="173" t="e">
        <f t="array" aca="1" ref="BB19" ca="1">IF(#REF!&gt;12,OFFSET(#REF!,-12,0),0)+OFFSET(#REF!,-1,0)-#REF!</f>
        <v>#REF!</v>
      </c>
      <c r="BC19" s="173" t="e">
        <f t="array" aca="1" ref="BC19" ca="1">IF(#REF!&gt;12,OFFSET(#REF!,-12,0),0)+OFFSET(#REF!,-1,0)-#REF!</f>
        <v>#REF!</v>
      </c>
      <c r="BD19" s="174" t="e">
        <f t="array" aca="1" ref="BD19" ca="1">IF(#REF!&gt;12,OFFSET(#REF!,-12,0),0)+OFFSET(#REF!,-1,0)-#REF!</f>
        <v>#REF!</v>
      </c>
      <c r="BE19" s="174" t="e">
        <f t="array" aca="1" ref="BE19" ca="1">IF(#REF!&gt;12,OFFSET(#REF!,-12,0),0)+OFFSET(#REF!,-1,0)-#REF!</f>
        <v>#REF!</v>
      </c>
      <c r="BF19" s="343" t="e">
        <f t="array" aca="1" ref="BF19" ca="1">IF(#REF!&gt;12,OFFSET(#REF!,-12,0),0)+OFFSET(#REF!,-1,0)-#REF!</f>
        <v>#REF!</v>
      </c>
      <c r="BG19" s="343" t="e">
        <f t="array" aca="1" ref="BG19" ca="1">IF(#REF!&gt;12,OFFSET(#REF!,-12,0),0)+OFFSET(#REF!,-1,0)-#REF!</f>
        <v>#REF!</v>
      </c>
      <c r="BH19" s="347" t="e">
        <f t="array" aca="1" ref="BH19" ca="1">IF(#REF!&gt;12,OFFSET(#REF!,-12,0),0)+OFFSET(#REF!,-1,0)-#REF!</f>
        <v>#REF!</v>
      </c>
      <c r="BI19" s="347" t="e">
        <f t="array" aca="1" ref="BI19" ca="1">IF(#REF!&gt;12,OFFSET(#REF!,-12,0),0)+OFFSET(#REF!,-1,0)-#REF!</f>
        <v>#REF!</v>
      </c>
      <c r="BJ19" s="347" t="e">
        <f t="array" aca="1" ref="BJ19" ca="1">IF(#REF!&gt;12,OFFSET(#REF!,-12,0),0)+OFFSET(#REF!,-1,0)-#REF!</f>
        <v>#REF!</v>
      </c>
      <c r="BK19" s="347" t="e">
        <f t="array" aca="1" ref="BK19" ca="1">IF(#REF!&gt;12,OFFSET(#REF!,-12,0),0)+OFFSET(#REF!,-1,0)-#REF!</f>
        <v>#REF!</v>
      </c>
      <c r="BL19" s="351" t="e">
        <f t="array" aca="1" ref="BL19" ca="1">IF(#REF!&gt;12,OFFSET(#REF!,-12,0),0)+OFFSET(#REF!,-1,0)-#REF!</f>
        <v>#REF!</v>
      </c>
      <c r="BM19" s="351" t="e">
        <f t="array" aca="1" ref="BM19" ca="1">IF(#REF!&gt;12,OFFSET(#REF!,-12,0),0)+OFFSET(#REF!,-1,0)-#REF!</f>
        <v>#REF!</v>
      </c>
      <c r="BN19" s="351" t="e">
        <f t="array" aca="1" ref="BN19" ca="1">IF(#REF!&gt;12,OFFSET(#REF!,-12,0),0)+OFFSET(#REF!,-1,0)-#REF!</f>
        <v>#REF!</v>
      </c>
      <c r="BO19" s="175" t="e">
        <f t="array" aca="1" ref="BO19" ca="1">IF(#REF!&gt;12,OFFSET(#REF!,-12,0),0)+OFFSET(#REF!,-1,0)-#REF!</f>
        <v>#REF!</v>
      </c>
      <c r="BP19" s="175" t="e">
        <f t="array" aca="1" ref="BP19" ca="1">IF(#REF!&gt;12,OFFSET(#REF!,-12,0),0)+OFFSET(#REF!,-1,0)-#REF!</f>
        <v>#REF!</v>
      </c>
      <c r="BQ19" s="176" t="e">
        <f t="array" aca="1" ref="BQ19" ca="1">IF(#REF!&gt;12,OFFSET(#REF!,-12,0),0)+OFFSET(#REF!,-1,0)-#REF!</f>
        <v>#REF!</v>
      </c>
      <c r="BR19" s="134"/>
      <c r="BS19" s="133"/>
      <c r="BT19" s="39" t="e">
        <f>#REF!</f>
        <v>#REF!</v>
      </c>
      <c r="BU19" s="147" t="e">
        <f>#REF!</f>
        <v>#REF!</v>
      </c>
      <c r="BV19" s="134"/>
      <c r="BW19" s="164"/>
      <c r="BX19" s="164"/>
      <c r="BY19" s="164"/>
      <c r="BZ19" s="164"/>
      <c r="CA19" s="164"/>
      <c r="CB19" s="164"/>
      <c r="CC19" s="164"/>
      <c r="CD19" s="164"/>
      <c r="CE19" s="164"/>
      <c r="CF19" s="164"/>
      <c r="CG19" s="164"/>
      <c r="CH19" s="164"/>
      <c r="CI19" s="164"/>
      <c r="CJ19" s="164"/>
      <c r="CK19" s="164"/>
      <c r="CL19" s="164"/>
      <c r="CM19" s="164"/>
      <c r="CN19" s="164"/>
      <c r="CO19" s="164"/>
      <c r="CP19" s="134"/>
      <c r="CQ19" s="165" t="e">
        <f ca="1">-SUM(#REF!)+SUM(#REF!)+Rezone!L19+IF("Ch_"&amp; home_land=#REF!,#REF!)+IF(#REF!&gt;12,OFFSET(#REF!,-12,0),0)</f>
        <v>#REF!</v>
      </c>
      <c r="CR19" s="166" t="e">
        <f ca="1">-SUM(#REF!)+SUM(#REF!) +Rezone!M19 + IF("Ch_"&amp; home_land=#REF!,#REF!)+IF(#REF!&gt;12,OFFSET(#REF!,-12,0),0)</f>
        <v>#REF!</v>
      </c>
      <c r="CS19" s="341" t="e">
        <f ca="1">-SUM(#REF!)+SUM(#REF!) +Rezone!N19 + IF("Ch_"&amp; home_land=#REF!,#REF!)+IF(#REF!&gt;12,OFFSET(#REF!,-12,0),0)</f>
        <v>#REF!</v>
      </c>
      <c r="CT19" s="167" t="e">
        <f ca="1">-SUM(#REF!)+SUM(#REF!) +Rezone!O19 + IF("Ch_" &amp; home_land=#REF!,#REF!)+IF(#REF!&gt;12,OFFSET(#REF!,-12,0),0)</f>
        <v>#REF!</v>
      </c>
      <c r="CU19" s="168" t="e">
        <f ca="1">-SUM(#REF!)+SUM(#REF!) +Rezone!P19 + IF("Ch_" &amp; home_land=#REF!,#REF!)+IF(#REF!&gt;12,OFFSET(#REF!,-12,0),0)</f>
        <v>#REF!</v>
      </c>
      <c r="CV19" s="169" t="e">
        <f ca="1">- SUM(#REF!)+SUM(#REF!) +Rezone!Q19 + IF("Ch_" &amp; home_land=#REF!,#REF!)+IF(#REF!&gt;12,OFFSET(#REF!,-12,0),0)</f>
        <v>#REF!</v>
      </c>
      <c r="CW19" s="170" t="e">
        <f ca="1">-#REF!+#REF! +Rezone!R19 + IF("Ch_" &amp; home_land=#REF!,#REF!)+IF(#REF!&gt;12,OFFSET(#REF!,-12,0),0)</f>
        <v>#REF!</v>
      </c>
      <c r="CX19" s="3" t="e">
        <f>IF(Explore!S19=1,20) -#REF! +#REF!</f>
        <v>#REF!</v>
      </c>
      <c r="CY19" s="134"/>
      <c r="CZ19" s="39" t="e">
        <f t="shared" ca="1" si="3"/>
        <v>#REF!</v>
      </c>
      <c r="DA19" s="39" t="e">
        <f t="shared" ca="1" si="4"/>
        <v>#REF!</v>
      </c>
      <c r="DB19" s="3" t="e">
        <f t="shared" ca="1" si="5"/>
        <v>#REF!</v>
      </c>
      <c r="DC19" s="39" t="e">
        <f t="shared" ca="1" si="6"/>
        <v>#REF!</v>
      </c>
      <c r="DD19" s="39" t="e">
        <f t="shared" ca="1" si="7"/>
        <v>#REF!</v>
      </c>
      <c r="DE19" s="3" t="e">
        <f t="shared" ca="1" si="8"/>
        <v>#REF!</v>
      </c>
      <c r="DF19" s="39" t="e">
        <f t="shared" ca="1" si="9"/>
        <v>#REF!</v>
      </c>
      <c r="DG19" s="39" t="e">
        <f t="array" ref="DG19">INDEX(#REF!,ROW()-ROW(#REF!),MATCH("Total "&amp;home_land,#REF!,0))+#REF!</f>
        <v>#REF!</v>
      </c>
      <c r="DH19" s="3" t="e">
        <f t="shared" ca="1" si="10"/>
        <v>#REF!</v>
      </c>
      <c r="DI19" s="3" t="e">
        <f t="shared" ca="1" si="0"/>
        <v>#REF!</v>
      </c>
      <c r="DJ19" s="3" t="e">
        <f t="shared" ca="1" si="1"/>
        <v>#REF!</v>
      </c>
    </row>
    <row r="20" spans="1:114" x14ac:dyDescent="0.25">
      <c r="A20" s="160" t="e">
        <f>#REF!</f>
        <v>#REF!</v>
      </c>
      <c r="B20" s="161" t="e">
        <f>SUM(#REF!)</f>
        <v>#REF!</v>
      </c>
      <c r="C20" s="162" t="e">
        <f>SUM(#REF!)</f>
        <v>#REF!</v>
      </c>
      <c r="D20" s="162">
        <f t="shared" si="2"/>
        <v>0</v>
      </c>
      <c r="E20" s="163"/>
      <c r="F20" s="61" t="e">
        <f>#REF!+#REF!+#REF!</f>
        <v>#REF!</v>
      </c>
      <c r="G20" s="171" t="e">
        <f ca="1">OFFSET(#REF!,-1,0)+#REF!</f>
        <v>#REF!</v>
      </c>
      <c r="H20" s="166" t="e">
        <f ca="1">OFFSET(#REF!,-1,0)+#REF!</f>
        <v>#REF!</v>
      </c>
      <c r="I20" s="341" t="e">
        <f ca="1">OFFSET(#REF!,-1,0)+#REF!</f>
        <v>#REF!</v>
      </c>
      <c r="J20" s="345" t="e">
        <f ca="1">OFFSET(#REF!,-1,0)+#REF!</f>
        <v>#REF!</v>
      </c>
      <c r="K20" s="349" t="e">
        <f ca="1">OFFSET(#REF!,-1,0)+#REF!</f>
        <v>#REF!</v>
      </c>
      <c r="L20" s="169" t="e">
        <f ca="1">OFFSET(#REF!,-1,0)+#REF!</f>
        <v>#REF!</v>
      </c>
      <c r="M20" s="170" t="e">
        <f ca="1">OFFSET(#REF!,-1,0)+#REF!</f>
        <v>#REF!</v>
      </c>
      <c r="N20" s="339" t="e">
        <f>#REF!</f>
        <v>#REF!</v>
      </c>
      <c r="O20" s="164"/>
      <c r="P20" s="164"/>
      <c r="Q20" s="164"/>
      <c r="R20" s="164"/>
      <c r="S20" s="164"/>
      <c r="T20" s="164"/>
      <c r="U20" s="164"/>
      <c r="V20" s="164"/>
      <c r="W20" s="164"/>
      <c r="X20" s="164"/>
      <c r="Y20" s="164"/>
      <c r="Z20" s="164"/>
      <c r="AA20" s="164"/>
      <c r="AB20" s="164"/>
      <c r="AC20" s="164"/>
      <c r="AD20" s="164"/>
      <c r="AE20" s="164"/>
      <c r="AF20" s="164"/>
      <c r="AG20" s="164"/>
      <c r="AH20" s="53" t="e">
        <f>#REF!</f>
        <v>#REF!</v>
      </c>
      <c r="AI20" s="132" t="e">
        <f>MIN(25%,(#REF!+#REF!)/(#REF!-#REF!*20))</f>
        <v>#REF!</v>
      </c>
      <c r="AJ20" s="132" t="e">
        <f>MIN(25%,(#REF!+#REF!)/#REF!)</f>
        <v>#REF!</v>
      </c>
      <c r="AK20" s="39" t="e">
        <f>#REF!</f>
        <v>#REF!</v>
      </c>
      <c r="AL20" s="39" t="e">
        <f>#REF!</f>
        <v>#REF!</v>
      </c>
      <c r="AM20" s="39" t="e">
        <f>ROUNDDOWN( MAX((1 - MIN(facs_constr_factor*#REF!,facs_constr_max) + tech_2_3*#REF! + tech_2_6_2*#REF! + tech_2_10*#REF! + tech_4_6*#REF! + tech_6_3*#REF! + tech_9_2*#REF! + race_construction_cost), 1-global_constr_cap) *#REF!,0)</f>
        <v>#REF!</v>
      </c>
      <c r="AN20" s="39" t="e">
        <f>ROUNDDOWN( MAX(1 - MIN(facs_constr_factor*#REF!,facs_constr_max) + tech_1_11*#REF! + tech_6_3_2*#REF! + tech_5_2_3*#REF!, 1-global_constr_cap) *#REF!,0)</f>
        <v>#REF!</v>
      </c>
      <c r="AO20" s="39" t="e">
        <f>ROUNDDOWN( MAX((1 - MIN(facs_constr_factor*#REF!,facs_constr_max) + tech_2_3*#REF! + tech_2_6_2*#REF! + tech_2_10*#REF! + tech_4_6*#REF! + tech_6_3*#REF! + tech_9_2*#REF! + race_construction_cost), 1-global_constr_cap) * (ROUND((#REF!-250)*1.25 + 850 + 0,0)),0)</f>
        <v>#REF!</v>
      </c>
      <c r="AP20" s="39" t="e">
        <f>ROUNDDOWN( MAX(1 - MIN(facs_constr_factor*#REF!,facs_constr_max) + tech_1_11*#REF! + tech_6_3_2*#REF! + tech_5_2_3*#REF!, 1-global_constr_cap) * ROUND((#REF!-250)*0.285 + 87.5 + 0/4.25,0),0)</f>
        <v>#REF!</v>
      </c>
      <c r="AQ20" s="3" t="e">
        <f>#REF!*#REF! +#REF! *#REF!</f>
        <v>#REF!</v>
      </c>
      <c r="AR20" s="3" t="e">
        <f>#REF!*#REF!+#REF!*#REF!</f>
        <v>#REF!</v>
      </c>
      <c r="AS20" s="39" t="e">
        <f ca="1">MIN(SUM(OFFSET(#REF!,-1,0))+SUM(#REF!)+IF(#REF!&gt;12,SUM(OFFSET(#REF!,-12,0)),0),SUM(#REF!))</f>
        <v>#REF!</v>
      </c>
      <c r="AT20" s="3" t="e">
        <f ca="1">IF(#REF!&lt;&gt;0,MAX(0, MIN(20, 20 + SUM(#REF!) - SUM(#REF!) - SUM(OFFSET(#REF!,-1,0)) - IF(#REF!&gt;12,SUM(OFFSET(#REF!,-12,0)),0) - 20*#REF!)),0)</f>
        <v>#REF!</v>
      </c>
      <c r="AU20" s="134"/>
      <c r="AV20" s="39" t="e">
        <f>ROUND((#REF!-250 - IF(#REF!&lt;&gt;0,20,0))*1.25 + 850 + 0,0)</f>
        <v>#REF!</v>
      </c>
      <c r="AW20" s="39" t="e">
        <f>ROUND((#REF!-250 - IF(#REF!&lt;&gt;0,20,0))*0.285 + 87.5 + 0/4.25,0)</f>
        <v>#REF!</v>
      </c>
      <c r="AX20" s="133"/>
      <c r="AY20" s="172" t="e">
        <f t="array" aca="1" ref="AY20" ca="1">IF(#REF!&gt;12,OFFSET(#REF!,-12,0),0)+OFFSET(#REF!,-1,0)-#REF!</f>
        <v>#REF!</v>
      </c>
      <c r="AZ20" s="173" t="e">
        <f t="array" aca="1" ref="AZ20" ca="1">IF(#REF!&gt;12,OFFSET(#REF!,-12,0),0)+OFFSET(#REF!,-1,0)-#REF!</f>
        <v>#REF!</v>
      </c>
      <c r="BA20" s="173" t="e">
        <f t="array" aca="1" ref="BA20" ca="1">IF(#REF!&gt;12,OFFSET(#REF!,-12,0),0)+OFFSET(#REF!,-1,0)-#REF!</f>
        <v>#REF!</v>
      </c>
      <c r="BB20" s="173" t="e">
        <f t="array" aca="1" ref="BB20" ca="1">IF(#REF!&gt;12,OFFSET(#REF!,-12,0),0)+OFFSET(#REF!,-1,0)-#REF!</f>
        <v>#REF!</v>
      </c>
      <c r="BC20" s="173" t="e">
        <f t="array" aca="1" ref="BC20" ca="1">IF(#REF!&gt;12,OFFSET(#REF!,-12,0),0)+OFFSET(#REF!,-1,0)-#REF!</f>
        <v>#REF!</v>
      </c>
      <c r="BD20" s="174" t="e">
        <f t="array" aca="1" ref="BD20" ca="1">IF(#REF!&gt;12,OFFSET(#REF!,-12,0),0)+OFFSET(#REF!,-1,0)-#REF!</f>
        <v>#REF!</v>
      </c>
      <c r="BE20" s="174" t="e">
        <f t="array" aca="1" ref="BE20" ca="1">IF(#REF!&gt;12,OFFSET(#REF!,-12,0),0)+OFFSET(#REF!,-1,0)-#REF!</f>
        <v>#REF!</v>
      </c>
      <c r="BF20" s="343" t="e">
        <f t="array" aca="1" ref="BF20" ca="1">IF(#REF!&gt;12,OFFSET(#REF!,-12,0),0)+OFFSET(#REF!,-1,0)-#REF!</f>
        <v>#REF!</v>
      </c>
      <c r="BG20" s="343" t="e">
        <f t="array" aca="1" ref="BG20" ca="1">IF(#REF!&gt;12,OFFSET(#REF!,-12,0),0)+OFFSET(#REF!,-1,0)-#REF!</f>
        <v>#REF!</v>
      </c>
      <c r="BH20" s="347" t="e">
        <f t="array" aca="1" ref="BH20" ca="1">IF(#REF!&gt;12,OFFSET(#REF!,-12,0),0)+OFFSET(#REF!,-1,0)-#REF!</f>
        <v>#REF!</v>
      </c>
      <c r="BI20" s="347" t="e">
        <f t="array" aca="1" ref="BI20" ca="1">IF(#REF!&gt;12,OFFSET(#REF!,-12,0),0)+OFFSET(#REF!,-1,0)-#REF!</f>
        <v>#REF!</v>
      </c>
      <c r="BJ20" s="347" t="e">
        <f t="array" aca="1" ref="BJ20" ca="1">IF(#REF!&gt;12,OFFSET(#REF!,-12,0),0)+OFFSET(#REF!,-1,0)-#REF!</f>
        <v>#REF!</v>
      </c>
      <c r="BK20" s="347" t="e">
        <f t="array" aca="1" ref="BK20" ca="1">IF(#REF!&gt;12,OFFSET(#REF!,-12,0),0)+OFFSET(#REF!,-1,0)-#REF!</f>
        <v>#REF!</v>
      </c>
      <c r="BL20" s="351" t="e">
        <f t="array" aca="1" ref="BL20" ca="1">IF(#REF!&gt;12,OFFSET(#REF!,-12,0),0)+OFFSET(#REF!,-1,0)-#REF!</f>
        <v>#REF!</v>
      </c>
      <c r="BM20" s="351" t="e">
        <f t="array" aca="1" ref="BM20" ca="1">IF(#REF!&gt;12,OFFSET(#REF!,-12,0),0)+OFFSET(#REF!,-1,0)-#REF!</f>
        <v>#REF!</v>
      </c>
      <c r="BN20" s="351" t="e">
        <f t="array" aca="1" ref="BN20" ca="1">IF(#REF!&gt;12,OFFSET(#REF!,-12,0),0)+OFFSET(#REF!,-1,0)-#REF!</f>
        <v>#REF!</v>
      </c>
      <c r="BO20" s="175" t="e">
        <f t="array" aca="1" ref="BO20" ca="1">IF(#REF!&gt;12,OFFSET(#REF!,-12,0),0)+OFFSET(#REF!,-1,0)-#REF!</f>
        <v>#REF!</v>
      </c>
      <c r="BP20" s="175" t="e">
        <f t="array" aca="1" ref="BP20" ca="1">IF(#REF!&gt;12,OFFSET(#REF!,-12,0),0)+OFFSET(#REF!,-1,0)-#REF!</f>
        <v>#REF!</v>
      </c>
      <c r="BQ20" s="176" t="e">
        <f t="array" aca="1" ref="BQ20" ca="1">IF(#REF!&gt;12,OFFSET(#REF!,-12,0),0)+OFFSET(#REF!,-1,0)-#REF!</f>
        <v>#REF!</v>
      </c>
      <c r="BR20" s="134"/>
      <c r="BS20" s="133"/>
      <c r="BT20" s="39" t="e">
        <f>#REF!</f>
        <v>#REF!</v>
      </c>
      <c r="BU20" s="147" t="e">
        <f>#REF!</f>
        <v>#REF!</v>
      </c>
      <c r="BV20" s="134"/>
      <c r="BW20" s="164"/>
      <c r="BX20" s="164"/>
      <c r="BY20" s="164"/>
      <c r="BZ20" s="164"/>
      <c r="CA20" s="164"/>
      <c r="CB20" s="164"/>
      <c r="CC20" s="164"/>
      <c r="CD20" s="164"/>
      <c r="CE20" s="164"/>
      <c r="CF20" s="164"/>
      <c r="CG20" s="164"/>
      <c r="CH20" s="164"/>
      <c r="CI20" s="164"/>
      <c r="CJ20" s="164"/>
      <c r="CK20" s="164"/>
      <c r="CL20" s="164"/>
      <c r="CM20" s="164"/>
      <c r="CN20" s="164"/>
      <c r="CO20" s="164"/>
      <c r="CP20" s="134"/>
      <c r="CQ20" s="165" t="e">
        <f ca="1">-SUM(#REF!)+SUM(#REF!)+Rezone!L20+IF("Ch_"&amp; home_land=#REF!,#REF!)+IF(#REF!&gt;12,OFFSET(#REF!,-12,0),0)</f>
        <v>#REF!</v>
      </c>
      <c r="CR20" s="166" t="e">
        <f ca="1">-SUM(#REF!)+SUM(#REF!) +Rezone!M20 + IF("Ch_"&amp; home_land=#REF!,#REF!)+IF(#REF!&gt;12,OFFSET(#REF!,-12,0),0)</f>
        <v>#REF!</v>
      </c>
      <c r="CS20" s="341" t="e">
        <f ca="1">-SUM(#REF!)+SUM(#REF!) +Rezone!N20 + IF("Ch_"&amp; home_land=#REF!,#REF!)+IF(#REF!&gt;12,OFFSET(#REF!,-12,0),0)</f>
        <v>#REF!</v>
      </c>
      <c r="CT20" s="167" t="e">
        <f ca="1">-SUM(#REF!)+SUM(#REF!) +Rezone!O20 + IF("Ch_" &amp; home_land=#REF!,#REF!)+IF(#REF!&gt;12,OFFSET(#REF!,-12,0),0)</f>
        <v>#REF!</v>
      </c>
      <c r="CU20" s="168" t="e">
        <f ca="1">-SUM(#REF!)+SUM(#REF!) +Rezone!P20 + IF("Ch_" &amp; home_land=#REF!,#REF!)+IF(#REF!&gt;12,OFFSET(#REF!,-12,0),0)</f>
        <v>#REF!</v>
      </c>
      <c r="CV20" s="169" t="e">
        <f ca="1">- SUM(#REF!)+SUM(#REF!) +Rezone!Q20 + IF("Ch_" &amp; home_land=#REF!,#REF!)+IF(#REF!&gt;12,OFFSET(#REF!,-12,0),0)</f>
        <v>#REF!</v>
      </c>
      <c r="CW20" s="170" t="e">
        <f ca="1">-#REF!+#REF! +Rezone!R20 + IF("Ch_" &amp; home_land=#REF!,#REF!)+IF(#REF!&gt;12,OFFSET(#REF!,-12,0),0)</f>
        <v>#REF!</v>
      </c>
      <c r="CX20" s="3" t="e">
        <f>IF(Explore!S20=1,20) -#REF! +#REF!</f>
        <v>#REF!</v>
      </c>
      <c r="CY20" s="134"/>
      <c r="CZ20" s="39" t="e">
        <f t="shared" ca="1" si="3"/>
        <v>#REF!</v>
      </c>
      <c r="DA20" s="39" t="e">
        <f t="shared" ca="1" si="4"/>
        <v>#REF!</v>
      </c>
      <c r="DB20" s="3" t="e">
        <f t="shared" ca="1" si="5"/>
        <v>#REF!</v>
      </c>
      <c r="DC20" s="39" t="e">
        <f t="shared" ca="1" si="6"/>
        <v>#REF!</v>
      </c>
      <c r="DD20" s="39" t="e">
        <f t="shared" ca="1" si="7"/>
        <v>#REF!</v>
      </c>
      <c r="DE20" s="3" t="e">
        <f t="shared" ca="1" si="8"/>
        <v>#REF!</v>
      </c>
      <c r="DF20" s="39" t="e">
        <f t="shared" ca="1" si="9"/>
        <v>#REF!</v>
      </c>
      <c r="DG20" s="39" t="e">
        <f t="array" ref="DG20">INDEX(#REF!,ROW()-ROW(#REF!),MATCH("Total "&amp;home_land,#REF!,0))+#REF!</f>
        <v>#REF!</v>
      </c>
      <c r="DH20" s="3" t="e">
        <f t="shared" ca="1" si="10"/>
        <v>#REF!</v>
      </c>
      <c r="DI20" s="3" t="e">
        <f t="shared" ca="1" si="0"/>
        <v>#REF!</v>
      </c>
      <c r="DJ20" s="3" t="e">
        <f t="shared" ca="1" si="1"/>
        <v>#REF!</v>
      </c>
    </row>
    <row r="21" spans="1:114" x14ac:dyDescent="0.25">
      <c r="A21" s="160" t="e">
        <f>#REF!</f>
        <v>#REF!</v>
      </c>
      <c r="B21" s="161" t="e">
        <f>SUM(#REF!)</f>
        <v>#REF!</v>
      </c>
      <c r="C21" s="162" t="e">
        <f>SUM(#REF!)</f>
        <v>#REF!</v>
      </c>
      <c r="D21" s="162">
        <f t="shared" si="2"/>
        <v>0</v>
      </c>
      <c r="E21" s="163"/>
      <c r="F21" s="61" t="e">
        <f>#REF!+#REF!+#REF!</f>
        <v>#REF!</v>
      </c>
      <c r="G21" s="171" t="e">
        <f ca="1">OFFSET(#REF!,-1,0)+#REF!</f>
        <v>#REF!</v>
      </c>
      <c r="H21" s="166" t="e">
        <f ca="1">OFFSET(#REF!,-1,0)+#REF!</f>
        <v>#REF!</v>
      </c>
      <c r="I21" s="341" t="e">
        <f ca="1">OFFSET(#REF!,-1,0)+#REF!</f>
        <v>#REF!</v>
      </c>
      <c r="J21" s="345" t="e">
        <f ca="1">OFFSET(#REF!,-1,0)+#REF!</f>
        <v>#REF!</v>
      </c>
      <c r="K21" s="349" t="e">
        <f ca="1">OFFSET(#REF!,-1,0)+#REF!</f>
        <v>#REF!</v>
      </c>
      <c r="L21" s="169" t="e">
        <f ca="1">OFFSET(#REF!,-1,0)+#REF!</f>
        <v>#REF!</v>
      </c>
      <c r="M21" s="170" t="e">
        <f ca="1">OFFSET(#REF!,-1,0)+#REF!</f>
        <v>#REF!</v>
      </c>
      <c r="N21" s="339" t="e">
        <f>#REF!</f>
        <v>#REF!</v>
      </c>
      <c r="O21" s="164"/>
      <c r="P21" s="164"/>
      <c r="Q21" s="164"/>
      <c r="R21" s="164"/>
      <c r="S21" s="164"/>
      <c r="T21" s="164"/>
      <c r="U21" s="164"/>
      <c r="V21" s="164"/>
      <c r="W21" s="164"/>
      <c r="X21" s="164"/>
      <c r="Y21" s="164"/>
      <c r="Z21" s="164"/>
      <c r="AA21" s="164"/>
      <c r="AB21" s="164"/>
      <c r="AC21" s="164"/>
      <c r="AD21" s="164"/>
      <c r="AE21" s="164"/>
      <c r="AF21" s="164"/>
      <c r="AG21" s="164"/>
      <c r="AH21" s="53" t="e">
        <f>#REF!</f>
        <v>#REF!</v>
      </c>
      <c r="AI21" s="132" t="e">
        <f>MIN(25%,(#REF!+#REF!)/(#REF!-#REF!*20))</f>
        <v>#REF!</v>
      </c>
      <c r="AJ21" s="132" t="e">
        <f>MIN(25%,(#REF!+#REF!)/#REF!)</f>
        <v>#REF!</v>
      </c>
      <c r="AK21" s="39" t="e">
        <f>#REF!</f>
        <v>#REF!</v>
      </c>
      <c r="AL21" s="39" t="e">
        <f>#REF!</f>
        <v>#REF!</v>
      </c>
      <c r="AM21" s="39" t="e">
        <f>ROUNDDOWN( MAX((1 - MIN(facs_constr_factor*#REF!,facs_constr_max) + tech_2_3*#REF! + tech_2_6_2*#REF! + tech_2_10*#REF! + tech_4_6*#REF! + tech_6_3*#REF! + tech_9_2*#REF! + race_construction_cost), 1-global_constr_cap) *#REF!,0)</f>
        <v>#REF!</v>
      </c>
      <c r="AN21" s="39" t="e">
        <f>ROUNDDOWN( MAX(1 - MIN(facs_constr_factor*#REF!,facs_constr_max) + tech_1_11*#REF! + tech_6_3_2*#REF! + tech_5_2_3*#REF!, 1-global_constr_cap) *#REF!,0)</f>
        <v>#REF!</v>
      </c>
      <c r="AO21" s="39" t="e">
        <f>ROUNDDOWN( MAX((1 - MIN(facs_constr_factor*#REF!,facs_constr_max) + tech_2_3*#REF! + tech_2_6_2*#REF! + tech_2_10*#REF! + tech_4_6*#REF! + tech_6_3*#REF! + tech_9_2*#REF! + race_construction_cost), 1-global_constr_cap) * (ROUND((#REF!-250)*1.25 + 850 + 0,0)),0)</f>
        <v>#REF!</v>
      </c>
      <c r="AP21" s="39" t="e">
        <f>ROUNDDOWN( MAX(1 - MIN(facs_constr_factor*#REF!,facs_constr_max) + tech_1_11*#REF! + tech_6_3_2*#REF! + tech_5_2_3*#REF!, 1-global_constr_cap) * ROUND((#REF!-250)*0.285 + 87.5 + 0/4.25,0),0)</f>
        <v>#REF!</v>
      </c>
      <c r="AQ21" s="3" t="e">
        <f>#REF!*#REF! +#REF! *#REF!</f>
        <v>#REF!</v>
      </c>
      <c r="AR21" s="3" t="e">
        <f>#REF!*#REF!+#REF!*#REF!</f>
        <v>#REF!</v>
      </c>
      <c r="AS21" s="39" t="e">
        <f ca="1">MIN(SUM(OFFSET(#REF!,-1,0))+SUM(#REF!)+IF(#REF!&gt;12,SUM(OFFSET(#REF!,-12,0)),0),SUM(#REF!))</f>
        <v>#REF!</v>
      </c>
      <c r="AT21" s="3" t="e">
        <f ca="1">IF(#REF!&lt;&gt;0,MAX(0, MIN(20, 20 + SUM(#REF!) - SUM(#REF!) - SUM(OFFSET(#REF!,-1,0)) - IF(#REF!&gt;12,SUM(OFFSET(#REF!,-12,0)),0) - 20*#REF!)),0)</f>
        <v>#REF!</v>
      </c>
      <c r="AU21" s="134"/>
      <c r="AV21" s="39" t="e">
        <f>ROUND((#REF!-250 - IF(#REF!&lt;&gt;0,20,0))*1.25 + 850 + 0,0)</f>
        <v>#REF!</v>
      </c>
      <c r="AW21" s="39" t="e">
        <f>ROUND((#REF!-250 - IF(#REF!&lt;&gt;0,20,0))*0.285 + 87.5 + 0/4.25,0)</f>
        <v>#REF!</v>
      </c>
      <c r="AX21" s="133"/>
      <c r="AY21" s="172" t="e">
        <f t="array" aca="1" ref="AY21" ca="1">IF(#REF!&gt;12,OFFSET(#REF!,-12,0),0)+OFFSET(#REF!,-1,0)-#REF!</f>
        <v>#REF!</v>
      </c>
      <c r="AZ21" s="173" t="e">
        <f t="array" aca="1" ref="AZ21" ca="1">IF(#REF!&gt;12,OFFSET(#REF!,-12,0),0)+OFFSET(#REF!,-1,0)-#REF!</f>
        <v>#REF!</v>
      </c>
      <c r="BA21" s="173" t="e">
        <f t="array" aca="1" ref="BA21" ca="1">IF(#REF!&gt;12,OFFSET(#REF!,-12,0),0)+OFFSET(#REF!,-1,0)-#REF!</f>
        <v>#REF!</v>
      </c>
      <c r="BB21" s="173" t="e">
        <f t="array" aca="1" ref="BB21" ca="1">IF(#REF!&gt;12,OFFSET(#REF!,-12,0),0)+OFFSET(#REF!,-1,0)-#REF!</f>
        <v>#REF!</v>
      </c>
      <c r="BC21" s="173" t="e">
        <f t="array" aca="1" ref="BC21" ca="1">IF(#REF!&gt;12,OFFSET(#REF!,-12,0),0)+OFFSET(#REF!,-1,0)-#REF!</f>
        <v>#REF!</v>
      </c>
      <c r="BD21" s="174" t="e">
        <f t="array" aca="1" ref="BD21" ca="1">IF(#REF!&gt;12,OFFSET(#REF!,-12,0),0)+OFFSET(#REF!,-1,0)-#REF!</f>
        <v>#REF!</v>
      </c>
      <c r="BE21" s="174" t="e">
        <f t="array" aca="1" ref="BE21" ca="1">IF(#REF!&gt;12,OFFSET(#REF!,-12,0),0)+OFFSET(#REF!,-1,0)-#REF!</f>
        <v>#REF!</v>
      </c>
      <c r="BF21" s="343" t="e">
        <f t="array" aca="1" ref="BF21" ca="1">IF(#REF!&gt;12,OFFSET(#REF!,-12,0),0)+OFFSET(#REF!,-1,0)-#REF!</f>
        <v>#REF!</v>
      </c>
      <c r="BG21" s="343" t="e">
        <f t="array" aca="1" ref="BG21" ca="1">IF(#REF!&gt;12,OFFSET(#REF!,-12,0),0)+OFFSET(#REF!,-1,0)-#REF!</f>
        <v>#REF!</v>
      </c>
      <c r="BH21" s="347" t="e">
        <f t="array" aca="1" ref="BH21" ca="1">IF(#REF!&gt;12,OFFSET(#REF!,-12,0),0)+OFFSET(#REF!,-1,0)-#REF!</f>
        <v>#REF!</v>
      </c>
      <c r="BI21" s="347" t="e">
        <f t="array" aca="1" ref="BI21" ca="1">IF(#REF!&gt;12,OFFSET(#REF!,-12,0),0)+OFFSET(#REF!,-1,0)-#REF!</f>
        <v>#REF!</v>
      </c>
      <c r="BJ21" s="347" t="e">
        <f t="array" aca="1" ref="BJ21" ca="1">IF(#REF!&gt;12,OFFSET(#REF!,-12,0),0)+OFFSET(#REF!,-1,0)-#REF!</f>
        <v>#REF!</v>
      </c>
      <c r="BK21" s="347" t="e">
        <f t="array" aca="1" ref="BK21" ca="1">IF(#REF!&gt;12,OFFSET(#REF!,-12,0),0)+OFFSET(#REF!,-1,0)-#REF!</f>
        <v>#REF!</v>
      </c>
      <c r="BL21" s="351" t="e">
        <f t="array" aca="1" ref="BL21" ca="1">IF(#REF!&gt;12,OFFSET(#REF!,-12,0),0)+OFFSET(#REF!,-1,0)-#REF!</f>
        <v>#REF!</v>
      </c>
      <c r="BM21" s="351" t="e">
        <f t="array" aca="1" ref="BM21" ca="1">IF(#REF!&gt;12,OFFSET(#REF!,-12,0),0)+OFFSET(#REF!,-1,0)-#REF!</f>
        <v>#REF!</v>
      </c>
      <c r="BN21" s="351" t="e">
        <f t="array" aca="1" ref="BN21" ca="1">IF(#REF!&gt;12,OFFSET(#REF!,-12,0),0)+OFFSET(#REF!,-1,0)-#REF!</f>
        <v>#REF!</v>
      </c>
      <c r="BO21" s="175" t="e">
        <f t="array" aca="1" ref="BO21" ca="1">IF(#REF!&gt;12,OFFSET(#REF!,-12,0),0)+OFFSET(#REF!,-1,0)-#REF!</f>
        <v>#REF!</v>
      </c>
      <c r="BP21" s="175" t="e">
        <f t="array" aca="1" ref="BP21" ca="1">IF(#REF!&gt;12,OFFSET(#REF!,-12,0),0)+OFFSET(#REF!,-1,0)-#REF!</f>
        <v>#REF!</v>
      </c>
      <c r="BQ21" s="176" t="e">
        <f t="array" aca="1" ref="BQ21" ca="1">IF(#REF!&gt;12,OFFSET(#REF!,-12,0),0)+OFFSET(#REF!,-1,0)-#REF!</f>
        <v>#REF!</v>
      </c>
      <c r="BR21" s="134"/>
      <c r="BS21" s="133"/>
      <c r="BT21" s="39" t="e">
        <f>#REF!</f>
        <v>#REF!</v>
      </c>
      <c r="BU21" s="147" t="e">
        <f>#REF!</f>
        <v>#REF!</v>
      </c>
      <c r="BV21" s="134"/>
      <c r="BW21" s="164"/>
      <c r="BX21" s="164"/>
      <c r="BY21" s="164"/>
      <c r="BZ21" s="164"/>
      <c r="CA21" s="164"/>
      <c r="CB21" s="164"/>
      <c r="CC21" s="164"/>
      <c r="CD21" s="164"/>
      <c r="CE21" s="164"/>
      <c r="CF21" s="164"/>
      <c r="CG21" s="164"/>
      <c r="CH21" s="164"/>
      <c r="CI21" s="164"/>
      <c r="CJ21" s="164"/>
      <c r="CK21" s="164"/>
      <c r="CL21" s="164"/>
      <c r="CM21" s="164"/>
      <c r="CN21" s="164"/>
      <c r="CO21" s="164"/>
      <c r="CP21" s="134"/>
      <c r="CQ21" s="165" t="e">
        <f ca="1">-SUM(#REF!)+SUM(#REF!)+Rezone!L21+IF("Ch_"&amp; home_land=#REF!,#REF!)+IF(#REF!&gt;12,OFFSET(#REF!,-12,0),0)</f>
        <v>#REF!</v>
      </c>
      <c r="CR21" s="166" t="e">
        <f ca="1">-SUM(#REF!)+SUM(#REF!) +Rezone!M21 + IF("Ch_"&amp; home_land=#REF!,#REF!)+IF(#REF!&gt;12,OFFSET(#REF!,-12,0),0)</f>
        <v>#REF!</v>
      </c>
      <c r="CS21" s="341" t="e">
        <f ca="1">-SUM(#REF!)+SUM(#REF!) +Rezone!N21 + IF("Ch_"&amp; home_land=#REF!,#REF!)+IF(#REF!&gt;12,OFFSET(#REF!,-12,0),0)</f>
        <v>#REF!</v>
      </c>
      <c r="CT21" s="167" t="e">
        <f ca="1">-SUM(#REF!)+SUM(#REF!) +Rezone!O21 + IF("Ch_" &amp; home_land=#REF!,#REF!)+IF(#REF!&gt;12,OFFSET(#REF!,-12,0),0)</f>
        <v>#REF!</v>
      </c>
      <c r="CU21" s="168" t="e">
        <f ca="1">-SUM(#REF!)+SUM(#REF!) +Rezone!P21 + IF("Ch_" &amp; home_land=#REF!,#REF!)+IF(#REF!&gt;12,OFFSET(#REF!,-12,0),0)</f>
        <v>#REF!</v>
      </c>
      <c r="CV21" s="169" t="e">
        <f ca="1">- SUM(#REF!)+SUM(#REF!) +Rezone!Q21 + IF("Ch_" &amp; home_land=#REF!,#REF!)+IF(#REF!&gt;12,OFFSET(#REF!,-12,0),0)</f>
        <v>#REF!</v>
      </c>
      <c r="CW21" s="170" t="e">
        <f ca="1">-#REF!+#REF! +Rezone!R21 + IF("Ch_" &amp; home_land=#REF!,#REF!)+IF(#REF!&gt;12,OFFSET(#REF!,-12,0),0)</f>
        <v>#REF!</v>
      </c>
      <c r="CX21" s="3" t="e">
        <f>IF(Explore!S21=1,20) -#REF! +#REF!</f>
        <v>#REF!</v>
      </c>
      <c r="CY21" s="134"/>
      <c r="CZ21" s="39" t="e">
        <f t="shared" ca="1" si="3"/>
        <v>#REF!</v>
      </c>
      <c r="DA21" s="39" t="e">
        <f t="shared" ca="1" si="4"/>
        <v>#REF!</v>
      </c>
      <c r="DB21" s="3" t="e">
        <f t="shared" ca="1" si="5"/>
        <v>#REF!</v>
      </c>
      <c r="DC21" s="39" t="e">
        <f t="shared" ca="1" si="6"/>
        <v>#REF!</v>
      </c>
      <c r="DD21" s="39" t="e">
        <f t="shared" ca="1" si="7"/>
        <v>#REF!</v>
      </c>
      <c r="DE21" s="3" t="e">
        <f t="shared" ca="1" si="8"/>
        <v>#REF!</v>
      </c>
      <c r="DF21" s="39" t="e">
        <f t="shared" ca="1" si="9"/>
        <v>#REF!</v>
      </c>
      <c r="DG21" s="39" t="e">
        <f t="array" ref="DG21">INDEX(#REF!,ROW()-ROW(#REF!),MATCH("Total "&amp;home_land,#REF!,0))+#REF!</f>
        <v>#REF!</v>
      </c>
      <c r="DH21" s="3" t="e">
        <f t="shared" ca="1" si="10"/>
        <v>#REF!</v>
      </c>
      <c r="DI21" s="3" t="e">
        <f t="shared" ca="1" si="0"/>
        <v>#REF!</v>
      </c>
      <c r="DJ21" s="3" t="e">
        <f t="shared" ca="1" si="1"/>
        <v>#REF!</v>
      </c>
    </row>
    <row r="22" spans="1:114" x14ac:dyDescent="0.25">
      <c r="A22" s="160" t="e">
        <f>#REF!</f>
        <v>#REF!</v>
      </c>
      <c r="B22" s="161" t="e">
        <f>SUM(#REF!)</f>
        <v>#REF!</v>
      </c>
      <c r="C22" s="162" t="e">
        <f>SUM(#REF!)</f>
        <v>#REF!</v>
      </c>
      <c r="D22" s="162">
        <f t="shared" si="2"/>
        <v>0</v>
      </c>
      <c r="E22" s="163"/>
      <c r="F22" s="61" t="e">
        <f>#REF!+#REF!+#REF!</f>
        <v>#REF!</v>
      </c>
      <c r="G22" s="171" t="e">
        <f ca="1">OFFSET(#REF!,-1,0)+#REF!</f>
        <v>#REF!</v>
      </c>
      <c r="H22" s="166" t="e">
        <f ca="1">OFFSET(#REF!,-1,0)+#REF!</f>
        <v>#REF!</v>
      </c>
      <c r="I22" s="341" t="e">
        <f ca="1">OFFSET(#REF!,-1,0)+#REF!</f>
        <v>#REF!</v>
      </c>
      <c r="J22" s="345" t="e">
        <f ca="1">OFFSET(#REF!,-1,0)+#REF!</f>
        <v>#REF!</v>
      </c>
      <c r="K22" s="349" t="e">
        <f ca="1">OFFSET(#REF!,-1,0)+#REF!</f>
        <v>#REF!</v>
      </c>
      <c r="L22" s="169" t="e">
        <f ca="1">OFFSET(#REF!,-1,0)+#REF!</f>
        <v>#REF!</v>
      </c>
      <c r="M22" s="170" t="e">
        <f ca="1">OFFSET(#REF!,-1,0)+#REF!</f>
        <v>#REF!</v>
      </c>
      <c r="N22" s="339" t="e">
        <f>#REF!</f>
        <v>#REF!</v>
      </c>
      <c r="O22" s="164"/>
      <c r="P22" s="164"/>
      <c r="Q22" s="164"/>
      <c r="R22" s="164"/>
      <c r="S22" s="164"/>
      <c r="T22" s="164"/>
      <c r="U22" s="164"/>
      <c r="V22" s="164"/>
      <c r="W22" s="164"/>
      <c r="X22" s="164"/>
      <c r="Y22" s="164"/>
      <c r="Z22" s="164"/>
      <c r="AA22" s="164"/>
      <c r="AB22" s="164"/>
      <c r="AC22" s="164"/>
      <c r="AD22" s="164"/>
      <c r="AE22" s="164"/>
      <c r="AF22" s="164"/>
      <c r="AG22" s="164"/>
      <c r="AH22" s="53" t="e">
        <f>#REF!</f>
        <v>#REF!</v>
      </c>
      <c r="AI22" s="132" t="e">
        <f>MIN(25%,(#REF!+#REF!)/(#REF!-#REF!*20))</f>
        <v>#REF!</v>
      </c>
      <c r="AJ22" s="132" t="e">
        <f>MIN(25%,(#REF!+#REF!)/#REF!)</f>
        <v>#REF!</v>
      </c>
      <c r="AK22" s="39" t="e">
        <f>#REF!</f>
        <v>#REF!</v>
      </c>
      <c r="AL22" s="39" t="e">
        <f>#REF!</f>
        <v>#REF!</v>
      </c>
      <c r="AM22" s="39" t="e">
        <f>ROUNDDOWN( MAX((1 - MIN(facs_constr_factor*#REF!,facs_constr_max) + tech_2_3*#REF! + tech_2_6_2*#REF! + tech_2_10*#REF! + tech_4_6*#REF! + tech_6_3*#REF! + tech_9_2*#REF! + race_construction_cost), 1-global_constr_cap) *#REF!,0)</f>
        <v>#REF!</v>
      </c>
      <c r="AN22" s="39" t="e">
        <f>ROUNDDOWN( MAX(1 - MIN(facs_constr_factor*#REF!,facs_constr_max) + tech_1_11*#REF! + tech_6_3_2*#REF! + tech_5_2_3*#REF!, 1-global_constr_cap) *#REF!,0)</f>
        <v>#REF!</v>
      </c>
      <c r="AO22" s="39" t="e">
        <f>ROUNDDOWN( MAX((1 - MIN(facs_constr_factor*#REF!,facs_constr_max) + tech_2_3*#REF! + tech_2_6_2*#REF! + tech_2_10*#REF! + tech_4_6*#REF! + tech_6_3*#REF! + tech_9_2*#REF! + race_construction_cost), 1-global_constr_cap) * (ROUND((#REF!-250)*1.25 + 850 + 0,0)),0)</f>
        <v>#REF!</v>
      </c>
      <c r="AP22" s="39" t="e">
        <f>ROUNDDOWN( MAX(1 - MIN(facs_constr_factor*#REF!,facs_constr_max) + tech_1_11*#REF! + tech_6_3_2*#REF! + tech_5_2_3*#REF!, 1-global_constr_cap) * ROUND((#REF!-250)*0.285 + 87.5 + 0/4.25,0),0)</f>
        <v>#REF!</v>
      </c>
      <c r="AQ22" s="3" t="e">
        <f>#REF!*#REF! +#REF! *#REF!</f>
        <v>#REF!</v>
      </c>
      <c r="AR22" s="3" t="e">
        <f>#REF!*#REF!+#REF!*#REF!</f>
        <v>#REF!</v>
      </c>
      <c r="AS22" s="39" t="e">
        <f ca="1">MIN(SUM(OFFSET(#REF!,-1,0))+SUM(#REF!)+IF(#REF!&gt;12,SUM(OFFSET(#REF!,-12,0)),0),SUM(#REF!))</f>
        <v>#REF!</v>
      </c>
      <c r="AT22" s="3" t="e">
        <f ca="1">IF(#REF!&lt;&gt;0,MAX(0, MIN(20, 20 + SUM(#REF!) - SUM(#REF!) - SUM(OFFSET(#REF!,-1,0)) - IF(#REF!&gt;12,SUM(OFFSET(#REF!,-12,0)),0) - 20*#REF!)),0)</f>
        <v>#REF!</v>
      </c>
      <c r="AU22" s="134"/>
      <c r="AV22" s="39" t="e">
        <f>ROUND((#REF!-250 - IF(#REF!&lt;&gt;0,20,0))*1.25 + 850 + 0,0)</f>
        <v>#REF!</v>
      </c>
      <c r="AW22" s="39" t="e">
        <f>ROUND((#REF!-250 - IF(#REF!&lt;&gt;0,20,0))*0.285 + 87.5 + 0/4.25,0)</f>
        <v>#REF!</v>
      </c>
      <c r="AX22" s="133"/>
      <c r="AY22" s="172" t="e">
        <f t="array" aca="1" ref="AY22" ca="1">IF(#REF!&gt;12,OFFSET(#REF!,-12,0),0)+OFFSET(#REF!,-1,0)-#REF!</f>
        <v>#REF!</v>
      </c>
      <c r="AZ22" s="173" t="e">
        <f t="array" aca="1" ref="AZ22" ca="1">IF(#REF!&gt;12,OFFSET(#REF!,-12,0),0)+OFFSET(#REF!,-1,0)-#REF!</f>
        <v>#REF!</v>
      </c>
      <c r="BA22" s="173" t="e">
        <f t="array" aca="1" ref="BA22" ca="1">IF(#REF!&gt;12,OFFSET(#REF!,-12,0),0)+OFFSET(#REF!,-1,0)-#REF!</f>
        <v>#REF!</v>
      </c>
      <c r="BB22" s="173" t="e">
        <f t="array" aca="1" ref="BB22" ca="1">IF(#REF!&gt;12,OFFSET(#REF!,-12,0),0)+OFFSET(#REF!,-1,0)-#REF!</f>
        <v>#REF!</v>
      </c>
      <c r="BC22" s="173" t="e">
        <f t="array" aca="1" ref="BC22" ca="1">IF(#REF!&gt;12,OFFSET(#REF!,-12,0),0)+OFFSET(#REF!,-1,0)-#REF!</f>
        <v>#REF!</v>
      </c>
      <c r="BD22" s="174" t="e">
        <f t="array" aca="1" ref="BD22" ca="1">IF(#REF!&gt;12,OFFSET(#REF!,-12,0),0)+OFFSET(#REF!,-1,0)-#REF!</f>
        <v>#REF!</v>
      </c>
      <c r="BE22" s="174" t="e">
        <f t="array" aca="1" ref="BE22" ca="1">IF(#REF!&gt;12,OFFSET(#REF!,-12,0),0)+OFFSET(#REF!,-1,0)-#REF!</f>
        <v>#REF!</v>
      </c>
      <c r="BF22" s="343" t="e">
        <f t="array" aca="1" ref="BF22" ca="1">IF(#REF!&gt;12,OFFSET(#REF!,-12,0),0)+OFFSET(#REF!,-1,0)-#REF!</f>
        <v>#REF!</v>
      </c>
      <c r="BG22" s="343" t="e">
        <f t="array" aca="1" ref="BG22" ca="1">IF(#REF!&gt;12,OFFSET(#REF!,-12,0),0)+OFFSET(#REF!,-1,0)-#REF!</f>
        <v>#REF!</v>
      </c>
      <c r="BH22" s="347" t="e">
        <f t="array" aca="1" ref="BH22" ca="1">IF(#REF!&gt;12,OFFSET(#REF!,-12,0),0)+OFFSET(#REF!,-1,0)-#REF!</f>
        <v>#REF!</v>
      </c>
      <c r="BI22" s="347" t="e">
        <f t="array" aca="1" ref="BI22" ca="1">IF(#REF!&gt;12,OFFSET(#REF!,-12,0),0)+OFFSET(#REF!,-1,0)-#REF!</f>
        <v>#REF!</v>
      </c>
      <c r="BJ22" s="347" t="e">
        <f t="array" aca="1" ref="BJ22" ca="1">IF(#REF!&gt;12,OFFSET(#REF!,-12,0),0)+OFFSET(#REF!,-1,0)-#REF!</f>
        <v>#REF!</v>
      </c>
      <c r="BK22" s="347" t="e">
        <f t="array" aca="1" ref="BK22" ca="1">IF(#REF!&gt;12,OFFSET(#REF!,-12,0),0)+OFFSET(#REF!,-1,0)-#REF!</f>
        <v>#REF!</v>
      </c>
      <c r="BL22" s="351" t="e">
        <f t="array" aca="1" ref="BL22" ca="1">IF(#REF!&gt;12,OFFSET(#REF!,-12,0),0)+OFFSET(#REF!,-1,0)-#REF!</f>
        <v>#REF!</v>
      </c>
      <c r="BM22" s="351" t="e">
        <f t="array" aca="1" ref="BM22" ca="1">IF(#REF!&gt;12,OFFSET(#REF!,-12,0),0)+OFFSET(#REF!,-1,0)-#REF!</f>
        <v>#REF!</v>
      </c>
      <c r="BN22" s="351" t="e">
        <f t="array" aca="1" ref="BN22" ca="1">IF(#REF!&gt;12,OFFSET(#REF!,-12,0),0)+OFFSET(#REF!,-1,0)-#REF!</f>
        <v>#REF!</v>
      </c>
      <c r="BO22" s="175" t="e">
        <f t="array" aca="1" ref="BO22" ca="1">IF(#REF!&gt;12,OFFSET(#REF!,-12,0),0)+OFFSET(#REF!,-1,0)-#REF!</f>
        <v>#REF!</v>
      </c>
      <c r="BP22" s="175" t="e">
        <f t="array" aca="1" ref="BP22" ca="1">IF(#REF!&gt;12,OFFSET(#REF!,-12,0),0)+OFFSET(#REF!,-1,0)-#REF!</f>
        <v>#REF!</v>
      </c>
      <c r="BQ22" s="176" t="e">
        <f t="array" aca="1" ref="BQ22" ca="1">IF(#REF!&gt;12,OFFSET(#REF!,-12,0),0)+OFFSET(#REF!,-1,0)-#REF!</f>
        <v>#REF!</v>
      </c>
      <c r="BR22" s="134"/>
      <c r="BS22" s="133"/>
      <c r="BT22" s="39" t="e">
        <f>#REF!</f>
        <v>#REF!</v>
      </c>
      <c r="BU22" s="147" t="e">
        <f>#REF!</f>
        <v>#REF!</v>
      </c>
      <c r="BV22" s="134"/>
      <c r="BW22" s="164"/>
      <c r="BX22" s="164"/>
      <c r="BY22" s="164"/>
      <c r="BZ22" s="164"/>
      <c r="CA22" s="164"/>
      <c r="CB22" s="164"/>
      <c r="CC22" s="164"/>
      <c r="CD22" s="164"/>
      <c r="CE22" s="164"/>
      <c r="CF22" s="164"/>
      <c r="CG22" s="164"/>
      <c r="CH22" s="164"/>
      <c r="CI22" s="164"/>
      <c r="CJ22" s="164"/>
      <c r="CK22" s="164"/>
      <c r="CL22" s="164"/>
      <c r="CM22" s="164"/>
      <c r="CN22" s="164"/>
      <c r="CO22" s="164"/>
      <c r="CP22" s="134"/>
      <c r="CQ22" s="165" t="e">
        <f ca="1">-SUM(#REF!)+SUM(#REF!)+Rezone!L22+IF("Ch_"&amp; home_land=#REF!,#REF!)+IF(#REF!&gt;12,OFFSET(#REF!,-12,0),0)</f>
        <v>#REF!</v>
      </c>
      <c r="CR22" s="166" t="e">
        <f ca="1">-SUM(#REF!)+SUM(#REF!) +Rezone!M22 + IF("Ch_"&amp; home_land=#REF!,#REF!)+IF(#REF!&gt;12,OFFSET(#REF!,-12,0),0)</f>
        <v>#REF!</v>
      </c>
      <c r="CS22" s="341" t="e">
        <f ca="1">-SUM(#REF!)+SUM(#REF!) +Rezone!N22 + IF("Ch_"&amp; home_land=#REF!,#REF!)+IF(#REF!&gt;12,OFFSET(#REF!,-12,0),0)</f>
        <v>#REF!</v>
      </c>
      <c r="CT22" s="167" t="e">
        <f ca="1">-SUM(#REF!)+SUM(#REF!) +Rezone!O22 + IF("Ch_" &amp; home_land=#REF!,#REF!)+IF(#REF!&gt;12,OFFSET(#REF!,-12,0),0)</f>
        <v>#REF!</v>
      </c>
      <c r="CU22" s="168" t="e">
        <f ca="1">-SUM(#REF!)+SUM(#REF!) +Rezone!P22 + IF("Ch_" &amp; home_land=#REF!,#REF!)+IF(#REF!&gt;12,OFFSET(#REF!,-12,0),0)</f>
        <v>#REF!</v>
      </c>
      <c r="CV22" s="169" t="e">
        <f ca="1">- SUM(#REF!)+SUM(#REF!) +Rezone!Q22 + IF("Ch_" &amp; home_land=#REF!,#REF!)+IF(#REF!&gt;12,OFFSET(#REF!,-12,0),0)</f>
        <v>#REF!</v>
      </c>
      <c r="CW22" s="170" t="e">
        <f ca="1">-#REF!+#REF! +Rezone!R22 + IF("Ch_" &amp; home_land=#REF!,#REF!)+IF(#REF!&gt;12,OFFSET(#REF!,-12,0),0)</f>
        <v>#REF!</v>
      </c>
      <c r="CX22" s="3" t="e">
        <f>IF(Explore!S22=1,20) -#REF! +#REF!</f>
        <v>#REF!</v>
      </c>
      <c r="CY22" s="134"/>
      <c r="CZ22" s="39" t="e">
        <f t="shared" ca="1" si="3"/>
        <v>#REF!</v>
      </c>
      <c r="DA22" s="39" t="e">
        <f t="shared" ca="1" si="4"/>
        <v>#REF!</v>
      </c>
      <c r="DB22" s="3" t="e">
        <f t="shared" ca="1" si="5"/>
        <v>#REF!</v>
      </c>
      <c r="DC22" s="39" t="e">
        <f t="shared" ca="1" si="6"/>
        <v>#REF!</v>
      </c>
      <c r="DD22" s="39" t="e">
        <f t="shared" ca="1" si="7"/>
        <v>#REF!</v>
      </c>
      <c r="DE22" s="3" t="e">
        <f t="shared" ca="1" si="8"/>
        <v>#REF!</v>
      </c>
      <c r="DF22" s="39" t="e">
        <f t="shared" ca="1" si="9"/>
        <v>#REF!</v>
      </c>
      <c r="DG22" s="39" t="e">
        <f t="array" ref="DG22">INDEX(#REF!,ROW()-ROW(#REF!),MATCH("Total "&amp;home_land,#REF!,0))+#REF!</f>
        <v>#REF!</v>
      </c>
      <c r="DH22" s="3" t="e">
        <f t="shared" ca="1" si="10"/>
        <v>#REF!</v>
      </c>
      <c r="DI22" s="3" t="e">
        <f t="shared" ca="1" si="0"/>
        <v>#REF!</v>
      </c>
      <c r="DJ22" s="3" t="e">
        <f t="shared" ca="1" si="1"/>
        <v>#REF!</v>
      </c>
    </row>
    <row r="23" spans="1:114" x14ac:dyDescent="0.25">
      <c r="A23" s="160" t="e">
        <f>#REF!</f>
        <v>#REF!</v>
      </c>
      <c r="B23" s="161" t="e">
        <f>SUM(#REF!)</f>
        <v>#REF!</v>
      </c>
      <c r="C23" s="162" t="e">
        <f>SUM(#REF!)</f>
        <v>#REF!</v>
      </c>
      <c r="D23" s="162">
        <f t="shared" si="2"/>
        <v>0</v>
      </c>
      <c r="E23" s="163"/>
      <c r="F23" s="61" t="e">
        <f>#REF!+#REF!+#REF!</f>
        <v>#REF!</v>
      </c>
      <c r="G23" s="171" t="e">
        <f ca="1">OFFSET(#REF!,-1,0)+#REF!</f>
        <v>#REF!</v>
      </c>
      <c r="H23" s="166" t="e">
        <f ca="1">OFFSET(#REF!,-1,0)+#REF!</f>
        <v>#REF!</v>
      </c>
      <c r="I23" s="341" t="e">
        <f ca="1">OFFSET(#REF!,-1,0)+#REF!</f>
        <v>#REF!</v>
      </c>
      <c r="J23" s="345" t="e">
        <f ca="1">OFFSET(#REF!,-1,0)+#REF!</f>
        <v>#REF!</v>
      </c>
      <c r="K23" s="349" t="e">
        <f ca="1">OFFSET(#REF!,-1,0)+#REF!</f>
        <v>#REF!</v>
      </c>
      <c r="L23" s="169" t="e">
        <f ca="1">OFFSET(#REF!,-1,0)+#REF!</f>
        <v>#REF!</v>
      </c>
      <c r="M23" s="170" t="e">
        <f ca="1">OFFSET(#REF!,-1,0)+#REF!</f>
        <v>#REF!</v>
      </c>
      <c r="N23" s="339" t="e">
        <f>#REF!</f>
        <v>#REF!</v>
      </c>
      <c r="O23" s="164"/>
      <c r="P23" s="164"/>
      <c r="Q23" s="164"/>
      <c r="R23" s="164"/>
      <c r="S23" s="164"/>
      <c r="T23" s="164"/>
      <c r="U23" s="164"/>
      <c r="V23" s="164"/>
      <c r="W23" s="164"/>
      <c r="X23" s="164"/>
      <c r="Y23" s="164"/>
      <c r="Z23" s="164"/>
      <c r="AA23" s="164"/>
      <c r="AB23" s="164"/>
      <c r="AC23" s="164"/>
      <c r="AD23" s="164"/>
      <c r="AE23" s="164"/>
      <c r="AF23" s="164"/>
      <c r="AG23" s="164"/>
      <c r="AH23" s="53" t="e">
        <f>#REF!</f>
        <v>#REF!</v>
      </c>
      <c r="AI23" s="132" t="e">
        <f>MIN(25%,(#REF!+#REF!)/(#REF!-#REF!*20))</f>
        <v>#REF!</v>
      </c>
      <c r="AJ23" s="132" t="e">
        <f>MIN(25%,(#REF!+#REF!)/#REF!)</f>
        <v>#REF!</v>
      </c>
      <c r="AK23" s="39" t="e">
        <f>#REF!</f>
        <v>#REF!</v>
      </c>
      <c r="AL23" s="39" t="e">
        <f>#REF!</f>
        <v>#REF!</v>
      </c>
      <c r="AM23" s="39" t="e">
        <f>ROUNDDOWN( MAX((1 - MIN(facs_constr_factor*#REF!,facs_constr_max) + tech_2_3*#REF! + tech_2_6_2*#REF! + tech_2_10*#REF! + tech_4_6*#REF! + tech_6_3*#REF! + tech_9_2*#REF! + race_construction_cost), 1-global_constr_cap) *#REF!,0)</f>
        <v>#REF!</v>
      </c>
      <c r="AN23" s="39" t="e">
        <f>ROUNDDOWN( MAX(1 - MIN(facs_constr_factor*#REF!,facs_constr_max) + tech_1_11*#REF! + tech_6_3_2*#REF! + tech_5_2_3*#REF!, 1-global_constr_cap) *#REF!,0)</f>
        <v>#REF!</v>
      </c>
      <c r="AO23" s="39" t="e">
        <f>ROUNDDOWN( MAX((1 - MIN(facs_constr_factor*#REF!,facs_constr_max) + tech_2_3*#REF! + tech_2_6_2*#REF! + tech_2_10*#REF! + tech_4_6*#REF! + tech_6_3*#REF! + tech_9_2*#REF! + race_construction_cost), 1-global_constr_cap) * (ROUND((#REF!-250)*1.25 + 850 + 0,0)),0)</f>
        <v>#REF!</v>
      </c>
      <c r="AP23" s="39" t="e">
        <f>ROUNDDOWN( MAX(1 - MIN(facs_constr_factor*#REF!,facs_constr_max) + tech_1_11*#REF! + tech_6_3_2*#REF! + tech_5_2_3*#REF!, 1-global_constr_cap) * ROUND((#REF!-250)*0.285 + 87.5 + 0/4.25,0),0)</f>
        <v>#REF!</v>
      </c>
      <c r="AQ23" s="3" t="e">
        <f>#REF!*#REF! +#REF! *#REF!</f>
        <v>#REF!</v>
      </c>
      <c r="AR23" s="3" t="e">
        <f>#REF!*#REF!+#REF!*#REF!</f>
        <v>#REF!</v>
      </c>
      <c r="AS23" s="39" t="e">
        <f ca="1">MIN(SUM(OFFSET(#REF!,-1,0))+SUM(#REF!)+IF(#REF!&gt;12,SUM(OFFSET(#REF!,-12,0)),0),SUM(#REF!))</f>
        <v>#REF!</v>
      </c>
      <c r="AT23" s="3" t="e">
        <f ca="1">IF(#REF!&lt;&gt;0,MAX(0, MIN(20, 20 + SUM(#REF!) - SUM(#REF!) - SUM(OFFSET(#REF!,-1,0)) - IF(#REF!&gt;12,SUM(OFFSET(#REF!,-12,0)),0) - 20*#REF!)),0)</f>
        <v>#REF!</v>
      </c>
      <c r="AU23" s="134"/>
      <c r="AV23" s="39" t="e">
        <f>ROUND((#REF!-250 - IF(#REF!&lt;&gt;0,20,0))*1.25 + 850 + 0,0)</f>
        <v>#REF!</v>
      </c>
      <c r="AW23" s="39" t="e">
        <f>ROUND((#REF!-250 - IF(#REF!&lt;&gt;0,20,0))*0.285 + 87.5 + 0/4.25,0)</f>
        <v>#REF!</v>
      </c>
      <c r="AX23" s="133"/>
      <c r="AY23" s="172" t="e">
        <f t="array" aca="1" ref="AY23" ca="1">IF(#REF!&gt;12,OFFSET(#REF!,-12,0),0)+OFFSET(#REF!,-1,0)-#REF!</f>
        <v>#REF!</v>
      </c>
      <c r="AZ23" s="173" t="e">
        <f t="array" aca="1" ref="AZ23" ca="1">IF(#REF!&gt;12,OFFSET(#REF!,-12,0),0)+OFFSET(#REF!,-1,0)-#REF!</f>
        <v>#REF!</v>
      </c>
      <c r="BA23" s="173" t="e">
        <f t="array" aca="1" ref="BA23" ca="1">IF(#REF!&gt;12,OFFSET(#REF!,-12,0),0)+OFFSET(#REF!,-1,0)-#REF!</f>
        <v>#REF!</v>
      </c>
      <c r="BB23" s="173" t="e">
        <f t="array" aca="1" ref="BB23" ca="1">IF(#REF!&gt;12,OFFSET(#REF!,-12,0),0)+OFFSET(#REF!,-1,0)-#REF!</f>
        <v>#REF!</v>
      </c>
      <c r="BC23" s="173" t="e">
        <f t="array" aca="1" ref="BC23" ca="1">IF(#REF!&gt;12,OFFSET(#REF!,-12,0),0)+OFFSET(#REF!,-1,0)-#REF!</f>
        <v>#REF!</v>
      </c>
      <c r="BD23" s="174" t="e">
        <f t="array" aca="1" ref="BD23" ca="1">IF(#REF!&gt;12,OFFSET(#REF!,-12,0),0)+OFFSET(#REF!,-1,0)-#REF!</f>
        <v>#REF!</v>
      </c>
      <c r="BE23" s="174" t="e">
        <f t="array" aca="1" ref="BE23" ca="1">IF(#REF!&gt;12,OFFSET(#REF!,-12,0),0)+OFFSET(#REF!,-1,0)-#REF!</f>
        <v>#REF!</v>
      </c>
      <c r="BF23" s="343" t="e">
        <f t="array" aca="1" ref="BF23" ca="1">IF(#REF!&gt;12,OFFSET(#REF!,-12,0),0)+OFFSET(#REF!,-1,0)-#REF!</f>
        <v>#REF!</v>
      </c>
      <c r="BG23" s="343" t="e">
        <f t="array" aca="1" ref="BG23" ca="1">IF(#REF!&gt;12,OFFSET(#REF!,-12,0),0)+OFFSET(#REF!,-1,0)-#REF!</f>
        <v>#REF!</v>
      </c>
      <c r="BH23" s="347" t="e">
        <f t="array" aca="1" ref="BH23" ca="1">IF(#REF!&gt;12,OFFSET(#REF!,-12,0),0)+OFFSET(#REF!,-1,0)-#REF!</f>
        <v>#REF!</v>
      </c>
      <c r="BI23" s="347" t="e">
        <f t="array" aca="1" ref="BI23" ca="1">IF(#REF!&gt;12,OFFSET(#REF!,-12,0),0)+OFFSET(#REF!,-1,0)-#REF!</f>
        <v>#REF!</v>
      </c>
      <c r="BJ23" s="347" t="e">
        <f t="array" aca="1" ref="BJ23" ca="1">IF(#REF!&gt;12,OFFSET(#REF!,-12,0),0)+OFFSET(#REF!,-1,0)-#REF!</f>
        <v>#REF!</v>
      </c>
      <c r="BK23" s="347" t="e">
        <f t="array" aca="1" ref="BK23" ca="1">IF(#REF!&gt;12,OFFSET(#REF!,-12,0),0)+OFFSET(#REF!,-1,0)-#REF!</f>
        <v>#REF!</v>
      </c>
      <c r="BL23" s="351" t="e">
        <f t="array" aca="1" ref="BL23" ca="1">IF(#REF!&gt;12,OFFSET(#REF!,-12,0),0)+OFFSET(#REF!,-1,0)-#REF!</f>
        <v>#REF!</v>
      </c>
      <c r="BM23" s="351" t="e">
        <f t="array" aca="1" ref="BM23" ca="1">IF(#REF!&gt;12,OFFSET(#REF!,-12,0),0)+OFFSET(#REF!,-1,0)-#REF!</f>
        <v>#REF!</v>
      </c>
      <c r="BN23" s="351" t="e">
        <f t="array" aca="1" ref="BN23" ca="1">IF(#REF!&gt;12,OFFSET(#REF!,-12,0),0)+OFFSET(#REF!,-1,0)-#REF!</f>
        <v>#REF!</v>
      </c>
      <c r="BO23" s="175" t="e">
        <f t="array" aca="1" ref="BO23" ca="1">IF(#REF!&gt;12,OFFSET(#REF!,-12,0),0)+OFFSET(#REF!,-1,0)-#REF!</f>
        <v>#REF!</v>
      </c>
      <c r="BP23" s="175" t="e">
        <f t="array" aca="1" ref="BP23" ca="1">IF(#REF!&gt;12,OFFSET(#REF!,-12,0),0)+OFFSET(#REF!,-1,0)-#REF!</f>
        <v>#REF!</v>
      </c>
      <c r="BQ23" s="176" t="e">
        <f t="array" aca="1" ref="BQ23" ca="1">IF(#REF!&gt;12,OFFSET(#REF!,-12,0),0)+OFFSET(#REF!,-1,0)-#REF!</f>
        <v>#REF!</v>
      </c>
      <c r="BR23" s="134"/>
      <c r="BS23" s="133"/>
      <c r="BT23" s="39" t="e">
        <f>#REF!</f>
        <v>#REF!</v>
      </c>
      <c r="BU23" s="147" t="e">
        <f>#REF!</f>
        <v>#REF!</v>
      </c>
      <c r="BV23" s="134"/>
      <c r="BW23" s="164"/>
      <c r="BX23" s="164"/>
      <c r="BY23" s="164"/>
      <c r="BZ23" s="164"/>
      <c r="CA23" s="164"/>
      <c r="CB23" s="164"/>
      <c r="CC23" s="164"/>
      <c r="CD23" s="164"/>
      <c r="CE23" s="164"/>
      <c r="CF23" s="164"/>
      <c r="CG23" s="164"/>
      <c r="CH23" s="164"/>
      <c r="CI23" s="164"/>
      <c r="CJ23" s="164"/>
      <c r="CK23" s="164"/>
      <c r="CL23" s="164"/>
      <c r="CM23" s="164"/>
      <c r="CN23" s="164"/>
      <c r="CO23" s="164"/>
      <c r="CP23" s="134"/>
      <c r="CQ23" s="165" t="e">
        <f ca="1">-SUM(#REF!)+SUM(#REF!)+Rezone!L23+IF("Ch_"&amp; home_land=#REF!,#REF!)+IF(#REF!&gt;12,OFFSET(#REF!,-12,0),0)</f>
        <v>#REF!</v>
      </c>
      <c r="CR23" s="166" t="e">
        <f ca="1">-SUM(#REF!)+SUM(#REF!) +Rezone!M23 + IF("Ch_"&amp; home_land=#REF!,#REF!)+IF(#REF!&gt;12,OFFSET(#REF!,-12,0),0)</f>
        <v>#REF!</v>
      </c>
      <c r="CS23" s="341" t="e">
        <f ca="1">-SUM(#REF!)+SUM(#REF!) +Rezone!N23 + IF("Ch_"&amp; home_land=#REF!,#REF!)+IF(#REF!&gt;12,OFFSET(#REF!,-12,0),0)</f>
        <v>#REF!</v>
      </c>
      <c r="CT23" s="167" t="e">
        <f ca="1">-SUM(#REF!)+SUM(#REF!) +Rezone!O23 + IF("Ch_" &amp; home_land=#REF!,#REF!)+IF(#REF!&gt;12,OFFSET(#REF!,-12,0),0)</f>
        <v>#REF!</v>
      </c>
      <c r="CU23" s="168" t="e">
        <f ca="1">-SUM(#REF!)+SUM(#REF!) +Rezone!P23 + IF("Ch_" &amp; home_land=#REF!,#REF!)+IF(#REF!&gt;12,OFFSET(#REF!,-12,0),0)</f>
        <v>#REF!</v>
      </c>
      <c r="CV23" s="169" t="e">
        <f ca="1">- SUM(#REF!)+SUM(#REF!) +Rezone!Q23 + IF("Ch_" &amp; home_land=#REF!,#REF!)+IF(#REF!&gt;12,OFFSET(#REF!,-12,0),0)</f>
        <v>#REF!</v>
      </c>
      <c r="CW23" s="170" t="e">
        <f ca="1">-#REF!+#REF! +Rezone!R23 + IF("Ch_" &amp; home_land=#REF!,#REF!)+IF(#REF!&gt;12,OFFSET(#REF!,-12,0),0)</f>
        <v>#REF!</v>
      </c>
      <c r="CX23" s="3" t="e">
        <f>IF(Explore!S23=1,20) -#REF! +#REF!</f>
        <v>#REF!</v>
      </c>
      <c r="CY23" s="134"/>
      <c r="CZ23" s="39" t="e">
        <f t="shared" ca="1" si="3"/>
        <v>#REF!</v>
      </c>
      <c r="DA23" s="39" t="e">
        <f t="shared" ca="1" si="4"/>
        <v>#REF!</v>
      </c>
      <c r="DB23" s="3" t="e">
        <f t="shared" ca="1" si="5"/>
        <v>#REF!</v>
      </c>
      <c r="DC23" s="39" t="e">
        <f t="shared" ca="1" si="6"/>
        <v>#REF!</v>
      </c>
      <c r="DD23" s="39" t="e">
        <f t="shared" ca="1" si="7"/>
        <v>#REF!</v>
      </c>
      <c r="DE23" s="3" t="e">
        <f t="shared" ca="1" si="8"/>
        <v>#REF!</v>
      </c>
      <c r="DF23" s="39" t="e">
        <f t="shared" ca="1" si="9"/>
        <v>#REF!</v>
      </c>
      <c r="DG23" s="39" t="e">
        <f t="array" ref="DG23">INDEX(#REF!,ROW()-ROW(#REF!),MATCH("Total "&amp;home_land,#REF!,0))+#REF!</f>
        <v>#REF!</v>
      </c>
      <c r="DH23" s="3" t="e">
        <f t="shared" ca="1" si="10"/>
        <v>#REF!</v>
      </c>
      <c r="DI23" s="3" t="e">
        <f t="shared" ca="1" si="0"/>
        <v>#REF!</v>
      </c>
      <c r="DJ23" s="3" t="e">
        <f t="shared" ca="1" si="1"/>
        <v>#REF!</v>
      </c>
    </row>
    <row r="24" spans="1:114" x14ac:dyDescent="0.25">
      <c r="A24" s="160" t="e">
        <f>#REF!</f>
        <v>#REF!</v>
      </c>
      <c r="B24" s="161" t="e">
        <f>SUM(#REF!)</f>
        <v>#REF!</v>
      </c>
      <c r="C24" s="162" t="e">
        <f>SUM(#REF!)</f>
        <v>#REF!</v>
      </c>
      <c r="D24" s="162">
        <f t="shared" si="2"/>
        <v>0</v>
      </c>
      <c r="E24" s="163"/>
      <c r="F24" s="61" t="e">
        <f>#REF!+#REF!+#REF!</f>
        <v>#REF!</v>
      </c>
      <c r="G24" s="171" t="e">
        <f ca="1">OFFSET(#REF!,-1,0)+#REF!</f>
        <v>#REF!</v>
      </c>
      <c r="H24" s="166" t="e">
        <f ca="1">OFFSET(#REF!,-1,0)+#REF!</f>
        <v>#REF!</v>
      </c>
      <c r="I24" s="341" t="e">
        <f ca="1">OFFSET(#REF!,-1,0)+#REF!</f>
        <v>#REF!</v>
      </c>
      <c r="J24" s="345" t="e">
        <f ca="1">OFFSET(#REF!,-1,0)+#REF!</f>
        <v>#REF!</v>
      </c>
      <c r="K24" s="349" t="e">
        <f ca="1">OFFSET(#REF!,-1,0)+#REF!</f>
        <v>#REF!</v>
      </c>
      <c r="L24" s="169" t="e">
        <f ca="1">OFFSET(#REF!,-1,0)+#REF!</f>
        <v>#REF!</v>
      </c>
      <c r="M24" s="170" t="e">
        <f ca="1">OFFSET(#REF!,-1,0)+#REF!</f>
        <v>#REF!</v>
      </c>
      <c r="N24" s="339" t="e">
        <f>#REF!</f>
        <v>#REF!</v>
      </c>
      <c r="O24" s="164"/>
      <c r="P24" s="164"/>
      <c r="Q24" s="164"/>
      <c r="R24" s="146"/>
      <c r="S24" s="164"/>
      <c r="T24" s="164"/>
      <c r="U24" s="164"/>
      <c r="V24" s="164"/>
      <c r="W24" s="164"/>
      <c r="X24" s="164"/>
      <c r="Y24" s="164"/>
      <c r="Z24" s="164"/>
      <c r="AA24" s="164"/>
      <c r="AB24" s="164"/>
      <c r="AC24" s="164"/>
      <c r="AD24" s="164"/>
      <c r="AE24" s="164"/>
      <c r="AF24" s="164"/>
      <c r="AG24" s="164"/>
      <c r="AH24" s="53" t="e">
        <f>#REF!</f>
        <v>#REF!</v>
      </c>
      <c r="AI24" s="132" t="e">
        <f>MIN(25%,(#REF!+#REF!)/(#REF!-#REF!*20))</f>
        <v>#REF!</v>
      </c>
      <c r="AJ24" s="132" t="e">
        <f>MIN(25%,(#REF!+#REF!)/#REF!)</f>
        <v>#REF!</v>
      </c>
      <c r="AK24" s="39" t="e">
        <f>#REF!</f>
        <v>#REF!</v>
      </c>
      <c r="AL24" s="39" t="e">
        <f>#REF!</f>
        <v>#REF!</v>
      </c>
      <c r="AM24" s="39" t="e">
        <f>ROUNDDOWN( MAX((1 - MIN(facs_constr_factor*#REF!,facs_constr_max) + tech_2_3*#REF! + tech_2_6_2*#REF! + tech_2_10*#REF! + tech_4_6*#REF! + tech_6_3*#REF! + tech_9_2*#REF! + race_construction_cost), 1-global_constr_cap) *#REF!,0)</f>
        <v>#REF!</v>
      </c>
      <c r="AN24" s="39" t="e">
        <f>ROUNDDOWN( MAX(1 - MIN(facs_constr_factor*#REF!,facs_constr_max) + tech_1_11*#REF! + tech_6_3_2*#REF! + tech_5_2_3*#REF!, 1-global_constr_cap) *#REF!,0)</f>
        <v>#REF!</v>
      </c>
      <c r="AO24" s="39" t="e">
        <f>ROUNDDOWN( MAX((1 - MIN(facs_constr_factor*#REF!,facs_constr_max) + tech_2_3*#REF! + tech_2_6_2*#REF! + tech_2_10*#REF! + tech_4_6*#REF! + tech_6_3*#REF! + tech_9_2*#REF! + race_construction_cost), 1-global_constr_cap) * (ROUND((#REF!-250)*1.25 + 850 + 0,0)),0)</f>
        <v>#REF!</v>
      </c>
      <c r="AP24" s="39" t="e">
        <f>ROUNDDOWN( MAX(1 - MIN(facs_constr_factor*#REF!,facs_constr_max) + tech_1_11*#REF! + tech_6_3_2*#REF! + tech_5_2_3*#REF!, 1-global_constr_cap) * ROUND((#REF!-250)*0.285 + 87.5 + 0/4.25,0),0)</f>
        <v>#REF!</v>
      </c>
      <c r="AQ24" s="3" t="e">
        <f>#REF!*#REF! +#REF! *#REF!</f>
        <v>#REF!</v>
      </c>
      <c r="AR24" s="3" t="e">
        <f>#REF!*#REF!+#REF!*#REF!</f>
        <v>#REF!</v>
      </c>
      <c r="AS24" s="39" t="e">
        <f ca="1">MIN(SUM(OFFSET(#REF!,-1,0))+SUM(#REF!)+IF(#REF!&gt;12,SUM(OFFSET(#REF!,-12,0)),0),SUM(#REF!))</f>
        <v>#REF!</v>
      </c>
      <c r="AT24" s="3" t="e">
        <f ca="1">IF(#REF!&lt;&gt;0,MAX(0, MIN(20, 20 + SUM(#REF!) - SUM(#REF!) - SUM(OFFSET(#REF!,-1,0)) - IF(#REF!&gt;12,SUM(OFFSET(#REF!,-12,0)),0) - 20*#REF!)),0)</f>
        <v>#REF!</v>
      </c>
      <c r="AU24" s="134"/>
      <c r="AV24" s="39" t="e">
        <f>ROUND((#REF!-250 - IF(#REF!&lt;&gt;0,20,0))*1.25 + 850 + 0,0)</f>
        <v>#REF!</v>
      </c>
      <c r="AW24" s="39" t="e">
        <f>ROUND((#REF!-250 - IF(#REF!&lt;&gt;0,20,0))*0.285 + 87.5 + 0/4.25,0)</f>
        <v>#REF!</v>
      </c>
      <c r="AX24" s="133"/>
      <c r="AY24" s="172" t="e">
        <f t="array" aca="1" ref="AY24" ca="1">IF(#REF!&gt;12,OFFSET(#REF!,-12,0),0)+OFFSET(#REF!,-1,0)-#REF!</f>
        <v>#REF!</v>
      </c>
      <c r="AZ24" s="173" t="e">
        <f t="array" aca="1" ref="AZ24" ca="1">IF(#REF!&gt;12,OFFSET(#REF!,-12,0),0)+OFFSET(#REF!,-1,0)-#REF!</f>
        <v>#REF!</v>
      </c>
      <c r="BA24" s="173" t="e">
        <f t="array" aca="1" ref="BA24" ca="1">IF(#REF!&gt;12,OFFSET(#REF!,-12,0),0)+OFFSET(#REF!,-1,0)-#REF!</f>
        <v>#REF!</v>
      </c>
      <c r="BB24" s="173" t="e">
        <f t="array" aca="1" ref="BB24" ca="1">IF(#REF!&gt;12,OFFSET(#REF!,-12,0),0)+OFFSET(#REF!,-1,0)-#REF!</f>
        <v>#REF!</v>
      </c>
      <c r="BC24" s="173" t="e">
        <f t="array" aca="1" ref="BC24" ca="1">IF(#REF!&gt;12,OFFSET(#REF!,-12,0),0)+OFFSET(#REF!,-1,0)-#REF!</f>
        <v>#REF!</v>
      </c>
      <c r="BD24" s="174" t="e">
        <f t="array" aca="1" ref="BD24" ca="1">IF(#REF!&gt;12,OFFSET(#REF!,-12,0),0)+OFFSET(#REF!,-1,0)-#REF!</f>
        <v>#REF!</v>
      </c>
      <c r="BE24" s="174" t="e">
        <f t="array" aca="1" ref="BE24" ca="1">IF(#REF!&gt;12,OFFSET(#REF!,-12,0),0)+OFFSET(#REF!,-1,0)-#REF!</f>
        <v>#REF!</v>
      </c>
      <c r="BF24" s="343" t="e">
        <f t="array" aca="1" ref="BF24" ca="1">IF(#REF!&gt;12,OFFSET(#REF!,-12,0),0)+OFFSET(#REF!,-1,0)-#REF!</f>
        <v>#REF!</v>
      </c>
      <c r="BG24" s="343" t="e">
        <f t="array" aca="1" ref="BG24" ca="1">IF(#REF!&gt;12,OFFSET(#REF!,-12,0),0)+OFFSET(#REF!,-1,0)-#REF!</f>
        <v>#REF!</v>
      </c>
      <c r="BH24" s="347" t="e">
        <f t="array" aca="1" ref="BH24" ca="1">IF(#REF!&gt;12,OFFSET(#REF!,-12,0),0)+OFFSET(#REF!,-1,0)-#REF!</f>
        <v>#REF!</v>
      </c>
      <c r="BI24" s="347" t="e">
        <f t="array" aca="1" ref="BI24" ca="1">IF(#REF!&gt;12,OFFSET(#REF!,-12,0),0)+OFFSET(#REF!,-1,0)-#REF!</f>
        <v>#REF!</v>
      </c>
      <c r="BJ24" s="347" t="e">
        <f t="array" aca="1" ref="BJ24" ca="1">IF(#REF!&gt;12,OFFSET(#REF!,-12,0),0)+OFFSET(#REF!,-1,0)-#REF!</f>
        <v>#REF!</v>
      </c>
      <c r="BK24" s="347" t="e">
        <f t="array" aca="1" ref="BK24" ca="1">IF(#REF!&gt;12,OFFSET(#REF!,-12,0),0)+OFFSET(#REF!,-1,0)-#REF!</f>
        <v>#REF!</v>
      </c>
      <c r="BL24" s="351" t="e">
        <f t="array" aca="1" ref="BL24" ca="1">IF(#REF!&gt;12,OFFSET(#REF!,-12,0),0)+OFFSET(#REF!,-1,0)-#REF!</f>
        <v>#REF!</v>
      </c>
      <c r="BM24" s="351" t="e">
        <f t="array" aca="1" ref="BM24" ca="1">IF(#REF!&gt;12,OFFSET(#REF!,-12,0),0)+OFFSET(#REF!,-1,0)-#REF!</f>
        <v>#REF!</v>
      </c>
      <c r="BN24" s="351" t="e">
        <f t="array" aca="1" ref="BN24" ca="1">IF(#REF!&gt;12,OFFSET(#REF!,-12,0),0)+OFFSET(#REF!,-1,0)-#REF!</f>
        <v>#REF!</v>
      </c>
      <c r="BO24" s="175" t="e">
        <f t="array" aca="1" ref="BO24" ca="1">IF(#REF!&gt;12,OFFSET(#REF!,-12,0),0)+OFFSET(#REF!,-1,0)-#REF!</f>
        <v>#REF!</v>
      </c>
      <c r="BP24" s="175" t="e">
        <f t="array" aca="1" ref="BP24" ca="1">IF(#REF!&gt;12,OFFSET(#REF!,-12,0),0)+OFFSET(#REF!,-1,0)-#REF!</f>
        <v>#REF!</v>
      </c>
      <c r="BQ24" s="176" t="e">
        <f t="array" aca="1" ref="BQ24" ca="1">IF(#REF!&gt;12,OFFSET(#REF!,-12,0),0)+OFFSET(#REF!,-1,0)-#REF!</f>
        <v>#REF!</v>
      </c>
      <c r="BR24" s="134"/>
      <c r="BS24" s="133"/>
      <c r="BT24" s="39" t="e">
        <f>#REF!</f>
        <v>#REF!</v>
      </c>
      <c r="BU24" s="147" t="e">
        <f>#REF!</f>
        <v>#REF!</v>
      </c>
      <c r="BV24" s="134"/>
      <c r="BW24" s="164"/>
      <c r="BX24" s="164"/>
      <c r="BY24" s="164"/>
      <c r="BZ24" s="164"/>
      <c r="CA24" s="164"/>
      <c r="CB24" s="164"/>
      <c r="CC24" s="164"/>
      <c r="CD24" s="164"/>
      <c r="CE24" s="164"/>
      <c r="CF24" s="164"/>
      <c r="CG24" s="164"/>
      <c r="CH24" s="164"/>
      <c r="CI24" s="164"/>
      <c r="CJ24" s="164"/>
      <c r="CK24" s="164"/>
      <c r="CL24" s="164"/>
      <c r="CM24" s="164"/>
      <c r="CN24" s="164"/>
      <c r="CO24" s="164"/>
      <c r="CP24" s="134"/>
      <c r="CQ24" s="165" t="e">
        <f ca="1">-SUM(#REF!)+SUM(#REF!)+Rezone!L24+IF("Ch_"&amp; home_land=#REF!,#REF!)+IF(#REF!&gt;12,OFFSET(#REF!,-12,0),0)</f>
        <v>#REF!</v>
      </c>
      <c r="CR24" s="166" t="e">
        <f ca="1">-SUM(#REF!)+SUM(#REF!) +Rezone!M24 + IF("Ch_"&amp; home_land=#REF!,#REF!)+IF(#REF!&gt;12,OFFSET(#REF!,-12,0),0)</f>
        <v>#REF!</v>
      </c>
      <c r="CS24" s="341" t="e">
        <f ca="1">-SUM(#REF!)+SUM(#REF!) +Rezone!N24 + IF("Ch_"&amp; home_land=#REF!,#REF!)+IF(#REF!&gt;12,OFFSET(#REF!,-12,0),0)</f>
        <v>#REF!</v>
      </c>
      <c r="CT24" s="167" t="e">
        <f ca="1">-SUM(#REF!)+SUM(#REF!) +Rezone!O24 + IF("Ch_" &amp; home_land=#REF!,#REF!)+IF(#REF!&gt;12,OFFSET(#REF!,-12,0),0)</f>
        <v>#REF!</v>
      </c>
      <c r="CU24" s="168" t="e">
        <f ca="1">-SUM(#REF!)+SUM(#REF!) +Rezone!P24 + IF("Ch_" &amp; home_land=#REF!,#REF!)+IF(#REF!&gt;12,OFFSET(#REF!,-12,0),0)</f>
        <v>#REF!</v>
      </c>
      <c r="CV24" s="169" t="e">
        <f ca="1">- SUM(#REF!)+SUM(#REF!) +Rezone!Q24 + IF("Ch_" &amp; home_land=#REF!,#REF!)+IF(#REF!&gt;12,OFFSET(#REF!,-12,0),0)</f>
        <v>#REF!</v>
      </c>
      <c r="CW24" s="170" t="e">
        <f ca="1">-#REF!+#REF! +Rezone!R24 + IF("Ch_" &amp; home_land=#REF!,#REF!)+IF(#REF!&gt;12,OFFSET(#REF!,-12,0),0)</f>
        <v>#REF!</v>
      </c>
      <c r="CX24" s="3" t="e">
        <f>IF(Explore!S24=1,20) -#REF! +#REF!</f>
        <v>#REF!</v>
      </c>
      <c r="CY24" s="134"/>
      <c r="CZ24" s="39" t="e">
        <f t="shared" ca="1" si="3"/>
        <v>#REF!</v>
      </c>
      <c r="DA24" s="39" t="e">
        <f t="shared" ca="1" si="4"/>
        <v>#REF!</v>
      </c>
      <c r="DB24" s="3" t="e">
        <f t="shared" ca="1" si="5"/>
        <v>#REF!</v>
      </c>
      <c r="DC24" s="39" t="e">
        <f t="shared" ca="1" si="6"/>
        <v>#REF!</v>
      </c>
      <c r="DD24" s="39" t="e">
        <f t="shared" ca="1" si="7"/>
        <v>#REF!</v>
      </c>
      <c r="DE24" s="3" t="e">
        <f t="shared" ca="1" si="8"/>
        <v>#REF!</v>
      </c>
      <c r="DF24" s="39" t="e">
        <f t="shared" ca="1" si="9"/>
        <v>#REF!</v>
      </c>
      <c r="DG24" s="39" t="e">
        <f t="array" ref="DG24">INDEX(#REF!,ROW()-ROW(#REF!),MATCH("Total "&amp;home_land,#REF!,0))+#REF!</f>
        <v>#REF!</v>
      </c>
      <c r="DH24" s="3" t="e">
        <f t="shared" ca="1" si="10"/>
        <v>#REF!</v>
      </c>
      <c r="DI24" s="3" t="e">
        <f t="shared" ca="1" si="0"/>
        <v>#REF!</v>
      </c>
      <c r="DJ24" s="3" t="e">
        <f t="shared" ca="1" si="1"/>
        <v>#REF!</v>
      </c>
    </row>
    <row r="25" spans="1:114" x14ac:dyDescent="0.25">
      <c r="A25" s="160" t="e">
        <f>#REF!</f>
        <v>#REF!</v>
      </c>
      <c r="B25" s="161" t="e">
        <f>SUM(#REF!)</f>
        <v>#REF!</v>
      </c>
      <c r="C25" s="162" t="e">
        <f>SUM(#REF!)</f>
        <v>#REF!</v>
      </c>
      <c r="D25" s="162">
        <f t="shared" si="2"/>
        <v>0</v>
      </c>
      <c r="E25" s="163"/>
      <c r="F25" s="61" t="e">
        <f>#REF!+#REF!+#REF!</f>
        <v>#REF!</v>
      </c>
      <c r="G25" s="171" t="e">
        <f ca="1">OFFSET(#REF!,-1,0)+#REF!</f>
        <v>#REF!</v>
      </c>
      <c r="H25" s="166" t="e">
        <f ca="1">OFFSET(#REF!,-1,0)+#REF!</f>
        <v>#REF!</v>
      </c>
      <c r="I25" s="341" t="e">
        <f ca="1">OFFSET(#REF!,-1,0)+#REF!</f>
        <v>#REF!</v>
      </c>
      <c r="J25" s="345" t="e">
        <f ca="1">OFFSET(#REF!,-1,0)+#REF!</f>
        <v>#REF!</v>
      </c>
      <c r="K25" s="349" t="e">
        <f ca="1">OFFSET(#REF!,-1,0)+#REF!</f>
        <v>#REF!</v>
      </c>
      <c r="L25" s="169" t="e">
        <f ca="1">OFFSET(#REF!,-1,0)+#REF!</f>
        <v>#REF!</v>
      </c>
      <c r="M25" s="170" t="e">
        <f ca="1">OFFSET(#REF!,-1,0)+#REF!</f>
        <v>#REF!</v>
      </c>
      <c r="N25" s="339" t="e">
        <f>#REF!</f>
        <v>#REF!</v>
      </c>
      <c r="O25" s="164"/>
      <c r="P25" s="164"/>
      <c r="Q25" s="164"/>
      <c r="R25" s="146"/>
      <c r="S25" s="164"/>
      <c r="T25" s="164"/>
      <c r="U25" s="164"/>
      <c r="V25" s="164"/>
      <c r="W25" s="164"/>
      <c r="X25" s="164"/>
      <c r="Y25" s="164"/>
      <c r="Z25" s="164"/>
      <c r="AA25" s="164"/>
      <c r="AB25" s="164"/>
      <c r="AC25" s="164"/>
      <c r="AD25" s="164"/>
      <c r="AE25" s="164"/>
      <c r="AF25" s="164"/>
      <c r="AG25" s="164"/>
      <c r="AH25" s="53" t="e">
        <f>#REF!</f>
        <v>#REF!</v>
      </c>
      <c r="AI25" s="132" t="e">
        <f>MIN(25%,(#REF!+#REF!)/(#REF!-#REF!*20))</f>
        <v>#REF!</v>
      </c>
      <c r="AJ25" s="132" t="e">
        <f>MIN(25%,(#REF!+#REF!)/#REF!)</f>
        <v>#REF!</v>
      </c>
      <c r="AK25" s="39" t="e">
        <f>#REF!</f>
        <v>#REF!</v>
      </c>
      <c r="AL25" s="39" t="e">
        <f>#REF!</f>
        <v>#REF!</v>
      </c>
      <c r="AM25" s="39" t="e">
        <f>ROUNDDOWN( MAX((1 - MIN(facs_constr_factor*#REF!,facs_constr_max) + tech_2_3*#REF! + tech_2_6_2*#REF! + tech_2_10*#REF! + tech_4_6*#REF! + tech_6_3*#REF! + tech_9_2*#REF! + race_construction_cost), 1-global_constr_cap) *#REF!,0)</f>
        <v>#REF!</v>
      </c>
      <c r="AN25" s="39" t="e">
        <f>ROUNDDOWN( MAX(1 - MIN(facs_constr_factor*#REF!,facs_constr_max) + tech_1_11*#REF! + tech_6_3_2*#REF! + tech_5_2_3*#REF!, 1-global_constr_cap) *#REF!,0)</f>
        <v>#REF!</v>
      </c>
      <c r="AO25" s="39" t="e">
        <f>ROUNDDOWN( MAX((1 - MIN(facs_constr_factor*#REF!,facs_constr_max) + tech_2_3*#REF! + tech_2_6_2*#REF! + tech_2_10*#REF! + tech_4_6*#REF! + tech_6_3*#REF! + tech_9_2*#REF! + race_construction_cost), 1-global_constr_cap) * (ROUND((#REF!-250)*1.25 + 850 + 0,0)),0)</f>
        <v>#REF!</v>
      </c>
      <c r="AP25" s="39" t="e">
        <f>ROUNDDOWN( MAX(1 - MIN(facs_constr_factor*#REF!,facs_constr_max) + tech_1_11*#REF! + tech_6_3_2*#REF! + tech_5_2_3*#REF!, 1-global_constr_cap) * ROUND((#REF!-250)*0.285 + 87.5 + 0/4.25,0),0)</f>
        <v>#REF!</v>
      </c>
      <c r="AQ25" s="3" t="e">
        <f>#REF!*#REF! +#REF! *#REF!</f>
        <v>#REF!</v>
      </c>
      <c r="AR25" s="3" t="e">
        <f>#REF!*#REF!+#REF!*#REF!</f>
        <v>#REF!</v>
      </c>
      <c r="AS25" s="39" t="e">
        <f ca="1">MIN(SUM(OFFSET(#REF!,-1,0))+SUM(#REF!)+IF(#REF!&gt;12,SUM(OFFSET(#REF!,-12,0)),0),SUM(#REF!))</f>
        <v>#REF!</v>
      </c>
      <c r="AT25" s="3" t="e">
        <f ca="1">IF(#REF!&lt;&gt;0,MAX(0, MIN(20, 20 + SUM(#REF!) - SUM(#REF!) - SUM(OFFSET(#REF!,-1,0)) - IF(#REF!&gt;12,SUM(OFFSET(#REF!,-12,0)),0) - 20*#REF!)),0)</f>
        <v>#REF!</v>
      </c>
      <c r="AU25" s="134"/>
      <c r="AV25" s="39" t="e">
        <f>ROUND((#REF!-250 - IF(#REF!&lt;&gt;0,20,0))*1.25 + 850 + 0,0)</f>
        <v>#REF!</v>
      </c>
      <c r="AW25" s="39" t="e">
        <f>ROUND((#REF!-250 - IF(#REF!&lt;&gt;0,20,0))*0.285 + 87.5 + 0/4.25,0)</f>
        <v>#REF!</v>
      </c>
      <c r="AX25" s="133"/>
      <c r="AY25" s="172" t="e">
        <f t="array" aca="1" ref="AY25" ca="1">IF(#REF!&gt;12,OFFSET(#REF!,-12,0),0)+OFFSET(#REF!,-1,0)-#REF!</f>
        <v>#REF!</v>
      </c>
      <c r="AZ25" s="173" t="e">
        <f t="array" aca="1" ref="AZ25" ca="1">IF(#REF!&gt;12,OFFSET(#REF!,-12,0),0)+OFFSET(#REF!,-1,0)-#REF!</f>
        <v>#REF!</v>
      </c>
      <c r="BA25" s="173" t="e">
        <f t="array" aca="1" ref="BA25" ca="1">IF(#REF!&gt;12,OFFSET(#REF!,-12,0),0)+OFFSET(#REF!,-1,0)-#REF!</f>
        <v>#REF!</v>
      </c>
      <c r="BB25" s="173" t="e">
        <f t="array" aca="1" ref="BB25" ca="1">IF(#REF!&gt;12,OFFSET(#REF!,-12,0),0)+OFFSET(#REF!,-1,0)-#REF!</f>
        <v>#REF!</v>
      </c>
      <c r="BC25" s="173" t="e">
        <f t="array" aca="1" ref="BC25" ca="1">IF(#REF!&gt;12,OFFSET(#REF!,-12,0),0)+OFFSET(#REF!,-1,0)-#REF!</f>
        <v>#REF!</v>
      </c>
      <c r="BD25" s="174" t="e">
        <f t="array" aca="1" ref="BD25" ca="1">IF(#REF!&gt;12,OFFSET(#REF!,-12,0),0)+OFFSET(#REF!,-1,0)-#REF!</f>
        <v>#REF!</v>
      </c>
      <c r="BE25" s="174" t="e">
        <f t="array" aca="1" ref="BE25" ca="1">IF(#REF!&gt;12,OFFSET(#REF!,-12,0),0)+OFFSET(#REF!,-1,0)-#REF!</f>
        <v>#REF!</v>
      </c>
      <c r="BF25" s="343" t="e">
        <f t="array" aca="1" ref="BF25" ca="1">IF(#REF!&gt;12,OFFSET(#REF!,-12,0),0)+OFFSET(#REF!,-1,0)-#REF!</f>
        <v>#REF!</v>
      </c>
      <c r="BG25" s="343" t="e">
        <f t="array" aca="1" ref="BG25" ca="1">IF(#REF!&gt;12,OFFSET(#REF!,-12,0),0)+OFFSET(#REF!,-1,0)-#REF!</f>
        <v>#REF!</v>
      </c>
      <c r="BH25" s="347" t="e">
        <f t="array" aca="1" ref="BH25" ca="1">IF(#REF!&gt;12,OFFSET(#REF!,-12,0),0)+OFFSET(#REF!,-1,0)-#REF!</f>
        <v>#REF!</v>
      </c>
      <c r="BI25" s="347" t="e">
        <f t="array" aca="1" ref="BI25" ca="1">IF(#REF!&gt;12,OFFSET(#REF!,-12,0),0)+OFFSET(#REF!,-1,0)-#REF!</f>
        <v>#REF!</v>
      </c>
      <c r="BJ25" s="347" t="e">
        <f t="array" aca="1" ref="BJ25" ca="1">IF(#REF!&gt;12,OFFSET(#REF!,-12,0),0)+OFFSET(#REF!,-1,0)-#REF!</f>
        <v>#REF!</v>
      </c>
      <c r="BK25" s="347" t="e">
        <f t="array" aca="1" ref="BK25" ca="1">IF(#REF!&gt;12,OFFSET(#REF!,-12,0),0)+OFFSET(#REF!,-1,0)-#REF!</f>
        <v>#REF!</v>
      </c>
      <c r="BL25" s="351" t="e">
        <f t="array" aca="1" ref="BL25" ca="1">IF(#REF!&gt;12,OFFSET(#REF!,-12,0),0)+OFFSET(#REF!,-1,0)-#REF!</f>
        <v>#REF!</v>
      </c>
      <c r="BM25" s="351" t="e">
        <f t="array" aca="1" ref="BM25" ca="1">IF(#REF!&gt;12,OFFSET(#REF!,-12,0),0)+OFFSET(#REF!,-1,0)-#REF!</f>
        <v>#REF!</v>
      </c>
      <c r="BN25" s="351" t="e">
        <f t="array" aca="1" ref="BN25" ca="1">IF(#REF!&gt;12,OFFSET(#REF!,-12,0),0)+OFFSET(#REF!,-1,0)-#REF!</f>
        <v>#REF!</v>
      </c>
      <c r="BO25" s="175" t="e">
        <f t="array" aca="1" ref="BO25" ca="1">IF(#REF!&gt;12,OFFSET(#REF!,-12,0),0)+OFFSET(#REF!,-1,0)-#REF!</f>
        <v>#REF!</v>
      </c>
      <c r="BP25" s="175" t="e">
        <f t="array" aca="1" ref="BP25" ca="1">IF(#REF!&gt;12,OFFSET(#REF!,-12,0),0)+OFFSET(#REF!,-1,0)-#REF!</f>
        <v>#REF!</v>
      </c>
      <c r="BQ25" s="176" t="e">
        <f t="array" aca="1" ref="BQ25" ca="1">IF(#REF!&gt;12,OFFSET(#REF!,-12,0),0)+OFFSET(#REF!,-1,0)-#REF!</f>
        <v>#REF!</v>
      </c>
      <c r="BR25" s="134"/>
      <c r="BS25" s="133"/>
      <c r="BT25" s="39" t="e">
        <f>#REF!</f>
        <v>#REF!</v>
      </c>
      <c r="BU25" s="147" t="e">
        <f>#REF!</f>
        <v>#REF!</v>
      </c>
      <c r="BV25" s="134"/>
      <c r="BW25" s="164"/>
      <c r="BX25" s="164"/>
      <c r="BY25" s="164"/>
      <c r="BZ25" s="164"/>
      <c r="CA25" s="164"/>
      <c r="CB25" s="164"/>
      <c r="CC25" s="164"/>
      <c r="CD25" s="164"/>
      <c r="CE25" s="164"/>
      <c r="CF25" s="164"/>
      <c r="CG25" s="164"/>
      <c r="CH25" s="164"/>
      <c r="CI25" s="164"/>
      <c r="CJ25" s="164"/>
      <c r="CK25" s="164"/>
      <c r="CL25" s="164"/>
      <c r="CM25" s="164"/>
      <c r="CN25" s="164"/>
      <c r="CO25" s="164"/>
      <c r="CP25" s="134"/>
      <c r="CQ25" s="165" t="e">
        <f ca="1">-SUM(#REF!)+SUM(#REF!)+Rezone!L25+IF("Ch_"&amp; home_land=#REF!,#REF!)+IF(#REF!&gt;12,OFFSET(#REF!,-12,0),0)</f>
        <v>#REF!</v>
      </c>
      <c r="CR25" s="166" t="e">
        <f ca="1">-SUM(#REF!)+SUM(#REF!) +Rezone!M25 + IF("Ch_"&amp; home_land=#REF!,#REF!)+IF(#REF!&gt;12,OFFSET(#REF!,-12,0),0)</f>
        <v>#REF!</v>
      </c>
      <c r="CS25" s="341" t="e">
        <f ca="1">-SUM(#REF!)+SUM(#REF!) +Rezone!N25 + IF("Ch_"&amp; home_land=#REF!,#REF!)+IF(#REF!&gt;12,OFFSET(#REF!,-12,0),0)</f>
        <v>#REF!</v>
      </c>
      <c r="CT25" s="167" t="e">
        <f ca="1">-SUM(#REF!)+SUM(#REF!) +Rezone!O25 + IF("Ch_" &amp; home_land=#REF!,#REF!)+IF(#REF!&gt;12,OFFSET(#REF!,-12,0),0)</f>
        <v>#REF!</v>
      </c>
      <c r="CU25" s="168" t="e">
        <f ca="1">-SUM(#REF!)+SUM(#REF!) +Rezone!P25 + IF("Ch_" &amp; home_land=#REF!,#REF!)+IF(#REF!&gt;12,OFFSET(#REF!,-12,0),0)</f>
        <v>#REF!</v>
      </c>
      <c r="CV25" s="169" t="e">
        <f ca="1">- SUM(#REF!)+SUM(#REF!) +Rezone!Q25 + IF("Ch_" &amp; home_land=#REF!,#REF!)+IF(#REF!&gt;12,OFFSET(#REF!,-12,0),0)</f>
        <v>#REF!</v>
      </c>
      <c r="CW25" s="170" t="e">
        <f ca="1">-#REF!+#REF! +Rezone!R25 + IF("Ch_" &amp; home_land=#REF!,#REF!)+IF(#REF!&gt;12,OFFSET(#REF!,-12,0),0)</f>
        <v>#REF!</v>
      </c>
      <c r="CX25" s="3" t="e">
        <f>IF(Explore!S25=1,20) -#REF! +#REF!</f>
        <v>#REF!</v>
      </c>
      <c r="CY25" s="134"/>
      <c r="CZ25" s="39" t="e">
        <f t="shared" ca="1" si="3"/>
        <v>#REF!</v>
      </c>
      <c r="DA25" s="39" t="e">
        <f t="shared" ca="1" si="4"/>
        <v>#REF!</v>
      </c>
      <c r="DB25" s="3" t="e">
        <f t="shared" ca="1" si="5"/>
        <v>#REF!</v>
      </c>
      <c r="DC25" s="39" t="e">
        <f t="shared" ca="1" si="6"/>
        <v>#REF!</v>
      </c>
      <c r="DD25" s="39" t="e">
        <f t="shared" ca="1" si="7"/>
        <v>#REF!</v>
      </c>
      <c r="DE25" s="3" t="e">
        <f t="shared" ca="1" si="8"/>
        <v>#REF!</v>
      </c>
      <c r="DF25" s="39" t="e">
        <f t="shared" ca="1" si="9"/>
        <v>#REF!</v>
      </c>
      <c r="DG25" s="39" t="e">
        <f t="array" ref="DG25">INDEX(#REF!,ROW()-ROW(#REF!),MATCH("Total "&amp;home_land,#REF!,0))+#REF!</f>
        <v>#REF!</v>
      </c>
      <c r="DH25" s="3" t="e">
        <f t="shared" ca="1" si="10"/>
        <v>#REF!</v>
      </c>
      <c r="DI25" s="3" t="e">
        <f t="shared" ca="1" si="0"/>
        <v>#REF!</v>
      </c>
      <c r="DJ25" s="3" t="e">
        <f t="shared" ca="1" si="1"/>
        <v>#REF!</v>
      </c>
    </row>
    <row r="26" spans="1:114" x14ac:dyDescent="0.25">
      <c r="A26" s="160" t="e">
        <f>#REF!</f>
        <v>#REF!</v>
      </c>
      <c r="B26" s="161" t="e">
        <f>SUM(#REF!)</f>
        <v>#REF!</v>
      </c>
      <c r="C26" s="162" t="e">
        <f>SUM(#REF!)</f>
        <v>#REF!</v>
      </c>
      <c r="D26" s="162">
        <f>SUM(O15:AG26)</f>
        <v>0</v>
      </c>
      <c r="E26" s="163"/>
      <c r="F26" s="61" t="e">
        <f>#REF!+#REF!+#REF!</f>
        <v>#REF!</v>
      </c>
      <c r="G26" s="171" t="e">
        <f ca="1">OFFSET(#REF!,-1,0)+#REF!</f>
        <v>#REF!</v>
      </c>
      <c r="H26" s="166" t="e">
        <f ca="1">OFFSET(#REF!,-1,0)+#REF!</f>
        <v>#REF!</v>
      </c>
      <c r="I26" s="341" t="e">
        <f ca="1">OFFSET(#REF!,-1,0)+#REF!</f>
        <v>#REF!</v>
      </c>
      <c r="J26" s="345" t="e">
        <f ca="1">OFFSET(#REF!,-1,0)+#REF!</f>
        <v>#REF!</v>
      </c>
      <c r="K26" s="349" t="e">
        <f ca="1">OFFSET(#REF!,-1,0)+#REF!</f>
        <v>#REF!</v>
      </c>
      <c r="L26" s="169" t="e">
        <f ca="1">OFFSET(#REF!,-1,0)+#REF!</f>
        <v>#REF!</v>
      </c>
      <c r="M26" s="170" t="e">
        <f ca="1">OFFSET(#REF!,-1,0)+#REF!</f>
        <v>#REF!</v>
      </c>
      <c r="N26" s="339" t="e">
        <f>#REF!</f>
        <v>#REF!</v>
      </c>
      <c r="O26" s="164"/>
      <c r="P26" s="164"/>
      <c r="Q26" s="164"/>
      <c r="R26" s="146"/>
      <c r="S26" s="164"/>
      <c r="T26" s="164"/>
      <c r="U26" s="164"/>
      <c r="V26" s="164"/>
      <c r="W26" s="164"/>
      <c r="X26" s="164"/>
      <c r="Y26" s="164"/>
      <c r="Z26" s="164"/>
      <c r="AA26" s="164"/>
      <c r="AB26" s="164"/>
      <c r="AC26" s="164"/>
      <c r="AD26" s="164"/>
      <c r="AE26" s="164"/>
      <c r="AF26" s="164"/>
      <c r="AG26" s="164"/>
      <c r="AH26" s="53" t="e">
        <f>#REF!</f>
        <v>#REF!</v>
      </c>
      <c r="AI26" s="132" t="e">
        <f>MIN(25%,(#REF!+#REF!)/(#REF!-#REF!*20))</f>
        <v>#REF!</v>
      </c>
      <c r="AJ26" s="132" t="e">
        <f>MIN(25%,(#REF!+#REF!)/#REF!)</f>
        <v>#REF!</v>
      </c>
      <c r="AK26" s="39" t="e">
        <f>#REF!</f>
        <v>#REF!</v>
      </c>
      <c r="AL26" s="39" t="e">
        <f>#REF!</f>
        <v>#REF!</v>
      </c>
      <c r="AM26" s="39" t="e">
        <f>ROUNDDOWN( MAX((1 - MIN(facs_constr_factor*#REF!,facs_constr_max) + tech_2_3*#REF! + tech_2_6_2*#REF! + tech_2_10*#REF! + tech_4_6*#REF! + tech_6_3*#REF! + tech_9_2*#REF! + race_construction_cost), 1-global_constr_cap) *#REF!,0)</f>
        <v>#REF!</v>
      </c>
      <c r="AN26" s="39" t="e">
        <f>ROUNDDOWN( MAX(1 - MIN(facs_constr_factor*#REF!,facs_constr_max) + tech_1_11*#REF! + tech_6_3_2*#REF! + tech_5_2_3*#REF!, 1-global_constr_cap) *#REF!,0)</f>
        <v>#REF!</v>
      </c>
      <c r="AO26" s="39" t="e">
        <f>ROUNDDOWN( MAX((1 - MIN(facs_constr_factor*#REF!,facs_constr_max) + tech_2_3*#REF! + tech_2_6_2*#REF! + tech_2_10*#REF! + tech_4_6*#REF! + tech_6_3*#REF! + tech_9_2*#REF! + race_construction_cost), 1-global_constr_cap) * (ROUND((#REF!-250)*1.25 + 850 + 0,0)),0)</f>
        <v>#REF!</v>
      </c>
      <c r="AP26" s="39" t="e">
        <f>ROUNDDOWN( MAX(1 - MIN(facs_constr_factor*#REF!,facs_constr_max) + tech_1_11*#REF! + tech_6_3_2*#REF! + tech_5_2_3*#REF!, 1-global_constr_cap) * ROUND((#REF!-250)*0.285 + 87.5 + 0/4.25,0),0)</f>
        <v>#REF!</v>
      </c>
      <c r="AQ26" s="3" t="e">
        <f>#REF!*#REF! +#REF! *#REF!</f>
        <v>#REF!</v>
      </c>
      <c r="AR26" s="3" t="e">
        <f>#REF!*#REF!+#REF!*#REF!</f>
        <v>#REF!</v>
      </c>
      <c r="AS26" s="39" t="e">
        <f ca="1">MIN(SUM(OFFSET(#REF!,-1,0))+SUM(#REF!)+IF(#REF!&gt;12,SUM(OFFSET(#REF!,-12,0)),0),SUM(#REF!))</f>
        <v>#REF!</v>
      </c>
      <c r="AT26" s="3" t="e">
        <f ca="1">IF(#REF!&lt;&gt;0,MAX(0, MIN(20, 20 + SUM(#REF!) - SUM(#REF!) - SUM(OFFSET(#REF!,-1,0)) - IF(#REF!&gt;12,SUM(OFFSET(#REF!,-12,0)),0) - 20*#REF!)),0)</f>
        <v>#REF!</v>
      </c>
      <c r="AU26" s="134"/>
      <c r="AV26" s="39" t="e">
        <f>ROUND((#REF!-250 - IF(#REF!&lt;&gt;0,20,0))*1.25 + 850 + 0,0)</f>
        <v>#REF!</v>
      </c>
      <c r="AW26" s="39" t="e">
        <f>ROUND((#REF!-250 - IF(#REF!&lt;&gt;0,20,0))*0.285 + 87.5 + 0/4.25,0)</f>
        <v>#REF!</v>
      </c>
      <c r="AX26" s="133"/>
      <c r="AY26" s="172" t="e">
        <f t="array" aca="1" ref="AY26" ca="1">IF(#REF!&gt;12,OFFSET(#REF!,-12,0),0)+OFFSET(#REF!,-1,0)-#REF!</f>
        <v>#REF!</v>
      </c>
      <c r="AZ26" s="173" t="e">
        <f t="array" aca="1" ref="AZ26" ca="1">IF(#REF!&gt;12,OFFSET(#REF!,-12,0),0)+OFFSET(#REF!,-1,0)-#REF!</f>
        <v>#REF!</v>
      </c>
      <c r="BA26" s="173" t="e">
        <f t="array" aca="1" ref="BA26" ca="1">IF(#REF!&gt;12,OFFSET(#REF!,-12,0),0)+OFFSET(#REF!,-1,0)-#REF!</f>
        <v>#REF!</v>
      </c>
      <c r="BB26" s="173" t="e">
        <f t="array" aca="1" ref="BB26" ca="1">IF(#REF!&gt;12,OFFSET(#REF!,-12,0),0)+OFFSET(#REF!,-1,0)-#REF!</f>
        <v>#REF!</v>
      </c>
      <c r="BC26" s="173" t="e">
        <f t="array" aca="1" ref="BC26" ca="1">IF(#REF!&gt;12,OFFSET(#REF!,-12,0),0)+OFFSET(#REF!,-1,0)-#REF!</f>
        <v>#REF!</v>
      </c>
      <c r="BD26" s="174" t="e">
        <f t="array" aca="1" ref="BD26" ca="1">IF(#REF!&gt;12,OFFSET(#REF!,-12,0),0)+OFFSET(#REF!,-1,0)-#REF!</f>
        <v>#REF!</v>
      </c>
      <c r="BE26" s="174" t="e">
        <f t="array" aca="1" ref="BE26" ca="1">IF(#REF!&gt;12,OFFSET(#REF!,-12,0),0)+OFFSET(#REF!,-1,0)-#REF!</f>
        <v>#REF!</v>
      </c>
      <c r="BF26" s="343" t="e">
        <f t="array" aca="1" ref="BF26" ca="1">IF(#REF!&gt;12,OFFSET(#REF!,-12,0),0)+OFFSET(#REF!,-1,0)-#REF!</f>
        <v>#REF!</v>
      </c>
      <c r="BG26" s="343" t="e">
        <f t="array" aca="1" ref="BG26" ca="1">IF(#REF!&gt;12,OFFSET(#REF!,-12,0),0)+OFFSET(#REF!,-1,0)-#REF!</f>
        <v>#REF!</v>
      </c>
      <c r="BH26" s="347" t="e">
        <f t="array" aca="1" ref="BH26" ca="1">IF(#REF!&gt;12,OFFSET(#REF!,-12,0),0)+OFFSET(#REF!,-1,0)-#REF!</f>
        <v>#REF!</v>
      </c>
      <c r="BI26" s="347" t="e">
        <f t="array" aca="1" ref="BI26" ca="1">IF(#REF!&gt;12,OFFSET(#REF!,-12,0),0)+OFFSET(#REF!,-1,0)-#REF!</f>
        <v>#REF!</v>
      </c>
      <c r="BJ26" s="347" t="e">
        <f t="array" aca="1" ref="BJ26" ca="1">IF(#REF!&gt;12,OFFSET(#REF!,-12,0),0)+OFFSET(#REF!,-1,0)-#REF!</f>
        <v>#REF!</v>
      </c>
      <c r="BK26" s="347" t="e">
        <f t="array" aca="1" ref="BK26" ca="1">IF(#REF!&gt;12,OFFSET(#REF!,-12,0),0)+OFFSET(#REF!,-1,0)-#REF!</f>
        <v>#REF!</v>
      </c>
      <c r="BL26" s="351" t="e">
        <f t="array" aca="1" ref="BL26" ca="1">IF(#REF!&gt;12,OFFSET(#REF!,-12,0),0)+OFFSET(#REF!,-1,0)-#REF!</f>
        <v>#REF!</v>
      </c>
      <c r="BM26" s="351" t="e">
        <f t="array" aca="1" ref="BM26" ca="1">IF(#REF!&gt;12,OFFSET(#REF!,-12,0),0)+OFFSET(#REF!,-1,0)-#REF!</f>
        <v>#REF!</v>
      </c>
      <c r="BN26" s="351" t="e">
        <f t="array" aca="1" ref="BN26" ca="1">IF(#REF!&gt;12,OFFSET(#REF!,-12,0),0)+OFFSET(#REF!,-1,0)-#REF!</f>
        <v>#REF!</v>
      </c>
      <c r="BO26" s="175" t="e">
        <f t="array" aca="1" ref="BO26" ca="1">IF(#REF!&gt;12,OFFSET(#REF!,-12,0),0)+OFFSET(#REF!,-1,0)-#REF!</f>
        <v>#REF!</v>
      </c>
      <c r="BP26" s="175" t="e">
        <f t="array" aca="1" ref="BP26" ca="1">IF(#REF!&gt;12,OFFSET(#REF!,-12,0),0)+OFFSET(#REF!,-1,0)-#REF!</f>
        <v>#REF!</v>
      </c>
      <c r="BQ26" s="176" t="e">
        <f t="array" aca="1" ref="BQ26" ca="1">IF(#REF!&gt;12,OFFSET(#REF!,-12,0),0)+OFFSET(#REF!,-1,0)-#REF!</f>
        <v>#REF!</v>
      </c>
      <c r="BR26" s="134"/>
      <c r="BS26" s="133"/>
      <c r="BT26" s="39" t="e">
        <f>#REF!</f>
        <v>#REF!</v>
      </c>
      <c r="BU26" s="147" t="e">
        <f>#REF!</f>
        <v>#REF!</v>
      </c>
      <c r="BV26" s="134"/>
      <c r="BW26" s="164"/>
      <c r="BX26" s="164"/>
      <c r="BY26" s="164"/>
      <c r="BZ26" s="164"/>
      <c r="CA26" s="164"/>
      <c r="CB26" s="164"/>
      <c r="CC26" s="164"/>
      <c r="CD26" s="164"/>
      <c r="CE26" s="164"/>
      <c r="CF26" s="164"/>
      <c r="CG26" s="164"/>
      <c r="CH26" s="164"/>
      <c r="CI26" s="164"/>
      <c r="CJ26" s="164"/>
      <c r="CK26" s="164"/>
      <c r="CL26" s="164"/>
      <c r="CM26" s="164"/>
      <c r="CN26" s="164"/>
      <c r="CO26" s="164"/>
      <c r="CP26" s="134"/>
      <c r="CQ26" s="165" t="e">
        <f ca="1">-SUM(#REF!)+SUM(#REF!)+Rezone!L26+IF("Ch_"&amp; home_land=#REF!,#REF!)+IF(#REF!&gt;12,OFFSET(#REF!,-12,0),0)</f>
        <v>#REF!</v>
      </c>
      <c r="CR26" s="166" t="e">
        <f ca="1">-SUM(#REF!)+SUM(#REF!) +Rezone!M26 + IF("Ch_"&amp; home_land=#REF!,#REF!)+IF(#REF!&gt;12,OFFSET(#REF!,-12,0),0)</f>
        <v>#REF!</v>
      </c>
      <c r="CS26" s="341" t="e">
        <f ca="1">-SUM(#REF!)+SUM(#REF!) +Rezone!N26 + IF("Ch_"&amp; home_land=#REF!,#REF!)+IF(#REF!&gt;12,OFFSET(#REF!,-12,0),0)</f>
        <v>#REF!</v>
      </c>
      <c r="CT26" s="167" t="e">
        <f ca="1">-SUM(#REF!)+SUM(#REF!) +Rezone!O26 + IF("Ch_" &amp; home_land=#REF!,#REF!)+IF(#REF!&gt;12,OFFSET(#REF!,-12,0),0)</f>
        <v>#REF!</v>
      </c>
      <c r="CU26" s="168" t="e">
        <f ca="1">-SUM(#REF!)+SUM(#REF!) +Rezone!P26 + IF("Ch_" &amp; home_land=#REF!,#REF!)+IF(#REF!&gt;12,OFFSET(#REF!,-12,0),0)</f>
        <v>#REF!</v>
      </c>
      <c r="CV26" s="169" t="e">
        <f ca="1">- SUM(#REF!)+SUM(#REF!) +Rezone!Q26 + IF("Ch_" &amp; home_land=#REF!,#REF!)+IF(#REF!&gt;12,OFFSET(#REF!,-12,0),0)</f>
        <v>#REF!</v>
      </c>
      <c r="CW26" s="170" t="e">
        <f ca="1">-#REF!+#REF! +Rezone!R26 + IF("Ch_" &amp; home_land=#REF!,#REF!)+IF(#REF!&gt;12,OFFSET(#REF!,-12,0),0)</f>
        <v>#REF!</v>
      </c>
      <c r="CX26" s="3" t="e">
        <f>IF(Explore!S26=1,20) -#REF! +#REF!</f>
        <v>#REF!</v>
      </c>
      <c r="CY26" s="134"/>
      <c r="CZ26" s="39" t="e">
        <f t="shared" ca="1" si="3"/>
        <v>#REF!</v>
      </c>
      <c r="DA26" s="39" t="e">
        <f t="shared" ca="1" si="4"/>
        <v>#REF!</v>
      </c>
      <c r="DB26" s="3" t="e">
        <f t="shared" ca="1" si="5"/>
        <v>#REF!</v>
      </c>
      <c r="DC26" s="39" t="e">
        <f t="shared" ca="1" si="6"/>
        <v>#REF!</v>
      </c>
      <c r="DD26" s="39" t="e">
        <f t="shared" ca="1" si="7"/>
        <v>#REF!</v>
      </c>
      <c r="DE26" s="3" t="e">
        <f t="shared" ca="1" si="8"/>
        <v>#REF!</v>
      </c>
      <c r="DF26" s="39" t="e">
        <f t="shared" ca="1" si="9"/>
        <v>#REF!</v>
      </c>
      <c r="DG26" s="39" t="e">
        <f t="array" ref="DG26">INDEX(#REF!,ROW()-ROW(#REF!),MATCH("Total "&amp;home_land,#REF!,0))+#REF!</f>
        <v>#REF!</v>
      </c>
      <c r="DH26" s="3" t="e">
        <f t="shared" ca="1" si="10"/>
        <v>#REF!</v>
      </c>
      <c r="DI26" s="3" t="e">
        <f t="shared" ca="1" si="0"/>
        <v>#REF!</v>
      </c>
      <c r="DJ26" s="3" t="e">
        <f t="shared" ca="1" si="1"/>
        <v>#REF!</v>
      </c>
    </row>
    <row r="27" spans="1:114" x14ac:dyDescent="0.25">
      <c r="A27" s="160" t="e">
        <f>#REF!</f>
        <v>#REF!</v>
      </c>
      <c r="B27" s="161" t="e">
        <f>SUM(#REF!)</f>
        <v>#REF!</v>
      </c>
      <c r="C27" s="162" t="e">
        <f>SUM(#REF!)</f>
        <v>#REF!</v>
      </c>
      <c r="D27" s="162">
        <f t="shared" si="2"/>
        <v>0</v>
      </c>
      <c r="E27" s="163"/>
      <c r="F27" s="61" t="e">
        <f>#REF!+#REF!+#REF!</f>
        <v>#REF!</v>
      </c>
      <c r="G27" s="171" t="e">
        <f ca="1">OFFSET(#REF!,-1,0)+#REF!</f>
        <v>#REF!</v>
      </c>
      <c r="H27" s="166" t="e">
        <f ca="1">OFFSET(#REF!,-1,0)+#REF!</f>
        <v>#REF!</v>
      </c>
      <c r="I27" s="341" t="e">
        <f ca="1">OFFSET(#REF!,-1,0)+#REF!</f>
        <v>#REF!</v>
      </c>
      <c r="J27" s="345" t="e">
        <f ca="1">OFFSET(#REF!,-1,0)+#REF!</f>
        <v>#REF!</v>
      </c>
      <c r="K27" s="349" t="e">
        <f ca="1">OFFSET(#REF!,-1,0)+#REF!</f>
        <v>#REF!</v>
      </c>
      <c r="L27" s="169" t="e">
        <f ca="1">OFFSET(#REF!,-1,0)+#REF!</f>
        <v>#REF!</v>
      </c>
      <c r="M27" s="170" t="e">
        <f ca="1">OFFSET(#REF!,-1,0)+#REF!</f>
        <v>#REF!</v>
      </c>
      <c r="N27" s="339" t="e">
        <f>#REF!</f>
        <v>#REF!</v>
      </c>
      <c r="O27" s="164"/>
      <c r="P27" s="146"/>
      <c r="Q27" s="164"/>
      <c r="R27" s="164"/>
      <c r="S27" s="164"/>
      <c r="T27" s="164"/>
      <c r="U27" s="164"/>
      <c r="V27" s="164"/>
      <c r="W27" s="164"/>
      <c r="X27" s="164"/>
      <c r="Y27" s="164"/>
      <c r="Z27" s="164"/>
      <c r="AA27" s="164"/>
      <c r="AB27" s="164"/>
      <c r="AC27" s="164"/>
      <c r="AD27" s="164"/>
      <c r="AE27" s="164"/>
      <c r="AF27" s="164"/>
      <c r="AG27" s="164"/>
      <c r="AH27" s="53" t="e">
        <f>#REF!</f>
        <v>#REF!</v>
      </c>
      <c r="AI27" s="132" t="e">
        <f>MIN(25%,(#REF!+#REF!)/(#REF!-#REF!*20))</f>
        <v>#REF!</v>
      </c>
      <c r="AJ27" s="132" t="e">
        <f>MIN(25%,(#REF!+#REF!)/#REF!)</f>
        <v>#REF!</v>
      </c>
      <c r="AK27" s="39" t="e">
        <f>#REF!</f>
        <v>#REF!</v>
      </c>
      <c r="AL27" s="39" t="e">
        <f>#REF!</f>
        <v>#REF!</v>
      </c>
      <c r="AM27" s="39" t="e">
        <f>ROUNDDOWN( MAX((1 - MIN(facs_constr_factor*#REF!,facs_constr_max) + tech_2_3*#REF! + tech_2_6_2*#REF! + tech_2_10*#REF! + tech_4_6*#REF! + tech_6_3*#REF! + tech_9_2*#REF! + race_construction_cost), 1-global_constr_cap) *#REF!,0)</f>
        <v>#REF!</v>
      </c>
      <c r="AN27" s="39" t="e">
        <f>ROUNDDOWN( MAX(1 - MIN(facs_constr_factor*#REF!,facs_constr_max) + tech_1_11*#REF! + tech_6_3_2*#REF! + tech_5_2_3*#REF!, 1-global_constr_cap) *#REF!,0)</f>
        <v>#REF!</v>
      </c>
      <c r="AO27" s="39" t="e">
        <f>ROUNDDOWN( MAX((1 - MIN(facs_constr_factor*#REF!,facs_constr_max) + tech_2_3*#REF! + tech_2_6_2*#REF! + tech_2_10*#REF! + tech_4_6*#REF! + tech_6_3*#REF! + tech_9_2*#REF! + race_construction_cost), 1-global_constr_cap) * (ROUND((#REF!-250)*1.25 + 850 + 0,0)),0)</f>
        <v>#REF!</v>
      </c>
      <c r="AP27" s="39" t="e">
        <f>ROUNDDOWN( MAX(1 - MIN(facs_constr_factor*#REF!,facs_constr_max) + tech_1_11*#REF! + tech_6_3_2*#REF! + tech_5_2_3*#REF!, 1-global_constr_cap) * ROUND((#REF!-250)*0.285 + 87.5 + 0/4.25,0),0)</f>
        <v>#REF!</v>
      </c>
      <c r="AQ27" s="3" t="e">
        <f>#REF!*#REF! +#REF! *#REF!</f>
        <v>#REF!</v>
      </c>
      <c r="AR27" s="3" t="e">
        <f>#REF!*#REF!+#REF!*#REF!</f>
        <v>#REF!</v>
      </c>
      <c r="AS27" s="39" t="e">
        <f ca="1">MIN(SUM(OFFSET(#REF!,-1,0))+SUM(#REF!)+IF(#REF!&gt;12,SUM(OFFSET(#REF!,-12,0)),0),SUM(#REF!))</f>
        <v>#REF!</v>
      </c>
      <c r="AT27" s="3" t="e">
        <f ca="1">IF(#REF!&lt;&gt;0,MAX(0, MIN(20, 20 + SUM(#REF!) - SUM(#REF!) - SUM(OFFSET(#REF!,-1,0)) - IF(#REF!&gt;12,SUM(OFFSET(#REF!,-12,0)),0) - 20*#REF!)),0)</f>
        <v>#REF!</v>
      </c>
      <c r="AU27" s="134"/>
      <c r="AV27" s="39" t="e">
        <f>ROUND((#REF!-250 - IF(#REF!&lt;&gt;0,20,0))*1.25 + 850 + 0,0)</f>
        <v>#REF!</v>
      </c>
      <c r="AW27" s="39" t="e">
        <f>ROUND((#REF!-250 - IF(#REF!&lt;&gt;0,20,0))*0.285 + 87.5 + 0/4.25,0)</f>
        <v>#REF!</v>
      </c>
      <c r="AX27" s="133"/>
      <c r="AY27" s="172" t="e">
        <f t="array" aca="1" ref="AY27" ca="1">IF(#REF!&gt;12,OFFSET(#REF!,-12,0),0)+OFFSET(#REF!,-1,0)-#REF!</f>
        <v>#REF!</v>
      </c>
      <c r="AZ27" s="173" t="e">
        <f t="array" aca="1" ref="AZ27" ca="1">IF(#REF!&gt;12,OFFSET(#REF!,-12,0),0)+OFFSET(#REF!,-1,0)-#REF!</f>
        <v>#REF!</v>
      </c>
      <c r="BA27" s="173" t="e">
        <f t="array" aca="1" ref="BA27" ca="1">IF(#REF!&gt;12,OFFSET(#REF!,-12,0),0)+OFFSET(#REF!,-1,0)-#REF!</f>
        <v>#REF!</v>
      </c>
      <c r="BB27" s="173" t="e">
        <f t="array" aca="1" ref="BB27" ca="1">IF(#REF!&gt;12,OFFSET(#REF!,-12,0),0)+OFFSET(#REF!,-1,0)-#REF!</f>
        <v>#REF!</v>
      </c>
      <c r="BC27" s="173" t="e">
        <f t="array" aca="1" ref="BC27" ca="1">IF(#REF!&gt;12,OFFSET(#REF!,-12,0),0)+OFFSET(#REF!,-1,0)-#REF!</f>
        <v>#REF!</v>
      </c>
      <c r="BD27" s="174" t="e">
        <f t="array" aca="1" ref="BD27" ca="1">IF(#REF!&gt;12,OFFSET(#REF!,-12,0),0)+OFFSET(#REF!,-1,0)-#REF!</f>
        <v>#REF!</v>
      </c>
      <c r="BE27" s="174" t="e">
        <f t="array" aca="1" ref="BE27" ca="1">IF(#REF!&gt;12,OFFSET(#REF!,-12,0),0)+OFFSET(#REF!,-1,0)-#REF!</f>
        <v>#REF!</v>
      </c>
      <c r="BF27" s="343" t="e">
        <f t="array" aca="1" ref="BF27" ca="1">IF(#REF!&gt;12,OFFSET(#REF!,-12,0),0)+OFFSET(#REF!,-1,0)-#REF!</f>
        <v>#REF!</v>
      </c>
      <c r="BG27" s="343" t="e">
        <f t="array" aca="1" ref="BG27" ca="1">IF(#REF!&gt;12,OFFSET(#REF!,-12,0),0)+OFFSET(#REF!,-1,0)-#REF!</f>
        <v>#REF!</v>
      </c>
      <c r="BH27" s="347" t="e">
        <f t="array" aca="1" ref="BH27" ca="1">IF(#REF!&gt;12,OFFSET(#REF!,-12,0),0)+OFFSET(#REF!,-1,0)-#REF!</f>
        <v>#REF!</v>
      </c>
      <c r="BI27" s="347" t="e">
        <f t="array" aca="1" ref="BI27" ca="1">IF(#REF!&gt;12,OFFSET(#REF!,-12,0),0)+OFFSET(#REF!,-1,0)-#REF!</f>
        <v>#REF!</v>
      </c>
      <c r="BJ27" s="347" t="e">
        <f t="array" aca="1" ref="BJ27" ca="1">IF(#REF!&gt;12,OFFSET(#REF!,-12,0),0)+OFFSET(#REF!,-1,0)-#REF!</f>
        <v>#REF!</v>
      </c>
      <c r="BK27" s="347" t="e">
        <f t="array" aca="1" ref="BK27" ca="1">IF(#REF!&gt;12,OFFSET(#REF!,-12,0),0)+OFFSET(#REF!,-1,0)-#REF!</f>
        <v>#REF!</v>
      </c>
      <c r="BL27" s="351" t="e">
        <f t="array" aca="1" ref="BL27" ca="1">IF(#REF!&gt;12,OFFSET(#REF!,-12,0),0)+OFFSET(#REF!,-1,0)-#REF!</f>
        <v>#REF!</v>
      </c>
      <c r="BM27" s="351" t="e">
        <f t="array" aca="1" ref="BM27" ca="1">IF(#REF!&gt;12,OFFSET(#REF!,-12,0),0)+OFFSET(#REF!,-1,0)-#REF!</f>
        <v>#REF!</v>
      </c>
      <c r="BN27" s="351" t="e">
        <f t="array" aca="1" ref="BN27" ca="1">IF(#REF!&gt;12,OFFSET(#REF!,-12,0),0)+OFFSET(#REF!,-1,0)-#REF!</f>
        <v>#REF!</v>
      </c>
      <c r="BO27" s="175" t="e">
        <f t="array" aca="1" ref="BO27" ca="1">IF(#REF!&gt;12,OFFSET(#REF!,-12,0),0)+OFFSET(#REF!,-1,0)-#REF!</f>
        <v>#REF!</v>
      </c>
      <c r="BP27" s="175" t="e">
        <f t="array" aca="1" ref="BP27" ca="1">IF(#REF!&gt;12,OFFSET(#REF!,-12,0),0)+OFFSET(#REF!,-1,0)-#REF!</f>
        <v>#REF!</v>
      </c>
      <c r="BQ27" s="176" t="e">
        <f t="array" aca="1" ref="BQ27" ca="1">IF(#REF!&gt;12,OFFSET(#REF!,-12,0),0)+OFFSET(#REF!,-1,0)-#REF!</f>
        <v>#REF!</v>
      </c>
      <c r="BR27" s="134"/>
      <c r="BS27" s="133"/>
      <c r="BT27" s="39" t="e">
        <f>#REF!</f>
        <v>#REF!</v>
      </c>
      <c r="BU27" s="147" t="e">
        <f>#REF!</f>
        <v>#REF!</v>
      </c>
      <c r="BV27" s="134"/>
      <c r="BW27" s="164"/>
      <c r="BX27" s="164"/>
      <c r="BY27" s="164"/>
      <c r="BZ27" s="164"/>
      <c r="CA27" s="164"/>
      <c r="CB27" s="164"/>
      <c r="CC27" s="164"/>
      <c r="CD27" s="164"/>
      <c r="CE27" s="164"/>
      <c r="CF27" s="164"/>
      <c r="CG27" s="164"/>
      <c r="CH27" s="164"/>
      <c r="CI27" s="164"/>
      <c r="CJ27" s="164"/>
      <c r="CK27" s="164"/>
      <c r="CL27" s="164"/>
      <c r="CM27" s="164"/>
      <c r="CN27" s="164"/>
      <c r="CO27" s="164"/>
      <c r="CP27" s="134"/>
      <c r="CQ27" s="165" t="e">
        <f ca="1">-SUM(#REF!)+SUM(#REF!)+Rezone!L27+IF("Ch_"&amp; home_land=#REF!,#REF!)+IF(#REF!&gt;12,OFFSET(#REF!,-12,0),0)</f>
        <v>#REF!</v>
      </c>
      <c r="CR27" s="166" t="e">
        <f ca="1">-SUM(#REF!)+SUM(#REF!) +Rezone!M27 + IF("Ch_"&amp; home_land=#REF!,#REF!)+IF(#REF!&gt;12,OFFSET(#REF!,-12,0),0)</f>
        <v>#REF!</v>
      </c>
      <c r="CS27" s="341" t="e">
        <f ca="1">-SUM(#REF!)+SUM(#REF!) +Rezone!N27 + IF("Ch_"&amp; home_land=#REF!,#REF!)+IF(#REF!&gt;12,OFFSET(#REF!,-12,0),0)</f>
        <v>#REF!</v>
      </c>
      <c r="CT27" s="167" t="e">
        <f ca="1">-SUM(#REF!)+SUM(#REF!) +Rezone!O27 + IF("Ch_" &amp; home_land=#REF!,#REF!)+IF(#REF!&gt;12,OFFSET(#REF!,-12,0),0)</f>
        <v>#REF!</v>
      </c>
      <c r="CU27" s="168" t="e">
        <f ca="1">-SUM(#REF!)+SUM(#REF!) +Rezone!P27 + IF("Ch_" &amp; home_land=#REF!,#REF!)+IF(#REF!&gt;12,OFFSET(#REF!,-12,0),0)</f>
        <v>#REF!</v>
      </c>
      <c r="CV27" s="169" t="e">
        <f ca="1">- SUM(#REF!)+SUM(#REF!) +Rezone!Q27 + IF("Ch_" &amp; home_land=#REF!,#REF!)+IF(#REF!&gt;12,OFFSET(#REF!,-12,0),0)</f>
        <v>#REF!</v>
      </c>
      <c r="CW27" s="170" t="e">
        <f ca="1">-#REF!+#REF! +Rezone!R27 + IF("Ch_" &amp; home_land=#REF!,#REF!)+IF(#REF!&gt;12,OFFSET(#REF!,-12,0),0)</f>
        <v>#REF!</v>
      </c>
      <c r="CX27" s="3" t="e">
        <f>IF(Explore!S27=1,20) -#REF! +#REF!</f>
        <v>#REF!</v>
      </c>
      <c r="CY27" s="134"/>
      <c r="CZ27" s="39" t="e">
        <f t="shared" ca="1" si="3"/>
        <v>#REF!</v>
      </c>
      <c r="DA27" s="39" t="e">
        <f t="shared" ca="1" si="4"/>
        <v>#REF!</v>
      </c>
      <c r="DB27" s="3" t="e">
        <f t="shared" ca="1" si="5"/>
        <v>#REF!</v>
      </c>
      <c r="DC27" s="39" t="e">
        <f t="shared" ca="1" si="6"/>
        <v>#REF!</v>
      </c>
      <c r="DD27" s="39" t="e">
        <f t="shared" ca="1" si="7"/>
        <v>#REF!</v>
      </c>
      <c r="DE27" s="3" t="e">
        <f t="shared" ca="1" si="8"/>
        <v>#REF!</v>
      </c>
      <c r="DF27" s="39" t="e">
        <f t="shared" ca="1" si="9"/>
        <v>#REF!</v>
      </c>
      <c r="DG27" s="39" t="e">
        <f t="array" ref="DG27">INDEX(#REF!,ROW()-ROW(#REF!),MATCH("Total "&amp;home_land,#REF!,0))+#REF!</f>
        <v>#REF!</v>
      </c>
      <c r="DH27" s="3" t="e">
        <f t="shared" ca="1" si="10"/>
        <v>#REF!</v>
      </c>
      <c r="DI27" s="3" t="e">
        <f t="shared" ca="1" si="0"/>
        <v>#REF!</v>
      </c>
      <c r="DJ27" s="3" t="e">
        <f t="shared" ca="1" si="1"/>
        <v>#REF!</v>
      </c>
    </row>
    <row r="28" spans="1:114" x14ac:dyDescent="0.25">
      <c r="A28" s="160" t="e">
        <f>#REF!</f>
        <v>#REF!</v>
      </c>
      <c r="B28" s="161" t="e">
        <f>SUM(#REF!)</f>
        <v>#REF!</v>
      </c>
      <c r="C28" s="162" t="e">
        <f>SUM(#REF!)</f>
        <v>#REF!</v>
      </c>
      <c r="D28" s="162">
        <f t="shared" si="2"/>
        <v>0</v>
      </c>
      <c r="E28" s="163"/>
      <c r="F28" s="61" t="e">
        <f>#REF!+#REF!+#REF!</f>
        <v>#REF!</v>
      </c>
      <c r="G28" s="171" t="e">
        <f ca="1">OFFSET(#REF!,-1,0)+#REF!</f>
        <v>#REF!</v>
      </c>
      <c r="H28" s="166" t="e">
        <f ca="1">OFFSET(#REF!,-1,0)+#REF!</f>
        <v>#REF!</v>
      </c>
      <c r="I28" s="341" t="e">
        <f ca="1">OFFSET(#REF!,-1,0)+#REF!</f>
        <v>#REF!</v>
      </c>
      <c r="J28" s="345" t="e">
        <f ca="1">OFFSET(#REF!,-1,0)+#REF!</f>
        <v>#REF!</v>
      </c>
      <c r="K28" s="349" t="e">
        <f ca="1">OFFSET(#REF!,-1,0)+#REF!</f>
        <v>#REF!</v>
      </c>
      <c r="L28" s="169" t="e">
        <f ca="1">OFFSET(#REF!,-1,0)+#REF!</f>
        <v>#REF!</v>
      </c>
      <c r="M28" s="170" t="e">
        <f ca="1">OFFSET(#REF!,-1,0)+#REF!</f>
        <v>#REF!</v>
      </c>
      <c r="N28" s="339" t="e">
        <f>#REF!</f>
        <v>#REF!</v>
      </c>
      <c r="O28" s="164"/>
      <c r="P28" s="164"/>
      <c r="Q28" s="164"/>
      <c r="R28" s="164"/>
      <c r="S28" s="164"/>
      <c r="T28" s="164"/>
      <c r="U28" s="164"/>
      <c r="V28" s="164"/>
      <c r="W28" s="164"/>
      <c r="X28" s="164"/>
      <c r="Y28" s="164"/>
      <c r="Z28" s="164"/>
      <c r="AA28" s="164"/>
      <c r="AB28" s="164"/>
      <c r="AC28" s="164"/>
      <c r="AD28" s="164"/>
      <c r="AE28" s="164"/>
      <c r="AF28" s="164"/>
      <c r="AG28" s="164"/>
      <c r="AH28" s="53" t="e">
        <f>#REF!</f>
        <v>#REF!</v>
      </c>
      <c r="AI28" s="132" t="e">
        <f>MIN(25%,(#REF!+#REF!)/(#REF!-#REF!*20))</f>
        <v>#REF!</v>
      </c>
      <c r="AJ28" s="132" t="e">
        <f>MIN(25%,(#REF!+#REF!)/#REF!)</f>
        <v>#REF!</v>
      </c>
      <c r="AK28" s="39" t="e">
        <f>#REF!</f>
        <v>#REF!</v>
      </c>
      <c r="AL28" s="39" t="e">
        <f>#REF!</f>
        <v>#REF!</v>
      </c>
      <c r="AM28" s="39" t="e">
        <f>ROUNDDOWN( MAX((1 - MIN(facs_constr_factor*#REF!,facs_constr_max) + tech_2_3*#REF! + tech_2_6_2*#REF! + tech_2_10*#REF! + tech_4_6*#REF! + tech_6_3*#REF! + tech_9_2*#REF! + race_construction_cost), 1-global_constr_cap) *#REF!,0)</f>
        <v>#REF!</v>
      </c>
      <c r="AN28" s="39" t="e">
        <f>ROUNDDOWN( MAX(1 - MIN(facs_constr_factor*#REF!,facs_constr_max) + tech_1_11*#REF! + tech_6_3_2*#REF! + tech_5_2_3*#REF!, 1-global_constr_cap) *#REF!,0)</f>
        <v>#REF!</v>
      </c>
      <c r="AO28" s="39" t="e">
        <f>ROUNDDOWN( MAX((1 - MIN(facs_constr_factor*#REF!,facs_constr_max) + tech_2_3*#REF! + tech_2_6_2*#REF! + tech_2_10*#REF! + tech_4_6*#REF! + tech_6_3*#REF! + tech_9_2*#REF! + race_construction_cost), 1-global_constr_cap) * (ROUND((#REF!-250)*1.25 + 850 + 0,0)),0)</f>
        <v>#REF!</v>
      </c>
      <c r="AP28" s="39" t="e">
        <f>ROUNDDOWN( MAX(1 - MIN(facs_constr_factor*#REF!,facs_constr_max) + tech_1_11*#REF! + tech_6_3_2*#REF! + tech_5_2_3*#REF!, 1-global_constr_cap) * ROUND((#REF!-250)*0.285 + 87.5 + 0/4.25,0),0)</f>
        <v>#REF!</v>
      </c>
      <c r="AQ28" s="3" t="e">
        <f>#REF!*#REF! +#REF! *#REF!</f>
        <v>#REF!</v>
      </c>
      <c r="AR28" s="3" t="e">
        <f>#REF!*#REF!+#REF!*#REF!</f>
        <v>#REF!</v>
      </c>
      <c r="AS28" s="39" t="e">
        <f ca="1">MIN(SUM(OFFSET(#REF!,-1,0))+SUM(#REF!)+IF(#REF!&gt;12,SUM(OFFSET(#REF!,-12,0)),0),SUM(#REF!))</f>
        <v>#REF!</v>
      </c>
      <c r="AT28" s="3" t="e">
        <f ca="1">IF(#REF!&lt;&gt;0,MAX(0, MIN(20, 20 + SUM(#REF!) - SUM(#REF!) - SUM(OFFSET(#REF!,-1,0)) - IF(#REF!&gt;12,SUM(OFFSET(#REF!,-12,0)),0) - 20*#REF!)),0)</f>
        <v>#REF!</v>
      </c>
      <c r="AU28" s="134"/>
      <c r="AV28" s="39" t="e">
        <f>ROUND((#REF!-250 - IF(#REF!&lt;&gt;0,20,0))*1.25 + 850 + 0,0)</f>
        <v>#REF!</v>
      </c>
      <c r="AW28" s="39" t="e">
        <f>ROUND((#REF!-250 - IF(#REF!&lt;&gt;0,20,0))*0.285 + 87.5 + 0/4.25,0)</f>
        <v>#REF!</v>
      </c>
      <c r="AX28" s="133"/>
      <c r="AY28" s="172" t="e">
        <f t="array" aca="1" ref="AY28" ca="1">IF(#REF!&gt;12,OFFSET(#REF!,-12,0),0)+OFFSET(#REF!,-1,0)-#REF!</f>
        <v>#REF!</v>
      </c>
      <c r="AZ28" s="173" t="e">
        <f t="array" aca="1" ref="AZ28" ca="1">IF(#REF!&gt;12,OFFSET(#REF!,-12,0),0)+OFFSET(#REF!,-1,0)-#REF!</f>
        <v>#REF!</v>
      </c>
      <c r="BA28" s="173" t="e">
        <f t="array" aca="1" ref="BA28" ca="1">IF(#REF!&gt;12,OFFSET(#REF!,-12,0),0)+OFFSET(#REF!,-1,0)-#REF!</f>
        <v>#REF!</v>
      </c>
      <c r="BB28" s="173" t="e">
        <f t="array" aca="1" ref="BB28" ca="1">IF(#REF!&gt;12,OFFSET(#REF!,-12,0),0)+OFFSET(#REF!,-1,0)-#REF!</f>
        <v>#REF!</v>
      </c>
      <c r="BC28" s="173" t="e">
        <f t="array" aca="1" ref="BC28" ca="1">IF(#REF!&gt;12,OFFSET(#REF!,-12,0),0)+OFFSET(#REF!,-1,0)-#REF!</f>
        <v>#REF!</v>
      </c>
      <c r="BD28" s="174" t="e">
        <f t="array" aca="1" ref="BD28" ca="1">IF(#REF!&gt;12,OFFSET(#REF!,-12,0),0)+OFFSET(#REF!,-1,0)-#REF!</f>
        <v>#REF!</v>
      </c>
      <c r="BE28" s="174" t="e">
        <f t="array" aca="1" ref="BE28" ca="1">IF(#REF!&gt;12,OFFSET(#REF!,-12,0),0)+OFFSET(#REF!,-1,0)-#REF!</f>
        <v>#REF!</v>
      </c>
      <c r="BF28" s="343" t="e">
        <f t="array" aca="1" ref="BF28" ca="1">IF(#REF!&gt;12,OFFSET(#REF!,-12,0),0)+OFFSET(#REF!,-1,0)-#REF!</f>
        <v>#REF!</v>
      </c>
      <c r="BG28" s="343" t="e">
        <f t="array" aca="1" ref="BG28" ca="1">IF(#REF!&gt;12,OFFSET(#REF!,-12,0),0)+OFFSET(#REF!,-1,0)-#REF!</f>
        <v>#REF!</v>
      </c>
      <c r="BH28" s="347" t="e">
        <f t="array" aca="1" ref="BH28" ca="1">IF(#REF!&gt;12,OFFSET(#REF!,-12,0),0)+OFFSET(#REF!,-1,0)-#REF!</f>
        <v>#REF!</v>
      </c>
      <c r="BI28" s="347" t="e">
        <f t="array" aca="1" ref="BI28" ca="1">IF(#REF!&gt;12,OFFSET(#REF!,-12,0),0)+OFFSET(#REF!,-1,0)-#REF!</f>
        <v>#REF!</v>
      </c>
      <c r="BJ28" s="347" t="e">
        <f t="array" aca="1" ref="BJ28" ca="1">IF(#REF!&gt;12,OFFSET(#REF!,-12,0),0)+OFFSET(#REF!,-1,0)-#REF!</f>
        <v>#REF!</v>
      </c>
      <c r="BK28" s="347" t="e">
        <f t="array" aca="1" ref="BK28" ca="1">IF(#REF!&gt;12,OFFSET(#REF!,-12,0),0)+OFFSET(#REF!,-1,0)-#REF!</f>
        <v>#REF!</v>
      </c>
      <c r="BL28" s="351" t="e">
        <f t="array" aca="1" ref="BL28" ca="1">IF(#REF!&gt;12,OFFSET(#REF!,-12,0),0)+OFFSET(#REF!,-1,0)-#REF!</f>
        <v>#REF!</v>
      </c>
      <c r="BM28" s="351" t="e">
        <f t="array" aca="1" ref="BM28" ca="1">IF(#REF!&gt;12,OFFSET(#REF!,-12,0),0)+OFFSET(#REF!,-1,0)-#REF!</f>
        <v>#REF!</v>
      </c>
      <c r="BN28" s="351" t="e">
        <f t="array" aca="1" ref="BN28" ca="1">IF(#REF!&gt;12,OFFSET(#REF!,-12,0),0)+OFFSET(#REF!,-1,0)-#REF!</f>
        <v>#REF!</v>
      </c>
      <c r="BO28" s="175" t="e">
        <f t="array" aca="1" ref="BO28" ca="1">IF(#REF!&gt;12,OFFSET(#REF!,-12,0),0)+OFFSET(#REF!,-1,0)-#REF!</f>
        <v>#REF!</v>
      </c>
      <c r="BP28" s="175" t="e">
        <f t="array" aca="1" ref="BP28" ca="1">IF(#REF!&gt;12,OFFSET(#REF!,-12,0),0)+OFFSET(#REF!,-1,0)-#REF!</f>
        <v>#REF!</v>
      </c>
      <c r="BQ28" s="176" t="e">
        <f t="array" aca="1" ref="BQ28" ca="1">IF(#REF!&gt;12,OFFSET(#REF!,-12,0),0)+OFFSET(#REF!,-1,0)-#REF!</f>
        <v>#REF!</v>
      </c>
      <c r="BR28" s="134"/>
      <c r="BS28" s="133"/>
      <c r="BT28" s="39" t="e">
        <f>#REF!</f>
        <v>#REF!</v>
      </c>
      <c r="BU28" s="147" t="e">
        <f>#REF!</f>
        <v>#REF!</v>
      </c>
      <c r="BV28" s="134"/>
      <c r="BW28" s="164"/>
      <c r="BX28" s="164"/>
      <c r="BY28" s="164"/>
      <c r="BZ28" s="164"/>
      <c r="CA28" s="164"/>
      <c r="CB28" s="164"/>
      <c r="CC28" s="164"/>
      <c r="CD28" s="164"/>
      <c r="CE28" s="164"/>
      <c r="CF28" s="164"/>
      <c r="CG28" s="164"/>
      <c r="CH28" s="164"/>
      <c r="CI28" s="164"/>
      <c r="CJ28" s="164"/>
      <c r="CK28" s="164"/>
      <c r="CL28" s="164"/>
      <c r="CM28" s="164"/>
      <c r="CN28" s="164"/>
      <c r="CO28" s="164"/>
      <c r="CP28" s="134"/>
      <c r="CQ28" s="165" t="e">
        <f ca="1">-SUM(#REF!)+SUM(#REF!)+Rezone!L28+IF("Ch_"&amp; home_land=#REF!,#REF!)+IF(#REF!&gt;12,OFFSET(#REF!,-12,0),0)</f>
        <v>#REF!</v>
      </c>
      <c r="CR28" s="166" t="e">
        <f ca="1">-SUM(#REF!)+SUM(#REF!) +Rezone!M28 + IF("Ch_"&amp; home_land=#REF!,#REF!)+IF(#REF!&gt;12,OFFSET(#REF!,-12,0),0)</f>
        <v>#REF!</v>
      </c>
      <c r="CS28" s="341" t="e">
        <f ca="1">-SUM(#REF!)+SUM(#REF!) +Rezone!N28 + IF("Ch_"&amp; home_land=#REF!,#REF!)+IF(#REF!&gt;12,OFFSET(#REF!,-12,0),0)</f>
        <v>#REF!</v>
      </c>
      <c r="CT28" s="167" t="e">
        <f ca="1">-SUM(#REF!)+SUM(#REF!) +Rezone!O28 + IF("Ch_" &amp; home_land=#REF!,#REF!)+IF(#REF!&gt;12,OFFSET(#REF!,-12,0),0)</f>
        <v>#REF!</v>
      </c>
      <c r="CU28" s="168" t="e">
        <f ca="1">-SUM(#REF!)+SUM(#REF!) +Rezone!P28 + IF("Ch_" &amp; home_land=#REF!,#REF!)+IF(#REF!&gt;12,OFFSET(#REF!,-12,0),0)</f>
        <v>#REF!</v>
      </c>
      <c r="CV28" s="169" t="e">
        <f ca="1">- SUM(#REF!)+SUM(#REF!) +Rezone!Q28 + IF("Ch_" &amp; home_land=#REF!,#REF!)+IF(#REF!&gt;12,OFFSET(#REF!,-12,0),0)</f>
        <v>#REF!</v>
      </c>
      <c r="CW28" s="170" t="e">
        <f ca="1">-#REF!+#REF! +Rezone!R28 + IF("Ch_" &amp; home_land=#REF!,#REF!)+IF(#REF!&gt;12,OFFSET(#REF!,-12,0),0)</f>
        <v>#REF!</v>
      </c>
      <c r="CX28" s="3" t="e">
        <f>IF(Explore!S28=1,20) -#REF! +#REF!</f>
        <v>#REF!</v>
      </c>
      <c r="CY28" s="134"/>
      <c r="CZ28" s="39" t="e">
        <f t="shared" ca="1" si="3"/>
        <v>#REF!</v>
      </c>
      <c r="DA28" s="39" t="e">
        <f t="shared" ca="1" si="4"/>
        <v>#REF!</v>
      </c>
      <c r="DB28" s="3" t="e">
        <f t="shared" ca="1" si="5"/>
        <v>#REF!</v>
      </c>
      <c r="DC28" s="39" t="e">
        <f t="shared" ca="1" si="6"/>
        <v>#REF!</v>
      </c>
      <c r="DD28" s="39" t="e">
        <f t="shared" ca="1" si="7"/>
        <v>#REF!</v>
      </c>
      <c r="DE28" s="3" t="e">
        <f t="shared" ca="1" si="8"/>
        <v>#REF!</v>
      </c>
      <c r="DF28" s="39" t="e">
        <f t="shared" ca="1" si="9"/>
        <v>#REF!</v>
      </c>
      <c r="DG28" s="39" t="e">
        <f t="array" ref="DG28">INDEX(#REF!,ROW()-ROW(#REF!),MATCH("Total "&amp;home_land,#REF!,0))+#REF!</f>
        <v>#REF!</v>
      </c>
      <c r="DH28" s="3" t="e">
        <f t="shared" ca="1" si="10"/>
        <v>#REF!</v>
      </c>
      <c r="DI28" s="3" t="e">
        <f t="shared" ca="1" si="0"/>
        <v>#REF!</v>
      </c>
      <c r="DJ28" s="3" t="e">
        <f t="shared" ca="1" si="1"/>
        <v>#REF!</v>
      </c>
    </row>
    <row r="29" spans="1:114" x14ac:dyDescent="0.25">
      <c r="A29" s="160" t="e">
        <f>#REF!</f>
        <v>#REF!</v>
      </c>
      <c r="B29" s="161" t="e">
        <f>SUM(#REF!)</f>
        <v>#REF!</v>
      </c>
      <c r="C29" s="162" t="e">
        <f>SUM(#REF!)</f>
        <v>#REF!</v>
      </c>
      <c r="D29" s="162">
        <f t="shared" si="2"/>
        <v>0</v>
      </c>
      <c r="E29" s="163"/>
      <c r="F29" s="61" t="e">
        <f>#REF!+#REF!+#REF!</f>
        <v>#REF!</v>
      </c>
      <c r="G29" s="171" t="e">
        <f ca="1">OFFSET(#REF!,-1,0)+#REF!</f>
        <v>#REF!</v>
      </c>
      <c r="H29" s="166" t="e">
        <f ca="1">OFFSET(#REF!,-1,0)+#REF!</f>
        <v>#REF!</v>
      </c>
      <c r="I29" s="341" t="e">
        <f ca="1">OFFSET(#REF!,-1,0)+#REF!</f>
        <v>#REF!</v>
      </c>
      <c r="J29" s="345" t="e">
        <f ca="1">OFFSET(#REF!,-1,0)+#REF!</f>
        <v>#REF!</v>
      </c>
      <c r="K29" s="349" t="e">
        <f ca="1">OFFSET(#REF!,-1,0)+#REF!</f>
        <v>#REF!</v>
      </c>
      <c r="L29" s="169" t="e">
        <f ca="1">OFFSET(#REF!,-1,0)+#REF!</f>
        <v>#REF!</v>
      </c>
      <c r="M29" s="170" t="e">
        <f ca="1">OFFSET(#REF!,-1,0)+#REF!</f>
        <v>#REF!</v>
      </c>
      <c r="N29" s="339" t="e">
        <f>#REF!</f>
        <v>#REF!</v>
      </c>
      <c r="O29" s="164"/>
      <c r="P29" s="164"/>
      <c r="Q29" s="164"/>
      <c r="R29" s="164"/>
      <c r="S29" s="164"/>
      <c r="T29" s="164"/>
      <c r="U29" s="164"/>
      <c r="V29" s="164"/>
      <c r="W29" s="164"/>
      <c r="X29" s="164"/>
      <c r="Y29" s="164"/>
      <c r="Z29" s="164"/>
      <c r="AA29" s="164"/>
      <c r="AB29" s="164"/>
      <c r="AC29" s="164"/>
      <c r="AD29" s="164"/>
      <c r="AE29" s="164"/>
      <c r="AF29" s="164"/>
      <c r="AG29" s="164"/>
      <c r="AH29" s="53" t="e">
        <f>#REF!</f>
        <v>#REF!</v>
      </c>
      <c r="AI29" s="132" t="e">
        <f>MIN(25%,(#REF!+#REF!)/(#REF!-#REF!*20))</f>
        <v>#REF!</v>
      </c>
      <c r="AJ29" s="132" t="e">
        <f>MIN(25%,(#REF!+#REF!)/#REF!)</f>
        <v>#REF!</v>
      </c>
      <c r="AK29" s="39" t="e">
        <f>#REF!</f>
        <v>#REF!</v>
      </c>
      <c r="AL29" s="39" t="e">
        <f>#REF!</f>
        <v>#REF!</v>
      </c>
      <c r="AM29" s="39" t="e">
        <f>ROUNDDOWN( MAX((1 - MIN(facs_constr_factor*#REF!,facs_constr_max) + tech_2_3*#REF! + tech_2_6_2*#REF! + tech_2_10*#REF! + tech_4_6*#REF! + tech_6_3*#REF! + tech_9_2*#REF! + race_construction_cost), 1-global_constr_cap) *#REF!,0)</f>
        <v>#REF!</v>
      </c>
      <c r="AN29" s="39" t="e">
        <f>ROUNDDOWN( MAX(1 - MIN(facs_constr_factor*#REF!,facs_constr_max) + tech_1_11*#REF! + tech_6_3_2*#REF! + tech_5_2_3*#REF!, 1-global_constr_cap) *#REF!,0)</f>
        <v>#REF!</v>
      </c>
      <c r="AO29" s="39" t="e">
        <f>ROUNDDOWN( MAX((1 - MIN(facs_constr_factor*#REF!,facs_constr_max) + tech_2_3*#REF! + tech_2_6_2*#REF! + tech_2_10*#REF! + tech_4_6*#REF! + tech_6_3*#REF! + tech_9_2*#REF! + race_construction_cost), 1-global_constr_cap) * (ROUND((#REF!-250)*1.25 + 850 + 0,0)),0)</f>
        <v>#REF!</v>
      </c>
      <c r="AP29" s="39" t="e">
        <f>ROUNDDOWN( MAX(1 - MIN(facs_constr_factor*#REF!,facs_constr_max) + tech_1_11*#REF! + tech_6_3_2*#REF! + tech_5_2_3*#REF!, 1-global_constr_cap) * ROUND((#REF!-250)*0.285 + 87.5 + 0/4.25,0),0)</f>
        <v>#REF!</v>
      </c>
      <c r="AQ29" s="3" t="e">
        <f>#REF!*#REF! +#REF! *#REF!</f>
        <v>#REF!</v>
      </c>
      <c r="AR29" s="3" t="e">
        <f>#REF!*#REF!+#REF!*#REF!</f>
        <v>#REF!</v>
      </c>
      <c r="AS29" s="39" t="e">
        <f ca="1">MIN(SUM(OFFSET(#REF!,-1,0))+SUM(#REF!)+IF(#REF!&gt;12,SUM(OFFSET(#REF!,-12,0)),0),SUM(#REF!))</f>
        <v>#REF!</v>
      </c>
      <c r="AT29" s="3" t="e">
        <f ca="1">IF(#REF!&lt;&gt;0,MAX(0, MIN(20, 20 + SUM(#REF!) - SUM(#REF!) - SUM(OFFSET(#REF!,-1,0)) - IF(#REF!&gt;12,SUM(OFFSET(#REF!,-12,0)),0) - 20*#REF!)),0)</f>
        <v>#REF!</v>
      </c>
      <c r="AU29" s="134"/>
      <c r="AV29" s="39" t="e">
        <f>ROUND((#REF!-250 - IF(#REF!&lt;&gt;0,20,0))*1.25 + 850 + 0,0)</f>
        <v>#REF!</v>
      </c>
      <c r="AW29" s="39" t="e">
        <f>ROUND((#REF!-250 - IF(#REF!&lt;&gt;0,20,0))*0.285 + 87.5 + 0/4.25,0)</f>
        <v>#REF!</v>
      </c>
      <c r="AX29" s="133"/>
      <c r="AY29" s="172" t="e">
        <f t="array" aca="1" ref="AY29" ca="1">IF(#REF!&gt;12,OFFSET(#REF!,-12,0),0)+OFFSET(#REF!,-1,0)-#REF!</f>
        <v>#REF!</v>
      </c>
      <c r="AZ29" s="173" t="e">
        <f t="array" aca="1" ref="AZ29" ca="1">IF(#REF!&gt;12,OFFSET(#REF!,-12,0),0)+OFFSET(#REF!,-1,0)-#REF!</f>
        <v>#REF!</v>
      </c>
      <c r="BA29" s="173" t="e">
        <f t="array" aca="1" ref="BA29" ca="1">IF(#REF!&gt;12,OFFSET(#REF!,-12,0),0)+OFFSET(#REF!,-1,0)-#REF!</f>
        <v>#REF!</v>
      </c>
      <c r="BB29" s="173" t="e">
        <f t="array" aca="1" ref="BB29" ca="1">IF(#REF!&gt;12,OFFSET(#REF!,-12,0),0)+OFFSET(#REF!,-1,0)-#REF!</f>
        <v>#REF!</v>
      </c>
      <c r="BC29" s="173" t="e">
        <f t="array" aca="1" ref="BC29" ca="1">IF(#REF!&gt;12,OFFSET(#REF!,-12,0),0)+OFFSET(#REF!,-1,0)-#REF!</f>
        <v>#REF!</v>
      </c>
      <c r="BD29" s="174" t="e">
        <f t="array" aca="1" ref="BD29" ca="1">IF(#REF!&gt;12,OFFSET(#REF!,-12,0),0)+OFFSET(#REF!,-1,0)-#REF!</f>
        <v>#REF!</v>
      </c>
      <c r="BE29" s="174" t="e">
        <f t="array" aca="1" ref="BE29" ca="1">IF(#REF!&gt;12,OFFSET(#REF!,-12,0),0)+OFFSET(#REF!,-1,0)-#REF!</f>
        <v>#REF!</v>
      </c>
      <c r="BF29" s="343" t="e">
        <f t="array" aca="1" ref="BF29" ca="1">IF(#REF!&gt;12,OFFSET(#REF!,-12,0),0)+OFFSET(#REF!,-1,0)-#REF!</f>
        <v>#REF!</v>
      </c>
      <c r="BG29" s="343" t="e">
        <f t="array" aca="1" ref="BG29" ca="1">IF(#REF!&gt;12,OFFSET(#REF!,-12,0),0)+OFFSET(#REF!,-1,0)-#REF!</f>
        <v>#REF!</v>
      </c>
      <c r="BH29" s="347" t="e">
        <f t="array" aca="1" ref="BH29" ca="1">IF(#REF!&gt;12,OFFSET(#REF!,-12,0),0)+OFFSET(#REF!,-1,0)-#REF!</f>
        <v>#REF!</v>
      </c>
      <c r="BI29" s="347" t="e">
        <f t="array" aca="1" ref="BI29" ca="1">IF(#REF!&gt;12,OFFSET(#REF!,-12,0),0)+OFFSET(#REF!,-1,0)-#REF!</f>
        <v>#REF!</v>
      </c>
      <c r="BJ29" s="347" t="e">
        <f t="array" aca="1" ref="BJ29" ca="1">IF(#REF!&gt;12,OFFSET(#REF!,-12,0),0)+OFFSET(#REF!,-1,0)-#REF!</f>
        <v>#REF!</v>
      </c>
      <c r="BK29" s="347" t="e">
        <f t="array" aca="1" ref="BK29" ca="1">IF(#REF!&gt;12,OFFSET(#REF!,-12,0),0)+OFFSET(#REF!,-1,0)-#REF!</f>
        <v>#REF!</v>
      </c>
      <c r="BL29" s="351" t="e">
        <f t="array" aca="1" ref="BL29" ca="1">IF(#REF!&gt;12,OFFSET(#REF!,-12,0),0)+OFFSET(#REF!,-1,0)-#REF!</f>
        <v>#REF!</v>
      </c>
      <c r="BM29" s="351" t="e">
        <f t="array" aca="1" ref="BM29" ca="1">IF(#REF!&gt;12,OFFSET(#REF!,-12,0),0)+OFFSET(#REF!,-1,0)-#REF!</f>
        <v>#REF!</v>
      </c>
      <c r="BN29" s="351" t="e">
        <f t="array" aca="1" ref="BN29" ca="1">IF(#REF!&gt;12,OFFSET(#REF!,-12,0),0)+OFFSET(#REF!,-1,0)-#REF!</f>
        <v>#REF!</v>
      </c>
      <c r="BO29" s="175" t="e">
        <f t="array" aca="1" ref="BO29" ca="1">IF(#REF!&gt;12,OFFSET(#REF!,-12,0),0)+OFFSET(#REF!,-1,0)-#REF!</f>
        <v>#REF!</v>
      </c>
      <c r="BP29" s="175" t="e">
        <f t="array" aca="1" ref="BP29" ca="1">IF(#REF!&gt;12,OFFSET(#REF!,-12,0),0)+OFFSET(#REF!,-1,0)-#REF!</f>
        <v>#REF!</v>
      </c>
      <c r="BQ29" s="176" t="e">
        <f t="array" aca="1" ref="BQ29" ca="1">IF(#REF!&gt;12,OFFSET(#REF!,-12,0),0)+OFFSET(#REF!,-1,0)-#REF!</f>
        <v>#REF!</v>
      </c>
      <c r="BR29" s="134"/>
      <c r="BS29" s="133"/>
      <c r="BT29" s="39" t="e">
        <f>#REF!</f>
        <v>#REF!</v>
      </c>
      <c r="BU29" s="147" t="e">
        <f>#REF!</f>
        <v>#REF!</v>
      </c>
      <c r="BV29" s="134"/>
      <c r="BW29" s="164"/>
      <c r="BX29" s="164"/>
      <c r="BY29" s="164"/>
      <c r="BZ29" s="164"/>
      <c r="CA29" s="164"/>
      <c r="CB29" s="164"/>
      <c r="CC29" s="164"/>
      <c r="CD29" s="164"/>
      <c r="CE29" s="164"/>
      <c r="CF29" s="164"/>
      <c r="CG29" s="164"/>
      <c r="CH29" s="164"/>
      <c r="CI29" s="164"/>
      <c r="CJ29" s="164"/>
      <c r="CK29" s="164"/>
      <c r="CL29" s="164"/>
      <c r="CM29" s="164"/>
      <c r="CN29" s="164"/>
      <c r="CO29" s="164"/>
      <c r="CP29" s="134"/>
      <c r="CQ29" s="165" t="e">
        <f ca="1">-SUM(#REF!)+SUM(#REF!)+Rezone!L29+IF("Ch_"&amp; home_land=#REF!,#REF!)+IF(#REF!&gt;12,OFFSET(#REF!,-12,0),0)</f>
        <v>#REF!</v>
      </c>
      <c r="CR29" s="166" t="e">
        <f ca="1">-SUM(#REF!)+SUM(#REF!) +Rezone!M29 + IF("Ch_"&amp; home_land=#REF!,#REF!)+IF(#REF!&gt;12,OFFSET(#REF!,-12,0),0)</f>
        <v>#REF!</v>
      </c>
      <c r="CS29" s="341" t="e">
        <f ca="1">-SUM(#REF!)+SUM(#REF!) +Rezone!N29 + IF("Ch_"&amp; home_land=#REF!,#REF!)+IF(#REF!&gt;12,OFFSET(#REF!,-12,0),0)</f>
        <v>#REF!</v>
      </c>
      <c r="CT29" s="167" t="e">
        <f ca="1">-SUM(#REF!)+SUM(#REF!) +Rezone!O29 + IF("Ch_" &amp; home_land=#REF!,#REF!)+IF(#REF!&gt;12,OFFSET(#REF!,-12,0),0)</f>
        <v>#REF!</v>
      </c>
      <c r="CU29" s="168" t="e">
        <f ca="1">-SUM(#REF!)+SUM(#REF!) +Rezone!P29 + IF("Ch_" &amp; home_land=#REF!,#REF!)+IF(#REF!&gt;12,OFFSET(#REF!,-12,0),0)</f>
        <v>#REF!</v>
      </c>
      <c r="CV29" s="169" t="e">
        <f ca="1">- SUM(#REF!)+SUM(#REF!) +Rezone!Q29 + IF("Ch_" &amp; home_land=#REF!,#REF!)+IF(#REF!&gt;12,OFFSET(#REF!,-12,0),0)</f>
        <v>#REF!</v>
      </c>
      <c r="CW29" s="170" t="e">
        <f ca="1">-#REF!+#REF! +Rezone!R29 + IF("Ch_" &amp; home_land=#REF!,#REF!)+IF(#REF!&gt;12,OFFSET(#REF!,-12,0),0)</f>
        <v>#REF!</v>
      </c>
      <c r="CX29" s="3" t="e">
        <f>IF(Explore!S29=1,20) -#REF! +#REF!</f>
        <v>#REF!</v>
      </c>
      <c r="CY29" s="134"/>
      <c r="CZ29" s="39" t="e">
        <f t="shared" ca="1" si="3"/>
        <v>#REF!</v>
      </c>
      <c r="DA29" s="39" t="e">
        <f t="shared" ca="1" si="4"/>
        <v>#REF!</v>
      </c>
      <c r="DB29" s="3" t="e">
        <f t="shared" ca="1" si="5"/>
        <v>#REF!</v>
      </c>
      <c r="DC29" s="39" t="e">
        <f t="shared" ca="1" si="6"/>
        <v>#REF!</v>
      </c>
      <c r="DD29" s="39" t="e">
        <f t="shared" ca="1" si="7"/>
        <v>#REF!</v>
      </c>
      <c r="DE29" s="3" t="e">
        <f t="shared" ca="1" si="8"/>
        <v>#REF!</v>
      </c>
      <c r="DF29" s="39" t="e">
        <f t="shared" ca="1" si="9"/>
        <v>#REF!</v>
      </c>
      <c r="DG29" s="39" t="e">
        <f t="array" ref="DG29">INDEX(#REF!,ROW()-ROW(#REF!),MATCH("Total "&amp;home_land,#REF!,0))+#REF!</f>
        <v>#REF!</v>
      </c>
      <c r="DH29" s="3" t="e">
        <f t="shared" ca="1" si="10"/>
        <v>#REF!</v>
      </c>
      <c r="DI29" s="3" t="e">
        <f t="shared" ca="1" si="0"/>
        <v>#REF!</v>
      </c>
      <c r="DJ29" s="3" t="e">
        <f t="shared" ca="1" si="1"/>
        <v>#REF!</v>
      </c>
    </row>
    <row r="30" spans="1:114" x14ac:dyDescent="0.25">
      <c r="A30" s="160" t="e">
        <f>#REF!</f>
        <v>#REF!</v>
      </c>
      <c r="B30" s="161" t="e">
        <f>SUM(#REF!)</f>
        <v>#REF!</v>
      </c>
      <c r="C30" s="162" t="e">
        <f>SUM(#REF!)</f>
        <v>#REF!</v>
      </c>
      <c r="D30" s="162">
        <f t="shared" si="2"/>
        <v>0</v>
      </c>
      <c r="E30" s="163"/>
      <c r="F30" s="61" t="e">
        <f>#REF!+#REF!+#REF!</f>
        <v>#REF!</v>
      </c>
      <c r="G30" s="171" t="e">
        <f ca="1">OFFSET(#REF!,-1,0)+#REF!</f>
        <v>#REF!</v>
      </c>
      <c r="H30" s="166" t="e">
        <f ca="1">OFFSET(#REF!,-1,0)+#REF!</f>
        <v>#REF!</v>
      </c>
      <c r="I30" s="341" t="e">
        <f ca="1">OFFSET(#REF!,-1,0)+#REF!</f>
        <v>#REF!</v>
      </c>
      <c r="J30" s="345" t="e">
        <f ca="1">OFFSET(#REF!,-1,0)+#REF!</f>
        <v>#REF!</v>
      </c>
      <c r="K30" s="349" t="e">
        <f ca="1">OFFSET(#REF!,-1,0)+#REF!</f>
        <v>#REF!</v>
      </c>
      <c r="L30" s="169" t="e">
        <f ca="1">OFFSET(#REF!,-1,0)+#REF!</f>
        <v>#REF!</v>
      </c>
      <c r="M30" s="170" t="e">
        <f ca="1">OFFSET(#REF!,-1,0)+#REF!</f>
        <v>#REF!</v>
      </c>
      <c r="N30" s="339" t="e">
        <f>#REF!</f>
        <v>#REF!</v>
      </c>
      <c r="O30" s="164"/>
      <c r="P30" s="164"/>
      <c r="Q30" s="164"/>
      <c r="R30" s="164"/>
      <c r="S30" s="164"/>
      <c r="T30" s="164"/>
      <c r="U30" s="164"/>
      <c r="V30" s="164"/>
      <c r="W30" s="164"/>
      <c r="X30" s="164"/>
      <c r="Y30" s="164"/>
      <c r="Z30" s="164"/>
      <c r="AA30" s="164"/>
      <c r="AB30" s="164"/>
      <c r="AC30" s="164"/>
      <c r="AD30" s="164"/>
      <c r="AE30" s="164"/>
      <c r="AF30" s="164"/>
      <c r="AG30" s="164"/>
      <c r="AH30" s="53" t="e">
        <f>#REF!</f>
        <v>#REF!</v>
      </c>
      <c r="AI30" s="132" t="e">
        <f>MIN(25%,(#REF!+#REF!)/(#REF!-#REF!*20))</f>
        <v>#REF!</v>
      </c>
      <c r="AJ30" s="132" t="e">
        <f>MIN(25%,(#REF!+#REF!)/#REF!)</f>
        <v>#REF!</v>
      </c>
      <c r="AK30" s="39" t="e">
        <f>#REF!</f>
        <v>#REF!</v>
      </c>
      <c r="AL30" s="39" t="e">
        <f>#REF!</f>
        <v>#REF!</v>
      </c>
      <c r="AM30" s="39" t="e">
        <f>ROUNDDOWN( MAX((1 - MIN(facs_constr_factor*#REF!,facs_constr_max) + tech_2_3*#REF! + tech_2_6_2*#REF! + tech_2_10*#REF! + tech_4_6*#REF! + tech_6_3*#REF! + tech_9_2*#REF! + race_construction_cost), 1-global_constr_cap) *#REF!,0)</f>
        <v>#REF!</v>
      </c>
      <c r="AN30" s="39" t="e">
        <f>ROUNDDOWN( MAX(1 - MIN(facs_constr_factor*#REF!,facs_constr_max) + tech_1_11*#REF! + tech_6_3_2*#REF! + tech_5_2_3*#REF!, 1-global_constr_cap) *#REF!,0)</f>
        <v>#REF!</v>
      </c>
      <c r="AO30" s="39" t="e">
        <f>ROUNDDOWN( MAX((1 - MIN(facs_constr_factor*#REF!,facs_constr_max) + tech_2_3*#REF! + tech_2_6_2*#REF! + tech_2_10*#REF! + tech_4_6*#REF! + tech_6_3*#REF! + tech_9_2*#REF! + race_construction_cost), 1-global_constr_cap) * (ROUND((#REF!-250)*1.25 + 850 + 0,0)),0)</f>
        <v>#REF!</v>
      </c>
      <c r="AP30" s="39" t="e">
        <f>ROUNDDOWN( MAX(1 - MIN(facs_constr_factor*#REF!,facs_constr_max) + tech_1_11*#REF! + tech_6_3_2*#REF! + tech_5_2_3*#REF!, 1-global_constr_cap) * ROUND((#REF!-250)*0.285 + 87.5 + 0/4.25,0),0)</f>
        <v>#REF!</v>
      </c>
      <c r="AQ30" s="3" t="e">
        <f>#REF!*#REF! +#REF! *#REF!</f>
        <v>#REF!</v>
      </c>
      <c r="AR30" s="3" t="e">
        <f>#REF!*#REF!+#REF!*#REF!</f>
        <v>#REF!</v>
      </c>
      <c r="AS30" s="39" t="e">
        <f ca="1">MIN(SUM(OFFSET(#REF!,-1,0))+SUM(#REF!)+IF(#REF!&gt;12,SUM(OFFSET(#REF!,-12,0)),0),SUM(#REF!))</f>
        <v>#REF!</v>
      </c>
      <c r="AT30" s="3" t="e">
        <f ca="1">IF(#REF!&lt;&gt;0,MAX(0, MIN(20, 20 + SUM(#REF!) - SUM(#REF!) - SUM(OFFSET(#REF!,-1,0)) - IF(#REF!&gt;12,SUM(OFFSET(#REF!,-12,0)),0) - 20*#REF!)),0)</f>
        <v>#REF!</v>
      </c>
      <c r="AU30" s="134"/>
      <c r="AV30" s="39" t="e">
        <f>ROUND((#REF!-250 - IF(#REF!&lt;&gt;0,20,0))*1.25 + 850 + 0,0)</f>
        <v>#REF!</v>
      </c>
      <c r="AW30" s="39" t="e">
        <f>ROUND((#REF!-250 - IF(#REF!&lt;&gt;0,20,0))*0.285 + 87.5 + 0/4.25,0)</f>
        <v>#REF!</v>
      </c>
      <c r="AX30" s="133"/>
      <c r="AY30" s="172" t="e">
        <f t="array" aca="1" ref="AY30" ca="1">IF(#REF!&gt;12,OFFSET(#REF!,-12,0),0)+OFFSET(#REF!,-1,0)-#REF!</f>
        <v>#REF!</v>
      </c>
      <c r="AZ30" s="173" t="e">
        <f t="array" aca="1" ref="AZ30" ca="1">IF(#REF!&gt;12,OFFSET(#REF!,-12,0),0)+OFFSET(#REF!,-1,0)-#REF!</f>
        <v>#REF!</v>
      </c>
      <c r="BA30" s="173" t="e">
        <f t="array" aca="1" ref="BA30" ca="1">IF(#REF!&gt;12,OFFSET(#REF!,-12,0),0)+OFFSET(#REF!,-1,0)-#REF!</f>
        <v>#REF!</v>
      </c>
      <c r="BB30" s="173" t="e">
        <f t="array" aca="1" ref="BB30" ca="1">IF(#REF!&gt;12,OFFSET(#REF!,-12,0),0)+OFFSET(#REF!,-1,0)-#REF!</f>
        <v>#REF!</v>
      </c>
      <c r="BC30" s="173" t="e">
        <f t="array" aca="1" ref="BC30" ca="1">IF(#REF!&gt;12,OFFSET(#REF!,-12,0),0)+OFFSET(#REF!,-1,0)-#REF!</f>
        <v>#REF!</v>
      </c>
      <c r="BD30" s="174" t="e">
        <f t="array" aca="1" ref="BD30" ca="1">IF(#REF!&gt;12,OFFSET(#REF!,-12,0),0)+OFFSET(#REF!,-1,0)-#REF!</f>
        <v>#REF!</v>
      </c>
      <c r="BE30" s="174" t="e">
        <f t="array" aca="1" ref="BE30" ca="1">IF(#REF!&gt;12,OFFSET(#REF!,-12,0),0)+OFFSET(#REF!,-1,0)-#REF!</f>
        <v>#REF!</v>
      </c>
      <c r="BF30" s="343" t="e">
        <f t="array" aca="1" ref="BF30" ca="1">IF(#REF!&gt;12,OFFSET(#REF!,-12,0),0)+OFFSET(#REF!,-1,0)-#REF!</f>
        <v>#REF!</v>
      </c>
      <c r="BG30" s="343" t="e">
        <f t="array" aca="1" ref="BG30" ca="1">IF(#REF!&gt;12,OFFSET(#REF!,-12,0),0)+OFFSET(#REF!,-1,0)-#REF!</f>
        <v>#REF!</v>
      </c>
      <c r="BH30" s="347" t="e">
        <f t="array" aca="1" ref="BH30" ca="1">IF(#REF!&gt;12,OFFSET(#REF!,-12,0),0)+OFFSET(#REF!,-1,0)-#REF!</f>
        <v>#REF!</v>
      </c>
      <c r="BI30" s="347" t="e">
        <f t="array" aca="1" ref="BI30" ca="1">IF(#REF!&gt;12,OFFSET(#REF!,-12,0),0)+OFFSET(#REF!,-1,0)-#REF!</f>
        <v>#REF!</v>
      </c>
      <c r="BJ30" s="347" t="e">
        <f t="array" aca="1" ref="BJ30" ca="1">IF(#REF!&gt;12,OFFSET(#REF!,-12,0),0)+OFFSET(#REF!,-1,0)-#REF!</f>
        <v>#REF!</v>
      </c>
      <c r="BK30" s="347" t="e">
        <f t="array" aca="1" ref="BK30" ca="1">IF(#REF!&gt;12,OFFSET(#REF!,-12,0),0)+OFFSET(#REF!,-1,0)-#REF!</f>
        <v>#REF!</v>
      </c>
      <c r="BL30" s="351" t="e">
        <f t="array" aca="1" ref="BL30" ca="1">IF(#REF!&gt;12,OFFSET(#REF!,-12,0),0)+OFFSET(#REF!,-1,0)-#REF!</f>
        <v>#REF!</v>
      </c>
      <c r="BM30" s="351" t="e">
        <f t="array" aca="1" ref="BM30" ca="1">IF(#REF!&gt;12,OFFSET(#REF!,-12,0),0)+OFFSET(#REF!,-1,0)-#REF!</f>
        <v>#REF!</v>
      </c>
      <c r="BN30" s="351" t="e">
        <f t="array" aca="1" ref="BN30" ca="1">IF(#REF!&gt;12,OFFSET(#REF!,-12,0),0)+OFFSET(#REF!,-1,0)-#REF!</f>
        <v>#REF!</v>
      </c>
      <c r="BO30" s="175" t="e">
        <f t="array" aca="1" ref="BO30" ca="1">IF(#REF!&gt;12,OFFSET(#REF!,-12,0),0)+OFFSET(#REF!,-1,0)-#REF!</f>
        <v>#REF!</v>
      </c>
      <c r="BP30" s="175" t="e">
        <f t="array" aca="1" ref="BP30" ca="1">IF(#REF!&gt;12,OFFSET(#REF!,-12,0),0)+OFFSET(#REF!,-1,0)-#REF!</f>
        <v>#REF!</v>
      </c>
      <c r="BQ30" s="176" t="e">
        <f t="array" aca="1" ref="BQ30" ca="1">IF(#REF!&gt;12,OFFSET(#REF!,-12,0),0)+OFFSET(#REF!,-1,0)-#REF!</f>
        <v>#REF!</v>
      </c>
      <c r="BR30" s="134"/>
      <c r="BS30" s="133"/>
      <c r="BT30" s="39" t="e">
        <f>#REF!</f>
        <v>#REF!</v>
      </c>
      <c r="BU30" s="147" t="e">
        <f>#REF!</f>
        <v>#REF!</v>
      </c>
      <c r="BV30" s="134"/>
      <c r="BW30" s="164"/>
      <c r="BX30" s="164"/>
      <c r="BY30" s="164"/>
      <c r="BZ30" s="164"/>
      <c r="CA30" s="164"/>
      <c r="CB30" s="164"/>
      <c r="CC30" s="164"/>
      <c r="CD30" s="164"/>
      <c r="CE30" s="164"/>
      <c r="CF30" s="164"/>
      <c r="CG30" s="164"/>
      <c r="CH30" s="164"/>
      <c r="CI30" s="164"/>
      <c r="CJ30" s="164"/>
      <c r="CK30" s="164"/>
      <c r="CL30" s="164"/>
      <c r="CM30" s="164"/>
      <c r="CN30" s="164"/>
      <c r="CO30" s="164"/>
      <c r="CP30" s="134"/>
      <c r="CQ30" s="165" t="e">
        <f ca="1">-SUM(#REF!)+SUM(#REF!)+Rezone!L30+IF("Ch_"&amp; home_land=#REF!,#REF!)+IF(#REF!&gt;12,OFFSET(#REF!,-12,0),0)</f>
        <v>#REF!</v>
      </c>
      <c r="CR30" s="166" t="e">
        <f ca="1">-SUM(#REF!)+SUM(#REF!) +Rezone!M30 + IF("Ch_"&amp; home_land=#REF!,#REF!)+IF(#REF!&gt;12,OFFSET(#REF!,-12,0),0)</f>
        <v>#REF!</v>
      </c>
      <c r="CS30" s="341" t="e">
        <f ca="1">-SUM(#REF!)+SUM(#REF!) +Rezone!N30 + IF("Ch_"&amp; home_land=#REF!,#REF!)+IF(#REF!&gt;12,OFFSET(#REF!,-12,0),0)</f>
        <v>#REF!</v>
      </c>
      <c r="CT30" s="167" t="e">
        <f ca="1">-SUM(#REF!)+SUM(#REF!) +Rezone!O30 + IF("Ch_" &amp; home_land=#REF!,#REF!)+IF(#REF!&gt;12,OFFSET(#REF!,-12,0),0)</f>
        <v>#REF!</v>
      </c>
      <c r="CU30" s="168" t="e">
        <f ca="1">-SUM(#REF!)+SUM(#REF!) +Rezone!P30 + IF("Ch_" &amp; home_land=#REF!,#REF!)+IF(#REF!&gt;12,OFFSET(#REF!,-12,0),0)</f>
        <v>#REF!</v>
      </c>
      <c r="CV30" s="169" t="e">
        <f ca="1">- SUM(#REF!)+SUM(#REF!) +Rezone!Q30 + IF("Ch_" &amp; home_land=#REF!,#REF!)+IF(#REF!&gt;12,OFFSET(#REF!,-12,0),0)</f>
        <v>#REF!</v>
      </c>
      <c r="CW30" s="170" t="e">
        <f ca="1">-#REF!+#REF! +Rezone!R30 + IF("Ch_" &amp; home_land=#REF!,#REF!)+IF(#REF!&gt;12,OFFSET(#REF!,-12,0),0)</f>
        <v>#REF!</v>
      </c>
      <c r="CX30" s="3" t="e">
        <f>IF(Explore!S30=1,20) -#REF! +#REF!</f>
        <v>#REF!</v>
      </c>
      <c r="CY30" s="134"/>
      <c r="CZ30" s="39" t="e">
        <f t="shared" ca="1" si="3"/>
        <v>#REF!</v>
      </c>
      <c r="DA30" s="39" t="e">
        <f t="shared" ca="1" si="4"/>
        <v>#REF!</v>
      </c>
      <c r="DB30" s="3" t="e">
        <f t="shared" ca="1" si="5"/>
        <v>#REF!</v>
      </c>
      <c r="DC30" s="39" t="e">
        <f t="shared" ca="1" si="6"/>
        <v>#REF!</v>
      </c>
      <c r="DD30" s="39" t="e">
        <f t="shared" ca="1" si="7"/>
        <v>#REF!</v>
      </c>
      <c r="DE30" s="3" t="e">
        <f t="shared" ca="1" si="8"/>
        <v>#REF!</v>
      </c>
      <c r="DF30" s="39" t="e">
        <f t="shared" ca="1" si="9"/>
        <v>#REF!</v>
      </c>
      <c r="DG30" s="39" t="e">
        <f t="array" ref="DG30">INDEX(#REF!,ROW()-ROW(#REF!),MATCH("Total "&amp;home_land,#REF!,0))+#REF!</f>
        <v>#REF!</v>
      </c>
      <c r="DH30" s="3" t="e">
        <f t="shared" ca="1" si="10"/>
        <v>#REF!</v>
      </c>
      <c r="DI30" s="3" t="e">
        <f t="shared" ca="1" si="0"/>
        <v>#REF!</v>
      </c>
      <c r="DJ30" s="3" t="e">
        <f t="shared" ca="1" si="1"/>
        <v>#REF!</v>
      </c>
    </row>
    <row r="31" spans="1:114" x14ac:dyDescent="0.25">
      <c r="A31" s="160" t="e">
        <f>#REF!</f>
        <v>#REF!</v>
      </c>
      <c r="B31" s="161" t="e">
        <f>SUM(#REF!)</f>
        <v>#REF!</v>
      </c>
      <c r="C31" s="162" t="e">
        <f>SUM(#REF!)</f>
        <v>#REF!</v>
      </c>
      <c r="D31" s="162">
        <f t="shared" si="2"/>
        <v>0</v>
      </c>
      <c r="E31" s="163"/>
      <c r="F31" s="61" t="e">
        <f>#REF!+#REF!+#REF!</f>
        <v>#REF!</v>
      </c>
      <c r="G31" s="171" t="e">
        <f ca="1">OFFSET(#REF!,-1,0)+#REF!</f>
        <v>#REF!</v>
      </c>
      <c r="H31" s="166" t="e">
        <f ca="1">OFFSET(#REF!,-1,0)+#REF!</f>
        <v>#REF!</v>
      </c>
      <c r="I31" s="341" t="e">
        <f ca="1">OFFSET(#REF!,-1,0)+#REF!</f>
        <v>#REF!</v>
      </c>
      <c r="J31" s="345" t="e">
        <f ca="1">OFFSET(#REF!,-1,0)+#REF!</f>
        <v>#REF!</v>
      </c>
      <c r="K31" s="349" t="e">
        <f ca="1">OFFSET(#REF!,-1,0)+#REF!</f>
        <v>#REF!</v>
      </c>
      <c r="L31" s="169" t="e">
        <f ca="1">OFFSET(#REF!,-1,0)+#REF!</f>
        <v>#REF!</v>
      </c>
      <c r="M31" s="170" t="e">
        <f ca="1">OFFSET(#REF!,-1,0)+#REF!</f>
        <v>#REF!</v>
      </c>
      <c r="N31" s="339" t="e">
        <f>#REF!</f>
        <v>#REF!</v>
      </c>
      <c r="O31" s="164"/>
      <c r="P31" s="146"/>
      <c r="Q31" s="164"/>
      <c r="R31" s="164"/>
      <c r="S31" s="164"/>
      <c r="T31" s="164"/>
      <c r="U31" s="164"/>
      <c r="V31" s="164"/>
      <c r="W31" s="164"/>
      <c r="X31" s="164"/>
      <c r="Y31" s="164"/>
      <c r="Z31" s="164"/>
      <c r="AA31" s="164"/>
      <c r="AB31" s="164"/>
      <c r="AC31" s="164"/>
      <c r="AD31" s="164"/>
      <c r="AE31" s="164"/>
      <c r="AF31" s="164"/>
      <c r="AG31" s="164"/>
      <c r="AH31" s="53" t="e">
        <f>#REF!</f>
        <v>#REF!</v>
      </c>
      <c r="AI31" s="132" t="e">
        <f>MIN(25%,(#REF!+#REF!)/(#REF!-#REF!*20))</f>
        <v>#REF!</v>
      </c>
      <c r="AJ31" s="132" t="e">
        <f>MIN(25%,(#REF!+#REF!)/#REF!)</f>
        <v>#REF!</v>
      </c>
      <c r="AK31" s="39" t="e">
        <f>#REF!</f>
        <v>#REF!</v>
      </c>
      <c r="AL31" s="39" t="e">
        <f>#REF!</f>
        <v>#REF!</v>
      </c>
      <c r="AM31" s="39" t="e">
        <f>ROUNDDOWN( MAX((1 - MIN(facs_constr_factor*#REF!,facs_constr_max) + tech_2_3*#REF! + tech_2_6_2*#REF! + tech_2_10*#REF! + tech_4_6*#REF! + tech_6_3*#REF! + tech_9_2*#REF! + race_construction_cost), 1-global_constr_cap) *#REF!,0)</f>
        <v>#REF!</v>
      </c>
      <c r="AN31" s="39" t="e">
        <f>ROUNDDOWN( MAX(1 - MIN(facs_constr_factor*#REF!,facs_constr_max) + tech_1_11*#REF! + tech_6_3_2*#REF! + tech_5_2_3*#REF!, 1-global_constr_cap) *#REF!,0)</f>
        <v>#REF!</v>
      </c>
      <c r="AO31" s="39" t="e">
        <f>ROUNDDOWN( MAX((1 - MIN(facs_constr_factor*#REF!,facs_constr_max) + tech_2_3*#REF! + tech_2_6_2*#REF! + tech_2_10*#REF! + tech_4_6*#REF! + tech_6_3*#REF! + tech_9_2*#REF! + race_construction_cost), 1-global_constr_cap) * (ROUND((#REF!-250)*1.25 + 850 + 0,0)),0)</f>
        <v>#REF!</v>
      </c>
      <c r="AP31" s="39" t="e">
        <f>ROUNDDOWN( MAX(1 - MIN(facs_constr_factor*#REF!,facs_constr_max) + tech_1_11*#REF! + tech_6_3_2*#REF! + tech_5_2_3*#REF!, 1-global_constr_cap) * ROUND((#REF!-250)*0.285 + 87.5 + 0/4.25,0),0)</f>
        <v>#REF!</v>
      </c>
      <c r="AQ31" s="3" t="e">
        <f>#REF!*#REF! +#REF! *#REF!</f>
        <v>#REF!</v>
      </c>
      <c r="AR31" s="3" t="e">
        <f>#REF!*#REF!+#REF!*#REF!</f>
        <v>#REF!</v>
      </c>
      <c r="AS31" s="39" t="e">
        <f ca="1">MIN(SUM(OFFSET(#REF!,-1,0))+SUM(#REF!)+IF(#REF!&gt;12,SUM(OFFSET(#REF!,-12,0)),0),SUM(#REF!))</f>
        <v>#REF!</v>
      </c>
      <c r="AT31" s="3" t="e">
        <f ca="1">IF(#REF!&lt;&gt;0,MAX(0, MIN(20, 20 + SUM(#REF!) - SUM(#REF!) - SUM(OFFSET(#REF!,-1,0)) - IF(#REF!&gt;12,SUM(OFFSET(#REF!,-12,0)),0) - 20*#REF!)),0)</f>
        <v>#REF!</v>
      </c>
      <c r="AU31" s="134"/>
      <c r="AV31" s="39" t="e">
        <f>ROUND((#REF!-250 - IF(#REF!&lt;&gt;0,20,0))*1.25 + 850 + 0,0)</f>
        <v>#REF!</v>
      </c>
      <c r="AW31" s="39" t="e">
        <f>ROUND((#REF!-250 - IF(#REF!&lt;&gt;0,20,0))*0.285 + 87.5 + 0/4.25,0)</f>
        <v>#REF!</v>
      </c>
      <c r="AX31" s="133"/>
      <c r="AY31" s="172" t="e">
        <f t="array" aca="1" ref="AY31" ca="1">IF(#REF!&gt;12,OFFSET(#REF!,-12,0),0)+OFFSET(#REF!,-1,0)-#REF!</f>
        <v>#REF!</v>
      </c>
      <c r="AZ31" s="173" t="e">
        <f t="array" aca="1" ref="AZ31" ca="1">IF(#REF!&gt;12,OFFSET(#REF!,-12,0),0)+OFFSET(#REF!,-1,0)-#REF!</f>
        <v>#REF!</v>
      </c>
      <c r="BA31" s="173" t="e">
        <f t="array" aca="1" ref="BA31" ca="1">IF(#REF!&gt;12,OFFSET(#REF!,-12,0),0)+OFFSET(#REF!,-1,0)-#REF!</f>
        <v>#REF!</v>
      </c>
      <c r="BB31" s="173" t="e">
        <f t="array" aca="1" ref="BB31" ca="1">IF(#REF!&gt;12,OFFSET(#REF!,-12,0),0)+OFFSET(#REF!,-1,0)-#REF!</f>
        <v>#REF!</v>
      </c>
      <c r="BC31" s="173" t="e">
        <f t="array" aca="1" ref="BC31" ca="1">IF(#REF!&gt;12,OFFSET(#REF!,-12,0),0)+OFFSET(#REF!,-1,0)-#REF!</f>
        <v>#REF!</v>
      </c>
      <c r="BD31" s="174" t="e">
        <f t="array" aca="1" ref="BD31" ca="1">IF(#REF!&gt;12,OFFSET(#REF!,-12,0),0)+OFFSET(#REF!,-1,0)-#REF!</f>
        <v>#REF!</v>
      </c>
      <c r="BE31" s="174" t="e">
        <f t="array" aca="1" ref="BE31" ca="1">IF(#REF!&gt;12,OFFSET(#REF!,-12,0),0)+OFFSET(#REF!,-1,0)-#REF!</f>
        <v>#REF!</v>
      </c>
      <c r="BF31" s="343" t="e">
        <f t="array" aca="1" ref="BF31" ca="1">IF(#REF!&gt;12,OFFSET(#REF!,-12,0),0)+OFFSET(#REF!,-1,0)-#REF!</f>
        <v>#REF!</v>
      </c>
      <c r="BG31" s="343" t="e">
        <f t="array" aca="1" ref="BG31" ca="1">IF(#REF!&gt;12,OFFSET(#REF!,-12,0),0)+OFFSET(#REF!,-1,0)-#REF!</f>
        <v>#REF!</v>
      </c>
      <c r="BH31" s="347" t="e">
        <f t="array" aca="1" ref="BH31" ca="1">IF(#REF!&gt;12,OFFSET(#REF!,-12,0),0)+OFFSET(#REF!,-1,0)-#REF!</f>
        <v>#REF!</v>
      </c>
      <c r="BI31" s="347" t="e">
        <f t="array" aca="1" ref="BI31" ca="1">IF(#REF!&gt;12,OFFSET(#REF!,-12,0),0)+OFFSET(#REF!,-1,0)-#REF!</f>
        <v>#REF!</v>
      </c>
      <c r="BJ31" s="347" t="e">
        <f t="array" aca="1" ref="BJ31" ca="1">IF(#REF!&gt;12,OFFSET(#REF!,-12,0),0)+OFFSET(#REF!,-1,0)-#REF!</f>
        <v>#REF!</v>
      </c>
      <c r="BK31" s="347" t="e">
        <f t="array" aca="1" ref="BK31" ca="1">IF(#REF!&gt;12,OFFSET(#REF!,-12,0),0)+OFFSET(#REF!,-1,0)-#REF!</f>
        <v>#REF!</v>
      </c>
      <c r="BL31" s="351" t="e">
        <f t="array" aca="1" ref="BL31" ca="1">IF(#REF!&gt;12,OFFSET(#REF!,-12,0),0)+OFFSET(#REF!,-1,0)-#REF!</f>
        <v>#REF!</v>
      </c>
      <c r="BM31" s="351" t="e">
        <f t="array" aca="1" ref="BM31" ca="1">IF(#REF!&gt;12,OFFSET(#REF!,-12,0),0)+OFFSET(#REF!,-1,0)-#REF!</f>
        <v>#REF!</v>
      </c>
      <c r="BN31" s="351" t="e">
        <f t="array" aca="1" ref="BN31" ca="1">IF(#REF!&gt;12,OFFSET(#REF!,-12,0),0)+OFFSET(#REF!,-1,0)-#REF!</f>
        <v>#REF!</v>
      </c>
      <c r="BO31" s="175" t="e">
        <f t="array" aca="1" ref="BO31" ca="1">IF(#REF!&gt;12,OFFSET(#REF!,-12,0),0)+OFFSET(#REF!,-1,0)-#REF!</f>
        <v>#REF!</v>
      </c>
      <c r="BP31" s="175" t="e">
        <f t="array" aca="1" ref="BP31" ca="1">IF(#REF!&gt;12,OFFSET(#REF!,-12,0),0)+OFFSET(#REF!,-1,0)-#REF!</f>
        <v>#REF!</v>
      </c>
      <c r="BQ31" s="176" t="e">
        <f t="array" aca="1" ref="BQ31" ca="1">IF(#REF!&gt;12,OFFSET(#REF!,-12,0),0)+OFFSET(#REF!,-1,0)-#REF!</f>
        <v>#REF!</v>
      </c>
      <c r="BR31" s="134"/>
      <c r="BS31" s="133"/>
      <c r="BT31" s="39" t="e">
        <f>#REF!</f>
        <v>#REF!</v>
      </c>
      <c r="BU31" s="147" t="e">
        <f>#REF!</f>
        <v>#REF!</v>
      </c>
      <c r="BV31" s="134"/>
      <c r="BW31" s="164"/>
      <c r="BX31" s="164"/>
      <c r="BY31" s="164"/>
      <c r="BZ31" s="164"/>
      <c r="CA31" s="164"/>
      <c r="CB31" s="164"/>
      <c r="CC31" s="164"/>
      <c r="CD31" s="164"/>
      <c r="CE31" s="164"/>
      <c r="CF31" s="164"/>
      <c r="CG31" s="164"/>
      <c r="CH31" s="164"/>
      <c r="CI31" s="164"/>
      <c r="CJ31" s="164"/>
      <c r="CK31" s="164"/>
      <c r="CL31" s="164"/>
      <c r="CM31" s="164"/>
      <c r="CN31" s="164"/>
      <c r="CO31" s="164"/>
      <c r="CP31" s="134"/>
      <c r="CQ31" s="165" t="e">
        <f ca="1">-SUM(#REF!)+SUM(#REF!)+Rezone!L31+IF("Ch_"&amp; home_land=#REF!,#REF!)+IF(#REF!&gt;12,OFFSET(#REF!,-12,0),0)</f>
        <v>#REF!</v>
      </c>
      <c r="CR31" s="166" t="e">
        <f ca="1">-SUM(#REF!)+SUM(#REF!) +Rezone!M31 + IF("Ch_"&amp; home_land=#REF!,#REF!)+IF(#REF!&gt;12,OFFSET(#REF!,-12,0),0)</f>
        <v>#REF!</v>
      </c>
      <c r="CS31" s="341" t="e">
        <f ca="1">-SUM(#REF!)+SUM(#REF!) +Rezone!N31 + IF("Ch_"&amp; home_land=#REF!,#REF!)+IF(#REF!&gt;12,OFFSET(#REF!,-12,0),0)</f>
        <v>#REF!</v>
      </c>
      <c r="CT31" s="167" t="e">
        <f ca="1">-SUM(#REF!)+SUM(#REF!) +Rezone!O31 + IF("Ch_" &amp; home_land=#REF!,#REF!)+IF(#REF!&gt;12,OFFSET(#REF!,-12,0),0)</f>
        <v>#REF!</v>
      </c>
      <c r="CU31" s="168" t="e">
        <f ca="1">-SUM(#REF!)+SUM(#REF!) +Rezone!P31 + IF("Ch_" &amp; home_land=#REF!,#REF!)+IF(#REF!&gt;12,OFFSET(#REF!,-12,0),0)</f>
        <v>#REF!</v>
      </c>
      <c r="CV31" s="169" t="e">
        <f ca="1">- SUM(#REF!)+SUM(#REF!) +Rezone!Q31 + IF("Ch_" &amp; home_land=#REF!,#REF!)+IF(#REF!&gt;12,OFFSET(#REF!,-12,0),0)</f>
        <v>#REF!</v>
      </c>
      <c r="CW31" s="170" t="e">
        <f ca="1">-#REF!+#REF! +Rezone!R31 + IF("Ch_" &amp; home_land=#REF!,#REF!)+IF(#REF!&gt;12,OFFSET(#REF!,-12,0),0)</f>
        <v>#REF!</v>
      </c>
      <c r="CX31" s="3" t="e">
        <f>IF(Explore!S31=1,20) -#REF! +#REF!</f>
        <v>#REF!</v>
      </c>
      <c r="CY31" s="134"/>
      <c r="CZ31" s="39" t="e">
        <f t="shared" ca="1" si="3"/>
        <v>#REF!</v>
      </c>
      <c r="DA31" s="39" t="e">
        <f t="shared" ca="1" si="4"/>
        <v>#REF!</v>
      </c>
      <c r="DB31" s="3" t="e">
        <f t="shared" ca="1" si="5"/>
        <v>#REF!</v>
      </c>
      <c r="DC31" s="39" t="e">
        <f t="shared" ca="1" si="6"/>
        <v>#REF!</v>
      </c>
      <c r="DD31" s="39" t="e">
        <f t="shared" ca="1" si="7"/>
        <v>#REF!</v>
      </c>
      <c r="DE31" s="3" t="e">
        <f t="shared" ca="1" si="8"/>
        <v>#REF!</v>
      </c>
      <c r="DF31" s="39" t="e">
        <f t="shared" ca="1" si="9"/>
        <v>#REF!</v>
      </c>
      <c r="DG31" s="39" t="e">
        <f t="array" ref="DG31">INDEX(#REF!,ROW()-ROW(#REF!),MATCH("Total "&amp;home_land,#REF!,0))+#REF!</f>
        <v>#REF!</v>
      </c>
      <c r="DH31" s="3" t="e">
        <f t="shared" ca="1" si="10"/>
        <v>#REF!</v>
      </c>
      <c r="DI31" s="3" t="e">
        <f t="shared" ca="1" si="0"/>
        <v>#REF!</v>
      </c>
      <c r="DJ31" s="3" t="e">
        <f t="shared" ca="1" si="1"/>
        <v>#REF!</v>
      </c>
    </row>
    <row r="32" spans="1:114" x14ac:dyDescent="0.25">
      <c r="A32" s="160" t="e">
        <f>#REF!</f>
        <v>#REF!</v>
      </c>
      <c r="B32" s="161" t="e">
        <f>SUM(#REF!)</f>
        <v>#REF!</v>
      </c>
      <c r="C32" s="162" t="e">
        <f>SUM(#REF!)</f>
        <v>#REF!</v>
      </c>
      <c r="D32" s="162">
        <f t="shared" si="2"/>
        <v>0</v>
      </c>
      <c r="E32" s="163"/>
      <c r="F32" s="61" t="e">
        <f>#REF!+#REF!+#REF!</f>
        <v>#REF!</v>
      </c>
      <c r="G32" s="171" t="e">
        <f ca="1">OFFSET(#REF!,-1,0)+#REF!</f>
        <v>#REF!</v>
      </c>
      <c r="H32" s="166" t="e">
        <f ca="1">OFFSET(#REF!,-1,0)+#REF!</f>
        <v>#REF!</v>
      </c>
      <c r="I32" s="341" t="e">
        <f ca="1">OFFSET(#REF!,-1,0)+#REF!</f>
        <v>#REF!</v>
      </c>
      <c r="J32" s="345" t="e">
        <f ca="1">OFFSET(#REF!,-1,0)+#REF!</f>
        <v>#REF!</v>
      </c>
      <c r="K32" s="349" t="e">
        <f ca="1">OFFSET(#REF!,-1,0)+#REF!</f>
        <v>#REF!</v>
      </c>
      <c r="L32" s="169" t="e">
        <f ca="1">OFFSET(#REF!,-1,0)+#REF!</f>
        <v>#REF!</v>
      </c>
      <c r="M32" s="170" t="e">
        <f ca="1">OFFSET(#REF!,-1,0)+#REF!</f>
        <v>#REF!</v>
      </c>
      <c r="N32" s="339" t="e">
        <f>#REF!</f>
        <v>#REF!</v>
      </c>
      <c r="O32" s="164"/>
      <c r="P32" s="146"/>
      <c r="Q32" s="164"/>
      <c r="R32" s="164"/>
      <c r="S32" s="164"/>
      <c r="T32" s="164"/>
      <c r="U32" s="164"/>
      <c r="V32" s="164"/>
      <c r="W32" s="164"/>
      <c r="X32" s="164"/>
      <c r="Y32" s="164"/>
      <c r="Z32" s="164"/>
      <c r="AA32" s="164"/>
      <c r="AB32" s="164"/>
      <c r="AC32" s="164"/>
      <c r="AD32" s="164"/>
      <c r="AE32" s="164"/>
      <c r="AF32" s="164"/>
      <c r="AG32" s="164"/>
      <c r="AH32" s="53" t="e">
        <f>#REF!</f>
        <v>#REF!</v>
      </c>
      <c r="AI32" s="132" t="e">
        <f>MIN(25%,(#REF!+#REF!)/(#REF!-#REF!*20))</f>
        <v>#REF!</v>
      </c>
      <c r="AJ32" s="132" t="e">
        <f>MIN(25%,(#REF!+#REF!)/#REF!)</f>
        <v>#REF!</v>
      </c>
      <c r="AK32" s="39" t="e">
        <f>#REF!</f>
        <v>#REF!</v>
      </c>
      <c r="AL32" s="39" t="e">
        <f>#REF!</f>
        <v>#REF!</v>
      </c>
      <c r="AM32" s="39" t="e">
        <f>ROUNDDOWN( MAX((1 - MIN(facs_constr_factor*#REF!,facs_constr_max) + tech_2_3*#REF! + tech_2_6_2*#REF! + tech_2_10*#REF! + tech_4_6*#REF! + tech_6_3*#REF! + tech_9_2*#REF! + race_construction_cost), 1-global_constr_cap) *#REF!,0)</f>
        <v>#REF!</v>
      </c>
      <c r="AN32" s="39" t="e">
        <f>ROUNDDOWN( MAX(1 - MIN(facs_constr_factor*#REF!,facs_constr_max) + tech_1_11*#REF! + tech_6_3_2*#REF! + tech_5_2_3*#REF!, 1-global_constr_cap) *#REF!,0)</f>
        <v>#REF!</v>
      </c>
      <c r="AO32" s="39" t="e">
        <f>ROUNDDOWN( MAX((1 - MIN(facs_constr_factor*#REF!,facs_constr_max) + tech_2_3*#REF! + tech_2_6_2*#REF! + tech_2_10*#REF! + tech_4_6*#REF! + tech_6_3*#REF! + tech_9_2*#REF! + race_construction_cost), 1-global_constr_cap) * (ROUND((#REF!-250)*1.25 + 850 + 0,0)),0)</f>
        <v>#REF!</v>
      </c>
      <c r="AP32" s="39" t="e">
        <f>ROUNDDOWN( MAX(1 - MIN(facs_constr_factor*#REF!,facs_constr_max) + tech_1_11*#REF! + tech_6_3_2*#REF! + tech_5_2_3*#REF!, 1-global_constr_cap) * ROUND((#REF!-250)*0.285 + 87.5 + 0/4.25,0),0)</f>
        <v>#REF!</v>
      </c>
      <c r="AQ32" s="3" t="e">
        <f>#REF!*#REF! +#REF! *#REF!</f>
        <v>#REF!</v>
      </c>
      <c r="AR32" s="3" t="e">
        <f>#REF!*#REF!+#REF!*#REF!</f>
        <v>#REF!</v>
      </c>
      <c r="AS32" s="39" t="e">
        <f ca="1">MIN(SUM(OFFSET(#REF!,-1,0))+SUM(#REF!)+IF(#REF!&gt;12,SUM(OFFSET(#REF!,-12,0)),0),SUM(#REF!))</f>
        <v>#REF!</v>
      </c>
      <c r="AT32" s="3" t="e">
        <f ca="1">IF(#REF!&lt;&gt;0,MAX(0, MIN(20, 20 + SUM(#REF!) - SUM(#REF!) - SUM(OFFSET(#REF!,-1,0)) - IF(#REF!&gt;12,SUM(OFFSET(#REF!,-12,0)),0) - 20*#REF!)),0)</f>
        <v>#REF!</v>
      </c>
      <c r="AU32" s="134"/>
      <c r="AV32" s="39" t="e">
        <f>ROUND((#REF!-250 - IF(#REF!&lt;&gt;0,20,0))*1.25 + 850 + 0,0)</f>
        <v>#REF!</v>
      </c>
      <c r="AW32" s="39" t="e">
        <f>ROUND((#REF!-250 - IF(#REF!&lt;&gt;0,20,0))*0.285 + 87.5 + 0/4.25,0)</f>
        <v>#REF!</v>
      </c>
      <c r="AX32" s="133"/>
      <c r="AY32" s="172" t="e">
        <f t="array" aca="1" ref="AY32" ca="1">IF(#REF!&gt;12,OFFSET(#REF!,-12,0),0)+OFFSET(#REF!,-1,0)-#REF!</f>
        <v>#REF!</v>
      </c>
      <c r="AZ32" s="173" t="e">
        <f t="array" aca="1" ref="AZ32" ca="1">IF(#REF!&gt;12,OFFSET(#REF!,-12,0),0)+OFFSET(#REF!,-1,0)-#REF!</f>
        <v>#REF!</v>
      </c>
      <c r="BA32" s="173" t="e">
        <f t="array" aca="1" ref="BA32" ca="1">IF(#REF!&gt;12,OFFSET(#REF!,-12,0),0)+OFFSET(#REF!,-1,0)-#REF!</f>
        <v>#REF!</v>
      </c>
      <c r="BB32" s="173" t="e">
        <f t="array" aca="1" ref="BB32" ca="1">IF(#REF!&gt;12,OFFSET(#REF!,-12,0),0)+OFFSET(#REF!,-1,0)-#REF!</f>
        <v>#REF!</v>
      </c>
      <c r="BC32" s="173" t="e">
        <f t="array" aca="1" ref="BC32" ca="1">IF(#REF!&gt;12,OFFSET(#REF!,-12,0),0)+OFFSET(#REF!,-1,0)-#REF!</f>
        <v>#REF!</v>
      </c>
      <c r="BD32" s="174" t="e">
        <f t="array" aca="1" ref="BD32" ca="1">IF(#REF!&gt;12,OFFSET(#REF!,-12,0),0)+OFFSET(#REF!,-1,0)-#REF!</f>
        <v>#REF!</v>
      </c>
      <c r="BE32" s="174" t="e">
        <f t="array" aca="1" ref="BE32" ca="1">IF(#REF!&gt;12,OFFSET(#REF!,-12,0),0)+OFFSET(#REF!,-1,0)-#REF!</f>
        <v>#REF!</v>
      </c>
      <c r="BF32" s="343" t="e">
        <f t="array" aca="1" ref="BF32" ca="1">IF(#REF!&gt;12,OFFSET(#REF!,-12,0),0)+OFFSET(#REF!,-1,0)-#REF!</f>
        <v>#REF!</v>
      </c>
      <c r="BG32" s="343" t="e">
        <f t="array" aca="1" ref="BG32" ca="1">IF(#REF!&gt;12,OFFSET(#REF!,-12,0),0)+OFFSET(#REF!,-1,0)-#REF!</f>
        <v>#REF!</v>
      </c>
      <c r="BH32" s="347" t="e">
        <f t="array" aca="1" ref="BH32" ca="1">IF(#REF!&gt;12,OFFSET(#REF!,-12,0),0)+OFFSET(#REF!,-1,0)-#REF!</f>
        <v>#REF!</v>
      </c>
      <c r="BI32" s="347" t="e">
        <f t="array" aca="1" ref="BI32" ca="1">IF(#REF!&gt;12,OFFSET(#REF!,-12,0),0)+OFFSET(#REF!,-1,0)-#REF!</f>
        <v>#REF!</v>
      </c>
      <c r="BJ32" s="347" t="e">
        <f t="array" aca="1" ref="BJ32" ca="1">IF(#REF!&gt;12,OFFSET(#REF!,-12,0),0)+OFFSET(#REF!,-1,0)-#REF!</f>
        <v>#REF!</v>
      </c>
      <c r="BK32" s="347" t="e">
        <f t="array" aca="1" ref="BK32" ca="1">IF(#REF!&gt;12,OFFSET(#REF!,-12,0),0)+OFFSET(#REF!,-1,0)-#REF!</f>
        <v>#REF!</v>
      </c>
      <c r="BL32" s="351" t="e">
        <f t="array" aca="1" ref="BL32" ca="1">IF(#REF!&gt;12,OFFSET(#REF!,-12,0),0)+OFFSET(#REF!,-1,0)-#REF!</f>
        <v>#REF!</v>
      </c>
      <c r="BM32" s="351" t="e">
        <f t="array" aca="1" ref="BM32" ca="1">IF(#REF!&gt;12,OFFSET(#REF!,-12,0),0)+OFFSET(#REF!,-1,0)-#REF!</f>
        <v>#REF!</v>
      </c>
      <c r="BN32" s="351" t="e">
        <f t="array" aca="1" ref="BN32" ca="1">IF(#REF!&gt;12,OFFSET(#REF!,-12,0),0)+OFFSET(#REF!,-1,0)-#REF!</f>
        <v>#REF!</v>
      </c>
      <c r="BO32" s="175" t="e">
        <f t="array" aca="1" ref="BO32" ca="1">IF(#REF!&gt;12,OFFSET(#REF!,-12,0),0)+OFFSET(#REF!,-1,0)-#REF!</f>
        <v>#REF!</v>
      </c>
      <c r="BP32" s="175" t="e">
        <f t="array" aca="1" ref="BP32" ca="1">IF(#REF!&gt;12,OFFSET(#REF!,-12,0),0)+OFFSET(#REF!,-1,0)-#REF!</f>
        <v>#REF!</v>
      </c>
      <c r="BQ32" s="176" t="e">
        <f t="array" aca="1" ref="BQ32" ca="1">IF(#REF!&gt;12,OFFSET(#REF!,-12,0),0)+OFFSET(#REF!,-1,0)-#REF!</f>
        <v>#REF!</v>
      </c>
      <c r="BR32" s="134"/>
      <c r="BS32" s="133"/>
      <c r="BT32" s="39" t="e">
        <f>#REF!</f>
        <v>#REF!</v>
      </c>
      <c r="BU32" s="147" t="e">
        <f>#REF!</f>
        <v>#REF!</v>
      </c>
      <c r="BV32" s="134"/>
      <c r="BW32" s="164"/>
      <c r="BX32" s="164"/>
      <c r="BY32" s="164"/>
      <c r="BZ32" s="164"/>
      <c r="CA32" s="164"/>
      <c r="CB32" s="164"/>
      <c r="CC32" s="164"/>
      <c r="CD32" s="164"/>
      <c r="CE32" s="164"/>
      <c r="CF32" s="164"/>
      <c r="CG32" s="164"/>
      <c r="CH32" s="164"/>
      <c r="CI32" s="164"/>
      <c r="CJ32" s="164"/>
      <c r="CK32" s="164"/>
      <c r="CL32" s="164"/>
      <c r="CM32" s="164"/>
      <c r="CN32" s="164"/>
      <c r="CO32" s="164"/>
      <c r="CP32" s="134"/>
      <c r="CQ32" s="165" t="e">
        <f ca="1">-SUM(#REF!)+SUM(#REF!)+Rezone!L32+IF("Ch_"&amp; home_land=#REF!,#REF!)+IF(#REF!&gt;12,OFFSET(#REF!,-12,0),0)</f>
        <v>#REF!</v>
      </c>
      <c r="CR32" s="166" t="e">
        <f ca="1">-SUM(#REF!)+SUM(#REF!) +Rezone!M32 + IF("Ch_"&amp; home_land=#REF!,#REF!)+IF(#REF!&gt;12,OFFSET(#REF!,-12,0),0)</f>
        <v>#REF!</v>
      </c>
      <c r="CS32" s="341" t="e">
        <f ca="1">-SUM(#REF!)+SUM(#REF!) +Rezone!N32 + IF("Ch_"&amp; home_land=#REF!,#REF!)+IF(#REF!&gt;12,OFFSET(#REF!,-12,0),0)</f>
        <v>#REF!</v>
      </c>
      <c r="CT32" s="167" t="e">
        <f ca="1">-SUM(#REF!)+SUM(#REF!) +Rezone!O32 + IF("Ch_" &amp; home_land=#REF!,#REF!)+IF(#REF!&gt;12,OFFSET(#REF!,-12,0),0)</f>
        <v>#REF!</v>
      </c>
      <c r="CU32" s="168" t="e">
        <f ca="1">-SUM(#REF!)+SUM(#REF!) +Rezone!P32 + IF("Ch_" &amp; home_land=#REF!,#REF!)+IF(#REF!&gt;12,OFFSET(#REF!,-12,0),0)</f>
        <v>#REF!</v>
      </c>
      <c r="CV32" s="169" t="e">
        <f ca="1">- SUM(#REF!)+SUM(#REF!) +Rezone!Q32 + IF("Ch_" &amp; home_land=#REF!,#REF!)+IF(#REF!&gt;12,OFFSET(#REF!,-12,0),0)</f>
        <v>#REF!</v>
      </c>
      <c r="CW32" s="170" t="e">
        <f ca="1">-#REF!+#REF! +Rezone!R32 + IF("Ch_" &amp; home_land=#REF!,#REF!)+IF(#REF!&gt;12,OFFSET(#REF!,-12,0),0)</f>
        <v>#REF!</v>
      </c>
      <c r="CX32" s="3" t="e">
        <f>IF(Explore!S32=1,20) -#REF! +#REF!</f>
        <v>#REF!</v>
      </c>
      <c r="CY32" s="134"/>
      <c r="CZ32" s="39" t="e">
        <f t="shared" ca="1" si="3"/>
        <v>#REF!</v>
      </c>
      <c r="DA32" s="39" t="e">
        <f t="shared" ca="1" si="4"/>
        <v>#REF!</v>
      </c>
      <c r="DB32" s="3" t="e">
        <f t="shared" ca="1" si="5"/>
        <v>#REF!</v>
      </c>
      <c r="DC32" s="39" t="e">
        <f t="shared" ca="1" si="6"/>
        <v>#REF!</v>
      </c>
      <c r="DD32" s="39" t="e">
        <f t="shared" ca="1" si="7"/>
        <v>#REF!</v>
      </c>
      <c r="DE32" s="3" t="e">
        <f t="shared" ca="1" si="8"/>
        <v>#REF!</v>
      </c>
      <c r="DF32" s="39" t="e">
        <f t="shared" ca="1" si="9"/>
        <v>#REF!</v>
      </c>
      <c r="DG32" s="39" t="e">
        <f t="array" ref="DG32">INDEX(#REF!,ROW()-ROW(#REF!),MATCH("Total "&amp;home_land,#REF!,0))+#REF!</f>
        <v>#REF!</v>
      </c>
      <c r="DH32" s="3" t="e">
        <f t="shared" ca="1" si="10"/>
        <v>#REF!</v>
      </c>
      <c r="DI32" s="3" t="e">
        <f t="shared" ca="1" si="0"/>
        <v>#REF!</v>
      </c>
      <c r="DJ32" s="3" t="e">
        <f t="shared" ca="1" si="1"/>
        <v>#REF!</v>
      </c>
    </row>
    <row r="33" spans="1:114" x14ac:dyDescent="0.25">
      <c r="A33" s="160" t="e">
        <f>#REF!</f>
        <v>#REF!</v>
      </c>
      <c r="B33" s="161" t="e">
        <f>SUM(#REF!)</f>
        <v>#REF!</v>
      </c>
      <c r="C33" s="162" t="e">
        <f>SUM(#REF!)</f>
        <v>#REF!</v>
      </c>
      <c r="D33" s="162">
        <f t="shared" si="2"/>
        <v>0</v>
      </c>
      <c r="E33" s="163"/>
      <c r="F33" s="61" t="e">
        <f>#REF!+#REF!+#REF!</f>
        <v>#REF!</v>
      </c>
      <c r="G33" s="171" t="e">
        <f ca="1">OFFSET(#REF!,-1,0)+#REF!</f>
        <v>#REF!</v>
      </c>
      <c r="H33" s="166" t="e">
        <f ca="1">OFFSET(#REF!,-1,0)+#REF!</f>
        <v>#REF!</v>
      </c>
      <c r="I33" s="341" t="e">
        <f ca="1">OFFSET(#REF!,-1,0)+#REF!</f>
        <v>#REF!</v>
      </c>
      <c r="J33" s="345" t="e">
        <f ca="1">OFFSET(#REF!,-1,0)+#REF!</f>
        <v>#REF!</v>
      </c>
      <c r="K33" s="349" t="e">
        <f ca="1">OFFSET(#REF!,-1,0)+#REF!</f>
        <v>#REF!</v>
      </c>
      <c r="L33" s="169" t="e">
        <f ca="1">OFFSET(#REF!,-1,0)+#REF!</f>
        <v>#REF!</v>
      </c>
      <c r="M33" s="170" t="e">
        <f ca="1">OFFSET(#REF!,-1,0)+#REF!</f>
        <v>#REF!</v>
      </c>
      <c r="N33" s="339" t="e">
        <f>#REF!</f>
        <v>#REF!</v>
      </c>
      <c r="O33" s="164"/>
      <c r="P33" s="146"/>
      <c r="Q33" s="164"/>
      <c r="R33" s="164"/>
      <c r="S33" s="164"/>
      <c r="T33" s="164"/>
      <c r="U33" s="164"/>
      <c r="V33" s="164"/>
      <c r="W33" s="164"/>
      <c r="X33" s="164"/>
      <c r="Y33" s="164"/>
      <c r="Z33" s="164"/>
      <c r="AA33" s="164"/>
      <c r="AB33" s="164"/>
      <c r="AC33" s="164"/>
      <c r="AD33" s="164"/>
      <c r="AE33" s="164"/>
      <c r="AF33" s="164"/>
      <c r="AG33" s="164"/>
      <c r="AH33" s="53" t="e">
        <f>#REF!</f>
        <v>#REF!</v>
      </c>
      <c r="AI33" s="132" t="e">
        <f>MIN(25%,(#REF!+#REF!)/(#REF!-#REF!*20))</f>
        <v>#REF!</v>
      </c>
      <c r="AJ33" s="132" t="e">
        <f>MIN(25%,(#REF!+#REF!)/#REF!)</f>
        <v>#REF!</v>
      </c>
      <c r="AK33" s="39" t="e">
        <f>#REF!</f>
        <v>#REF!</v>
      </c>
      <c r="AL33" s="39" t="e">
        <f>#REF!</f>
        <v>#REF!</v>
      </c>
      <c r="AM33" s="39" t="e">
        <f>ROUNDDOWN( MAX((1 - MIN(facs_constr_factor*#REF!,facs_constr_max) + tech_2_3*#REF! + tech_2_6_2*#REF! + tech_2_10*#REF! + tech_4_6*#REF! + tech_6_3*#REF! + tech_9_2*#REF! + race_construction_cost), 1-global_constr_cap) *#REF!,0)</f>
        <v>#REF!</v>
      </c>
      <c r="AN33" s="39" t="e">
        <f>ROUNDDOWN( MAX(1 - MIN(facs_constr_factor*#REF!,facs_constr_max) + tech_1_11*#REF! + tech_6_3_2*#REF! + tech_5_2_3*#REF!, 1-global_constr_cap) *#REF!,0)</f>
        <v>#REF!</v>
      </c>
      <c r="AO33" s="39" t="e">
        <f>ROUNDDOWN( MAX((1 - MIN(facs_constr_factor*#REF!,facs_constr_max) + tech_2_3*#REF! + tech_2_6_2*#REF! + tech_2_10*#REF! + tech_4_6*#REF! + tech_6_3*#REF! + tech_9_2*#REF! + race_construction_cost), 1-global_constr_cap) * (ROUND((#REF!-250)*1.25 + 850 + 0,0)),0)</f>
        <v>#REF!</v>
      </c>
      <c r="AP33" s="39" t="e">
        <f>ROUNDDOWN( MAX(1 - MIN(facs_constr_factor*#REF!,facs_constr_max) + tech_1_11*#REF! + tech_6_3_2*#REF! + tech_5_2_3*#REF!, 1-global_constr_cap) * ROUND((#REF!-250)*0.285 + 87.5 + 0/4.25,0),0)</f>
        <v>#REF!</v>
      </c>
      <c r="AQ33" s="3" t="e">
        <f>#REF!*#REF! +#REF! *#REF!</f>
        <v>#REF!</v>
      </c>
      <c r="AR33" s="3" t="e">
        <f>#REF!*#REF!+#REF!*#REF!</f>
        <v>#REF!</v>
      </c>
      <c r="AS33" s="39" t="e">
        <f ca="1">MIN(SUM(OFFSET(#REF!,-1,0))+SUM(#REF!)+IF(#REF!&gt;12,SUM(OFFSET(#REF!,-12,0)),0),SUM(#REF!))</f>
        <v>#REF!</v>
      </c>
      <c r="AT33" s="3" t="e">
        <f ca="1">IF(#REF!&lt;&gt;0,MAX(0, MIN(20, 20 + SUM(#REF!) - SUM(#REF!) - SUM(OFFSET(#REF!,-1,0)) - IF(#REF!&gt;12,SUM(OFFSET(#REF!,-12,0)),0) - 20*#REF!)),0)</f>
        <v>#REF!</v>
      </c>
      <c r="AU33" s="134"/>
      <c r="AV33" s="39" t="e">
        <f>ROUND((#REF!-250 - IF(#REF!&lt;&gt;0,20,0))*1.25 + 850 + 0,0)</f>
        <v>#REF!</v>
      </c>
      <c r="AW33" s="39" t="e">
        <f>ROUND((#REF!-250 - IF(#REF!&lt;&gt;0,20,0))*0.285 + 87.5 + 0/4.25,0)</f>
        <v>#REF!</v>
      </c>
      <c r="AX33" s="133"/>
      <c r="AY33" s="172" t="e">
        <f t="array" aca="1" ref="AY33" ca="1">IF(#REF!&gt;12,OFFSET(#REF!,-12,0),0)+OFFSET(#REF!,-1,0)-#REF!</f>
        <v>#REF!</v>
      </c>
      <c r="AZ33" s="173" t="e">
        <f t="array" aca="1" ref="AZ33" ca="1">IF(#REF!&gt;12,OFFSET(#REF!,-12,0),0)+OFFSET(#REF!,-1,0)-#REF!</f>
        <v>#REF!</v>
      </c>
      <c r="BA33" s="173" t="e">
        <f t="array" aca="1" ref="BA33" ca="1">IF(#REF!&gt;12,OFFSET(#REF!,-12,0),0)+OFFSET(#REF!,-1,0)-#REF!</f>
        <v>#REF!</v>
      </c>
      <c r="BB33" s="173" t="e">
        <f t="array" aca="1" ref="BB33" ca="1">IF(#REF!&gt;12,OFFSET(#REF!,-12,0),0)+OFFSET(#REF!,-1,0)-#REF!</f>
        <v>#REF!</v>
      </c>
      <c r="BC33" s="173" t="e">
        <f t="array" aca="1" ref="BC33" ca="1">IF(#REF!&gt;12,OFFSET(#REF!,-12,0),0)+OFFSET(#REF!,-1,0)-#REF!</f>
        <v>#REF!</v>
      </c>
      <c r="BD33" s="174" t="e">
        <f t="array" aca="1" ref="BD33" ca="1">IF(#REF!&gt;12,OFFSET(#REF!,-12,0),0)+OFFSET(#REF!,-1,0)-#REF!</f>
        <v>#REF!</v>
      </c>
      <c r="BE33" s="174" t="e">
        <f t="array" aca="1" ref="BE33" ca="1">IF(#REF!&gt;12,OFFSET(#REF!,-12,0),0)+OFFSET(#REF!,-1,0)-#REF!</f>
        <v>#REF!</v>
      </c>
      <c r="BF33" s="343" t="e">
        <f t="array" aca="1" ref="BF33" ca="1">IF(#REF!&gt;12,OFFSET(#REF!,-12,0),0)+OFFSET(#REF!,-1,0)-#REF!</f>
        <v>#REF!</v>
      </c>
      <c r="BG33" s="343" t="e">
        <f t="array" aca="1" ref="BG33" ca="1">IF(#REF!&gt;12,OFFSET(#REF!,-12,0),0)+OFFSET(#REF!,-1,0)-#REF!</f>
        <v>#REF!</v>
      </c>
      <c r="BH33" s="347" t="e">
        <f t="array" aca="1" ref="BH33" ca="1">IF(#REF!&gt;12,OFFSET(#REF!,-12,0),0)+OFFSET(#REF!,-1,0)-#REF!</f>
        <v>#REF!</v>
      </c>
      <c r="BI33" s="347" t="e">
        <f t="array" aca="1" ref="BI33" ca="1">IF(#REF!&gt;12,OFFSET(#REF!,-12,0),0)+OFFSET(#REF!,-1,0)-#REF!</f>
        <v>#REF!</v>
      </c>
      <c r="BJ33" s="347" t="e">
        <f t="array" aca="1" ref="BJ33" ca="1">IF(#REF!&gt;12,OFFSET(#REF!,-12,0),0)+OFFSET(#REF!,-1,0)-#REF!</f>
        <v>#REF!</v>
      </c>
      <c r="BK33" s="347" t="e">
        <f t="array" aca="1" ref="BK33" ca="1">IF(#REF!&gt;12,OFFSET(#REF!,-12,0),0)+OFFSET(#REF!,-1,0)-#REF!</f>
        <v>#REF!</v>
      </c>
      <c r="BL33" s="351" t="e">
        <f t="array" aca="1" ref="BL33" ca="1">IF(#REF!&gt;12,OFFSET(#REF!,-12,0),0)+OFFSET(#REF!,-1,0)-#REF!</f>
        <v>#REF!</v>
      </c>
      <c r="BM33" s="351" t="e">
        <f t="array" aca="1" ref="BM33" ca="1">IF(#REF!&gt;12,OFFSET(#REF!,-12,0),0)+OFFSET(#REF!,-1,0)-#REF!</f>
        <v>#REF!</v>
      </c>
      <c r="BN33" s="351" t="e">
        <f t="array" aca="1" ref="BN33" ca="1">IF(#REF!&gt;12,OFFSET(#REF!,-12,0),0)+OFFSET(#REF!,-1,0)-#REF!</f>
        <v>#REF!</v>
      </c>
      <c r="BO33" s="175" t="e">
        <f t="array" aca="1" ref="BO33" ca="1">IF(#REF!&gt;12,OFFSET(#REF!,-12,0),0)+OFFSET(#REF!,-1,0)-#REF!</f>
        <v>#REF!</v>
      </c>
      <c r="BP33" s="175" t="e">
        <f t="array" aca="1" ref="BP33" ca="1">IF(#REF!&gt;12,OFFSET(#REF!,-12,0),0)+OFFSET(#REF!,-1,0)-#REF!</f>
        <v>#REF!</v>
      </c>
      <c r="BQ33" s="176" t="e">
        <f t="array" aca="1" ref="BQ33" ca="1">IF(#REF!&gt;12,OFFSET(#REF!,-12,0),0)+OFFSET(#REF!,-1,0)-#REF!</f>
        <v>#REF!</v>
      </c>
      <c r="BR33" s="134"/>
      <c r="BS33" s="133"/>
      <c r="BT33" s="39" t="e">
        <f>#REF!</f>
        <v>#REF!</v>
      </c>
      <c r="BU33" s="147" t="e">
        <f>#REF!</f>
        <v>#REF!</v>
      </c>
      <c r="BV33" s="134"/>
      <c r="BW33" s="164"/>
      <c r="BX33" s="164"/>
      <c r="BY33" s="164"/>
      <c r="BZ33" s="164"/>
      <c r="CA33" s="164"/>
      <c r="CB33" s="164"/>
      <c r="CC33" s="164"/>
      <c r="CD33" s="164"/>
      <c r="CE33" s="164"/>
      <c r="CF33" s="164"/>
      <c r="CG33" s="164"/>
      <c r="CH33" s="164"/>
      <c r="CI33" s="164"/>
      <c r="CJ33" s="164"/>
      <c r="CK33" s="164"/>
      <c r="CL33" s="164"/>
      <c r="CM33" s="164"/>
      <c r="CN33" s="164"/>
      <c r="CO33" s="164"/>
      <c r="CP33" s="134"/>
      <c r="CQ33" s="165" t="e">
        <f ca="1">-SUM(#REF!)+SUM(#REF!)+Rezone!L33+IF("Ch_"&amp; home_land=#REF!,#REF!)+IF(#REF!&gt;12,OFFSET(#REF!,-12,0),0)</f>
        <v>#REF!</v>
      </c>
      <c r="CR33" s="166" t="e">
        <f ca="1">-SUM(#REF!)+SUM(#REF!) +Rezone!M33 + IF("Ch_"&amp; home_land=#REF!,#REF!)+IF(#REF!&gt;12,OFFSET(#REF!,-12,0),0)</f>
        <v>#REF!</v>
      </c>
      <c r="CS33" s="341" t="e">
        <f ca="1">-SUM(#REF!)+SUM(#REF!) +Rezone!N33 + IF("Ch_"&amp; home_land=#REF!,#REF!)+IF(#REF!&gt;12,OFFSET(#REF!,-12,0),0)</f>
        <v>#REF!</v>
      </c>
      <c r="CT33" s="167" t="e">
        <f ca="1">-SUM(#REF!)+SUM(#REF!) +Rezone!O33 + IF("Ch_" &amp; home_land=#REF!,#REF!)+IF(#REF!&gt;12,OFFSET(#REF!,-12,0),0)</f>
        <v>#REF!</v>
      </c>
      <c r="CU33" s="168" t="e">
        <f ca="1">-SUM(#REF!)+SUM(#REF!) +Rezone!P33 + IF("Ch_" &amp; home_land=#REF!,#REF!)+IF(#REF!&gt;12,OFFSET(#REF!,-12,0),0)</f>
        <v>#REF!</v>
      </c>
      <c r="CV33" s="169" t="e">
        <f ca="1">- SUM(#REF!)+SUM(#REF!) +Rezone!Q33 + IF("Ch_" &amp; home_land=#REF!,#REF!)+IF(#REF!&gt;12,OFFSET(#REF!,-12,0),0)</f>
        <v>#REF!</v>
      </c>
      <c r="CW33" s="170" t="e">
        <f ca="1">-#REF!+#REF! +Rezone!R33 + IF("Ch_" &amp; home_land=#REF!,#REF!)+IF(#REF!&gt;12,OFFSET(#REF!,-12,0),0)</f>
        <v>#REF!</v>
      </c>
      <c r="CX33" s="3" t="e">
        <f>IF(Explore!S33=1,20) -#REF! +#REF!</f>
        <v>#REF!</v>
      </c>
      <c r="CY33" s="134"/>
      <c r="CZ33" s="39" t="e">
        <f t="shared" ca="1" si="3"/>
        <v>#REF!</v>
      </c>
      <c r="DA33" s="39" t="e">
        <f t="shared" ca="1" si="4"/>
        <v>#REF!</v>
      </c>
      <c r="DB33" s="3" t="e">
        <f t="shared" ca="1" si="5"/>
        <v>#REF!</v>
      </c>
      <c r="DC33" s="39" t="e">
        <f t="shared" ca="1" si="6"/>
        <v>#REF!</v>
      </c>
      <c r="DD33" s="39" t="e">
        <f t="shared" ca="1" si="7"/>
        <v>#REF!</v>
      </c>
      <c r="DE33" s="3" t="e">
        <f t="shared" ca="1" si="8"/>
        <v>#REF!</v>
      </c>
      <c r="DF33" s="39" t="e">
        <f t="shared" ca="1" si="9"/>
        <v>#REF!</v>
      </c>
      <c r="DG33" s="39" t="e">
        <f t="array" ref="DG33">INDEX(#REF!,ROW()-ROW(#REF!),MATCH("Total "&amp;home_land,#REF!,0))+#REF!</f>
        <v>#REF!</v>
      </c>
      <c r="DH33" s="3" t="e">
        <f t="shared" ca="1" si="10"/>
        <v>#REF!</v>
      </c>
      <c r="DI33" s="3" t="e">
        <f t="shared" ca="1" si="0"/>
        <v>#REF!</v>
      </c>
      <c r="DJ33" s="3" t="e">
        <f t="shared" ca="1" si="1"/>
        <v>#REF!</v>
      </c>
    </row>
    <row r="34" spans="1:114" x14ac:dyDescent="0.25">
      <c r="A34" s="160" t="e">
        <f>#REF!</f>
        <v>#REF!</v>
      </c>
      <c r="B34" s="161" t="e">
        <f>SUM(#REF!)</f>
        <v>#REF!</v>
      </c>
      <c r="C34" s="162" t="e">
        <f>SUM(#REF!)</f>
        <v>#REF!</v>
      </c>
      <c r="D34" s="162">
        <f t="shared" si="2"/>
        <v>0</v>
      </c>
      <c r="E34" s="163"/>
      <c r="F34" s="61" t="e">
        <f>#REF!+#REF!+#REF!</f>
        <v>#REF!</v>
      </c>
      <c r="G34" s="171" t="e">
        <f ca="1">OFFSET(#REF!,-1,0)+#REF!</f>
        <v>#REF!</v>
      </c>
      <c r="H34" s="166" t="e">
        <f ca="1">OFFSET(#REF!,-1,0)+#REF!</f>
        <v>#REF!</v>
      </c>
      <c r="I34" s="341" t="e">
        <f ca="1">OFFSET(#REF!,-1,0)+#REF!</f>
        <v>#REF!</v>
      </c>
      <c r="J34" s="345" t="e">
        <f ca="1">OFFSET(#REF!,-1,0)+#REF!</f>
        <v>#REF!</v>
      </c>
      <c r="K34" s="349" t="e">
        <f ca="1">OFFSET(#REF!,-1,0)+#REF!</f>
        <v>#REF!</v>
      </c>
      <c r="L34" s="169" t="e">
        <f ca="1">OFFSET(#REF!,-1,0)+#REF!</f>
        <v>#REF!</v>
      </c>
      <c r="M34" s="170" t="e">
        <f ca="1">OFFSET(#REF!,-1,0)+#REF!</f>
        <v>#REF!</v>
      </c>
      <c r="N34" s="339" t="e">
        <f>#REF!</f>
        <v>#REF!</v>
      </c>
      <c r="O34" s="164"/>
      <c r="P34" s="146"/>
      <c r="Q34" s="164"/>
      <c r="R34" s="164"/>
      <c r="S34" s="164"/>
      <c r="T34" s="164"/>
      <c r="U34" s="164"/>
      <c r="V34" s="164"/>
      <c r="W34" s="164"/>
      <c r="X34" s="164"/>
      <c r="Y34" s="164"/>
      <c r="Z34" s="164"/>
      <c r="AA34" s="164"/>
      <c r="AB34" s="164"/>
      <c r="AC34" s="164"/>
      <c r="AD34" s="164"/>
      <c r="AE34" s="164"/>
      <c r="AF34" s="164"/>
      <c r="AG34" s="164"/>
      <c r="AH34" s="53" t="e">
        <f>#REF!</f>
        <v>#REF!</v>
      </c>
      <c r="AI34" s="132" t="e">
        <f>MIN(25%,(#REF!+#REF!)/(#REF!-#REF!*20))</f>
        <v>#REF!</v>
      </c>
      <c r="AJ34" s="132" t="e">
        <f>MIN(25%,(#REF!+#REF!)/#REF!)</f>
        <v>#REF!</v>
      </c>
      <c r="AK34" s="39" t="e">
        <f>#REF!</f>
        <v>#REF!</v>
      </c>
      <c r="AL34" s="39" t="e">
        <f>#REF!</f>
        <v>#REF!</v>
      </c>
      <c r="AM34" s="39" t="e">
        <f>ROUNDDOWN( MAX((1 - MIN(facs_constr_factor*#REF!,facs_constr_max) + tech_2_3*#REF! + tech_2_6_2*#REF! + tech_2_10*#REF! + tech_4_6*#REF! + tech_6_3*#REF! + tech_9_2*#REF! + race_construction_cost), 1-global_constr_cap) *#REF!,0)</f>
        <v>#REF!</v>
      </c>
      <c r="AN34" s="39" t="e">
        <f>ROUNDDOWN( MAX(1 - MIN(facs_constr_factor*#REF!,facs_constr_max) + tech_1_11*#REF! + tech_6_3_2*#REF! + tech_5_2_3*#REF!, 1-global_constr_cap) *#REF!,0)</f>
        <v>#REF!</v>
      </c>
      <c r="AO34" s="39" t="e">
        <f>ROUNDDOWN( MAX((1 - MIN(facs_constr_factor*#REF!,facs_constr_max) + tech_2_3*#REF! + tech_2_6_2*#REF! + tech_2_10*#REF! + tech_4_6*#REF! + tech_6_3*#REF! + tech_9_2*#REF! + race_construction_cost), 1-global_constr_cap) * (ROUND((#REF!-250)*1.25 + 850 + 0,0)),0)</f>
        <v>#REF!</v>
      </c>
      <c r="AP34" s="39" t="e">
        <f>ROUNDDOWN( MAX(1 - MIN(facs_constr_factor*#REF!,facs_constr_max) + tech_1_11*#REF! + tech_6_3_2*#REF! + tech_5_2_3*#REF!, 1-global_constr_cap) * ROUND((#REF!-250)*0.285 + 87.5 + 0/4.25,0),0)</f>
        <v>#REF!</v>
      </c>
      <c r="AQ34" s="3" t="e">
        <f>#REF!*#REF! +#REF! *#REF!</f>
        <v>#REF!</v>
      </c>
      <c r="AR34" s="3" t="e">
        <f>#REF!*#REF!+#REF!*#REF!</f>
        <v>#REF!</v>
      </c>
      <c r="AS34" s="39" t="e">
        <f ca="1">MIN(SUM(OFFSET(#REF!,-1,0))+SUM(#REF!)+IF(#REF!&gt;12,SUM(OFFSET(#REF!,-12,0)),0),SUM(#REF!))</f>
        <v>#REF!</v>
      </c>
      <c r="AT34" s="3" t="e">
        <f ca="1">IF(#REF!&lt;&gt;0,MAX(0, MIN(20, 20 + SUM(#REF!) - SUM(#REF!) - SUM(OFFSET(#REF!,-1,0)) - IF(#REF!&gt;12,SUM(OFFSET(#REF!,-12,0)),0) - 20*#REF!)),0)</f>
        <v>#REF!</v>
      </c>
      <c r="AU34" s="134"/>
      <c r="AV34" s="39" t="e">
        <f>ROUND((#REF!-250 - IF(#REF!&lt;&gt;0,20,0))*1.25 + 850 + 0,0)</f>
        <v>#REF!</v>
      </c>
      <c r="AW34" s="39" t="e">
        <f>ROUND((#REF!-250 - IF(#REF!&lt;&gt;0,20,0))*0.285 + 87.5 + 0/4.25,0)</f>
        <v>#REF!</v>
      </c>
      <c r="AX34" s="133"/>
      <c r="AY34" s="172" t="e">
        <f t="array" aca="1" ref="AY34" ca="1">IF(#REF!&gt;12,OFFSET(#REF!,-12,0),0)+OFFSET(#REF!,-1,0)-#REF!</f>
        <v>#REF!</v>
      </c>
      <c r="AZ34" s="173" t="e">
        <f t="array" aca="1" ref="AZ34" ca="1">IF(#REF!&gt;12,OFFSET(#REF!,-12,0),0)+OFFSET(#REF!,-1,0)-#REF!</f>
        <v>#REF!</v>
      </c>
      <c r="BA34" s="173" t="e">
        <f t="array" aca="1" ref="BA34" ca="1">IF(#REF!&gt;12,OFFSET(#REF!,-12,0),0)+OFFSET(#REF!,-1,0)-#REF!</f>
        <v>#REF!</v>
      </c>
      <c r="BB34" s="173" t="e">
        <f t="array" aca="1" ref="BB34" ca="1">IF(#REF!&gt;12,OFFSET(#REF!,-12,0),0)+OFFSET(#REF!,-1,0)-#REF!</f>
        <v>#REF!</v>
      </c>
      <c r="BC34" s="173" t="e">
        <f t="array" aca="1" ref="BC34" ca="1">IF(#REF!&gt;12,OFFSET(#REF!,-12,0),0)+OFFSET(#REF!,-1,0)-#REF!</f>
        <v>#REF!</v>
      </c>
      <c r="BD34" s="174" t="e">
        <f t="array" aca="1" ref="BD34" ca="1">IF(#REF!&gt;12,OFFSET(#REF!,-12,0),0)+OFFSET(#REF!,-1,0)-#REF!</f>
        <v>#REF!</v>
      </c>
      <c r="BE34" s="174" t="e">
        <f t="array" aca="1" ref="BE34" ca="1">IF(#REF!&gt;12,OFFSET(#REF!,-12,0),0)+OFFSET(#REF!,-1,0)-#REF!</f>
        <v>#REF!</v>
      </c>
      <c r="BF34" s="343" t="e">
        <f t="array" aca="1" ref="BF34" ca="1">IF(#REF!&gt;12,OFFSET(#REF!,-12,0),0)+OFFSET(#REF!,-1,0)-#REF!</f>
        <v>#REF!</v>
      </c>
      <c r="BG34" s="343" t="e">
        <f t="array" aca="1" ref="BG34" ca="1">IF(#REF!&gt;12,OFFSET(#REF!,-12,0),0)+OFFSET(#REF!,-1,0)-#REF!</f>
        <v>#REF!</v>
      </c>
      <c r="BH34" s="347" t="e">
        <f t="array" aca="1" ref="BH34" ca="1">IF(#REF!&gt;12,OFFSET(#REF!,-12,0),0)+OFFSET(#REF!,-1,0)-#REF!</f>
        <v>#REF!</v>
      </c>
      <c r="BI34" s="347" t="e">
        <f t="array" aca="1" ref="BI34" ca="1">IF(#REF!&gt;12,OFFSET(#REF!,-12,0),0)+OFFSET(#REF!,-1,0)-#REF!</f>
        <v>#REF!</v>
      </c>
      <c r="BJ34" s="347" t="e">
        <f t="array" aca="1" ref="BJ34" ca="1">IF(#REF!&gt;12,OFFSET(#REF!,-12,0),0)+OFFSET(#REF!,-1,0)-#REF!</f>
        <v>#REF!</v>
      </c>
      <c r="BK34" s="347" t="e">
        <f t="array" aca="1" ref="BK34" ca="1">IF(#REF!&gt;12,OFFSET(#REF!,-12,0),0)+OFFSET(#REF!,-1,0)-#REF!</f>
        <v>#REF!</v>
      </c>
      <c r="BL34" s="351" t="e">
        <f t="array" aca="1" ref="BL34" ca="1">IF(#REF!&gt;12,OFFSET(#REF!,-12,0),0)+OFFSET(#REF!,-1,0)-#REF!</f>
        <v>#REF!</v>
      </c>
      <c r="BM34" s="351" t="e">
        <f t="array" aca="1" ref="BM34" ca="1">IF(#REF!&gt;12,OFFSET(#REF!,-12,0),0)+OFFSET(#REF!,-1,0)-#REF!</f>
        <v>#REF!</v>
      </c>
      <c r="BN34" s="351" t="e">
        <f t="array" aca="1" ref="BN34" ca="1">IF(#REF!&gt;12,OFFSET(#REF!,-12,0),0)+OFFSET(#REF!,-1,0)-#REF!</f>
        <v>#REF!</v>
      </c>
      <c r="BO34" s="175" t="e">
        <f t="array" aca="1" ref="BO34" ca="1">IF(#REF!&gt;12,OFFSET(#REF!,-12,0),0)+OFFSET(#REF!,-1,0)-#REF!</f>
        <v>#REF!</v>
      </c>
      <c r="BP34" s="175" t="e">
        <f t="array" aca="1" ref="BP34" ca="1">IF(#REF!&gt;12,OFFSET(#REF!,-12,0),0)+OFFSET(#REF!,-1,0)-#REF!</f>
        <v>#REF!</v>
      </c>
      <c r="BQ34" s="176" t="e">
        <f t="array" aca="1" ref="BQ34" ca="1">IF(#REF!&gt;12,OFFSET(#REF!,-12,0),0)+OFFSET(#REF!,-1,0)-#REF!</f>
        <v>#REF!</v>
      </c>
      <c r="BR34" s="134"/>
      <c r="BS34" s="133"/>
      <c r="BT34" s="39" t="e">
        <f>#REF!</f>
        <v>#REF!</v>
      </c>
      <c r="BU34" s="147" t="e">
        <f>#REF!</f>
        <v>#REF!</v>
      </c>
      <c r="BV34" s="134"/>
      <c r="BW34" s="164"/>
      <c r="BX34" s="164"/>
      <c r="BY34" s="164"/>
      <c r="BZ34" s="164"/>
      <c r="CA34" s="164"/>
      <c r="CB34" s="164"/>
      <c r="CC34" s="164"/>
      <c r="CD34" s="164"/>
      <c r="CE34" s="164"/>
      <c r="CF34" s="164"/>
      <c r="CG34" s="164"/>
      <c r="CH34" s="164"/>
      <c r="CI34" s="164"/>
      <c r="CJ34" s="164"/>
      <c r="CK34" s="164"/>
      <c r="CL34" s="164"/>
      <c r="CM34" s="164"/>
      <c r="CN34" s="164"/>
      <c r="CO34" s="164"/>
      <c r="CP34" s="134"/>
      <c r="CQ34" s="165" t="e">
        <f ca="1">-SUM(#REF!)+SUM(#REF!)+Rezone!L34+IF("Ch_"&amp; home_land=#REF!,#REF!)+IF(#REF!&gt;12,OFFSET(#REF!,-12,0),0)</f>
        <v>#REF!</v>
      </c>
      <c r="CR34" s="166" t="e">
        <f ca="1">-SUM(#REF!)+SUM(#REF!) +Rezone!M34 + IF("Ch_"&amp; home_land=#REF!,#REF!)+IF(#REF!&gt;12,OFFSET(#REF!,-12,0),0)</f>
        <v>#REF!</v>
      </c>
      <c r="CS34" s="341" t="e">
        <f ca="1">-SUM(#REF!)+SUM(#REF!) +Rezone!N34 + IF("Ch_"&amp; home_land=#REF!,#REF!)+IF(#REF!&gt;12,OFFSET(#REF!,-12,0),0)</f>
        <v>#REF!</v>
      </c>
      <c r="CT34" s="167" t="e">
        <f ca="1">-SUM(#REF!)+SUM(#REF!) +Rezone!O34 + IF("Ch_" &amp; home_land=#REF!,#REF!)+IF(#REF!&gt;12,OFFSET(#REF!,-12,0),0)</f>
        <v>#REF!</v>
      </c>
      <c r="CU34" s="168" t="e">
        <f ca="1">-SUM(#REF!)+SUM(#REF!) +Rezone!P34 + IF("Ch_" &amp; home_land=#REF!,#REF!)+IF(#REF!&gt;12,OFFSET(#REF!,-12,0),0)</f>
        <v>#REF!</v>
      </c>
      <c r="CV34" s="169" t="e">
        <f ca="1">- SUM(#REF!)+SUM(#REF!) +Rezone!Q34 + IF("Ch_" &amp; home_land=#REF!,#REF!)+IF(#REF!&gt;12,OFFSET(#REF!,-12,0),0)</f>
        <v>#REF!</v>
      </c>
      <c r="CW34" s="170" t="e">
        <f ca="1">-#REF!+#REF! +Rezone!R34 + IF("Ch_" &amp; home_land=#REF!,#REF!)+IF(#REF!&gt;12,OFFSET(#REF!,-12,0),0)</f>
        <v>#REF!</v>
      </c>
      <c r="CX34" s="3" t="e">
        <f>IF(Explore!S34=1,20) -#REF! +#REF!</f>
        <v>#REF!</v>
      </c>
      <c r="CY34" s="134"/>
      <c r="CZ34" s="39" t="e">
        <f t="shared" ca="1" si="3"/>
        <v>#REF!</v>
      </c>
      <c r="DA34" s="39" t="e">
        <f t="shared" ca="1" si="4"/>
        <v>#REF!</v>
      </c>
      <c r="DB34" s="3" t="e">
        <f t="shared" ca="1" si="5"/>
        <v>#REF!</v>
      </c>
      <c r="DC34" s="39" t="e">
        <f t="shared" ca="1" si="6"/>
        <v>#REF!</v>
      </c>
      <c r="DD34" s="39" t="e">
        <f t="shared" ca="1" si="7"/>
        <v>#REF!</v>
      </c>
      <c r="DE34" s="3" t="e">
        <f t="shared" ca="1" si="8"/>
        <v>#REF!</v>
      </c>
      <c r="DF34" s="39" t="e">
        <f t="shared" ca="1" si="9"/>
        <v>#REF!</v>
      </c>
      <c r="DG34" s="39" t="e">
        <f t="array" ref="DG34">INDEX(#REF!,ROW()-ROW(#REF!),MATCH("Total "&amp;home_land,#REF!,0))+#REF!</f>
        <v>#REF!</v>
      </c>
      <c r="DH34" s="3" t="e">
        <f t="shared" ca="1" si="10"/>
        <v>#REF!</v>
      </c>
      <c r="DI34" s="3" t="e">
        <f t="shared" ca="1" si="0"/>
        <v>#REF!</v>
      </c>
      <c r="DJ34" s="3" t="e">
        <f t="shared" ca="1" si="1"/>
        <v>#REF!</v>
      </c>
    </row>
    <row r="35" spans="1:114" x14ac:dyDescent="0.25">
      <c r="A35" s="160" t="e">
        <f>#REF!</f>
        <v>#REF!</v>
      </c>
      <c r="B35" s="161" t="e">
        <f>SUM(#REF!)</f>
        <v>#REF!</v>
      </c>
      <c r="C35" s="162" t="e">
        <f>SUM(#REF!)</f>
        <v>#REF!</v>
      </c>
      <c r="D35" s="162">
        <f t="shared" si="2"/>
        <v>0</v>
      </c>
      <c r="E35" s="163"/>
      <c r="F35" s="61" t="e">
        <f>#REF!+#REF!+#REF!</f>
        <v>#REF!</v>
      </c>
      <c r="G35" s="171" t="e">
        <f ca="1">OFFSET(#REF!,-1,0)+#REF!</f>
        <v>#REF!</v>
      </c>
      <c r="H35" s="166" t="e">
        <f ca="1">OFFSET(#REF!,-1,0)+#REF!</f>
        <v>#REF!</v>
      </c>
      <c r="I35" s="341" t="e">
        <f ca="1">OFFSET(#REF!,-1,0)+#REF!</f>
        <v>#REF!</v>
      </c>
      <c r="J35" s="345" t="e">
        <f ca="1">OFFSET(#REF!,-1,0)+#REF!</f>
        <v>#REF!</v>
      </c>
      <c r="K35" s="349" t="e">
        <f ca="1">OFFSET(#REF!,-1,0)+#REF!</f>
        <v>#REF!</v>
      </c>
      <c r="L35" s="169" t="e">
        <f ca="1">OFFSET(#REF!,-1,0)+#REF!</f>
        <v>#REF!</v>
      </c>
      <c r="M35" s="170" t="e">
        <f ca="1">OFFSET(#REF!,-1,0)+#REF!</f>
        <v>#REF!</v>
      </c>
      <c r="N35" s="339" t="e">
        <f>#REF!</f>
        <v>#REF!</v>
      </c>
      <c r="O35" s="164"/>
      <c r="P35" s="146"/>
      <c r="Q35" s="164"/>
      <c r="R35" s="164"/>
      <c r="S35" s="164"/>
      <c r="T35" s="164"/>
      <c r="U35" s="164"/>
      <c r="V35" s="164"/>
      <c r="W35" s="164"/>
      <c r="X35" s="146"/>
      <c r="Y35" s="164"/>
      <c r="Z35" s="164"/>
      <c r="AA35" s="164"/>
      <c r="AB35" s="164"/>
      <c r="AC35" s="164"/>
      <c r="AD35" s="164"/>
      <c r="AE35" s="164"/>
      <c r="AF35" s="164"/>
      <c r="AG35" s="164"/>
      <c r="AH35" s="53" t="e">
        <f>#REF!</f>
        <v>#REF!</v>
      </c>
      <c r="AI35" s="132" t="e">
        <f>MIN(25%,(#REF!+#REF!)/(#REF!-#REF!*20))</f>
        <v>#REF!</v>
      </c>
      <c r="AJ35" s="132" t="e">
        <f>MIN(25%,(#REF!+#REF!)/#REF!)</f>
        <v>#REF!</v>
      </c>
      <c r="AK35" s="39" t="e">
        <f>#REF!</f>
        <v>#REF!</v>
      </c>
      <c r="AL35" s="39" t="e">
        <f>#REF!</f>
        <v>#REF!</v>
      </c>
      <c r="AM35" s="39" t="e">
        <f>ROUNDDOWN( MAX((1 - MIN(facs_constr_factor*#REF!,facs_constr_max) + tech_2_3*#REF! + tech_2_6_2*#REF! + tech_2_10*#REF! + tech_4_6*#REF! + tech_6_3*#REF! + tech_9_2*#REF! + race_construction_cost), 1-global_constr_cap) *#REF!,0)</f>
        <v>#REF!</v>
      </c>
      <c r="AN35" s="39" t="e">
        <f>ROUNDDOWN( MAX(1 - MIN(facs_constr_factor*#REF!,facs_constr_max) + tech_1_11*#REF! + tech_6_3_2*#REF! + tech_5_2_3*#REF!, 1-global_constr_cap) *#REF!,0)</f>
        <v>#REF!</v>
      </c>
      <c r="AO35" s="39" t="e">
        <f>ROUNDDOWN( MAX((1 - MIN(facs_constr_factor*#REF!,facs_constr_max) + tech_2_3*#REF! + tech_2_6_2*#REF! + tech_2_10*#REF! + tech_4_6*#REF! + tech_6_3*#REF! + tech_9_2*#REF! + race_construction_cost), 1-global_constr_cap) * (ROUND((#REF!-250)*1.25 + 850 + 0,0)),0)</f>
        <v>#REF!</v>
      </c>
      <c r="AP35" s="39" t="e">
        <f>ROUNDDOWN( MAX(1 - MIN(facs_constr_factor*#REF!,facs_constr_max) + tech_1_11*#REF! + tech_6_3_2*#REF! + tech_5_2_3*#REF!, 1-global_constr_cap) * ROUND((#REF!-250)*0.285 + 87.5 + 0/4.25,0),0)</f>
        <v>#REF!</v>
      </c>
      <c r="AQ35" s="3" t="e">
        <f>#REF!*#REF! +#REF! *#REF!</f>
        <v>#REF!</v>
      </c>
      <c r="AR35" s="3" t="e">
        <f>#REF!*#REF!+#REF!*#REF!</f>
        <v>#REF!</v>
      </c>
      <c r="AS35" s="39" t="e">
        <f ca="1">MIN(SUM(OFFSET(#REF!,-1,0))+SUM(#REF!)+IF(#REF!&gt;12,SUM(OFFSET(#REF!,-12,0)),0),SUM(#REF!))</f>
        <v>#REF!</v>
      </c>
      <c r="AT35" s="3" t="e">
        <f ca="1">IF(#REF!&lt;&gt;0,MAX(0, MIN(20, 20 + SUM(#REF!) - SUM(#REF!) - SUM(OFFSET(#REF!,-1,0)) - IF(#REF!&gt;12,SUM(OFFSET(#REF!,-12,0)),0) - 20*#REF!)),0)</f>
        <v>#REF!</v>
      </c>
      <c r="AU35" s="134"/>
      <c r="AV35" s="39" t="e">
        <f>ROUND((#REF!-250 - IF(#REF!&lt;&gt;0,20,0))*1.25 + 850 + 0,0)</f>
        <v>#REF!</v>
      </c>
      <c r="AW35" s="39" t="e">
        <f>ROUND((#REF!-250 - IF(#REF!&lt;&gt;0,20,0))*0.285 + 87.5 + 0/4.25,0)</f>
        <v>#REF!</v>
      </c>
      <c r="AX35" s="133"/>
      <c r="AY35" s="172" t="e">
        <f t="array" aca="1" ref="AY35" ca="1">IF(#REF!&gt;12,OFFSET(#REF!,-12,0),0)+OFFSET(#REF!,-1,0)-#REF!</f>
        <v>#REF!</v>
      </c>
      <c r="AZ35" s="173" t="e">
        <f t="array" aca="1" ref="AZ35" ca="1">IF(#REF!&gt;12,OFFSET(#REF!,-12,0),0)+OFFSET(#REF!,-1,0)-#REF!</f>
        <v>#REF!</v>
      </c>
      <c r="BA35" s="173" t="e">
        <f t="array" aca="1" ref="BA35" ca="1">IF(#REF!&gt;12,OFFSET(#REF!,-12,0),0)+OFFSET(#REF!,-1,0)-#REF!</f>
        <v>#REF!</v>
      </c>
      <c r="BB35" s="173" t="e">
        <f t="array" aca="1" ref="BB35" ca="1">IF(#REF!&gt;12,OFFSET(#REF!,-12,0),0)+OFFSET(#REF!,-1,0)-#REF!</f>
        <v>#REF!</v>
      </c>
      <c r="BC35" s="173" t="e">
        <f t="array" aca="1" ref="BC35" ca="1">IF(#REF!&gt;12,OFFSET(#REF!,-12,0),0)+OFFSET(#REF!,-1,0)-#REF!</f>
        <v>#REF!</v>
      </c>
      <c r="BD35" s="174" t="e">
        <f t="array" aca="1" ref="BD35" ca="1">IF(#REF!&gt;12,OFFSET(#REF!,-12,0),0)+OFFSET(#REF!,-1,0)-#REF!</f>
        <v>#REF!</v>
      </c>
      <c r="BE35" s="174" t="e">
        <f t="array" aca="1" ref="BE35" ca="1">IF(#REF!&gt;12,OFFSET(#REF!,-12,0),0)+OFFSET(#REF!,-1,0)-#REF!</f>
        <v>#REF!</v>
      </c>
      <c r="BF35" s="343" t="e">
        <f t="array" aca="1" ref="BF35" ca="1">IF(#REF!&gt;12,OFFSET(#REF!,-12,0),0)+OFFSET(#REF!,-1,0)-#REF!</f>
        <v>#REF!</v>
      </c>
      <c r="BG35" s="343" t="e">
        <f t="array" aca="1" ref="BG35" ca="1">IF(#REF!&gt;12,OFFSET(#REF!,-12,0),0)+OFFSET(#REF!,-1,0)-#REF!</f>
        <v>#REF!</v>
      </c>
      <c r="BH35" s="347" t="e">
        <f t="array" aca="1" ref="BH35" ca="1">IF(#REF!&gt;12,OFFSET(#REF!,-12,0),0)+OFFSET(#REF!,-1,0)-#REF!</f>
        <v>#REF!</v>
      </c>
      <c r="BI35" s="347" t="e">
        <f t="array" aca="1" ref="BI35" ca="1">IF(#REF!&gt;12,OFFSET(#REF!,-12,0),0)+OFFSET(#REF!,-1,0)-#REF!</f>
        <v>#REF!</v>
      </c>
      <c r="BJ35" s="347" t="e">
        <f t="array" aca="1" ref="BJ35" ca="1">IF(#REF!&gt;12,OFFSET(#REF!,-12,0),0)+OFFSET(#REF!,-1,0)-#REF!</f>
        <v>#REF!</v>
      </c>
      <c r="BK35" s="347" t="e">
        <f t="array" aca="1" ref="BK35" ca="1">IF(#REF!&gt;12,OFFSET(#REF!,-12,0),0)+OFFSET(#REF!,-1,0)-#REF!</f>
        <v>#REF!</v>
      </c>
      <c r="BL35" s="351" t="e">
        <f t="array" aca="1" ref="BL35" ca="1">IF(#REF!&gt;12,OFFSET(#REF!,-12,0),0)+OFFSET(#REF!,-1,0)-#REF!</f>
        <v>#REF!</v>
      </c>
      <c r="BM35" s="351" t="e">
        <f t="array" aca="1" ref="BM35" ca="1">IF(#REF!&gt;12,OFFSET(#REF!,-12,0),0)+OFFSET(#REF!,-1,0)-#REF!</f>
        <v>#REF!</v>
      </c>
      <c r="BN35" s="351" t="e">
        <f t="array" aca="1" ref="BN35" ca="1">IF(#REF!&gt;12,OFFSET(#REF!,-12,0),0)+OFFSET(#REF!,-1,0)-#REF!</f>
        <v>#REF!</v>
      </c>
      <c r="BO35" s="175" t="e">
        <f t="array" aca="1" ref="BO35" ca="1">IF(#REF!&gt;12,OFFSET(#REF!,-12,0),0)+OFFSET(#REF!,-1,0)-#REF!</f>
        <v>#REF!</v>
      </c>
      <c r="BP35" s="175" t="e">
        <f t="array" aca="1" ref="BP35" ca="1">IF(#REF!&gt;12,OFFSET(#REF!,-12,0),0)+OFFSET(#REF!,-1,0)-#REF!</f>
        <v>#REF!</v>
      </c>
      <c r="BQ35" s="176" t="e">
        <f t="array" aca="1" ref="BQ35" ca="1">IF(#REF!&gt;12,OFFSET(#REF!,-12,0),0)+OFFSET(#REF!,-1,0)-#REF!</f>
        <v>#REF!</v>
      </c>
      <c r="BR35" s="134"/>
      <c r="BS35" s="133"/>
      <c r="BT35" s="39" t="e">
        <f>#REF!</f>
        <v>#REF!</v>
      </c>
      <c r="BU35" s="147" t="e">
        <f>#REF!</f>
        <v>#REF!</v>
      </c>
      <c r="BV35" s="134"/>
      <c r="BW35" s="164"/>
      <c r="BX35" s="164"/>
      <c r="BY35" s="164"/>
      <c r="BZ35" s="164"/>
      <c r="CA35" s="164"/>
      <c r="CB35" s="164"/>
      <c r="CC35" s="164"/>
      <c r="CD35" s="164"/>
      <c r="CE35" s="164"/>
      <c r="CF35" s="164"/>
      <c r="CG35" s="164"/>
      <c r="CH35" s="164"/>
      <c r="CI35" s="164"/>
      <c r="CJ35" s="164"/>
      <c r="CK35" s="164"/>
      <c r="CL35" s="164"/>
      <c r="CM35" s="164"/>
      <c r="CN35" s="164"/>
      <c r="CO35" s="164"/>
      <c r="CP35" s="134"/>
      <c r="CQ35" s="165" t="e">
        <f ca="1">-SUM(#REF!)+SUM(#REF!)+Rezone!L35+IF("Ch_"&amp; home_land=#REF!,#REF!)+IF(#REF!&gt;12,OFFSET(#REF!,-12,0),0)</f>
        <v>#REF!</v>
      </c>
      <c r="CR35" s="166" t="e">
        <f ca="1">-SUM(#REF!)+SUM(#REF!) +Rezone!M35 + IF("Ch_"&amp; home_land=#REF!,#REF!)+IF(#REF!&gt;12,OFFSET(#REF!,-12,0),0)</f>
        <v>#REF!</v>
      </c>
      <c r="CS35" s="341" t="e">
        <f ca="1">-SUM(#REF!)+SUM(#REF!) +Rezone!N35 + IF("Ch_"&amp; home_land=#REF!,#REF!)+IF(#REF!&gt;12,OFFSET(#REF!,-12,0),0)</f>
        <v>#REF!</v>
      </c>
      <c r="CT35" s="167" t="e">
        <f ca="1">-SUM(#REF!)+SUM(#REF!) +Rezone!O35 + IF("Ch_" &amp; home_land=#REF!,#REF!)+IF(#REF!&gt;12,OFFSET(#REF!,-12,0),0)</f>
        <v>#REF!</v>
      </c>
      <c r="CU35" s="168" t="e">
        <f ca="1">-SUM(#REF!)+SUM(#REF!) +Rezone!P35 + IF("Ch_" &amp; home_land=#REF!,#REF!)+IF(#REF!&gt;12,OFFSET(#REF!,-12,0),0)</f>
        <v>#REF!</v>
      </c>
      <c r="CV35" s="169" t="e">
        <f ca="1">- SUM(#REF!)+SUM(#REF!) +Rezone!Q35 + IF("Ch_" &amp; home_land=#REF!,#REF!)+IF(#REF!&gt;12,OFFSET(#REF!,-12,0),0)</f>
        <v>#REF!</v>
      </c>
      <c r="CW35" s="170" t="e">
        <f ca="1">-#REF!+#REF! +Rezone!R35 + IF("Ch_" &amp; home_land=#REF!,#REF!)+IF(#REF!&gt;12,OFFSET(#REF!,-12,0),0)</f>
        <v>#REF!</v>
      </c>
      <c r="CX35" s="3" t="e">
        <f>IF(Explore!S35=1,20) -#REF! +#REF!</f>
        <v>#REF!</v>
      </c>
      <c r="CY35" s="134"/>
      <c r="CZ35" s="39" t="e">
        <f t="shared" ca="1" si="3"/>
        <v>#REF!</v>
      </c>
      <c r="DA35" s="39" t="e">
        <f t="shared" ca="1" si="4"/>
        <v>#REF!</v>
      </c>
      <c r="DB35" s="3" t="e">
        <f t="shared" ca="1" si="5"/>
        <v>#REF!</v>
      </c>
      <c r="DC35" s="39" t="e">
        <f t="shared" ca="1" si="6"/>
        <v>#REF!</v>
      </c>
      <c r="DD35" s="39" t="e">
        <f t="shared" ca="1" si="7"/>
        <v>#REF!</v>
      </c>
      <c r="DE35" s="3" t="e">
        <f t="shared" ca="1" si="8"/>
        <v>#REF!</v>
      </c>
      <c r="DF35" s="39" t="e">
        <f t="shared" ca="1" si="9"/>
        <v>#REF!</v>
      </c>
      <c r="DG35" s="39" t="e">
        <f t="array" ref="DG35">INDEX(#REF!,ROW()-ROW(#REF!),MATCH("Total "&amp;home_land,#REF!,0))+#REF!</f>
        <v>#REF!</v>
      </c>
      <c r="DH35" s="3" t="e">
        <f t="shared" ca="1" si="10"/>
        <v>#REF!</v>
      </c>
      <c r="DI35" s="3" t="e">
        <f t="shared" ca="1" si="0"/>
        <v>#REF!</v>
      </c>
      <c r="DJ35" s="3" t="e">
        <f t="shared" ca="1" si="1"/>
        <v>#REF!</v>
      </c>
    </row>
    <row r="36" spans="1:114" x14ac:dyDescent="0.25">
      <c r="A36" s="160" t="e">
        <f>#REF!</f>
        <v>#REF!</v>
      </c>
      <c r="B36" s="161" t="e">
        <f>SUM(#REF!)</f>
        <v>#REF!</v>
      </c>
      <c r="C36" s="162" t="e">
        <f>SUM(#REF!)</f>
        <v>#REF!</v>
      </c>
      <c r="D36" s="162">
        <f t="shared" si="2"/>
        <v>0</v>
      </c>
      <c r="E36" s="163"/>
      <c r="F36" s="61" t="e">
        <f>#REF!+#REF!+#REF!</f>
        <v>#REF!</v>
      </c>
      <c r="G36" s="171" t="e">
        <f ca="1">OFFSET(#REF!,-1,0)+#REF!</f>
        <v>#REF!</v>
      </c>
      <c r="H36" s="166" t="e">
        <f ca="1">OFFSET(#REF!,-1,0)+#REF!</f>
        <v>#REF!</v>
      </c>
      <c r="I36" s="341" t="e">
        <f ca="1">OFFSET(#REF!,-1,0)+#REF!</f>
        <v>#REF!</v>
      </c>
      <c r="J36" s="345" t="e">
        <f ca="1">OFFSET(#REF!,-1,0)+#REF!</f>
        <v>#REF!</v>
      </c>
      <c r="K36" s="349" t="e">
        <f ca="1">OFFSET(#REF!,-1,0)+#REF!</f>
        <v>#REF!</v>
      </c>
      <c r="L36" s="169" t="e">
        <f ca="1">OFFSET(#REF!,-1,0)+#REF!</f>
        <v>#REF!</v>
      </c>
      <c r="M36" s="170" t="e">
        <f ca="1">OFFSET(#REF!,-1,0)+#REF!</f>
        <v>#REF!</v>
      </c>
      <c r="N36" s="339" t="e">
        <f>#REF!</f>
        <v>#REF!</v>
      </c>
      <c r="O36" s="164"/>
      <c r="P36" s="164"/>
      <c r="Q36" s="164"/>
      <c r="R36" s="164"/>
      <c r="S36" s="164"/>
      <c r="T36" s="164"/>
      <c r="U36" s="164"/>
      <c r="V36" s="164"/>
      <c r="W36" s="164"/>
      <c r="X36" s="164"/>
      <c r="Y36" s="164"/>
      <c r="Z36" s="164"/>
      <c r="AA36" s="164"/>
      <c r="AB36" s="164"/>
      <c r="AC36" s="164"/>
      <c r="AD36" s="164"/>
      <c r="AE36" s="164"/>
      <c r="AF36" s="164"/>
      <c r="AG36" s="164"/>
      <c r="AH36" s="53" t="e">
        <f>#REF!</f>
        <v>#REF!</v>
      </c>
      <c r="AI36" s="132" t="e">
        <f>MIN(25%,(#REF!+#REF!)/(#REF!-#REF!*20))</f>
        <v>#REF!</v>
      </c>
      <c r="AJ36" s="132" t="e">
        <f>MIN(25%,(#REF!+#REF!)/#REF!)</f>
        <v>#REF!</v>
      </c>
      <c r="AK36" s="39" t="e">
        <f>#REF!</f>
        <v>#REF!</v>
      </c>
      <c r="AL36" s="39" t="e">
        <f>#REF!</f>
        <v>#REF!</v>
      </c>
      <c r="AM36" s="39" t="e">
        <f>ROUNDDOWN( MAX((1 - MIN(facs_constr_factor*#REF!,facs_constr_max) + tech_2_3*#REF! + tech_2_6_2*#REF! + tech_2_10*#REF! + tech_4_6*#REF! + tech_6_3*#REF! + tech_9_2*#REF! + race_construction_cost), 1-global_constr_cap) *#REF!,0)</f>
        <v>#REF!</v>
      </c>
      <c r="AN36" s="39" t="e">
        <f>ROUNDDOWN( MAX(1 - MIN(facs_constr_factor*#REF!,facs_constr_max) + tech_1_11*#REF! + tech_6_3_2*#REF! + tech_5_2_3*#REF!, 1-global_constr_cap) *#REF!,0)</f>
        <v>#REF!</v>
      </c>
      <c r="AO36" s="39" t="e">
        <f>ROUNDDOWN( MAX((1 - MIN(facs_constr_factor*#REF!,facs_constr_max) + tech_2_3*#REF! + tech_2_6_2*#REF! + tech_2_10*#REF! + tech_4_6*#REF! + tech_6_3*#REF! + tech_9_2*#REF! + race_construction_cost), 1-global_constr_cap) * (ROUND((#REF!-250)*1.25 + 850 + 0,0)),0)</f>
        <v>#REF!</v>
      </c>
      <c r="AP36" s="39" t="e">
        <f>ROUNDDOWN( MAX(1 - MIN(facs_constr_factor*#REF!,facs_constr_max) + tech_1_11*#REF! + tech_6_3_2*#REF! + tech_5_2_3*#REF!, 1-global_constr_cap) * ROUND((#REF!-250)*0.285 + 87.5 + 0/4.25,0),0)</f>
        <v>#REF!</v>
      </c>
      <c r="AQ36" s="3" t="e">
        <f>#REF!*#REF! +#REF! *#REF!</f>
        <v>#REF!</v>
      </c>
      <c r="AR36" s="3" t="e">
        <f>#REF!*#REF!+#REF!*#REF!</f>
        <v>#REF!</v>
      </c>
      <c r="AS36" s="39" t="e">
        <f ca="1">MIN(SUM(OFFSET(#REF!,-1,0))+SUM(#REF!)+IF(#REF!&gt;12,SUM(OFFSET(#REF!,-12,0)),0),SUM(#REF!))</f>
        <v>#REF!</v>
      </c>
      <c r="AT36" s="3" t="e">
        <f ca="1">IF(#REF!&lt;&gt;0,MAX(0, MIN(20, 20 + SUM(#REF!) - SUM(#REF!) - SUM(OFFSET(#REF!,-1,0)) - IF(#REF!&gt;12,SUM(OFFSET(#REF!,-12,0)),0) - 20*#REF!)),0)</f>
        <v>#REF!</v>
      </c>
      <c r="AU36" s="134"/>
      <c r="AV36" s="39" t="e">
        <f>ROUND((#REF!-250 - IF(#REF!&lt;&gt;0,20,0))*1.25 + 850 + 0,0)</f>
        <v>#REF!</v>
      </c>
      <c r="AW36" s="39" t="e">
        <f>ROUND((#REF!-250 - IF(#REF!&lt;&gt;0,20,0))*0.285 + 87.5 + 0/4.25,0)</f>
        <v>#REF!</v>
      </c>
      <c r="AX36" s="133"/>
      <c r="AY36" s="172" t="e">
        <f t="array" aca="1" ref="AY36" ca="1">IF(#REF!&gt;12,OFFSET(#REF!,-12,0),0)+OFFSET(#REF!,-1,0)-#REF!</f>
        <v>#REF!</v>
      </c>
      <c r="AZ36" s="173" t="e">
        <f t="array" aca="1" ref="AZ36" ca="1">IF(#REF!&gt;12,OFFSET(#REF!,-12,0),0)+OFFSET(#REF!,-1,0)-#REF!</f>
        <v>#REF!</v>
      </c>
      <c r="BA36" s="173" t="e">
        <f t="array" aca="1" ref="BA36" ca="1">IF(#REF!&gt;12,OFFSET(#REF!,-12,0),0)+OFFSET(#REF!,-1,0)-#REF!</f>
        <v>#REF!</v>
      </c>
      <c r="BB36" s="173" t="e">
        <f t="array" aca="1" ref="BB36" ca="1">IF(#REF!&gt;12,OFFSET(#REF!,-12,0),0)+OFFSET(#REF!,-1,0)-#REF!</f>
        <v>#REF!</v>
      </c>
      <c r="BC36" s="173" t="e">
        <f t="array" aca="1" ref="BC36" ca="1">IF(#REF!&gt;12,OFFSET(#REF!,-12,0),0)+OFFSET(#REF!,-1,0)-#REF!</f>
        <v>#REF!</v>
      </c>
      <c r="BD36" s="174" t="e">
        <f t="array" aca="1" ref="BD36" ca="1">IF(#REF!&gt;12,OFFSET(#REF!,-12,0),0)+OFFSET(#REF!,-1,0)-#REF!</f>
        <v>#REF!</v>
      </c>
      <c r="BE36" s="174" t="e">
        <f t="array" aca="1" ref="BE36" ca="1">IF(#REF!&gt;12,OFFSET(#REF!,-12,0),0)+OFFSET(#REF!,-1,0)-#REF!</f>
        <v>#REF!</v>
      </c>
      <c r="BF36" s="343" t="e">
        <f t="array" aca="1" ref="BF36" ca="1">IF(#REF!&gt;12,OFFSET(#REF!,-12,0),0)+OFFSET(#REF!,-1,0)-#REF!</f>
        <v>#REF!</v>
      </c>
      <c r="BG36" s="343" t="e">
        <f t="array" aca="1" ref="BG36" ca="1">IF(#REF!&gt;12,OFFSET(#REF!,-12,0),0)+OFFSET(#REF!,-1,0)-#REF!</f>
        <v>#REF!</v>
      </c>
      <c r="BH36" s="347" t="e">
        <f t="array" aca="1" ref="BH36" ca="1">IF(#REF!&gt;12,OFFSET(#REF!,-12,0),0)+OFFSET(#REF!,-1,0)-#REF!</f>
        <v>#REF!</v>
      </c>
      <c r="BI36" s="347" t="e">
        <f t="array" aca="1" ref="BI36" ca="1">IF(#REF!&gt;12,OFFSET(#REF!,-12,0),0)+OFFSET(#REF!,-1,0)-#REF!</f>
        <v>#REF!</v>
      </c>
      <c r="BJ36" s="347" t="e">
        <f t="array" aca="1" ref="BJ36" ca="1">IF(#REF!&gt;12,OFFSET(#REF!,-12,0),0)+OFFSET(#REF!,-1,0)-#REF!</f>
        <v>#REF!</v>
      </c>
      <c r="BK36" s="347" t="e">
        <f t="array" aca="1" ref="BK36" ca="1">IF(#REF!&gt;12,OFFSET(#REF!,-12,0),0)+OFFSET(#REF!,-1,0)-#REF!</f>
        <v>#REF!</v>
      </c>
      <c r="BL36" s="351" t="e">
        <f t="array" aca="1" ref="BL36" ca="1">IF(#REF!&gt;12,OFFSET(#REF!,-12,0),0)+OFFSET(#REF!,-1,0)-#REF!</f>
        <v>#REF!</v>
      </c>
      <c r="BM36" s="351" t="e">
        <f t="array" aca="1" ref="BM36" ca="1">IF(#REF!&gt;12,OFFSET(#REF!,-12,0),0)+OFFSET(#REF!,-1,0)-#REF!</f>
        <v>#REF!</v>
      </c>
      <c r="BN36" s="351" t="e">
        <f t="array" aca="1" ref="BN36" ca="1">IF(#REF!&gt;12,OFFSET(#REF!,-12,0),0)+OFFSET(#REF!,-1,0)-#REF!</f>
        <v>#REF!</v>
      </c>
      <c r="BO36" s="175" t="e">
        <f t="array" aca="1" ref="BO36" ca="1">IF(#REF!&gt;12,OFFSET(#REF!,-12,0),0)+OFFSET(#REF!,-1,0)-#REF!</f>
        <v>#REF!</v>
      </c>
      <c r="BP36" s="175" t="e">
        <f t="array" aca="1" ref="BP36" ca="1">IF(#REF!&gt;12,OFFSET(#REF!,-12,0),0)+OFFSET(#REF!,-1,0)-#REF!</f>
        <v>#REF!</v>
      </c>
      <c r="BQ36" s="176" t="e">
        <f t="array" aca="1" ref="BQ36" ca="1">IF(#REF!&gt;12,OFFSET(#REF!,-12,0),0)+OFFSET(#REF!,-1,0)-#REF!</f>
        <v>#REF!</v>
      </c>
      <c r="BR36" s="134"/>
      <c r="BS36" s="133"/>
      <c r="BT36" s="39" t="e">
        <f>#REF!</f>
        <v>#REF!</v>
      </c>
      <c r="BU36" s="147" t="e">
        <f>#REF!</f>
        <v>#REF!</v>
      </c>
      <c r="BV36" s="134"/>
      <c r="BW36" s="164"/>
      <c r="BX36" s="164"/>
      <c r="BY36" s="164"/>
      <c r="BZ36" s="164"/>
      <c r="CA36" s="164"/>
      <c r="CB36" s="164"/>
      <c r="CC36" s="164"/>
      <c r="CD36" s="164"/>
      <c r="CE36" s="164"/>
      <c r="CF36" s="164"/>
      <c r="CG36" s="164"/>
      <c r="CH36" s="164"/>
      <c r="CI36" s="164"/>
      <c r="CJ36" s="164"/>
      <c r="CK36" s="164"/>
      <c r="CL36" s="164"/>
      <c r="CM36" s="164"/>
      <c r="CN36" s="164"/>
      <c r="CO36" s="164"/>
      <c r="CP36" s="134"/>
      <c r="CQ36" s="165" t="e">
        <f ca="1">-SUM(#REF!)+SUM(#REF!)+Rezone!L36+IF("Ch_"&amp; home_land=#REF!,#REF!)+IF(#REF!&gt;12,OFFSET(#REF!,-12,0),0)</f>
        <v>#REF!</v>
      </c>
      <c r="CR36" s="166" t="e">
        <f ca="1">-SUM(#REF!)+SUM(#REF!) +Rezone!M36 + IF("Ch_"&amp; home_land=#REF!,#REF!)+IF(#REF!&gt;12,OFFSET(#REF!,-12,0),0)</f>
        <v>#REF!</v>
      </c>
      <c r="CS36" s="341" t="e">
        <f ca="1">-SUM(#REF!)+SUM(#REF!) +Rezone!N36 + IF("Ch_"&amp; home_land=#REF!,#REF!)+IF(#REF!&gt;12,OFFSET(#REF!,-12,0),0)</f>
        <v>#REF!</v>
      </c>
      <c r="CT36" s="167" t="e">
        <f ca="1">-SUM(#REF!)+SUM(#REF!) +Rezone!O36 + IF("Ch_" &amp; home_land=#REF!,#REF!)+IF(#REF!&gt;12,OFFSET(#REF!,-12,0),0)</f>
        <v>#REF!</v>
      </c>
      <c r="CU36" s="168" t="e">
        <f ca="1">-SUM(#REF!)+SUM(#REF!) +Rezone!P36 + IF("Ch_" &amp; home_land=#REF!,#REF!)+IF(#REF!&gt;12,OFFSET(#REF!,-12,0),0)</f>
        <v>#REF!</v>
      </c>
      <c r="CV36" s="169" t="e">
        <f ca="1">- SUM(#REF!)+SUM(#REF!) +Rezone!Q36 + IF("Ch_" &amp; home_land=#REF!,#REF!)+IF(#REF!&gt;12,OFFSET(#REF!,-12,0),0)</f>
        <v>#REF!</v>
      </c>
      <c r="CW36" s="170" t="e">
        <f ca="1">-#REF!+#REF! +Rezone!R36 + IF("Ch_" &amp; home_land=#REF!,#REF!)+IF(#REF!&gt;12,OFFSET(#REF!,-12,0),0)</f>
        <v>#REF!</v>
      </c>
      <c r="CX36" s="3" t="e">
        <f>IF(Explore!S36=1,20) -#REF! +#REF!</f>
        <v>#REF!</v>
      </c>
      <c r="CY36" s="134"/>
      <c r="CZ36" s="39" t="e">
        <f t="shared" ca="1" si="3"/>
        <v>#REF!</v>
      </c>
      <c r="DA36" s="39" t="e">
        <f t="shared" ca="1" si="4"/>
        <v>#REF!</v>
      </c>
      <c r="DB36" s="3" t="e">
        <f t="shared" ca="1" si="5"/>
        <v>#REF!</v>
      </c>
      <c r="DC36" s="39" t="e">
        <f t="shared" ca="1" si="6"/>
        <v>#REF!</v>
      </c>
      <c r="DD36" s="39" t="e">
        <f t="shared" ca="1" si="7"/>
        <v>#REF!</v>
      </c>
      <c r="DE36" s="3" t="e">
        <f t="shared" ca="1" si="8"/>
        <v>#REF!</v>
      </c>
      <c r="DF36" s="39" t="e">
        <f t="shared" ca="1" si="9"/>
        <v>#REF!</v>
      </c>
      <c r="DG36" s="39" t="e">
        <f t="array" ref="DG36">INDEX(#REF!,ROW()-ROW(#REF!),MATCH("Total "&amp;home_land,#REF!,0))+#REF!</f>
        <v>#REF!</v>
      </c>
      <c r="DH36" s="3" t="e">
        <f t="shared" ca="1" si="10"/>
        <v>#REF!</v>
      </c>
      <c r="DI36" s="3" t="e">
        <f t="shared" ca="1" si="0"/>
        <v>#REF!</v>
      </c>
      <c r="DJ36" s="3" t="e">
        <f t="shared" ca="1" si="1"/>
        <v>#REF!</v>
      </c>
    </row>
    <row r="37" spans="1:114" x14ac:dyDescent="0.25">
      <c r="A37" s="160" t="e">
        <f>#REF!</f>
        <v>#REF!</v>
      </c>
      <c r="B37" s="161" t="e">
        <f>SUM(#REF!)</f>
        <v>#REF!</v>
      </c>
      <c r="C37" s="162" t="e">
        <f>SUM(#REF!)</f>
        <v>#REF!</v>
      </c>
      <c r="D37" s="162">
        <f t="shared" si="2"/>
        <v>0</v>
      </c>
      <c r="E37" s="163"/>
      <c r="F37" s="61" t="e">
        <f>#REF!+#REF!+#REF!</f>
        <v>#REF!</v>
      </c>
      <c r="G37" s="171" t="e">
        <f ca="1">OFFSET(#REF!,-1,0)+#REF!</f>
        <v>#REF!</v>
      </c>
      <c r="H37" s="166" t="e">
        <f ca="1">OFFSET(#REF!,-1,0)+#REF!</f>
        <v>#REF!</v>
      </c>
      <c r="I37" s="341" t="e">
        <f ca="1">OFFSET(#REF!,-1,0)+#REF!</f>
        <v>#REF!</v>
      </c>
      <c r="J37" s="345" t="e">
        <f ca="1">OFFSET(#REF!,-1,0)+#REF!</f>
        <v>#REF!</v>
      </c>
      <c r="K37" s="349" t="e">
        <f ca="1">OFFSET(#REF!,-1,0)+#REF!</f>
        <v>#REF!</v>
      </c>
      <c r="L37" s="169" t="e">
        <f ca="1">OFFSET(#REF!,-1,0)+#REF!</f>
        <v>#REF!</v>
      </c>
      <c r="M37" s="170" t="e">
        <f ca="1">OFFSET(#REF!,-1,0)+#REF!</f>
        <v>#REF!</v>
      </c>
      <c r="N37" s="339" t="e">
        <f>#REF!</f>
        <v>#REF!</v>
      </c>
      <c r="O37" s="164"/>
      <c r="P37" s="164"/>
      <c r="Q37" s="164"/>
      <c r="R37" s="164"/>
      <c r="S37" s="164"/>
      <c r="T37" s="164"/>
      <c r="U37" s="164"/>
      <c r="V37" s="164"/>
      <c r="W37" s="164"/>
      <c r="X37" s="164"/>
      <c r="Y37" s="164"/>
      <c r="Z37" s="164"/>
      <c r="AA37" s="164"/>
      <c r="AB37" s="164"/>
      <c r="AC37" s="164"/>
      <c r="AD37" s="164"/>
      <c r="AE37" s="164"/>
      <c r="AF37" s="164"/>
      <c r="AG37" s="164"/>
      <c r="AH37" s="53" t="e">
        <f>#REF!</f>
        <v>#REF!</v>
      </c>
      <c r="AI37" s="132" t="e">
        <f>MIN(25%,(#REF!+#REF!)/(#REF!-#REF!*20))</f>
        <v>#REF!</v>
      </c>
      <c r="AJ37" s="132" t="e">
        <f>MIN(25%,(#REF!+#REF!)/#REF!)</f>
        <v>#REF!</v>
      </c>
      <c r="AK37" s="39" t="e">
        <f>#REF!</f>
        <v>#REF!</v>
      </c>
      <c r="AL37" s="39" t="e">
        <f>#REF!</f>
        <v>#REF!</v>
      </c>
      <c r="AM37" s="39" t="e">
        <f>ROUNDDOWN( MAX((1 - MIN(facs_constr_factor*#REF!,facs_constr_max) + tech_2_3*#REF! + tech_2_6_2*#REF! + tech_2_10*#REF! + tech_4_6*#REF! + tech_6_3*#REF! + tech_9_2*#REF! + race_construction_cost), 1-global_constr_cap) *#REF!,0)</f>
        <v>#REF!</v>
      </c>
      <c r="AN37" s="39" t="e">
        <f>ROUNDDOWN( MAX(1 - MIN(facs_constr_factor*#REF!,facs_constr_max) + tech_1_11*#REF! + tech_6_3_2*#REF! + tech_5_2_3*#REF!, 1-global_constr_cap) *#REF!,0)</f>
        <v>#REF!</v>
      </c>
      <c r="AO37" s="39" t="e">
        <f>ROUNDDOWN( MAX((1 - MIN(facs_constr_factor*#REF!,facs_constr_max) + tech_2_3*#REF! + tech_2_6_2*#REF! + tech_2_10*#REF! + tech_4_6*#REF! + tech_6_3*#REF! + tech_9_2*#REF! + race_construction_cost), 1-global_constr_cap) * (ROUND((#REF!-250)*1.25 + 850 + 0,0)),0)</f>
        <v>#REF!</v>
      </c>
      <c r="AP37" s="39" t="e">
        <f>ROUNDDOWN( MAX(1 - MIN(facs_constr_factor*#REF!,facs_constr_max) + tech_1_11*#REF! + tech_6_3_2*#REF! + tech_5_2_3*#REF!, 1-global_constr_cap) * ROUND((#REF!-250)*0.285 + 87.5 + 0/4.25,0),0)</f>
        <v>#REF!</v>
      </c>
      <c r="AQ37" s="3" t="e">
        <f>#REF!*#REF! +#REF! *#REF!</f>
        <v>#REF!</v>
      </c>
      <c r="AR37" s="3" t="e">
        <f>#REF!*#REF!+#REF!*#REF!</f>
        <v>#REF!</v>
      </c>
      <c r="AS37" s="39" t="e">
        <f ca="1">MIN(SUM(OFFSET(#REF!,-1,0))+SUM(#REF!)+IF(#REF!&gt;12,SUM(OFFSET(#REF!,-12,0)),0),SUM(#REF!))</f>
        <v>#REF!</v>
      </c>
      <c r="AT37" s="3" t="e">
        <f ca="1">IF(#REF!&lt;&gt;0,MAX(0, MIN(20, 20 + SUM(#REF!) - SUM(#REF!) - SUM(OFFSET(#REF!,-1,0)) - IF(#REF!&gt;12,SUM(OFFSET(#REF!,-12,0)),0) - 20*#REF!)),0)</f>
        <v>#REF!</v>
      </c>
      <c r="AU37" s="134"/>
      <c r="AV37" s="39" t="e">
        <f>ROUND((#REF!-250 - IF(#REF!&lt;&gt;0,20,0))*1.25 + 850 + 0,0)</f>
        <v>#REF!</v>
      </c>
      <c r="AW37" s="39" t="e">
        <f>ROUND((#REF!-250 - IF(#REF!&lt;&gt;0,20,0))*0.285 + 87.5 + 0/4.25,0)</f>
        <v>#REF!</v>
      </c>
      <c r="AX37" s="133"/>
      <c r="AY37" s="172" t="e">
        <f t="array" aca="1" ref="AY37" ca="1">IF(#REF!&gt;12,OFFSET(#REF!,-12,0),0)+OFFSET(#REF!,-1,0)-#REF!</f>
        <v>#REF!</v>
      </c>
      <c r="AZ37" s="173" t="e">
        <f t="array" aca="1" ref="AZ37" ca="1">IF(#REF!&gt;12,OFFSET(#REF!,-12,0),0)+OFFSET(#REF!,-1,0)-#REF!</f>
        <v>#REF!</v>
      </c>
      <c r="BA37" s="173" t="e">
        <f t="array" aca="1" ref="BA37" ca="1">IF(#REF!&gt;12,OFFSET(#REF!,-12,0),0)+OFFSET(#REF!,-1,0)-#REF!</f>
        <v>#REF!</v>
      </c>
      <c r="BB37" s="173" t="e">
        <f t="array" aca="1" ref="BB37" ca="1">IF(#REF!&gt;12,OFFSET(#REF!,-12,0),0)+OFFSET(#REF!,-1,0)-#REF!</f>
        <v>#REF!</v>
      </c>
      <c r="BC37" s="173" t="e">
        <f t="array" aca="1" ref="BC37" ca="1">IF(#REF!&gt;12,OFFSET(#REF!,-12,0),0)+OFFSET(#REF!,-1,0)-#REF!</f>
        <v>#REF!</v>
      </c>
      <c r="BD37" s="174" t="e">
        <f t="array" aca="1" ref="BD37" ca="1">IF(#REF!&gt;12,OFFSET(#REF!,-12,0),0)+OFFSET(#REF!,-1,0)-#REF!</f>
        <v>#REF!</v>
      </c>
      <c r="BE37" s="174" t="e">
        <f t="array" aca="1" ref="BE37" ca="1">IF(#REF!&gt;12,OFFSET(#REF!,-12,0),0)+OFFSET(#REF!,-1,0)-#REF!</f>
        <v>#REF!</v>
      </c>
      <c r="BF37" s="343" t="e">
        <f t="array" aca="1" ref="BF37" ca="1">IF(#REF!&gt;12,OFFSET(#REF!,-12,0),0)+OFFSET(#REF!,-1,0)-#REF!</f>
        <v>#REF!</v>
      </c>
      <c r="BG37" s="343" t="e">
        <f t="array" aca="1" ref="BG37" ca="1">IF(#REF!&gt;12,OFFSET(#REF!,-12,0),0)+OFFSET(#REF!,-1,0)-#REF!</f>
        <v>#REF!</v>
      </c>
      <c r="BH37" s="347" t="e">
        <f t="array" aca="1" ref="BH37" ca="1">IF(#REF!&gt;12,OFFSET(#REF!,-12,0),0)+OFFSET(#REF!,-1,0)-#REF!</f>
        <v>#REF!</v>
      </c>
      <c r="BI37" s="347" t="e">
        <f t="array" aca="1" ref="BI37" ca="1">IF(#REF!&gt;12,OFFSET(#REF!,-12,0),0)+OFFSET(#REF!,-1,0)-#REF!</f>
        <v>#REF!</v>
      </c>
      <c r="BJ37" s="347" t="e">
        <f t="array" aca="1" ref="BJ37" ca="1">IF(#REF!&gt;12,OFFSET(#REF!,-12,0),0)+OFFSET(#REF!,-1,0)-#REF!</f>
        <v>#REF!</v>
      </c>
      <c r="BK37" s="347" t="e">
        <f t="array" aca="1" ref="BK37" ca="1">IF(#REF!&gt;12,OFFSET(#REF!,-12,0),0)+OFFSET(#REF!,-1,0)-#REF!</f>
        <v>#REF!</v>
      </c>
      <c r="BL37" s="351" t="e">
        <f t="array" aca="1" ref="BL37" ca="1">IF(#REF!&gt;12,OFFSET(#REF!,-12,0),0)+OFFSET(#REF!,-1,0)-#REF!</f>
        <v>#REF!</v>
      </c>
      <c r="BM37" s="351" t="e">
        <f t="array" aca="1" ref="BM37" ca="1">IF(#REF!&gt;12,OFFSET(#REF!,-12,0),0)+OFFSET(#REF!,-1,0)-#REF!</f>
        <v>#REF!</v>
      </c>
      <c r="BN37" s="351" t="e">
        <f t="array" aca="1" ref="BN37" ca="1">IF(#REF!&gt;12,OFFSET(#REF!,-12,0),0)+OFFSET(#REF!,-1,0)-#REF!</f>
        <v>#REF!</v>
      </c>
      <c r="BO37" s="175" t="e">
        <f t="array" aca="1" ref="BO37" ca="1">IF(#REF!&gt;12,OFFSET(#REF!,-12,0),0)+OFFSET(#REF!,-1,0)-#REF!</f>
        <v>#REF!</v>
      </c>
      <c r="BP37" s="175" t="e">
        <f t="array" aca="1" ref="BP37" ca="1">IF(#REF!&gt;12,OFFSET(#REF!,-12,0),0)+OFFSET(#REF!,-1,0)-#REF!</f>
        <v>#REF!</v>
      </c>
      <c r="BQ37" s="176" t="e">
        <f t="array" aca="1" ref="BQ37" ca="1">IF(#REF!&gt;12,OFFSET(#REF!,-12,0),0)+OFFSET(#REF!,-1,0)-#REF!</f>
        <v>#REF!</v>
      </c>
      <c r="BR37" s="134"/>
      <c r="BS37" s="133"/>
      <c r="BT37" s="39" t="e">
        <f>#REF!</f>
        <v>#REF!</v>
      </c>
      <c r="BU37" s="147" t="e">
        <f>#REF!</f>
        <v>#REF!</v>
      </c>
      <c r="BV37" s="134"/>
      <c r="BW37" s="164"/>
      <c r="BX37" s="164"/>
      <c r="BY37" s="164"/>
      <c r="BZ37" s="164"/>
      <c r="CA37" s="164"/>
      <c r="CB37" s="164"/>
      <c r="CC37" s="164"/>
      <c r="CD37" s="164"/>
      <c r="CE37" s="164"/>
      <c r="CF37" s="164"/>
      <c r="CG37" s="164"/>
      <c r="CH37" s="164"/>
      <c r="CI37" s="164"/>
      <c r="CJ37" s="164"/>
      <c r="CK37" s="164"/>
      <c r="CL37" s="164"/>
      <c r="CM37" s="164"/>
      <c r="CN37" s="164"/>
      <c r="CO37" s="164"/>
      <c r="CP37" s="134"/>
      <c r="CQ37" s="165" t="e">
        <f ca="1">-SUM(#REF!)+SUM(#REF!)+Rezone!L37+IF("Ch_"&amp; home_land=#REF!,#REF!)+IF(#REF!&gt;12,OFFSET(#REF!,-12,0),0)</f>
        <v>#REF!</v>
      </c>
      <c r="CR37" s="166" t="e">
        <f ca="1">-SUM(#REF!)+SUM(#REF!) +Rezone!M37 + IF("Ch_"&amp; home_land=#REF!,#REF!)+IF(#REF!&gt;12,OFFSET(#REF!,-12,0),0)</f>
        <v>#REF!</v>
      </c>
      <c r="CS37" s="341" t="e">
        <f ca="1">-SUM(#REF!)+SUM(#REF!) +Rezone!N37 + IF("Ch_"&amp; home_land=#REF!,#REF!)+IF(#REF!&gt;12,OFFSET(#REF!,-12,0),0)</f>
        <v>#REF!</v>
      </c>
      <c r="CT37" s="167" t="e">
        <f ca="1">-SUM(#REF!)+SUM(#REF!) +Rezone!O37 + IF("Ch_" &amp; home_land=#REF!,#REF!)+IF(#REF!&gt;12,OFFSET(#REF!,-12,0),0)</f>
        <v>#REF!</v>
      </c>
      <c r="CU37" s="168" t="e">
        <f ca="1">-SUM(#REF!)+SUM(#REF!) +Rezone!P37 + IF("Ch_" &amp; home_land=#REF!,#REF!)+IF(#REF!&gt;12,OFFSET(#REF!,-12,0),0)</f>
        <v>#REF!</v>
      </c>
      <c r="CV37" s="169" t="e">
        <f ca="1">- SUM(#REF!)+SUM(#REF!) +Rezone!Q37 + IF("Ch_" &amp; home_land=#REF!,#REF!)+IF(#REF!&gt;12,OFFSET(#REF!,-12,0),0)</f>
        <v>#REF!</v>
      </c>
      <c r="CW37" s="170" t="e">
        <f ca="1">-#REF!+#REF! +Rezone!R37 + IF("Ch_" &amp; home_land=#REF!,#REF!)+IF(#REF!&gt;12,OFFSET(#REF!,-12,0),0)</f>
        <v>#REF!</v>
      </c>
      <c r="CX37" s="3" t="e">
        <f>IF(Explore!S37=1,20) -#REF! +#REF!</f>
        <v>#REF!</v>
      </c>
      <c r="CY37" s="134"/>
      <c r="CZ37" s="39" t="e">
        <f t="shared" ca="1" si="3"/>
        <v>#REF!</v>
      </c>
      <c r="DA37" s="39" t="e">
        <f t="shared" ca="1" si="4"/>
        <v>#REF!</v>
      </c>
      <c r="DB37" s="3" t="e">
        <f t="shared" ca="1" si="5"/>
        <v>#REF!</v>
      </c>
      <c r="DC37" s="39" t="e">
        <f t="shared" ca="1" si="6"/>
        <v>#REF!</v>
      </c>
      <c r="DD37" s="39" t="e">
        <f t="shared" ca="1" si="7"/>
        <v>#REF!</v>
      </c>
      <c r="DE37" s="3" t="e">
        <f t="shared" ca="1" si="8"/>
        <v>#REF!</v>
      </c>
      <c r="DF37" s="39" t="e">
        <f t="shared" ca="1" si="9"/>
        <v>#REF!</v>
      </c>
      <c r="DG37" s="39" t="e">
        <f t="array" ref="DG37">INDEX(#REF!,ROW()-ROW(#REF!),MATCH("Total "&amp;home_land,#REF!,0))+#REF!</f>
        <v>#REF!</v>
      </c>
      <c r="DH37" s="3" t="e">
        <f t="shared" ca="1" si="10"/>
        <v>#REF!</v>
      </c>
      <c r="DI37" s="3" t="e">
        <f t="shared" ca="1" si="0"/>
        <v>#REF!</v>
      </c>
      <c r="DJ37" s="3" t="e">
        <f t="shared" ca="1" si="1"/>
        <v>#REF!</v>
      </c>
    </row>
    <row r="38" spans="1:114" x14ac:dyDescent="0.25">
      <c r="A38" s="160" t="e">
        <f>#REF!</f>
        <v>#REF!</v>
      </c>
      <c r="B38" s="161" t="e">
        <f>SUM(#REF!)</f>
        <v>#REF!</v>
      </c>
      <c r="C38" s="162" t="e">
        <f>SUM(#REF!)</f>
        <v>#REF!</v>
      </c>
      <c r="D38" s="162">
        <f t="shared" si="2"/>
        <v>0</v>
      </c>
      <c r="E38" s="163"/>
      <c r="F38" s="61" t="e">
        <f>#REF!+#REF!+#REF!</f>
        <v>#REF!</v>
      </c>
      <c r="G38" s="171" t="e">
        <f ca="1">OFFSET(#REF!,-1,0)+#REF!</f>
        <v>#REF!</v>
      </c>
      <c r="H38" s="166" t="e">
        <f ca="1">OFFSET(#REF!,-1,0)+#REF!</f>
        <v>#REF!</v>
      </c>
      <c r="I38" s="341" t="e">
        <f ca="1">OFFSET(#REF!,-1,0)+#REF!</f>
        <v>#REF!</v>
      </c>
      <c r="J38" s="345" t="e">
        <f ca="1">OFFSET(#REF!,-1,0)+#REF!</f>
        <v>#REF!</v>
      </c>
      <c r="K38" s="349" t="e">
        <f ca="1">OFFSET(#REF!,-1,0)+#REF!</f>
        <v>#REF!</v>
      </c>
      <c r="L38" s="169" t="e">
        <f ca="1">OFFSET(#REF!,-1,0)+#REF!</f>
        <v>#REF!</v>
      </c>
      <c r="M38" s="170" t="e">
        <f ca="1">OFFSET(#REF!,-1,0)+#REF!</f>
        <v>#REF!</v>
      </c>
      <c r="N38" s="339" t="e">
        <f>#REF!</f>
        <v>#REF!</v>
      </c>
      <c r="O38" s="164"/>
      <c r="P38" s="164"/>
      <c r="Q38" s="164"/>
      <c r="R38" s="164"/>
      <c r="S38" s="164"/>
      <c r="T38" s="164"/>
      <c r="U38" s="164"/>
      <c r="V38" s="164"/>
      <c r="W38" s="164"/>
      <c r="X38" s="164"/>
      <c r="Y38" s="164"/>
      <c r="Z38" s="164"/>
      <c r="AA38" s="164"/>
      <c r="AB38" s="164"/>
      <c r="AC38" s="164"/>
      <c r="AD38" s="164"/>
      <c r="AE38" s="164"/>
      <c r="AF38" s="146"/>
      <c r="AG38" s="164"/>
      <c r="AH38" s="53" t="e">
        <f>#REF!</f>
        <v>#REF!</v>
      </c>
      <c r="AI38" s="132" t="e">
        <f>MIN(25%,(#REF!+#REF!)/(#REF!-#REF!*20))</f>
        <v>#REF!</v>
      </c>
      <c r="AJ38" s="132" t="e">
        <f>MIN(25%,(#REF!+#REF!)/#REF!)</f>
        <v>#REF!</v>
      </c>
      <c r="AK38" s="39" t="e">
        <f>#REF!</f>
        <v>#REF!</v>
      </c>
      <c r="AL38" s="39" t="e">
        <f>#REF!</f>
        <v>#REF!</v>
      </c>
      <c r="AM38" s="39" t="e">
        <f>ROUNDDOWN( MAX((1 - MIN(facs_constr_factor*#REF!,facs_constr_max) + tech_2_3*#REF! + tech_2_6_2*#REF! + tech_2_10*#REF! + tech_4_6*#REF! + tech_6_3*#REF! + tech_9_2*#REF! + race_construction_cost), 1-global_constr_cap) *#REF!,0)</f>
        <v>#REF!</v>
      </c>
      <c r="AN38" s="39" t="e">
        <f>ROUNDDOWN( MAX(1 - MIN(facs_constr_factor*#REF!,facs_constr_max) + tech_1_11*#REF! + tech_6_3_2*#REF! + tech_5_2_3*#REF!, 1-global_constr_cap) *#REF!,0)</f>
        <v>#REF!</v>
      </c>
      <c r="AO38" s="39" t="e">
        <f>ROUNDDOWN( MAX((1 - MIN(facs_constr_factor*#REF!,facs_constr_max) + tech_2_3*#REF! + tech_2_6_2*#REF! + tech_2_10*#REF! + tech_4_6*#REF! + tech_6_3*#REF! + tech_9_2*#REF! + race_construction_cost), 1-global_constr_cap) * (ROUND((#REF!-250)*1.25 + 850 + 0,0)),0)</f>
        <v>#REF!</v>
      </c>
      <c r="AP38" s="39" t="e">
        <f>ROUNDDOWN( MAX(1 - MIN(facs_constr_factor*#REF!,facs_constr_max) + tech_1_11*#REF! + tech_6_3_2*#REF! + tech_5_2_3*#REF!, 1-global_constr_cap) * ROUND((#REF!-250)*0.285 + 87.5 + 0/4.25,0),0)</f>
        <v>#REF!</v>
      </c>
      <c r="AQ38" s="3" t="e">
        <f>#REF!*#REF! +#REF! *#REF!</f>
        <v>#REF!</v>
      </c>
      <c r="AR38" s="3" t="e">
        <f>#REF!*#REF!+#REF!*#REF!</f>
        <v>#REF!</v>
      </c>
      <c r="AS38" s="39" t="e">
        <f ca="1">MIN(SUM(OFFSET(#REF!,-1,0))+SUM(#REF!)+IF(#REF!&gt;12,SUM(OFFSET(#REF!,-12,0)),0),SUM(#REF!))</f>
        <v>#REF!</v>
      </c>
      <c r="AT38" s="3" t="e">
        <f ca="1">IF(#REF!&lt;&gt;0,MAX(0, MIN(20, 20 + SUM(#REF!) - SUM(#REF!) - SUM(OFFSET(#REF!,-1,0)) - IF(#REF!&gt;12,SUM(OFFSET(#REF!,-12,0)),0) - 20*#REF!)),0)</f>
        <v>#REF!</v>
      </c>
      <c r="AU38" s="134"/>
      <c r="AV38" s="39" t="e">
        <f>ROUND((#REF!-250 - IF(#REF!&lt;&gt;0,20,0))*1.25 + 850 + 0,0)</f>
        <v>#REF!</v>
      </c>
      <c r="AW38" s="39" t="e">
        <f>ROUND((#REF!-250 - IF(#REF!&lt;&gt;0,20,0))*0.285 + 87.5 + 0/4.25,0)</f>
        <v>#REF!</v>
      </c>
      <c r="AX38" s="133"/>
      <c r="AY38" s="172" t="e">
        <f t="array" aca="1" ref="AY38" ca="1">IF(#REF!&gt;12,OFFSET(#REF!,-12,0),0)+OFFSET(#REF!,-1,0)-#REF!</f>
        <v>#REF!</v>
      </c>
      <c r="AZ38" s="173" t="e">
        <f t="array" aca="1" ref="AZ38" ca="1">IF(#REF!&gt;12,OFFSET(#REF!,-12,0),0)+OFFSET(#REF!,-1,0)-#REF!</f>
        <v>#REF!</v>
      </c>
      <c r="BA38" s="173" t="e">
        <f t="array" aca="1" ref="BA38" ca="1">IF(#REF!&gt;12,OFFSET(#REF!,-12,0),0)+OFFSET(#REF!,-1,0)-#REF!</f>
        <v>#REF!</v>
      </c>
      <c r="BB38" s="173" t="e">
        <f t="array" aca="1" ref="BB38" ca="1">IF(#REF!&gt;12,OFFSET(#REF!,-12,0),0)+OFFSET(#REF!,-1,0)-#REF!</f>
        <v>#REF!</v>
      </c>
      <c r="BC38" s="173" t="e">
        <f t="array" aca="1" ref="BC38" ca="1">IF(#REF!&gt;12,OFFSET(#REF!,-12,0),0)+OFFSET(#REF!,-1,0)-#REF!</f>
        <v>#REF!</v>
      </c>
      <c r="BD38" s="174" t="e">
        <f t="array" aca="1" ref="BD38" ca="1">IF(#REF!&gt;12,OFFSET(#REF!,-12,0),0)+OFFSET(#REF!,-1,0)-#REF!</f>
        <v>#REF!</v>
      </c>
      <c r="BE38" s="174" t="e">
        <f t="array" aca="1" ref="BE38" ca="1">IF(#REF!&gt;12,OFFSET(#REF!,-12,0),0)+OFFSET(#REF!,-1,0)-#REF!</f>
        <v>#REF!</v>
      </c>
      <c r="BF38" s="343" t="e">
        <f t="array" aca="1" ref="BF38" ca="1">IF(#REF!&gt;12,OFFSET(#REF!,-12,0),0)+OFFSET(#REF!,-1,0)-#REF!</f>
        <v>#REF!</v>
      </c>
      <c r="BG38" s="343" t="e">
        <f t="array" aca="1" ref="BG38" ca="1">IF(#REF!&gt;12,OFFSET(#REF!,-12,0),0)+OFFSET(#REF!,-1,0)-#REF!</f>
        <v>#REF!</v>
      </c>
      <c r="BH38" s="347" t="e">
        <f t="array" aca="1" ref="BH38" ca="1">IF(#REF!&gt;12,OFFSET(#REF!,-12,0),0)+OFFSET(#REF!,-1,0)-#REF!</f>
        <v>#REF!</v>
      </c>
      <c r="BI38" s="347" t="e">
        <f t="array" aca="1" ref="BI38" ca="1">IF(#REF!&gt;12,OFFSET(#REF!,-12,0),0)+OFFSET(#REF!,-1,0)-#REF!</f>
        <v>#REF!</v>
      </c>
      <c r="BJ38" s="347" t="e">
        <f t="array" aca="1" ref="BJ38" ca="1">IF(#REF!&gt;12,OFFSET(#REF!,-12,0),0)+OFFSET(#REF!,-1,0)-#REF!</f>
        <v>#REF!</v>
      </c>
      <c r="BK38" s="347" t="e">
        <f t="array" aca="1" ref="BK38" ca="1">IF(#REF!&gt;12,OFFSET(#REF!,-12,0),0)+OFFSET(#REF!,-1,0)-#REF!</f>
        <v>#REF!</v>
      </c>
      <c r="BL38" s="351" t="e">
        <f t="array" aca="1" ref="BL38" ca="1">IF(#REF!&gt;12,OFFSET(#REF!,-12,0),0)+OFFSET(#REF!,-1,0)-#REF!</f>
        <v>#REF!</v>
      </c>
      <c r="BM38" s="351" t="e">
        <f t="array" aca="1" ref="BM38" ca="1">IF(#REF!&gt;12,OFFSET(#REF!,-12,0),0)+OFFSET(#REF!,-1,0)-#REF!</f>
        <v>#REF!</v>
      </c>
      <c r="BN38" s="351" t="e">
        <f t="array" aca="1" ref="BN38" ca="1">IF(#REF!&gt;12,OFFSET(#REF!,-12,0),0)+OFFSET(#REF!,-1,0)-#REF!</f>
        <v>#REF!</v>
      </c>
      <c r="BO38" s="175" t="e">
        <f t="array" aca="1" ref="BO38" ca="1">IF(#REF!&gt;12,OFFSET(#REF!,-12,0),0)+OFFSET(#REF!,-1,0)-#REF!</f>
        <v>#REF!</v>
      </c>
      <c r="BP38" s="175" t="e">
        <f t="array" aca="1" ref="BP38" ca="1">IF(#REF!&gt;12,OFFSET(#REF!,-12,0),0)+OFFSET(#REF!,-1,0)-#REF!</f>
        <v>#REF!</v>
      </c>
      <c r="BQ38" s="176" t="e">
        <f t="array" aca="1" ref="BQ38" ca="1">IF(#REF!&gt;12,OFFSET(#REF!,-12,0),0)+OFFSET(#REF!,-1,0)-#REF!</f>
        <v>#REF!</v>
      </c>
      <c r="BR38" s="134"/>
      <c r="BS38" s="133"/>
      <c r="BT38" s="39" t="e">
        <f>#REF!</f>
        <v>#REF!</v>
      </c>
      <c r="BU38" s="147" t="e">
        <f>#REF!</f>
        <v>#REF!</v>
      </c>
      <c r="BV38" s="134"/>
      <c r="BW38" s="164"/>
      <c r="BX38" s="164"/>
      <c r="BY38" s="164"/>
      <c r="BZ38" s="164"/>
      <c r="CA38" s="164"/>
      <c r="CB38" s="164"/>
      <c r="CC38" s="164"/>
      <c r="CD38" s="164"/>
      <c r="CE38" s="164"/>
      <c r="CF38" s="164"/>
      <c r="CG38" s="164"/>
      <c r="CH38" s="164"/>
      <c r="CI38" s="164"/>
      <c r="CJ38" s="164"/>
      <c r="CK38" s="164"/>
      <c r="CL38" s="164"/>
      <c r="CM38" s="164"/>
      <c r="CN38" s="164"/>
      <c r="CO38" s="164"/>
      <c r="CP38" s="134"/>
      <c r="CQ38" s="165" t="e">
        <f ca="1">-SUM(#REF!)+SUM(#REF!)+Rezone!L38+IF("Ch_"&amp; home_land=#REF!,#REF!)+IF(#REF!&gt;12,OFFSET(#REF!,-12,0),0)</f>
        <v>#REF!</v>
      </c>
      <c r="CR38" s="166" t="e">
        <f ca="1">-SUM(#REF!)+SUM(#REF!) +Rezone!M38 + IF("Ch_"&amp; home_land=#REF!,#REF!)+IF(#REF!&gt;12,OFFSET(#REF!,-12,0),0)</f>
        <v>#REF!</v>
      </c>
      <c r="CS38" s="341" t="e">
        <f ca="1">-SUM(#REF!)+SUM(#REF!) +Rezone!N38 + IF("Ch_"&amp; home_land=#REF!,#REF!)+IF(#REF!&gt;12,OFFSET(#REF!,-12,0),0)</f>
        <v>#REF!</v>
      </c>
      <c r="CT38" s="167" t="e">
        <f ca="1">-SUM(#REF!)+SUM(#REF!) +Rezone!O38 + IF("Ch_" &amp; home_land=#REF!,#REF!)+IF(#REF!&gt;12,OFFSET(#REF!,-12,0),0)</f>
        <v>#REF!</v>
      </c>
      <c r="CU38" s="168" t="e">
        <f ca="1">-SUM(#REF!)+SUM(#REF!) +Rezone!P38 + IF("Ch_" &amp; home_land=#REF!,#REF!)+IF(#REF!&gt;12,OFFSET(#REF!,-12,0),0)</f>
        <v>#REF!</v>
      </c>
      <c r="CV38" s="169" t="e">
        <f ca="1">- SUM(#REF!)+SUM(#REF!) +Rezone!Q38 + IF("Ch_" &amp; home_land=#REF!,#REF!)+IF(#REF!&gt;12,OFFSET(#REF!,-12,0),0)</f>
        <v>#REF!</v>
      </c>
      <c r="CW38" s="170" t="e">
        <f ca="1">-#REF!+#REF! +Rezone!R38 + IF("Ch_" &amp; home_land=#REF!,#REF!)+IF(#REF!&gt;12,OFFSET(#REF!,-12,0),0)</f>
        <v>#REF!</v>
      </c>
      <c r="CX38" s="3" t="e">
        <f>IF(Explore!S38=1,20) -#REF! +#REF!</f>
        <v>#REF!</v>
      </c>
      <c r="CY38" s="134"/>
      <c r="CZ38" s="39" t="e">
        <f t="shared" ca="1" si="3"/>
        <v>#REF!</v>
      </c>
      <c r="DA38" s="39" t="e">
        <f t="shared" ca="1" si="4"/>
        <v>#REF!</v>
      </c>
      <c r="DB38" s="3" t="e">
        <f t="shared" ca="1" si="5"/>
        <v>#REF!</v>
      </c>
      <c r="DC38" s="39" t="e">
        <f t="shared" ca="1" si="6"/>
        <v>#REF!</v>
      </c>
      <c r="DD38" s="39" t="e">
        <f t="shared" ca="1" si="7"/>
        <v>#REF!</v>
      </c>
      <c r="DE38" s="3" t="e">
        <f t="shared" ca="1" si="8"/>
        <v>#REF!</v>
      </c>
      <c r="DF38" s="39" t="e">
        <f t="shared" ca="1" si="9"/>
        <v>#REF!</v>
      </c>
      <c r="DG38" s="39" t="e">
        <f t="array" ref="DG38">INDEX(#REF!,ROW()-ROW(#REF!),MATCH("Total "&amp;home_land,#REF!,0))+#REF!</f>
        <v>#REF!</v>
      </c>
      <c r="DH38" s="3" t="e">
        <f t="shared" ca="1" si="10"/>
        <v>#REF!</v>
      </c>
      <c r="DI38" s="3" t="e">
        <f t="shared" ca="1" si="0"/>
        <v>#REF!</v>
      </c>
      <c r="DJ38" s="3" t="e">
        <f t="shared" ca="1" si="1"/>
        <v>#REF!</v>
      </c>
    </row>
    <row r="39" spans="1:114" x14ac:dyDescent="0.25">
      <c r="A39" s="160" t="e">
        <f>#REF!</f>
        <v>#REF!</v>
      </c>
      <c r="B39" s="161" t="e">
        <f>SUM(#REF!)</f>
        <v>#REF!</v>
      </c>
      <c r="C39" s="162" t="e">
        <f>SUM(#REF!)</f>
        <v>#REF!</v>
      </c>
      <c r="D39" s="162">
        <f t="shared" si="2"/>
        <v>0</v>
      </c>
      <c r="E39" s="163"/>
      <c r="F39" s="61" t="e">
        <f>#REF!+#REF!+#REF!</f>
        <v>#REF!</v>
      </c>
      <c r="G39" s="171" t="e">
        <f ca="1">OFFSET(#REF!,-1,0)+#REF!</f>
        <v>#REF!</v>
      </c>
      <c r="H39" s="166" t="e">
        <f ca="1">OFFSET(#REF!,-1,0)+#REF!</f>
        <v>#REF!</v>
      </c>
      <c r="I39" s="341" t="e">
        <f ca="1">OFFSET(#REF!,-1,0)+#REF!</f>
        <v>#REF!</v>
      </c>
      <c r="J39" s="345" t="e">
        <f ca="1">OFFSET(#REF!,-1,0)+#REF!</f>
        <v>#REF!</v>
      </c>
      <c r="K39" s="349" t="e">
        <f ca="1">OFFSET(#REF!,-1,0)+#REF!</f>
        <v>#REF!</v>
      </c>
      <c r="L39" s="169" t="e">
        <f ca="1">OFFSET(#REF!,-1,0)+#REF!</f>
        <v>#REF!</v>
      </c>
      <c r="M39" s="170" t="e">
        <f ca="1">OFFSET(#REF!,-1,0)+#REF!</f>
        <v>#REF!</v>
      </c>
      <c r="N39" s="339" t="e">
        <f>#REF!</f>
        <v>#REF!</v>
      </c>
      <c r="O39" s="164"/>
      <c r="P39" s="146"/>
      <c r="Q39" s="164"/>
      <c r="R39" s="164"/>
      <c r="S39" s="164"/>
      <c r="T39" s="164"/>
      <c r="U39" s="164"/>
      <c r="V39" s="164"/>
      <c r="W39" s="164"/>
      <c r="X39" s="164"/>
      <c r="Y39" s="164"/>
      <c r="Z39" s="164"/>
      <c r="AA39" s="164"/>
      <c r="AB39" s="164"/>
      <c r="AC39" s="164"/>
      <c r="AD39" s="164"/>
      <c r="AE39" s="164"/>
      <c r="AF39" s="164"/>
      <c r="AG39" s="164"/>
      <c r="AH39" s="53" t="e">
        <f>#REF!</f>
        <v>#REF!</v>
      </c>
      <c r="AI39" s="132" t="e">
        <f>MIN(25%,(#REF!+#REF!)/(#REF!-#REF!*20))</f>
        <v>#REF!</v>
      </c>
      <c r="AJ39" s="132" t="e">
        <f>MIN(25%,(#REF!+#REF!)/#REF!)</f>
        <v>#REF!</v>
      </c>
      <c r="AK39" s="39" t="e">
        <f>#REF!</f>
        <v>#REF!</v>
      </c>
      <c r="AL39" s="39" t="e">
        <f>#REF!</f>
        <v>#REF!</v>
      </c>
      <c r="AM39" s="39" t="e">
        <f>ROUNDDOWN( MAX((1 - MIN(facs_constr_factor*#REF!,facs_constr_max) + tech_2_3*#REF! + tech_2_6_2*#REF! + tech_2_10*#REF! + tech_4_6*#REF! + tech_6_3*#REF! + tech_9_2*#REF! + race_construction_cost), 1-global_constr_cap) *#REF!,0)</f>
        <v>#REF!</v>
      </c>
      <c r="AN39" s="39" t="e">
        <f>ROUNDDOWN( MAX(1 - MIN(facs_constr_factor*#REF!,facs_constr_max) + tech_1_11*#REF! + tech_6_3_2*#REF! + tech_5_2_3*#REF!, 1-global_constr_cap) *#REF!,0)</f>
        <v>#REF!</v>
      </c>
      <c r="AO39" s="39" t="e">
        <f>ROUNDDOWN( MAX((1 - MIN(facs_constr_factor*#REF!,facs_constr_max) + tech_2_3*#REF! + tech_2_6_2*#REF! + tech_2_10*#REF! + tech_4_6*#REF! + tech_6_3*#REF! + tech_9_2*#REF! + race_construction_cost), 1-global_constr_cap) * (ROUND((#REF!-250)*1.25 + 850 + 0,0)),0)</f>
        <v>#REF!</v>
      </c>
      <c r="AP39" s="39" t="e">
        <f>ROUNDDOWN( MAX(1 - MIN(facs_constr_factor*#REF!,facs_constr_max) + tech_1_11*#REF! + tech_6_3_2*#REF! + tech_5_2_3*#REF!, 1-global_constr_cap) * ROUND((#REF!-250)*0.285 + 87.5 + 0/4.25,0),0)</f>
        <v>#REF!</v>
      </c>
      <c r="AQ39" s="3" t="e">
        <f>#REF!*#REF! +#REF! *#REF!</f>
        <v>#REF!</v>
      </c>
      <c r="AR39" s="3" t="e">
        <f>#REF!*#REF!+#REF!*#REF!</f>
        <v>#REF!</v>
      </c>
      <c r="AS39" s="39" t="e">
        <f ca="1">MIN(SUM(OFFSET(#REF!,-1,0))+SUM(#REF!)+IF(#REF!&gt;12,SUM(OFFSET(#REF!,-12,0)),0),SUM(#REF!))</f>
        <v>#REF!</v>
      </c>
      <c r="AT39" s="3" t="e">
        <f ca="1">IF(#REF!&lt;&gt;0,MAX(0, MIN(20, 20 + SUM(#REF!) - SUM(#REF!) - SUM(OFFSET(#REF!,-1,0)) - IF(#REF!&gt;12,SUM(OFFSET(#REF!,-12,0)),0) - 20*#REF!)),0)</f>
        <v>#REF!</v>
      </c>
      <c r="AU39" s="134"/>
      <c r="AV39" s="39" t="e">
        <f>ROUND((#REF!-250 - IF(#REF!&lt;&gt;0,20,0))*1.25 + 850 + 0,0)</f>
        <v>#REF!</v>
      </c>
      <c r="AW39" s="39" t="e">
        <f>ROUND((#REF!-250 - IF(#REF!&lt;&gt;0,20,0))*0.285 + 87.5 + 0/4.25,0)</f>
        <v>#REF!</v>
      </c>
      <c r="AX39" s="133"/>
      <c r="AY39" s="172" t="e">
        <f t="array" aca="1" ref="AY39" ca="1">IF(#REF!&gt;12,OFFSET(#REF!,-12,0),0)+OFFSET(#REF!,-1,0)-#REF!</f>
        <v>#REF!</v>
      </c>
      <c r="AZ39" s="173" t="e">
        <f t="array" aca="1" ref="AZ39" ca="1">IF(#REF!&gt;12,OFFSET(#REF!,-12,0),0)+OFFSET(#REF!,-1,0)-#REF!</f>
        <v>#REF!</v>
      </c>
      <c r="BA39" s="173" t="e">
        <f t="array" aca="1" ref="BA39" ca="1">IF(#REF!&gt;12,OFFSET(#REF!,-12,0),0)+OFFSET(#REF!,-1,0)-#REF!</f>
        <v>#REF!</v>
      </c>
      <c r="BB39" s="173" t="e">
        <f t="array" aca="1" ref="BB39" ca="1">IF(#REF!&gt;12,OFFSET(#REF!,-12,0),0)+OFFSET(#REF!,-1,0)-#REF!</f>
        <v>#REF!</v>
      </c>
      <c r="BC39" s="173" t="e">
        <f t="array" aca="1" ref="BC39" ca="1">IF(#REF!&gt;12,OFFSET(#REF!,-12,0),0)+OFFSET(#REF!,-1,0)-#REF!</f>
        <v>#REF!</v>
      </c>
      <c r="BD39" s="174" t="e">
        <f t="array" aca="1" ref="BD39" ca="1">IF(#REF!&gt;12,OFFSET(#REF!,-12,0),0)+OFFSET(#REF!,-1,0)-#REF!</f>
        <v>#REF!</v>
      </c>
      <c r="BE39" s="174" t="e">
        <f t="array" aca="1" ref="BE39" ca="1">IF(#REF!&gt;12,OFFSET(#REF!,-12,0),0)+OFFSET(#REF!,-1,0)-#REF!</f>
        <v>#REF!</v>
      </c>
      <c r="BF39" s="343" t="e">
        <f t="array" aca="1" ref="BF39" ca="1">IF(#REF!&gt;12,OFFSET(#REF!,-12,0),0)+OFFSET(#REF!,-1,0)-#REF!</f>
        <v>#REF!</v>
      </c>
      <c r="BG39" s="343" t="e">
        <f t="array" aca="1" ref="BG39" ca="1">IF(#REF!&gt;12,OFFSET(#REF!,-12,0),0)+OFFSET(#REF!,-1,0)-#REF!</f>
        <v>#REF!</v>
      </c>
      <c r="BH39" s="347" t="e">
        <f t="array" aca="1" ref="BH39" ca="1">IF(#REF!&gt;12,OFFSET(#REF!,-12,0),0)+OFFSET(#REF!,-1,0)-#REF!</f>
        <v>#REF!</v>
      </c>
      <c r="BI39" s="347" t="e">
        <f t="array" aca="1" ref="BI39" ca="1">IF(#REF!&gt;12,OFFSET(#REF!,-12,0),0)+OFFSET(#REF!,-1,0)-#REF!</f>
        <v>#REF!</v>
      </c>
      <c r="BJ39" s="347" t="e">
        <f t="array" aca="1" ref="BJ39" ca="1">IF(#REF!&gt;12,OFFSET(#REF!,-12,0),0)+OFFSET(#REF!,-1,0)-#REF!</f>
        <v>#REF!</v>
      </c>
      <c r="BK39" s="347" t="e">
        <f t="array" aca="1" ref="BK39" ca="1">IF(#REF!&gt;12,OFFSET(#REF!,-12,0),0)+OFFSET(#REF!,-1,0)-#REF!</f>
        <v>#REF!</v>
      </c>
      <c r="BL39" s="351" t="e">
        <f t="array" aca="1" ref="BL39" ca="1">IF(#REF!&gt;12,OFFSET(#REF!,-12,0),0)+OFFSET(#REF!,-1,0)-#REF!</f>
        <v>#REF!</v>
      </c>
      <c r="BM39" s="351" t="e">
        <f t="array" aca="1" ref="BM39" ca="1">IF(#REF!&gt;12,OFFSET(#REF!,-12,0),0)+OFFSET(#REF!,-1,0)-#REF!</f>
        <v>#REF!</v>
      </c>
      <c r="BN39" s="351" t="e">
        <f t="array" aca="1" ref="BN39" ca="1">IF(#REF!&gt;12,OFFSET(#REF!,-12,0),0)+OFFSET(#REF!,-1,0)-#REF!</f>
        <v>#REF!</v>
      </c>
      <c r="BO39" s="175" t="e">
        <f t="array" aca="1" ref="BO39" ca="1">IF(#REF!&gt;12,OFFSET(#REF!,-12,0),0)+OFFSET(#REF!,-1,0)-#REF!</f>
        <v>#REF!</v>
      </c>
      <c r="BP39" s="175" t="e">
        <f t="array" aca="1" ref="BP39" ca="1">IF(#REF!&gt;12,OFFSET(#REF!,-12,0),0)+OFFSET(#REF!,-1,0)-#REF!</f>
        <v>#REF!</v>
      </c>
      <c r="BQ39" s="176" t="e">
        <f t="array" aca="1" ref="BQ39" ca="1">IF(#REF!&gt;12,OFFSET(#REF!,-12,0),0)+OFFSET(#REF!,-1,0)-#REF!</f>
        <v>#REF!</v>
      </c>
      <c r="BR39" s="134"/>
      <c r="BS39" s="133"/>
      <c r="BT39" s="39" t="e">
        <f>#REF!</f>
        <v>#REF!</v>
      </c>
      <c r="BU39" s="147" t="e">
        <f>#REF!</f>
        <v>#REF!</v>
      </c>
      <c r="BV39" s="134"/>
      <c r="BW39" s="164"/>
      <c r="BX39" s="164"/>
      <c r="BY39" s="164"/>
      <c r="BZ39" s="164"/>
      <c r="CA39" s="164"/>
      <c r="CB39" s="164"/>
      <c r="CC39" s="164"/>
      <c r="CD39" s="164"/>
      <c r="CE39" s="164"/>
      <c r="CF39" s="164"/>
      <c r="CG39" s="164"/>
      <c r="CH39" s="164"/>
      <c r="CI39" s="164"/>
      <c r="CJ39" s="164"/>
      <c r="CK39" s="164"/>
      <c r="CL39" s="164"/>
      <c r="CM39" s="164"/>
      <c r="CN39" s="164"/>
      <c r="CO39" s="164"/>
      <c r="CP39" s="134"/>
      <c r="CQ39" s="165" t="e">
        <f ca="1">-SUM(#REF!)+SUM(#REF!)+Rezone!L39+IF("Ch_"&amp; home_land=#REF!,#REF!)+IF(#REF!&gt;12,OFFSET(#REF!,-12,0),0)</f>
        <v>#REF!</v>
      </c>
      <c r="CR39" s="166" t="e">
        <f ca="1">-SUM(#REF!)+SUM(#REF!) +Rezone!M39 + IF("Ch_"&amp; home_land=#REF!,#REF!)+IF(#REF!&gt;12,OFFSET(#REF!,-12,0),0)</f>
        <v>#REF!</v>
      </c>
      <c r="CS39" s="341" t="e">
        <f ca="1">-SUM(#REF!)+SUM(#REF!) +Rezone!N39 + IF("Ch_"&amp; home_land=#REF!,#REF!)+IF(#REF!&gt;12,OFFSET(#REF!,-12,0),0)</f>
        <v>#REF!</v>
      </c>
      <c r="CT39" s="167" t="e">
        <f ca="1">-SUM(#REF!)+SUM(#REF!) +Rezone!O39 + IF("Ch_" &amp; home_land=#REF!,#REF!)+IF(#REF!&gt;12,OFFSET(#REF!,-12,0),0)</f>
        <v>#REF!</v>
      </c>
      <c r="CU39" s="168" t="e">
        <f ca="1">-SUM(#REF!)+SUM(#REF!) +Rezone!P39 + IF("Ch_" &amp; home_land=#REF!,#REF!)+IF(#REF!&gt;12,OFFSET(#REF!,-12,0),0)</f>
        <v>#REF!</v>
      </c>
      <c r="CV39" s="169" t="e">
        <f ca="1">- SUM(#REF!)+SUM(#REF!) +Rezone!Q39 + IF("Ch_" &amp; home_land=#REF!,#REF!)+IF(#REF!&gt;12,OFFSET(#REF!,-12,0),0)</f>
        <v>#REF!</v>
      </c>
      <c r="CW39" s="170" t="e">
        <f ca="1">-#REF!+#REF! +Rezone!R39 + IF("Ch_" &amp; home_land=#REF!,#REF!)+IF(#REF!&gt;12,OFFSET(#REF!,-12,0),0)</f>
        <v>#REF!</v>
      </c>
      <c r="CX39" s="3" t="e">
        <f>IF(Explore!S39=1,20) -#REF! +#REF!</f>
        <v>#REF!</v>
      </c>
      <c r="CY39" s="134"/>
      <c r="CZ39" s="39" t="e">
        <f t="shared" ca="1" si="3"/>
        <v>#REF!</v>
      </c>
      <c r="DA39" s="39" t="e">
        <f t="shared" ca="1" si="4"/>
        <v>#REF!</v>
      </c>
      <c r="DB39" s="3" t="e">
        <f t="shared" ca="1" si="5"/>
        <v>#REF!</v>
      </c>
      <c r="DC39" s="39" t="e">
        <f t="shared" ca="1" si="6"/>
        <v>#REF!</v>
      </c>
      <c r="DD39" s="39" t="e">
        <f t="shared" ca="1" si="7"/>
        <v>#REF!</v>
      </c>
      <c r="DE39" s="3" t="e">
        <f t="shared" ca="1" si="8"/>
        <v>#REF!</v>
      </c>
      <c r="DF39" s="39" t="e">
        <f t="shared" ca="1" si="9"/>
        <v>#REF!</v>
      </c>
      <c r="DG39" s="39" t="e">
        <f t="array" ref="DG39">INDEX(#REF!,ROW()-ROW(#REF!),MATCH("Total "&amp;home_land,#REF!,0))+#REF!</f>
        <v>#REF!</v>
      </c>
      <c r="DH39" s="3" t="e">
        <f t="shared" ca="1" si="10"/>
        <v>#REF!</v>
      </c>
      <c r="DI39" s="3" t="e">
        <f t="shared" ca="1" si="0"/>
        <v>#REF!</v>
      </c>
      <c r="DJ39" s="3" t="e">
        <f t="shared" ca="1" si="1"/>
        <v>#REF!</v>
      </c>
    </row>
    <row r="40" spans="1:114" x14ac:dyDescent="0.25">
      <c r="A40" s="160" t="e">
        <f>#REF!</f>
        <v>#REF!</v>
      </c>
      <c r="B40" s="161" t="e">
        <f>SUM(#REF!)</f>
        <v>#REF!</v>
      </c>
      <c r="C40" s="162" t="e">
        <f>SUM(#REF!)</f>
        <v>#REF!</v>
      </c>
      <c r="D40" s="162">
        <f t="shared" si="2"/>
        <v>0</v>
      </c>
      <c r="E40" s="163"/>
      <c r="F40" s="61" t="e">
        <f>#REF!+#REF!+#REF!</f>
        <v>#REF!</v>
      </c>
      <c r="G40" s="171" t="e">
        <f ca="1">OFFSET(#REF!,-1,0)+#REF!</f>
        <v>#REF!</v>
      </c>
      <c r="H40" s="166" t="e">
        <f ca="1">OFFSET(#REF!,-1,0)+#REF!</f>
        <v>#REF!</v>
      </c>
      <c r="I40" s="341" t="e">
        <f ca="1">OFFSET(#REF!,-1,0)+#REF!</f>
        <v>#REF!</v>
      </c>
      <c r="J40" s="345" t="e">
        <f ca="1">OFFSET(#REF!,-1,0)+#REF!</f>
        <v>#REF!</v>
      </c>
      <c r="K40" s="349" t="e">
        <f ca="1">OFFSET(#REF!,-1,0)+#REF!</f>
        <v>#REF!</v>
      </c>
      <c r="L40" s="169" t="e">
        <f ca="1">OFFSET(#REF!,-1,0)+#REF!</f>
        <v>#REF!</v>
      </c>
      <c r="M40" s="170" t="e">
        <f ca="1">OFFSET(#REF!,-1,0)+#REF!</f>
        <v>#REF!</v>
      </c>
      <c r="N40" s="339" t="e">
        <f>#REF!</f>
        <v>#REF!</v>
      </c>
      <c r="O40" s="164"/>
      <c r="P40" s="164"/>
      <c r="Q40" s="164"/>
      <c r="R40" s="164"/>
      <c r="S40" s="164"/>
      <c r="T40" s="164"/>
      <c r="U40" s="164"/>
      <c r="V40" s="164"/>
      <c r="W40" s="164"/>
      <c r="X40" s="164"/>
      <c r="Y40" s="164"/>
      <c r="Z40" s="164"/>
      <c r="AA40" s="164"/>
      <c r="AB40" s="164"/>
      <c r="AC40" s="164"/>
      <c r="AD40" s="164"/>
      <c r="AE40" s="164"/>
      <c r="AF40" s="164"/>
      <c r="AG40" s="164"/>
      <c r="AH40" s="53" t="e">
        <f>#REF!</f>
        <v>#REF!</v>
      </c>
      <c r="AI40" s="132" t="e">
        <f>MIN(25%,(#REF!+#REF!)/(#REF!-#REF!*20))</f>
        <v>#REF!</v>
      </c>
      <c r="AJ40" s="132" t="e">
        <f>MIN(25%,(#REF!+#REF!)/#REF!)</f>
        <v>#REF!</v>
      </c>
      <c r="AK40" s="39" t="e">
        <f>#REF!</f>
        <v>#REF!</v>
      </c>
      <c r="AL40" s="39" t="e">
        <f>#REF!</f>
        <v>#REF!</v>
      </c>
      <c r="AM40" s="39" t="e">
        <f>ROUNDDOWN( MAX((1 - MIN(facs_constr_factor*#REF!,facs_constr_max) + tech_2_3*#REF! + tech_2_6_2*#REF! + tech_2_10*#REF! + tech_4_6*#REF! + tech_6_3*#REF! + tech_9_2*#REF! + race_construction_cost), 1-global_constr_cap) *#REF!,0)</f>
        <v>#REF!</v>
      </c>
      <c r="AN40" s="39" t="e">
        <f>ROUNDDOWN( MAX(1 - MIN(facs_constr_factor*#REF!,facs_constr_max) + tech_1_11*#REF! + tech_6_3_2*#REF! + tech_5_2_3*#REF!, 1-global_constr_cap) *#REF!,0)</f>
        <v>#REF!</v>
      </c>
      <c r="AO40" s="39" t="e">
        <f>ROUNDDOWN( MAX((1 - MIN(facs_constr_factor*#REF!,facs_constr_max) + tech_2_3*#REF! + tech_2_6_2*#REF! + tech_2_10*#REF! + tech_4_6*#REF! + tech_6_3*#REF! + tech_9_2*#REF! + race_construction_cost), 1-global_constr_cap) * (ROUND((#REF!-250)*1.25 + 850 + 0,0)),0)</f>
        <v>#REF!</v>
      </c>
      <c r="AP40" s="39" t="e">
        <f>ROUNDDOWN( MAX(1 - MIN(facs_constr_factor*#REF!,facs_constr_max) + tech_1_11*#REF! + tech_6_3_2*#REF! + tech_5_2_3*#REF!, 1-global_constr_cap) * ROUND((#REF!-250)*0.285 + 87.5 + 0/4.25,0),0)</f>
        <v>#REF!</v>
      </c>
      <c r="AQ40" s="3" t="e">
        <f>#REF!*#REF! +#REF! *#REF!</f>
        <v>#REF!</v>
      </c>
      <c r="AR40" s="3" t="e">
        <f>#REF!*#REF!+#REF!*#REF!</f>
        <v>#REF!</v>
      </c>
      <c r="AS40" s="39" t="e">
        <f ca="1">MIN(SUM(OFFSET(#REF!,-1,0))+SUM(#REF!)+IF(#REF!&gt;12,SUM(OFFSET(#REF!,-12,0)),0),SUM(#REF!))</f>
        <v>#REF!</v>
      </c>
      <c r="AT40" s="3" t="e">
        <f ca="1">IF(#REF!&lt;&gt;0,MAX(0, MIN(20, 20 + SUM(#REF!) - SUM(#REF!) - SUM(OFFSET(#REF!,-1,0)) - IF(#REF!&gt;12,SUM(OFFSET(#REF!,-12,0)),0) - 20*#REF!)),0)</f>
        <v>#REF!</v>
      </c>
      <c r="AU40" s="134"/>
      <c r="AV40" s="39" t="e">
        <f>ROUND((#REF!-250 - IF(#REF!&lt;&gt;0,20,0))*1.25 + 850 + 0,0)</f>
        <v>#REF!</v>
      </c>
      <c r="AW40" s="39" t="e">
        <f>ROUND((#REF!-250 - IF(#REF!&lt;&gt;0,20,0))*0.285 + 87.5 + 0/4.25,0)</f>
        <v>#REF!</v>
      </c>
      <c r="AX40" s="133"/>
      <c r="AY40" s="172" t="e">
        <f t="array" aca="1" ref="AY40" ca="1">IF(#REF!&gt;12,OFFSET(#REF!,-12,0),0)+OFFSET(#REF!,-1,0)-#REF!</f>
        <v>#REF!</v>
      </c>
      <c r="AZ40" s="173" t="e">
        <f t="array" aca="1" ref="AZ40" ca="1">IF(#REF!&gt;12,OFFSET(#REF!,-12,0),0)+OFFSET(#REF!,-1,0)-#REF!</f>
        <v>#REF!</v>
      </c>
      <c r="BA40" s="173" t="e">
        <f t="array" aca="1" ref="BA40" ca="1">IF(#REF!&gt;12,OFFSET(#REF!,-12,0),0)+OFFSET(#REF!,-1,0)-#REF!</f>
        <v>#REF!</v>
      </c>
      <c r="BB40" s="173" t="e">
        <f t="array" aca="1" ref="BB40" ca="1">IF(#REF!&gt;12,OFFSET(#REF!,-12,0),0)+OFFSET(#REF!,-1,0)-#REF!</f>
        <v>#REF!</v>
      </c>
      <c r="BC40" s="173" t="e">
        <f t="array" aca="1" ref="BC40" ca="1">IF(#REF!&gt;12,OFFSET(#REF!,-12,0),0)+OFFSET(#REF!,-1,0)-#REF!</f>
        <v>#REF!</v>
      </c>
      <c r="BD40" s="174" t="e">
        <f t="array" aca="1" ref="BD40" ca="1">IF(#REF!&gt;12,OFFSET(#REF!,-12,0),0)+OFFSET(#REF!,-1,0)-#REF!</f>
        <v>#REF!</v>
      </c>
      <c r="BE40" s="174" t="e">
        <f t="array" aca="1" ref="BE40" ca="1">IF(#REF!&gt;12,OFFSET(#REF!,-12,0),0)+OFFSET(#REF!,-1,0)-#REF!</f>
        <v>#REF!</v>
      </c>
      <c r="BF40" s="343" t="e">
        <f t="array" aca="1" ref="BF40" ca="1">IF(#REF!&gt;12,OFFSET(#REF!,-12,0),0)+OFFSET(#REF!,-1,0)-#REF!</f>
        <v>#REF!</v>
      </c>
      <c r="BG40" s="343" t="e">
        <f t="array" aca="1" ref="BG40" ca="1">IF(#REF!&gt;12,OFFSET(#REF!,-12,0),0)+OFFSET(#REF!,-1,0)-#REF!</f>
        <v>#REF!</v>
      </c>
      <c r="BH40" s="347" t="e">
        <f t="array" aca="1" ref="BH40" ca="1">IF(#REF!&gt;12,OFFSET(#REF!,-12,0),0)+OFFSET(#REF!,-1,0)-#REF!</f>
        <v>#REF!</v>
      </c>
      <c r="BI40" s="347" t="e">
        <f t="array" aca="1" ref="BI40" ca="1">IF(#REF!&gt;12,OFFSET(#REF!,-12,0),0)+OFFSET(#REF!,-1,0)-#REF!</f>
        <v>#REF!</v>
      </c>
      <c r="BJ40" s="347" t="e">
        <f t="array" aca="1" ref="BJ40" ca="1">IF(#REF!&gt;12,OFFSET(#REF!,-12,0),0)+OFFSET(#REF!,-1,0)-#REF!</f>
        <v>#REF!</v>
      </c>
      <c r="BK40" s="347" t="e">
        <f t="array" aca="1" ref="BK40" ca="1">IF(#REF!&gt;12,OFFSET(#REF!,-12,0),0)+OFFSET(#REF!,-1,0)-#REF!</f>
        <v>#REF!</v>
      </c>
      <c r="BL40" s="351" t="e">
        <f t="array" aca="1" ref="BL40" ca="1">IF(#REF!&gt;12,OFFSET(#REF!,-12,0),0)+OFFSET(#REF!,-1,0)-#REF!</f>
        <v>#REF!</v>
      </c>
      <c r="BM40" s="351" t="e">
        <f t="array" aca="1" ref="BM40" ca="1">IF(#REF!&gt;12,OFFSET(#REF!,-12,0),0)+OFFSET(#REF!,-1,0)-#REF!</f>
        <v>#REF!</v>
      </c>
      <c r="BN40" s="351" t="e">
        <f t="array" aca="1" ref="BN40" ca="1">IF(#REF!&gt;12,OFFSET(#REF!,-12,0),0)+OFFSET(#REF!,-1,0)-#REF!</f>
        <v>#REF!</v>
      </c>
      <c r="BO40" s="175" t="e">
        <f t="array" aca="1" ref="BO40" ca="1">IF(#REF!&gt;12,OFFSET(#REF!,-12,0),0)+OFFSET(#REF!,-1,0)-#REF!</f>
        <v>#REF!</v>
      </c>
      <c r="BP40" s="175" t="e">
        <f t="array" aca="1" ref="BP40" ca="1">IF(#REF!&gt;12,OFFSET(#REF!,-12,0),0)+OFFSET(#REF!,-1,0)-#REF!</f>
        <v>#REF!</v>
      </c>
      <c r="BQ40" s="176" t="e">
        <f t="array" aca="1" ref="BQ40" ca="1">IF(#REF!&gt;12,OFFSET(#REF!,-12,0),0)+OFFSET(#REF!,-1,0)-#REF!</f>
        <v>#REF!</v>
      </c>
      <c r="BR40" s="134"/>
      <c r="BS40" s="133"/>
      <c r="BT40" s="39" t="e">
        <f>#REF!</f>
        <v>#REF!</v>
      </c>
      <c r="BU40" s="147" t="e">
        <f>#REF!</f>
        <v>#REF!</v>
      </c>
      <c r="BV40" s="134"/>
      <c r="BW40" s="164"/>
      <c r="BX40" s="164"/>
      <c r="BY40" s="164"/>
      <c r="BZ40" s="164"/>
      <c r="CA40" s="164"/>
      <c r="CB40" s="164"/>
      <c r="CC40" s="164"/>
      <c r="CD40" s="164"/>
      <c r="CE40" s="164"/>
      <c r="CF40" s="164"/>
      <c r="CG40" s="164"/>
      <c r="CH40" s="164"/>
      <c r="CI40" s="164"/>
      <c r="CJ40" s="164"/>
      <c r="CK40" s="164"/>
      <c r="CL40" s="164"/>
      <c r="CM40" s="164"/>
      <c r="CN40" s="164"/>
      <c r="CO40" s="164"/>
      <c r="CP40" s="134"/>
      <c r="CQ40" s="165" t="e">
        <f ca="1">-SUM(#REF!)+SUM(#REF!)+Rezone!L40+IF("Ch_"&amp; home_land=#REF!,#REF!)+IF(#REF!&gt;12,OFFSET(#REF!,-12,0),0)</f>
        <v>#REF!</v>
      </c>
      <c r="CR40" s="166" t="e">
        <f ca="1">-SUM(#REF!)+SUM(#REF!) +Rezone!M40 + IF("Ch_"&amp; home_land=#REF!,#REF!)+IF(#REF!&gt;12,OFFSET(#REF!,-12,0),0)</f>
        <v>#REF!</v>
      </c>
      <c r="CS40" s="341" t="e">
        <f ca="1">-SUM(#REF!)+SUM(#REF!) +Rezone!N40 + IF("Ch_"&amp; home_land=#REF!,#REF!)+IF(#REF!&gt;12,OFFSET(#REF!,-12,0),0)</f>
        <v>#REF!</v>
      </c>
      <c r="CT40" s="167" t="e">
        <f ca="1">-SUM(#REF!)+SUM(#REF!) +Rezone!O40 + IF("Ch_" &amp; home_land=#REF!,#REF!)+IF(#REF!&gt;12,OFFSET(#REF!,-12,0),0)</f>
        <v>#REF!</v>
      </c>
      <c r="CU40" s="168" t="e">
        <f ca="1">-SUM(#REF!)+SUM(#REF!) +Rezone!P40 + IF("Ch_" &amp; home_land=#REF!,#REF!)+IF(#REF!&gt;12,OFFSET(#REF!,-12,0),0)</f>
        <v>#REF!</v>
      </c>
      <c r="CV40" s="169" t="e">
        <f ca="1">- SUM(#REF!)+SUM(#REF!) +Rezone!Q40 + IF("Ch_" &amp; home_land=#REF!,#REF!)+IF(#REF!&gt;12,OFFSET(#REF!,-12,0),0)</f>
        <v>#REF!</v>
      </c>
      <c r="CW40" s="170" t="e">
        <f ca="1">-#REF!+#REF! +Rezone!R40 + IF("Ch_" &amp; home_land=#REF!,#REF!)+IF(#REF!&gt;12,OFFSET(#REF!,-12,0),0)</f>
        <v>#REF!</v>
      </c>
      <c r="CX40" s="3" t="e">
        <f>IF(Explore!S40=1,20) -#REF! +#REF!</f>
        <v>#REF!</v>
      </c>
      <c r="CY40" s="134"/>
      <c r="CZ40" s="39" t="e">
        <f t="shared" ca="1" si="3"/>
        <v>#REF!</v>
      </c>
      <c r="DA40" s="39" t="e">
        <f t="shared" ca="1" si="4"/>
        <v>#REF!</v>
      </c>
      <c r="DB40" s="3" t="e">
        <f t="shared" ca="1" si="5"/>
        <v>#REF!</v>
      </c>
      <c r="DC40" s="39" t="e">
        <f t="shared" ca="1" si="6"/>
        <v>#REF!</v>
      </c>
      <c r="DD40" s="39" t="e">
        <f t="shared" ca="1" si="7"/>
        <v>#REF!</v>
      </c>
      <c r="DE40" s="3" t="e">
        <f t="shared" ca="1" si="8"/>
        <v>#REF!</v>
      </c>
      <c r="DF40" s="39" t="e">
        <f t="shared" ca="1" si="9"/>
        <v>#REF!</v>
      </c>
      <c r="DG40" s="39" t="e">
        <f t="array" ref="DG40">INDEX(#REF!,ROW()-ROW(#REF!),MATCH("Total "&amp;home_land,#REF!,0))+#REF!</f>
        <v>#REF!</v>
      </c>
      <c r="DH40" s="3" t="e">
        <f t="shared" ca="1" si="10"/>
        <v>#REF!</v>
      </c>
      <c r="DI40" s="3" t="e">
        <f t="shared" ca="1" si="0"/>
        <v>#REF!</v>
      </c>
      <c r="DJ40" s="3" t="e">
        <f t="shared" ca="1" si="1"/>
        <v>#REF!</v>
      </c>
    </row>
    <row r="41" spans="1:114" x14ac:dyDescent="0.25">
      <c r="A41" s="160" t="e">
        <f>#REF!</f>
        <v>#REF!</v>
      </c>
      <c r="B41" s="161" t="e">
        <f>SUM(#REF!)</f>
        <v>#REF!</v>
      </c>
      <c r="C41" s="162" t="e">
        <f>SUM(#REF!)</f>
        <v>#REF!</v>
      </c>
      <c r="D41" s="162">
        <f t="shared" si="2"/>
        <v>0</v>
      </c>
      <c r="E41" s="163"/>
      <c r="F41" s="61" t="e">
        <f>#REF!+#REF!+#REF!</f>
        <v>#REF!</v>
      </c>
      <c r="G41" s="171" t="e">
        <f ca="1">OFFSET(#REF!,-1,0)+#REF!</f>
        <v>#REF!</v>
      </c>
      <c r="H41" s="166" t="e">
        <f ca="1">OFFSET(#REF!,-1,0)+#REF!</f>
        <v>#REF!</v>
      </c>
      <c r="I41" s="341" t="e">
        <f ca="1">OFFSET(#REF!,-1,0)+#REF!</f>
        <v>#REF!</v>
      </c>
      <c r="J41" s="345" t="e">
        <f ca="1">OFFSET(#REF!,-1,0)+#REF!</f>
        <v>#REF!</v>
      </c>
      <c r="K41" s="349" t="e">
        <f ca="1">OFFSET(#REF!,-1,0)+#REF!</f>
        <v>#REF!</v>
      </c>
      <c r="L41" s="169" t="e">
        <f ca="1">OFFSET(#REF!,-1,0)+#REF!</f>
        <v>#REF!</v>
      </c>
      <c r="M41" s="170" t="e">
        <f ca="1">OFFSET(#REF!,-1,0)+#REF!</f>
        <v>#REF!</v>
      </c>
      <c r="N41" s="339" t="e">
        <f>#REF!</f>
        <v>#REF!</v>
      </c>
      <c r="O41" s="164"/>
      <c r="P41" s="164"/>
      <c r="Q41" s="164"/>
      <c r="R41" s="146"/>
      <c r="S41" s="164"/>
      <c r="T41" s="164"/>
      <c r="U41" s="164"/>
      <c r="V41" s="164"/>
      <c r="W41" s="164"/>
      <c r="X41" s="164"/>
      <c r="Y41" s="164"/>
      <c r="Z41" s="164"/>
      <c r="AA41" s="164"/>
      <c r="AB41" s="164"/>
      <c r="AC41" s="164"/>
      <c r="AD41" s="164"/>
      <c r="AE41" s="164"/>
      <c r="AF41" s="164"/>
      <c r="AG41" s="164"/>
      <c r="AH41" s="53" t="e">
        <f>#REF!</f>
        <v>#REF!</v>
      </c>
      <c r="AI41" s="132" t="e">
        <f>MIN(25%,(#REF!+#REF!)/(#REF!-#REF!*20))</f>
        <v>#REF!</v>
      </c>
      <c r="AJ41" s="132" t="e">
        <f>MIN(25%,(#REF!+#REF!)/#REF!)</f>
        <v>#REF!</v>
      </c>
      <c r="AK41" s="39" t="e">
        <f>#REF!</f>
        <v>#REF!</v>
      </c>
      <c r="AL41" s="39" t="e">
        <f>#REF!</f>
        <v>#REF!</v>
      </c>
      <c r="AM41" s="39" t="e">
        <f>ROUNDDOWN( MAX((1 - MIN(facs_constr_factor*#REF!,facs_constr_max) + tech_2_3*#REF! + tech_2_6_2*#REF! + tech_2_10*#REF! + tech_4_6*#REF! + tech_6_3*#REF! + tech_9_2*#REF! + race_construction_cost), 1-global_constr_cap) *#REF!,0)</f>
        <v>#REF!</v>
      </c>
      <c r="AN41" s="39" t="e">
        <f>ROUNDDOWN( MAX(1 - MIN(facs_constr_factor*#REF!,facs_constr_max) + tech_1_11*#REF! + tech_6_3_2*#REF! + tech_5_2_3*#REF!, 1-global_constr_cap) *#REF!,0)</f>
        <v>#REF!</v>
      </c>
      <c r="AO41" s="39" t="e">
        <f>ROUNDDOWN( MAX((1 - MIN(facs_constr_factor*#REF!,facs_constr_max) + tech_2_3*#REF! + tech_2_6_2*#REF! + tech_2_10*#REF! + tech_4_6*#REF! + tech_6_3*#REF! + tech_9_2*#REF! + race_construction_cost), 1-global_constr_cap) * (ROUND((#REF!-250)*1.25 + 850 + 0,0)),0)</f>
        <v>#REF!</v>
      </c>
      <c r="AP41" s="39" t="e">
        <f>ROUNDDOWN( MAX(1 - MIN(facs_constr_factor*#REF!,facs_constr_max) + tech_1_11*#REF! + tech_6_3_2*#REF! + tech_5_2_3*#REF!, 1-global_constr_cap) * ROUND((#REF!-250)*0.285 + 87.5 + 0/4.25,0),0)</f>
        <v>#REF!</v>
      </c>
      <c r="AQ41" s="3" t="e">
        <f>#REF!*#REF! +#REF! *#REF!</f>
        <v>#REF!</v>
      </c>
      <c r="AR41" s="3" t="e">
        <f>#REF!*#REF!+#REF!*#REF!</f>
        <v>#REF!</v>
      </c>
      <c r="AS41" s="39" t="e">
        <f ca="1">MIN(SUM(OFFSET(#REF!,-1,0))+SUM(#REF!)+IF(#REF!&gt;12,SUM(OFFSET(#REF!,-12,0)),0),SUM(#REF!))</f>
        <v>#REF!</v>
      </c>
      <c r="AT41" s="3" t="e">
        <f ca="1">IF(#REF!&lt;&gt;0,MAX(0, MIN(20, 20 + SUM(#REF!) - SUM(#REF!) - SUM(OFFSET(#REF!,-1,0)) - IF(#REF!&gt;12,SUM(OFFSET(#REF!,-12,0)),0) - 20*#REF!)),0)</f>
        <v>#REF!</v>
      </c>
      <c r="AU41" s="134"/>
      <c r="AV41" s="39" t="e">
        <f>ROUND((#REF!-250 - IF(#REF!&lt;&gt;0,20,0))*1.25 + 850 + 0,0)</f>
        <v>#REF!</v>
      </c>
      <c r="AW41" s="39" t="e">
        <f>ROUND((#REF!-250 - IF(#REF!&lt;&gt;0,20,0))*0.285 + 87.5 + 0/4.25,0)</f>
        <v>#REF!</v>
      </c>
      <c r="AX41" s="133"/>
      <c r="AY41" s="172" t="e">
        <f t="array" aca="1" ref="AY41" ca="1">IF(#REF!&gt;12,OFFSET(#REF!,-12,0),0)+OFFSET(#REF!,-1,0)-#REF!</f>
        <v>#REF!</v>
      </c>
      <c r="AZ41" s="173" t="e">
        <f t="array" aca="1" ref="AZ41" ca="1">IF(#REF!&gt;12,OFFSET(#REF!,-12,0),0)+OFFSET(#REF!,-1,0)-#REF!</f>
        <v>#REF!</v>
      </c>
      <c r="BA41" s="173" t="e">
        <f t="array" aca="1" ref="BA41" ca="1">IF(#REF!&gt;12,OFFSET(#REF!,-12,0),0)+OFFSET(#REF!,-1,0)-#REF!</f>
        <v>#REF!</v>
      </c>
      <c r="BB41" s="173" t="e">
        <f t="array" aca="1" ref="BB41" ca="1">IF(#REF!&gt;12,OFFSET(#REF!,-12,0),0)+OFFSET(#REF!,-1,0)-#REF!</f>
        <v>#REF!</v>
      </c>
      <c r="BC41" s="173" t="e">
        <f t="array" aca="1" ref="BC41" ca="1">IF(#REF!&gt;12,OFFSET(#REF!,-12,0),0)+OFFSET(#REF!,-1,0)-#REF!</f>
        <v>#REF!</v>
      </c>
      <c r="BD41" s="174" t="e">
        <f t="array" aca="1" ref="BD41" ca="1">IF(#REF!&gt;12,OFFSET(#REF!,-12,0),0)+OFFSET(#REF!,-1,0)-#REF!</f>
        <v>#REF!</v>
      </c>
      <c r="BE41" s="174" t="e">
        <f t="array" aca="1" ref="BE41" ca="1">IF(#REF!&gt;12,OFFSET(#REF!,-12,0),0)+OFFSET(#REF!,-1,0)-#REF!</f>
        <v>#REF!</v>
      </c>
      <c r="BF41" s="343" t="e">
        <f t="array" aca="1" ref="BF41" ca="1">IF(#REF!&gt;12,OFFSET(#REF!,-12,0),0)+OFFSET(#REF!,-1,0)-#REF!</f>
        <v>#REF!</v>
      </c>
      <c r="BG41" s="343" t="e">
        <f t="array" aca="1" ref="BG41" ca="1">IF(#REF!&gt;12,OFFSET(#REF!,-12,0),0)+OFFSET(#REF!,-1,0)-#REF!</f>
        <v>#REF!</v>
      </c>
      <c r="BH41" s="347" t="e">
        <f t="array" aca="1" ref="BH41" ca="1">IF(#REF!&gt;12,OFFSET(#REF!,-12,0),0)+OFFSET(#REF!,-1,0)-#REF!</f>
        <v>#REF!</v>
      </c>
      <c r="BI41" s="347" t="e">
        <f t="array" aca="1" ref="BI41" ca="1">IF(#REF!&gt;12,OFFSET(#REF!,-12,0),0)+OFFSET(#REF!,-1,0)-#REF!</f>
        <v>#REF!</v>
      </c>
      <c r="BJ41" s="347" t="e">
        <f t="array" aca="1" ref="BJ41" ca="1">IF(#REF!&gt;12,OFFSET(#REF!,-12,0),0)+OFFSET(#REF!,-1,0)-#REF!</f>
        <v>#REF!</v>
      </c>
      <c r="BK41" s="347" t="e">
        <f t="array" aca="1" ref="BK41" ca="1">IF(#REF!&gt;12,OFFSET(#REF!,-12,0),0)+OFFSET(#REF!,-1,0)-#REF!</f>
        <v>#REF!</v>
      </c>
      <c r="BL41" s="351" t="e">
        <f t="array" aca="1" ref="BL41" ca="1">IF(#REF!&gt;12,OFFSET(#REF!,-12,0),0)+OFFSET(#REF!,-1,0)-#REF!</f>
        <v>#REF!</v>
      </c>
      <c r="BM41" s="351" t="e">
        <f t="array" aca="1" ref="BM41" ca="1">IF(#REF!&gt;12,OFFSET(#REF!,-12,0),0)+OFFSET(#REF!,-1,0)-#REF!</f>
        <v>#REF!</v>
      </c>
      <c r="BN41" s="351" t="e">
        <f t="array" aca="1" ref="BN41" ca="1">IF(#REF!&gt;12,OFFSET(#REF!,-12,0),0)+OFFSET(#REF!,-1,0)-#REF!</f>
        <v>#REF!</v>
      </c>
      <c r="BO41" s="175" t="e">
        <f t="array" aca="1" ref="BO41" ca="1">IF(#REF!&gt;12,OFFSET(#REF!,-12,0),0)+OFFSET(#REF!,-1,0)-#REF!</f>
        <v>#REF!</v>
      </c>
      <c r="BP41" s="175" t="e">
        <f t="array" aca="1" ref="BP41" ca="1">IF(#REF!&gt;12,OFFSET(#REF!,-12,0),0)+OFFSET(#REF!,-1,0)-#REF!</f>
        <v>#REF!</v>
      </c>
      <c r="BQ41" s="176" t="e">
        <f t="array" aca="1" ref="BQ41" ca="1">IF(#REF!&gt;12,OFFSET(#REF!,-12,0),0)+OFFSET(#REF!,-1,0)-#REF!</f>
        <v>#REF!</v>
      </c>
      <c r="BR41" s="134"/>
      <c r="BS41" s="133"/>
      <c r="BT41" s="39" t="e">
        <f>#REF!</f>
        <v>#REF!</v>
      </c>
      <c r="BU41" s="147" t="e">
        <f>#REF!</f>
        <v>#REF!</v>
      </c>
      <c r="BV41" s="134"/>
      <c r="BW41" s="164"/>
      <c r="BX41" s="164"/>
      <c r="BY41" s="164"/>
      <c r="BZ41" s="164"/>
      <c r="CA41" s="164"/>
      <c r="CB41" s="164"/>
      <c r="CC41" s="164"/>
      <c r="CD41" s="164"/>
      <c r="CE41" s="164"/>
      <c r="CF41" s="164"/>
      <c r="CG41" s="164"/>
      <c r="CH41" s="164"/>
      <c r="CI41" s="164"/>
      <c r="CJ41" s="164"/>
      <c r="CK41" s="164"/>
      <c r="CL41" s="164"/>
      <c r="CM41" s="164"/>
      <c r="CN41" s="164"/>
      <c r="CO41" s="164"/>
      <c r="CP41" s="134"/>
      <c r="CQ41" s="165" t="e">
        <f ca="1">-SUM(#REF!)+SUM(#REF!)+Rezone!L41+IF("Ch_"&amp; home_land=#REF!,#REF!)+IF(#REF!&gt;12,OFFSET(#REF!,-12,0),0)</f>
        <v>#REF!</v>
      </c>
      <c r="CR41" s="166" t="e">
        <f ca="1">-SUM(#REF!)+SUM(#REF!) +Rezone!M41 + IF("Ch_"&amp; home_land=#REF!,#REF!)+IF(#REF!&gt;12,OFFSET(#REF!,-12,0),0)</f>
        <v>#REF!</v>
      </c>
      <c r="CS41" s="341" t="e">
        <f ca="1">-SUM(#REF!)+SUM(#REF!) +Rezone!N41 + IF("Ch_"&amp; home_land=#REF!,#REF!)+IF(#REF!&gt;12,OFFSET(#REF!,-12,0),0)</f>
        <v>#REF!</v>
      </c>
      <c r="CT41" s="167" t="e">
        <f ca="1">-SUM(#REF!)+SUM(#REF!) +Rezone!O41 + IF("Ch_" &amp; home_land=#REF!,#REF!)+IF(#REF!&gt;12,OFFSET(#REF!,-12,0),0)</f>
        <v>#REF!</v>
      </c>
      <c r="CU41" s="168" t="e">
        <f ca="1">-SUM(#REF!)+SUM(#REF!) +Rezone!P41 + IF("Ch_" &amp; home_land=#REF!,#REF!)+IF(#REF!&gt;12,OFFSET(#REF!,-12,0),0)</f>
        <v>#REF!</v>
      </c>
      <c r="CV41" s="169" t="e">
        <f ca="1">- SUM(#REF!)+SUM(#REF!) +Rezone!Q41 + IF("Ch_" &amp; home_land=#REF!,#REF!)+IF(#REF!&gt;12,OFFSET(#REF!,-12,0),0)</f>
        <v>#REF!</v>
      </c>
      <c r="CW41" s="170" t="e">
        <f ca="1">-#REF!+#REF! +Rezone!R41 + IF("Ch_" &amp; home_land=#REF!,#REF!)+IF(#REF!&gt;12,OFFSET(#REF!,-12,0),0)</f>
        <v>#REF!</v>
      </c>
      <c r="CX41" s="3" t="e">
        <f>IF(Explore!S41=1,20) -#REF! +#REF!</f>
        <v>#REF!</v>
      </c>
      <c r="CY41" s="134"/>
      <c r="CZ41" s="39" t="e">
        <f t="shared" ca="1" si="3"/>
        <v>#REF!</v>
      </c>
      <c r="DA41" s="39" t="e">
        <f t="shared" ca="1" si="4"/>
        <v>#REF!</v>
      </c>
      <c r="DB41" s="3" t="e">
        <f t="shared" ca="1" si="5"/>
        <v>#REF!</v>
      </c>
      <c r="DC41" s="39" t="e">
        <f t="shared" ca="1" si="6"/>
        <v>#REF!</v>
      </c>
      <c r="DD41" s="39" t="e">
        <f t="shared" ca="1" si="7"/>
        <v>#REF!</v>
      </c>
      <c r="DE41" s="3" t="e">
        <f t="shared" ca="1" si="8"/>
        <v>#REF!</v>
      </c>
      <c r="DF41" s="39" t="e">
        <f t="shared" ca="1" si="9"/>
        <v>#REF!</v>
      </c>
      <c r="DG41" s="39" t="e">
        <f t="array" ref="DG41">INDEX(#REF!,ROW()-ROW(#REF!),MATCH("Total "&amp;home_land,#REF!,0))+#REF!</f>
        <v>#REF!</v>
      </c>
      <c r="DH41" s="3" t="e">
        <f t="shared" ca="1" si="10"/>
        <v>#REF!</v>
      </c>
      <c r="DI41" s="3" t="e">
        <f t="shared" ca="1" si="0"/>
        <v>#REF!</v>
      </c>
      <c r="DJ41" s="3" t="e">
        <f t="shared" ca="1" si="1"/>
        <v>#REF!</v>
      </c>
    </row>
    <row r="42" spans="1:114" x14ac:dyDescent="0.25">
      <c r="A42" s="160" t="e">
        <f>#REF!</f>
        <v>#REF!</v>
      </c>
      <c r="B42" s="161" t="e">
        <f>SUM(#REF!)</f>
        <v>#REF!</v>
      </c>
      <c r="C42" s="162" t="e">
        <f>SUM(#REF!)</f>
        <v>#REF!</v>
      </c>
      <c r="D42" s="162">
        <f t="shared" si="2"/>
        <v>0</v>
      </c>
      <c r="E42" s="163"/>
      <c r="F42" s="61" t="e">
        <f>#REF!+#REF!+#REF!</f>
        <v>#REF!</v>
      </c>
      <c r="G42" s="171" t="e">
        <f ca="1">OFFSET(#REF!,-1,0)+#REF!</f>
        <v>#REF!</v>
      </c>
      <c r="H42" s="166" t="e">
        <f ca="1">OFFSET(#REF!,-1,0)+#REF!</f>
        <v>#REF!</v>
      </c>
      <c r="I42" s="341" t="e">
        <f ca="1">OFFSET(#REF!,-1,0)+#REF!</f>
        <v>#REF!</v>
      </c>
      <c r="J42" s="345" t="e">
        <f ca="1">OFFSET(#REF!,-1,0)+#REF!</f>
        <v>#REF!</v>
      </c>
      <c r="K42" s="349" t="e">
        <f ca="1">OFFSET(#REF!,-1,0)+#REF!</f>
        <v>#REF!</v>
      </c>
      <c r="L42" s="169" t="e">
        <f ca="1">OFFSET(#REF!,-1,0)+#REF!</f>
        <v>#REF!</v>
      </c>
      <c r="M42" s="170" t="e">
        <f ca="1">OFFSET(#REF!,-1,0)+#REF!</f>
        <v>#REF!</v>
      </c>
      <c r="N42" s="339" t="e">
        <f>#REF!</f>
        <v>#REF!</v>
      </c>
      <c r="O42" s="164"/>
      <c r="P42" s="164"/>
      <c r="Q42" s="164"/>
      <c r="R42" s="146"/>
      <c r="S42" s="164"/>
      <c r="T42" s="164"/>
      <c r="U42" s="164"/>
      <c r="V42" s="164"/>
      <c r="W42" s="164"/>
      <c r="X42" s="164"/>
      <c r="Y42" s="164"/>
      <c r="Z42" s="164"/>
      <c r="AA42" s="164"/>
      <c r="AB42" s="164"/>
      <c r="AC42" s="164"/>
      <c r="AD42" s="164"/>
      <c r="AE42" s="164"/>
      <c r="AF42" s="164"/>
      <c r="AG42" s="164"/>
      <c r="AH42" s="53" t="e">
        <f>#REF!</f>
        <v>#REF!</v>
      </c>
      <c r="AI42" s="132" t="e">
        <f>MIN(25%,(#REF!+#REF!)/(#REF!-#REF!*20))</f>
        <v>#REF!</v>
      </c>
      <c r="AJ42" s="132" t="e">
        <f>MIN(25%,(#REF!+#REF!)/#REF!)</f>
        <v>#REF!</v>
      </c>
      <c r="AK42" s="39" t="e">
        <f>#REF!</f>
        <v>#REF!</v>
      </c>
      <c r="AL42" s="39" t="e">
        <f>#REF!</f>
        <v>#REF!</v>
      </c>
      <c r="AM42" s="39" t="e">
        <f>ROUNDDOWN( MAX((1 - MIN(facs_constr_factor*#REF!,facs_constr_max) + tech_2_3*#REF! + tech_2_6_2*#REF! + tech_2_10*#REF! + tech_4_6*#REF! + tech_6_3*#REF! + tech_9_2*#REF! + race_construction_cost), 1-global_constr_cap) *#REF!,0)</f>
        <v>#REF!</v>
      </c>
      <c r="AN42" s="39" t="e">
        <f>ROUNDDOWN( MAX(1 - MIN(facs_constr_factor*#REF!,facs_constr_max) + tech_1_11*#REF! + tech_6_3_2*#REF! + tech_5_2_3*#REF!, 1-global_constr_cap) *#REF!,0)</f>
        <v>#REF!</v>
      </c>
      <c r="AO42" s="39" t="e">
        <f>ROUNDDOWN( MAX((1 - MIN(facs_constr_factor*#REF!,facs_constr_max) + tech_2_3*#REF! + tech_2_6_2*#REF! + tech_2_10*#REF! + tech_4_6*#REF! + tech_6_3*#REF! + tech_9_2*#REF! + race_construction_cost), 1-global_constr_cap) * (ROUND((#REF!-250)*1.25 + 850 + 0,0)),0)</f>
        <v>#REF!</v>
      </c>
      <c r="AP42" s="39" t="e">
        <f>ROUNDDOWN( MAX(1 - MIN(facs_constr_factor*#REF!,facs_constr_max) + tech_1_11*#REF! + tech_6_3_2*#REF! + tech_5_2_3*#REF!, 1-global_constr_cap) * ROUND((#REF!-250)*0.285 + 87.5 + 0/4.25,0),0)</f>
        <v>#REF!</v>
      </c>
      <c r="AQ42" s="3" t="e">
        <f>#REF!*#REF! +#REF! *#REF!</f>
        <v>#REF!</v>
      </c>
      <c r="AR42" s="3" t="e">
        <f>#REF!*#REF!+#REF!*#REF!</f>
        <v>#REF!</v>
      </c>
      <c r="AS42" s="39" t="e">
        <f ca="1">MIN(SUM(OFFSET(#REF!,-1,0))+SUM(#REF!)+IF(#REF!&gt;12,SUM(OFFSET(#REF!,-12,0)),0),SUM(#REF!))</f>
        <v>#REF!</v>
      </c>
      <c r="AT42" s="3" t="e">
        <f ca="1">IF(#REF!&lt;&gt;0,MAX(0, MIN(20, 20 + SUM(#REF!) - SUM(#REF!) - SUM(OFFSET(#REF!,-1,0)) - IF(#REF!&gt;12,SUM(OFFSET(#REF!,-12,0)),0) - 20*#REF!)),0)</f>
        <v>#REF!</v>
      </c>
      <c r="AU42" s="134"/>
      <c r="AV42" s="39" t="e">
        <f>ROUND((#REF!-250 - IF(#REF!&lt;&gt;0,20,0))*1.25 + 850 + 0,0)</f>
        <v>#REF!</v>
      </c>
      <c r="AW42" s="39" t="e">
        <f>ROUND((#REF!-250 - IF(#REF!&lt;&gt;0,20,0))*0.285 + 87.5 + 0/4.25,0)</f>
        <v>#REF!</v>
      </c>
      <c r="AX42" s="133"/>
      <c r="AY42" s="172" t="e">
        <f t="array" aca="1" ref="AY42" ca="1">IF(#REF!&gt;12,OFFSET(#REF!,-12,0),0)+OFFSET(#REF!,-1,0)-#REF!</f>
        <v>#REF!</v>
      </c>
      <c r="AZ42" s="173" t="e">
        <f t="array" aca="1" ref="AZ42" ca="1">IF(#REF!&gt;12,OFFSET(#REF!,-12,0),0)+OFFSET(#REF!,-1,0)-#REF!</f>
        <v>#REF!</v>
      </c>
      <c r="BA42" s="173" t="e">
        <f t="array" aca="1" ref="BA42" ca="1">IF(#REF!&gt;12,OFFSET(#REF!,-12,0),0)+OFFSET(#REF!,-1,0)-#REF!</f>
        <v>#REF!</v>
      </c>
      <c r="BB42" s="173" t="e">
        <f t="array" aca="1" ref="BB42" ca="1">IF(#REF!&gt;12,OFFSET(#REF!,-12,0),0)+OFFSET(#REF!,-1,0)-#REF!</f>
        <v>#REF!</v>
      </c>
      <c r="BC42" s="173" t="e">
        <f t="array" aca="1" ref="BC42" ca="1">IF(#REF!&gt;12,OFFSET(#REF!,-12,0),0)+OFFSET(#REF!,-1,0)-#REF!</f>
        <v>#REF!</v>
      </c>
      <c r="BD42" s="174" t="e">
        <f t="array" aca="1" ref="BD42" ca="1">IF(#REF!&gt;12,OFFSET(#REF!,-12,0),0)+OFFSET(#REF!,-1,0)-#REF!</f>
        <v>#REF!</v>
      </c>
      <c r="BE42" s="174" t="e">
        <f t="array" aca="1" ref="BE42" ca="1">IF(#REF!&gt;12,OFFSET(#REF!,-12,0),0)+OFFSET(#REF!,-1,0)-#REF!</f>
        <v>#REF!</v>
      </c>
      <c r="BF42" s="343" t="e">
        <f t="array" aca="1" ref="BF42" ca="1">IF(#REF!&gt;12,OFFSET(#REF!,-12,0),0)+OFFSET(#REF!,-1,0)-#REF!</f>
        <v>#REF!</v>
      </c>
      <c r="BG42" s="343" t="e">
        <f t="array" aca="1" ref="BG42" ca="1">IF(#REF!&gt;12,OFFSET(#REF!,-12,0),0)+OFFSET(#REF!,-1,0)-#REF!</f>
        <v>#REF!</v>
      </c>
      <c r="BH42" s="347" t="e">
        <f t="array" aca="1" ref="BH42" ca="1">IF(#REF!&gt;12,OFFSET(#REF!,-12,0),0)+OFFSET(#REF!,-1,0)-#REF!</f>
        <v>#REF!</v>
      </c>
      <c r="BI42" s="347" t="e">
        <f t="array" aca="1" ref="BI42" ca="1">IF(#REF!&gt;12,OFFSET(#REF!,-12,0),0)+OFFSET(#REF!,-1,0)-#REF!</f>
        <v>#REF!</v>
      </c>
      <c r="BJ42" s="347" t="e">
        <f t="array" aca="1" ref="BJ42" ca="1">IF(#REF!&gt;12,OFFSET(#REF!,-12,0),0)+OFFSET(#REF!,-1,0)-#REF!</f>
        <v>#REF!</v>
      </c>
      <c r="BK42" s="347" t="e">
        <f t="array" aca="1" ref="BK42" ca="1">IF(#REF!&gt;12,OFFSET(#REF!,-12,0),0)+OFFSET(#REF!,-1,0)-#REF!</f>
        <v>#REF!</v>
      </c>
      <c r="BL42" s="351" t="e">
        <f t="array" aca="1" ref="BL42" ca="1">IF(#REF!&gt;12,OFFSET(#REF!,-12,0),0)+OFFSET(#REF!,-1,0)-#REF!</f>
        <v>#REF!</v>
      </c>
      <c r="BM42" s="351" t="e">
        <f t="array" aca="1" ref="BM42" ca="1">IF(#REF!&gt;12,OFFSET(#REF!,-12,0),0)+OFFSET(#REF!,-1,0)-#REF!</f>
        <v>#REF!</v>
      </c>
      <c r="BN42" s="351" t="e">
        <f t="array" aca="1" ref="BN42" ca="1">IF(#REF!&gt;12,OFFSET(#REF!,-12,0),0)+OFFSET(#REF!,-1,0)-#REF!</f>
        <v>#REF!</v>
      </c>
      <c r="BO42" s="175" t="e">
        <f t="array" aca="1" ref="BO42" ca="1">IF(#REF!&gt;12,OFFSET(#REF!,-12,0),0)+OFFSET(#REF!,-1,0)-#REF!</f>
        <v>#REF!</v>
      </c>
      <c r="BP42" s="175" t="e">
        <f t="array" aca="1" ref="BP42" ca="1">IF(#REF!&gt;12,OFFSET(#REF!,-12,0),0)+OFFSET(#REF!,-1,0)-#REF!</f>
        <v>#REF!</v>
      </c>
      <c r="BQ42" s="176" t="e">
        <f t="array" aca="1" ref="BQ42" ca="1">IF(#REF!&gt;12,OFFSET(#REF!,-12,0),0)+OFFSET(#REF!,-1,0)-#REF!</f>
        <v>#REF!</v>
      </c>
      <c r="BR42" s="134"/>
      <c r="BS42" s="133"/>
      <c r="BT42" s="39" t="e">
        <f>#REF!</f>
        <v>#REF!</v>
      </c>
      <c r="BU42" s="147" t="e">
        <f>#REF!</f>
        <v>#REF!</v>
      </c>
      <c r="BV42" s="134"/>
      <c r="BW42" s="164"/>
      <c r="BX42" s="146"/>
      <c r="BY42" s="164"/>
      <c r="BZ42" s="164"/>
      <c r="CA42" s="164"/>
      <c r="CB42" s="164"/>
      <c r="CC42" s="164"/>
      <c r="CD42" s="164"/>
      <c r="CE42" s="164"/>
      <c r="CF42" s="164"/>
      <c r="CG42" s="164"/>
      <c r="CH42" s="164"/>
      <c r="CI42" s="164"/>
      <c r="CJ42" s="164"/>
      <c r="CK42" s="164"/>
      <c r="CL42" s="164"/>
      <c r="CM42" s="164"/>
      <c r="CN42" s="164"/>
      <c r="CO42" s="164"/>
      <c r="CP42" s="134"/>
      <c r="CQ42" s="165" t="e">
        <f ca="1">-SUM(#REF!)+SUM(#REF!)+Rezone!L42+IF("Ch_"&amp; home_land=#REF!,#REF!)+IF(#REF!&gt;12,OFFSET(#REF!,-12,0),0)</f>
        <v>#REF!</v>
      </c>
      <c r="CR42" s="166" t="e">
        <f ca="1">-SUM(#REF!)+SUM(#REF!) +Rezone!M42 + IF("Ch_"&amp; home_land=#REF!,#REF!)+IF(#REF!&gt;12,OFFSET(#REF!,-12,0),0)</f>
        <v>#REF!</v>
      </c>
      <c r="CS42" s="341" t="e">
        <f ca="1">-SUM(#REF!)+SUM(#REF!) +Rezone!N42 + IF("Ch_"&amp; home_land=#REF!,#REF!)+IF(#REF!&gt;12,OFFSET(#REF!,-12,0),0)</f>
        <v>#REF!</v>
      </c>
      <c r="CT42" s="167" t="e">
        <f ca="1">-SUM(#REF!)+SUM(#REF!) +Rezone!O42 + IF("Ch_" &amp; home_land=#REF!,#REF!)+IF(#REF!&gt;12,OFFSET(#REF!,-12,0),0)</f>
        <v>#REF!</v>
      </c>
      <c r="CU42" s="168" t="e">
        <f ca="1">-SUM(#REF!)+SUM(#REF!) +Rezone!P42 + IF("Ch_" &amp; home_land=#REF!,#REF!)+IF(#REF!&gt;12,OFFSET(#REF!,-12,0),0)</f>
        <v>#REF!</v>
      </c>
      <c r="CV42" s="169" t="e">
        <f ca="1">- SUM(#REF!)+SUM(#REF!) +Rezone!Q42 + IF("Ch_" &amp; home_land=#REF!,#REF!)+IF(#REF!&gt;12,OFFSET(#REF!,-12,0),0)</f>
        <v>#REF!</v>
      </c>
      <c r="CW42" s="170" t="e">
        <f ca="1">-#REF!+#REF! +Rezone!R42 + IF("Ch_" &amp; home_land=#REF!,#REF!)+IF(#REF!&gt;12,OFFSET(#REF!,-12,0),0)</f>
        <v>#REF!</v>
      </c>
      <c r="CX42" s="3" t="e">
        <f>IF(Explore!S42=1,20) -#REF! +#REF!</f>
        <v>#REF!</v>
      </c>
      <c r="CY42" s="134"/>
      <c r="CZ42" s="39" t="e">
        <f t="shared" ca="1" si="3"/>
        <v>#REF!</v>
      </c>
      <c r="DA42" s="39" t="e">
        <f t="shared" ca="1" si="4"/>
        <v>#REF!</v>
      </c>
      <c r="DB42" s="3" t="e">
        <f t="shared" ca="1" si="5"/>
        <v>#REF!</v>
      </c>
      <c r="DC42" s="39" t="e">
        <f t="shared" ca="1" si="6"/>
        <v>#REF!</v>
      </c>
      <c r="DD42" s="39" t="e">
        <f t="shared" ca="1" si="7"/>
        <v>#REF!</v>
      </c>
      <c r="DE42" s="3" t="e">
        <f t="shared" ca="1" si="8"/>
        <v>#REF!</v>
      </c>
      <c r="DF42" s="39" t="e">
        <f t="shared" ca="1" si="9"/>
        <v>#REF!</v>
      </c>
      <c r="DG42" s="39" t="e">
        <f t="array" ref="DG42">INDEX(#REF!,ROW()-ROW(#REF!),MATCH("Total "&amp;home_land,#REF!,0))+#REF!</f>
        <v>#REF!</v>
      </c>
      <c r="DH42" s="3" t="e">
        <f t="shared" ca="1" si="10"/>
        <v>#REF!</v>
      </c>
      <c r="DI42" s="3" t="e">
        <f t="shared" ca="1" si="0"/>
        <v>#REF!</v>
      </c>
      <c r="DJ42" s="3" t="e">
        <f t="shared" ca="1" si="1"/>
        <v>#REF!</v>
      </c>
    </row>
    <row r="43" spans="1:114" x14ac:dyDescent="0.25">
      <c r="A43" s="160" t="e">
        <f>#REF!</f>
        <v>#REF!</v>
      </c>
      <c r="B43" s="161" t="e">
        <f>SUM(#REF!)</f>
        <v>#REF!</v>
      </c>
      <c r="C43" s="162" t="e">
        <f>SUM(#REF!)</f>
        <v>#REF!</v>
      </c>
      <c r="D43" s="162">
        <f t="shared" si="2"/>
        <v>0</v>
      </c>
      <c r="E43" s="163"/>
      <c r="F43" s="61" t="e">
        <f>#REF!+#REF!+#REF!</f>
        <v>#REF!</v>
      </c>
      <c r="G43" s="171" t="e">
        <f ca="1">OFFSET(#REF!,-1,0)+#REF!</f>
        <v>#REF!</v>
      </c>
      <c r="H43" s="166" t="e">
        <f ca="1">OFFSET(#REF!,-1,0)+#REF!</f>
        <v>#REF!</v>
      </c>
      <c r="I43" s="341" t="e">
        <f ca="1">OFFSET(#REF!,-1,0)+#REF!</f>
        <v>#REF!</v>
      </c>
      <c r="J43" s="345" t="e">
        <f ca="1">OFFSET(#REF!,-1,0)+#REF!</f>
        <v>#REF!</v>
      </c>
      <c r="K43" s="349" t="e">
        <f ca="1">OFFSET(#REF!,-1,0)+#REF!</f>
        <v>#REF!</v>
      </c>
      <c r="L43" s="169" t="e">
        <f ca="1">OFFSET(#REF!,-1,0)+#REF!</f>
        <v>#REF!</v>
      </c>
      <c r="M43" s="170" t="e">
        <f ca="1">OFFSET(#REF!,-1,0)+#REF!</f>
        <v>#REF!</v>
      </c>
      <c r="N43" s="339" t="e">
        <f>#REF!</f>
        <v>#REF!</v>
      </c>
      <c r="O43" s="164"/>
      <c r="P43" s="164"/>
      <c r="Q43" s="164"/>
      <c r="R43" s="146"/>
      <c r="S43" s="164"/>
      <c r="T43" s="164"/>
      <c r="U43" s="164"/>
      <c r="V43" s="164"/>
      <c r="W43" s="164"/>
      <c r="X43" s="164"/>
      <c r="Y43" s="164"/>
      <c r="Z43" s="164"/>
      <c r="AA43" s="164"/>
      <c r="AB43" s="164"/>
      <c r="AC43" s="164"/>
      <c r="AD43" s="164"/>
      <c r="AE43" s="164"/>
      <c r="AF43" s="164"/>
      <c r="AG43" s="164"/>
      <c r="AH43" s="53" t="e">
        <f>#REF!</f>
        <v>#REF!</v>
      </c>
      <c r="AI43" s="132" t="e">
        <f>MIN(25%,(#REF!+#REF!)/(#REF!-#REF!*20))</f>
        <v>#REF!</v>
      </c>
      <c r="AJ43" s="132" t="e">
        <f>MIN(25%,(#REF!+#REF!)/#REF!)</f>
        <v>#REF!</v>
      </c>
      <c r="AK43" s="39" t="e">
        <f>#REF!</f>
        <v>#REF!</v>
      </c>
      <c r="AL43" s="39" t="e">
        <f>#REF!</f>
        <v>#REF!</v>
      </c>
      <c r="AM43" s="39" t="e">
        <f>ROUNDDOWN( MAX((1 - MIN(facs_constr_factor*#REF!,facs_constr_max) + tech_2_3*#REF! + tech_2_6_2*#REF! + tech_2_10*#REF! + tech_4_6*#REF! + tech_6_3*#REF! + tech_9_2*#REF! + race_construction_cost), 1-global_constr_cap) *#REF!,0)</f>
        <v>#REF!</v>
      </c>
      <c r="AN43" s="39" t="e">
        <f>ROUNDDOWN( MAX(1 - MIN(facs_constr_factor*#REF!,facs_constr_max) + tech_1_11*#REF! + tech_6_3_2*#REF! + tech_5_2_3*#REF!, 1-global_constr_cap) *#REF!,0)</f>
        <v>#REF!</v>
      </c>
      <c r="AO43" s="39" t="e">
        <f>ROUNDDOWN( MAX((1 - MIN(facs_constr_factor*#REF!,facs_constr_max) + tech_2_3*#REF! + tech_2_6_2*#REF! + tech_2_10*#REF! + tech_4_6*#REF! + tech_6_3*#REF! + tech_9_2*#REF! + race_construction_cost), 1-global_constr_cap) * (ROUND((#REF!-250)*1.25 + 850 + 0,0)),0)</f>
        <v>#REF!</v>
      </c>
      <c r="AP43" s="39" t="e">
        <f>ROUNDDOWN( MAX(1 - MIN(facs_constr_factor*#REF!,facs_constr_max) + tech_1_11*#REF! + tech_6_3_2*#REF! + tech_5_2_3*#REF!, 1-global_constr_cap) * ROUND((#REF!-250)*0.285 + 87.5 + 0/4.25,0),0)</f>
        <v>#REF!</v>
      </c>
      <c r="AQ43" s="3" t="e">
        <f>#REF!*#REF! +#REF! *#REF!</f>
        <v>#REF!</v>
      </c>
      <c r="AR43" s="3" t="e">
        <f>#REF!*#REF!+#REF!*#REF!</f>
        <v>#REF!</v>
      </c>
      <c r="AS43" s="39" t="e">
        <f ca="1">MIN(SUM(OFFSET(#REF!,-1,0))+SUM(#REF!)+IF(#REF!&gt;12,SUM(OFFSET(#REF!,-12,0)),0),SUM(#REF!))</f>
        <v>#REF!</v>
      </c>
      <c r="AT43" s="3" t="e">
        <f ca="1">IF(#REF!&lt;&gt;0,MAX(0, MIN(20, 20 + SUM(#REF!) - SUM(#REF!) - SUM(OFFSET(#REF!,-1,0)) - IF(#REF!&gt;12,SUM(OFFSET(#REF!,-12,0)),0) - 20*#REF!)),0)</f>
        <v>#REF!</v>
      </c>
      <c r="AU43" s="134"/>
      <c r="AV43" s="39" t="e">
        <f>ROUND((#REF!-250 - IF(#REF!&lt;&gt;0,20,0))*1.25 + 850 + 0,0)</f>
        <v>#REF!</v>
      </c>
      <c r="AW43" s="39" t="e">
        <f>ROUND((#REF!-250 - IF(#REF!&lt;&gt;0,20,0))*0.285 + 87.5 + 0/4.25,0)</f>
        <v>#REF!</v>
      </c>
      <c r="AX43" s="133"/>
      <c r="AY43" s="172" t="e">
        <f t="array" aca="1" ref="AY43" ca="1">IF(#REF!&gt;12,OFFSET(#REF!,-12,0),0)+OFFSET(#REF!,-1,0)-#REF!</f>
        <v>#REF!</v>
      </c>
      <c r="AZ43" s="173" t="e">
        <f t="array" aca="1" ref="AZ43" ca="1">IF(#REF!&gt;12,OFFSET(#REF!,-12,0),0)+OFFSET(#REF!,-1,0)-#REF!</f>
        <v>#REF!</v>
      </c>
      <c r="BA43" s="173" t="e">
        <f t="array" aca="1" ref="BA43" ca="1">IF(#REF!&gt;12,OFFSET(#REF!,-12,0),0)+OFFSET(#REF!,-1,0)-#REF!</f>
        <v>#REF!</v>
      </c>
      <c r="BB43" s="173" t="e">
        <f t="array" aca="1" ref="BB43" ca="1">IF(#REF!&gt;12,OFFSET(#REF!,-12,0),0)+OFFSET(#REF!,-1,0)-#REF!</f>
        <v>#REF!</v>
      </c>
      <c r="BC43" s="173" t="e">
        <f t="array" aca="1" ref="BC43" ca="1">IF(#REF!&gt;12,OFFSET(#REF!,-12,0),0)+OFFSET(#REF!,-1,0)-#REF!</f>
        <v>#REF!</v>
      </c>
      <c r="BD43" s="174" t="e">
        <f t="array" aca="1" ref="BD43" ca="1">IF(#REF!&gt;12,OFFSET(#REF!,-12,0),0)+OFFSET(#REF!,-1,0)-#REF!</f>
        <v>#REF!</v>
      </c>
      <c r="BE43" s="174" t="e">
        <f t="array" aca="1" ref="BE43" ca="1">IF(#REF!&gt;12,OFFSET(#REF!,-12,0),0)+OFFSET(#REF!,-1,0)-#REF!</f>
        <v>#REF!</v>
      </c>
      <c r="BF43" s="343" t="e">
        <f t="array" aca="1" ref="BF43" ca="1">IF(#REF!&gt;12,OFFSET(#REF!,-12,0),0)+OFFSET(#REF!,-1,0)-#REF!</f>
        <v>#REF!</v>
      </c>
      <c r="BG43" s="343" t="e">
        <f t="array" aca="1" ref="BG43" ca="1">IF(#REF!&gt;12,OFFSET(#REF!,-12,0),0)+OFFSET(#REF!,-1,0)-#REF!</f>
        <v>#REF!</v>
      </c>
      <c r="BH43" s="347" t="e">
        <f t="array" aca="1" ref="BH43" ca="1">IF(#REF!&gt;12,OFFSET(#REF!,-12,0),0)+OFFSET(#REF!,-1,0)-#REF!</f>
        <v>#REF!</v>
      </c>
      <c r="BI43" s="347" t="e">
        <f t="array" aca="1" ref="BI43" ca="1">IF(#REF!&gt;12,OFFSET(#REF!,-12,0),0)+OFFSET(#REF!,-1,0)-#REF!</f>
        <v>#REF!</v>
      </c>
      <c r="BJ43" s="347" t="e">
        <f t="array" aca="1" ref="BJ43" ca="1">IF(#REF!&gt;12,OFFSET(#REF!,-12,0),0)+OFFSET(#REF!,-1,0)-#REF!</f>
        <v>#REF!</v>
      </c>
      <c r="BK43" s="347" t="e">
        <f t="array" aca="1" ref="BK43" ca="1">IF(#REF!&gt;12,OFFSET(#REF!,-12,0),0)+OFFSET(#REF!,-1,0)-#REF!</f>
        <v>#REF!</v>
      </c>
      <c r="BL43" s="351" t="e">
        <f t="array" aca="1" ref="BL43" ca="1">IF(#REF!&gt;12,OFFSET(#REF!,-12,0),0)+OFFSET(#REF!,-1,0)-#REF!</f>
        <v>#REF!</v>
      </c>
      <c r="BM43" s="351" t="e">
        <f t="array" aca="1" ref="BM43" ca="1">IF(#REF!&gt;12,OFFSET(#REF!,-12,0),0)+OFFSET(#REF!,-1,0)-#REF!</f>
        <v>#REF!</v>
      </c>
      <c r="BN43" s="351" t="e">
        <f t="array" aca="1" ref="BN43" ca="1">IF(#REF!&gt;12,OFFSET(#REF!,-12,0),0)+OFFSET(#REF!,-1,0)-#REF!</f>
        <v>#REF!</v>
      </c>
      <c r="BO43" s="175" t="e">
        <f t="array" aca="1" ref="BO43" ca="1">IF(#REF!&gt;12,OFFSET(#REF!,-12,0),0)+OFFSET(#REF!,-1,0)-#REF!</f>
        <v>#REF!</v>
      </c>
      <c r="BP43" s="175" t="e">
        <f t="array" aca="1" ref="BP43" ca="1">IF(#REF!&gt;12,OFFSET(#REF!,-12,0),0)+OFFSET(#REF!,-1,0)-#REF!</f>
        <v>#REF!</v>
      </c>
      <c r="BQ43" s="176" t="e">
        <f t="array" aca="1" ref="BQ43" ca="1">IF(#REF!&gt;12,OFFSET(#REF!,-12,0),0)+OFFSET(#REF!,-1,0)-#REF!</f>
        <v>#REF!</v>
      </c>
      <c r="BR43" s="134"/>
      <c r="BS43" s="133"/>
      <c r="BT43" s="39" t="e">
        <f>#REF!</f>
        <v>#REF!</v>
      </c>
      <c r="BU43" s="147" t="e">
        <f>#REF!</f>
        <v>#REF!</v>
      </c>
      <c r="BV43" s="134"/>
      <c r="BW43" s="164"/>
      <c r="BX43" s="164"/>
      <c r="BY43" s="164"/>
      <c r="BZ43" s="164"/>
      <c r="CA43" s="164"/>
      <c r="CB43" s="164"/>
      <c r="CC43" s="164"/>
      <c r="CD43" s="164"/>
      <c r="CE43" s="164"/>
      <c r="CF43" s="164"/>
      <c r="CG43" s="164"/>
      <c r="CH43" s="164"/>
      <c r="CI43" s="164"/>
      <c r="CJ43" s="164"/>
      <c r="CK43" s="164"/>
      <c r="CL43" s="164"/>
      <c r="CM43" s="164"/>
      <c r="CN43" s="164"/>
      <c r="CO43" s="164"/>
      <c r="CP43" s="134"/>
      <c r="CQ43" s="165" t="e">
        <f ca="1">-SUM(#REF!)+SUM(#REF!)+Rezone!L43+IF("Ch_"&amp; home_land=#REF!,#REF!)+IF(#REF!&gt;12,OFFSET(#REF!,-12,0),0)</f>
        <v>#REF!</v>
      </c>
      <c r="CR43" s="166" t="e">
        <f ca="1">-SUM(#REF!)+SUM(#REF!) +Rezone!M43 + IF("Ch_"&amp; home_land=#REF!,#REF!)+IF(#REF!&gt;12,OFFSET(#REF!,-12,0),0)</f>
        <v>#REF!</v>
      </c>
      <c r="CS43" s="341" t="e">
        <f ca="1">-SUM(#REF!)+SUM(#REF!) +Rezone!N43 + IF("Ch_"&amp; home_land=#REF!,#REF!)+IF(#REF!&gt;12,OFFSET(#REF!,-12,0),0)</f>
        <v>#REF!</v>
      </c>
      <c r="CT43" s="167" t="e">
        <f ca="1">-SUM(#REF!)+SUM(#REF!) +Rezone!O43 + IF("Ch_" &amp; home_land=#REF!,#REF!)+IF(#REF!&gt;12,OFFSET(#REF!,-12,0),0)</f>
        <v>#REF!</v>
      </c>
      <c r="CU43" s="168" t="e">
        <f ca="1">-SUM(#REF!)+SUM(#REF!) +Rezone!P43 + IF("Ch_" &amp; home_land=#REF!,#REF!)+IF(#REF!&gt;12,OFFSET(#REF!,-12,0),0)</f>
        <v>#REF!</v>
      </c>
      <c r="CV43" s="169" t="e">
        <f ca="1">- SUM(#REF!)+SUM(#REF!) +Rezone!Q43 + IF("Ch_" &amp; home_land=#REF!,#REF!)+IF(#REF!&gt;12,OFFSET(#REF!,-12,0),0)</f>
        <v>#REF!</v>
      </c>
      <c r="CW43" s="170" t="e">
        <f ca="1">-#REF!+#REF! +Rezone!R43 + IF("Ch_" &amp; home_land=#REF!,#REF!)+IF(#REF!&gt;12,OFFSET(#REF!,-12,0),0)</f>
        <v>#REF!</v>
      </c>
      <c r="CX43" s="3" t="e">
        <f>IF(Explore!S43=1,20) -#REF! +#REF!</f>
        <v>#REF!</v>
      </c>
      <c r="CY43" s="134"/>
      <c r="CZ43" s="39" t="e">
        <f t="shared" ca="1" si="3"/>
        <v>#REF!</v>
      </c>
      <c r="DA43" s="39" t="e">
        <f t="shared" ca="1" si="4"/>
        <v>#REF!</v>
      </c>
      <c r="DB43" s="3" t="e">
        <f t="shared" ca="1" si="5"/>
        <v>#REF!</v>
      </c>
      <c r="DC43" s="39" t="e">
        <f t="shared" ca="1" si="6"/>
        <v>#REF!</v>
      </c>
      <c r="DD43" s="39" t="e">
        <f t="shared" ca="1" si="7"/>
        <v>#REF!</v>
      </c>
      <c r="DE43" s="3" t="e">
        <f t="shared" ca="1" si="8"/>
        <v>#REF!</v>
      </c>
      <c r="DF43" s="39" t="e">
        <f t="shared" ca="1" si="9"/>
        <v>#REF!</v>
      </c>
      <c r="DG43" s="39" t="e">
        <f t="array" ref="DG43">INDEX(#REF!,ROW()-ROW(#REF!),MATCH("Total "&amp;home_land,#REF!,0))+#REF!</f>
        <v>#REF!</v>
      </c>
      <c r="DH43" s="3" t="e">
        <f t="shared" ca="1" si="10"/>
        <v>#REF!</v>
      </c>
      <c r="DI43" s="3" t="e">
        <f t="shared" ca="1" si="0"/>
        <v>#REF!</v>
      </c>
      <c r="DJ43" s="3" t="e">
        <f t="shared" ca="1" si="1"/>
        <v>#REF!</v>
      </c>
    </row>
    <row r="44" spans="1:114" x14ac:dyDescent="0.25">
      <c r="A44" s="160" t="e">
        <f>#REF!</f>
        <v>#REF!</v>
      </c>
      <c r="B44" s="161" t="e">
        <f>SUM(#REF!)</f>
        <v>#REF!</v>
      </c>
      <c r="C44" s="162" t="e">
        <f>SUM(#REF!)</f>
        <v>#REF!</v>
      </c>
      <c r="D44" s="162">
        <f t="shared" si="2"/>
        <v>0</v>
      </c>
      <c r="E44" s="163"/>
      <c r="F44" s="61" t="e">
        <f>#REF!+#REF!+#REF!</f>
        <v>#REF!</v>
      </c>
      <c r="G44" s="171" t="e">
        <f ca="1">OFFSET(#REF!,-1,0)+#REF!</f>
        <v>#REF!</v>
      </c>
      <c r="H44" s="166" t="e">
        <f ca="1">OFFSET(#REF!,-1,0)+#REF!</f>
        <v>#REF!</v>
      </c>
      <c r="I44" s="341" t="e">
        <f ca="1">OFFSET(#REF!,-1,0)+#REF!</f>
        <v>#REF!</v>
      </c>
      <c r="J44" s="345" t="e">
        <f ca="1">OFFSET(#REF!,-1,0)+#REF!</f>
        <v>#REF!</v>
      </c>
      <c r="K44" s="349" t="e">
        <f ca="1">OFFSET(#REF!,-1,0)+#REF!</f>
        <v>#REF!</v>
      </c>
      <c r="L44" s="169" t="e">
        <f ca="1">OFFSET(#REF!,-1,0)+#REF!</f>
        <v>#REF!</v>
      </c>
      <c r="M44" s="170" t="e">
        <f ca="1">OFFSET(#REF!,-1,0)+#REF!</f>
        <v>#REF!</v>
      </c>
      <c r="N44" s="339" t="e">
        <f>#REF!</f>
        <v>#REF!</v>
      </c>
      <c r="O44" s="164"/>
      <c r="P44" s="164"/>
      <c r="Q44" s="164"/>
      <c r="R44" s="146"/>
      <c r="S44" s="164"/>
      <c r="T44" s="164"/>
      <c r="U44" s="164"/>
      <c r="V44" s="164"/>
      <c r="W44" s="164"/>
      <c r="X44" s="164"/>
      <c r="Y44" s="164"/>
      <c r="Z44" s="164"/>
      <c r="AA44" s="164"/>
      <c r="AB44" s="164"/>
      <c r="AC44" s="164"/>
      <c r="AD44" s="164"/>
      <c r="AE44" s="164"/>
      <c r="AF44" s="164"/>
      <c r="AG44" s="164"/>
      <c r="AH44" s="53" t="e">
        <f>#REF!</f>
        <v>#REF!</v>
      </c>
      <c r="AI44" s="132" t="e">
        <f>MIN(25%,(#REF!+#REF!)/(#REF!-#REF!*20))</f>
        <v>#REF!</v>
      </c>
      <c r="AJ44" s="132" t="e">
        <f>MIN(25%,(#REF!+#REF!)/#REF!)</f>
        <v>#REF!</v>
      </c>
      <c r="AK44" s="39" t="e">
        <f>#REF!</f>
        <v>#REF!</v>
      </c>
      <c r="AL44" s="39" t="e">
        <f>#REF!</f>
        <v>#REF!</v>
      </c>
      <c r="AM44" s="39" t="e">
        <f>ROUNDDOWN( MAX((1 - MIN(facs_constr_factor*#REF!,facs_constr_max) + tech_2_3*#REF! + tech_2_6_2*#REF! + tech_2_10*#REF! + tech_4_6*#REF! + tech_6_3*#REF! + tech_9_2*#REF! + race_construction_cost), 1-global_constr_cap) *#REF!,0)</f>
        <v>#REF!</v>
      </c>
      <c r="AN44" s="39" t="e">
        <f>ROUNDDOWN( MAX(1 - MIN(facs_constr_factor*#REF!,facs_constr_max) + tech_1_11*#REF! + tech_6_3_2*#REF! + tech_5_2_3*#REF!, 1-global_constr_cap) *#REF!,0)</f>
        <v>#REF!</v>
      </c>
      <c r="AO44" s="39" t="e">
        <f>ROUNDDOWN( MAX((1 - MIN(facs_constr_factor*#REF!,facs_constr_max) + tech_2_3*#REF! + tech_2_6_2*#REF! + tech_2_10*#REF! + tech_4_6*#REF! + tech_6_3*#REF! + tech_9_2*#REF! + race_construction_cost), 1-global_constr_cap) * (ROUND((#REF!-250)*1.25 + 850 + 0,0)),0)</f>
        <v>#REF!</v>
      </c>
      <c r="AP44" s="39" t="e">
        <f>ROUNDDOWN( MAX(1 - MIN(facs_constr_factor*#REF!,facs_constr_max) + tech_1_11*#REF! + tech_6_3_2*#REF! + tech_5_2_3*#REF!, 1-global_constr_cap) * ROUND((#REF!-250)*0.285 + 87.5 + 0/4.25,0),0)</f>
        <v>#REF!</v>
      </c>
      <c r="AQ44" s="3" t="e">
        <f>#REF!*#REF! +#REF! *#REF!</f>
        <v>#REF!</v>
      </c>
      <c r="AR44" s="3" t="e">
        <f>#REF!*#REF!+#REF!*#REF!</f>
        <v>#REF!</v>
      </c>
      <c r="AS44" s="39" t="e">
        <f ca="1">MIN(SUM(OFFSET(#REF!,-1,0))+SUM(#REF!)+IF(#REF!&gt;12,SUM(OFFSET(#REF!,-12,0)),0),SUM(#REF!))</f>
        <v>#REF!</v>
      </c>
      <c r="AT44" s="3" t="e">
        <f ca="1">IF(#REF!&lt;&gt;0,MAX(0, MIN(20, 20 + SUM(#REF!) - SUM(#REF!) - SUM(OFFSET(#REF!,-1,0)) - IF(#REF!&gt;12,SUM(OFFSET(#REF!,-12,0)),0) - 20*#REF!)),0)</f>
        <v>#REF!</v>
      </c>
      <c r="AU44" s="134"/>
      <c r="AV44" s="39" t="e">
        <f>ROUND((#REF!-250 - IF(#REF!&lt;&gt;0,20,0))*1.25 + 850 + 0,0)</f>
        <v>#REF!</v>
      </c>
      <c r="AW44" s="39" t="e">
        <f>ROUND((#REF!-250 - IF(#REF!&lt;&gt;0,20,0))*0.285 + 87.5 + 0/4.25,0)</f>
        <v>#REF!</v>
      </c>
      <c r="AX44" s="133"/>
      <c r="AY44" s="172" t="e">
        <f t="array" aca="1" ref="AY44" ca="1">IF(#REF!&gt;12,OFFSET(#REF!,-12,0),0)+OFFSET(#REF!,-1,0)-#REF!</f>
        <v>#REF!</v>
      </c>
      <c r="AZ44" s="173" t="e">
        <f t="array" aca="1" ref="AZ44" ca="1">IF(#REF!&gt;12,OFFSET(#REF!,-12,0),0)+OFFSET(#REF!,-1,0)-#REF!</f>
        <v>#REF!</v>
      </c>
      <c r="BA44" s="173" t="e">
        <f t="array" aca="1" ref="BA44" ca="1">IF(#REF!&gt;12,OFFSET(#REF!,-12,0),0)+OFFSET(#REF!,-1,0)-#REF!</f>
        <v>#REF!</v>
      </c>
      <c r="BB44" s="173" t="e">
        <f t="array" aca="1" ref="BB44" ca="1">IF(#REF!&gt;12,OFFSET(#REF!,-12,0),0)+OFFSET(#REF!,-1,0)-#REF!</f>
        <v>#REF!</v>
      </c>
      <c r="BC44" s="173" t="e">
        <f t="array" aca="1" ref="BC44" ca="1">IF(#REF!&gt;12,OFFSET(#REF!,-12,0),0)+OFFSET(#REF!,-1,0)-#REF!</f>
        <v>#REF!</v>
      </c>
      <c r="BD44" s="174" t="e">
        <f t="array" aca="1" ref="BD44" ca="1">IF(#REF!&gt;12,OFFSET(#REF!,-12,0),0)+OFFSET(#REF!,-1,0)-#REF!</f>
        <v>#REF!</v>
      </c>
      <c r="BE44" s="174" t="e">
        <f t="array" aca="1" ref="BE44" ca="1">IF(#REF!&gt;12,OFFSET(#REF!,-12,0),0)+OFFSET(#REF!,-1,0)-#REF!</f>
        <v>#REF!</v>
      </c>
      <c r="BF44" s="343" t="e">
        <f t="array" aca="1" ref="BF44" ca="1">IF(#REF!&gt;12,OFFSET(#REF!,-12,0),0)+OFFSET(#REF!,-1,0)-#REF!</f>
        <v>#REF!</v>
      </c>
      <c r="BG44" s="343" t="e">
        <f t="array" aca="1" ref="BG44" ca="1">IF(#REF!&gt;12,OFFSET(#REF!,-12,0),0)+OFFSET(#REF!,-1,0)-#REF!</f>
        <v>#REF!</v>
      </c>
      <c r="BH44" s="347" t="e">
        <f t="array" aca="1" ref="BH44" ca="1">IF(#REF!&gt;12,OFFSET(#REF!,-12,0),0)+OFFSET(#REF!,-1,0)-#REF!</f>
        <v>#REF!</v>
      </c>
      <c r="BI44" s="347" t="e">
        <f t="array" aca="1" ref="BI44" ca="1">IF(#REF!&gt;12,OFFSET(#REF!,-12,0),0)+OFFSET(#REF!,-1,0)-#REF!</f>
        <v>#REF!</v>
      </c>
      <c r="BJ44" s="347" t="e">
        <f t="array" aca="1" ref="BJ44" ca="1">IF(#REF!&gt;12,OFFSET(#REF!,-12,0),0)+OFFSET(#REF!,-1,0)-#REF!</f>
        <v>#REF!</v>
      </c>
      <c r="BK44" s="347" t="e">
        <f t="array" aca="1" ref="BK44" ca="1">IF(#REF!&gt;12,OFFSET(#REF!,-12,0),0)+OFFSET(#REF!,-1,0)-#REF!</f>
        <v>#REF!</v>
      </c>
      <c r="BL44" s="351" t="e">
        <f t="array" aca="1" ref="BL44" ca="1">IF(#REF!&gt;12,OFFSET(#REF!,-12,0),0)+OFFSET(#REF!,-1,0)-#REF!</f>
        <v>#REF!</v>
      </c>
      <c r="BM44" s="351" t="e">
        <f t="array" aca="1" ref="BM44" ca="1">IF(#REF!&gt;12,OFFSET(#REF!,-12,0),0)+OFFSET(#REF!,-1,0)-#REF!</f>
        <v>#REF!</v>
      </c>
      <c r="BN44" s="351" t="e">
        <f t="array" aca="1" ref="BN44" ca="1">IF(#REF!&gt;12,OFFSET(#REF!,-12,0),0)+OFFSET(#REF!,-1,0)-#REF!</f>
        <v>#REF!</v>
      </c>
      <c r="BO44" s="175" t="e">
        <f t="array" aca="1" ref="BO44" ca="1">IF(#REF!&gt;12,OFFSET(#REF!,-12,0),0)+OFFSET(#REF!,-1,0)-#REF!</f>
        <v>#REF!</v>
      </c>
      <c r="BP44" s="175" t="e">
        <f t="array" aca="1" ref="BP44" ca="1">IF(#REF!&gt;12,OFFSET(#REF!,-12,0),0)+OFFSET(#REF!,-1,0)-#REF!</f>
        <v>#REF!</v>
      </c>
      <c r="BQ44" s="176" t="e">
        <f t="array" aca="1" ref="BQ44" ca="1">IF(#REF!&gt;12,OFFSET(#REF!,-12,0),0)+OFFSET(#REF!,-1,0)-#REF!</f>
        <v>#REF!</v>
      </c>
      <c r="BR44" s="134"/>
      <c r="BS44" s="133"/>
      <c r="BT44" s="39" t="e">
        <f>#REF!</f>
        <v>#REF!</v>
      </c>
      <c r="BU44" s="147" t="e">
        <f>#REF!</f>
        <v>#REF!</v>
      </c>
      <c r="BV44" s="134"/>
      <c r="BW44" s="164"/>
      <c r="BX44" s="164"/>
      <c r="BY44" s="164"/>
      <c r="BZ44" s="164"/>
      <c r="CA44" s="164"/>
      <c r="CB44" s="164"/>
      <c r="CC44" s="164"/>
      <c r="CD44" s="164"/>
      <c r="CE44" s="164"/>
      <c r="CF44" s="164"/>
      <c r="CG44" s="164"/>
      <c r="CH44" s="164"/>
      <c r="CI44" s="164"/>
      <c r="CJ44" s="164"/>
      <c r="CK44" s="164"/>
      <c r="CL44" s="164"/>
      <c r="CM44" s="164"/>
      <c r="CN44" s="164"/>
      <c r="CO44" s="164"/>
      <c r="CP44" s="134"/>
      <c r="CQ44" s="165" t="e">
        <f ca="1">-SUM(#REF!)+SUM(#REF!)+Rezone!L44+IF("Ch_"&amp; home_land=#REF!,#REF!)+IF(#REF!&gt;12,OFFSET(#REF!,-12,0),0)</f>
        <v>#REF!</v>
      </c>
      <c r="CR44" s="166" t="e">
        <f ca="1">-SUM(#REF!)+SUM(#REF!) +Rezone!M44 + IF("Ch_"&amp; home_land=#REF!,#REF!)+IF(#REF!&gt;12,OFFSET(#REF!,-12,0),0)</f>
        <v>#REF!</v>
      </c>
      <c r="CS44" s="341" t="e">
        <f ca="1">-SUM(#REF!)+SUM(#REF!) +Rezone!N44 + IF("Ch_"&amp; home_land=#REF!,#REF!)+IF(#REF!&gt;12,OFFSET(#REF!,-12,0),0)</f>
        <v>#REF!</v>
      </c>
      <c r="CT44" s="167" t="e">
        <f ca="1">-SUM(#REF!)+SUM(#REF!) +Rezone!O44 + IF("Ch_" &amp; home_land=#REF!,#REF!)+IF(#REF!&gt;12,OFFSET(#REF!,-12,0),0)</f>
        <v>#REF!</v>
      </c>
      <c r="CU44" s="168" t="e">
        <f ca="1">-SUM(#REF!)+SUM(#REF!) +Rezone!P44 + IF("Ch_" &amp; home_land=#REF!,#REF!)+IF(#REF!&gt;12,OFFSET(#REF!,-12,0),0)</f>
        <v>#REF!</v>
      </c>
      <c r="CV44" s="169" t="e">
        <f ca="1">- SUM(#REF!)+SUM(#REF!) +Rezone!Q44 + IF("Ch_" &amp; home_land=#REF!,#REF!)+IF(#REF!&gt;12,OFFSET(#REF!,-12,0),0)</f>
        <v>#REF!</v>
      </c>
      <c r="CW44" s="170" t="e">
        <f ca="1">-#REF!+#REF! +Rezone!R44 + IF("Ch_" &amp; home_land=#REF!,#REF!)+IF(#REF!&gt;12,OFFSET(#REF!,-12,0),0)</f>
        <v>#REF!</v>
      </c>
      <c r="CX44" s="3" t="e">
        <f>IF(Explore!S44=1,20) -#REF! +#REF!</f>
        <v>#REF!</v>
      </c>
      <c r="CY44" s="134"/>
      <c r="CZ44" s="39" t="e">
        <f t="shared" ca="1" si="3"/>
        <v>#REF!</v>
      </c>
      <c r="DA44" s="39" t="e">
        <f t="shared" ca="1" si="4"/>
        <v>#REF!</v>
      </c>
      <c r="DB44" s="3" t="e">
        <f t="shared" ca="1" si="5"/>
        <v>#REF!</v>
      </c>
      <c r="DC44" s="39" t="e">
        <f t="shared" ca="1" si="6"/>
        <v>#REF!</v>
      </c>
      <c r="DD44" s="39" t="e">
        <f t="shared" ca="1" si="7"/>
        <v>#REF!</v>
      </c>
      <c r="DE44" s="3" t="e">
        <f t="shared" ca="1" si="8"/>
        <v>#REF!</v>
      </c>
      <c r="DF44" s="39" t="e">
        <f t="shared" ca="1" si="9"/>
        <v>#REF!</v>
      </c>
      <c r="DG44" s="39" t="e">
        <f t="array" ref="DG44">INDEX(#REF!,ROW()-ROW(#REF!),MATCH("Total "&amp;home_land,#REF!,0))+#REF!</f>
        <v>#REF!</v>
      </c>
      <c r="DH44" s="3" t="e">
        <f t="shared" ca="1" si="10"/>
        <v>#REF!</v>
      </c>
      <c r="DI44" s="3" t="e">
        <f t="shared" ca="1" si="0"/>
        <v>#REF!</v>
      </c>
      <c r="DJ44" s="3" t="e">
        <f t="shared" ca="1" si="1"/>
        <v>#REF!</v>
      </c>
    </row>
    <row r="45" spans="1:114" x14ac:dyDescent="0.25">
      <c r="A45" s="160" t="e">
        <f>#REF!</f>
        <v>#REF!</v>
      </c>
      <c r="B45" s="161" t="e">
        <f>SUM(#REF!)</f>
        <v>#REF!</v>
      </c>
      <c r="C45" s="162" t="e">
        <f>SUM(#REF!)</f>
        <v>#REF!</v>
      </c>
      <c r="D45" s="162">
        <f t="shared" si="2"/>
        <v>0</v>
      </c>
      <c r="E45" s="163"/>
      <c r="F45" s="61" t="e">
        <f>#REF!+#REF!+#REF!</f>
        <v>#REF!</v>
      </c>
      <c r="G45" s="171" t="e">
        <f ca="1">OFFSET(#REF!,-1,0)+#REF!</f>
        <v>#REF!</v>
      </c>
      <c r="H45" s="166" t="e">
        <f ca="1">OFFSET(#REF!,-1,0)+#REF!</f>
        <v>#REF!</v>
      </c>
      <c r="I45" s="341" t="e">
        <f ca="1">OFFSET(#REF!,-1,0)+#REF!</f>
        <v>#REF!</v>
      </c>
      <c r="J45" s="345" t="e">
        <f ca="1">OFFSET(#REF!,-1,0)+#REF!</f>
        <v>#REF!</v>
      </c>
      <c r="K45" s="349" t="e">
        <f ca="1">OFFSET(#REF!,-1,0)+#REF!</f>
        <v>#REF!</v>
      </c>
      <c r="L45" s="169" t="e">
        <f ca="1">OFFSET(#REF!,-1,0)+#REF!</f>
        <v>#REF!</v>
      </c>
      <c r="M45" s="170" t="e">
        <f ca="1">OFFSET(#REF!,-1,0)+#REF!</f>
        <v>#REF!</v>
      </c>
      <c r="N45" s="339" t="e">
        <f>#REF!</f>
        <v>#REF!</v>
      </c>
      <c r="O45" s="164"/>
      <c r="P45" s="164"/>
      <c r="Q45" s="164"/>
      <c r="R45" s="146"/>
      <c r="S45" s="164"/>
      <c r="T45" s="164"/>
      <c r="U45" s="164"/>
      <c r="V45" s="164"/>
      <c r="W45" s="164"/>
      <c r="X45" s="164"/>
      <c r="Y45" s="164"/>
      <c r="Z45" s="164"/>
      <c r="AA45" s="164"/>
      <c r="AB45" s="164"/>
      <c r="AC45" s="164"/>
      <c r="AD45" s="164"/>
      <c r="AE45" s="164"/>
      <c r="AF45" s="164"/>
      <c r="AG45" s="164"/>
      <c r="AH45" s="53" t="e">
        <f>#REF!</f>
        <v>#REF!</v>
      </c>
      <c r="AI45" s="132" t="e">
        <f>MIN(25%,(#REF!+#REF!)/(#REF!-#REF!*20))</f>
        <v>#REF!</v>
      </c>
      <c r="AJ45" s="132" t="e">
        <f>MIN(25%,(#REF!+#REF!)/#REF!)</f>
        <v>#REF!</v>
      </c>
      <c r="AK45" s="39" t="e">
        <f>#REF!</f>
        <v>#REF!</v>
      </c>
      <c r="AL45" s="39" t="e">
        <f>#REF!</f>
        <v>#REF!</v>
      </c>
      <c r="AM45" s="39" t="e">
        <f>ROUNDDOWN( MAX((1 - MIN(facs_constr_factor*#REF!,facs_constr_max) + tech_2_3*#REF! + tech_2_6_2*#REF! + tech_2_10*#REF! + tech_4_6*#REF! + tech_6_3*#REF! + tech_9_2*#REF! + race_construction_cost), 1-global_constr_cap) *#REF!,0)</f>
        <v>#REF!</v>
      </c>
      <c r="AN45" s="39" t="e">
        <f>ROUNDDOWN( MAX(1 - MIN(facs_constr_factor*#REF!,facs_constr_max) + tech_1_11*#REF! + tech_6_3_2*#REF! + tech_5_2_3*#REF!, 1-global_constr_cap) *#REF!,0)</f>
        <v>#REF!</v>
      </c>
      <c r="AO45" s="39" t="e">
        <f>ROUNDDOWN( MAX((1 - MIN(facs_constr_factor*#REF!,facs_constr_max) + tech_2_3*#REF! + tech_2_6_2*#REF! + tech_2_10*#REF! + tech_4_6*#REF! + tech_6_3*#REF! + tech_9_2*#REF! + race_construction_cost), 1-global_constr_cap) * (ROUND((#REF!-250)*1.25 + 850 + 0,0)),0)</f>
        <v>#REF!</v>
      </c>
      <c r="AP45" s="39" t="e">
        <f>ROUNDDOWN( MAX(1 - MIN(facs_constr_factor*#REF!,facs_constr_max) + tech_1_11*#REF! + tech_6_3_2*#REF! + tech_5_2_3*#REF!, 1-global_constr_cap) * ROUND((#REF!-250)*0.285 + 87.5 + 0/4.25,0),0)</f>
        <v>#REF!</v>
      </c>
      <c r="AQ45" s="3" t="e">
        <f>#REF!*#REF! +#REF! *#REF!</f>
        <v>#REF!</v>
      </c>
      <c r="AR45" s="3" t="e">
        <f>#REF!*#REF!+#REF!*#REF!</f>
        <v>#REF!</v>
      </c>
      <c r="AS45" s="39" t="e">
        <f ca="1">MIN(SUM(OFFSET(#REF!,-1,0))+SUM(#REF!)+IF(#REF!&gt;12,SUM(OFFSET(#REF!,-12,0)),0),SUM(#REF!))</f>
        <v>#REF!</v>
      </c>
      <c r="AT45" s="3" t="e">
        <f ca="1">IF(#REF!&lt;&gt;0,MAX(0, MIN(20, 20 + SUM(#REF!) - SUM(#REF!) - SUM(OFFSET(#REF!,-1,0)) - IF(#REF!&gt;12,SUM(OFFSET(#REF!,-12,0)),0) - 20*#REF!)),0)</f>
        <v>#REF!</v>
      </c>
      <c r="AU45" s="134"/>
      <c r="AV45" s="39" t="e">
        <f>ROUND((#REF!-250 - IF(#REF!&lt;&gt;0,20,0))*1.25 + 850 + 0,0)</f>
        <v>#REF!</v>
      </c>
      <c r="AW45" s="39" t="e">
        <f>ROUND((#REF!-250 - IF(#REF!&lt;&gt;0,20,0))*0.285 + 87.5 + 0/4.25,0)</f>
        <v>#REF!</v>
      </c>
      <c r="AX45" s="133"/>
      <c r="AY45" s="172" t="e">
        <f t="array" aca="1" ref="AY45" ca="1">IF(#REF!&gt;12,OFFSET(#REF!,-12,0),0)+OFFSET(#REF!,-1,0)-#REF!</f>
        <v>#REF!</v>
      </c>
      <c r="AZ45" s="173" t="e">
        <f t="array" aca="1" ref="AZ45" ca="1">IF(#REF!&gt;12,OFFSET(#REF!,-12,0),0)+OFFSET(#REF!,-1,0)-#REF!</f>
        <v>#REF!</v>
      </c>
      <c r="BA45" s="173" t="e">
        <f t="array" aca="1" ref="BA45" ca="1">IF(#REF!&gt;12,OFFSET(#REF!,-12,0),0)+OFFSET(#REF!,-1,0)-#REF!</f>
        <v>#REF!</v>
      </c>
      <c r="BB45" s="173" t="e">
        <f t="array" aca="1" ref="BB45" ca="1">IF(#REF!&gt;12,OFFSET(#REF!,-12,0),0)+OFFSET(#REF!,-1,0)-#REF!</f>
        <v>#REF!</v>
      </c>
      <c r="BC45" s="173" t="e">
        <f t="array" aca="1" ref="BC45" ca="1">IF(#REF!&gt;12,OFFSET(#REF!,-12,0),0)+OFFSET(#REF!,-1,0)-#REF!</f>
        <v>#REF!</v>
      </c>
      <c r="BD45" s="174" t="e">
        <f t="array" aca="1" ref="BD45" ca="1">IF(#REF!&gt;12,OFFSET(#REF!,-12,0),0)+OFFSET(#REF!,-1,0)-#REF!</f>
        <v>#REF!</v>
      </c>
      <c r="BE45" s="174" t="e">
        <f t="array" aca="1" ref="BE45" ca="1">IF(#REF!&gt;12,OFFSET(#REF!,-12,0),0)+OFFSET(#REF!,-1,0)-#REF!</f>
        <v>#REF!</v>
      </c>
      <c r="BF45" s="343" t="e">
        <f t="array" aca="1" ref="BF45" ca="1">IF(#REF!&gt;12,OFFSET(#REF!,-12,0),0)+OFFSET(#REF!,-1,0)-#REF!</f>
        <v>#REF!</v>
      </c>
      <c r="BG45" s="343" t="e">
        <f t="array" aca="1" ref="BG45" ca="1">IF(#REF!&gt;12,OFFSET(#REF!,-12,0),0)+OFFSET(#REF!,-1,0)-#REF!</f>
        <v>#REF!</v>
      </c>
      <c r="BH45" s="347" t="e">
        <f t="array" aca="1" ref="BH45" ca="1">IF(#REF!&gt;12,OFFSET(#REF!,-12,0),0)+OFFSET(#REF!,-1,0)-#REF!</f>
        <v>#REF!</v>
      </c>
      <c r="BI45" s="347" t="e">
        <f t="array" aca="1" ref="BI45" ca="1">IF(#REF!&gt;12,OFFSET(#REF!,-12,0),0)+OFFSET(#REF!,-1,0)-#REF!</f>
        <v>#REF!</v>
      </c>
      <c r="BJ45" s="347" t="e">
        <f t="array" aca="1" ref="BJ45" ca="1">IF(#REF!&gt;12,OFFSET(#REF!,-12,0),0)+OFFSET(#REF!,-1,0)-#REF!</f>
        <v>#REF!</v>
      </c>
      <c r="BK45" s="347" t="e">
        <f t="array" aca="1" ref="BK45" ca="1">IF(#REF!&gt;12,OFFSET(#REF!,-12,0),0)+OFFSET(#REF!,-1,0)-#REF!</f>
        <v>#REF!</v>
      </c>
      <c r="BL45" s="351" t="e">
        <f t="array" aca="1" ref="BL45" ca="1">IF(#REF!&gt;12,OFFSET(#REF!,-12,0),0)+OFFSET(#REF!,-1,0)-#REF!</f>
        <v>#REF!</v>
      </c>
      <c r="BM45" s="351" t="e">
        <f t="array" aca="1" ref="BM45" ca="1">IF(#REF!&gt;12,OFFSET(#REF!,-12,0),0)+OFFSET(#REF!,-1,0)-#REF!</f>
        <v>#REF!</v>
      </c>
      <c r="BN45" s="351" t="e">
        <f t="array" aca="1" ref="BN45" ca="1">IF(#REF!&gt;12,OFFSET(#REF!,-12,0),0)+OFFSET(#REF!,-1,0)-#REF!</f>
        <v>#REF!</v>
      </c>
      <c r="BO45" s="175" t="e">
        <f t="array" aca="1" ref="BO45" ca="1">IF(#REF!&gt;12,OFFSET(#REF!,-12,0),0)+OFFSET(#REF!,-1,0)-#REF!</f>
        <v>#REF!</v>
      </c>
      <c r="BP45" s="175" t="e">
        <f t="array" aca="1" ref="BP45" ca="1">IF(#REF!&gt;12,OFFSET(#REF!,-12,0),0)+OFFSET(#REF!,-1,0)-#REF!</f>
        <v>#REF!</v>
      </c>
      <c r="BQ45" s="176" t="e">
        <f t="array" aca="1" ref="BQ45" ca="1">IF(#REF!&gt;12,OFFSET(#REF!,-12,0),0)+OFFSET(#REF!,-1,0)-#REF!</f>
        <v>#REF!</v>
      </c>
      <c r="BR45" s="134"/>
      <c r="BS45" s="133"/>
      <c r="BT45" s="39" t="e">
        <f>#REF!</f>
        <v>#REF!</v>
      </c>
      <c r="BU45" s="147" t="e">
        <f>#REF!</f>
        <v>#REF!</v>
      </c>
      <c r="BV45" s="134"/>
      <c r="BW45" s="164"/>
      <c r="BX45" s="164"/>
      <c r="BY45" s="164"/>
      <c r="BZ45" s="164"/>
      <c r="CA45" s="164"/>
      <c r="CB45" s="164"/>
      <c r="CC45" s="164"/>
      <c r="CD45" s="164"/>
      <c r="CE45" s="164"/>
      <c r="CF45" s="164"/>
      <c r="CG45" s="164"/>
      <c r="CH45" s="164"/>
      <c r="CI45" s="164"/>
      <c r="CJ45" s="164"/>
      <c r="CK45" s="164"/>
      <c r="CL45" s="164"/>
      <c r="CM45" s="164"/>
      <c r="CN45" s="164"/>
      <c r="CO45" s="164"/>
      <c r="CP45" s="134"/>
      <c r="CQ45" s="165" t="e">
        <f ca="1">-SUM(#REF!)+SUM(#REF!)+Rezone!L45+IF("Ch_"&amp; home_land=#REF!,#REF!)+IF(#REF!&gt;12,OFFSET(#REF!,-12,0),0)</f>
        <v>#REF!</v>
      </c>
      <c r="CR45" s="166" t="e">
        <f ca="1">-SUM(#REF!)+SUM(#REF!) +Rezone!M45 + IF("Ch_"&amp; home_land=#REF!,#REF!)+IF(#REF!&gt;12,OFFSET(#REF!,-12,0),0)</f>
        <v>#REF!</v>
      </c>
      <c r="CS45" s="341" t="e">
        <f ca="1">-SUM(#REF!)+SUM(#REF!) +Rezone!N45 + IF("Ch_"&amp; home_land=#REF!,#REF!)+IF(#REF!&gt;12,OFFSET(#REF!,-12,0),0)</f>
        <v>#REF!</v>
      </c>
      <c r="CT45" s="167" t="e">
        <f ca="1">-SUM(#REF!)+SUM(#REF!) +Rezone!O45 + IF("Ch_" &amp; home_land=#REF!,#REF!)+IF(#REF!&gt;12,OFFSET(#REF!,-12,0),0)</f>
        <v>#REF!</v>
      </c>
      <c r="CU45" s="168" t="e">
        <f ca="1">-SUM(#REF!)+SUM(#REF!) +Rezone!P45 + IF("Ch_" &amp; home_land=#REF!,#REF!)+IF(#REF!&gt;12,OFFSET(#REF!,-12,0),0)</f>
        <v>#REF!</v>
      </c>
      <c r="CV45" s="169" t="e">
        <f ca="1">- SUM(#REF!)+SUM(#REF!) +Rezone!Q45 + IF("Ch_" &amp; home_land=#REF!,#REF!)+IF(#REF!&gt;12,OFFSET(#REF!,-12,0),0)</f>
        <v>#REF!</v>
      </c>
      <c r="CW45" s="170" t="e">
        <f ca="1">-#REF!+#REF! +Rezone!R45 + IF("Ch_" &amp; home_land=#REF!,#REF!)+IF(#REF!&gt;12,OFFSET(#REF!,-12,0),0)</f>
        <v>#REF!</v>
      </c>
      <c r="CX45" s="3" t="e">
        <f>IF(Explore!S45=1,20) -#REF! +#REF!</f>
        <v>#REF!</v>
      </c>
      <c r="CY45" s="134"/>
      <c r="CZ45" s="39" t="e">
        <f t="shared" ca="1" si="3"/>
        <v>#REF!</v>
      </c>
      <c r="DA45" s="39" t="e">
        <f t="shared" ca="1" si="4"/>
        <v>#REF!</v>
      </c>
      <c r="DB45" s="3" t="e">
        <f t="shared" ca="1" si="5"/>
        <v>#REF!</v>
      </c>
      <c r="DC45" s="39" t="e">
        <f t="shared" ca="1" si="6"/>
        <v>#REF!</v>
      </c>
      <c r="DD45" s="39" t="e">
        <f t="shared" ca="1" si="7"/>
        <v>#REF!</v>
      </c>
      <c r="DE45" s="3" t="e">
        <f t="shared" ca="1" si="8"/>
        <v>#REF!</v>
      </c>
      <c r="DF45" s="39" t="e">
        <f t="shared" ca="1" si="9"/>
        <v>#REF!</v>
      </c>
      <c r="DG45" s="39" t="e">
        <f t="array" ref="DG45">INDEX(#REF!,ROW()-ROW(#REF!),MATCH("Total "&amp;home_land,#REF!,0))+#REF!</f>
        <v>#REF!</v>
      </c>
      <c r="DH45" s="3" t="e">
        <f t="shared" ca="1" si="10"/>
        <v>#REF!</v>
      </c>
      <c r="DI45" s="3" t="e">
        <f t="shared" ca="1" si="0"/>
        <v>#REF!</v>
      </c>
      <c r="DJ45" s="3" t="e">
        <f t="shared" ca="1" si="1"/>
        <v>#REF!</v>
      </c>
    </row>
    <row r="46" spans="1:114" x14ac:dyDescent="0.25">
      <c r="A46" s="160" t="e">
        <f>#REF!</f>
        <v>#REF!</v>
      </c>
      <c r="B46" s="161" t="e">
        <f>SUM(#REF!)</f>
        <v>#REF!</v>
      </c>
      <c r="C46" s="162" t="e">
        <f>SUM(#REF!)</f>
        <v>#REF!</v>
      </c>
      <c r="D46" s="162">
        <f t="shared" si="2"/>
        <v>0</v>
      </c>
      <c r="E46" s="163"/>
      <c r="F46" s="61" t="e">
        <f>#REF!+#REF!+#REF!</f>
        <v>#REF!</v>
      </c>
      <c r="G46" s="171" t="e">
        <f ca="1">OFFSET(#REF!,-1,0)+#REF!</f>
        <v>#REF!</v>
      </c>
      <c r="H46" s="166" t="e">
        <f ca="1">OFFSET(#REF!,-1,0)+#REF!</f>
        <v>#REF!</v>
      </c>
      <c r="I46" s="341" t="e">
        <f ca="1">OFFSET(#REF!,-1,0)+#REF!</f>
        <v>#REF!</v>
      </c>
      <c r="J46" s="345" t="e">
        <f ca="1">OFFSET(#REF!,-1,0)+#REF!</f>
        <v>#REF!</v>
      </c>
      <c r="K46" s="349" t="e">
        <f ca="1">OFFSET(#REF!,-1,0)+#REF!</f>
        <v>#REF!</v>
      </c>
      <c r="L46" s="169" t="e">
        <f ca="1">OFFSET(#REF!,-1,0)+#REF!</f>
        <v>#REF!</v>
      </c>
      <c r="M46" s="170" t="e">
        <f ca="1">OFFSET(#REF!,-1,0)+#REF!</f>
        <v>#REF!</v>
      </c>
      <c r="N46" s="339" t="e">
        <f>#REF!</f>
        <v>#REF!</v>
      </c>
      <c r="O46" s="164"/>
      <c r="P46" s="164"/>
      <c r="Q46" s="164"/>
      <c r="R46" s="146"/>
      <c r="S46" s="164"/>
      <c r="T46" s="164"/>
      <c r="U46" s="164"/>
      <c r="V46" s="164"/>
      <c r="W46" s="164"/>
      <c r="X46" s="164"/>
      <c r="Y46" s="164"/>
      <c r="Z46" s="164"/>
      <c r="AA46" s="164"/>
      <c r="AB46" s="164"/>
      <c r="AC46" s="164"/>
      <c r="AD46" s="164"/>
      <c r="AE46" s="164"/>
      <c r="AF46" s="164"/>
      <c r="AG46" s="164"/>
      <c r="AH46" s="53" t="e">
        <f>#REF!</f>
        <v>#REF!</v>
      </c>
      <c r="AI46" s="132" t="e">
        <f>MIN(25%,(#REF!+#REF!)/(#REF!-#REF!*20))</f>
        <v>#REF!</v>
      </c>
      <c r="AJ46" s="132" t="e">
        <f>MIN(25%,(#REF!+#REF!)/#REF!)</f>
        <v>#REF!</v>
      </c>
      <c r="AK46" s="39" t="e">
        <f>#REF!</f>
        <v>#REF!</v>
      </c>
      <c r="AL46" s="39" t="e">
        <f>#REF!</f>
        <v>#REF!</v>
      </c>
      <c r="AM46" s="39" t="e">
        <f>ROUNDDOWN( MAX((1 - MIN(facs_constr_factor*#REF!,facs_constr_max) + tech_2_3*#REF! + tech_2_6_2*#REF! + tech_2_10*#REF! + tech_4_6*#REF! + tech_6_3*#REF! + tech_9_2*#REF! + race_construction_cost), 1-global_constr_cap) *#REF!,0)</f>
        <v>#REF!</v>
      </c>
      <c r="AN46" s="39" t="e">
        <f>ROUNDDOWN( MAX(1 - MIN(facs_constr_factor*#REF!,facs_constr_max) + tech_1_11*#REF! + tech_6_3_2*#REF! + tech_5_2_3*#REF!, 1-global_constr_cap) *#REF!,0)</f>
        <v>#REF!</v>
      </c>
      <c r="AO46" s="39" t="e">
        <f>ROUNDDOWN( MAX((1 - MIN(facs_constr_factor*#REF!,facs_constr_max) + tech_2_3*#REF! + tech_2_6_2*#REF! + tech_2_10*#REF! + tech_4_6*#REF! + tech_6_3*#REF! + tech_9_2*#REF! + race_construction_cost), 1-global_constr_cap) * (ROUND((#REF!-250)*1.25 + 850 + 0,0)),0)</f>
        <v>#REF!</v>
      </c>
      <c r="AP46" s="39" t="e">
        <f>ROUNDDOWN( MAX(1 - MIN(facs_constr_factor*#REF!,facs_constr_max) + tech_1_11*#REF! + tech_6_3_2*#REF! + tech_5_2_3*#REF!, 1-global_constr_cap) * ROUND((#REF!-250)*0.285 + 87.5 + 0/4.25,0),0)</f>
        <v>#REF!</v>
      </c>
      <c r="AQ46" s="3" t="e">
        <f>#REF!*#REF! +#REF! *#REF!</f>
        <v>#REF!</v>
      </c>
      <c r="AR46" s="3" t="e">
        <f>#REF!*#REF!+#REF!*#REF!</f>
        <v>#REF!</v>
      </c>
      <c r="AS46" s="39" t="e">
        <f ca="1">MIN(SUM(OFFSET(#REF!,-1,0))+SUM(#REF!)+IF(#REF!&gt;12,SUM(OFFSET(#REF!,-12,0)),0),SUM(#REF!))</f>
        <v>#REF!</v>
      </c>
      <c r="AT46" s="3" t="e">
        <f ca="1">IF(#REF!&lt;&gt;0,MAX(0, MIN(20, 20 + SUM(#REF!) - SUM(#REF!) - SUM(OFFSET(#REF!,-1,0)) - IF(#REF!&gt;12,SUM(OFFSET(#REF!,-12,0)),0) - 20*#REF!)),0)</f>
        <v>#REF!</v>
      </c>
      <c r="AU46" s="134"/>
      <c r="AV46" s="39" t="e">
        <f>ROUND((#REF!-250 - IF(#REF!&lt;&gt;0,20,0))*1.25 + 850 + 0,0)</f>
        <v>#REF!</v>
      </c>
      <c r="AW46" s="39" t="e">
        <f>ROUND((#REF!-250 - IF(#REF!&lt;&gt;0,20,0))*0.285 + 87.5 + 0/4.25,0)</f>
        <v>#REF!</v>
      </c>
      <c r="AX46" s="133"/>
      <c r="AY46" s="172" t="e">
        <f t="array" aca="1" ref="AY46" ca="1">IF(#REF!&gt;12,OFFSET(#REF!,-12,0),0)+OFFSET(#REF!,-1,0)-#REF!</f>
        <v>#REF!</v>
      </c>
      <c r="AZ46" s="173" t="e">
        <f t="array" aca="1" ref="AZ46" ca="1">IF(#REF!&gt;12,OFFSET(#REF!,-12,0),0)+OFFSET(#REF!,-1,0)-#REF!</f>
        <v>#REF!</v>
      </c>
      <c r="BA46" s="173" t="e">
        <f t="array" aca="1" ref="BA46" ca="1">IF(#REF!&gt;12,OFFSET(#REF!,-12,0),0)+OFFSET(#REF!,-1,0)-#REF!</f>
        <v>#REF!</v>
      </c>
      <c r="BB46" s="173" t="e">
        <f t="array" aca="1" ref="BB46" ca="1">IF(#REF!&gt;12,OFFSET(#REF!,-12,0),0)+OFFSET(#REF!,-1,0)-#REF!</f>
        <v>#REF!</v>
      </c>
      <c r="BC46" s="173" t="e">
        <f t="array" aca="1" ref="BC46" ca="1">IF(#REF!&gt;12,OFFSET(#REF!,-12,0),0)+OFFSET(#REF!,-1,0)-#REF!</f>
        <v>#REF!</v>
      </c>
      <c r="BD46" s="174" t="e">
        <f t="array" aca="1" ref="BD46" ca="1">IF(#REF!&gt;12,OFFSET(#REF!,-12,0),0)+OFFSET(#REF!,-1,0)-#REF!</f>
        <v>#REF!</v>
      </c>
      <c r="BE46" s="174" t="e">
        <f t="array" aca="1" ref="BE46" ca="1">IF(#REF!&gt;12,OFFSET(#REF!,-12,0),0)+OFFSET(#REF!,-1,0)-#REF!</f>
        <v>#REF!</v>
      </c>
      <c r="BF46" s="343" t="e">
        <f t="array" aca="1" ref="BF46" ca="1">IF(#REF!&gt;12,OFFSET(#REF!,-12,0),0)+OFFSET(#REF!,-1,0)-#REF!</f>
        <v>#REF!</v>
      </c>
      <c r="BG46" s="343" t="e">
        <f t="array" aca="1" ref="BG46" ca="1">IF(#REF!&gt;12,OFFSET(#REF!,-12,0),0)+OFFSET(#REF!,-1,0)-#REF!</f>
        <v>#REF!</v>
      </c>
      <c r="BH46" s="347" t="e">
        <f t="array" aca="1" ref="BH46" ca="1">IF(#REF!&gt;12,OFFSET(#REF!,-12,0),0)+OFFSET(#REF!,-1,0)-#REF!</f>
        <v>#REF!</v>
      </c>
      <c r="BI46" s="347" t="e">
        <f t="array" aca="1" ref="BI46" ca="1">IF(#REF!&gt;12,OFFSET(#REF!,-12,0),0)+OFFSET(#REF!,-1,0)-#REF!</f>
        <v>#REF!</v>
      </c>
      <c r="BJ46" s="347" t="e">
        <f t="array" aca="1" ref="BJ46" ca="1">IF(#REF!&gt;12,OFFSET(#REF!,-12,0),0)+OFFSET(#REF!,-1,0)-#REF!</f>
        <v>#REF!</v>
      </c>
      <c r="BK46" s="347" t="e">
        <f t="array" aca="1" ref="BK46" ca="1">IF(#REF!&gt;12,OFFSET(#REF!,-12,0),0)+OFFSET(#REF!,-1,0)-#REF!</f>
        <v>#REF!</v>
      </c>
      <c r="BL46" s="351" t="e">
        <f t="array" aca="1" ref="BL46" ca="1">IF(#REF!&gt;12,OFFSET(#REF!,-12,0),0)+OFFSET(#REF!,-1,0)-#REF!</f>
        <v>#REF!</v>
      </c>
      <c r="BM46" s="351" t="e">
        <f t="array" aca="1" ref="BM46" ca="1">IF(#REF!&gt;12,OFFSET(#REF!,-12,0),0)+OFFSET(#REF!,-1,0)-#REF!</f>
        <v>#REF!</v>
      </c>
      <c r="BN46" s="351" t="e">
        <f t="array" aca="1" ref="BN46" ca="1">IF(#REF!&gt;12,OFFSET(#REF!,-12,0),0)+OFFSET(#REF!,-1,0)-#REF!</f>
        <v>#REF!</v>
      </c>
      <c r="BO46" s="175" t="e">
        <f t="array" aca="1" ref="BO46" ca="1">IF(#REF!&gt;12,OFFSET(#REF!,-12,0),0)+OFFSET(#REF!,-1,0)-#REF!</f>
        <v>#REF!</v>
      </c>
      <c r="BP46" s="175" t="e">
        <f t="array" aca="1" ref="BP46" ca="1">IF(#REF!&gt;12,OFFSET(#REF!,-12,0),0)+OFFSET(#REF!,-1,0)-#REF!</f>
        <v>#REF!</v>
      </c>
      <c r="BQ46" s="176" t="e">
        <f t="array" aca="1" ref="BQ46" ca="1">IF(#REF!&gt;12,OFFSET(#REF!,-12,0),0)+OFFSET(#REF!,-1,0)-#REF!</f>
        <v>#REF!</v>
      </c>
      <c r="BR46" s="134"/>
      <c r="BS46" s="133"/>
      <c r="BT46" s="39" t="e">
        <f>#REF!</f>
        <v>#REF!</v>
      </c>
      <c r="BU46" s="147" t="e">
        <f>#REF!</f>
        <v>#REF!</v>
      </c>
      <c r="BV46" s="134"/>
      <c r="BW46" s="164"/>
      <c r="BX46" s="164"/>
      <c r="BY46" s="164"/>
      <c r="BZ46" s="164"/>
      <c r="CA46" s="164"/>
      <c r="CB46" s="164"/>
      <c r="CC46" s="164"/>
      <c r="CD46" s="164"/>
      <c r="CE46" s="164"/>
      <c r="CF46" s="164"/>
      <c r="CG46" s="164"/>
      <c r="CH46" s="164"/>
      <c r="CI46" s="164"/>
      <c r="CJ46" s="164"/>
      <c r="CK46" s="164"/>
      <c r="CL46" s="164"/>
      <c r="CM46" s="164"/>
      <c r="CN46" s="164"/>
      <c r="CO46" s="164"/>
      <c r="CP46" s="134"/>
      <c r="CQ46" s="165" t="e">
        <f ca="1">-SUM(#REF!)+SUM(#REF!)+Rezone!L46+IF("Ch_"&amp; home_land=#REF!,#REF!)+IF(#REF!&gt;12,OFFSET(#REF!,-12,0),0)</f>
        <v>#REF!</v>
      </c>
      <c r="CR46" s="166" t="e">
        <f ca="1">-SUM(#REF!)+SUM(#REF!) +Rezone!M46 + IF("Ch_"&amp; home_land=#REF!,#REF!)+IF(#REF!&gt;12,OFFSET(#REF!,-12,0),0)</f>
        <v>#REF!</v>
      </c>
      <c r="CS46" s="341" t="e">
        <f ca="1">-SUM(#REF!)+SUM(#REF!) +Rezone!N46 + IF("Ch_"&amp; home_land=#REF!,#REF!)+IF(#REF!&gt;12,OFFSET(#REF!,-12,0),0)</f>
        <v>#REF!</v>
      </c>
      <c r="CT46" s="167" t="e">
        <f ca="1">-SUM(#REF!)+SUM(#REF!) +Rezone!O46 + IF("Ch_" &amp; home_land=#REF!,#REF!)+IF(#REF!&gt;12,OFFSET(#REF!,-12,0),0)</f>
        <v>#REF!</v>
      </c>
      <c r="CU46" s="168" t="e">
        <f ca="1">-SUM(#REF!)+SUM(#REF!) +Rezone!P46 + IF("Ch_" &amp; home_land=#REF!,#REF!)+IF(#REF!&gt;12,OFFSET(#REF!,-12,0),0)</f>
        <v>#REF!</v>
      </c>
      <c r="CV46" s="169" t="e">
        <f ca="1">- SUM(#REF!)+SUM(#REF!) +Rezone!Q46 + IF("Ch_" &amp; home_land=#REF!,#REF!)+IF(#REF!&gt;12,OFFSET(#REF!,-12,0),0)</f>
        <v>#REF!</v>
      </c>
      <c r="CW46" s="170" t="e">
        <f ca="1">-#REF!+#REF! +Rezone!R46 + IF("Ch_" &amp; home_land=#REF!,#REF!)+IF(#REF!&gt;12,OFFSET(#REF!,-12,0),0)</f>
        <v>#REF!</v>
      </c>
      <c r="CX46" s="3" t="e">
        <f>IF(Explore!S46=1,20) -#REF! +#REF!</f>
        <v>#REF!</v>
      </c>
      <c r="CY46" s="134"/>
      <c r="CZ46" s="39" t="e">
        <f t="shared" ca="1" si="3"/>
        <v>#REF!</v>
      </c>
      <c r="DA46" s="39" t="e">
        <f t="shared" ca="1" si="4"/>
        <v>#REF!</v>
      </c>
      <c r="DB46" s="3" t="e">
        <f t="shared" ca="1" si="5"/>
        <v>#REF!</v>
      </c>
      <c r="DC46" s="39" t="e">
        <f t="shared" ca="1" si="6"/>
        <v>#REF!</v>
      </c>
      <c r="DD46" s="39" t="e">
        <f t="shared" ca="1" si="7"/>
        <v>#REF!</v>
      </c>
      <c r="DE46" s="3" t="e">
        <f t="shared" ca="1" si="8"/>
        <v>#REF!</v>
      </c>
      <c r="DF46" s="39" t="e">
        <f t="shared" ca="1" si="9"/>
        <v>#REF!</v>
      </c>
      <c r="DG46" s="39" t="e">
        <f t="array" ref="DG46">INDEX(#REF!,ROW()-ROW(#REF!),MATCH("Total "&amp;home_land,#REF!,0))+#REF!</f>
        <v>#REF!</v>
      </c>
      <c r="DH46" s="3" t="e">
        <f t="shared" ca="1" si="10"/>
        <v>#REF!</v>
      </c>
      <c r="DI46" s="3" t="e">
        <f t="shared" ca="1" si="0"/>
        <v>#REF!</v>
      </c>
      <c r="DJ46" s="3" t="e">
        <f t="shared" ca="1" si="1"/>
        <v>#REF!</v>
      </c>
    </row>
    <row r="47" spans="1:114" x14ac:dyDescent="0.25">
      <c r="A47" s="160" t="e">
        <f>#REF!</f>
        <v>#REF!</v>
      </c>
      <c r="B47" s="161" t="e">
        <f>SUM(#REF!)</f>
        <v>#REF!</v>
      </c>
      <c r="C47" s="162" t="e">
        <f>SUM(#REF!)</f>
        <v>#REF!</v>
      </c>
      <c r="D47" s="162">
        <f t="shared" ref="D47:D75" si="11">SUM(O36:AG47)</f>
        <v>0</v>
      </c>
      <c r="E47" s="163"/>
      <c r="F47" s="61" t="e">
        <f>#REF!+#REF!+#REF!</f>
        <v>#REF!</v>
      </c>
      <c r="G47" s="171" t="e">
        <f ca="1">OFFSET(#REF!,-1,0)+#REF!</f>
        <v>#REF!</v>
      </c>
      <c r="H47" s="166" t="e">
        <f ca="1">OFFSET(#REF!,-1,0)+#REF!</f>
        <v>#REF!</v>
      </c>
      <c r="I47" s="341" t="e">
        <f ca="1">OFFSET(#REF!,-1,0)+#REF!</f>
        <v>#REF!</v>
      </c>
      <c r="J47" s="345" t="e">
        <f ca="1">OFFSET(#REF!,-1,0)+#REF!</f>
        <v>#REF!</v>
      </c>
      <c r="K47" s="349" t="e">
        <f ca="1">OFFSET(#REF!,-1,0)+#REF!</f>
        <v>#REF!</v>
      </c>
      <c r="L47" s="169" t="e">
        <f ca="1">OFFSET(#REF!,-1,0)+#REF!</f>
        <v>#REF!</v>
      </c>
      <c r="M47" s="170" t="e">
        <f ca="1">OFFSET(#REF!,-1,0)+#REF!</f>
        <v>#REF!</v>
      </c>
      <c r="N47" s="339" t="e">
        <f>#REF!</f>
        <v>#REF!</v>
      </c>
      <c r="O47" s="164"/>
      <c r="P47" s="164"/>
      <c r="Q47" s="164"/>
      <c r="R47" s="146"/>
      <c r="S47" s="164"/>
      <c r="T47" s="164"/>
      <c r="U47" s="164"/>
      <c r="V47" s="164"/>
      <c r="W47" s="164"/>
      <c r="X47" s="164"/>
      <c r="Y47" s="164"/>
      <c r="Z47" s="164"/>
      <c r="AA47" s="164"/>
      <c r="AB47" s="164"/>
      <c r="AC47" s="164"/>
      <c r="AD47" s="164"/>
      <c r="AE47" s="164"/>
      <c r="AF47" s="164"/>
      <c r="AG47" s="164"/>
      <c r="AH47" s="53" t="e">
        <f>#REF!</f>
        <v>#REF!</v>
      </c>
      <c r="AI47" s="132" t="e">
        <f>MIN(25%,(#REF!+#REF!)/(#REF!-#REF!*20))</f>
        <v>#REF!</v>
      </c>
      <c r="AJ47" s="132" t="e">
        <f>MIN(25%,(#REF!+#REF!)/#REF!)</f>
        <v>#REF!</v>
      </c>
      <c r="AK47" s="39" t="e">
        <f>#REF!</f>
        <v>#REF!</v>
      </c>
      <c r="AL47" s="39" t="e">
        <f>#REF!</f>
        <v>#REF!</v>
      </c>
      <c r="AM47" s="39" t="e">
        <f>ROUNDDOWN( MAX((1 - MIN(facs_constr_factor*#REF!,facs_constr_max) + tech_2_3*#REF! + tech_2_6_2*#REF! + tech_2_10*#REF! + tech_4_6*#REF! + tech_6_3*#REF! + tech_9_2*#REF! + race_construction_cost), 1-global_constr_cap) *#REF!,0)</f>
        <v>#REF!</v>
      </c>
      <c r="AN47" s="39" t="e">
        <f>ROUNDDOWN( MAX(1 - MIN(facs_constr_factor*#REF!,facs_constr_max) + tech_1_11*#REF! + tech_6_3_2*#REF! + tech_5_2_3*#REF!, 1-global_constr_cap) *#REF!,0)</f>
        <v>#REF!</v>
      </c>
      <c r="AO47" s="39" t="e">
        <f>ROUNDDOWN( MAX((1 - MIN(facs_constr_factor*#REF!,facs_constr_max) + tech_2_3*#REF! + tech_2_6_2*#REF! + tech_2_10*#REF! + tech_4_6*#REF! + tech_6_3*#REF! + tech_9_2*#REF! + race_construction_cost), 1-global_constr_cap) * (ROUND((#REF!-250)*1.25 + 850 + 0,0)),0)</f>
        <v>#REF!</v>
      </c>
      <c r="AP47" s="39" t="e">
        <f>ROUNDDOWN( MAX(1 - MIN(facs_constr_factor*#REF!,facs_constr_max) + tech_1_11*#REF! + tech_6_3_2*#REF! + tech_5_2_3*#REF!, 1-global_constr_cap) * ROUND((#REF!-250)*0.285 + 87.5 + 0/4.25,0),0)</f>
        <v>#REF!</v>
      </c>
      <c r="AQ47" s="3" t="e">
        <f>#REF!*#REF! +#REF! *#REF!</f>
        <v>#REF!</v>
      </c>
      <c r="AR47" s="3" t="e">
        <f>#REF!*#REF!+#REF!*#REF!</f>
        <v>#REF!</v>
      </c>
      <c r="AS47" s="39" t="e">
        <f ca="1">MIN(SUM(OFFSET(#REF!,-1,0))+SUM(#REF!)+IF(#REF!&gt;12,SUM(OFFSET(#REF!,-12,0)),0),SUM(#REF!))</f>
        <v>#REF!</v>
      </c>
      <c r="AT47" s="3" t="e">
        <f ca="1">IF(#REF!&lt;&gt;0,MAX(0, MIN(20, 20 + SUM(#REF!) - SUM(#REF!) - SUM(OFFSET(#REF!,-1,0)) - IF(#REF!&gt;12,SUM(OFFSET(#REF!,-12,0)),0) - 20*#REF!)),0)</f>
        <v>#REF!</v>
      </c>
      <c r="AU47" s="134"/>
      <c r="AV47" s="39" t="e">
        <f>ROUND((#REF!-250 - IF(#REF!&lt;&gt;0,20,0))*1.25 + 850 + 0,0)</f>
        <v>#REF!</v>
      </c>
      <c r="AW47" s="39" t="e">
        <f>ROUND((#REF!-250 - IF(#REF!&lt;&gt;0,20,0))*0.285 + 87.5 + 0/4.25,0)</f>
        <v>#REF!</v>
      </c>
      <c r="AX47" s="133"/>
      <c r="AY47" s="172" t="e">
        <f t="array" aca="1" ref="AY47" ca="1">IF(#REF!&gt;12,OFFSET(#REF!,-12,0),0)+OFFSET(#REF!,-1,0)-#REF!</f>
        <v>#REF!</v>
      </c>
      <c r="AZ47" s="173" t="e">
        <f t="array" aca="1" ref="AZ47" ca="1">IF(#REF!&gt;12,OFFSET(#REF!,-12,0),0)+OFFSET(#REF!,-1,0)-#REF!</f>
        <v>#REF!</v>
      </c>
      <c r="BA47" s="173" t="e">
        <f t="array" aca="1" ref="BA47" ca="1">IF(#REF!&gt;12,OFFSET(#REF!,-12,0),0)+OFFSET(#REF!,-1,0)-#REF!</f>
        <v>#REF!</v>
      </c>
      <c r="BB47" s="173" t="e">
        <f t="array" aca="1" ref="BB47" ca="1">IF(#REF!&gt;12,OFFSET(#REF!,-12,0),0)+OFFSET(#REF!,-1,0)-#REF!</f>
        <v>#REF!</v>
      </c>
      <c r="BC47" s="173" t="e">
        <f t="array" aca="1" ref="BC47" ca="1">IF(#REF!&gt;12,OFFSET(#REF!,-12,0),0)+OFFSET(#REF!,-1,0)-#REF!</f>
        <v>#REF!</v>
      </c>
      <c r="BD47" s="174" t="e">
        <f t="array" aca="1" ref="BD47" ca="1">IF(#REF!&gt;12,OFFSET(#REF!,-12,0),0)+OFFSET(#REF!,-1,0)-#REF!</f>
        <v>#REF!</v>
      </c>
      <c r="BE47" s="174" t="e">
        <f t="array" aca="1" ref="BE47" ca="1">IF(#REF!&gt;12,OFFSET(#REF!,-12,0),0)+OFFSET(#REF!,-1,0)-#REF!</f>
        <v>#REF!</v>
      </c>
      <c r="BF47" s="343" t="e">
        <f t="array" aca="1" ref="BF47" ca="1">IF(#REF!&gt;12,OFFSET(#REF!,-12,0),0)+OFFSET(#REF!,-1,0)-#REF!</f>
        <v>#REF!</v>
      </c>
      <c r="BG47" s="343" t="e">
        <f t="array" aca="1" ref="BG47" ca="1">IF(#REF!&gt;12,OFFSET(#REF!,-12,0),0)+OFFSET(#REF!,-1,0)-#REF!</f>
        <v>#REF!</v>
      </c>
      <c r="BH47" s="347" t="e">
        <f t="array" aca="1" ref="BH47" ca="1">IF(#REF!&gt;12,OFFSET(#REF!,-12,0),0)+OFFSET(#REF!,-1,0)-#REF!</f>
        <v>#REF!</v>
      </c>
      <c r="BI47" s="347" t="e">
        <f t="array" aca="1" ref="BI47" ca="1">IF(#REF!&gt;12,OFFSET(#REF!,-12,0),0)+OFFSET(#REF!,-1,0)-#REF!</f>
        <v>#REF!</v>
      </c>
      <c r="BJ47" s="347" t="e">
        <f t="array" aca="1" ref="BJ47" ca="1">IF(#REF!&gt;12,OFFSET(#REF!,-12,0),0)+OFFSET(#REF!,-1,0)-#REF!</f>
        <v>#REF!</v>
      </c>
      <c r="BK47" s="347" t="e">
        <f t="array" aca="1" ref="BK47" ca="1">IF(#REF!&gt;12,OFFSET(#REF!,-12,0),0)+OFFSET(#REF!,-1,0)-#REF!</f>
        <v>#REF!</v>
      </c>
      <c r="BL47" s="351" t="e">
        <f t="array" aca="1" ref="BL47" ca="1">IF(#REF!&gt;12,OFFSET(#REF!,-12,0),0)+OFFSET(#REF!,-1,0)-#REF!</f>
        <v>#REF!</v>
      </c>
      <c r="BM47" s="351" t="e">
        <f t="array" aca="1" ref="BM47" ca="1">IF(#REF!&gt;12,OFFSET(#REF!,-12,0),0)+OFFSET(#REF!,-1,0)-#REF!</f>
        <v>#REF!</v>
      </c>
      <c r="BN47" s="351" t="e">
        <f t="array" aca="1" ref="BN47" ca="1">IF(#REF!&gt;12,OFFSET(#REF!,-12,0),0)+OFFSET(#REF!,-1,0)-#REF!</f>
        <v>#REF!</v>
      </c>
      <c r="BO47" s="175" t="e">
        <f t="array" aca="1" ref="BO47" ca="1">IF(#REF!&gt;12,OFFSET(#REF!,-12,0),0)+OFFSET(#REF!,-1,0)-#REF!</f>
        <v>#REF!</v>
      </c>
      <c r="BP47" s="175" t="e">
        <f t="array" aca="1" ref="BP47" ca="1">IF(#REF!&gt;12,OFFSET(#REF!,-12,0),0)+OFFSET(#REF!,-1,0)-#REF!</f>
        <v>#REF!</v>
      </c>
      <c r="BQ47" s="176" t="e">
        <f t="array" aca="1" ref="BQ47" ca="1">IF(#REF!&gt;12,OFFSET(#REF!,-12,0),0)+OFFSET(#REF!,-1,0)-#REF!</f>
        <v>#REF!</v>
      </c>
      <c r="BR47" s="134"/>
      <c r="BS47" s="133"/>
      <c r="BT47" s="39" t="e">
        <f>#REF!</f>
        <v>#REF!</v>
      </c>
      <c r="BU47" s="147" t="e">
        <f>#REF!</f>
        <v>#REF!</v>
      </c>
      <c r="BV47" s="134"/>
      <c r="BW47" s="164"/>
      <c r="BX47" s="164"/>
      <c r="BY47" s="164"/>
      <c r="BZ47" s="164"/>
      <c r="CA47" s="164"/>
      <c r="CB47" s="164"/>
      <c r="CC47" s="164"/>
      <c r="CD47" s="164"/>
      <c r="CE47" s="164"/>
      <c r="CF47" s="164"/>
      <c r="CG47" s="164"/>
      <c r="CH47" s="164"/>
      <c r="CI47" s="164"/>
      <c r="CJ47" s="164"/>
      <c r="CK47" s="164"/>
      <c r="CL47" s="164"/>
      <c r="CM47" s="164"/>
      <c r="CN47" s="164"/>
      <c r="CO47" s="164"/>
      <c r="CP47" s="134"/>
      <c r="CQ47" s="165" t="e">
        <f ca="1">-SUM(#REF!)+SUM(#REF!)+Rezone!L47+IF("Ch_"&amp; home_land=#REF!,#REF!)+IF(#REF!&gt;12,OFFSET(#REF!,-12,0),0)</f>
        <v>#REF!</v>
      </c>
      <c r="CR47" s="166" t="e">
        <f ca="1">-SUM(#REF!)+SUM(#REF!) +Rezone!M47 + IF("Ch_"&amp; home_land=#REF!,#REF!)+IF(#REF!&gt;12,OFFSET(#REF!,-12,0),0)</f>
        <v>#REF!</v>
      </c>
      <c r="CS47" s="341" t="e">
        <f ca="1">-SUM(#REF!)+SUM(#REF!) +Rezone!N47 + IF("Ch_"&amp; home_land=#REF!,#REF!)+IF(#REF!&gt;12,OFFSET(#REF!,-12,0),0)</f>
        <v>#REF!</v>
      </c>
      <c r="CT47" s="167" t="e">
        <f ca="1">-SUM(#REF!)+SUM(#REF!) +Rezone!O47 + IF("Ch_" &amp; home_land=#REF!,#REF!)+IF(#REF!&gt;12,OFFSET(#REF!,-12,0),0)</f>
        <v>#REF!</v>
      </c>
      <c r="CU47" s="168" t="e">
        <f ca="1">-SUM(#REF!)+SUM(#REF!) +Rezone!P47 + IF("Ch_" &amp; home_land=#REF!,#REF!)+IF(#REF!&gt;12,OFFSET(#REF!,-12,0),0)</f>
        <v>#REF!</v>
      </c>
      <c r="CV47" s="169" t="e">
        <f ca="1">- SUM(#REF!)+SUM(#REF!) +Rezone!Q47 + IF("Ch_" &amp; home_land=#REF!,#REF!)+IF(#REF!&gt;12,OFFSET(#REF!,-12,0),0)</f>
        <v>#REF!</v>
      </c>
      <c r="CW47" s="170" t="e">
        <f ca="1">-#REF!+#REF! +Rezone!R47 + IF("Ch_" &amp; home_land=#REF!,#REF!)+IF(#REF!&gt;12,OFFSET(#REF!,-12,0),0)</f>
        <v>#REF!</v>
      </c>
      <c r="CX47" s="3" t="e">
        <f>IF(Explore!S47=1,20) -#REF! +#REF!</f>
        <v>#REF!</v>
      </c>
      <c r="CY47" s="134"/>
      <c r="CZ47" s="39" t="e">
        <f t="shared" ca="1" si="3"/>
        <v>#REF!</v>
      </c>
      <c r="DA47" s="39" t="e">
        <f t="shared" ca="1" si="4"/>
        <v>#REF!</v>
      </c>
      <c r="DB47" s="3" t="e">
        <f t="shared" ca="1" si="5"/>
        <v>#REF!</v>
      </c>
      <c r="DC47" s="39" t="e">
        <f t="shared" ca="1" si="6"/>
        <v>#REF!</v>
      </c>
      <c r="DD47" s="39" t="e">
        <f t="shared" ca="1" si="7"/>
        <v>#REF!</v>
      </c>
      <c r="DE47" s="3" t="e">
        <f t="shared" ca="1" si="8"/>
        <v>#REF!</v>
      </c>
      <c r="DF47" s="39" t="e">
        <f t="shared" ca="1" si="9"/>
        <v>#REF!</v>
      </c>
      <c r="DG47" s="39" t="e">
        <f t="array" ref="DG47">INDEX(#REF!,ROW()-ROW(#REF!),MATCH("Total "&amp;home_land,#REF!,0))+#REF!</f>
        <v>#REF!</v>
      </c>
      <c r="DH47" s="3" t="e">
        <f t="shared" ca="1" si="10"/>
        <v>#REF!</v>
      </c>
      <c r="DI47" s="3" t="e">
        <f t="shared" ca="1" si="0"/>
        <v>#REF!</v>
      </c>
      <c r="DJ47" s="3" t="e">
        <f t="shared" ca="1" si="1"/>
        <v>#REF!</v>
      </c>
    </row>
    <row r="48" spans="1:114" x14ac:dyDescent="0.25">
      <c r="A48" s="160" t="e">
        <f>#REF!</f>
        <v>#REF!</v>
      </c>
      <c r="B48" s="161" t="e">
        <f>SUM(#REF!)</f>
        <v>#REF!</v>
      </c>
      <c r="C48" s="162" t="e">
        <f>SUM(#REF!)</f>
        <v>#REF!</v>
      </c>
      <c r="D48" s="162">
        <f t="shared" si="11"/>
        <v>0</v>
      </c>
      <c r="E48" s="163"/>
      <c r="F48" s="61" t="e">
        <f>#REF!+#REF!+#REF!</f>
        <v>#REF!</v>
      </c>
      <c r="G48" s="171" t="e">
        <f ca="1">OFFSET(#REF!,-1,0)+#REF!</f>
        <v>#REF!</v>
      </c>
      <c r="H48" s="166" t="e">
        <f ca="1">OFFSET(#REF!,-1,0)+#REF!</f>
        <v>#REF!</v>
      </c>
      <c r="I48" s="341" t="e">
        <f ca="1">OFFSET(#REF!,-1,0)+#REF!</f>
        <v>#REF!</v>
      </c>
      <c r="J48" s="345" t="e">
        <f ca="1">OFFSET(#REF!,-1,0)+#REF!</f>
        <v>#REF!</v>
      </c>
      <c r="K48" s="349" t="e">
        <f ca="1">OFFSET(#REF!,-1,0)+#REF!</f>
        <v>#REF!</v>
      </c>
      <c r="L48" s="169" t="e">
        <f ca="1">OFFSET(#REF!,-1,0)+#REF!</f>
        <v>#REF!</v>
      </c>
      <c r="M48" s="170" t="e">
        <f ca="1">OFFSET(#REF!,-1,0)+#REF!</f>
        <v>#REF!</v>
      </c>
      <c r="N48" s="339" t="e">
        <f>#REF!</f>
        <v>#REF!</v>
      </c>
      <c r="O48" s="164"/>
      <c r="P48" s="164"/>
      <c r="Q48" s="164"/>
      <c r="R48" s="146"/>
      <c r="S48" s="164"/>
      <c r="T48" s="164"/>
      <c r="U48" s="164"/>
      <c r="V48" s="164"/>
      <c r="W48" s="164"/>
      <c r="X48" s="164"/>
      <c r="Y48" s="164"/>
      <c r="Z48" s="164"/>
      <c r="AA48" s="164"/>
      <c r="AB48" s="164"/>
      <c r="AC48" s="164"/>
      <c r="AD48" s="164"/>
      <c r="AE48" s="164"/>
      <c r="AF48" s="164"/>
      <c r="AG48" s="164"/>
      <c r="AH48" s="53" t="e">
        <f>#REF!</f>
        <v>#REF!</v>
      </c>
      <c r="AI48" s="132" t="e">
        <f>MIN(25%,(#REF!+#REF!)/(#REF!-#REF!*20))</f>
        <v>#REF!</v>
      </c>
      <c r="AJ48" s="132" t="e">
        <f>MIN(25%,(#REF!+#REF!)/#REF!)</f>
        <v>#REF!</v>
      </c>
      <c r="AK48" s="39" t="e">
        <f>#REF!</f>
        <v>#REF!</v>
      </c>
      <c r="AL48" s="39" t="e">
        <f>#REF!</f>
        <v>#REF!</v>
      </c>
      <c r="AM48" s="39" t="e">
        <f>ROUNDDOWN( MAX((1 - MIN(facs_constr_factor*#REF!,facs_constr_max) + tech_2_3*#REF! + tech_2_6_2*#REF! + tech_2_10*#REF! + tech_4_6*#REF! + tech_6_3*#REF! + tech_9_2*#REF! + race_construction_cost), 1-global_constr_cap) *#REF!,0)</f>
        <v>#REF!</v>
      </c>
      <c r="AN48" s="39" t="e">
        <f>ROUNDDOWN( MAX(1 - MIN(facs_constr_factor*#REF!,facs_constr_max) + tech_1_11*#REF! + tech_6_3_2*#REF! + tech_5_2_3*#REF!, 1-global_constr_cap) *#REF!,0)</f>
        <v>#REF!</v>
      </c>
      <c r="AO48" s="39" t="e">
        <f>ROUNDDOWN( MAX((1 - MIN(facs_constr_factor*#REF!,facs_constr_max) + tech_2_3*#REF! + tech_2_6_2*#REF! + tech_2_10*#REF! + tech_4_6*#REF! + tech_6_3*#REF! + tech_9_2*#REF! + race_construction_cost), 1-global_constr_cap) * (ROUND((#REF!-250)*1.25 + 850 + 0,0)),0)</f>
        <v>#REF!</v>
      </c>
      <c r="AP48" s="39" t="e">
        <f>ROUNDDOWN( MAX(1 - MIN(facs_constr_factor*#REF!,facs_constr_max) + tech_1_11*#REF! + tech_6_3_2*#REF! + tech_5_2_3*#REF!, 1-global_constr_cap) * ROUND((#REF!-250)*0.285 + 87.5 + 0/4.25,0),0)</f>
        <v>#REF!</v>
      </c>
      <c r="AQ48" s="3" t="e">
        <f>#REF!*#REF! +#REF! *#REF!</f>
        <v>#REF!</v>
      </c>
      <c r="AR48" s="3" t="e">
        <f>#REF!*#REF!+#REF!*#REF!</f>
        <v>#REF!</v>
      </c>
      <c r="AS48" s="39" t="e">
        <f ca="1">MIN(SUM(OFFSET(#REF!,-1,0))+SUM(#REF!)+IF(#REF!&gt;12,SUM(OFFSET(#REF!,-12,0)),0),SUM(#REF!))</f>
        <v>#REF!</v>
      </c>
      <c r="AT48" s="3" t="e">
        <f ca="1">IF(#REF!&lt;&gt;0,MAX(0, MIN(20, 20 + SUM(#REF!) - SUM(#REF!) - SUM(OFFSET(#REF!,-1,0)) - IF(#REF!&gt;12,SUM(OFFSET(#REF!,-12,0)),0) - 20*#REF!)),0)</f>
        <v>#REF!</v>
      </c>
      <c r="AU48" s="134"/>
      <c r="AV48" s="39" t="e">
        <f>ROUND((#REF!-250 - IF(#REF!&lt;&gt;0,20,0))*1.25 + 850 + 0,0)</f>
        <v>#REF!</v>
      </c>
      <c r="AW48" s="39" t="e">
        <f>ROUND((#REF!-250 - IF(#REF!&lt;&gt;0,20,0))*0.285 + 87.5 + 0/4.25,0)</f>
        <v>#REF!</v>
      </c>
      <c r="AX48" s="133"/>
      <c r="AY48" s="172" t="e">
        <f t="array" aca="1" ref="AY48" ca="1">IF(#REF!&gt;12,OFFSET(#REF!,-12,0),0)+OFFSET(#REF!,-1,0)-#REF!</f>
        <v>#REF!</v>
      </c>
      <c r="AZ48" s="173" t="e">
        <f t="array" aca="1" ref="AZ48" ca="1">IF(#REF!&gt;12,OFFSET(#REF!,-12,0),0)+OFFSET(#REF!,-1,0)-#REF!</f>
        <v>#REF!</v>
      </c>
      <c r="BA48" s="173" t="e">
        <f t="array" aca="1" ref="BA48" ca="1">IF(#REF!&gt;12,OFFSET(#REF!,-12,0),0)+OFFSET(#REF!,-1,0)-#REF!</f>
        <v>#REF!</v>
      </c>
      <c r="BB48" s="173" t="e">
        <f t="array" aca="1" ref="BB48" ca="1">IF(#REF!&gt;12,OFFSET(#REF!,-12,0),0)+OFFSET(#REF!,-1,0)-#REF!</f>
        <v>#REF!</v>
      </c>
      <c r="BC48" s="173" t="e">
        <f t="array" aca="1" ref="BC48" ca="1">IF(#REF!&gt;12,OFFSET(#REF!,-12,0),0)+OFFSET(#REF!,-1,0)-#REF!</f>
        <v>#REF!</v>
      </c>
      <c r="BD48" s="174" t="e">
        <f t="array" aca="1" ref="BD48" ca="1">IF(#REF!&gt;12,OFFSET(#REF!,-12,0),0)+OFFSET(#REF!,-1,0)-#REF!</f>
        <v>#REF!</v>
      </c>
      <c r="BE48" s="174" t="e">
        <f t="array" aca="1" ref="BE48" ca="1">IF(#REF!&gt;12,OFFSET(#REF!,-12,0),0)+OFFSET(#REF!,-1,0)-#REF!</f>
        <v>#REF!</v>
      </c>
      <c r="BF48" s="343" t="e">
        <f t="array" aca="1" ref="BF48" ca="1">IF(#REF!&gt;12,OFFSET(#REF!,-12,0),0)+OFFSET(#REF!,-1,0)-#REF!</f>
        <v>#REF!</v>
      </c>
      <c r="BG48" s="343" t="e">
        <f t="array" aca="1" ref="BG48" ca="1">IF(#REF!&gt;12,OFFSET(#REF!,-12,0),0)+OFFSET(#REF!,-1,0)-#REF!</f>
        <v>#REF!</v>
      </c>
      <c r="BH48" s="347" t="e">
        <f t="array" aca="1" ref="BH48" ca="1">IF(#REF!&gt;12,OFFSET(#REF!,-12,0),0)+OFFSET(#REF!,-1,0)-#REF!</f>
        <v>#REF!</v>
      </c>
      <c r="BI48" s="347" t="e">
        <f t="array" aca="1" ref="BI48" ca="1">IF(#REF!&gt;12,OFFSET(#REF!,-12,0),0)+OFFSET(#REF!,-1,0)-#REF!</f>
        <v>#REF!</v>
      </c>
      <c r="BJ48" s="347" t="e">
        <f t="array" aca="1" ref="BJ48" ca="1">IF(#REF!&gt;12,OFFSET(#REF!,-12,0),0)+OFFSET(#REF!,-1,0)-#REF!</f>
        <v>#REF!</v>
      </c>
      <c r="BK48" s="347" t="e">
        <f t="array" aca="1" ref="BK48" ca="1">IF(#REF!&gt;12,OFFSET(#REF!,-12,0),0)+OFFSET(#REF!,-1,0)-#REF!</f>
        <v>#REF!</v>
      </c>
      <c r="BL48" s="351" t="e">
        <f t="array" aca="1" ref="BL48" ca="1">IF(#REF!&gt;12,OFFSET(#REF!,-12,0),0)+OFFSET(#REF!,-1,0)-#REF!</f>
        <v>#REF!</v>
      </c>
      <c r="BM48" s="351" t="e">
        <f t="array" aca="1" ref="BM48" ca="1">IF(#REF!&gt;12,OFFSET(#REF!,-12,0),0)+OFFSET(#REF!,-1,0)-#REF!</f>
        <v>#REF!</v>
      </c>
      <c r="BN48" s="351" t="e">
        <f t="array" aca="1" ref="BN48" ca="1">IF(#REF!&gt;12,OFFSET(#REF!,-12,0),0)+OFFSET(#REF!,-1,0)-#REF!</f>
        <v>#REF!</v>
      </c>
      <c r="BO48" s="175" t="e">
        <f t="array" aca="1" ref="BO48" ca="1">IF(#REF!&gt;12,OFFSET(#REF!,-12,0),0)+OFFSET(#REF!,-1,0)-#REF!</f>
        <v>#REF!</v>
      </c>
      <c r="BP48" s="175" t="e">
        <f t="array" aca="1" ref="BP48" ca="1">IF(#REF!&gt;12,OFFSET(#REF!,-12,0),0)+OFFSET(#REF!,-1,0)-#REF!</f>
        <v>#REF!</v>
      </c>
      <c r="BQ48" s="176" t="e">
        <f t="array" aca="1" ref="BQ48" ca="1">IF(#REF!&gt;12,OFFSET(#REF!,-12,0),0)+OFFSET(#REF!,-1,0)-#REF!</f>
        <v>#REF!</v>
      </c>
      <c r="BR48" s="134"/>
      <c r="BS48" s="133"/>
      <c r="BT48" s="39" t="e">
        <f>#REF!</f>
        <v>#REF!</v>
      </c>
      <c r="BU48" s="147" t="e">
        <f>#REF!</f>
        <v>#REF!</v>
      </c>
      <c r="BV48" s="134"/>
      <c r="BW48" s="164"/>
      <c r="BX48" s="164"/>
      <c r="BY48" s="164"/>
      <c r="BZ48" s="164"/>
      <c r="CA48" s="164"/>
      <c r="CB48" s="164"/>
      <c r="CC48" s="164"/>
      <c r="CD48" s="164"/>
      <c r="CE48" s="164"/>
      <c r="CF48" s="164"/>
      <c r="CG48" s="164"/>
      <c r="CH48" s="164"/>
      <c r="CI48" s="164"/>
      <c r="CJ48" s="164"/>
      <c r="CK48" s="164"/>
      <c r="CL48" s="164"/>
      <c r="CM48" s="164"/>
      <c r="CN48" s="164"/>
      <c r="CO48" s="164"/>
      <c r="CP48" s="134"/>
      <c r="CQ48" s="165" t="e">
        <f ca="1">-SUM(#REF!)+SUM(#REF!)+Rezone!L48+IF("Ch_"&amp; home_land=#REF!,#REF!)+IF(#REF!&gt;12,OFFSET(#REF!,-12,0),0)</f>
        <v>#REF!</v>
      </c>
      <c r="CR48" s="166" t="e">
        <f ca="1">-SUM(#REF!)+SUM(#REF!) +Rezone!M48 + IF("Ch_"&amp; home_land=#REF!,#REF!)+IF(#REF!&gt;12,OFFSET(#REF!,-12,0),0)</f>
        <v>#REF!</v>
      </c>
      <c r="CS48" s="341" t="e">
        <f ca="1">-SUM(#REF!)+SUM(#REF!) +Rezone!N48 + IF("Ch_"&amp; home_land=#REF!,#REF!)+IF(#REF!&gt;12,OFFSET(#REF!,-12,0),0)</f>
        <v>#REF!</v>
      </c>
      <c r="CT48" s="167" t="e">
        <f ca="1">-SUM(#REF!)+SUM(#REF!) +Rezone!O48 + IF("Ch_" &amp; home_land=#REF!,#REF!)+IF(#REF!&gt;12,OFFSET(#REF!,-12,0),0)</f>
        <v>#REF!</v>
      </c>
      <c r="CU48" s="168" t="e">
        <f ca="1">-SUM(#REF!)+SUM(#REF!) +Rezone!P48 + IF("Ch_" &amp; home_land=#REF!,#REF!)+IF(#REF!&gt;12,OFFSET(#REF!,-12,0),0)</f>
        <v>#REF!</v>
      </c>
      <c r="CV48" s="169" t="e">
        <f ca="1">- SUM(#REF!)+SUM(#REF!) +Rezone!Q48 + IF("Ch_" &amp; home_land=#REF!,#REF!)+IF(#REF!&gt;12,OFFSET(#REF!,-12,0),0)</f>
        <v>#REF!</v>
      </c>
      <c r="CW48" s="170" t="e">
        <f ca="1">-#REF!+#REF! +Rezone!R48 + IF("Ch_" &amp; home_land=#REF!,#REF!)+IF(#REF!&gt;12,OFFSET(#REF!,-12,0),0)</f>
        <v>#REF!</v>
      </c>
      <c r="CX48" s="3" t="e">
        <f>IF(Explore!S48=1,20) -#REF! +#REF!</f>
        <v>#REF!</v>
      </c>
      <c r="CY48" s="134"/>
      <c r="CZ48" s="39" t="e">
        <f t="shared" ref="CZ48:CZ79" ca="1" si="12">G48+SUM(P37:S48)+SUM(AZ48:BC48)</f>
        <v>#REF!</v>
      </c>
      <c r="DA48" s="39" t="e">
        <f t="shared" ref="DA48:DA79" ca="1" si="13">H48+SUM(T37:U48)+SUM(BD48:BE48)</f>
        <v>#REF!</v>
      </c>
      <c r="DB48" s="3" t="e">
        <f t="shared" ref="DB48:DB79" ca="1" si="14">I48+SUM(V37:W48)+SUM(BF48:BG48)</f>
        <v>#REF!</v>
      </c>
      <c r="DC48" s="39" t="e">
        <f t="shared" ref="DC48:DC79" ca="1" si="15">J48+SUM(X37:Y48)+SUM(BH48:BI48)</f>
        <v>#REF!</v>
      </c>
      <c r="DD48" s="39" t="e">
        <f t="shared" ref="DD48:DD79" ca="1" si="16">K48+SUM(AB37:AD48)+SUM(BL48:BN48)</f>
        <v>#REF!</v>
      </c>
      <c r="DE48" s="3" t="e">
        <f t="shared" ref="DE48:DE79" ca="1" si="17">L48+SUM(AE37:AE48)+BO48</f>
        <v>#REF!</v>
      </c>
      <c r="DF48" s="39" t="e">
        <f t="shared" ref="DF48:DF79" ca="1" si="18">M48+SUM(AG37:AG48)+BQ48</f>
        <v>#REF!</v>
      </c>
      <c r="DG48" s="39" t="e">
        <f t="array" ref="DG48">INDEX(#REF!,ROW()-ROW(#REF!),MATCH("Total "&amp;home_land,#REF!,0))+#REF!</f>
        <v>#REF!</v>
      </c>
      <c r="DH48" s="3" t="e">
        <f t="shared" ca="1" si="10"/>
        <v>#REF!</v>
      </c>
      <c r="DI48" s="3" t="e">
        <f t="shared" ca="1" si="0"/>
        <v>#REF!</v>
      </c>
      <c r="DJ48" s="3" t="e">
        <f t="shared" ca="1" si="1"/>
        <v>#REF!</v>
      </c>
    </row>
    <row r="49" spans="1:114" x14ac:dyDescent="0.25">
      <c r="A49" s="160" t="e">
        <f>#REF!</f>
        <v>#REF!</v>
      </c>
      <c r="B49" s="161" t="e">
        <f>SUM(#REF!)</f>
        <v>#REF!</v>
      </c>
      <c r="C49" s="162" t="e">
        <f>SUM(#REF!)</f>
        <v>#REF!</v>
      </c>
      <c r="D49" s="162">
        <f t="shared" si="11"/>
        <v>0</v>
      </c>
      <c r="E49" s="163"/>
      <c r="F49" s="61" t="e">
        <f>#REF!+#REF!+#REF!</f>
        <v>#REF!</v>
      </c>
      <c r="G49" s="171" t="e">
        <f ca="1">OFFSET(#REF!,-1,0)+#REF!</f>
        <v>#REF!</v>
      </c>
      <c r="H49" s="166" t="e">
        <f ca="1">OFFSET(#REF!,-1,0)+#REF!</f>
        <v>#REF!</v>
      </c>
      <c r="I49" s="341" t="e">
        <f ca="1">OFFSET(#REF!,-1,0)+#REF!</f>
        <v>#REF!</v>
      </c>
      <c r="J49" s="345" t="e">
        <f ca="1">OFFSET(#REF!,-1,0)+#REF!</f>
        <v>#REF!</v>
      </c>
      <c r="K49" s="349" t="e">
        <f ca="1">OFFSET(#REF!,-1,0)+#REF!</f>
        <v>#REF!</v>
      </c>
      <c r="L49" s="169" t="e">
        <f ca="1">OFFSET(#REF!,-1,0)+#REF!</f>
        <v>#REF!</v>
      </c>
      <c r="M49" s="170" t="e">
        <f ca="1">OFFSET(#REF!,-1,0)+#REF!</f>
        <v>#REF!</v>
      </c>
      <c r="N49" s="339" t="e">
        <f>#REF!</f>
        <v>#REF!</v>
      </c>
      <c r="O49" s="164"/>
      <c r="P49" s="164"/>
      <c r="Q49" s="164"/>
      <c r="R49" s="146"/>
      <c r="S49" s="164"/>
      <c r="T49" s="164"/>
      <c r="U49" s="164"/>
      <c r="V49" s="164"/>
      <c r="W49" s="164"/>
      <c r="X49" s="164"/>
      <c r="Y49" s="164"/>
      <c r="Z49" s="164"/>
      <c r="AA49" s="164"/>
      <c r="AB49" s="164"/>
      <c r="AC49" s="164"/>
      <c r="AD49" s="164"/>
      <c r="AE49" s="164"/>
      <c r="AF49" s="164"/>
      <c r="AG49" s="164"/>
      <c r="AH49" s="53" t="e">
        <f>#REF!</f>
        <v>#REF!</v>
      </c>
      <c r="AI49" s="132" t="e">
        <f>MIN(25%,(#REF!+#REF!)/(#REF!-#REF!*20))</f>
        <v>#REF!</v>
      </c>
      <c r="AJ49" s="132" t="e">
        <f>MIN(25%,(#REF!+#REF!)/#REF!)</f>
        <v>#REF!</v>
      </c>
      <c r="AK49" s="39" t="e">
        <f>#REF!</f>
        <v>#REF!</v>
      </c>
      <c r="AL49" s="39" t="e">
        <f>#REF!</f>
        <v>#REF!</v>
      </c>
      <c r="AM49" s="39" t="e">
        <f>ROUNDDOWN( MAX((1 - MIN(facs_constr_factor*#REF!,facs_constr_max) + tech_2_3*#REF! + tech_2_6_2*#REF! + tech_2_10*#REF! + tech_4_6*#REF! + tech_6_3*#REF! + tech_9_2*#REF! + race_construction_cost), 1-global_constr_cap) *#REF!,0)</f>
        <v>#REF!</v>
      </c>
      <c r="AN49" s="39" t="e">
        <f>ROUNDDOWN( MAX(1 - MIN(facs_constr_factor*#REF!,facs_constr_max) + tech_1_11*#REF! + tech_6_3_2*#REF! + tech_5_2_3*#REF!, 1-global_constr_cap) *#REF!,0)</f>
        <v>#REF!</v>
      </c>
      <c r="AO49" s="39" t="e">
        <f>ROUNDDOWN( MAX((1 - MIN(facs_constr_factor*#REF!,facs_constr_max) + tech_2_3*#REF! + tech_2_6_2*#REF! + tech_2_10*#REF! + tech_4_6*#REF! + tech_6_3*#REF! + tech_9_2*#REF! + race_construction_cost), 1-global_constr_cap) * (ROUND((#REF!-250)*1.25 + 850 + 0,0)),0)</f>
        <v>#REF!</v>
      </c>
      <c r="AP49" s="39" t="e">
        <f>ROUNDDOWN( MAX(1 - MIN(facs_constr_factor*#REF!,facs_constr_max) + tech_1_11*#REF! + tech_6_3_2*#REF! + tech_5_2_3*#REF!, 1-global_constr_cap) * ROUND((#REF!-250)*0.285 + 87.5 + 0/4.25,0),0)</f>
        <v>#REF!</v>
      </c>
      <c r="AQ49" s="3" t="e">
        <f>#REF!*#REF! +#REF! *#REF!</f>
        <v>#REF!</v>
      </c>
      <c r="AR49" s="3" t="e">
        <f>#REF!*#REF!+#REF!*#REF!</f>
        <v>#REF!</v>
      </c>
      <c r="AS49" s="39" t="e">
        <f ca="1">MIN(SUM(OFFSET(#REF!,-1,0))+SUM(#REF!)+IF(#REF!&gt;12,SUM(OFFSET(#REF!,-12,0)),0),SUM(#REF!))</f>
        <v>#REF!</v>
      </c>
      <c r="AT49" s="3" t="e">
        <f ca="1">IF(#REF!&lt;&gt;0,MAX(0, MIN(20, 20 + SUM(#REF!) - SUM(#REF!) - SUM(OFFSET(#REF!,-1,0)) - IF(#REF!&gt;12,SUM(OFFSET(#REF!,-12,0)),0) - 20*#REF!)),0)</f>
        <v>#REF!</v>
      </c>
      <c r="AU49" s="134"/>
      <c r="AV49" s="39" t="e">
        <f>ROUND((#REF!-250 - IF(#REF!&lt;&gt;0,20,0))*1.25 + 850 + 0,0)</f>
        <v>#REF!</v>
      </c>
      <c r="AW49" s="39" t="e">
        <f>ROUND((#REF!-250 - IF(#REF!&lt;&gt;0,20,0))*0.285 + 87.5 + 0/4.25,0)</f>
        <v>#REF!</v>
      </c>
      <c r="AX49" s="133"/>
      <c r="AY49" s="172" t="e">
        <f t="array" aca="1" ref="AY49" ca="1">IF(#REF!&gt;12,OFFSET(#REF!,-12,0),0)+OFFSET(#REF!,-1,0)-#REF!</f>
        <v>#REF!</v>
      </c>
      <c r="AZ49" s="173" t="e">
        <f t="array" aca="1" ref="AZ49" ca="1">IF(#REF!&gt;12,OFFSET(#REF!,-12,0),0)+OFFSET(#REF!,-1,0)-#REF!</f>
        <v>#REF!</v>
      </c>
      <c r="BA49" s="173" t="e">
        <f t="array" aca="1" ref="BA49" ca="1">IF(#REF!&gt;12,OFFSET(#REF!,-12,0),0)+OFFSET(#REF!,-1,0)-#REF!</f>
        <v>#REF!</v>
      </c>
      <c r="BB49" s="173" t="e">
        <f t="array" aca="1" ref="BB49" ca="1">IF(#REF!&gt;12,OFFSET(#REF!,-12,0),0)+OFFSET(#REF!,-1,0)-#REF!</f>
        <v>#REF!</v>
      </c>
      <c r="BC49" s="173" t="e">
        <f t="array" aca="1" ref="BC49" ca="1">IF(#REF!&gt;12,OFFSET(#REF!,-12,0),0)+OFFSET(#REF!,-1,0)-#REF!</f>
        <v>#REF!</v>
      </c>
      <c r="BD49" s="174" t="e">
        <f t="array" aca="1" ref="BD49" ca="1">IF(#REF!&gt;12,OFFSET(#REF!,-12,0),0)+OFFSET(#REF!,-1,0)-#REF!</f>
        <v>#REF!</v>
      </c>
      <c r="BE49" s="174" t="e">
        <f t="array" aca="1" ref="BE49" ca="1">IF(#REF!&gt;12,OFFSET(#REF!,-12,0),0)+OFFSET(#REF!,-1,0)-#REF!</f>
        <v>#REF!</v>
      </c>
      <c r="BF49" s="343" t="e">
        <f t="array" aca="1" ref="BF49" ca="1">IF(#REF!&gt;12,OFFSET(#REF!,-12,0),0)+OFFSET(#REF!,-1,0)-#REF!</f>
        <v>#REF!</v>
      </c>
      <c r="BG49" s="343" t="e">
        <f t="array" aca="1" ref="BG49" ca="1">IF(#REF!&gt;12,OFFSET(#REF!,-12,0),0)+OFFSET(#REF!,-1,0)-#REF!</f>
        <v>#REF!</v>
      </c>
      <c r="BH49" s="347" t="e">
        <f t="array" aca="1" ref="BH49" ca="1">IF(#REF!&gt;12,OFFSET(#REF!,-12,0),0)+OFFSET(#REF!,-1,0)-#REF!</f>
        <v>#REF!</v>
      </c>
      <c r="BI49" s="347" t="e">
        <f t="array" aca="1" ref="BI49" ca="1">IF(#REF!&gt;12,OFFSET(#REF!,-12,0),0)+OFFSET(#REF!,-1,0)-#REF!</f>
        <v>#REF!</v>
      </c>
      <c r="BJ49" s="347" t="e">
        <f t="array" aca="1" ref="BJ49" ca="1">IF(#REF!&gt;12,OFFSET(#REF!,-12,0),0)+OFFSET(#REF!,-1,0)-#REF!</f>
        <v>#REF!</v>
      </c>
      <c r="BK49" s="347" t="e">
        <f t="array" aca="1" ref="BK49" ca="1">IF(#REF!&gt;12,OFFSET(#REF!,-12,0),0)+OFFSET(#REF!,-1,0)-#REF!</f>
        <v>#REF!</v>
      </c>
      <c r="BL49" s="351" t="e">
        <f t="array" aca="1" ref="BL49" ca="1">IF(#REF!&gt;12,OFFSET(#REF!,-12,0),0)+OFFSET(#REF!,-1,0)-#REF!</f>
        <v>#REF!</v>
      </c>
      <c r="BM49" s="351" t="e">
        <f t="array" aca="1" ref="BM49" ca="1">IF(#REF!&gt;12,OFFSET(#REF!,-12,0),0)+OFFSET(#REF!,-1,0)-#REF!</f>
        <v>#REF!</v>
      </c>
      <c r="BN49" s="351" t="e">
        <f t="array" aca="1" ref="BN49" ca="1">IF(#REF!&gt;12,OFFSET(#REF!,-12,0),0)+OFFSET(#REF!,-1,0)-#REF!</f>
        <v>#REF!</v>
      </c>
      <c r="BO49" s="175" t="e">
        <f t="array" aca="1" ref="BO49" ca="1">IF(#REF!&gt;12,OFFSET(#REF!,-12,0),0)+OFFSET(#REF!,-1,0)-#REF!</f>
        <v>#REF!</v>
      </c>
      <c r="BP49" s="175" t="e">
        <f t="array" aca="1" ref="BP49" ca="1">IF(#REF!&gt;12,OFFSET(#REF!,-12,0),0)+OFFSET(#REF!,-1,0)-#REF!</f>
        <v>#REF!</v>
      </c>
      <c r="BQ49" s="176" t="e">
        <f t="array" aca="1" ref="BQ49" ca="1">IF(#REF!&gt;12,OFFSET(#REF!,-12,0),0)+OFFSET(#REF!,-1,0)-#REF!</f>
        <v>#REF!</v>
      </c>
      <c r="BR49" s="134"/>
      <c r="BS49" s="133"/>
      <c r="BT49" s="39" t="e">
        <f>#REF!</f>
        <v>#REF!</v>
      </c>
      <c r="BU49" s="147" t="e">
        <f>#REF!</f>
        <v>#REF!</v>
      </c>
      <c r="BV49" s="134"/>
      <c r="BW49" s="164"/>
      <c r="BX49" s="164"/>
      <c r="BY49" s="164"/>
      <c r="BZ49" s="164"/>
      <c r="CA49" s="164"/>
      <c r="CB49" s="164"/>
      <c r="CC49" s="164"/>
      <c r="CD49" s="164"/>
      <c r="CE49" s="164"/>
      <c r="CF49" s="164"/>
      <c r="CG49" s="164"/>
      <c r="CH49" s="164"/>
      <c r="CI49" s="164"/>
      <c r="CJ49" s="164"/>
      <c r="CK49" s="164"/>
      <c r="CL49" s="164"/>
      <c r="CM49" s="164"/>
      <c r="CN49" s="164"/>
      <c r="CO49" s="164"/>
      <c r="CP49" s="134"/>
      <c r="CQ49" s="165" t="e">
        <f ca="1">-SUM(#REF!)+SUM(#REF!)+Rezone!L49+IF("Ch_"&amp; home_land=#REF!,#REF!)+IF(#REF!&gt;12,OFFSET(#REF!,-12,0),0)</f>
        <v>#REF!</v>
      </c>
      <c r="CR49" s="166" t="e">
        <f ca="1">-SUM(#REF!)+SUM(#REF!) +Rezone!M49 + IF("Ch_"&amp; home_land=#REF!,#REF!)+IF(#REF!&gt;12,OFFSET(#REF!,-12,0),0)</f>
        <v>#REF!</v>
      </c>
      <c r="CS49" s="341" t="e">
        <f ca="1">-SUM(#REF!)+SUM(#REF!) +Rezone!N49 + IF("Ch_"&amp; home_land=#REF!,#REF!)+IF(#REF!&gt;12,OFFSET(#REF!,-12,0),0)</f>
        <v>#REF!</v>
      </c>
      <c r="CT49" s="167" t="e">
        <f ca="1">-SUM(#REF!)+SUM(#REF!) +Rezone!O49 + IF("Ch_" &amp; home_land=#REF!,#REF!)+IF(#REF!&gt;12,OFFSET(#REF!,-12,0),0)</f>
        <v>#REF!</v>
      </c>
      <c r="CU49" s="168" t="e">
        <f ca="1">-SUM(#REF!)+SUM(#REF!) +Rezone!P49 + IF("Ch_" &amp; home_land=#REF!,#REF!)+IF(#REF!&gt;12,OFFSET(#REF!,-12,0),0)</f>
        <v>#REF!</v>
      </c>
      <c r="CV49" s="169" t="e">
        <f ca="1">- SUM(#REF!)+SUM(#REF!) +Rezone!Q49 + IF("Ch_" &amp; home_land=#REF!,#REF!)+IF(#REF!&gt;12,OFFSET(#REF!,-12,0),0)</f>
        <v>#REF!</v>
      </c>
      <c r="CW49" s="170" t="e">
        <f ca="1">-#REF!+#REF! +Rezone!R49 + IF("Ch_" &amp; home_land=#REF!,#REF!)+IF(#REF!&gt;12,OFFSET(#REF!,-12,0),0)</f>
        <v>#REF!</v>
      </c>
      <c r="CX49" s="3" t="e">
        <f>IF(Explore!S49=1,20) -#REF! +#REF!</f>
        <v>#REF!</v>
      </c>
      <c r="CY49" s="134"/>
      <c r="CZ49" s="39" t="e">
        <f t="shared" ca="1" si="12"/>
        <v>#REF!</v>
      </c>
      <c r="DA49" s="39" t="e">
        <f t="shared" ca="1" si="13"/>
        <v>#REF!</v>
      </c>
      <c r="DB49" s="3" t="e">
        <f t="shared" ca="1" si="14"/>
        <v>#REF!</v>
      </c>
      <c r="DC49" s="39" t="e">
        <f t="shared" ca="1" si="15"/>
        <v>#REF!</v>
      </c>
      <c r="DD49" s="39" t="e">
        <f t="shared" ca="1" si="16"/>
        <v>#REF!</v>
      </c>
      <c r="DE49" s="3" t="e">
        <f t="shared" ca="1" si="17"/>
        <v>#REF!</v>
      </c>
      <c r="DF49" s="39" t="e">
        <f t="shared" ca="1" si="18"/>
        <v>#REF!</v>
      </c>
      <c r="DG49" s="39" t="e">
        <f t="array" ref="DG49">INDEX(#REF!,ROW()-ROW(#REF!),MATCH("Total "&amp;home_land,#REF!,0))+#REF!</f>
        <v>#REF!</v>
      </c>
      <c r="DH49" s="3" t="e">
        <f t="shared" ca="1" si="10"/>
        <v>#REF!</v>
      </c>
      <c r="DI49" s="3" t="e">
        <f t="shared" ca="1" si="0"/>
        <v>#REF!</v>
      </c>
      <c r="DJ49" s="3" t="e">
        <f t="shared" ca="1" si="1"/>
        <v>#REF!</v>
      </c>
    </row>
    <row r="50" spans="1:114" x14ac:dyDescent="0.25">
      <c r="A50" s="160" t="e">
        <f>#REF!</f>
        <v>#REF!</v>
      </c>
      <c r="B50" s="161" t="e">
        <f>SUM(#REF!)</f>
        <v>#REF!</v>
      </c>
      <c r="C50" s="162" t="e">
        <f>SUM(#REF!)</f>
        <v>#REF!</v>
      </c>
      <c r="D50" s="162">
        <f t="shared" si="11"/>
        <v>0</v>
      </c>
      <c r="E50" s="163"/>
      <c r="F50" s="61" t="e">
        <f>#REF!+#REF!+#REF!</f>
        <v>#REF!</v>
      </c>
      <c r="G50" s="171" t="e">
        <f ca="1">OFFSET(#REF!,-1,0)+#REF!</f>
        <v>#REF!</v>
      </c>
      <c r="H50" s="166" t="e">
        <f ca="1">OFFSET(#REF!,-1,0)+#REF!</f>
        <v>#REF!</v>
      </c>
      <c r="I50" s="341" t="e">
        <f ca="1">OFFSET(#REF!,-1,0)+#REF!</f>
        <v>#REF!</v>
      </c>
      <c r="J50" s="345" t="e">
        <f ca="1">OFFSET(#REF!,-1,0)+#REF!</f>
        <v>#REF!</v>
      </c>
      <c r="K50" s="349" t="e">
        <f ca="1">OFFSET(#REF!,-1,0)+#REF!</f>
        <v>#REF!</v>
      </c>
      <c r="L50" s="169" t="e">
        <f ca="1">OFFSET(#REF!,-1,0)+#REF!</f>
        <v>#REF!</v>
      </c>
      <c r="M50" s="170" t="e">
        <f ca="1">OFFSET(#REF!,-1,0)+#REF!</f>
        <v>#REF!</v>
      </c>
      <c r="N50" s="339" t="e">
        <f>#REF!</f>
        <v>#REF!</v>
      </c>
      <c r="O50" s="164"/>
      <c r="P50" s="164"/>
      <c r="Q50" s="164"/>
      <c r="R50" s="146"/>
      <c r="S50" s="164"/>
      <c r="T50" s="164"/>
      <c r="U50" s="164"/>
      <c r="V50" s="164"/>
      <c r="W50" s="164"/>
      <c r="X50" s="164"/>
      <c r="Y50" s="164"/>
      <c r="Z50" s="164"/>
      <c r="AA50" s="164"/>
      <c r="AB50" s="164"/>
      <c r="AC50" s="164"/>
      <c r="AD50" s="164"/>
      <c r="AE50" s="164"/>
      <c r="AF50" s="164"/>
      <c r="AG50" s="164"/>
      <c r="AH50" s="53" t="e">
        <f>#REF!</f>
        <v>#REF!</v>
      </c>
      <c r="AI50" s="132" t="e">
        <f>MIN(25%,(#REF!+#REF!)/(#REF!-#REF!*20))</f>
        <v>#REF!</v>
      </c>
      <c r="AJ50" s="132" t="e">
        <f>MIN(25%,(#REF!+#REF!)/#REF!)</f>
        <v>#REF!</v>
      </c>
      <c r="AK50" s="39" t="e">
        <f>#REF!</f>
        <v>#REF!</v>
      </c>
      <c r="AL50" s="39" t="e">
        <f>#REF!</f>
        <v>#REF!</v>
      </c>
      <c r="AM50" s="39" t="e">
        <f>ROUNDDOWN( MAX((1 - MIN(facs_constr_factor*#REF!,facs_constr_max) + tech_2_3*#REF! + tech_2_6_2*#REF! + tech_2_10*#REF! + tech_4_6*#REF! + tech_6_3*#REF! + tech_9_2*#REF! + race_construction_cost), 1-global_constr_cap) *#REF!,0)</f>
        <v>#REF!</v>
      </c>
      <c r="AN50" s="39" t="e">
        <f>ROUNDDOWN( MAX(1 - MIN(facs_constr_factor*#REF!,facs_constr_max) + tech_1_11*#REF! + tech_6_3_2*#REF! + tech_5_2_3*#REF!, 1-global_constr_cap) *#REF!,0)</f>
        <v>#REF!</v>
      </c>
      <c r="AO50" s="39" t="e">
        <f>ROUNDDOWN( MAX((1 - MIN(facs_constr_factor*#REF!,facs_constr_max) + tech_2_3*#REF! + tech_2_6_2*#REF! + tech_2_10*#REF! + tech_4_6*#REF! + tech_6_3*#REF! + tech_9_2*#REF! + race_construction_cost), 1-global_constr_cap) * (ROUND((#REF!-250)*1.25 + 850 + 0,0)),0)</f>
        <v>#REF!</v>
      </c>
      <c r="AP50" s="39" t="e">
        <f>ROUNDDOWN( MAX(1 - MIN(facs_constr_factor*#REF!,facs_constr_max) + tech_1_11*#REF! + tech_6_3_2*#REF! + tech_5_2_3*#REF!, 1-global_constr_cap) * ROUND((#REF!-250)*0.285 + 87.5 + 0/4.25,0),0)</f>
        <v>#REF!</v>
      </c>
      <c r="AQ50" s="3" t="e">
        <f>#REF!*#REF! +#REF! *#REF!</f>
        <v>#REF!</v>
      </c>
      <c r="AR50" s="3" t="e">
        <f>#REF!*#REF!+#REF!*#REF!</f>
        <v>#REF!</v>
      </c>
      <c r="AS50" s="39" t="e">
        <f ca="1">MIN(SUM(OFFSET(#REF!,-1,0))+SUM(#REF!)+IF(#REF!&gt;12,SUM(OFFSET(#REF!,-12,0)),0),SUM(#REF!))</f>
        <v>#REF!</v>
      </c>
      <c r="AT50" s="3" t="e">
        <f ca="1">IF(#REF!&lt;&gt;0,MAX(0, MIN(20, 20 + SUM(#REF!) - SUM(#REF!) - SUM(OFFSET(#REF!,-1,0)) - IF(#REF!&gt;12,SUM(OFFSET(#REF!,-12,0)),0) - 20*#REF!)),0)</f>
        <v>#REF!</v>
      </c>
      <c r="AU50" s="134"/>
      <c r="AV50" s="39" t="e">
        <f>ROUND((#REF!-250 - IF(#REF!&lt;&gt;0,20,0))*1.25 + 850 + 0,0)</f>
        <v>#REF!</v>
      </c>
      <c r="AW50" s="39" t="e">
        <f>ROUND((#REF!-250 - IF(#REF!&lt;&gt;0,20,0))*0.285 + 87.5 + 0/4.25,0)</f>
        <v>#REF!</v>
      </c>
      <c r="AX50" s="133"/>
      <c r="AY50" s="172" t="e">
        <f t="array" aca="1" ref="AY50" ca="1">IF(#REF!&gt;12,OFFSET(#REF!,-12,0),0)+OFFSET(#REF!,-1,0)-#REF!</f>
        <v>#REF!</v>
      </c>
      <c r="AZ50" s="173" t="e">
        <f t="array" aca="1" ref="AZ50" ca="1">IF(#REF!&gt;12,OFFSET(#REF!,-12,0),0)+OFFSET(#REF!,-1,0)-#REF!</f>
        <v>#REF!</v>
      </c>
      <c r="BA50" s="173" t="e">
        <f t="array" aca="1" ref="BA50" ca="1">IF(#REF!&gt;12,OFFSET(#REF!,-12,0),0)+OFFSET(#REF!,-1,0)-#REF!</f>
        <v>#REF!</v>
      </c>
      <c r="BB50" s="173" t="e">
        <f t="array" aca="1" ref="BB50" ca="1">IF(#REF!&gt;12,OFFSET(#REF!,-12,0),0)+OFFSET(#REF!,-1,0)-#REF!</f>
        <v>#REF!</v>
      </c>
      <c r="BC50" s="173" t="e">
        <f t="array" aca="1" ref="BC50" ca="1">IF(#REF!&gt;12,OFFSET(#REF!,-12,0),0)+OFFSET(#REF!,-1,0)-#REF!</f>
        <v>#REF!</v>
      </c>
      <c r="BD50" s="174" t="e">
        <f t="array" aca="1" ref="BD50" ca="1">IF(#REF!&gt;12,OFFSET(#REF!,-12,0),0)+OFFSET(#REF!,-1,0)-#REF!</f>
        <v>#REF!</v>
      </c>
      <c r="BE50" s="174" t="e">
        <f t="array" aca="1" ref="BE50" ca="1">IF(#REF!&gt;12,OFFSET(#REF!,-12,0),0)+OFFSET(#REF!,-1,0)-#REF!</f>
        <v>#REF!</v>
      </c>
      <c r="BF50" s="343" t="e">
        <f t="array" aca="1" ref="BF50" ca="1">IF(#REF!&gt;12,OFFSET(#REF!,-12,0),0)+OFFSET(#REF!,-1,0)-#REF!</f>
        <v>#REF!</v>
      </c>
      <c r="BG50" s="343" t="e">
        <f t="array" aca="1" ref="BG50" ca="1">IF(#REF!&gt;12,OFFSET(#REF!,-12,0),0)+OFFSET(#REF!,-1,0)-#REF!</f>
        <v>#REF!</v>
      </c>
      <c r="BH50" s="347" t="e">
        <f t="array" aca="1" ref="BH50" ca="1">IF(#REF!&gt;12,OFFSET(#REF!,-12,0),0)+OFFSET(#REF!,-1,0)-#REF!</f>
        <v>#REF!</v>
      </c>
      <c r="BI50" s="347" t="e">
        <f t="array" aca="1" ref="BI50" ca="1">IF(#REF!&gt;12,OFFSET(#REF!,-12,0),0)+OFFSET(#REF!,-1,0)-#REF!</f>
        <v>#REF!</v>
      </c>
      <c r="BJ50" s="347" t="e">
        <f t="array" aca="1" ref="BJ50" ca="1">IF(#REF!&gt;12,OFFSET(#REF!,-12,0),0)+OFFSET(#REF!,-1,0)-#REF!</f>
        <v>#REF!</v>
      </c>
      <c r="BK50" s="347" t="e">
        <f t="array" aca="1" ref="BK50" ca="1">IF(#REF!&gt;12,OFFSET(#REF!,-12,0),0)+OFFSET(#REF!,-1,0)-#REF!</f>
        <v>#REF!</v>
      </c>
      <c r="BL50" s="351" t="e">
        <f t="array" aca="1" ref="BL50" ca="1">IF(#REF!&gt;12,OFFSET(#REF!,-12,0),0)+OFFSET(#REF!,-1,0)-#REF!</f>
        <v>#REF!</v>
      </c>
      <c r="BM50" s="351" t="e">
        <f t="array" aca="1" ref="BM50" ca="1">IF(#REF!&gt;12,OFFSET(#REF!,-12,0),0)+OFFSET(#REF!,-1,0)-#REF!</f>
        <v>#REF!</v>
      </c>
      <c r="BN50" s="351" t="e">
        <f t="array" aca="1" ref="BN50" ca="1">IF(#REF!&gt;12,OFFSET(#REF!,-12,0),0)+OFFSET(#REF!,-1,0)-#REF!</f>
        <v>#REF!</v>
      </c>
      <c r="BO50" s="175" t="e">
        <f t="array" aca="1" ref="BO50" ca="1">IF(#REF!&gt;12,OFFSET(#REF!,-12,0),0)+OFFSET(#REF!,-1,0)-#REF!</f>
        <v>#REF!</v>
      </c>
      <c r="BP50" s="175" t="e">
        <f t="array" aca="1" ref="BP50" ca="1">IF(#REF!&gt;12,OFFSET(#REF!,-12,0),0)+OFFSET(#REF!,-1,0)-#REF!</f>
        <v>#REF!</v>
      </c>
      <c r="BQ50" s="176" t="e">
        <f t="array" aca="1" ref="BQ50" ca="1">IF(#REF!&gt;12,OFFSET(#REF!,-12,0),0)+OFFSET(#REF!,-1,0)-#REF!</f>
        <v>#REF!</v>
      </c>
      <c r="BR50" s="134"/>
      <c r="BS50" s="133"/>
      <c r="BT50" s="39" t="e">
        <f>#REF!</f>
        <v>#REF!</v>
      </c>
      <c r="BU50" s="147" t="e">
        <f>#REF!</f>
        <v>#REF!</v>
      </c>
      <c r="BV50" s="134"/>
      <c r="BW50" s="164"/>
      <c r="BX50" s="164"/>
      <c r="BY50" s="164"/>
      <c r="BZ50" s="164"/>
      <c r="CA50" s="164"/>
      <c r="CB50" s="164"/>
      <c r="CC50" s="164"/>
      <c r="CD50" s="164"/>
      <c r="CE50" s="164"/>
      <c r="CF50" s="164"/>
      <c r="CG50" s="164"/>
      <c r="CH50" s="164"/>
      <c r="CI50" s="164"/>
      <c r="CJ50" s="164"/>
      <c r="CK50" s="164"/>
      <c r="CL50" s="164"/>
      <c r="CM50" s="164"/>
      <c r="CN50" s="164"/>
      <c r="CO50" s="164"/>
      <c r="CP50" s="134"/>
      <c r="CQ50" s="165" t="e">
        <f ca="1">-SUM(#REF!)+SUM(#REF!)+Rezone!L50+IF("Ch_"&amp; home_land=#REF!,#REF!)+IF(#REF!&gt;12,OFFSET(#REF!,-12,0),0)</f>
        <v>#REF!</v>
      </c>
      <c r="CR50" s="166" t="e">
        <f ca="1">-SUM(#REF!)+SUM(#REF!) +Rezone!M50 + IF("Ch_"&amp; home_land=#REF!,#REF!)+IF(#REF!&gt;12,OFFSET(#REF!,-12,0),0)</f>
        <v>#REF!</v>
      </c>
      <c r="CS50" s="341" t="e">
        <f ca="1">-SUM(#REF!)+SUM(#REF!) +Rezone!N50 + IF("Ch_"&amp; home_land=#REF!,#REF!)+IF(#REF!&gt;12,OFFSET(#REF!,-12,0),0)</f>
        <v>#REF!</v>
      </c>
      <c r="CT50" s="167" t="e">
        <f ca="1">-SUM(#REF!)+SUM(#REF!) +Rezone!O50 + IF("Ch_" &amp; home_land=#REF!,#REF!)+IF(#REF!&gt;12,OFFSET(#REF!,-12,0),0)</f>
        <v>#REF!</v>
      </c>
      <c r="CU50" s="168" t="e">
        <f ca="1">-SUM(#REF!)+SUM(#REF!) +Rezone!P50 + IF("Ch_" &amp; home_land=#REF!,#REF!)+IF(#REF!&gt;12,OFFSET(#REF!,-12,0),0)</f>
        <v>#REF!</v>
      </c>
      <c r="CV50" s="169" t="e">
        <f ca="1">- SUM(#REF!)+SUM(#REF!) +Rezone!Q50 + IF("Ch_" &amp; home_land=#REF!,#REF!)+IF(#REF!&gt;12,OFFSET(#REF!,-12,0),0)</f>
        <v>#REF!</v>
      </c>
      <c r="CW50" s="170" t="e">
        <f ca="1">-#REF!+#REF! +Rezone!R50 + IF("Ch_" &amp; home_land=#REF!,#REF!)+IF(#REF!&gt;12,OFFSET(#REF!,-12,0),0)</f>
        <v>#REF!</v>
      </c>
      <c r="CX50" s="3" t="e">
        <f>IF(Explore!S50=1,20) -#REF! +#REF!</f>
        <v>#REF!</v>
      </c>
      <c r="CY50" s="134"/>
      <c r="CZ50" s="39" t="e">
        <f t="shared" ca="1" si="12"/>
        <v>#REF!</v>
      </c>
      <c r="DA50" s="39" t="e">
        <f t="shared" ca="1" si="13"/>
        <v>#REF!</v>
      </c>
      <c r="DB50" s="3" t="e">
        <f t="shared" ca="1" si="14"/>
        <v>#REF!</v>
      </c>
      <c r="DC50" s="39" t="e">
        <f t="shared" ca="1" si="15"/>
        <v>#REF!</v>
      </c>
      <c r="DD50" s="39" t="e">
        <f t="shared" ca="1" si="16"/>
        <v>#REF!</v>
      </c>
      <c r="DE50" s="3" t="e">
        <f t="shared" ca="1" si="17"/>
        <v>#REF!</v>
      </c>
      <c r="DF50" s="39" t="e">
        <f t="shared" ca="1" si="18"/>
        <v>#REF!</v>
      </c>
      <c r="DG50" s="39" t="e">
        <f t="array" ref="DG50">INDEX(#REF!,ROW()-ROW(#REF!),MATCH("Total "&amp;home_land,#REF!,0))+#REF!</f>
        <v>#REF!</v>
      </c>
      <c r="DH50" s="3" t="e">
        <f t="shared" ca="1" si="10"/>
        <v>#REF!</v>
      </c>
      <c r="DI50" s="3" t="e">
        <f t="shared" ca="1" si="0"/>
        <v>#REF!</v>
      </c>
      <c r="DJ50" s="3" t="e">
        <f t="shared" ca="1" si="1"/>
        <v>#REF!</v>
      </c>
    </row>
    <row r="51" spans="1:114" x14ac:dyDescent="0.25">
      <c r="A51" s="160" t="e">
        <f>#REF!</f>
        <v>#REF!</v>
      </c>
      <c r="B51" s="161" t="e">
        <f>SUM(#REF!)</f>
        <v>#REF!</v>
      </c>
      <c r="C51" s="162" t="e">
        <f>SUM(#REF!)</f>
        <v>#REF!</v>
      </c>
      <c r="D51" s="162">
        <f t="shared" si="11"/>
        <v>0</v>
      </c>
      <c r="E51" s="163"/>
      <c r="F51" s="61" t="e">
        <f>#REF!+#REF!+#REF!</f>
        <v>#REF!</v>
      </c>
      <c r="G51" s="171" t="e">
        <f ca="1">OFFSET(#REF!,-1,0)+#REF!</f>
        <v>#REF!</v>
      </c>
      <c r="H51" s="166" t="e">
        <f ca="1">OFFSET(#REF!,-1,0)+#REF!</f>
        <v>#REF!</v>
      </c>
      <c r="I51" s="341" t="e">
        <f ca="1">OFFSET(#REF!,-1,0)+#REF!</f>
        <v>#REF!</v>
      </c>
      <c r="J51" s="345" t="e">
        <f ca="1">OFFSET(#REF!,-1,0)+#REF!</f>
        <v>#REF!</v>
      </c>
      <c r="K51" s="349" t="e">
        <f ca="1">OFFSET(#REF!,-1,0)+#REF!</f>
        <v>#REF!</v>
      </c>
      <c r="L51" s="169" t="e">
        <f ca="1">OFFSET(#REF!,-1,0)+#REF!</f>
        <v>#REF!</v>
      </c>
      <c r="M51" s="170" t="e">
        <f ca="1">OFFSET(#REF!,-1,0)+#REF!</f>
        <v>#REF!</v>
      </c>
      <c r="N51" s="339" t="e">
        <f>#REF!</f>
        <v>#REF!</v>
      </c>
      <c r="O51" s="164"/>
      <c r="P51" s="164"/>
      <c r="Q51" s="164"/>
      <c r="R51" s="146"/>
      <c r="S51" s="164"/>
      <c r="T51" s="164"/>
      <c r="U51" s="164"/>
      <c r="V51" s="164"/>
      <c r="W51" s="164"/>
      <c r="X51" s="164"/>
      <c r="Y51" s="164"/>
      <c r="Z51" s="164"/>
      <c r="AA51" s="164"/>
      <c r="AB51" s="164"/>
      <c r="AC51" s="164"/>
      <c r="AD51" s="164"/>
      <c r="AE51" s="164"/>
      <c r="AF51" s="164"/>
      <c r="AG51" s="164"/>
      <c r="AH51" s="53" t="e">
        <f>#REF!</f>
        <v>#REF!</v>
      </c>
      <c r="AI51" s="132" t="e">
        <f>MIN(25%,(#REF!+#REF!)/(#REF!-#REF!*20))</f>
        <v>#REF!</v>
      </c>
      <c r="AJ51" s="132" t="e">
        <f>MIN(25%,(#REF!+#REF!)/#REF!)</f>
        <v>#REF!</v>
      </c>
      <c r="AK51" s="39" t="e">
        <f>#REF!</f>
        <v>#REF!</v>
      </c>
      <c r="AL51" s="39" t="e">
        <f>#REF!</f>
        <v>#REF!</v>
      </c>
      <c r="AM51" s="39" t="e">
        <f>ROUNDDOWN( MAX((1 - MIN(facs_constr_factor*#REF!,facs_constr_max) + tech_2_3*#REF! + tech_2_6_2*#REF! + tech_2_10*#REF! + tech_4_6*#REF! + tech_6_3*#REF! + tech_9_2*#REF! + race_construction_cost), 1-global_constr_cap) *#REF!,0)</f>
        <v>#REF!</v>
      </c>
      <c r="AN51" s="39" t="e">
        <f>ROUNDDOWN( MAX(1 - MIN(facs_constr_factor*#REF!,facs_constr_max) + tech_1_11*#REF! + tech_6_3_2*#REF! + tech_5_2_3*#REF!, 1-global_constr_cap) *#REF!,0)</f>
        <v>#REF!</v>
      </c>
      <c r="AO51" s="39" t="e">
        <f>ROUNDDOWN( MAX((1 - MIN(facs_constr_factor*#REF!,facs_constr_max) + tech_2_3*#REF! + tech_2_6_2*#REF! + tech_2_10*#REF! + tech_4_6*#REF! + tech_6_3*#REF! + tech_9_2*#REF! + race_construction_cost), 1-global_constr_cap) * (ROUND((#REF!-250)*1.25 + 850 + 0,0)),0)</f>
        <v>#REF!</v>
      </c>
      <c r="AP51" s="39" t="e">
        <f>ROUNDDOWN( MAX(1 - MIN(facs_constr_factor*#REF!,facs_constr_max) + tech_1_11*#REF! + tech_6_3_2*#REF! + tech_5_2_3*#REF!, 1-global_constr_cap) * ROUND((#REF!-250)*0.285 + 87.5 + 0/4.25,0),0)</f>
        <v>#REF!</v>
      </c>
      <c r="AQ51" s="3" t="e">
        <f>#REF!*#REF! +#REF! *#REF!</f>
        <v>#REF!</v>
      </c>
      <c r="AR51" s="3" t="e">
        <f>#REF!*#REF!+#REF!*#REF!</f>
        <v>#REF!</v>
      </c>
      <c r="AS51" s="39" t="e">
        <f ca="1">MIN(SUM(OFFSET(#REF!,-1,0))+SUM(#REF!)+IF(#REF!&gt;12,SUM(OFFSET(#REF!,-12,0)),0),SUM(#REF!))</f>
        <v>#REF!</v>
      </c>
      <c r="AT51" s="3" t="e">
        <f ca="1">IF(#REF!&lt;&gt;0,MAX(0, MIN(20, 20 + SUM(#REF!) - SUM(#REF!) - SUM(OFFSET(#REF!,-1,0)) - IF(#REF!&gt;12,SUM(OFFSET(#REF!,-12,0)),0) - 20*#REF!)),0)</f>
        <v>#REF!</v>
      </c>
      <c r="AU51" s="134"/>
      <c r="AV51" s="39" t="e">
        <f>ROUND((#REF!-250 - IF(#REF!&lt;&gt;0,20,0))*1.25 + 850 + 0,0)</f>
        <v>#REF!</v>
      </c>
      <c r="AW51" s="39" t="e">
        <f>ROUND((#REF!-250 - IF(#REF!&lt;&gt;0,20,0))*0.285 + 87.5 + 0/4.25,0)</f>
        <v>#REF!</v>
      </c>
      <c r="AX51" s="133"/>
      <c r="AY51" s="172" t="e">
        <f t="array" aca="1" ref="AY51" ca="1">IF(#REF!&gt;12,OFFSET(#REF!,-12,0),0)+OFFSET(#REF!,-1,0)-#REF!</f>
        <v>#REF!</v>
      </c>
      <c r="AZ51" s="173" t="e">
        <f t="array" aca="1" ref="AZ51" ca="1">IF(#REF!&gt;12,OFFSET(#REF!,-12,0),0)+OFFSET(#REF!,-1,0)-#REF!</f>
        <v>#REF!</v>
      </c>
      <c r="BA51" s="173" t="e">
        <f t="array" aca="1" ref="BA51" ca="1">IF(#REF!&gt;12,OFFSET(#REF!,-12,0),0)+OFFSET(#REF!,-1,0)-#REF!</f>
        <v>#REF!</v>
      </c>
      <c r="BB51" s="173" t="e">
        <f t="array" aca="1" ref="BB51" ca="1">IF(#REF!&gt;12,OFFSET(#REF!,-12,0),0)+OFFSET(#REF!,-1,0)-#REF!</f>
        <v>#REF!</v>
      </c>
      <c r="BC51" s="173" t="e">
        <f t="array" aca="1" ref="BC51" ca="1">IF(#REF!&gt;12,OFFSET(#REF!,-12,0),0)+OFFSET(#REF!,-1,0)-#REF!</f>
        <v>#REF!</v>
      </c>
      <c r="BD51" s="174" t="e">
        <f t="array" aca="1" ref="BD51" ca="1">IF(#REF!&gt;12,OFFSET(#REF!,-12,0),0)+OFFSET(#REF!,-1,0)-#REF!</f>
        <v>#REF!</v>
      </c>
      <c r="BE51" s="174" t="e">
        <f t="array" aca="1" ref="BE51" ca="1">IF(#REF!&gt;12,OFFSET(#REF!,-12,0),0)+OFFSET(#REF!,-1,0)-#REF!</f>
        <v>#REF!</v>
      </c>
      <c r="BF51" s="343" t="e">
        <f t="array" aca="1" ref="BF51" ca="1">IF(#REF!&gt;12,OFFSET(#REF!,-12,0),0)+OFFSET(#REF!,-1,0)-#REF!</f>
        <v>#REF!</v>
      </c>
      <c r="BG51" s="343" t="e">
        <f t="array" aca="1" ref="BG51" ca="1">IF(#REF!&gt;12,OFFSET(#REF!,-12,0),0)+OFFSET(#REF!,-1,0)-#REF!</f>
        <v>#REF!</v>
      </c>
      <c r="BH51" s="347" t="e">
        <f t="array" aca="1" ref="BH51" ca="1">IF(#REF!&gt;12,OFFSET(#REF!,-12,0),0)+OFFSET(#REF!,-1,0)-#REF!</f>
        <v>#REF!</v>
      </c>
      <c r="BI51" s="347" t="e">
        <f t="array" aca="1" ref="BI51" ca="1">IF(#REF!&gt;12,OFFSET(#REF!,-12,0),0)+OFFSET(#REF!,-1,0)-#REF!</f>
        <v>#REF!</v>
      </c>
      <c r="BJ51" s="347" t="e">
        <f t="array" aca="1" ref="BJ51" ca="1">IF(#REF!&gt;12,OFFSET(#REF!,-12,0),0)+OFFSET(#REF!,-1,0)-#REF!</f>
        <v>#REF!</v>
      </c>
      <c r="BK51" s="347" t="e">
        <f t="array" aca="1" ref="BK51" ca="1">IF(#REF!&gt;12,OFFSET(#REF!,-12,0),0)+OFFSET(#REF!,-1,0)-#REF!</f>
        <v>#REF!</v>
      </c>
      <c r="BL51" s="351" t="e">
        <f t="array" aca="1" ref="BL51" ca="1">IF(#REF!&gt;12,OFFSET(#REF!,-12,0),0)+OFFSET(#REF!,-1,0)-#REF!</f>
        <v>#REF!</v>
      </c>
      <c r="BM51" s="351" t="e">
        <f t="array" aca="1" ref="BM51" ca="1">IF(#REF!&gt;12,OFFSET(#REF!,-12,0),0)+OFFSET(#REF!,-1,0)-#REF!</f>
        <v>#REF!</v>
      </c>
      <c r="BN51" s="351" t="e">
        <f t="array" aca="1" ref="BN51" ca="1">IF(#REF!&gt;12,OFFSET(#REF!,-12,0),0)+OFFSET(#REF!,-1,0)-#REF!</f>
        <v>#REF!</v>
      </c>
      <c r="BO51" s="175" t="e">
        <f t="array" aca="1" ref="BO51" ca="1">IF(#REF!&gt;12,OFFSET(#REF!,-12,0),0)+OFFSET(#REF!,-1,0)-#REF!</f>
        <v>#REF!</v>
      </c>
      <c r="BP51" s="175" t="e">
        <f t="array" aca="1" ref="BP51" ca="1">IF(#REF!&gt;12,OFFSET(#REF!,-12,0),0)+OFFSET(#REF!,-1,0)-#REF!</f>
        <v>#REF!</v>
      </c>
      <c r="BQ51" s="176" t="e">
        <f t="array" aca="1" ref="BQ51" ca="1">IF(#REF!&gt;12,OFFSET(#REF!,-12,0),0)+OFFSET(#REF!,-1,0)-#REF!</f>
        <v>#REF!</v>
      </c>
      <c r="BR51" s="134"/>
      <c r="BS51" s="133"/>
      <c r="BT51" s="39" t="e">
        <f>#REF!</f>
        <v>#REF!</v>
      </c>
      <c r="BU51" s="147" t="e">
        <f>#REF!</f>
        <v>#REF!</v>
      </c>
      <c r="BV51" s="134"/>
      <c r="BW51" s="164"/>
      <c r="BX51" s="164"/>
      <c r="BY51" s="164"/>
      <c r="BZ51" s="164"/>
      <c r="CA51" s="164"/>
      <c r="CB51" s="164"/>
      <c r="CC51" s="164"/>
      <c r="CD51" s="164"/>
      <c r="CE51" s="164"/>
      <c r="CF51" s="164"/>
      <c r="CG51" s="164"/>
      <c r="CH51" s="164"/>
      <c r="CI51" s="164"/>
      <c r="CJ51" s="164"/>
      <c r="CK51" s="164"/>
      <c r="CL51" s="164"/>
      <c r="CM51" s="164"/>
      <c r="CN51" s="164"/>
      <c r="CO51" s="164"/>
      <c r="CP51" s="134"/>
      <c r="CQ51" s="165" t="e">
        <f ca="1">-SUM(#REF!)+SUM(#REF!)+Rezone!L51+IF("Ch_"&amp; home_land=#REF!,#REF!)+IF(#REF!&gt;12,OFFSET(#REF!,-12,0),0)</f>
        <v>#REF!</v>
      </c>
      <c r="CR51" s="166" t="e">
        <f ca="1">-SUM(#REF!)+SUM(#REF!) +Rezone!M51 + IF("Ch_"&amp; home_land=#REF!,#REF!)+IF(#REF!&gt;12,OFFSET(#REF!,-12,0),0)</f>
        <v>#REF!</v>
      </c>
      <c r="CS51" s="341" t="e">
        <f ca="1">-SUM(#REF!)+SUM(#REF!) +Rezone!N51 + IF("Ch_"&amp; home_land=#REF!,#REF!)+IF(#REF!&gt;12,OFFSET(#REF!,-12,0),0)</f>
        <v>#REF!</v>
      </c>
      <c r="CT51" s="167" t="e">
        <f ca="1">-SUM(#REF!)+SUM(#REF!) +Rezone!O51 + IF("Ch_" &amp; home_land=#REF!,#REF!)+IF(#REF!&gt;12,OFFSET(#REF!,-12,0),0)</f>
        <v>#REF!</v>
      </c>
      <c r="CU51" s="168" t="e">
        <f ca="1">-SUM(#REF!)+SUM(#REF!) +Rezone!P51 + IF("Ch_" &amp; home_land=#REF!,#REF!)+IF(#REF!&gt;12,OFFSET(#REF!,-12,0),0)</f>
        <v>#REF!</v>
      </c>
      <c r="CV51" s="169" t="e">
        <f ca="1">- SUM(#REF!)+SUM(#REF!) +Rezone!Q51 + IF("Ch_" &amp; home_land=#REF!,#REF!)+IF(#REF!&gt;12,OFFSET(#REF!,-12,0),0)</f>
        <v>#REF!</v>
      </c>
      <c r="CW51" s="170" t="e">
        <f ca="1">-#REF!+#REF! +Rezone!R51 + IF("Ch_" &amp; home_land=#REF!,#REF!)+IF(#REF!&gt;12,OFFSET(#REF!,-12,0),0)</f>
        <v>#REF!</v>
      </c>
      <c r="CX51" s="3" t="e">
        <f>IF(Explore!S51=1,20) -#REF! +#REF!</f>
        <v>#REF!</v>
      </c>
      <c r="CY51" s="134"/>
      <c r="CZ51" s="39" t="e">
        <f t="shared" ca="1" si="12"/>
        <v>#REF!</v>
      </c>
      <c r="DA51" s="39" t="e">
        <f t="shared" ca="1" si="13"/>
        <v>#REF!</v>
      </c>
      <c r="DB51" s="3" t="e">
        <f t="shared" ca="1" si="14"/>
        <v>#REF!</v>
      </c>
      <c r="DC51" s="39" t="e">
        <f t="shared" ca="1" si="15"/>
        <v>#REF!</v>
      </c>
      <c r="DD51" s="39" t="e">
        <f t="shared" ca="1" si="16"/>
        <v>#REF!</v>
      </c>
      <c r="DE51" s="3" t="e">
        <f t="shared" ca="1" si="17"/>
        <v>#REF!</v>
      </c>
      <c r="DF51" s="39" t="e">
        <f t="shared" ca="1" si="18"/>
        <v>#REF!</v>
      </c>
      <c r="DG51" s="39" t="e">
        <f t="array" ref="DG51">INDEX(#REF!,ROW()-ROW(#REF!),MATCH("Total "&amp;home_land,#REF!,0))+#REF!</f>
        <v>#REF!</v>
      </c>
      <c r="DH51" s="3" t="e">
        <f t="shared" ca="1" si="10"/>
        <v>#REF!</v>
      </c>
      <c r="DI51" s="3" t="e">
        <f t="shared" ca="1" si="0"/>
        <v>#REF!</v>
      </c>
      <c r="DJ51" s="3" t="e">
        <f t="shared" ca="1" si="1"/>
        <v>#REF!</v>
      </c>
    </row>
    <row r="52" spans="1:114" x14ac:dyDescent="0.25">
      <c r="A52" s="160" t="e">
        <f>#REF!</f>
        <v>#REF!</v>
      </c>
      <c r="B52" s="161" t="e">
        <f>SUM(#REF!)</f>
        <v>#REF!</v>
      </c>
      <c r="C52" s="162" t="e">
        <f>SUM(#REF!)</f>
        <v>#REF!</v>
      </c>
      <c r="D52" s="162">
        <f t="shared" si="11"/>
        <v>0</v>
      </c>
      <c r="E52" s="163"/>
      <c r="F52" s="61" t="e">
        <f>#REF!+#REF!+#REF!</f>
        <v>#REF!</v>
      </c>
      <c r="G52" s="171" t="e">
        <f ca="1">OFFSET(#REF!,-1,0)+#REF!</f>
        <v>#REF!</v>
      </c>
      <c r="H52" s="166" t="e">
        <f ca="1">OFFSET(#REF!,-1,0)+#REF!</f>
        <v>#REF!</v>
      </c>
      <c r="I52" s="341" t="e">
        <f ca="1">OFFSET(#REF!,-1,0)+#REF!</f>
        <v>#REF!</v>
      </c>
      <c r="J52" s="345" t="e">
        <f ca="1">OFFSET(#REF!,-1,0)+#REF!</f>
        <v>#REF!</v>
      </c>
      <c r="K52" s="349" t="e">
        <f ca="1">OFFSET(#REF!,-1,0)+#REF!</f>
        <v>#REF!</v>
      </c>
      <c r="L52" s="169" t="e">
        <f ca="1">OFFSET(#REF!,-1,0)+#REF!</f>
        <v>#REF!</v>
      </c>
      <c r="M52" s="170" t="e">
        <f ca="1">OFFSET(#REF!,-1,0)+#REF!</f>
        <v>#REF!</v>
      </c>
      <c r="N52" s="339" t="e">
        <f>#REF!</f>
        <v>#REF!</v>
      </c>
      <c r="O52" s="164"/>
      <c r="P52" s="164"/>
      <c r="Q52" s="164"/>
      <c r="R52" s="164"/>
      <c r="S52" s="164"/>
      <c r="T52" s="164"/>
      <c r="U52" s="164"/>
      <c r="V52" s="164"/>
      <c r="W52" s="164"/>
      <c r="X52" s="164"/>
      <c r="Y52" s="164"/>
      <c r="Z52" s="164"/>
      <c r="AA52" s="164"/>
      <c r="AB52" s="164"/>
      <c r="AC52" s="164"/>
      <c r="AD52" s="164"/>
      <c r="AE52" s="164"/>
      <c r="AF52" s="164"/>
      <c r="AG52" s="164"/>
      <c r="AH52" s="53" t="e">
        <f>#REF!</f>
        <v>#REF!</v>
      </c>
      <c r="AI52" s="132" t="e">
        <f>MIN(25%,(#REF!+#REF!)/(#REF!-#REF!*20))</f>
        <v>#REF!</v>
      </c>
      <c r="AJ52" s="132" t="e">
        <f>MIN(25%,(#REF!+#REF!)/#REF!)</f>
        <v>#REF!</v>
      </c>
      <c r="AK52" s="39" t="e">
        <f>#REF!</f>
        <v>#REF!</v>
      </c>
      <c r="AL52" s="39" t="e">
        <f>#REF!</f>
        <v>#REF!</v>
      </c>
      <c r="AM52" s="39" t="e">
        <f>ROUNDDOWN( MAX((1 - MIN(facs_constr_factor*#REF!,facs_constr_max) + tech_2_3*#REF! + tech_2_6_2*#REF! + tech_2_10*#REF! + tech_4_6*#REF! + tech_6_3*#REF! + tech_9_2*#REF! + race_construction_cost), 1-global_constr_cap) *#REF!,0)</f>
        <v>#REF!</v>
      </c>
      <c r="AN52" s="39" t="e">
        <f>ROUNDDOWN( MAX(1 - MIN(facs_constr_factor*#REF!,facs_constr_max) + tech_1_11*#REF! + tech_6_3_2*#REF! + tech_5_2_3*#REF!, 1-global_constr_cap) *#REF!,0)</f>
        <v>#REF!</v>
      </c>
      <c r="AO52" s="39" t="e">
        <f>ROUNDDOWN( MAX((1 - MIN(facs_constr_factor*#REF!,facs_constr_max) + tech_2_3*#REF! + tech_2_6_2*#REF! + tech_2_10*#REF! + tech_4_6*#REF! + tech_6_3*#REF! + tech_9_2*#REF! + race_construction_cost), 1-global_constr_cap) * (ROUND((#REF!-250)*1.25 + 850 + 0,0)),0)</f>
        <v>#REF!</v>
      </c>
      <c r="AP52" s="39" t="e">
        <f>ROUNDDOWN( MAX(1 - MIN(facs_constr_factor*#REF!,facs_constr_max) + tech_1_11*#REF! + tech_6_3_2*#REF! + tech_5_2_3*#REF!, 1-global_constr_cap) * ROUND((#REF!-250)*0.285 + 87.5 + 0/4.25,0),0)</f>
        <v>#REF!</v>
      </c>
      <c r="AQ52" s="3" t="e">
        <f>#REF!*#REF! +#REF! *#REF!</f>
        <v>#REF!</v>
      </c>
      <c r="AR52" s="3" t="e">
        <f>#REF!*#REF!+#REF!*#REF!</f>
        <v>#REF!</v>
      </c>
      <c r="AS52" s="39" t="e">
        <f ca="1">MIN(SUM(OFFSET(#REF!,-1,0))+SUM(#REF!)+IF(#REF!&gt;12,SUM(OFFSET(#REF!,-12,0)),0),SUM(#REF!))</f>
        <v>#REF!</v>
      </c>
      <c r="AT52" s="3" t="e">
        <f ca="1">IF(#REF!&lt;&gt;0,MAX(0, MIN(20, 20 + SUM(#REF!) - SUM(#REF!) - SUM(OFFSET(#REF!,-1,0)) - IF(#REF!&gt;12,SUM(OFFSET(#REF!,-12,0)),0) - 20*#REF!)),0)</f>
        <v>#REF!</v>
      </c>
      <c r="AU52" s="134"/>
      <c r="AV52" s="39" t="e">
        <f>ROUND((#REF!-250 - IF(#REF!&lt;&gt;0,20,0))*1.25 + 850 + 0,0)</f>
        <v>#REF!</v>
      </c>
      <c r="AW52" s="39" t="e">
        <f>ROUND((#REF!-250 - IF(#REF!&lt;&gt;0,20,0))*0.285 + 87.5 + 0/4.25,0)</f>
        <v>#REF!</v>
      </c>
      <c r="AX52" s="133"/>
      <c r="AY52" s="172" t="e">
        <f t="array" aca="1" ref="AY52" ca="1">IF(#REF!&gt;12,OFFSET(#REF!,-12,0),0)+OFFSET(#REF!,-1,0)-#REF!</f>
        <v>#REF!</v>
      </c>
      <c r="AZ52" s="173" t="e">
        <f t="array" aca="1" ref="AZ52" ca="1">IF(#REF!&gt;12,OFFSET(#REF!,-12,0),0)+OFFSET(#REF!,-1,0)-#REF!</f>
        <v>#REF!</v>
      </c>
      <c r="BA52" s="173" t="e">
        <f t="array" aca="1" ref="BA52" ca="1">IF(#REF!&gt;12,OFFSET(#REF!,-12,0),0)+OFFSET(#REF!,-1,0)-#REF!</f>
        <v>#REF!</v>
      </c>
      <c r="BB52" s="173" t="e">
        <f t="array" aca="1" ref="BB52" ca="1">IF(#REF!&gt;12,OFFSET(#REF!,-12,0),0)+OFFSET(#REF!,-1,0)-#REF!</f>
        <v>#REF!</v>
      </c>
      <c r="BC52" s="173" t="e">
        <f t="array" aca="1" ref="BC52" ca="1">IF(#REF!&gt;12,OFFSET(#REF!,-12,0),0)+OFFSET(#REF!,-1,0)-#REF!</f>
        <v>#REF!</v>
      </c>
      <c r="BD52" s="174" t="e">
        <f t="array" aca="1" ref="BD52" ca="1">IF(#REF!&gt;12,OFFSET(#REF!,-12,0),0)+OFFSET(#REF!,-1,0)-#REF!</f>
        <v>#REF!</v>
      </c>
      <c r="BE52" s="174" t="e">
        <f t="array" aca="1" ref="BE52" ca="1">IF(#REF!&gt;12,OFFSET(#REF!,-12,0),0)+OFFSET(#REF!,-1,0)-#REF!</f>
        <v>#REF!</v>
      </c>
      <c r="BF52" s="343" t="e">
        <f t="array" aca="1" ref="BF52" ca="1">IF(#REF!&gt;12,OFFSET(#REF!,-12,0),0)+OFFSET(#REF!,-1,0)-#REF!</f>
        <v>#REF!</v>
      </c>
      <c r="BG52" s="343" t="e">
        <f t="array" aca="1" ref="BG52" ca="1">IF(#REF!&gt;12,OFFSET(#REF!,-12,0),0)+OFFSET(#REF!,-1,0)-#REF!</f>
        <v>#REF!</v>
      </c>
      <c r="BH52" s="347" t="e">
        <f t="array" aca="1" ref="BH52" ca="1">IF(#REF!&gt;12,OFFSET(#REF!,-12,0),0)+OFFSET(#REF!,-1,0)-#REF!</f>
        <v>#REF!</v>
      </c>
      <c r="BI52" s="347" t="e">
        <f t="array" aca="1" ref="BI52" ca="1">IF(#REF!&gt;12,OFFSET(#REF!,-12,0),0)+OFFSET(#REF!,-1,0)-#REF!</f>
        <v>#REF!</v>
      </c>
      <c r="BJ52" s="347" t="e">
        <f t="array" aca="1" ref="BJ52" ca="1">IF(#REF!&gt;12,OFFSET(#REF!,-12,0),0)+OFFSET(#REF!,-1,0)-#REF!</f>
        <v>#REF!</v>
      </c>
      <c r="BK52" s="347" t="e">
        <f t="array" aca="1" ref="BK52" ca="1">IF(#REF!&gt;12,OFFSET(#REF!,-12,0),0)+OFFSET(#REF!,-1,0)-#REF!</f>
        <v>#REF!</v>
      </c>
      <c r="BL52" s="351" t="e">
        <f t="array" aca="1" ref="BL52" ca="1">IF(#REF!&gt;12,OFFSET(#REF!,-12,0),0)+OFFSET(#REF!,-1,0)-#REF!</f>
        <v>#REF!</v>
      </c>
      <c r="BM52" s="351" t="e">
        <f t="array" aca="1" ref="BM52" ca="1">IF(#REF!&gt;12,OFFSET(#REF!,-12,0),0)+OFFSET(#REF!,-1,0)-#REF!</f>
        <v>#REF!</v>
      </c>
      <c r="BN52" s="351" t="e">
        <f t="array" aca="1" ref="BN52" ca="1">IF(#REF!&gt;12,OFFSET(#REF!,-12,0),0)+OFFSET(#REF!,-1,0)-#REF!</f>
        <v>#REF!</v>
      </c>
      <c r="BO52" s="175" t="e">
        <f t="array" aca="1" ref="BO52" ca="1">IF(#REF!&gt;12,OFFSET(#REF!,-12,0),0)+OFFSET(#REF!,-1,0)-#REF!</f>
        <v>#REF!</v>
      </c>
      <c r="BP52" s="175" t="e">
        <f t="array" aca="1" ref="BP52" ca="1">IF(#REF!&gt;12,OFFSET(#REF!,-12,0),0)+OFFSET(#REF!,-1,0)-#REF!</f>
        <v>#REF!</v>
      </c>
      <c r="BQ52" s="176" t="e">
        <f t="array" aca="1" ref="BQ52" ca="1">IF(#REF!&gt;12,OFFSET(#REF!,-12,0),0)+OFFSET(#REF!,-1,0)-#REF!</f>
        <v>#REF!</v>
      </c>
      <c r="BR52" s="134"/>
      <c r="BS52" s="133"/>
      <c r="BT52" s="39" t="e">
        <f>#REF!</f>
        <v>#REF!</v>
      </c>
      <c r="BU52" s="147" t="e">
        <f>#REF!</f>
        <v>#REF!</v>
      </c>
      <c r="BV52" s="134"/>
      <c r="BW52" s="164"/>
      <c r="BX52" s="164"/>
      <c r="BY52" s="164"/>
      <c r="BZ52" s="164"/>
      <c r="CA52" s="164"/>
      <c r="CB52" s="164"/>
      <c r="CC52" s="164"/>
      <c r="CD52" s="164"/>
      <c r="CE52" s="164"/>
      <c r="CF52" s="164"/>
      <c r="CG52" s="164"/>
      <c r="CH52" s="164"/>
      <c r="CI52" s="164"/>
      <c r="CJ52" s="164"/>
      <c r="CK52" s="164"/>
      <c r="CL52" s="164"/>
      <c r="CM52" s="164"/>
      <c r="CN52" s="164"/>
      <c r="CO52" s="164"/>
      <c r="CP52" s="134"/>
      <c r="CQ52" s="165" t="e">
        <f ca="1">-SUM(#REF!)+SUM(#REF!)+Rezone!L52+IF("Ch_"&amp; home_land=#REF!,#REF!)+IF(#REF!&gt;12,OFFSET(#REF!,-12,0),0)</f>
        <v>#REF!</v>
      </c>
      <c r="CR52" s="166" t="e">
        <f ca="1">-SUM(#REF!)+SUM(#REF!) +Rezone!M52 + IF("Ch_"&amp; home_land=#REF!,#REF!)+IF(#REF!&gt;12,OFFSET(#REF!,-12,0),0)</f>
        <v>#REF!</v>
      </c>
      <c r="CS52" s="341" t="e">
        <f ca="1">-SUM(#REF!)+SUM(#REF!) +Rezone!N52 + IF("Ch_"&amp; home_land=#REF!,#REF!)+IF(#REF!&gt;12,OFFSET(#REF!,-12,0),0)</f>
        <v>#REF!</v>
      </c>
      <c r="CT52" s="167" t="e">
        <f ca="1">-SUM(#REF!)+SUM(#REF!) +Rezone!O52 + IF("Ch_" &amp; home_land=#REF!,#REF!)+IF(#REF!&gt;12,OFFSET(#REF!,-12,0),0)</f>
        <v>#REF!</v>
      </c>
      <c r="CU52" s="168" t="e">
        <f ca="1">-SUM(#REF!)+SUM(#REF!) +Rezone!P52 + IF("Ch_" &amp; home_land=#REF!,#REF!)+IF(#REF!&gt;12,OFFSET(#REF!,-12,0),0)</f>
        <v>#REF!</v>
      </c>
      <c r="CV52" s="169" t="e">
        <f ca="1">- SUM(#REF!)+SUM(#REF!) +Rezone!Q52 + IF("Ch_" &amp; home_land=#REF!,#REF!)+IF(#REF!&gt;12,OFFSET(#REF!,-12,0),0)</f>
        <v>#REF!</v>
      </c>
      <c r="CW52" s="170" t="e">
        <f ca="1">-#REF!+#REF! +Rezone!R52 + IF("Ch_" &amp; home_land=#REF!,#REF!)+IF(#REF!&gt;12,OFFSET(#REF!,-12,0),0)</f>
        <v>#REF!</v>
      </c>
      <c r="CX52" s="3" t="e">
        <f>IF(Explore!S52=1,20) -#REF! +#REF!</f>
        <v>#REF!</v>
      </c>
      <c r="CY52" s="134"/>
      <c r="CZ52" s="39" t="e">
        <f t="shared" ca="1" si="12"/>
        <v>#REF!</v>
      </c>
      <c r="DA52" s="39" t="e">
        <f t="shared" ca="1" si="13"/>
        <v>#REF!</v>
      </c>
      <c r="DB52" s="3" t="e">
        <f t="shared" ca="1" si="14"/>
        <v>#REF!</v>
      </c>
      <c r="DC52" s="39" t="e">
        <f t="shared" ca="1" si="15"/>
        <v>#REF!</v>
      </c>
      <c r="DD52" s="39" t="e">
        <f t="shared" ca="1" si="16"/>
        <v>#REF!</v>
      </c>
      <c r="DE52" s="3" t="e">
        <f t="shared" ca="1" si="17"/>
        <v>#REF!</v>
      </c>
      <c r="DF52" s="39" t="e">
        <f t="shared" ca="1" si="18"/>
        <v>#REF!</v>
      </c>
      <c r="DG52" s="39" t="e">
        <f t="array" ref="DG52">INDEX(#REF!,ROW()-ROW(#REF!),MATCH("Total "&amp;home_land,#REF!,0))+#REF!</f>
        <v>#REF!</v>
      </c>
      <c r="DH52" s="3" t="e">
        <f t="shared" ca="1" si="10"/>
        <v>#REF!</v>
      </c>
      <c r="DI52" s="3" t="e">
        <f t="shared" ca="1" si="0"/>
        <v>#REF!</v>
      </c>
      <c r="DJ52" s="3" t="e">
        <f t="shared" ca="1" si="1"/>
        <v>#REF!</v>
      </c>
    </row>
    <row r="53" spans="1:114" x14ac:dyDescent="0.25">
      <c r="A53" s="160" t="e">
        <f>#REF!</f>
        <v>#REF!</v>
      </c>
      <c r="B53" s="161" t="e">
        <f>SUM(#REF!)</f>
        <v>#REF!</v>
      </c>
      <c r="C53" s="162" t="e">
        <f>SUM(#REF!)</f>
        <v>#REF!</v>
      </c>
      <c r="D53" s="162">
        <f t="shared" si="11"/>
        <v>0</v>
      </c>
      <c r="E53" s="163"/>
      <c r="F53" s="61" t="e">
        <f>#REF!+#REF!+#REF!</f>
        <v>#REF!</v>
      </c>
      <c r="G53" s="171" t="e">
        <f ca="1">OFFSET(#REF!,-1,0)+#REF!</f>
        <v>#REF!</v>
      </c>
      <c r="H53" s="166" t="e">
        <f ca="1">OFFSET(#REF!,-1,0)+#REF!</f>
        <v>#REF!</v>
      </c>
      <c r="I53" s="341" t="e">
        <f ca="1">OFFSET(#REF!,-1,0)+#REF!</f>
        <v>#REF!</v>
      </c>
      <c r="J53" s="345" t="e">
        <f ca="1">OFFSET(#REF!,-1,0)+#REF!</f>
        <v>#REF!</v>
      </c>
      <c r="K53" s="349" t="e">
        <f ca="1">OFFSET(#REF!,-1,0)+#REF!</f>
        <v>#REF!</v>
      </c>
      <c r="L53" s="169" t="e">
        <f ca="1">OFFSET(#REF!,-1,0)+#REF!</f>
        <v>#REF!</v>
      </c>
      <c r="M53" s="170" t="e">
        <f ca="1">OFFSET(#REF!,-1,0)+#REF!</f>
        <v>#REF!</v>
      </c>
      <c r="N53" s="339" t="e">
        <f>#REF!</f>
        <v>#REF!</v>
      </c>
      <c r="O53" s="164"/>
      <c r="P53" s="164"/>
      <c r="Q53" s="164"/>
      <c r="R53" s="164"/>
      <c r="S53" s="164"/>
      <c r="T53" s="164"/>
      <c r="U53" s="164"/>
      <c r="V53" s="164"/>
      <c r="W53" s="164"/>
      <c r="X53" s="164"/>
      <c r="Y53" s="164"/>
      <c r="Z53" s="164"/>
      <c r="AA53" s="164"/>
      <c r="AB53" s="164"/>
      <c r="AC53" s="164"/>
      <c r="AD53" s="164"/>
      <c r="AE53" s="164"/>
      <c r="AF53" s="164"/>
      <c r="AG53" s="164"/>
      <c r="AH53" s="53" t="e">
        <f>#REF!</f>
        <v>#REF!</v>
      </c>
      <c r="AI53" s="132" t="e">
        <f>MIN(25%,(#REF!+#REF!)/(#REF!-#REF!*20))</f>
        <v>#REF!</v>
      </c>
      <c r="AJ53" s="132" t="e">
        <f>MIN(25%,(#REF!+#REF!)/#REF!)</f>
        <v>#REF!</v>
      </c>
      <c r="AK53" s="39" t="e">
        <f>#REF!</f>
        <v>#REF!</v>
      </c>
      <c r="AL53" s="39" t="e">
        <f>#REF!</f>
        <v>#REF!</v>
      </c>
      <c r="AM53" s="39" t="e">
        <f>ROUNDDOWN( MAX((1 - MIN(facs_constr_factor*#REF!,facs_constr_max) + tech_2_3*#REF! + tech_2_6_2*#REF! + tech_2_10*#REF! + tech_4_6*#REF! + tech_6_3*#REF! + tech_9_2*#REF! + race_construction_cost), 1-global_constr_cap) *#REF!,0)</f>
        <v>#REF!</v>
      </c>
      <c r="AN53" s="39" t="e">
        <f>ROUNDDOWN( MAX(1 - MIN(facs_constr_factor*#REF!,facs_constr_max) + tech_1_11*#REF! + tech_6_3_2*#REF! + tech_5_2_3*#REF!, 1-global_constr_cap) *#REF!,0)</f>
        <v>#REF!</v>
      </c>
      <c r="AO53" s="39" t="e">
        <f>ROUNDDOWN( MAX((1 - MIN(facs_constr_factor*#REF!,facs_constr_max) + tech_2_3*#REF! + tech_2_6_2*#REF! + tech_2_10*#REF! + tech_4_6*#REF! + tech_6_3*#REF! + tech_9_2*#REF! + race_construction_cost), 1-global_constr_cap) * (ROUND((#REF!-250)*1.25 + 850 + 0,0)),0)</f>
        <v>#REF!</v>
      </c>
      <c r="AP53" s="39" t="e">
        <f>ROUNDDOWN( MAX(1 - MIN(facs_constr_factor*#REF!,facs_constr_max) + tech_1_11*#REF! + tech_6_3_2*#REF! + tech_5_2_3*#REF!, 1-global_constr_cap) * ROUND((#REF!-250)*0.285 + 87.5 + 0/4.25,0),0)</f>
        <v>#REF!</v>
      </c>
      <c r="AQ53" s="3" t="e">
        <f>#REF!*#REF! +#REF! *#REF!</f>
        <v>#REF!</v>
      </c>
      <c r="AR53" s="3" t="e">
        <f>#REF!*#REF!+#REF!*#REF!</f>
        <v>#REF!</v>
      </c>
      <c r="AS53" s="39" t="e">
        <f ca="1">MIN(SUM(OFFSET(#REF!,-1,0))+SUM(#REF!)+IF(#REF!&gt;12,SUM(OFFSET(#REF!,-12,0)),0),SUM(#REF!))</f>
        <v>#REF!</v>
      </c>
      <c r="AT53" s="3" t="e">
        <f ca="1">IF(#REF!&lt;&gt;0,MAX(0, MIN(20, 20 + SUM(#REF!) - SUM(#REF!) - SUM(OFFSET(#REF!,-1,0)) - IF(#REF!&gt;12,SUM(OFFSET(#REF!,-12,0)),0) - 20*#REF!)),0)</f>
        <v>#REF!</v>
      </c>
      <c r="AU53" s="134"/>
      <c r="AV53" s="39" t="e">
        <f>ROUND((#REF!-250 - IF(#REF!&lt;&gt;0,20,0))*1.25 + 850 + 0,0)</f>
        <v>#REF!</v>
      </c>
      <c r="AW53" s="39" t="e">
        <f>ROUND((#REF!-250 - IF(#REF!&lt;&gt;0,20,0))*0.285 + 87.5 + 0/4.25,0)</f>
        <v>#REF!</v>
      </c>
      <c r="AX53" s="133"/>
      <c r="AY53" s="172" t="e">
        <f t="array" aca="1" ref="AY53" ca="1">IF(#REF!&gt;12,OFFSET(#REF!,-12,0),0)+OFFSET(#REF!,-1,0)-#REF!</f>
        <v>#REF!</v>
      </c>
      <c r="AZ53" s="173" t="e">
        <f t="array" aca="1" ref="AZ53" ca="1">IF(#REF!&gt;12,OFFSET(#REF!,-12,0),0)+OFFSET(#REF!,-1,0)-#REF!</f>
        <v>#REF!</v>
      </c>
      <c r="BA53" s="173" t="e">
        <f t="array" aca="1" ref="BA53" ca="1">IF(#REF!&gt;12,OFFSET(#REF!,-12,0),0)+OFFSET(#REF!,-1,0)-#REF!</f>
        <v>#REF!</v>
      </c>
      <c r="BB53" s="173" t="e">
        <f t="array" aca="1" ref="BB53" ca="1">IF(#REF!&gt;12,OFFSET(#REF!,-12,0),0)+OFFSET(#REF!,-1,0)-#REF!</f>
        <v>#REF!</v>
      </c>
      <c r="BC53" s="173" t="e">
        <f t="array" aca="1" ref="BC53" ca="1">IF(#REF!&gt;12,OFFSET(#REF!,-12,0),0)+OFFSET(#REF!,-1,0)-#REF!</f>
        <v>#REF!</v>
      </c>
      <c r="BD53" s="174" t="e">
        <f t="array" aca="1" ref="BD53" ca="1">IF(#REF!&gt;12,OFFSET(#REF!,-12,0),0)+OFFSET(#REF!,-1,0)-#REF!</f>
        <v>#REF!</v>
      </c>
      <c r="BE53" s="174" t="e">
        <f t="array" aca="1" ref="BE53" ca="1">IF(#REF!&gt;12,OFFSET(#REF!,-12,0),0)+OFFSET(#REF!,-1,0)-#REF!</f>
        <v>#REF!</v>
      </c>
      <c r="BF53" s="343" t="e">
        <f t="array" aca="1" ref="BF53" ca="1">IF(#REF!&gt;12,OFFSET(#REF!,-12,0),0)+OFFSET(#REF!,-1,0)-#REF!</f>
        <v>#REF!</v>
      </c>
      <c r="BG53" s="343" t="e">
        <f t="array" aca="1" ref="BG53" ca="1">IF(#REF!&gt;12,OFFSET(#REF!,-12,0),0)+OFFSET(#REF!,-1,0)-#REF!</f>
        <v>#REF!</v>
      </c>
      <c r="BH53" s="347" t="e">
        <f t="array" aca="1" ref="BH53" ca="1">IF(#REF!&gt;12,OFFSET(#REF!,-12,0),0)+OFFSET(#REF!,-1,0)-#REF!</f>
        <v>#REF!</v>
      </c>
      <c r="BI53" s="347" t="e">
        <f t="array" aca="1" ref="BI53" ca="1">IF(#REF!&gt;12,OFFSET(#REF!,-12,0),0)+OFFSET(#REF!,-1,0)-#REF!</f>
        <v>#REF!</v>
      </c>
      <c r="BJ53" s="347" t="e">
        <f t="array" aca="1" ref="BJ53" ca="1">IF(#REF!&gt;12,OFFSET(#REF!,-12,0),0)+OFFSET(#REF!,-1,0)-#REF!</f>
        <v>#REF!</v>
      </c>
      <c r="BK53" s="347" t="e">
        <f t="array" aca="1" ref="BK53" ca="1">IF(#REF!&gt;12,OFFSET(#REF!,-12,0),0)+OFFSET(#REF!,-1,0)-#REF!</f>
        <v>#REF!</v>
      </c>
      <c r="BL53" s="351" t="e">
        <f t="array" aca="1" ref="BL53" ca="1">IF(#REF!&gt;12,OFFSET(#REF!,-12,0),0)+OFFSET(#REF!,-1,0)-#REF!</f>
        <v>#REF!</v>
      </c>
      <c r="BM53" s="351" t="e">
        <f t="array" aca="1" ref="BM53" ca="1">IF(#REF!&gt;12,OFFSET(#REF!,-12,0),0)+OFFSET(#REF!,-1,0)-#REF!</f>
        <v>#REF!</v>
      </c>
      <c r="BN53" s="351" t="e">
        <f t="array" aca="1" ref="BN53" ca="1">IF(#REF!&gt;12,OFFSET(#REF!,-12,0),0)+OFFSET(#REF!,-1,0)-#REF!</f>
        <v>#REF!</v>
      </c>
      <c r="BO53" s="175" t="e">
        <f t="array" aca="1" ref="BO53" ca="1">IF(#REF!&gt;12,OFFSET(#REF!,-12,0),0)+OFFSET(#REF!,-1,0)-#REF!</f>
        <v>#REF!</v>
      </c>
      <c r="BP53" s="175" t="e">
        <f t="array" aca="1" ref="BP53" ca="1">IF(#REF!&gt;12,OFFSET(#REF!,-12,0),0)+OFFSET(#REF!,-1,0)-#REF!</f>
        <v>#REF!</v>
      </c>
      <c r="BQ53" s="176" t="e">
        <f t="array" aca="1" ref="BQ53" ca="1">IF(#REF!&gt;12,OFFSET(#REF!,-12,0),0)+OFFSET(#REF!,-1,0)-#REF!</f>
        <v>#REF!</v>
      </c>
      <c r="BR53" s="134"/>
      <c r="BS53" s="133"/>
      <c r="BT53" s="39" t="e">
        <f>#REF!</f>
        <v>#REF!</v>
      </c>
      <c r="BU53" s="147" t="e">
        <f>#REF!</f>
        <v>#REF!</v>
      </c>
      <c r="BV53" s="134"/>
      <c r="BW53" s="164"/>
      <c r="BX53" s="164"/>
      <c r="BY53" s="164"/>
      <c r="BZ53" s="164"/>
      <c r="CA53" s="164"/>
      <c r="CB53" s="164"/>
      <c r="CC53" s="164"/>
      <c r="CD53" s="164"/>
      <c r="CE53" s="164"/>
      <c r="CF53" s="164"/>
      <c r="CG53" s="164"/>
      <c r="CH53" s="164"/>
      <c r="CI53" s="164"/>
      <c r="CJ53" s="164"/>
      <c r="CK53" s="164"/>
      <c r="CL53" s="164"/>
      <c r="CM53" s="164"/>
      <c r="CN53" s="164"/>
      <c r="CO53" s="164"/>
      <c r="CP53" s="134"/>
      <c r="CQ53" s="165" t="e">
        <f ca="1">-SUM(#REF!)+SUM(#REF!)+Rezone!L53+IF("Ch_"&amp; home_land=#REF!,#REF!)+IF(#REF!&gt;12,OFFSET(#REF!,-12,0),0)</f>
        <v>#REF!</v>
      </c>
      <c r="CR53" s="166" t="e">
        <f ca="1">-SUM(#REF!)+SUM(#REF!) +Rezone!M53 + IF("Ch_"&amp; home_land=#REF!,#REF!)+IF(#REF!&gt;12,OFFSET(#REF!,-12,0),0)</f>
        <v>#REF!</v>
      </c>
      <c r="CS53" s="341" t="e">
        <f ca="1">-SUM(#REF!)+SUM(#REF!) +Rezone!N53 + IF("Ch_"&amp; home_land=#REF!,#REF!)+IF(#REF!&gt;12,OFFSET(#REF!,-12,0),0)</f>
        <v>#REF!</v>
      </c>
      <c r="CT53" s="167" t="e">
        <f ca="1">-SUM(#REF!)+SUM(#REF!) +Rezone!O53 + IF("Ch_" &amp; home_land=#REF!,#REF!)+IF(#REF!&gt;12,OFFSET(#REF!,-12,0),0)</f>
        <v>#REF!</v>
      </c>
      <c r="CU53" s="168" t="e">
        <f ca="1">-SUM(#REF!)+SUM(#REF!) +Rezone!P53 + IF("Ch_" &amp; home_land=#REF!,#REF!)+IF(#REF!&gt;12,OFFSET(#REF!,-12,0),0)</f>
        <v>#REF!</v>
      </c>
      <c r="CV53" s="169" t="e">
        <f ca="1">- SUM(#REF!)+SUM(#REF!) +Rezone!Q53 + IF("Ch_" &amp; home_land=#REF!,#REF!)+IF(#REF!&gt;12,OFFSET(#REF!,-12,0),0)</f>
        <v>#REF!</v>
      </c>
      <c r="CW53" s="170" t="e">
        <f ca="1">-#REF!+#REF! +Rezone!R53 + IF("Ch_" &amp; home_land=#REF!,#REF!)+IF(#REF!&gt;12,OFFSET(#REF!,-12,0),0)</f>
        <v>#REF!</v>
      </c>
      <c r="CX53" s="3" t="e">
        <f>IF(Explore!S53=1,20) -#REF! +#REF!</f>
        <v>#REF!</v>
      </c>
      <c r="CY53" s="134"/>
      <c r="CZ53" s="39" t="e">
        <f t="shared" ca="1" si="12"/>
        <v>#REF!</v>
      </c>
      <c r="DA53" s="39" t="e">
        <f t="shared" ca="1" si="13"/>
        <v>#REF!</v>
      </c>
      <c r="DB53" s="3" t="e">
        <f t="shared" ca="1" si="14"/>
        <v>#REF!</v>
      </c>
      <c r="DC53" s="39" t="e">
        <f t="shared" ca="1" si="15"/>
        <v>#REF!</v>
      </c>
      <c r="DD53" s="39" t="e">
        <f t="shared" ca="1" si="16"/>
        <v>#REF!</v>
      </c>
      <c r="DE53" s="3" t="e">
        <f t="shared" ca="1" si="17"/>
        <v>#REF!</v>
      </c>
      <c r="DF53" s="39" t="e">
        <f t="shared" ca="1" si="18"/>
        <v>#REF!</v>
      </c>
      <c r="DG53" s="39" t="e">
        <f t="array" ref="DG53">INDEX(#REF!,ROW()-ROW(#REF!),MATCH("Total "&amp;home_land,#REF!,0))+#REF!</f>
        <v>#REF!</v>
      </c>
      <c r="DH53" s="3" t="e">
        <f t="shared" ca="1" si="10"/>
        <v>#REF!</v>
      </c>
      <c r="DI53" s="3" t="e">
        <f t="shared" ca="1" si="0"/>
        <v>#REF!</v>
      </c>
      <c r="DJ53" s="3" t="e">
        <f t="shared" ca="1" si="1"/>
        <v>#REF!</v>
      </c>
    </row>
    <row r="54" spans="1:114" x14ac:dyDescent="0.25">
      <c r="A54" s="160" t="e">
        <f>#REF!</f>
        <v>#REF!</v>
      </c>
      <c r="B54" s="161" t="e">
        <f>SUM(#REF!)</f>
        <v>#REF!</v>
      </c>
      <c r="C54" s="162" t="e">
        <f>SUM(#REF!)</f>
        <v>#REF!</v>
      </c>
      <c r="D54" s="162">
        <f t="shared" si="11"/>
        <v>0</v>
      </c>
      <c r="E54" s="163"/>
      <c r="F54" s="61" t="e">
        <f>#REF!+#REF!+#REF!</f>
        <v>#REF!</v>
      </c>
      <c r="G54" s="171" t="e">
        <f ca="1">OFFSET(#REF!,-1,0)+#REF!</f>
        <v>#REF!</v>
      </c>
      <c r="H54" s="166" t="e">
        <f ca="1">OFFSET(#REF!,-1,0)+#REF!</f>
        <v>#REF!</v>
      </c>
      <c r="I54" s="341" t="e">
        <f ca="1">OFFSET(#REF!,-1,0)+#REF!</f>
        <v>#REF!</v>
      </c>
      <c r="J54" s="345" t="e">
        <f ca="1">OFFSET(#REF!,-1,0)+#REF!</f>
        <v>#REF!</v>
      </c>
      <c r="K54" s="349" t="e">
        <f ca="1">OFFSET(#REF!,-1,0)+#REF!</f>
        <v>#REF!</v>
      </c>
      <c r="L54" s="169" t="e">
        <f ca="1">OFFSET(#REF!,-1,0)+#REF!</f>
        <v>#REF!</v>
      </c>
      <c r="M54" s="170" t="e">
        <f ca="1">OFFSET(#REF!,-1,0)+#REF!</f>
        <v>#REF!</v>
      </c>
      <c r="N54" s="339" t="e">
        <f>#REF!</f>
        <v>#REF!</v>
      </c>
      <c r="O54" s="164"/>
      <c r="P54" s="164"/>
      <c r="Q54" s="164"/>
      <c r="R54" s="164"/>
      <c r="S54" s="164"/>
      <c r="T54" s="164"/>
      <c r="U54" s="164"/>
      <c r="V54" s="164"/>
      <c r="W54" s="164"/>
      <c r="X54" s="164"/>
      <c r="Y54" s="164"/>
      <c r="Z54" s="164"/>
      <c r="AA54" s="164"/>
      <c r="AB54" s="164"/>
      <c r="AC54" s="164"/>
      <c r="AD54" s="164"/>
      <c r="AE54" s="164"/>
      <c r="AF54" s="164"/>
      <c r="AG54" s="164"/>
      <c r="AH54" s="53" t="e">
        <f>#REF!</f>
        <v>#REF!</v>
      </c>
      <c r="AI54" s="132" t="e">
        <f>MIN(25%,(#REF!+#REF!)/(#REF!-#REF!*20))</f>
        <v>#REF!</v>
      </c>
      <c r="AJ54" s="132" t="e">
        <f>MIN(25%,(#REF!+#REF!)/#REF!)</f>
        <v>#REF!</v>
      </c>
      <c r="AK54" s="39" t="e">
        <f>#REF!</f>
        <v>#REF!</v>
      </c>
      <c r="AL54" s="39" t="e">
        <f>#REF!</f>
        <v>#REF!</v>
      </c>
      <c r="AM54" s="39" t="e">
        <f>ROUNDDOWN( MAX((1 - MIN(facs_constr_factor*#REF!,facs_constr_max) + tech_2_3*#REF! + tech_2_6_2*#REF! + tech_2_10*#REF! + tech_4_6*#REF! + tech_6_3*#REF! + tech_9_2*#REF! + race_construction_cost), 1-global_constr_cap) *#REF!,0)</f>
        <v>#REF!</v>
      </c>
      <c r="AN54" s="39" t="e">
        <f>ROUNDDOWN( MAX(1 - MIN(facs_constr_factor*#REF!,facs_constr_max) + tech_1_11*#REF! + tech_6_3_2*#REF! + tech_5_2_3*#REF!, 1-global_constr_cap) *#REF!,0)</f>
        <v>#REF!</v>
      </c>
      <c r="AO54" s="39" t="e">
        <f>ROUNDDOWN( MAX((1 - MIN(facs_constr_factor*#REF!,facs_constr_max) + tech_2_3*#REF! + tech_2_6_2*#REF! + tech_2_10*#REF! + tech_4_6*#REF! + tech_6_3*#REF! + tech_9_2*#REF! + race_construction_cost), 1-global_constr_cap) * (ROUND((#REF!-250)*1.25 + 850 + 0,0)),0)</f>
        <v>#REF!</v>
      </c>
      <c r="AP54" s="39" t="e">
        <f>ROUNDDOWN( MAX(1 - MIN(facs_constr_factor*#REF!,facs_constr_max) + tech_1_11*#REF! + tech_6_3_2*#REF! + tech_5_2_3*#REF!, 1-global_constr_cap) * ROUND((#REF!-250)*0.285 + 87.5 + 0/4.25,0),0)</f>
        <v>#REF!</v>
      </c>
      <c r="AQ54" s="3" t="e">
        <f>#REF!*#REF! +#REF! *#REF!</f>
        <v>#REF!</v>
      </c>
      <c r="AR54" s="3" t="e">
        <f>#REF!*#REF!+#REF!*#REF!</f>
        <v>#REF!</v>
      </c>
      <c r="AS54" s="39" t="e">
        <f ca="1">MIN(SUM(OFFSET(#REF!,-1,0))+SUM(#REF!)+IF(#REF!&gt;12,SUM(OFFSET(#REF!,-12,0)),0),SUM(#REF!))</f>
        <v>#REF!</v>
      </c>
      <c r="AT54" s="3" t="e">
        <f ca="1">IF(#REF!&lt;&gt;0,MAX(0, MIN(20, 20 + SUM(#REF!) - SUM(#REF!) - SUM(OFFSET(#REF!,-1,0)) - IF(#REF!&gt;12,SUM(OFFSET(#REF!,-12,0)),0) - 20*#REF!)),0)</f>
        <v>#REF!</v>
      </c>
      <c r="AU54" s="134"/>
      <c r="AV54" s="39" t="e">
        <f>ROUND((#REF!-250 - IF(#REF!&lt;&gt;0,20,0))*1.25 + 850 + 0,0)</f>
        <v>#REF!</v>
      </c>
      <c r="AW54" s="39" t="e">
        <f>ROUND((#REF!-250 - IF(#REF!&lt;&gt;0,20,0))*0.285 + 87.5 + 0/4.25,0)</f>
        <v>#REF!</v>
      </c>
      <c r="AX54" s="133"/>
      <c r="AY54" s="172" t="e">
        <f t="array" aca="1" ref="AY54" ca="1">IF(#REF!&gt;12,OFFSET(#REF!,-12,0),0)+OFFSET(#REF!,-1,0)-#REF!</f>
        <v>#REF!</v>
      </c>
      <c r="AZ54" s="173" t="e">
        <f t="array" aca="1" ref="AZ54" ca="1">IF(#REF!&gt;12,OFFSET(#REF!,-12,0),0)+OFFSET(#REF!,-1,0)-#REF!</f>
        <v>#REF!</v>
      </c>
      <c r="BA54" s="173" t="e">
        <f t="array" aca="1" ref="BA54" ca="1">IF(#REF!&gt;12,OFFSET(#REF!,-12,0),0)+OFFSET(#REF!,-1,0)-#REF!</f>
        <v>#REF!</v>
      </c>
      <c r="BB54" s="173" t="e">
        <f t="array" aca="1" ref="BB54" ca="1">IF(#REF!&gt;12,OFFSET(#REF!,-12,0),0)+OFFSET(#REF!,-1,0)-#REF!</f>
        <v>#REF!</v>
      </c>
      <c r="BC54" s="173" t="e">
        <f t="array" aca="1" ref="BC54" ca="1">IF(#REF!&gt;12,OFFSET(#REF!,-12,0),0)+OFFSET(#REF!,-1,0)-#REF!</f>
        <v>#REF!</v>
      </c>
      <c r="BD54" s="174" t="e">
        <f t="array" aca="1" ref="BD54" ca="1">IF(#REF!&gt;12,OFFSET(#REF!,-12,0),0)+OFFSET(#REF!,-1,0)-#REF!</f>
        <v>#REF!</v>
      </c>
      <c r="BE54" s="174" t="e">
        <f t="array" aca="1" ref="BE54" ca="1">IF(#REF!&gt;12,OFFSET(#REF!,-12,0),0)+OFFSET(#REF!,-1,0)-#REF!</f>
        <v>#REF!</v>
      </c>
      <c r="BF54" s="343" t="e">
        <f t="array" aca="1" ref="BF54" ca="1">IF(#REF!&gt;12,OFFSET(#REF!,-12,0),0)+OFFSET(#REF!,-1,0)-#REF!</f>
        <v>#REF!</v>
      </c>
      <c r="BG54" s="343" t="e">
        <f t="array" aca="1" ref="BG54" ca="1">IF(#REF!&gt;12,OFFSET(#REF!,-12,0),0)+OFFSET(#REF!,-1,0)-#REF!</f>
        <v>#REF!</v>
      </c>
      <c r="BH54" s="347" t="e">
        <f t="array" aca="1" ref="BH54" ca="1">IF(#REF!&gt;12,OFFSET(#REF!,-12,0),0)+OFFSET(#REF!,-1,0)-#REF!</f>
        <v>#REF!</v>
      </c>
      <c r="BI54" s="347" t="e">
        <f t="array" aca="1" ref="BI54" ca="1">IF(#REF!&gt;12,OFFSET(#REF!,-12,0),0)+OFFSET(#REF!,-1,0)-#REF!</f>
        <v>#REF!</v>
      </c>
      <c r="BJ54" s="347" t="e">
        <f t="array" aca="1" ref="BJ54" ca="1">IF(#REF!&gt;12,OFFSET(#REF!,-12,0),0)+OFFSET(#REF!,-1,0)-#REF!</f>
        <v>#REF!</v>
      </c>
      <c r="BK54" s="347" t="e">
        <f t="array" aca="1" ref="BK54" ca="1">IF(#REF!&gt;12,OFFSET(#REF!,-12,0),0)+OFFSET(#REF!,-1,0)-#REF!</f>
        <v>#REF!</v>
      </c>
      <c r="BL54" s="351" t="e">
        <f t="array" aca="1" ref="BL54" ca="1">IF(#REF!&gt;12,OFFSET(#REF!,-12,0),0)+OFFSET(#REF!,-1,0)-#REF!</f>
        <v>#REF!</v>
      </c>
      <c r="BM54" s="351" t="e">
        <f t="array" aca="1" ref="BM54" ca="1">IF(#REF!&gt;12,OFFSET(#REF!,-12,0),0)+OFFSET(#REF!,-1,0)-#REF!</f>
        <v>#REF!</v>
      </c>
      <c r="BN54" s="351" t="e">
        <f t="array" aca="1" ref="BN54" ca="1">IF(#REF!&gt;12,OFFSET(#REF!,-12,0),0)+OFFSET(#REF!,-1,0)-#REF!</f>
        <v>#REF!</v>
      </c>
      <c r="BO54" s="175" t="e">
        <f t="array" aca="1" ref="BO54" ca="1">IF(#REF!&gt;12,OFFSET(#REF!,-12,0),0)+OFFSET(#REF!,-1,0)-#REF!</f>
        <v>#REF!</v>
      </c>
      <c r="BP54" s="175" t="e">
        <f t="array" aca="1" ref="BP54" ca="1">IF(#REF!&gt;12,OFFSET(#REF!,-12,0),0)+OFFSET(#REF!,-1,0)-#REF!</f>
        <v>#REF!</v>
      </c>
      <c r="BQ54" s="176" t="e">
        <f t="array" aca="1" ref="BQ54" ca="1">IF(#REF!&gt;12,OFFSET(#REF!,-12,0),0)+OFFSET(#REF!,-1,0)-#REF!</f>
        <v>#REF!</v>
      </c>
      <c r="BR54" s="134"/>
      <c r="BS54" s="133"/>
      <c r="BT54" s="39" t="e">
        <f>#REF!</f>
        <v>#REF!</v>
      </c>
      <c r="BU54" s="147" t="e">
        <f>#REF!</f>
        <v>#REF!</v>
      </c>
      <c r="BV54" s="134"/>
      <c r="BW54" s="164"/>
      <c r="BX54" s="164"/>
      <c r="BY54" s="164"/>
      <c r="BZ54" s="164"/>
      <c r="CA54" s="164"/>
      <c r="CB54" s="164"/>
      <c r="CC54" s="164"/>
      <c r="CD54" s="164"/>
      <c r="CE54" s="164"/>
      <c r="CF54" s="164"/>
      <c r="CG54" s="164"/>
      <c r="CH54" s="164"/>
      <c r="CI54" s="164"/>
      <c r="CJ54" s="164"/>
      <c r="CK54" s="164"/>
      <c r="CL54" s="164"/>
      <c r="CM54" s="164"/>
      <c r="CN54" s="164"/>
      <c r="CO54" s="164"/>
      <c r="CP54" s="134"/>
      <c r="CQ54" s="165" t="e">
        <f ca="1">-SUM(#REF!)+SUM(#REF!)+Rezone!L54+IF("Ch_"&amp; home_land=#REF!,#REF!)+IF(#REF!&gt;12,OFFSET(#REF!,-12,0),0)</f>
        <v>#REF!</v>
      </c>
      <c r="CR54" s="166" t="e">
        <f ca="1">-SUM(#REF!)+SUM(#REF!) +Rezone!M54 + IF("Ch_"&amp; home_land=#REF!,#REF!)+IF(#REF!&gt;12,OFFSET(#REF!,-12,0),0)</f>
        <v>#REF!</v>
      </c>
      <c r="CS54" s="341" t="e">
        <f ca="1">-SUM(#REF!)+SUM(#REF!) +Rezone!N54 + IF("Ch_"&amp; home_land=#REF!,#REF!)+IF(#REF!&gt;12,OFFSET(#REF!,-12,0),0)</f>
        <v>#REF!</v>
      </c>
      <c r="CT54" s="167" t="e">
        <f ca="1">-SUM(#REF!)+SUM(#REF!) +Rezone!O54 + IF("Ch_" &amp; home_land=#REF!,#REF!)+IF(#REF!&gt;12,OFFSET(#REF!,-12,0),0)</f>
        <v>#REF!</v>
      </c>
      <c r="CU54" s="168" t="e">
        <f ca="1">-SUM(#REF!)+SUM(#REF!) +Rezone!P54 + IF("Ch_" &amp; home_land=#REF!,#REF!)+IF(#REF!&gt;12,OFFSET(#REF!,-12,0),0)</f>
        <v>#REF!</v>
      </c>
      <c r="CV54" s="169" t="e">
        <f ca="1">- SUM(#REF!)+SUM(#REF!) +Rezone!Q54 + IF("Ch_" &amp; home_land=#REF!,#REF!)+IF(#REF!&gt;12,OFFSET(#REF!,-12,0),0)</f>
        <v>#REF!</v>
      </c>
      <c r="CW54" s="170" t="e">
        <f ca="1">-#REF!+#REF! +Rezone!R54 + IF("Ch_" &amp; home_land=#REF!,#REF!)+IF(#REF!&gt;12,OFFSET(#REF!,-12,0),0)</f>
        <v>#REF!</v>
      </c>
      <c r="CX54" s="3" t="e">
        <f>IF(Explore!S54=1,20) -#REF! +#REF!</f>
        <v>#REF!</v>
      </c>
      <c r="CY54" s="134"/>
      <c r="CZ54" s="39" t="e">
        <f t="shared" ca="1" si="12"/>
        <v>#REF!</v>
      </c>
      <c r="DA54" s="39" t="e">
        <f t="shared" ca="1" si="13"/>
        <v>#REF!</v>
      </c>
      <c r="DB54" s="3" t="e">
        <f t="shared" ca="1" si="14"/>
        <v>#REF!</v>
      </c>
      <c r="DC54" s="39" t="e">
        <f t="shared" ca="1" si="15"/>
        <v>#REF!</v>
      </c>
      <c r="DD54" s="39" t="e">
        <f t="shared" ca="1" si="16"/>
        <v>#REF!</v>
      </c>
      <c r="DE54" s="3" t="e">
        <f t="shared" ca="1" si="17"/>
        <v>#REF!</v>
      </c>
      <c r="DF54" s="39" t="e">
        <f t="shared" ca="1" si="18"/>
        <v>#REF!</v>
      </c>
      <c r="DG54" s="39" t="e">
        <f t="array" ref="DG54">INDEX(#REF!,ROW()-ROW(#REF!),MATCH("Total "&amp;home_land,#REF!,0))+#REF!</f>
        <v>#REF!</v>
      </c>
      <c r="DH54" s="3" t="e">
        <f t="shared" ca="1" si="10"/>
        <v>#REF!</v>
      </c>
      <c r="DI54" s="3" t="e">
        <f t="shared" ca="1" si="0"/>
        <v>#REF!</v>
      </c>
      <c r="DJ54" s="3" t="e">
        <f t="shared" ca="1" si="1"/>
        <v>#REF!</v>
      </c>
    </row>
    <row r="55" spans="1:114" x14ac:dyDescent="0.25">
      <c r="A55" s="160" t="e">
        <f>#REF!</f>
        <v>#REF!</v>
      </c>
      <c r="B55" s="161" t="e">
        <f>SUM(#REF!)</f>
        <v>#REF!</v>
      </c>
      <c r="C55" s="162" t="e">
        <f>SUM(#REF!)</f>
        <v>#REF!</v>
      </c>
      <c r="D55" s="162">
        <f t="shared" si="11"/>
        <v>0</v>
      </c>
      <c r="E55" s="163"/>
      <c r="F55" s="61" t="e">
        <f>#REF!+#REF!+#REF!</f>
        <v>#REF!</v>
      </c>
      <c r="G55" s="171" t="e">
        <f ca="1">OFFSET(#REF!,-1,0)+#REF!</f>
        <v>#REF!</v>
      </c>
      <c r="H55" s="166" t="e">
        <f ca="1">OFFSET(#REF!,-1,0)+#REF!</f>
        <v>#REF!</v>
      </c>
      <c r="I55" s="341" t="e">
        <f ca="1">OFFSET(#REF!,-1,0)+#REF!</f>
        <v>#REF!</v>
      </c>
      <c r="J55" s="345" t="e">
        <f ca="1">OFFSET(#REF!,-1,0)+#REF!</f>
        <v>#REF!</v>
      </c>
      <c r="K55" s="349" t="e">
        <f ca="1">OFFSET(#REF!,-1,0)+#REF!</f>
        <v>#REF!</v>
      </c>
      <c r="L55" s="169" t="e">
        <f ca="1">OFFSET(#REF!,-1,0)+#REF!</f>
        <v>#REF!</v>
      </c>
      <c r="M55" s="170" t="e">
        <f ca="1">OFFSET(#REF!,-1,0)+#REF!</f>
        <v>#REF!</v>
      </c>
      <c r="N55" s="339" t="e">
        <f>#REF!</f>
        <v>#REF!</v>
      </c>
      <c r="O55" s="164"/>
      <c r="P55" s="164"/>
      <c r="Q55" s="164"/>
      <c r="R55" s="164"/>
      <c r="S55" s="164"/>
      <c r="T55" s="164"/>
      <c r="U55" s="164"/>
      <c r="V55" s="164"/>
      <c r="W55" s="164"/>
      <c r="X55" s="164"/>
      <c r="Y55" s="164"/>
      <c r="Z55" s="164"/>
      <c r="AA55" s="164"/>
      <c r="AB55" s="164"/>
      <c r="AC55" s="164"/>
      <c r="AD55" s="164"/>
      <c r="AE55" s="164"/>
      <c r="AF55" s="164"/>
      <c r="AG55" s="164"/>
      <c r="AH55" s="53" t="e">
        <f>#REF!</f>
        <v>#REF!</v>
      </c>
      <c r="AI55" s="132" t="e">
        <f>MIN(25%,(#REF!+#REF!)/(#REF!-#REF!*20))</f>
        <v>#REF!</v>
      </c>
      <c r="AJ55" s="132" t="e">
        <f>MIN(25%,(#REF!+#REF!)/#REF!)</f>
        <v>#REF!</v>
      </c>
      <c r="AK55" s="39" t="e">
        <f>#REF!</f>
        <v>#REF!</v>
      </c>
      <c r="AL55" s="39" t="e">
        <f>#REF!</f>
        <v>#REF!</v>
      </c>
      <c r="AM55" s="39" t="e">
        <f>ROUNDDOWN( MAX((1 - MIN(facs_constr_factor*#REF!,facs_constr_max) + tech_2_3*#REF! + tech_2_6_2*#REF! + tech_2_10*#REF! + tech_4_6*#REF! + tech_6_3*#REF! + tech_9_2*#REF! + race_construction_cost), 1-global_constr_cap) *#REF!,0)</f>
        <v>#REF!</v>
      </c>
      <c r="AN55" s="39" t="e">
        <f>ROUNDDOWN( MAX(1 - MIN(facs_constr_factor*#REF!,facs_constr_max) + tech_1_11*#REF! + tech_6_3_2*#REF! + tech_5_2_3*#REF!, 1-global_constr_cap) *#REF!,0)</f>
        <v>#REF!</v>
      </c>
      <c r="AO55" s="39" t="e">
        <f>ROUNDDOWN( MAX((1 - MIN(facs_constr_factor*#REF!,facs_constr_max) + tech_2_3*#REF! + tech_2_6_2*#REF! + tech_2_10*#REF! + tech_4_6*#REF! + tech_6_3*#REF! + tech_9_2*#REF! + race_construction_cost), 1-global_constr_cap) * (ROUND((#REF!-250)*1.25 + 850 + 0,0)),0)</f>
        <v>#REF!</v>
      </c>
      <c r="AP55" s="39" t="e">
        <f>ROUNDDOWN( MAX(1 - MIN(facs_constr_factor*#REF!,facs_constr_max) + tech_1_11*#REF! + tech_6_3_2*#REF! + tech_5_2_3*#REF!, 1-global_constr_cap) * ROUND((#REF!-250)*0.285 + 87.5 + 0/4.25,0),0)</f>
        <v>#REF!</v>
      </c>
      <c r="AQ55" s="3" t="e">
        <f>#REF!*#REF! +#REF! *#REF!</f>
        <v>#REF!</v>
      </c>
      <c r="AR55" s="3" t="e">
        <f>#REF!*#REF!+#REF!*#REF!</f>
        <v>#REF!</v>
      </c>
      <c r="AS55" s="39" t="e">
        <f ca="1">MIN(SUM(OFFSET(#REF!,-1,0))+SUM(#REF!)+IF(#REF!&gt;12,SUM(OFFSET(#REF!,-12,0)),0),SUM(#REF!))</f>
        <v>#REF!</v>
      </c>
      <c r="AT55" s="3" t="e">
        <f ca="1">IF(#REF!&lt;&gt;0,MAX(0, MIN(20, 20 + SUM(#REF!) - SUM(#REF!) - SUM(OFFSET(#REF!,-1,0)) - IF(#REF!&gt;12,SUM(OFFSET(#REF!,-12,0)),0) - 20*#REF!)),0)</f>
        <v>#REF!</v>
      </c>
      <c r="AU55" s="134"/>
      <c r="AV55" s="39" t="e">
        <f>ROUND((#REF!-250 - IF(#REF!&lt;&gt;0,20,0))*1.25 + 850 + 0,0)</f>
        <v>#REF!</v>
      </c>
      <c r="AW55" s="39" t="e">
        <f>ROUND((#REF!-250 - IF(#REF!&lt;&gt;0,20,0))*0.285 + 87.5 + 0/4.25,0)</f>
        <v>#REF!</v>
      </c>
      <c r="AX55" s="133"/>
      <c r="AY55" s="172" t="e">
        <f t="array" aca="1" ref="AY55" ca="1">IF(#REF!&gt;12,OFFSET(#REF!,-12,0),0)+OFFSET(#REF!,-1,0)-#REF!</f>
        <v>#REF!</v>
      </c>
      <c r="AZ55" s="173" t="e">
        <f t="array" aca="1" ref="AZ55" ca="1">IF(#REF!&gt;12,OFFSET(#REF!,-12,0),0)+OFFSET(#REF!,-1,0)-#REF!</f>
        <v>#REF!</v>
      </c>
      <c r="BA55" s="173" t="e">
        <f t="array" aca="1" ref="BA55" ca="1">IF(#REF!&gt;12,OFFSET(#REF!,-12,0),0)+OFFSET(#REF!,-1,0)-#REF!</f>
        <v>#REF!</v>
      </c>
      <c r="BB55" s="173" t="e">
        <f t="array" aca="1" ref="BB55" ca="1">IF(#REF!&gt;12,OFFSET(#REF!,-12,0),0)+OFFSET(#REF!,-1,0)-#REF!</f>
        <v>#REF!</v>
      </c>
      <c r="BC55" s="173" t="e">
        <f t="array" aca="1" ref="BC55" ca="1">IF(#REF!&gt;12,OFFSET(#REF!,-12,0),0)+OFFSET(#REF!,-1,0)-#REF!</f>
        <v>#REF!</v>
      </c>
      <c r="BD55" s="174" t="e">
        <f t="array" aca="1" ref="BD55" ca="1">IF(#REF!&gt;12,OFFSET(#REF!,-12,0),0)+OFFSET(#REF!,-1,0)-#REF!</f>
        <v>#REF!</v>
      </c>
      <c r="BE55" s="174" t="e">
        <f t="array" aca="1" ref="BE55" ca="1">IF(#REF!&gt;12,OFFSET(#REF!,-12,0),0)+OFFSET(#REF!,-1,0)-#REF!</f>
        <v>#REF!</v>
      </c>
      <c r="BF55" s="343" t="e">
        <f t="array" aca="1" ref="BF55" ca="1">IF(#REF!&gt;12,OFFSET(#REF!,-12,0),0)+OFFSET(#REF!,-1,0)-#REF!</f>
        <v>#REF!</v>
      </c>
      <c r="BG55" s="343" t="e">
        <f t="array" aca="1" ref="BG55" ca="1">IF(#REF!&gt;12,OFFSET(#REF!,-12,0),0)+OFFSET(#REF!,-1,0)-#REF!</f>
        <v>#REF!</v>
      </c>
      <c r="BH55" s="347" t="e">
        <f t="array" aca="1" ref="BH55" ca="1">IF(#REF!&gt;12,OFFSET(#REF!,-12,0),0)+OFFSET(#REF!,-1,0)-#REF!</f>
        <v>#REF!</v>
      </c>
      <c r="BI55" s="347" t="e">
        <f t="array" aca="1" ref="BI55" ca="1">IF(#REF!&gt;12,OFFSET(#REF!,-12,0),0)+OFFSET(#REF!,-1,0)-#REF!</f>
        <v>#REF!</v>
      </c>
      <c r="BJ55" s="347" t="e">
        <f t="array" aca="1" ref="BJ55" ca="1">IF(#REF!&gt;12,OFFSET(#REF!,-12,0),0)+OFFSET(#REF!,-1,0)-#REF!</f>
        <v>#REF!</v>
      </c>
      <c r="BK55" s="347" t="e">
        <f t="array" aca="1" ref="BK55" ca="1">IF(#REF!&gt;12,OFFSET(#REF!,-12,0),0)+OFFSET(#REF!,-1,0)-#REF!</f>
        <v>#REF!</v>
      </c>
      <c r="BL55" s="351" t="e">
        <f t="array" aca="1" ref="BL55" ca="1">IF(#REF!&gt;12,OFFSET(#REF!,-12,0),0)+OFFSET(#REF!,-1,0)-#REF!</f>
        <v>#REF!</v>
      </c>
      <c r="BM55" s="351" t="e">
        <f t="array" aca="1" ref="BM55" ca="1">IF(#REF!&gt;12,OFFSET(#REF!,-12,0),0)+OFFSET(#REF!,-1,0)-#REF!</f>
        <v>#REF!</v>
      </c>
      <c r="BN55" s="351" t="e">
        <f t="array" aca="1" ref="BN55" ca="1">IF(#REF!&gt;12,OFFSET(#REF!,-12,0),0)+OFFSET(#REF!,-1,0)-#REF!</f>
        <v>#REF!</v>
      </c>
      <c r="BO55" s="175" t="e">
        <f t="array" aca="1" ref="BO55" ca="1">IF(#REF!&gt;12,OFFSET(#REF!,-12,0),0)+OFFSET(#REF!,-1,0)-#REF!</f>
        <v>#REF!</v>
      </c>
      <c r="BP55" s="175" t="e">
        <f t="array" aca="1" ref="BP55" ca="1">IF(#REF!&gt;12,OFFSET(#REF!,-12,0),0)+OFFSET(#REF!,-1,0)-#REF!</f>
        <v>#REF!</v>
      </c>
      <c r="BQ55" s="176" t="e">
        <f t="array" aca="1" ref="BQ55" ca="1">IF(#REF!&gt;12,OFFSET(#REF!,-12,0),0)+OFFSET(#REF!,-1,0)-#REF!</f>
        <v>#REF!</v>
      </c>
      <c r="BR55" s="134"/>
      <c r="BS55" s="133"/>
      <c r="BT55" s="39" t="e">
        <f>#REF!</f>
        <v>#REF!</v>
      </c>
      <c r="BU55" s="147" t="e">
        <f>#REF!</f>
        <v>#REF!</v>
      </c>
      <c r="BV55" s="134"/>
      <c r="BW55" s="164"/>
      <c r="BX55" s="164"/>
      <c r="BY55" s="164"/>
      <c r="BZ55" s="164"/>
      <c r="CA55" s="164"/>
      <c r="CB55" s="164"/>
      <c r="CC55" s="164"/>
      <c r="CD55" s="164"/>
      <c r="CE55" s="164"/>
      <c r="CF55" s="164"/>
      <c r="CG55" s="164"/>
      <c r="CH55" s="164"/>
      <c r="CI55" s="164"/>
      <c r="CJ55" s="164"/>
      <c r="CK55" s="164"/>
      <c r="CL55" s="164"/>
      <c r="CM55" s="164"/>
      <c r="CN55" s="164"/>
      <c r="CO55" s="164"/>
      <c r="CP55" s="134"/>
      <c r="CQ55" s="165" t="e">
        <f ca="1">-SUM(#REF!)+SUM(#REF!)+Rezone!L55+IF("Ch_"&amp; home_land=#REF!,#REF!)+IF(#REF!&gt;12,OFFSET(#REF!,-12,0),0)</f>
        <v>#REF!</v>
      </c>
      <c r="CR55" s="166" t="e">
        <f ca="1">-SUM(#REF!)+SUM(#REF!) +Rezone!M55 + IF("Ch_"&amp; home_land=#REF!,#REF!)+IF(#REF!&gt;12,OFFSET(#REF!,-12,0),0)</f>
        <v>#REF!</v>
      </c>
      <c r="CS55" s="341" t="e">
        <f ca="1">-SUM(#REF!)+SUM(#REF!) +Rezone!N55 + IF("Ch_"&amp; home_land=#REF!,#REF!)+IF(#REF!&gt;12,OFFSET(#REF!,-12,0),0)</f>
        <v>#REF!</v>
      </c>
      <c r="CT55" s="167" t="e">
        <f ca="1">-SUM(#REF!)+SUM(#REF!) +Rezone!O55 + IF("Ch_" &amp; home_land=#REF!,#REF!)+IF(#REF!&gt;12,OFFSET(#REF!,-12,0),0)</f>
        <v>#REF!</v>
      </c>
      <c r="CU55" s="168" t="e">
        <f ca="1">-SUM(#REF!)+SUM(#REF!) +Rezone!P55 + IF("Ch_" &amp; home_land=#REF!,#REF!)+IF(#REF!&gt;12,OFFSET(#REF!,-12,0),0)</f>
        <v>#REF!</v>
      </c>
      <c r="CV55" s="169" t="e">
        <f ca="1">- SUM(#REF!)+SUM(#REF!) +Rezone!Q55 + IF("Ch_" &amp; home_land=#REF!,#REF!)+IF(#REF!&gt;12,OFFSET(#REF!,-12,0),0)</f>
        <v>#REF!</v>
      </c>
      <c r="CW55" s="170" t="e">
        <f ca="1">-#REF!+#REF! +Rezone!R55 + IF("Ch_" &amp; home_land=#REF!,#REF!)+IF(#REF!&gt;12,OFFSET(#REF!,-12,0),0)</f>
        <v>#REF!</v>
      </c>
      <c r="CX55" s="3" t="e">
        <f>IF(Explore!S55=1,20) -#REF! +#REF!</f>
        <v>#REF!</v>
      </c>
      <c r="CY55" s="134"/>
      <c r="CZ55" s="39" t="e">
        <f t="shared" ca="1" si="12"/>
        <v>#REF!</v>
      </c>
      <c r="DA55" s="39" t="e">
        <f t="shared" ca="1" si="13"/>
        <v>#REF!</v>
      </c>
      <c r="DB55" s="3" t="e">
        <f t="shared" ca="1" si="14"/>
        <v>#REF!</v>
      </c>
      <c r="DC55" s="39" t="e">
        <f t="shared" ca="1" si="15"/>
        <v>#REF!</v>
      </c>
      <c r="DD55" s="39" t="e">
        <f t="shared" ca="1" si="16"/>
        <v>#REF!</v>
      </c>
      <c r="DE55" s="3" t="e">
        <f t="shared" ca="1" si="17"/>
        <v>#REF!</v>
      </c>
      <c r="DF55" s="39" t="e">
        <f t="shared" ca="1" si="18"/>
        <v>#REF!</v>
      </c>
      <c r="DG55" s="39" t="e">
        <f t="array" ref="DG55">INDEX(#REF!,ROW()-ROW(#REF!),MATCH("Total "&amp;home_land,#REF!,0))+#REF!</f>
        <v>#REF!</v>
      </c>
      <c r="DH55" s="3" t="e">
        <f t="shared" ca="1" si="10"/>
        <v>#REF!</v>
      </c>
      <c r="DI55" s="3" t="e">
        <f t="shared" ca="1" si="0"/>
        <v>#REF!</v>
      </c>
      <c r="DJ55" s="3" t="e">
        <f t="shared" ca="1" si="1"/>
        <v>#REF!</v>
      </c>
    </row>
    <row r="56" spans="1:114" x14ac:dyDescent="0.25">
      <c r="A56" s="160" t="e">
        <f>#REF!</f>
        <v>#REF!</v>
      </c>
      <c r="B56" s="161" t="e">
        <f>SUM(#REF!)</f>
        <v>#REF!</v>
      </c>
      <c r="C56" s="162" t="e">
        <f>SUM(#REF!)</f>
        <v>#REF!</v>
      </c>
      <c r="D56" s="162">
        <f t="shared" si="11"/>
        <v>0</v>
      </c>
      <c r="E56" s="163"/>
      <c r="F56" s="61" t="e">
        <f>#REF!+#REF!+#REF!</f>
        <v>#REF!</v>
      </c>
      <c r="G56" s="171" t="e">
        <f ca="1">OFFSET(#REF!,-1,0)+#REF!</f>
        <v>#REF!</v>
      </c>
      <c r="H56" s="166" t="e">
        <f ca="1">OFFSET(#REF!,-1,0)+#REF!</f>
        <v>#REF!</v>
      </c>
      <c r="I56" s="341" t="e">
        <f ca="1">OFFSET(#REF!,-1,0)+#REF!</f>
        <v>#REF!</v>
      </c>
      <c r="J56" s="345" t="e">
        <f ca="1">OFFSET(#REF!,-1,0)+#REF!</f>
        <v>#REF!</v>
      </c>
      <c r="K56" s="349" t="e">
        <f ca="1">OFFSET(#REF!,-1,0)+#REF!</f>
        <v>#REF!</v>
      </c>
      <c r="L56" s="169" t="e">
        <f ca="1">OFFSET(#REF!,-1,0)+#REF!</f>
        <v>#REF!</v>
      </c>
      <c r="M56" s="170" t="e">
        <f ca="1">OFFSET(#REF!,-1,0)+#REF!</f>
        <v>#REF!</v>
      </c>
      <c r="N56" s="339" t="e">
        <f>#REF!</f>
        <v>#REF!</v>
      </c>
      <c r="O56" s="164"/>
      <c r="P56" s="164"/>
      <c r="Q56" s="164"/>
      <c r="R56" s="164"/>
      <c r="S56" s="164"/>
      <c r="T56" s="164"/>
      <c r="U56" s="164"/>
      <c r="V56" s="164"/>
      <c r="W56" s="164"/>
      <c r="X56" s="164"/>
      <c r="Y56" s="164"/>
      <c r="Z56" s="164"/>
      <c r="AA56" s="164"/>
      <c r="AB56" s="164"/>
      <c r="AC56" s="164"/>
      <c r="AD56" s="164"/>
      <c r="AE56" s="164"/>
      <c r="AF56" s="164"/>
      <c r="AG56" s="164"/>
      <c r="AH56" s="53" t="e">
        <f>#REF!</f>
        <v>#REF!</v>
      </c>
      <c r="AI56" s="132" t="e">
        <f>MIN(25%,(#REF!+#REF!)/(#REF!-#REF!*20))</f>
        <v>#REF!</v>
      </c>
      <c r="AJ56" s="132" t="e">
        <f>MIN(25%,(#REF!+#REF!)/#REF!)</f>
        <v>#REF!</v>
      </c>
      <c r="AK56" s="39" t="e">
        <f>#REF!</f>
        <v>#REF!</v>
      </c>
      <c r="AL56" s="39" t="e">
        <f>#REF!</f>
        <v>#REF!</v>
      </c>
      <c r="AM56" s="39" t="e">
        <f>ROUNDDOWN( MAX((1 - MIN(facs_constr_factor*#REF!,facs_constr_max) + tech_2_3*#REF! + tech_2_6_2*#REF! + tech_2_10*#REF! + tech_4_6*#REF! + tech_6_3*#REF! + tech_9_2*#REF! + race_construction_cost), 1-global_constr_cap) *#REF!,0)</f>
        <v>#REF!</v>
      </c>
      <c r="AN56" s="39" t="e">
        <f>ROUNDDOWN( MAX(1 - MIN(facs_constr_factor*#REF!,facs_constr_max) + tech_1_11*#REF! + tech_6_3_2*#REF! + tech_5_2_3*#REF!, 1-global_constr_cap) *#REF!,0)</f>
        <v>#REF!</v>
      </c>
      <c r="AO56" s="39" t="e">
        <f>ROUNDDOWN( MAX((1 - MIN(facs_constr_factor*#REF!,facs_constr_max) + tech_2_3*#REF! + tech_2_6_2*#REF! + tech_2_10*#REF! + tech_4_6*#REF! + tech_6_3*#REF! + tech_9_2*#REF! + race_construction_cost), 1-global_constr_cap) * (ROUND((#REF!-250)*1.25 + 850 + 0,0)),0)</f>
        <v>#REF!</v>
      </c>
      <c r="AP56" s="39" t="e">
        <f>ROUNDDOWN( MAX(1 - MIN(facs_constr_factor*#REF!,facs_constr_max) + tech_1_11*#REF! + tech_6_3_2*#REF! + tech_5_2_3*#REF!, 1-global_constr_cap) * ROUND((#REF!-250)*0.285 + 87.5 + 0/4.25,0),0)</f>
        <v>#REF!</v>
      </c>
      <c r="AQ56" s="3" t="e">
        <f>#REF!*#REF! +#REF! *#REF!</f>
        <v>#REF!</v>
      </c>
      <c r="AR56" s="3" t="e">
        <f>#REF!*#REF!+#REF!*#REF!</f>
        <v>#REF!</v>
      </c>
      <c r="AS56" s="39" t="e">
        <f ca="1">MIN(SUM(OFFSET(#REF!,-1,0))+SUM(#REF!)+IF(#REF!&gt;12,SUM(OFFSET(#REF!,-12,0)),0),SUM(#REF!))</f>
        <v>#REF!</v>
      </c>
      <c r="AT56" s="3" t="e">
        <f ca="1">IF(#REF!&lt;&gt;0,MAX(0, MIN(20, 20 + SUM(#REF!) - SUM(#REF!) - SUM(OFFSET(#REF!,-1,0)) - IF(#REF!&gt;12,SUM(OFFSET(#REF!,-12,0)),0) - 20*#REF!)),0)</f>
        <v>#REF!</v>
      </c>
      <c r="AU56" s="134"/>
      <c r="AV56" s="39" t="e">
        <f>ROUND((#REF!-250 - IF(#REF!&lt;&gt;0,20,0))*1.25 + 850 + 0,0)</f>
        <v>#REF!</v>
      </c>
      <c r="AW56" s="39" t="e">
        <f>ROUND((#REF!-250 - IF(#REF!&lt;&gt;0,20,0))*0.285 + 87.5 + 0/4.25,0)</f>
        <v>#REF!</v>
      </c>
      <c r="AX56" s="133"/>
      <c r="AY56" s="172" t="e">
        <f t="array" aca="1" ref="AY56" ca="1">IF(#REF!&gt;12,OFFSET(#REF!,-12,0),0)+OFFSET(#REF!,-1,0)-#REF!</f>
        <v>#REF!</v>
      </c>
      <c r="AZ56" s="173" t="e">
        <f t="array" aca="1" ref="AZ56" ca="1">IF(#REF!&gt;12,OFFSET(#REF!,-12,0),0)+OFFSET(#REF!,-1,0)-#REF!</f>
        <v>#REF!</v>
      </c>
      <c r="BA56" s="173" t="e">
        <f t="array" aca="1" ref="BA56" ca="1">IF(#REF!&gt;12,OFFSET(#REF!,-12,0),0)+OFFSET(#REF!,-1,0)-#REF!</f>
        <v>#REF!</v>
      </c>
      <c r="BB56" s="173" t="e">
        <f t="array" aca="1" ref="BB56" ca="1">IF(#REF!&gt;12,OFFSET(#REF!,-12,0),0)+OFFSET(#REF!,-1,0)-#REF!</f>
        <v>#REF!</v>
      </c>
      <c r="BC56" s="173" t="e">
        <f t="array" aca="1" ref="BC56" ca="1">IF(#REF!&gt;12,OFFSET(#REF!,-12,0),0)+OFFSET(#REF!,-1,0)-#REF!</f>
        <v>#REF!</v>
      </c>
      <c r="BD56" s="174" t="e">
        <f t="array" aca="1" ref="BD56" ca="1">IF(#REF!&gt;12,OFFSET(#REF!,-12,0),0)+OFFSET(#REF!,-1,0)-#REF!</f>
        <v>#REF!</v>
      </c>
      <c r="BE56" s="174" t="e">
        <f t="array" aca="1" ref="BE56" ca="1">IF(#REF!&gt;12,OFFSET(#REF!,-12,0),0)+OFFSET(#REF!,-1,0)-#REF!</f>
        <v>#REF!</v>
      </c>
      <c r="BF56" s="343" t="e">
        <f t="array" aca="1" ref="BF56" ca="1">IF(#REF!&gt;12,OFFSET(#REF!,-12,0),0)+OFFSET(#REF!,-1,0)-#REF!</f>
        <v>#REF!</v>
      </c>
      <c r="BG56" s="343" t="e">
        <f t="array" aca="1" ref="BG56" ca="1">IF(#REF!&gt;12,OFFSET(#REF!,-12,0),0)+OFFSET(#REF!,-1,0)-#REF!</f>
        <v>#REF!</v>
      </c>
      <c r="BH56" s="347" t="e">
        <f t="array" aca="1" ref="BH56" ca="1">IF(#REF!&gt;12,OFFSET(#REF!,-12,0),0)+OFFSET(#REF!,-1,0)-#REF!</f>
        <v>#REF!</v>
      </c>
      <c r="BI56" s="347" t="e">
        <f t="array" aca="1" ref="BI56" ca="1">IF(#REF!&gt;12,OFFSET(#REF!,-12,0),0)+OFFSET(#REF!,-1,0)-#REF!</f>
        <v>#REF!</v>
      </c>
      <c r="BJ56" s="347" t="e">
        <f t="array" aca="1" ref="BJ56" ca="1">IF(#REF!&gt;12,OFFSET(#REF!,-12,0),0)+OFFSET(#REF!,-1,0)-#REF!</f>
        <v>#REF!</v>
      </c>
      <c r="BK56" s="347" t="e">
        <f t="array" aca="1" ref="BK56" ca="1">IF(#REF!&gt;12,OFFSET(#REF!,-12,0),0)+OFFSET(#REF!,-1,0)-#REF!</f>
        <v>#REF!</v>
      </c>
      <c r="BL56" s="351" t="e">
        <f t="array" aca="1" ref="BL56" ca="1">IF(#REF!&gt;12,OFFSET(#REF!,-12,0),0)+OFFSET(#REF!,-1,0)-#REF!</f>
        <v>#REF!</v>
      </c>
      <c r="BM56" s="351" t="e">
        <f t="array" aca="1" ref="BM56" ca="1">IF(#REF!&gt;12,OFFSET(#REF!,-12,0),0)+OFFSET(#REF!,-1,0)-#REF!</f>
        <v>#REF!</v>
      </c>
      <c r="BN56" s="351" t="e">
        <f t="array" aca="1" ref="BN56" ca="1">IF(#REF!&gt;12,OFFSET(#REF!,-12,0),0)+OFFSET(#REF!,-1,0)-#REF!</f>
        <v>#REF!</v>
      </c>
      <c r="BO56" s="175" t="e">
        <f t="array" aca="1" ref="BO56" ca="1">IF(#REF!&gt;12,OFFSET(#REF!,-12,0),0)+OFFSET(#REF!,-1,0)-#REF!</f>
        <v>#REF!</v>
      </c>
      <c r="BP56" s="175" t="e">
        <f t="array" aca="1" ref="BP56" ca="1">IF(#REF!&gt;12,OFFSET(#REF!,-12,0),0)+OFFSET(#REF!,-1,0)-#REF!</f>
        <v>#REF!</v>
      </c>
      <c r="BQ56" s="176" t="e">
        <f t="array" aca="1" ref="BQ56" ca="1">IF(#REF!&gt;12,OFFSET(#REF!,-12,0),0)+OFFSET(#REF!,-1,0)-#REF!</f>
        <v>#REF!</v>
      </c>
      <c r="BR56" s="134"/>
      <c r="BS56" s="133"/>
      <c r="BT56" s="39" t="e">
        <f>#REF!</f>
        <v>#REF!</v>
      </c>
      <c r="BU56" s="147" t="e">
        <f>#REF!</f>
        <v>#REF!</v>
      </c>
      <c r="BV56" s="134"/>
      <c r="BW56" s="164"/>
      <c r="BX56" s="164"/>
      <c r="BY56" s="164"/>
      <c r="BZ56" s="164"/>
      <c r="CA56" s="164"/>
      <c r="CB56" s="164"/>
      <c r="CC56" s="164"/>
      <c r="CD56" s="164"/>
      <c r="CE56" s="164"/>
      <c r="CF56" s="164"/>
      <c r="CG56" s="164"/>
      <c r="CH56" s="164"/>
      <c r="CI56" s="164"/>
      <c r="CJ56" s="164"/>
      <c r="CK56" s="164"/>
      <c r="CL56" s="164"/>
      <c r="CM56" s="164"/>
      <c r="CN56" s="164"/>
      <c r="CO56" s="164"/>
      <c r="CP56" s="134"/>
      <c r="CQ56" s="165" t="e">
        <f ca="1">-SUM(#REF!)+SUM(#REF!)+Rezone!L56+IF("Ch_"&amp; home_land=#REF!,#REF!)+IF(#REF!&gt;12,OFFSET(#REF!,-12,0),0)</f>
        <v>#REF!</v>
      </c>
      <c r="CR56" s="166" t="e">
        <f ca="1">-SUM(#REF!)+SUM(#REF!) +Rezone!M56 + IF("Ch_"&amp; home_land=#REF!,#REF!)+IF(#REF!&gt;12,OFFSET(#REF!,-12,0),0)</f>
        <v>#REF!</v>
      </c>
      <c r="CS56" s="341" t="e">
        <f ca="1">-SUM(#REF!)+SUM(#REF!) +Rezone!N56 + IF("Ch_"&amp; home_land=#REF!,#REF!)+IF(#REF!&gt;12,OFFSET(#REF!,-12,0),0)</f>
        <v>#REF!</v>
      </c>
      <c r="CT56" s="167" t="e">
        <f ca="1">-SUM(#REF!)+SUM(#REF!) +Rezone!O56 + IF("Ch_" &amp; home_land=#REF!,#REF!)+IF(#REF!&gt;12,OFFSET(#REF!,-12,0),0)</f>
        <v>#REF!</v>
      </c>
      <c r="CU56" s="168" t="e">
        <f ca="1">-SUM(#REF!)+SUM(#REF!) +Rezone!P56 + IF("Ch_" &amp; home_land=#REF!,#REF!)+IF(#REF!&gt;12,OFFSET(#REF!,-12,0),0)</f>
        <v>#REF!</v>
      </c>
      <c r="CV56" s="169" t="e">
        <f ca="1">- SUM(#REF!)+SUM(#REF!) +Rezone!Q56 + IF("Ch_" &amp; home_land=#REF!,#REF!)+IF(#REF!&gt;12,OFFSET(#REF!,-12,0),0)</f>
        <v>#REF!</v>
      </c>
      <c r="CW56" s="170" t="e">
        <f ca="1">-#REF!+#REF! +Rezone!R56 + IF("Ch_" &amp; home_land=#REF!,#REF!)+IF(#REF!&gt;12,OFFSET(#REF!,-12,0),0)</f>
        <v>#REF!</v>
      </c>
      <c r="CX56" s="3" t="e">
        <f>IF(Explore!S56=1,20) -#REF! +#REF!</f>
        <v>#REF!</v>
      </c>
      <c r="CY56" s="134"/>
      <c r="CZ56" s="39" t="e">
        <f t="shared" ca="1" si="12"/>
        <v>#REF!</v>
      </c>
      <c r="DA56" s="39" t="e">
        <f t="shared" ca="1" si="13"/>
        <v>#REF!</v>
      </c>
      <c r="DB56" s="3" t="e">
        <f t="shared" ca="1" si="14"/>
        <v>#REF!</v>
      </c>
      <c r="DC56" s="39" t="e">
        <f t="shared" ca="1" si="15"/>
        <v>#REF!</v>
      </c>
      <c r="DD56" s="39" t="e">
        <f t="shared" ca="1" si="16"/>
        <v>#REF!</v>
      </c>
      <c r="DE56" s="3" t="e">
        <f t="shared" ca="1" si="17"/>
        <v>#REF!</v>
      </c>
      <c r="DF56" s="39" t="e">
        <f t="shared" ca="1" si="18"/>
        <v>#REF!</v>
      </c>
      <c r="DG56" s="39" t="e">
        <f t="array" ref="DG56">INDEX(#REF!,ROW()-ROW(#REF!),MATCH("Total "&amp;home_land,#REF!,0))+#REF!</f>
        <v>#REF!</v>
      </c>
      <c r="DH56" s="3" t="e">
        <f t="shared" ca="1" si="10"/>
        <v>#REF!</v>
      </c>
      <c r="DI56" s="3" t="e">
        <f t="shared" ca="1" si="0"/>
        <v>#REF!</v>
      </c>
      <c r="DJ56" s="3" t="e">
        <f t="shared" ca="1" si="1"/>
        <v>#REF!</v>
      </c>
    </row>
    <row r="57" spans="1:114" x14ac:dyDescent="0.25">
      <c r="A57" s="160" t="e">
        <f>#REF!</f>
        <v>#REF!</v>
      </c>
      <c r="B57" s="161" t="e">
        <f>SUM(#REF!)</f>
        <v>#REF!</v>
      </c>
      <c r="C57" s="162" t="e">
        <f>SUM(#REF!)</f>
        <v>#REF!</v>
      </c>
      <c r="D57" s="162">
        <f t="shared" si="11"/>
        <v>0</v>
      </c>
      <c r="E57" s="163"/>
      <c r="F57" s="61" t="e">
        <f>#REF!+#REF!+#REF!</f>
        <v>#REF!</v>
      </c>
      <c r="G57" s="171" t="e">
        <f ca="1">OFFSET(#REF!,-1,0)+#REF!</f>
        <v>#REF!</v>
      </c>
      <c r="H57" s="166" t="e">
        <f ca="1">OFFSET(#REF!,-1,0)+#REF!</f>
        <v>#REF!</v>
      </c>
      <c r="I57" s="341" t="e">
        <f ca="1">OFFSET(#REF!,-1,0)+#REF!</f>
        <v>#REF!</v>
      </c>
      <c r="J57" s="345" t="e">
        <f ca="1">OFFSET(#REF!,-1,0)+#REF!</f>
        <v>#REF!</v>
      </c>
      <c r="K57" s="349" t="e">
        <f ca="1">OFFSET(#REF!,-1,0)+#REF!</f>
        <v>#REF!</v>
      </c>
      <c r="L57" s="169" t="e">
        <f ca="1">OFFSET(#REF!,-1,0)+#REF!</f>
        <v>#REF!</v>
      </c>
      <c r="M57" s="170" t="e">
        <f ca="1">OFFSET(#REF!,-1,0)+#REF!</f>
        <v>#REF!</v>
      </c>
      <c r="N57" s="339" t="e">
        <f>#REF!</f>
        <v>#REF!</v>
      </c>
      <c r="O57" s="164"/>
      <c r="P57" s="164"/>
      <c r="Q57" s="164"/>
      <c r="R57" s="164"/>
      <c r="S57" s="164"/>
      <c r="T57" s="164"/>
      <c r="U57" s="164"/>
      <c r="V57" s="164"/>
      <c r="W57" s="164"/>
      <c r="X57" s="164"/>
      <c r="Y57" s="164"/>
      <c r="Z57" s="164"/>
      <c r="AA57" s="164"/>
      <c r="AB57" s="164"/>
      <c r="AC57" s="164"/>
      <c r="AD57" s="164"/>
      <c r="AE57" s="164"/>
      <c r="AF57" s="164"/>
      <c r="AG57" s="164"/>
      <c r="AH57" s="53" t="e">
        <f>#REF!</f>
        <v>#REF!</v>
      </c>
      <c r="AI57" s="132" t="e">
        <f>MIN(25%,(#REF!+#REF!)/(#REF!-#REF!*20))</f>
        <v>#REF!</v>
      </c>
      <c r="AJ57" s="132" t="e">
        <f>MIN(25%,(#REF!+#REF!)/#REF!)</f>
        <v>#REF!</v>
      </c>
      <c r="AK57" s="39" t="e">
        <f>#REF!</f>
        <v>#REF!</v>
      </c>
      <c r="AL57" s="39" t="e">
        <f>#REF!</f>
        <v>#REF!</v>
      </c>
      <c r="AM57" s="39" t="e">
        <f>ROUNDDOWN( MAX((1 - MIN(facs_constr_factor*#REF!,facs_constr_max) + tech_2_3*#REF! + tech_2_6_2*#REF! + tech_2_10*#REF! + tech_4_6*#REF! + tech_6_3*#REF! + tech_9_2*#REF! + race_construction_cost), 1-global_constr_cap) *#REF!,0)</f>
        <v>#REF!</v>
      </c>
      <c r="AN57" s="39" t="e">
        <f>ROUNDDOWN( MAX(1 - MIN(facs_constr_factor*#REF!,facs_constr_max) + tech_1_11*#REF! + tech_6_3_2*#REF! + tech_5_2_3*#REF!, 1-global_constr_cap) *#REF!,0)</f>
        <v>#REF!</v>
      </c>
      <c r="AO57" s="39" t="e">
        <f>ROUNDDOWN( MAX((1 - MIN(facs_constr_factor*#REF!,facs_constr_max) + tech_2_3*#REF! + tech_2_6_2*#REF! + tech_2_10*#REF! + tech_4_6*#REF! + tech_6_3*#REF! + tech_9_2*#REF! + race_construction_cost), 1-global_constr_cap) * (ROUND((#REF!-250)*1.25 + 850 + 0,0)),0)</f>
        <v>#REF!</v>
      </c>
      <c r="AP57" s="39" t="e">
        <f>ROUNDDOWN( MAX(1 - MIN(facs_constr_factor*#REF!,facs_constr_max) + tech_1_11*#REF! + tech_6_3_2*#REF! + tech_5_2_3*#REF!, 1-global_constr_cap) * ROUND((#REF!-250)*0.285 + 87.5 + 0/4.25,0),0)</f>
        <v>#REF!</v>
      </c>
      <c r="AQ57" s="3" t="e">
        <f>#REF!*#REF! +#REF! *#REF!</f>
        <v>#REF!</v>
      </c>
      <c r="AR57" s="3" t="e">
        <f>#REF!*#REF!+#REF!*#REF!</f>
        <v>#REF!</v>
      </c>
      <c r="AS57" s="39" t="e">
        <f ca="1">MIN(SUM(OFFSET(#REF!,-1,0))+SUM(#REF!)+IF(#REF!&gt;12,SUM(OFFSET(#REF!,-12,0)),0),SUM(#REF!))</f>
        <v>#REF!</v>
      </c>
      <c r="AT57" s="3" t="e">
        <f ca="1">IF(#REF!&lt;&gt;0,MAX(0, MIN(20, 20 + SUM(#REF!) - SUM(#REF!) - SUM(OFFSET(#REF!,-1,0)) - IF(#REF!&gt;12,SUM(OFFSET(#REF!,-12,0)),0) - 20*#REF!)),0)</f>
        <v>#REF!</v>
      </c>
      <c r="AU57" s="134"/>
      <c r="AV57" s="39" t="e">
        <f>ROUND((#REF!-250 - IF(#REF!&lt;&gt;0,20,0))*1.25 + 850 + 0,0)</f>
        <v>#REF!</v>
      </c>
      <c r="AW57" s="39" t="e">
        <f>ROUND((#REF!-250 - IF(#REF!&lt;&gt;0,20,0))*0.285 + 87.5 + 0/4.25,0)</f>
        <v>#REF!</v>
      </c>
      <c r="AX57" s="133"/>
      <c r="AY57" s="172" t="e">
        <f t="array" aca="1" ref="AY57" ca="1">IF(#REF!&gt;12,OFFSET(#REF!,-12,0),0)+OFFSET(#REF!,-1,0)-#REF!</f>
        <v>#REF!</v>
      </c>
      <c r="AZ57" s="173" t="e">
        <f t="array" aca="1" ref="AZ57" ca="1">IF(#REF!&gt;12,OFFSET(#REF!,-12,0),0)+OFFSET(#REF!,-1,0)-#REF!</f>
        <v>#REF!</v>
      </c>
      <c r="BA57" s="173" t="e">
        <f t="array" aca="1" ref="BA57" ca="1">IF(#REF!&gt;12,OFFSET(#REF!,-12,0),0)+OFFSET(#REF!,-1,0)-#REF!</f>
        <v>#REF!</v>
      </c>
      <c r="BB57" s="173" t="e">
        <f t="array" aca="1" ref="BB57" ca="1">IF(#REF!&gt;12,OFFSET(#REF!,-12,0),0)+OFFSET(#REF!,-1,0)-#REF!</f>
        <v>#REF!</v>
      </c>
      <c r="BC57" s="173" t="e">
        <f t="array" aca="1" ref="BC57" ca="1">IF(#REF!&gt;12,OFFSET(#REF!,-12,0),0)+OFFSET(#REF!,-1,0)-#REF!</f>
        <v>#REF!</v>
      </c>
      <c r="BD57" s="174" t="e">
        <f t="array" aca="1" ref="BD57" ca="1">IF(#REF!&gt;12,OFFSET(#REF!,-12,0),0)+OFFSET(#REF!,-1,0)-#REF!</f>
        <v>#REF!</v>
      </c>
      <c r="BE57" s="174" t="e">
        <f t="array" aca="1" ref="BE57" ca="1">IF(#REF!&gt;12,OFFSET(#REF!,-12,0),0)+OFFSET(#REF!,-1,0)-#REF!</f>
        <v>#REF!</v>
      </c>
      <c r="BF57" s="343" t="e">
        <f t="array" aca="1" ref="BF57" ca="1">IF(#REF!&gt;12,OFFSET(#REF!,-12,0),0)+OFFSET(#REF!,-1,0)-#REF!</f>
        <v>#REF!</v>
      </c>
      <c r="BG57" s="343" t="e">
        <f t="array" aca="1" ref="BG57" ca="1">IF(#REF!&gt;12,OFFSET(#REF!,-12,0),0)+OFFSET(#REF!,-1,0)-#REF!</f>
        <v>#REF!</v>
      </c>
      <c r="BH57" s="347" t="e">
        <f t="array" aca="1" ref="BH57" ca="1">IF(#REF!&gt;12,OFFSET(#REF!,-12,0),0)+OFFSET(#REF!,-1,0)-#REF!</f>
        <v>#REF!</v>
      </c>
      <c r="BI57" s="347" t="e">
        <f t="array" aca="1" ref="BI57" ca="1">IF(#REF!&gt;12,OFFSET(#REF!,-12,0),0)+OFFSET(#REF!,-1,0)-#REF!</f>
        <v>#REF!</v>
      </c>
      <c r="BJ57" s="347" t="e">
        <f t="array" aca="1" ref="BJ57" ca="1">IF(#REF!&gt;12,OFFSET(#REF!,-12,0),0)+OFFSET(#REF!,-1,0)-#REF!</f>
        <v>#REF!</v>
      </c>
      <c r="BK57" s="347" t="e">
        <f t="array" aca="1" ref="BK57" ca="1">IF(#REF!&gt;12,OFFSET(#REF!,-12,0),0)+OFFSET(#REF!,-1,0)-#REF!</f>
        <v>#REF!</v>
      </c>
      <c r="BL57" s="351" t="e">
        <f t="array" aca="1" ref="BL57" ca="1">IF(#REF!&gt;12,OFFSET(#REF!,-12,0),0)+OFFSET(#REF!,-1,0)-#REF!</f>
        <v>#REF!</v>
      </c>
      <c r="BM57" s="351" t="e">
        <f t="array" aca="1" ref="BM57" ca="1">IF(#REF!&gt;12,OFFSET(#REF!,-12,0),0)+OFFSET(#REF!,-1,0)-#REF!</f>
        <v>#REF!</v>
      </c>
      <c r="BN57" s="351" t="e">
        <f t="array" aca="1" ref="BN57" ca="1">IF(#REF!&gt;12,OFFSET(#REF!,-12,0),0)+OFFSET(#REF!,-1,0)-#REF!</f>
        <v>#REF!</v>
      </c>
      <c r="BO57" s="175" t="e">
        <f t="array" aca="1" ref="BO57" ca="1">IF(#REF!&gt;12,OFFSET(#REF!,-12,0),0)+OFFSET(#REF!,-1,0)-#REF!</f>
        <v>#REF!</v>
      </c>
      <c r="BP57" s="175" t="e">
        <f t="array" aca="1" ref="BP57" ca="1">IF(#REF!&gt;12,OFFSET(#REF!,-12,0),0)+OFFSET(#REF!,-1,0)-#REF!</f>
        <v>#REF!</v>
      </c>
      <c r="BQ57" s="176" t="e">
        <f t="array" aca="1" ref="BQ57" ca="1">IF(#REF!&gt;12,OFFSET(#REF!,-12,0),0)+OFFSET(#REF!,-1,0)-#REF!</f>
        <v>#REF!</v>
      </c>
      <c r="BR57" s="134"/>
      <c r="BS57" s="133"/>
      <c r="BT57" s="39" t="e">
        <f>#REF!</f>
        <v>#REF!</v>
      </c>
      <c r="BU57" s="147" t="e">
        <f>#REF!</f>
        <v>#REF!</v>
      </c>
      <c r="BV57" s="134"/>
      <c r="BW57" s="164"/>
      <c r="BX57" s="164"/>
      <c r="BY57" s="164"/>
      <c r="BZ57" s="164"/>
      <c r="CA57" s="164"/>
      <c r="CB57" s="164"/>
      <c r="CC57" s="164"/>
      <c r="CD57" s="164"/>
      <c r="CE57" s="164"/>
      <c r="CF57" s="164"/>
      <c r="CG57" s="164"/>
      <c r="CH57" s="164"/>
      <c r="CI57" s="164"/>
      <c r="CJ57" s="164"/>
      <c r="CK57" s="164"/>
      <c r="CL57" s="164"/>
      <c r="CM57" s="164"/>
      <c r="CN57" s="164"/>
      <c r="CO57" s="164"/>
      <c r="CP57" s="134"/>
      <c r="CQ57" s="165" t="e">
        <f ca="1">-SUM(#REF!)+SUM(#REF!)+Rezone!L57+IF("Ch_"&amp; home_land=#REF!,#REF!)+IF(#REF!&gt;12,OFFSET(#REF!,-12,0),0)</f>
        <v>#REF!</v>
      </c>
      <c r="CR57" s="166" t="e">
        <f ca="1">-SUM(#REF!)+SUM(#REF!) +Rezone!M57 + IF("Ch_"&amp; home_land=#REF!,#REF!)+IF(#REF!&gt;12,OFFSET(#REF!,-12,0),0)</f>
        <v>#REF!</v>
      </c>
      <c r="CS57" s="341" t="e">
        <f ca="1">-SUM(#REF!)+SUM(#REF!) +Rezone!N57 + IF("Ch_"&amp; home_land=#REF!,#REF!)+IF(#REF!&gt;12,OFFSET(#REF!,-12,0),0)</f>
        <v>#REF!</v>
      </c>
      <c r="CT57" s="167" t="e">
        <f ca="1">-SUM(#REF!)+SUM(#REF!) +Rezone!O57 + IF("Ch_" &amp; home_land=#REF!,#REF!)+IF(#REF!&gt;12,OFFSET(#REF!,-12,0),0)</f>
        <v>#REF!</v>
      </c>
      <c r="CU57" s="168" t="e">
        <f ca="1">-SUM(#REF!)+SUM(#REF!) +Rezone!P57 + IF("Ch_" &amp; home_land=#REF!,#REF!)+IF(#REF!&gt;12,OFFSET(#REF!,-12,0),0)</f>
        <v>#REF!</v>
      </c>
      <c r="CV57" s="169" t="e">
        <f ca="1">- SUM(#REF!)+SUM(#REF!) +Rezone!Q57 + IF("Ch_" &amp; home_land=#REF!,#REF!)+IF(#REF!&gt;12,OFFSET(#REF!,-12,0),0)</f>
        <v>#REF!</v>
      </c>
      <c r="CW57" s="170" t="e">
        <f ca="1">-#REF!+#REF! +Rezone!R57 + IF("Ch_" &amp; home_land=#REF!,#REF!)+IF(#REF!&gt;12,OFFSET(#REF!,-12,0),0)</f>
        <v>#REF!</v>
      </c>
      <c r="CX57" s="3" t="e">
        <f>IF(Explore!S57=1,20) -#REF! +#REF!</f>
        <v>#REF!</v>
      </c>
      <c r="CY57" s="134"/>
      <c r="CZ57" s="39" t="e">
        <f t="shared" ca="1" si="12"/>
        <v>#REF!</v>
      </c>
      <c r="DA57" s="39" t="e">
        <f t="shared" ca="1" si="13"/>
        <v>#REF!</v>
      </c>
      <c r="DB57" s="3" t="e">
        <f t="shared" ca="1" si="14"/>
        <v>#REF!</v>
      </c>
      <c r="DC57" s="39" t="e">
        <f t="shared" ca="1" si="15"/>
        <v>#REF!</v>
      </c>
      <c r="DD57" s="39" t="e">
        <f t="shared" ca="1" si="16"/>
        <v>#REF!</v>
      </c>
      <c r="DE57" s="3" t="e">
        <f t="shared" ca="1" si="17"/>
        <v>#REF!</v>
      </c>
      <c r="DF57" s="39" t="e">
        <f t="shared" ca="1" si="18"/>
        <v>#REF!</v>
      </c>
      <c r="DG57" s="39" t="e">
        <f t="array" ref="DG57">INDEX(#REF!,ROW()-ROW(#REF!),MATCH("Total "&amp;home_land,#REF!,0))+#REF!</f>
        <v>#REF!</v>
      </c>
      <c r="DH57" s="3" t="e">
        <f t="shared" ca="1" si="10"/>
        <v>#REF!</v>
      </c>
      <c r="DI57" s="3" t="e">
        <f t="shared" ca="1" si="0"/>
        <v>#REF!</v>
      </c>
      <c r="DJ57" s="3" t="e">
        <f t="shared" ca="1" si="1"/>
        <v>#REF!</v>
      </c>
    </row>
    <row r="58" spans="1:114" x14ac:dyDescent="0.25">
      <c r="A58" s="160" t="e">
        <f>#REF!</f>
        <v>#REF!</v>
      </c>
      <c r="B58" s="161" t="e">
        <f>SUM(#REF!)</f>
        <v>#REF!</v>
      </c>
      <c r="C58" s="162" t="e">
        <f>SUM(#REF!)</f>
        <v>#REF!</v>
      </c>
      <c r="D58" s="162">
        <f t="shared" si="11"/>
        <v>0</v>
      </c>
      <c r="E58" s="163"/>
      <c r="F58" s="61" t="e">
        <f>#REF!+#REF!+#REF!</f>
        <v>#REF!</v>
      </c>
      <c r="G58" s="171" t="e">
        <f ca="1">OFFSET(#REF!,-1,0)+#REF!</f>
        <v>#REF!</v>
      </c>
      <c r="H58" s="166" t="e">
        <f ca="1">OFFSET(#REF!,-1,0)+#REF!</f>
        <v>#REF!</v>
      </c>
      <c r="I58" s="341" t="e">
        <f ca="1">OFFSET(#REF!,-1,0)+#REF!</f>
        <v>#REF!</v>
      </c>
      <c r="J58" s="345" t="e">
        <f ca="1">OFFSET(#REF!,-1,0)+#REF!</f>
        <v>#REF!</v>
      </c>
      <c r="K58" s="349" t="e">
        <f ca="1">OFFSET(#REF!,-1,0)+#REF!</f>
        <v>#REF!</v>
      </c>
      <c r="L58" s="169" t="e">
        <f ca="1">OFFSET(#REF!,-1,0)+#REF!</f>
        <v>#REF!</v>
      </c>
      <c r="M58" s="170" t="e">
        <f ca="1">OFFSET(#REF!,-1,0)+#REF!</f>
        <v>#REF!</v>
      </c>
      <c r="N58" s="339" t="e">
        <f>#REF!</f>
        <v>#REF!</v>
      </c>
      <c r="O58" s="164"/>
      <c r="P58" s="164"/>
      <c r="Q58" s="164"/>
      <c r="R58" s="164"/>
      <c r="S58" s="164"/>
      <c r="T58" s="164"/>
      <c r="U58" s="164"/>
      <c r="V58" s="164"/>
      <c r="W58" s="164"/>
      <c r="X58" s="164"/>
      <c r="Y58" s="164"/>
      <c r="Z58" s="164"/>
      <c r="AA58" s="164"/>
      <c r="AB58" s="164"/>
      <c r="AC58" s="164"/>
      <c r="AD58" s="164"/>
      <c r="AE58" s="164"/>
      <c r="AF58" s="164"/>
      <c r="AG58" s="164"/>
      <c r="AH58" s="53" t="e">
        <f>#REF!</f>
        <v>#REF!</v>
      </c>
      <c r="AI58" s="132" t="e">
        <f>MIN(25%,(#REF!+#REF!)/(#REF!-#REF!*20))</f>
        <v>#REF!</v>
      </c>
      <c r="AJ58" s="132" t="e">
        <f>MIN(25%,(#REF!+#REF!)/#REF!)</f>
        <v>#REF!</v>
      </c>
      <c r="AK58" s="39" t="e">
        <f>#REF!</f>
        <v>#REF!</v>
      </c>
      <c r="AL58" s="39" t="e">
        <f>#REF!</f>
        <v>#REF!</v>
      </c>
      <c r="AM58" s="39" t="e">
        <f>ROUNDDOWN( MAX((1 - MIN(facs_constr_factor*#REF!,facs_constr_max) + tech_2_3*#REF! + tech_2_6_2*#REF! + tech_2_10*#REF! + tech_4_6*#REF! + tech_6_3*#REF! + tech_9_2*#REF! + race_construction_cost), 1-global_constr_cap) *#REF!,0)</f>
        <v>#REF!</v>
      </c>
      <c r="AN58" s="39" t="e">
        <f>ROUNDDOWN( MAX(1 - MIN(facs_constr_factor*#REF!,facs_constr_max) + tech_1_11*#REF! + tech_6_3_2*#REF! + tech_5_2_3*#REF!, 1-global_constr_cap) *#REF!,0)</f>
        <v>#REF!</v>
      </c>
      <c r="AO58" s="39" t="e">
        <f>ROUNDDOWN( MAX((1 - MIN(facs_constr_factor*#REF!,facs_constr_max) + tech_2_3*#REF! + tech_2_6_2*#REF! + tech_2_10*#REF! + tech_4_6*#REF! + tech_6_3*#REF! + tech_9_2*#REF! + race_construction_cost), 1-global_constr_cap) * (ROUND((#REF!-250)*1.25 + 850 + 0,0)),0)</f>
        <v>#REF!</v>
      </c>
      <c r="AP58" s="39" t="e">
        <f>ROUNDDOWN( MAX(1 - MIN(facs_constr_factor*#REF!,facs_constr_max) + tech_1_11*#REF! + tech_6_3_2*#REF! + tech_5_2_3*#REF!, 1-global_constr_cap) * ROUND((#REF!-250)*0.285 + 87.5 + 0/4.25,0),0)</f>
        <v>#REF!</v>
      </c>
      <c r="AQ58" s="3" t="e">
        <f>#REF!*#REF! +#REF! *#REF!</f>
        <v>#REF!</v>
      </c>
      <c r="AR58" s="3" t="e">
        <f>#REF!*#REF!+#REF!*#REF!</f>
        <v>#REF!</v>
      </c>
      <c r="AS58" s="39" t="e">
        <f ca="1">MIN(SUM(OFFSET(#REF!,-1,0))+SUM(#REF!)+IF(#REF!&gt;12,SUM(OFFSET(#REF!,-12,0)),0),SUM(#REF!))</f>
        <v>#REF!</v>
      </c>
      <c r="AT58" s="3" t="e">
        <f ca="1">IF(#REF!&lt;&gt;0,MAX(0, MIN(20, 20 + SUM(#REF!) - SUM(#REF!) - SUM(OFFSET(#REF!,-1,0)) - IF(#REF!&gt;12,SUM(OFFSET(#REF!,-12,0)),0) - 20*#REF!)),0)</f>
        <v>#REF!</v>
      </c>
      <c r="AU58" s="134"/>
      <c r="AV58" s="39" t="e">
        <f>ROUND((#REF!-250 - IF(#REF!&lt;&gt;0,20,0))*1.25 + 850 + 0,0)</f>
        <v>#REF!</v>
      </c>
      <c r="AW58" s="39" t="e">
        <f>ROUND((#REF!-250 - IF(#REF!&lt;&gt;0,20,0))*0.285 + 87.5 + 0/4.25,0)</f>
        <v>#REF!</v>
      </c>
      <c r="AX58" s="133"/>
      <c r="AY58" s="172" t="e">
        <f t="array" aca="1" ref="AY58" ca="1">IF(#REF!&gt;12,OFFSET(#REF!,-12,0),0)+OFFSET(#REF!,-1,0)-#REF!</f>
        <v>#REF!</v>
      </c>
      <c r="AZ58" s="173" t="e">
        <f t="array" aca="1" ref="AZ58" ca="1">IF(#REF!&gt;12,OFFSET(#REF!,-12,0),0)+OFFSET(#REF!,-1,0)-#REF!</f>
        <v>#REF!</v>
      </c>
      <c r="BA58" s="173" t="e">
        <f t="array" aca="1" ref="BA58" ca="1">IF(#REF!&gt;12,OFFSET(#REF!,-12,0),0)+OFFSET(#REF!,-1,0)-#REF!</f>
        <v>#REF!</v>
      </c>
      <c r="BB58" s="173" t="e">
        <f t="array" aca="1" ref="BB58" ca="1">IF(#REF!&gt;12,OFFSET(#REF!,-12,0),0)+OFFSET(#REF!,-1,0)-#REF!</f>
        <v>#REF!</v>
      </c>
      <c r="BC58" s="173" t="e">
        <f t="array" aca="1" ref="BC58" ca="1">IF(#REF!&gt;12,OFFSET(#REF!,-12,0),0)+OFFSET(#REF!,-1,0)-#REF!</f>
        <v>#REF!</v>
      </c>
      <c r="BD58" s="174" t="e">
        <f t="array" aca="1" ref="BD58" ca="1">IF(#REF!&gt;12,OFFSET(#REF!,-12,0),0)+OFFSET(#REF!,-1,0)-#REF!</f>
        <v>#REF!</v>
      </c>
      <c r="BE58" s="174" t="e">
        <f t="array" aca="1" ref="BE58" ca="1">IF(#REF!&gt;12,OFFSET(#REF!,-12,0),0)+OFFSET(#REF!,-1,0)-#REF!</f>
        <v>#REF!</v>
      </c>
      <c r="BF58" s="343" t="e">
        <f t="array" aca="1" ref="BF58" ca="1">IF(#REF!&gt;12,OFFSET(#REF!,-12,0),0)+OFFSET(#REF!,-1,0)-#REF!</f>
        <v>#REF!</v>
      </c>
      <c r="BG58" s="343" t="e">
        <f t="array" aca="1" ref="BG58" ca="1">IF(#REF!&gt;12,OFFSET(#REF!,-12,0),0)+OFFSET(#REF!,-1,0)-#REF!</f>
        <v>#REF!</v>
      </c>
      <c r="BH58" s="347" t="e">
        <f t="array" aca="1" ref="BH58" ca="1">IF(#REF!&gt;12,OFFSET(#REF!,-12,0),0)+OFFSET(#REF!,-1,0)-#REF!</f>
        <v>#REF!</v>
      </c>
      <c r="BI58" s="347" t="e">
        <f t="array" aca="1" ref="BI58" ca="1">IF(#REF!&gt;12,OFFSET(#REF!,-12,0),0)+OFFSET(#REF!,-1,0)-#REF!</f>
        <v>#REF!</v>
      </c>
      <c r="BJ58" s="347" t="e">
        <f t="array" aca="1" ref="BJ58" ca="1">IF(#REF!&gt;12,OFFSET(#REF!,-12,0),0)+OFFSET(#REF!,-1,0)-#REF!</f>
        <v>#REF!</v>
      </c>
      <c r="BK58" s="347" t="e">
        <f t="array" aca="1" ref="BK58" ca="1">IF(#REF!&gt;12,OFFSET(#REF!,-12,0),0)+OFFSET(#REF!,-1,0)-#REF!</f>
        <v>#REF!</v>
      </c>
      <c r="BL58" s="351" t="e">
        <f t="array" aca="1" ref="BL58" ca="1">IF(#REF!&gt;12,OFFSET(#REF!,-12,0),0)+OFFSET(#REF!,-1,0)-#REF!</f>
        <v>#REF!</v>
      </c>
      <c r="BM58" s="351" t="e">
        <f t="array" aca="1" ref="BM58" ca="1">IF(#REF!&gt;12,OFFSET(#REF!,-12,0),0)+OFFSET(#REF!,-1,0)-#REF!</f>
        <v>#REF!</v>
      </c>
      <c r="BN58" s="351" t="e">
        <f t="array" aca="1" ref="BN58" ca="1">IF(#REF!&gt;12,OFFSET(#REF!,-12,0),0)+OFFSET(#REF!,-1,0)-#REF!</f>
        <v>#REF!</v>
      </c>
      <c r="BO58" s="175" t="e">
        <f t="array" aca="1" ref="BO58" ca="1">IF(#REF!&gt;12,OFFSET(#REF!,-12,0),0)+OFFSET(#REF!,-1,0)-#REF!</f>
        <v>#REF!</v>
      </c>
      <c r="BP58" s="175" t="e">
        <f t="array" aca="1" ref="BP58" ca="1">IF(#REF!&gt;12,OFFSET(#REF!,-12,0),0)+OFFSET(#REF!,-1,0)-#REF!</f>
        <v>#REF!</v>
      </c>
      <c r="BQ58" s="176" t="e">
        <f t="array" aca="1" ref="BQ58" ca="1">IF(#REF!&gt;12,OFFSET(#REF!,-12,0),0)+OFFSET(#REF!,-1,0)-#REF!</f>
        <v>#REF!</v>
      </c>
      <c r="BR58" s="134"/>
      <c r="BS58" s="133"/>
      <c r="BT58" s="39" t="e">
        <f>#REF!</f>
        <v>#REF!</v>
      </c>
      <c r="BU58" s="147" t="e">
        <f>#REF!</f>
        <v>#REF!</v>
      </c>
      <c r="BV58" s="134"/>
      <c r="BW58" s="164"/>
      <c r="BX58" s="164"/>
      <c r="BY58" s="164"/>
      <c r="BZ58" s="164"/>
      <c r="CA58" s="164"/>
      <c r="CB58" s="164"/>
      <c r="CC58" s="164"/>
      <c r="CD58" s="164"/>
      <c r="CE58" s="164"/>
      <c r="CF58" s="164"/>
      <c r="CG58" s="164"/>
      <c r="CH58" s="164"/>
      <c r="CI58" s="164"/>
      <c r="CJ58" s="164"/>
      <c r="CK58" s="164"/>
      <c r="CL58" s="164"/>
      <c r="CM58" s="164"/>
      <c r="CN58" s="164"/>
      <c r="CO58" s="164"/>
      <c r="CP58" s="134"/>
      <c r="CQ58" s="165" t="e">
        <f ca="1">-SUM(#REF!)+SUM(#REF!)+Rezone!L58+IF("Ch_"&amp; home_land=#REF!,#REF!)+IF(#REF!&gt;12,OFFSET(#REF!,-12,0),0)</f>
        <v>#REF!</v>
      </c>
      <c r="CR58" s="166" t="e">
        <f ca="1">-SUM(#REF!)+SUM(#REF!) +Rezone!M58 + IF("Ch_"&amp; home_land=#REF!,#REF!)+IF(#REF!&gt;12,OFFSET(#REF!,-12,0),0)</f>
        <v>#REF!</v>
      </c>
      <c r="CS58" s="341" t="e">
        <f ca="1">-SUM(#REF!)+SUM(#REF!) +Rezone!N58 + IF("Ch_"&amp; home_land=#REF!,#REF!)+IF(#REF!&gt;12,OFFSET(#REF!,-12,0),0)</f>
        <v>#REF!</v>
      </c>
      <c r="CT58" s="167" t="e">
        <f ca="1">-SUM(#REF!)+SUM(#REF!) +Rezone!O58 + IF("Ch_" &amp; home_land=#REF!,#REF!)+IF(#REF!&gt;12,OFFSET(#REF!,-12,0),0)</f>
        <v>#REF!</v>
      </c>
      <c r="CU58" s="168" t="e">
        <f ca="1">-SUM(#REF!)+SUM(#REF!) +Rezone!P58 + IF("Ch_" &amp; home_land=#REF!,#REF!)+IF(#REF!&gt;12,OFFSET(#REF!,-12,0),0)</f>
        <v>#REF!</v>
      </c>
      <c r="CV58" s="169" t="e">
        <f ca="1">- SUM(#REF!)+SUM(#REF!) +Rezone!Q58 + IF("Ch_" &amp; home_land=#REF!,#REF!)+IF(#REF!&gt;12,OFFSET(#REF!,-12,0),0)</f>
        <v>#REF!</v>
      </c>
      <c r="CW58" s="170" t="e">
        <f ca="1">-#REF!+#REF! +Rezone!R58 + IF("Ch_" &amp; home_land=#REF!,#REF!)+IF(#REF!&gt;12,OFFSET(#REF!,-12,0),0)</f>
        <v>#REF!</v>
      </c>
      <c r="CX58" s="3" t="e">
        <f>IF(Explore!S58=1,20) -#REF! +#REF!</f>
        <v>#REF!</v>
      </c>
      <c r="CY58" s="134"/>
      <c r="CZ58" s="39" t="e">
        <f t="shared" ca="1" si="12"/>
        <v>#REF!</v>
      </c>
      <c r="DA58" s="39" t="e">
        <f t="shared" ca="1" si="13"/>
        <v>#REF!</v>
      </c>
      <c r="DB58" s="3" t="e">
        <f t="shared" ca="1" si="14"/>
        <v>#REF!</v>
      </c>
      <c r="DC58" s="39" t="e">
        <f t="shared" ca="1" si="15"/>
        <v>#REF!</v>
      </c>
      <c r="DD58" s="39" t="e">
        <f t="shared" ca="1" si="16"/>
        <v>#REF!</v>
      </c>
      <c r="DE58" s="3" t="e">
        <f t="shared" ca="1" si="17"/>
        <v>#REF!</v>
      </c>
      <c r="DF58" s="39" t="e">
        <f t="shared" ca="1" si="18"/>
        <v>#REF!</v>
      </c>
      <c r="DG58" s="39" t="e">
        <f t="array" ref="DG58">INDEX(#REF!,ROW()-ROW(#REF!),MATCH("Total "&amp;home_land,#REF!,0))+#REF!</f>
        <v>#REF!</v>
      </c>
      <c r="DH58" s="3" t="e">
        <f t="shared" ca="1" si="10"/>
        <v>#REF!</v>
      </c>
      <c r="DI58" s="3" t="e">
        <f t="shared" ca="1" si="0"/>
        <v>#REF!</v>
      </c>
      <c r="DJ58" s="3" t="e">
        <f t="shared" ca="1" si="1"/>
        <v>#REF!</v>
      </c>
    </row>
    <row r="59" spans="1:114" x14ac:dyDescent="0.25">
      <c r="A59" s="160" t="e">
        <f>#REF!</f>
        <v>#REF!</v>
      </c>
      <c r="B59" s="161" t="e">
        <f>SUM(#REF!)</f>
        <v>#REF!</v>
      </c>
      <c r="C59" s="162" t="e">
        <f>SUM(#REF!)</f>
        <v>#REF!</v>
      </c>
      <c r="D59" s="162">
        <f t="shared" si="11"/>
        <v>0</v>
      </c>
      <c r="E59" s="163"/>
      <c r="F59" s="61" t="e">
        <f>#REF!+#REF!+#REF!</f>
        <v>#REF!</v>
      </c>
      <c r="G59" s="171" t="e">
        <f ca="1">OFFSET(#REF!,-1,0)+#REF!</f>
        <v>#REF!</v>
      </c>
      <c r="H59" s="166" t="e">
        <f ca="1">OFFSET(#REF!,-1,0)+#REF!</f>
        <v>#REF!</v>
      </c>
      <c r="I59" s="341" t="e">
        <f ca="1">OFFSET(#REF!,-1,0)+#REF!</f>
        <v>#REF!</v>
      </c>
      <c r="J59" s="345" t="e">
        <f ca="1">OFFSET(#REF!,-1,0)+#REF!</f>
        <v>#REF!</v>
      </c>
      <c r="K59" s="349" t="e">
        <f ca="1">OFFSET(#REF!,-1,0)+#REF!</f>
        <v>#REF!</v>
      </c>
      <c r="L59" s="169" t="e">
        <f ca="1">OFFSET(#REF!,-1,0)+#REF!</f>
        <v>#REF!</v>
      </c>
      <c r="M59" s="170" t="e">
        <f ca="1">OFFSET(#REF!,-1,0)+#REF!</f>
        <v>#REF!</v>
      </c>
      <c r="N59" s="339" t="e">
        <f>#REF!</f>
        <v>#REF!</v>
      </c>
      <c r="O59" s="164"/>
      <c r="P59" s="164"/>
      <c r="Q59" s="164"/>
      <c r="R59" s="164"/>
      <c r="S59" s="164"/>
      <c r="T59" s="164"/>
      <c r="U59" s="164"/>
      <c r="V59" s="164"/>
      <c r="W59" s="164"/>
      <c r="X59" s="164"/>
      <c r="Y59" s="164"/>
      <c r="Z59" s="164"/>
      <c r="AA59" s="164"/>
      <c r="AB59" s="164"/>
      <c r="AC59" s="164"/>
      <c r="AD59" s="164"/>
      <c r="AE59" s="164"/>
      <c r="AF59" s="164"/>
      <c r="AG59" s="164"/>
      <c r="AH59" s="53" t="e">
        <f>#REF!</f>
        <v>#REF!</v>
      </c>
      <c r="AI59" s="132" t="e">
        <f>MIN(25%,(#REF!+#REF!)/(#REF!-#REF!*20))</f>
        <v>#REF!</v>
      </c>
      <c r="AJ59" s="132" t="e">
        <f>MIN(25%,(#REF!+#REF!)/#REF!)</f>
        <v>#REF!</v>
      </c>
      <c r="AK59" s="39" t="e">
        <f>#REF!</f>
        <v>#REF!</v>
      </c>
      <c r="AL59" s="39" t="e">
        <f>#REF!</f>
        <v>#REF!</v>
      </c>
      <c r="AM59" s="39" t="e">
        <f>ROUNDDOWN( MAX((1 - MIN(facs_constr_factor*#REF!,facs_constr_max) + tech_2_3*#REF! + tech_2_6_2*#REF! + tech_2_10*#REF! + tech_4_6*#REF! + tech_6_3*#REF! + tech_9_2*#REF! + race_construction_cost), 1-global_constr_cap) *#REF!,0)</f>
        <v>#REF!</v>
      </c>
      <c r="AN59" s="39" t="e">
        <f>ROUNDDOWN( MAX(1 - MIN(facs_constr_factor*#REF!,facs_constr_max) + tech_1_11*#REF! + tech_6_3_2*#REF! + tech_5_2_3*#REF!, 1-global_constr_cap) *#REF!,0)</f>
        <v>#REF!</v>
      </c>
      <c r="AO59" s="39" t="e">
        <f>ROUNDDOWN( MAX((1 - MIN(facs_constr_factor*#REF!,facs_constr_max) + tech_2_3*#REF! + tech_2_6_2*#REF! + tech_2_10*#REF! + tech_4_6*#REF! + tech_6_3*#REF! + tech_9_2*#REF! + race_construction_cost), 1-global_constr_cap) * (ROUND((#REF!-250)*1.25 + 850 + 0,0)),0)</f>
        <v>#REF!</v>
      </c>
      <c r="AP59" s="39" t="e">
        <f>ROUNDDOWN( MAX(1 - MIN(facs_constr_factor*#REF!,facs_constr_max) + tech_1_11*#REF! + tech_6_3_2*#REF! + tech_5_2_3*#REF!, 1-global_constr_cap) * ROUND((#REF!-250)*0.285 + 87.5 + 0/4.25,0),0)</f>
        <v>#REF!</v>
      </c>
      <c r="AQ59" s="3" t="e">
        <f>#REF!*#REF! +#REF! *#REF!</f>
        <v>#REF!</v>
      </c>
      <c r="AR59" s="3" t="e">
        <f>#REF!*#REF!+#REF!*#REF!</f>
        <v>#REF!</v>
      </c>
      <c r="AS59" s="39" t="e">
        <f ca="1">MIN(SUM(OFFSET(#REF!,-1,0))+SUM(#REF!)+IF(#REF!&gt;12,SUM(OFFSET(#REF!,-12,0)),0),SUM(#REF!))</f>
        <v>#REF!</v>
      </c>
      <c r="AT59" s="3" t="e">
        <f ca="1">IF(#REF!&lt;&gt;0,MAX(0, MIN(20, 20 + SUM(#REF!) - SUM(#REF!) - SUM(OFFSET(#REF!,-1,0)) - IF(#REF!&gt;12,SUM(OFFSET(#REF!,-12,0)),0) - 20*#REF!)),0)</f>
        <v>#REF!</v>
      </c>
      <c r="AU59" s="134"/>
      <c r="AV59" s="39" t="e">
        <f>ROUND((#REF!-250 - IF(#REF!&lt;&gt;0,20,0))*1.25 + 850 + 0,0)</f>
        <v>#REF!</v>
      </c>
      <c r="AW59" s="39" t="e">
        <f>ROUND((#REF!-250 - IF(#REF!&lt;&gt;0,20,0))*0.285 + 87.5 + 0/4.25,0)</f>
        <v>#REF!</v>
      </c>
      <c r="AX59" s="133"/>
      <c r="AY59" s="172" t="e">
        <f t="array" aca="1" ref="AY59" ca="1">IF(#REF!&gt;12,OFFSET(#REF!,-12,0),0)+OFFSET(#REF!,-1,0)-#REF!</f>
        <v>#REF!</v>
      </c>
      <c r="AZ59" s="173" t="e">
        <f t="array" aca="1" ref="AZ59" ca="1">IF(#REF!&gt;12,OFFSET(#REF!,-12,0),0)+OFFSET(#REF!,-1,0)-#REF!</f>
        <v>#REF!</v>
      </c>
      <c r="BA59" s="173" t="e">
        <f t="array" aca="1" ref="BA59" ca="1">IF(#REF!&gt;12,OFFSET(#REF!,-12,0),0)+OFFSET(#REF!,-1,0)-#REF!</f>
        <v>#REF!</v>
      </c>
      <c r="BB59" s="173" t="e">
        <f t="array" aca="1" ref="BB59" ca="1">IF(#REF!&gt;12,OFFSET(#REF!,-12,0),0)+OFFSET(#REF!,-1,0)-#REF!</f>
        <v>#REF!</v>
      </c>
      <c r="BC59" s="173" t="e">
        <f t="array" aca="1" ref="BC59" ca="1">IF(#REF!&gt;12,OFFSET(#REF!,-12,0),0)+OFFSET(#REF!,-1,0)-#REF!</f>
        <v>#REF!</v>
      </c>
      <c r="BD59" s="174" t="e">
        <f t="array" aca="1" ref="BD59" ca="1">IF(#REF!&gt;12,OFFSET(#REF!,-12,0),0)+OFFSET(#REF!,-1,0)-#REF!</f>
        <v>#REF!</v>
      </c>
      <c r="BE59" s="174" t="e">
        <f t="array" aca="1" ref="BE59" ca="1">IF(#REF!&gt;12,OFFSET(#REF!,-12,0),0)+OFFSET(#REF!,-1,0)-#REF!</f>
        <v>#REF!</v>
      </c>
      <c r="BF59" s="343" t="e">
        <f t="array" aca="1" ref="BF59" ca="1">IF(#REF!&gt;12,OFFSET(#REF!,-12,0),0)+OFFSET(#REF!,-1,0)-#REF!</f>
        <v>#REF!</v>
      </c>
      <c r="BG59" s="343" t="e">
        <f t="array" aca="1" ref="BG59" ca="1">IF(#REF!&gt;12,OFFSET(#REF!,-12,0),0)+OFFSET(#REF!,-1,0)-#REF!</f>
        <v>#REF!</v>
      </c>
      <c r="BH59" s="347" t="e">
        <f t="array" aca="1" ref="BH59" ca="1">IF(#REF!&gt;12,OFFSET(#REF!,-12,0),0)+OFFSET(#REF!,-1,0)-#REF!</f>
        <v>#REF!</v>
      </c>
      <c r="BI59" s="347" t="e">
        <f t="array" aca="1" ref="BI59" ca="1">IF(#REF!&gt;12,OFFSET(#REF!,-12,0),0)+OFFSET(#REF!,-1,0)-#REF!</f>
        <v>#REF!</v>
      </c>
      <c r="BJ59" s="347" t="e">
        <f t="array" aca="1" ref="BJ59" ca="1">IF(#REF!&gt;12,OFFSET(#REF!,-12,0),0)+OFFSET(#REF!,-1,0)-#REF!</f>
        <v>#REF!</v>
      </c>
      <c r="BK59" s="347" t="e">
        <f t="array" aca="1" ref="BK59" ca="1">IF(#REF!&gt;12,OFFSET(#REF!,-12,0),0)+OFFSET(#REF!,-1,0)-#REF!</f>
        <v>#REF!</v>
      </c>
      <c r="BL59" s="351" t="e">
        <f t="array" aca="1" ref="BL59" ca="1">IF(#REF!&gt;12,OFFSET(#REF!,-12,0),0)+OFFSET(#REF!,-1,0)-#REF!</f>
        <v>#REF!</v>
      </c>
      <c r="BM59" s="351" t="e">
        <f t="array" aca="1" ref="BM59" ca="1">IF(#REF!&gt;12,OFFSET(#REF!,-12,0),0)+OFFSET(#REF!,-1,0)-#REF!</f>
        <v>#REF!</v>
      </c>
      <c r="BN59" s="351" t="e">
        <f t="array" aca="1" ref="BN59" ca="1">IF(#REF!&gt;12,OFFSET(#REF!,-12,0),0)+OFFSET(#REF!,-1,0)-#REF!</f>
        <v>#REF!</v>
      </c>
      <c r="BO59" s="175" t="e">
        <f t="array" aca="1" ref="BO59" ca="1">IF(#REF!&gt;12,OFFSET(#REF!,-12,0),0)+OFFSET(#REF!,-1,0)-#REF!</f>
        <v>#REF!</v>
      </c>
      <c r="BP59" s="175" t="e">
        <f t="array" aca="1" ref="BP59" ca="1">IF(#REF!&gt;12,OFFSET(#REF!,-12,0),0)+OFFSET(#REF!,-1,0)-#REF!</f>
        <v>#REF!</v>
      </c>
      <c r="BQ59" s="176" t="e">
        <f t="array" aca="1" ref="BQ59" ca="1">IF(#REF!&gt;12,OFFSET(#REF!,-12,0),0)+OFFSET(#REF!,-1,0)-#REF!</f>
        <v>#REF!</v>
      </c>
      <c r="BR59" s="134"/>
      <c r="BS59" s="133"/>
      <c r="BT59" s="39" t="e">
        <f>#REF!</f>
        <v>#REF!</v>
      </c>
      <c r="BU59" s="147" t="e">
        <f>#REF!</f>
        <v>#REF!</v>
      </c>
      <c r="BV59" s="134"/>
      <c r="BW59" s="164"/>
      <c r="BX59" s="164"/>
      <c r="BY59" s="164"/>
      <c r="BZ59" s="164"/>
      <c r="CA59" s="164"/>
      <c r="CB59" s="164"/>
      <c r="CC59" s="164"/>
      <c r="CD59" s="164"/>
      <c r="CE59" s="164"/>
      <c r="CF59" s="164"/>
      <c r="CG59" s="164"/>
      <c r="CH59" s="164"/>
      <c r="CI59" s="164"/>
      <c r="CJ59" s="164"/>
      <c r="CK59" s="164"/>
      <c r="CL59" s="164"/>
      <c r="CM59" s="164"/>
      <c r="CN59" s="164"/>
      <c r="CO59" s="164"/>
      <c r="CP59" s="134"/>
      <c r="CQ59" s="165" t="e">
        <f ca="1">-SUM(#REF!)+SUM(#REF!)+Rezone!L59+IF("Ch_"&amp; home_land=#REF!,#REF!)+IF(#REF!&gt;12,OFFSET(#REF!,-12,0),0)</f>
        <v>#REF!</v>
      </c>
      <c r="CR59" s="166" t="e">
        <f ca="1">-SUM(#REF!)+SUM(#REF!) +Rezone!M59 + IF("Ch_"&amp; home_land=#REF!,#REF!)+IF(#REF!&gt;12,OFFSET(#REF!,-12,0),0)</f>
        <v>#REF!</v>
      </c>
      <c r="CS59" s="341" t="e">
        <f ca="1">-SUM(#REF!)+SUM(#REF!) +Rezone!N59 + IF("Ch_"&amp; home_land=#REF!,#REF!)+IF(#REF!&gt;12,OFFSET(#REF!,-12,0),0)</f>
        <v>#REF!</v>
      </c>
      <c r="CT59" s="167" t="e">
        <f ca="1">-SUM(#REF!)+SUM(#REF!) +Rezone!O59 + IF("Ch_" &amp; home_land=#REF!,#REF!)+IF(#REF!&gt;12,OFFSET(#REF!,-12,0),0)</f>
        <v>#REF!</v>
      </c>
      <c r="CU59" s="168" t="e">
        <f ca="1">-SUM(#REF!)+SUM(#REF!) +Rezone!P59 + IF("Ch_" &amp; home_land=#REF!,#REF!)+IF(#REF!&gt;12,OFFSET(#REF!,-12,0),0)</f>
        <v>#REF!</v>
      </c>
      <c r="CV59" s="169" t="e">
        <f ca="1">- SUM(#REF!)+SUM(#REF!) +Rezone!Q59 + IF("Ch_" &amp; home_land=#REF!,#REF!)+IF(#REF!&gt;12,OFFSET(#REF!,-12,0),0)</f>
        <v>#REF!</v>
      </c>
      <c r="CW59" s="170" t="e">
        <f ca="1">-#REF!+#REF! +Rezone!R59 + IF("Ch_" &amp; home_land=#REF!,#REF!)+IF(#REF!&gt;12,OFFSET(#REF!,-12,0),0)</f>
        <v>#REF!</v>
      </c>
      <c r="CX59" s="3" t="e">
        <f>IF(Explore!S59=1,20) -#REF! +#REF!</f>
        <v>#REF!</v>
      </c>
      <c r="CY59" s="134"/>
      <c r="CZ59" s="39" t="e">
        <f t="shared" ca="1" si="12"/>
        <v>#REF!</v>
      </c>
      <c r="DA59" s="39" t="e">
        <f t="shared" ca="1" si="13"/>
        <v>#REF!</v>
      </c>
      <c r="DB59" s="3" t="e">
        <f t="shared" ca="1" si="14"/>
        <v>#REF!</v>
      </c>
      <c r="DC59" s="39" t="e">
        <f t="shared" ca="1" si="15"/>
        <v>#REF!</v>
      </c>
      <c r="DD59" s="39" t="e">
        <f t="shared" ca="1" si="16"/>
        <v>#REF!</v>
      </c>
      <c r="DE59" s="3" t="e">
        <f t="shared" ca="1" si="17"/>
        <v>#REF!</v>
      </c>
      <c r="DF59" s="39" t="e">
        <f t="shared" ca="1" si="18"/>
        <v>#REF!</v>
      </c>
      <c r="DG59" s="39" t="e">
        <f t="array" ref="DG59">INDEX(#REF!,ROW()-ROW(#REF!),MATCH("Total "&amp;home_land,#REF!,0))+#REF!</f>
        <v>#REF!</v>
      </c>
      <c r="DH59" s="3" t="e">
        <f t="shared" ca="1" si="10"/>
        <v>#REF!</v>
      </c>
      <c r="DI59" s="3" t="e">
        <f t="shared" ca="1" si="0"/>
        <v>#REF!</v>
      </c>
      <c r="DJ59" s="3" t="e">
        <f t="shared" ca="1" si="1"/>
        <v>#REF!</v>
      </c>
    </row>
    <row r="60" spans="1:114" x14ac:dyDescent="0.25">
      <c r="A60" s="160" t="e">
        <f>#REF!</f>
        <v>#REF!</v>
      </c>
      <c r="B60" s="161" t="e">
        <f>SUM(#REF!)</f>
        <v>#REF!</v>
      </c>
      <c r="C60" s="162" t="e">
        <f>SUM(#REF!)</f>
        <v>#REF!</v>
      </c>
      <c r="D60" s="162">
        <f t="shared" si="11"/>
        <v>0</v>
      </c>
      <c r="E60" s="163"/>
      <c r="F60" s="61" t="e">
        <f>#REF!+#REF!+#REF!</f>
        <v>#REF!</v>
      </c>
      <c r="G60" s="171" t="e">
        <f ca="1">OFFSET(#REF!,-1,0)+#REF!</f>
        <v>#REF!</v>
      </c>
      <c r="H60" s="166" t="e">
        <f ca="1">OFFSET(#REF!,-1,0)+#REF!</f>
        <v>#REF!</v>
      </c>
      <c r="I60" s="341" t="e">
        <f ca="1">OFFSET(#REF!,-1,0)+#REF!</f>
        <v>#REF!</v>
      </c>
      <c r="J60" s="345" t="e">
        <f ca="1">OFFSET(#REF!,-1,0)+#REF!</f>
        <v>#REF!</v>
      </c>
      <c r="K60" s="349" t="e">
        <f ca="1">OFFSET(#REF!,-1,0)+#REF!</f>
        <v>#REF!</v>
      </c>
      <c r="L60" s="169" t="e">
        <f ca="1">OFFSET(#REF!,-1,0)+#REF!</f>
        <v>#REF!</v>
      </c>
      <c r="M60" s="170" t="e">
        <f ca="1">OFFSET(#REF!,-1,0)+#REF!</f>
        <v>#REF!</v>
      </c>
      <c r="N60" s="339" t="e">
        <f>#REF!</f>
        <v>#REF!</v>
      </c>
      <c r="O60" s="164"/>
      <c r="P60" s="164"/>
      <c r="Q60" s="164"/>
      <c r="R60" s="164"/>
      <c r="S60" s="164"/>
      <c r="T60" s="164"/>
      <c r="U60" s="164"/>
      <c r="V60" s="164"/>
      <c r="W60" s="164"/>
      <c r="X60" s="164"/>
      <c r="Y60" s="164"/>
      <c r="Z60" s="164"/>
      <c r="AA60" s="164"/>
      <c r="AB60" s="164"/>
      <c r="AC60" s="164"/>
      <c r="AD60" s="164"/>
      <c r="AE60" s="164"/>
      <c r="AF60" s="164"/>
      <c r="AG60" s="164"/>
      <c r="AH60" s="53" t="e">
        <f>#REF!</f>
        <v>#REF!</v>
      </c>
      <c r="AI60" s="132" t="e">
        <f>MIN(25%,(#REF!+#REF!)/(#REF!-#REF!*20))</f>
        <v>#REF!</v>
      </c>
      <c r="AJ60" s="132" t="e">
        <f>MIN(25%,(#REF!+#REF!)/#REF!)</f>
        <v>#REF!</v>
      </c>
      <c r="AK60" s="39" t="e">
        <f>#REF!</f>
        <v>#REF!</v>
      </c>
      <c r="AL60" s="39" t="e">
        <f>#REF!</f>
        <v>#REF!</v>
      </c>
      <c r="AM60" s="39" t="e">
        <f>ROUNDDOWN( MAX((1 - MIN(facs_constr_factor*#REF!,facs_constr_max) + tech_2_3*#REF! + tech_2_6_2*#REF! + tech_2_10*#REF! + tech_4_6*#REF! + tech_6_3*#REF! + tech_9_2*#REF! + race_construction_cost), 1-global_constr_cap) *#REF!,0)</f>
        <v>#REF!</v>
      </c>
      <c r="AN60" s="39" t="e">
        <f>ROUNDDOWN( MAX(1 - MIN(facs_constr_factor*#REF!,facs_constr_max) + tech_1_11*#REF! + tech_6_3_2*#REF! + tech_5_2_3*#REF!, 1-global_constr_cap) *#REF!,0)</f>
        <v>#REF!</v>
      </c>
      <c r="AO60" s="39" t="e">
        <f>ROUNDDOWN( MAX((1 - MIN(facs_constr_factor*#REF!,facs_constr_max) + tech_2_3*#REF! + tech_2_6_2*#REF! + tech_2_10*#REF! + tech_4_6*#REF! + tech_6_3*#REF! + tech_9_2*#REF! + race_construction_cost), 1-global_constr_cap) * (ROUND((#REF!-250)*1.25 + 850 + 0,0)),0)</f>
        <v>#REF!</v>
      </c>
      <c r="AP60" s="39" t="e">
        <f>ROUNDDOWN( MAX(1 - MIN(facs_constr_factor*#REF!,facs_constr_max) + tech_1_11*#REF! + tech_6_3_2*#REF! + tech_5_2_3*#REF!, 1-global_constr_cap) * ROUND((#REF!-250)*0.285 + 87.5 + 0/4.25,0),0)</f>
        <v>#REF!</v>
      </c>
      <c r="AQ60" s="3" t="e">
        <f>#REF!*#REF! +#REF! *#REF!</f>
        <v>#REF!</v>
      </c>
      <c r="AR60" s="3" t="e">
        <f>#REF!*#REF!+#REF!*#REF!</f>
        <v>#REF!</v>
      </c>
      <c r="AS60" s="39" t="e">
        <f ca="1">MIN(SUM(OFFSET(#REF!,-1,0))+SUM(#REF!)+IF(#REF!&gt;12,SUM(OFFSET(#REF!,-12,0)),0),SUM(#REF!))</f>
        <v>#REF!</v>
      </c>
      <c r="AT60" s="3" t="e">
        <f ca="1">IF(#REF!&lt;&gt;0,MAX(0, MIN(20, 20 + SUM(#REF!) - SUM(#REF!) - SUM(OFFSET(#REF!,-1,0)) - IF(#REF!&gt;12,SUM(OFFSET(#REF!,-12,0)),0) - 20*#REF!)),0)</f>
        <v>#REF!</v>
      </c>
      <c r="AU60" s="134"/>
      <c r="AV60" s="39" t="e">
        <f>ROUND((#REF!-250 - IF(#REF!&lt;&gt;0,20,0))*1.25 + 850 + 0,0)</f>
        <v>#REF!</v>
      </c>
      <c r="AW60" s="39" t="e">
        <f>ROUND((#REF!-250 - IF(#REF!&lt;&gt;0,20,0))*0.285 + 87.5 + 0/4.25,0)</f>
        <v>#REF!</v>
      </c>
      <c r="AX60" s="133"/>
      <c r="AY60" s="172" t="e">
        <f t="array" aca="1" ref="AY60" ca="1">IF(#REF!&gt;12,OFFSET(#REF!,-12,0),0)+OFFSET(#REF!,-1,0)-#REF!</f>
        <v>#REF!</v>
      </c>
      <c r="AZ60" s="173" t="e">
        <f t="array" aca="1" ref="AZ60" ca="1">IF(#REF!&gt;12,OFFSET(#REF!,-12,0),0)+OFFSET(#REF!,-1,0)-#REF!</f>
        <v>#REF!</v>
      </c>
      <c r="BA60" s="173" t="e">
        <f t="array" aca="1" ref="BA60" ca="1">IF(#REF!&gt;12,OFFSET(#REF!,-12,0),0)+OFFSET(#REF!,-1,0)-#REF!</f>
        <v>#REF!</v>
      </c>
      <c r="BB60" s="173" t="e">
        <f t="array" aca="1" ref="BB60" ca="1">IF(#REF!&gt;12,OFFSET(#REF!,-12,0),0)+OFFSET(#REF!,-1,0)-#REF!</f>
        <v>#REF!</v>
      </c>
      <c r="BC60" s="173" t="e">
        <f t="array" aca="1" ref="BC60" ca="1">IF(#REF!&gt;12,OFFSET(#REF!,-12,0),0)+OFFSET(#REF!,-1,0)-#REF!</f>
        <v>#REF!</v>
      </c>
      <c r="BD60" s="174" t="e">
        <f t="array" aca="1" ref="BD60" ca="1">IF(#REF!&gt;12,OFFSET(#REF!,-12,0),0)+OFFSET(#REF!,-1,0)-#REF!</f>
        <v>#REF!</v>
      </c>
      <c r="BE60" s="174" t="e">
        <f t="array" aca="1" ref="BE60" ca="1">IF(#REF!&gt;12,OFFSET(#REF!,-12,0),0)+OFFSET(#REF!,-1,0)-#REF!</f>
        <v>#REF!</v>
      </c>
      <c r="BF60" s="343" t="e">
        <f t="array" aca="1" ref="BF60" ca="1">IF(#REF!&gt;12,OFFSET(#REF!,-12,0),0)+OFFSET(#REF!,-1,0)-#REF!</f>
        <v>#REF!</v>
      </c>
      <c r="BG60" s="343" t="e">
        <f t="array" aca="1" ref="BG60" ca="1">IF(#REF!&gt;12,OFFSET(#REF!,-12,0),0)+OFFSET(#REF!,-1,0)-#REF!</f>
        <v>#REF!</v>
      </c>
      <c r="BH60" s="347" t="e">
        <f t="array" aca="1" ref="BH60" ca="1">IF(#REF!&gt;12,OFFSET(#REF!,-12,0),0)+OFFSET(#REF!,-1,0)-#REF!</f>
        <v>#REF!</v>
      </c>
      <c r="BI60" s="347" t="e">
        <f t="array" aca="1" ref="BI60" ca="1">IF(#REF!&gt;12,OFFSET(#REF!,-12,0),0)+OFFSET(#REF!,-1,0)-#REF!</f>
        <v>#REF!</v>
      </c>
      <c r="BJ60" s="347" t="e">
        <f t="array" aca="1" ref="BJ60" ca="1">IF(#REF!&gt;12,OFFSET(#REF!,-12,0),0)+OFFSET(#REF!,-1,0)-#REF!</f>
        <v>#REF!</v>
      </c>
      <c r="BK60" s="347" t="e">
        <f t="array" aca="1" ref="BK60" ca="1">IF(#REF!&gt;12,OFFSET(#REF!,-12,0),0)+OFFSET(#REF!,-1,0)-#REF!</f>
        <v>#REF!</v>
      </c>
      <c r="BL60" s="351" t="e">
        <f t="array" aca="1" ref="BL60" ca="1">IF(#REF!&gt;12,OFFSET(#REF!,-12,0),0)+OFFSET(#REF!,-1,0)-#REF!</f>
        <v>#REF!</v>
      </c>
      <c r="BM60" s="351" t="e">
        <f t="array" aca="1" ref="BM60" ca="1">IF(#REF!&gt;12,OFFSET(#REF!,-12,0),0)+OFFSET(#REF!,-1,0)-#REF!</f>
        <v>#REF!</v>
      </c>
      <c r="BN60" s="351" t="e">
        <f t="array" aca="1" ref="BN60" ca="1">IF(#REF!&gt;12,OFFSET(#REF!,-12,0),0)+OFFSET(#REF!,-1,0)-#REF!</f>
        <v>#REF!</v>
      </c>
      <c r="BO60" s="175" t="e">
        <f t="array" aca="1" ref="BO60" ca="1">IF(#REF!&gt;12,OFFSET(#REF!,-12,0),0)+OFFSET(#REF!,-1,0)-#REF!</f>
        <v>#REF!</v>
      </c>
      <c r="BP60" s="175" t="e">
        <f t="array" aca="1" ref="BP60" ca="1">IF(#REF!&gt;12,OFFSET(#REF!,-12,0),0)+OFFSET(#REF!,-1,0)-#REF!</f>
        <v>#REF!</v>
      </c>
      <c r="BQ60" s="176" t="e">
        <f t="array" aca="1" ref="BQ60" ca="1">IF(#REF!&gt;12,OFFSET(#REF!,-12,0),0)+OFFSET(#REF!,-1,0)-#REF!</f>
        <v>#REF!</v>
      </c>
      <c r="BR60" s="134"/>
      <c r="BS60" s="133"/>
      <c r="BT60" s="39" t="e">
        <f>#REF!</f>
        <v>#REF!</v>
      </c>
      <c r="BU60" s="147" t="e">
        <f>#REF!</f>
        <v>#REF!</v>
      </c>
      <c r="BV60" s="134"/>
      <c r="BW60" s="164"/>
      <c r="BX60" s="164"/>
      <c r="BY60" s="164"/>
      <c r="BZ60" s="164"/>
      <c r="CA60" s="164"/>
      <c r="CB60" s="164"/>
      <c r="CC60" s="164"/>
      <c r="CD60" s="164"/>
      <c r="CE60" s="164"/>
      <c r="CF60" s="164"/>
      <c r="CG60" s="164"/>
      <c r="CH60" s="164"/>
      <c r="CI60" s="164"/>
      <c r="CJ60" s="164"/>
      <c r="CK60" s="164"/>
      <c r="CL60" s="164"/>
      <c r="CM60" s="164"/>
      <c r="CN60" s="164"/>
      <c r="CO60" s="164"/>
      <c r="CP60" s="134"/>
      <c r="CQ60" s="165" t="e">
        <f ca="1">-SUM(#REF!)+SUM(#REF!)+Rezone!L60+IF("Ch_"&amp; home_land=#REF!,#REF!)+IF(#REF!&gt;12,OFFSET(#REF!,-12,0),0)</f>
        <v>#REF!</v>
      </c>
      <c r="CR60" s="166" t="e">
        <f ca="1">-SUM(#REF!)+SUM(#REF!) +Rezone!M60 + IF("Ch_"&amp; home_land=#REF!,#REF!)+IF(#REF!&gt;12,OFFSET(#REF!,-12,0),0)</f>
        <v>#REF!</v>
      </c>
      <c r="CS60" s="341" t="e">
        <f ca="1">-SUM(#REF!)+SUM(#REF!) +Rezone!N60 + IF("Ch_"&amp; home_land=#REF!,#REF!)+IF(#REF!&gt;12,OFFSET(#REF!,-12,0),0)</f>
        <v>#REF!</v>
      </c>
      <c r="CT60" s="167" t="e">
        <f ca="1">-SUM(#REF!)+SUM(#REF!) +Rezone!O60 + IF("Ch_" &amp; home_land=#REF!,#REF!)+IF(#REF!&gt;12,OFFSET(#REF!,-12,0),0)</f>
        <v>#REF!</v>
      </c>
      <c r="CU60" s="168" t="e">
        <f ca="1">-SUM(#REF!)+SUM(#REF!) +Rezone!P60 + IF("Ch_" &amp; home_land=#REF!,#REF!)+IF(#REF!&gt;12,OFFSET(#REF!,-12,0),0)</f>
        <v>#REF!</v>
      </c>
      <c r="CV60" s="169" t="e">
        <f ca="1">- SUM(#REF!)+SUM(#REF!) +Rezone!Q60 + IF("Ch_" &amp; home_land=#REF!,#REF!)+IF(#REF!&gt;12,OFFSET(#REF!,-12,0),0)</f>
        <v>#REF!</v>
      </c>
      <c r="CW60" s="170" t="e">
        <f ca="1">-#REF!+#REF! +Rezone!R60 + IF("Ch_" &amp; home_land=#REF!,#REF!)+IF(#REF!&gt;12,OFFSET(#REF!,-12,0),0)</f>
        <v>#REF!</v>
      </c>
      <c r="CX60" s="3" t="e">
        <f>IF(Explore!S60=1,20) -#REF! +#REF!</f>
        <v>#REF!</v>
      </c>
      <c r="CY60" s="134"/>
      <c r="CZ60" s="39" t="e">
        <f t="shared" ca="1" si="12"/>
        <v>#REF!</v>
      </c>
      <c r="DA60" s="39" t="e">
        <f t="shared" ca="1" si="13"/>
        <v>#REF!</v>
      </c>
      <c r="DB60" s="3" t="e">
        <f t="shared" ca="1" si="14"/>
        <v>#REF!</v>
      </c>
      <c r="DC60" s="39" t="e">
        <f t="shared" ca="1" si="15"/>
        <v>#REF!</v>
      </c>
      <c r="DD60" s="39" t="e">
        <f t="shared" ca="1" si="16"/>
        <v>#REF!</v>
      </c>
      <c r="DE60" s="3" t="e">
        <f t="shared" ca="1" si="17"/>
        <v>#REF!</v>
      </c>
      <c r="DF60" s="39" t="e">
        <f t="shared" ca="1" si="18"/>
        <v>#REF!</v>
      </c>
      <c r="DG60" s="39" t="e">
        <f t="array" ref="DG60">INDEX(#REF!,ROW()-ROW(#REF!),MATCH("Total "&amp;home_land,#REF!,0))+#REF!</f>
        <v>#REF!</v>
      </c>
      <c r="DH60" s="3" t="e">
        <f t="shared" ca="1" si="10"/>
        <v>#REF!</v>
      </c>
      <c r="DI60" s="3" t="e">
        <f t="shared" ca="1" si="0"/>
        <v>#REF!</v>
      </c>
      <c r="DJ60" s="3" t="e">
        <f t="shared" ca="1" si="1"/>
        <v>#REF!</v>
      </c>
    </row>
    <row r="61" spans="1:114" x14ac:dyDescent="0.25">
      <c r="A61" s="160" t="e">
        <f>#REF!</f>
        <v>#REF!</v>
      </c>
      <c r="B61" s="161" t="e">
        <f>SUM(#REF!)</f>
        <v>#REF!</v>
      </c>
      <c r="C61" s="162" t="e">
        <f>SUM(#REF!)</f>
        <v>#REF!</v>
      </c>
      <c r="D61" s="162">
        <f t="shared" si="11"/>
        <v>0</v>
      </c>
      <c r="E61" s="163"/>
      <c r="F61" s="61" t="e">
        <f>#REF!+#REF!+#REF!</f>
        <v>#REF!</v>
      </c>
      <c r="G61" s="171" t="e">
        <f ca="1">OFFSET(#REF!,-1,0)+#REF!</f>
        <v>#REF!</v>
      </c>
      <c r="H61" s="166" t="e">
        <f ca="1">OFFSET(#REF!,-1,0)+#REF!</f>
        <v>#REF!</v>
      </c>
      <c r="I61" s="341" t="e">
        <f ca="1">OFFSET(#REF!,-1,0)+#REF!</f>
        <v>#REF!</v>
      </c>
      <c r="J61" s="345" t="e">
        <f ca="1">OFFSET(#REF!,-1,0)+#REF!</f>
        <v>#REF!</v>
      </c>
      <c r="K61" s="349" t="e">
        <f ca="1">OFFSET(#REF!,-1,0)+#REF!</f>
        <v>#REF!</v>
      </c>
      <c r="L61" s="169" t="e">
        <f ca="1">OFFSET(#REF!,-1,0)+#REF!</f>
        <v>#REF!</v>
      </c>
      <c r="M61" s="170" t="e">
        <f ca="1">OFFSET(#REF!,-1,0)+#REF!</f>
        <v>#REF!</v>
      </c>
      <c r="N61" s="339" t="e">
        <f>#REF!</f>
        <v>#REF!</v>
      </c>
      <c r="O61" s="164"/>
      <c r="P61" s="164"/>
      <c r="Q61" s="164"/>
      <c r="R61" s="164"/>
      <c r="S61" s="164"/>
      <c r="T61" s="164"/>
      <c r="U61" s="164"/>
      <c r="V61" s="164"/>
      <c r="W61" s="164"/>
      <c r="X61" s="164"/>
      <c r="Y61" s="164"/>
      <c r="Z61" s="164"/>
      <c r="AA61" s="164"/>
      <c r="AB61" s="164"/>
      <c r="AC61" s="164"/>
      <c r="AD61" s="164"/>
      <c r="AE61" s="164"/>
      <c r="AF61" s="164"/>
      <c r="AG61" s="164"/>
      <c r="AH61" s="53" t="e">
        <f>#REF!</f>
        <v>#REF!</v>
      </c>
      <c r="AI61" s="132" t="e">
        <f>MIN(25%,(#REF!+#REF!)/(#REF!-#REF!*20))</f>
        <v>#REF!</v>
      </c>
      <c r="AJ61" s="132" t="e">
        <f>MIN(25%,(#REF!+#REF!)/#REF!)</f>
        <v>#REF!</v>
      </c>
      <c r="AK61" s="39" t="e">
        <f>#REF!</f>
        <v>#REF!</v>
      </c>
      <c r="AL61" s="39" t="e">
        <f>#REF!</f>
        <v>#REF!</v>
      </c>
      <c r="AM61" s="39" t="e">
        <f>ROUNDDOWN( MAX((1 - MIN(facs_constr_factor*#REF!,facs_constr_max) + tech_2_3*#REF! + tech_2_6_2*#REF! + tech_2_10*#REF! + tech_4_6*#REF! + tech_6_3*#REF! + tech_9_2*#REF! + race_construction_cost), 1-global_constr_cap) *#REF!,0)</f>
        <v>#REF!</v>
      </c>
      <c r="AN61" s="39" t="e">
        <f>ROUNDDOWN( MAX(1 - MIN(facs_constr_factor*#REF!,facs_constr_max) + tech_1_11*#REF! + tech_6_3_2*#REF! + tech_5_2_3*#REF!, 1-global_constr_cap) *#REF!,0)</f>
        <v>#REF!</v>
      </c>
      <c r="AO61" s="39" t="e">
        <f>ROUNDDOWN( MAX((1 - MIN(facs_constr_factor*#REF!,facs_constr_max) + tech_2_3*#REF! + tech_2_6_2*#REF! + tech_2_10*#REF! + tech_4_6*#REF! + tech_6_3*#REF! + tech_9_2*#REF! + race_construction_cost), 1-global_constr_cap) * (ROUND((#REF!-250)*1.25 + 850 + 0,0)),0)</f>
        <v>#REF!</v>
      </c>
      <c r="AP61" s="39" t="e">
        <f>ROUNDDOWN( MAX(1 - MIN(facs_constr_factor*#REF!,facs_constr_max) + tech_1_11*#REF! + tech_6_3_2*#REF! + tech_5_2_3*#REF!, 1-global_constr_cap) * ROUND((#REF!-250)*0.285 + 87.5 + 0/4.25,0),0)</f>
        <v>#REF!</v>
      </c>
      <c r="AQ61" s="3" t="e">
        <f>#REF!*#REF! +#REF! *#REF!</f>
        <v>#REF!</v>
      </c>
      <c r="AR61" s="3" t="e">
        <f>#REF!*#REF!+#REF!*#REF!</f>
        <v>#REF!</v>
      </c>
      <c r="AS61" s="39" t="e">
        <f ca="1">MIN(SUM(OFFSET(#REF!,-1,0))+SUM(#REF!)+IF(#REF!&gt;12,SUM(OFFSET(#REF!,-12,0)),0),SUM(#REF!))</f>
        <v>#REF!</v>
      </c>
      <c r="AT61" s="3" t="e">
        <f ca="1">IF(#REF!&lt;&gt;0,MAX(0, MIN(20, 20 + SUM(#REF!) - SUM(#REF!) - SUM(OFFSET(#REF!,-1,0)) - IF(#REF!&gt;12,SUM(OFFSET(#REF!,-12,0)),0) - 20*#REF!)),0)</f>
        <v>#REF!</v>
      </c>
      <c r="AU61" s="134"/>
      <c r="AV61" s="39" t="e">
        <f>ROUND((#REF!-250 - IF(#REF!&lt;&gt;0,20,0))*1.25 + 850 + 0,0)</f>
        <v>#REF!</v>
      </c>
      <c r="AW61" s="39" t="e">
        <f>ROUND((#REF!-250 - IF(#REF!&lt;&gt;0,20,0))*0.285 + 87.5 + 0/4.25,0)</f>
        <v>#REF!</v>
      </c>
      <c r="AX61" s="133"/>
      <c r="AY61" s="172" t="e">
        <f t="array" aca="1" ref="AY61" ca="1">IF(#REF!&gt;12,OFFSET(#REF!,-12,0),0)+OFFSET(#REF!,-1,0)-#REF!</f>
        <v>#REF!</v>
      </c>
      <c r="AZ61" s="173" t="e">
        <f t="array" aca="1" ref="AZ61" ca="1">IF(#REF!&gt;12,OFFSET(#REF!,-12,0),0)+OFFSET(#REF!,-1,0)-#REF!</f>
        <v>#REF!</v>
      </c>
      <c r="BA61" s="173" t="e">
        <f t="array" aca="1" ref="BA61" ca="1">IF(#REF!&gt;12,OFFSET(#REF!,-12,0),0)+OFFSET(#REF!,-1,0)-#REF!</f>
        <v>#REF!</v>
      </c>
      <c r="BB61" s="173" t="e">
        <f t="array" aca="1" ref="BB61" ca="1">IF(#REF!&gt;12,OFFSET(#REF!,-12,0),0)+OFFSET(#REF!,-1,0)-#REF!</f>
        <v>#REF!</v>
      </c>
      <c r="BC61" s="173" t="e">
        <f t="array" aca="1" ref="BC61" ca="1">IF(#REF!&gt;12,OFFSET(#REF!,-12,0),0)+OFFSET(#REF!,-1,0)-#REF!</f>
        <v>#REF!</v>
      </c>
      <c r="BD61" s="174" t="e">
        <f t="array" aca="1" ref="BD61" ca="1">IF(#REF!&gt;12,OFFSET(#REF!,-12,0),0)+OFFSET(#REF!,-1,0)-#REF!</f>
        <v>#REF!</v>
      </c>
      <c r="BE61" s="174" t="e">
        <f t="array" aca="1" ref="BE61" ca="1">IF(#REF!&gt;12,OFFSET(#REF!,-12,0),0)+OFFSET(#REF!,-1,0)-#REF!</f>
        <v>#REF!</v>
      </c>
      <c r="BF61" s="343" t="e">
        <f t="array" aca="1" ref="BF61" ca="1">IF(#REF!&gt;12,OFFSET(#REF!,-12,0),0)+OFFSET(#REF!,-1,0)-#REF!</f>
        <v>#REF!</v>
      </c>
      <c r="BG61" s="343" t="e">
        <f t="array" aca="1" ref="BG61" ca="1">IF(#REF!&gt;12,OFFSET(#REF!,-12,0),0)+OFFSET(#REF!,-1,0)-#REF!</f>
        <v>#REF!</v>
      </c>
      <c r="BH61" s="347" t="e">
        <f t="array" aca="1" ref="BH61" ca="1">IF(#REF!&gt;12,OFFSET(#REF!,-12,0),0)+OFFSET(#REF!,-1,0)-#REF!</f>
        <v>#REF!</v>
      </c>
      <c r="BI61" s="347" t="e">
        <f t="array" aca="1" ref="BI61" ca="1">IF(#REF!&gt;12,OFFSET(#REF!,-12,0),0)+OFFSET(#REF!,-1,0)-#REF!</f>
        <v>#REF!</v>
      </c>
      <c r="BJ61" s="347" t="e">
        <f t="array" aca="1" ref="BJ61" ca="1">IF(#REF!&gt;12,OFFSET(#REF!,-12,0),0)+OFFSET(#REF!,-1,0)-#REF!</f>
        <v>#REF!</v>
      </c>
      <c r="BK61" s="347" t="e">
        <f t="array" aca="1" ref="BK61" ca="1">IF(#REF!&gt;12,OFFSET(#REF!,-12,0),0)+OFFSET(#REF!,-1,0)-#REF!</f>
        <v>#REF!</v>
      </c>
      <c r="BL61" s="351" t="e">
        <f t="array" aca="1" ref="BL61" ca="1">IF(#REF!&gt;12,OFFSET(#REF!,-12,0),0)+OFFSET(#REF!,-1,0)-#REF!</f>
        <v>#REF!</v>
      </c>
      <c r="BM61" s="351" t="e">
        <f t="array" aca="1" ref="BM61" ca="1">IF(#REF!&gt;12,OFFSET(#REF!,-12,0),0)+OFFSET(#REF!,-1,0)-#REF!</f>
        <v>#REF!</v>
      </c>
      <c r="BN61" s="351" t="e">
        <f t="array" aca="1" ref="BN61" ca="1">IF(#REF!&gt;12,OFFSET(#REF!,-12,0),0)+OFFSET(#REF!,-1,0)-#REF!</f>
        <v>#REF!</v>
      </c>
      <c r="BO61" s="175" t="e">
        <f t="array" aca="1" ref="BO61" ca="1">IF(#REF!&gt;12,OFFSET(#REF!,-12,0),0)+OFFSET(#REF!,-1,0)-#REF!</f>
        <v>#REF!</v>
      </c>
      <c r="BP61" s="175" t="e">
        <f t="array" aca="1" ref="BP61" ca="1">IF(#REF!&gt;12,OFFSET(#REF!,-12,0),0)+OFFSET(#REF!,-1,0)-#REF!</f>
        <v>#REF!</v>
      </c>
      <c r="BQ61" s="176" t="e">
        <f t="array" aca="1" ref="BQ61" ca="1">IF(#REF!&gt;12,OFFSET(#REF!,-12,0),0)+OFFSET(#REF!,-1,0)-#REF!</f>
        <v>#REF!</v>
      </c>
      <c r="BR61" s="134"/>
      <c r="BS61" s="133"/>
      <c r="BT61" s="39" t="e">
        <f>#REF!</f>
        <v>#REF!</v>
      </c>
      <c r="BU61" s="147" t="e">
        <f>#REF!</f>
        <v>#REF!</v>
      </c>
      <c r="BV61" s="134"/>
      <c r="BW61" s="164"/>
      <c r="BX61" s="164"/>
      <c r="BY61" s="164"/>
      <c r="BZ61" s="164"/>
      <c r="CA61" s="164"/>
      <c r="CB61" s="164"/>
      <c r="CC61" s="164"/>
      <c r="CD61" s="164"/>
      <c r="CE61" s="164"/>
      <c r="CF61" s="164"/>
      <c r="CG61" s="164"/>
      <c r="CH61" s="164"/>
      <c r="CI61" s="164"/>
      <c r="CJ61" s="164"/>
      <c r="CK61" s="164"/>
      <c r="CL61" s="164"/>
      <c r="CM61" s="164"/>
      <c r="CN61" s="164"/>
      <c r="CO61" s="164"/>
      <c r="CP61" s="134"/>
      <c r="CQ61" s="165" t="e">
        <f ca="1">-SUM(#REF!)+SUM(#REF!)+Rezone!L61+IF("Ch_"&amp; home_land=#REF!,#REF!)+IF(#REF!&gt;12,OFFSET(#REF!,-12,0),0)</f>
        <v>#REF!</v>
      </c>
      <c r="CR61" s="166" t="e">
        <f ca="1">-SUM(#REF!)+SUM(#REF!) +Rezone!M61 + IF("Ch_"&amp; home_land=#REF!,#REF!)+IF(#REF!&gt;12,OFFSET(#REF!,-12,0),0)</f>
        <v>#REF!</v>
      </c>
      <c r="CS61" s="341" t="e">
        <f ca="1">-SUM(#REF!)+SUM(#REF!) +Rezone!N61 + IF("Ch_"&amp; home_land=#REF!,#REF!)+IF(#REF!&gt;12,OFFSET(#REF!,-12,0),0)</f>
        <v>#REF!</v>
      </c>
      <c r="CT61" s="167" t="e">
        <f ca="1">-SUM(#REF!)+SUM(#REF!) +Rezone!O61 + IF("Ch_" &amp; home_land=#REF!,#REF!)+IF(#REF!&gt;12,OFFSET(#REF!,-12,0),0)</f>
        <v>#REF!</v>
      </c>
      <c r="CU61" s="168" t="e">
        <f ca="1">-SUM(#REF!)+SUM(#REF!) +Rezone!P61 + IF("Ch_" &amp; home_land=#REF!,#REF!)+IF(#REF!&gt;12,OFFSET(#REF!,-12,0),0)</f>
        <v>#REF!</v>
      </c>
      <c r="CV61" s="169" t="e">
        <f ca="1">- SUM(#REF!)+SUM(#REF!) +Rezone!Q61 + IF("Ch_" &amp; home_land=#REF!,#REF!)+IF(#REF!&gt;12,OFFSET(#REF!,-12,0),0)</f>
        <v>#REF!</v>
      </c>
      <c r="CW61" s="170" t="e">
        <f ca="1">-#REF!+#REF! +Rezone!R61 + IF("Ch_" &amp; home_land=#REF!,#REF!)+IF(#REF!&gt;12,OFFSET(#REF!,-12,0),0)</f>
        <v>#REF!</v>
      </c>
      <c r="CX61" s="3" t="e">
        <f>IF(Explore!S61=1,20) -#REF! +#REF!</f>
        <v>#REF!</v>
      </c>
      <c r="CY61" s="134"/>
      <c r="CZ61" s="39" t="e">
        <f t="shared" ca="1" si="12"/>
        <v>#REF!</v>
      </c>
      <c r="DA61" s="39" t="e">
        <f t="shared" ca="1" si="13"/>
        <v>#REF!</v>
      </c>
      <c r="DB61" s="3" t="e">
        <f t="shared" ca="1" si="14"/>
        <v>#REF!</v>
      </c>
      <c r="DC61" s="39" t="e">
        <f t="shared" ca="1" si="15"/>
        <v>#REF!</v>
      </c>
      <c r="DD61" s="39" t="e">
        <f t="shared" ca="1" si="16"/>
        <v>#REF!</v>
      </c>
      <c r="DE61" s="3" t="e">
        <f t="shared" ca="1" si="17"/>
        <v>#REF!</v>
      </c>
      <c r="DF61" s="39" t="e">
        <f t="shared" ca="1" si="18"/>
        <v>#REF!</v>
      </c>
      <c r="DG61" s="39" t="e">
        <f t="array" ref="DG61">INDEX(#REF!,ROW()-ROW(#REF!),MATCH("Total "&amp;home_land,#REF!,0))+#REF!</f>
        <v>#REF!</v>
      </c>
      <c r="DH61" s="3" t="e">
        <f t="shared" ca="1" si="10"/>
        <v>#REF!</v>
      </c>
      <c r="DI61" s="3" t="e">
        <f t="shared" ca="1" si="0"/>
        <v>#REF!</v>
      </c>
      <c r="DJ61" s="3" t="e">
        <f t="shared" ca="1" si="1"/>
        <v>#REF!</v>
      </c>
    </row>
    <row r="62" spans="1:114" x14ac:dyDescent="0.25">
      <c r="A62" s="160" t="e">
        <f>#REF!</f>
        <v>#REF!</v>
      </c>
      <c r="B62" s="161" t="e">
        <f>SUM(#REF!)</f>
        <v>#REF!</v>
      </c>
      <c r="C62" s="162" t="e">
        <f>SUM(#REF!)</f>
        <v>#REF!</v>
      </c>
      <c r="D62" s="162">
        <f t="shared" si="11"/>
        <v>0</v>
      </c>
      <c r="E62" s="163"/>
      <c r="F62" s="61" t="e">
        <f>#REF!+#REF!+#REF!</f>
        <v>#REF!</v>
      </c>
      <c r="G62" s="171" t="e">
        <f ca="1">OFFSET(#REF!,-1,0)+#REF!</f>
        <v>#REF!</v>
      </c>
      <c r="H62" s="166" t="e">
        <f ca="1">OFFSET(#REF!,-1,0)+#REF!</f>
        <v>#REF!</v>
      </c>
      <c r="I62" s="341" t="e">
        <f ca="1">OFFSET(#REF!,-1,0)+#REF!</f>
        <v>#REF!</v>
      </c>
      <c r="J62" s="345" t="e">
        <f ca="1">OFFSET(#REF!,-1,0)+#REF!</f>
        <v>#REF!</v>
      </c>
      <c r="K62" s="349" t="e">
        <f ca="1">OFFSET(#REF!,-1,0)+#REF!</f>
        <v>#REF!</v>
      </c>
      <c r="L62" s="169" t="e">
        <f ca="1">OFFSET(#REF!,-1,0)+#REF!</f>
        <v>#REF!</v>
      </c>
      <c r="M62" s="170" t="e">
        <f ca="1">OFFSET(#REF!,-1,0)+#REF!</f>
        <v>#REF!</v>
      </c>
      <c r="N62" s="339" t="e">
        <f>#REF!</f>
        <v>#REF!</v>
      </c>
      <c r="O62" s="164"/>
      <c r="P62" s="164"/>
      <c r="Q62" s="164"/>
      <c r="R62" s="164"/>
      <c r="S62" s="164"/>
      <c r="T62" s="164"/>
      <c r="U62" s="164"/>
      <c r="V62" s="164"/>
      <c r="W62" s="164"/>
      <c r="X62" s="164"/>
      <c r="Y62" s="164"/>
      <c r="Z62" s="164"/>
      <c r="AA62" s="164"/>
      <c r="AB62" s="164"/>
      <c r="AC62" s="164"/>
      <c r="AD62" s="164"/>
      <c r="AE62" s="164"/>
      <c r="AF62" s="164"/>
      <c r="AG62" s="164"/>
      <c r="AH62" s="53" t="e">
        <f>#REF!</f>
        <v>#REF!</v>
      </c>
      <c r="AI62" s="132" t="e">
        <f>MIN(25%,(#REF!+#REF!)/(#REF!-#REF!*20))</f>
        <v>#REF!</v>
      </c>
      <c r="AJ62" s="132" t="e">
        <f>MIN(25%,(#REF!+#REF!)/#REF!)</f>
        <v>#REF!</v>
      </c>
      <c r="AK62" s="39" t="e">
        <f>#REF!</f>
        <v>#REF!</v>
      </c>
      <c r="AL62" s="39" t="e">
        <f>#REF!</f>
        <v>#REF!</v>
      </c>
      <c r="AM62" s="39" t="e">
        <f>ROUNDDOWN( MAX((1 - MIN(facs_constr_factor*#REF!,facs_constr_max) + tech_2_3*#REF! + tech_2_6_2*#REF! + tech_2_10*#REF! + tech_4_6*#REF! + tech_6_3*#REF! + tech_9_2*#REF! + race_construction_cost), 1-global_constr_cap) *#REF!,0)</f>
        <v>#REF!</v>
      </c>
      <c r="AN62" s="39" t="e">
        <f>ROUNDDOWN( MAX(1 - MIN(facs_constr_factor*#REF!,facs_constr_max) + tech_1_11*#REF! + tech_6_3_2*#REF! + tech_5_2_3*#REF!, 1-global_constr_cap) *#REF!,0)</f>
        <v>#REF!</v>
      </c>
      <c r="AO62" s="39" t="e">
        <f>ROUNDDOWN( MAX((1 - MIN(facs_constr_factor*#REF!,facs_constr_max) + tech_2_3*#REF! + tech_2_6_2*#REF! + tech_2_10*#REF! + tech_4_6*#REF! + tech_6_3*#REF! + tech_9_2*#REF! + race_construction_cost), 1-global_constr_cap) * (ROUND((#REF!-250)*1.25 + 850 + 0,0)),0)</f>
        <v>#REF!</v>
      </c>
      <c r="AP62" s="39" t="e">
        <f>ROUNDDOWN( MAX(1 - MIN(facs_constr_factor*#REF!,facs_constr_max) + tech_1_11*#REF! + tech_6_3_2*#REF! + tech_5_2_3*#REF!, 1-global_constr_cap) * ROUND((#REF!-250)*0.285 + 87.5 + 0/4.25,0),0)</f>
        <v>#REF!</v>
      </c>
      <c r="AQ62" s="3" t="e">
        <f>#REF!*#REF! +#REF! *#REF!</f>
        <v>#REF!</v>
      </c>
      <c r="AR62" s="3" t="e">
        <f>#REF!*#REF!+#REF!*#REF!</f>
        <v>#REF!</v>
      </c>
      <c r="AS62" s="39" t="e">
        <f ca="1">MIN(SUM(OFFSET(#REF!,-1,0))+SUM(#REF!)+IF(#REF!&gt;12,SUM(OFFSET(#REF!,-12,0)),0),SUM(#REF!))</f>
        <v>#REF!</v>
      </c>
      <c r="AT62" s="3" t="e">
        <f ca="1">IF(#REF!&lt;&gt;0,MAX(0, MIN(20, 20 + SUM(#REF!) - SUM(#REF!) - SUM(OFFSET(#REF!,-1,0)) - IF(#REF!&gt;12,SUM(OFFSET(#REF!,-12,0)),0) - 20*#REF!)),0)</f>
        <v>#REF!</v>
      </c>
      <c r="AU62" s="134"/>
      <c r="AV62" s="39" t="e">
        <f>ROUND((#REF!-250 - IF(#REF!&lt;&gt;0,20,0))*1.25 + 850 + 0,0)</f>
        <v>#REF!</v>
      </c>
      <c r="AW62" s="39" t="e">
        <f>ROUND((#REF!-250 - IF(#REF!&lt;&gt;0,20,0))*0.285 + 87.5 + 0/4.25,0)</f>
        <v>#REF!</v>
      </c>
      <c r="AX62" s="133"/>
      <c r="AY62" s="172" t="e">
        <f t="array" aca="1" ref="AY62" ca="1">IF(#REF!&gt;12,OFFSET(#REF!,-12,0),0)+OFFSET(#REF!,-1,0)-#REF!</f>
        <v>#REF!</v>
      </c>
      <c r="AZ62" s="173" t="e">
        <f t="array" aca="1" ref="AZ62" ca="1">IF(#REF!&gt;12,OFFSET(#REF!,-12,0),0)+OFFSET(#REF!,-1,0)-#REF!</f>
        <v>#REF!</v>
      </c>
      <c r="BA62" s="173" t="e">
        <f t="array" aca="1" ref="BA62" ca="1">IF(#REF!&gt;12,OFFSET(#REF!,-12,0),0)+OFFSET(#REF!,-1,0)-#REF!</f>
        <v>#REF!</v>
      </c>
      <c r="BB62" s="173" t="e">
        <f t="array" aca="1" ref="BB62" ca="1">IF(#REF!&gt;12,OFFSET(#REF!,-12,0),0)+OFFSET(#REF!,-1,0)-#REF!</f>
        <v>#REF!</v>
      </c>
      <c r="BC62" s="173" t="e">
        <f t="array" aca="1" ref="BC62" ca="1">IF(#REF!&gt;12,OFFSET(#REF!,-12,0),0)+OFFSET(#REF!,-1,0)-#REF!</f>
        <v>#REF!</v>
      </c>
      <c r="BD62" s="174" t="e">
        <f t="array" aca="1" ref="BD62" ca="1">IF(#REF!&gt;12,OFFSET(#REF!,-12,0),0)+OFFSET(#REF!,-1,0)-#REF!</f>
        <v>#REF!</v>
      </c>
      <c r="BE62" s="174" t="e">
        <f t="array" aca="1" ref="BE62" ca="1">IF(#REF!&gt;12,OFFSET(#REF!,-12,0),0)+OFFSET(#REF!,-1,0)-#REF!</f>
        <v>#REF!</v>
      </c>
      <c r="BF62" s="343" t="e">
        <f t="array" aca="1" ref="BF62" ca="1">IF(#REF!&gt;12,OFFSET(#REF!,-12,0),0)+OFFSET(#REF!,-1,0)-#REF!</f>
        <v>#REF!</v>
      </c>
      <c r="BG62" s="343" t="e">
        <f t="array" aca="1" ref="BG62" ca="1">IF(#REF!&gt;12,OFFSET(#REF!,-12,0),0)+OFFSET(#REF!,-1,0)-#REF!</f>
        <v>#REF!</v>
      </c>
      <c r="BH62" s="347" t="e">
        <f t="array" aca="1" ref="BH62" ca="1">IF(#REF!&gt;12,OFFSET(#REF!,-12,0),0)+OFFSET(#REF!,-1,0)-#REF!</f>
        <v>#REF!</v>
      </c>
      <c r="BI62" s="347" t="e">
        <f t="array" aca="1" ref="BI62" ca="1">IF(#REF!&gt;12,OFFSET(#REF!,-12,0),0)+OFFSET(#REF!,-1,0)-#REF!</f>
        <v>#REF!</v>
      </c>
      <c r="BJ62" s="347" t="e">
        <f t="array" aca="1" ref="BJ62" ca="1">IF(#REF!&gt;12,OFFSET(#REF!,-12,0),0)+OFFSET(#REF!,-1,0)-#REF!</f>
        <v>#REF!</v>
      </c>
      <c r="BK62" s="347" t="e">
        <f t="array" aca="1" ref="BK62" ca="1">IF(#REF!&gt;12,OFFSET(#REF!,-12,0),0)+OFFSET(#REF!,-1,0)-#REF!</f>
        <v>#REF!</v>
      </c>
      <c r="BL62" s="351" t="e">
        <f t="array" aca="1" ref="BL62" ca="1">IF(#REF!&gt;12,OFFSET(#REF!,-12,0),0)+OFFSET(#REF!,-1,0)-#REF!</f>
        <v>#REF!</v>
      </c>
      <c r="BM62" s="351" t="e">
        <f t="array" aca="1" ref="BM62" ca="1">IF(#REF!&gt;12,OFFSET(#REF!,-12,0),0)+OFFSET(#REF!,-1,0)-#REF!</f>
        <v>#REF!</v>
      </c>
      <c r="BN62" s="351" t="e">
        <f t="array" aca="1" ref="BN62" ca="1">IF(#REF!&gt;12,OFFSET(#REF!,-12,0),0)+OFFSET(#REF!,-1,0)-#REF!</f>
        <v>#REF!</v>
      </c>
      <c r="BO62" s="175" t="e">
        <f t="array" aca="1" ref="BO62" ca="1">IF(#REF!&gt;12,OFFSET(#REF!,-12,0),0)+OFFSET(#REF!,-1,0)-#REF!</f>
        <v>#REF!</v>
      </c>
      <c r="BP62" s="175" t="e">
        <f t="array" aca="1" ref="BP62" ca="1">IF(#REF!&gt;12,OFFSET(#REF!,-12,0),0)+OFFSET(#REF!,-1,0)-#REF!</f>
        <v>#REF!</v>
      </c>
      <c r="BQ62" s="176" t="e">
        <f t="array" aca="1" ref="BQ62" ca="1">IF(#REF!&gt;12,OFFSET(#REF!,-12,0),0)+OFFSET(#REF!,-1,0)-#REF!</f>
        <v>#REF!</v>
      </c>
      <c r="BR62" s="134"/>
      <c r="BS62" s="133"/>
      <c r="BT62" s="39" t="e">
        <f>#REF!</f>
        <v>#REF!</v>
      </c>
      <c r="BU62" s="147" t="e">
        <f>#REF!</f>
        <v>#REF!</v>
      </c>
      <c r="BV62" s="134"/>
      <c r="BW62" s="164"/>
      <c r="BX62" s="164"/>
      <c r="BY62" s="164"/>
      <c r="BZ62" s="164"/>
      <c r="CA62" s="164"/>
      <c r="CB62" s="164"/>
      <c r="CC62" s="164"/>
      <c r="CD62" s="164"/>
      <c r="CE62" s="164"/>
      <c r="CF62" s="164"/>
      <c r="CG62" s="164"/>
      <c r="CH62" s="164"/>
      <c r="CI62" s="164"/>
      <c r="CJ62" s="164"/>
      <c r="CK62" s="164"/>
      <c r="CL62" s="164"/>
      <c r="CM62" s="164"/>
      <c r="CN62" s="164"/>
      <c r="CO62" s="164"/>
      <c r="CP62" s="134"/>
      <c r="CQ62" s="165" t="e">
        <f ca="1">-SUM(#REF!)+SUM(#REF!)+Rezone!L62+IF("Ch_"&amp; home_land=#REF!,#REF!)+IF(#REF!&gt;12,OFFSET(#REF!,-12,0),0)</f>
        <v>#REF!</v>
      </c>
      <c r="CR62" s="166" t="e">
        <f ca="1">-SUM(#REF!)+SUM(#REF!) +Rezone!M62 + IF("Ch_"&amp; home_land=#REF!,#REF!)+IF(#REF!&gt;12,OFFSET(#REF!,-12,0),0)</f>
        <v>#REF!</v>
      </c>
      <c r="CS62" s="341" t="e">
        <f ca="1">-SUM(#REF!)+SUM(#REF!) +Rezone!N62 + IF("Ch_"&amp; home_land=#REF!,#REF!)+IF(#REF!&gt;12,OFFSET(#REF!,-12,0),0)</f>
        <v>#REF!</v>
      </c>
      <c r="CT62" s="167" t="e">
        <f ca="1">-SUM(#REF!)+SUM(#REF!) +Rezone!O62 + IF("Ch_" &amp; home_land=#REF!,#REF!)+IF(#REF!&gt;12,OFFSET(#REF!,-12,0),0)</f>
        <v>#REF!</v>
      </c>
      <c r="CU62" s="168" t="e">
        <f ca="1">-SUM(#REF!)+SUM(#REF!) +Rezone!P62 + IF("Ch_" &amp; home_land=#REF!,#REF!)+IF(#REF!&gt;12,OFFSET(#REF!,-12,0),0)</f>
        <v>#REF!</v>
      </c>
      <c r="CV62" s="169" t="e">
        <f ca="1">- SUM(#REF!)+SUM(#REF!) +Rezone!Q62 + IF("Ch_" &amp; home_land=#REF!,#REF!)+IF(#REF!&gt;12,OFFSET(#REF!,-12,0),0)</f>
        <v>#REF!</v>
      </c>
      <c r="CW62" s="170" t="e">
        <f ca="1">-#REF!+#REF! +Rezone!R62 + IF("Ch_" &amp; home_land=#REF!,#REF!)+IF(#REF!&gt;12,OFFSET(#REF!,-12,0),0)</f>
        <v>#REF!</v>
      </c>
      <c r="CX62" s="3" t="e">
        <f>IF(Explore!S62=1,20) -#REF! +#REF!</f>
        <v>#REF!</v>
      </c>
      <c r="CY62" s="134"/>
      <c r="CZ62" s="39" t="e">
        <f t="shared" ca="1" si="12"/>
        <v>#REF!</v>
      </c>
      <c r="DA62" s="39" t="e">
        <f t="shared" ca="1" si="13"/>
        <v>#REF!</v>
      </c>
      <c r="DB62" s="3" t="e">
        <f t="shared" ca="1" si="14"/>
        <v>#REF!</v>
      </c>
      <c r="DC62" s="39" t="e">
        <f t="shared" ca="1" si="15"/>
        <v>#REF!</v>
      </c>
      <c r="DD62" s="39" t="e">
        <f t="shared" ca="1" si="16"/>
        <v>#REF!</v>
      </c>
      <c r="DE62" s="3" t="e">
        <f t="shared" ca="1" si="17"/>
        <v>#REF!</v>
      </c>
      <c r="DF62" s="39" t="e">
        <f t="shared" ca="1" si="18"/>
        <v>#REF!</v>
      </c>
      <c r="DG62" s="39" t="e">
        <f t="array" ref="DG62">INDEX(#REF!,ROW()-ROW(#REF!),MATCH("Total "&amp;home_land,#REF!,0))+#REF!</f>
        <v>#REF!</v>
      </c>
      <c r="DH62" s="3" t="e">
        <f t="shared" ca="1" si="10"/>
        <v>#REF!</v>
      </c>
      <c r="DI62" s="3" t="e">
        <f t="shared" ca="1" si="0"/>
        <v>#REF!</v>
      </c>
      <c r="DJ62" s="3" t="e">
        <f t="shared" ca="1" si="1"/>
        <v>#REF!</v>
      </c>
    </row>
    <row r="63" spans="1:114" x14ac:dyDescent="0.25">
      <c r="A63" s="160" t="e">
        <f>#REF!</f>
        <v>#REF!</v>
      </c>
      <c r="B63" s="161" t="e">
        <f>SUM(#REF!)</f>
        <v>#REF!</v>
      </c>
      <c r="C63" s="162" t="e">
        <f>SUM(#REF!)</f>
        <v>#REF!</v>
      </c>
      <c r="D63" s="162">
        <f t="shared" si="11"/>
        <v>0</v>
      </c>
      <c r="E63" s="163"/>
      <c r="F63" s="61" t="e">
        <f>#REF!+#REF!+#REF!</f>
        <v>#REF!</v>
      </c>
      <c r="G63" s="171" t="e">
        <f ca="1">OFFSET(#REF!,-1,0)+#REF!</f>
        <v>#REF!</v>
      </c>
      <c r="H63" s="166" t="e">
        <f ca="1">OFFSET(#REF!,-1,0)+#REF!</f>
        <v>#REF!</v>
      </c>
      <c r="I63" s="341" t="e">
        <f ca="1">OFFSET(#REF!,-1,0)+#REF!</f>
        <v>#REF!</v>
      </c>
      <c r="J63" s="345" t="e">
        <f ca="1">OFFSET(#REF!,-1,0)+#REF!</f>
        <v>#REF!</v>
      </c>
      <c r="K63" s="349" t="e">
        <f ca="1">OFFSET(#REF!,-1,0)+#REF!</f>
        <v>#REF!</v>
      </c>
      <c r="L63" s="169" t="e">
        <f ca="1">OFFSET(#REF!,-1,0)+#REF!</f>
        <v>#REF!</v>
      </c>
      <c r="M63" s="170" t="e">
        <f ca="1">OFFSET(#REF!,-1,0)+#REF!</f>
        <v>#REF!</v>
      </c>
      <c r="N63" s="339" t="e">
        <f>#REF!</f>
        <v>#REF!</v>
      </c>
      <c r="O63" s="164"/>
      <c r="P63" s="164"/>
      <c r="Q63" s="164"/>
      <c r="R63" s="164"/>
      <c r="S63" s="164"/>
      <c r="T63" s="164"/>
      <c r="U63" s="164"/>
      <c r="V63" s="164"/>
      <c r="W63" s="164"/>
      <c r="X63" s="164"/>
      <c r="Y63" s="164"/>
      <c r="Z63" s="164"/>
      <c r="AA63" s="164"/>
      <c r="AB63" s="164"/>
      <c r="AC63" s="164"/>
      <c r="AD63" s="164"/>
      <c r="AE63" s="164"/>
      <c r="AF63" s="164"/>
      <c r="AG63" s="164"/>
      <c r="AH63" s="53" t="e">
        <f>#REF!</f>
        <v>#REF!</v>
      </c>
      <c r="AI63" s="132" t="e">
        <f>MIN(25%,(#REF!+#REF!)/(#REF!-#REF!*20))</f>
        <v>#REF!</v>
      </c>
      <c r="AJ63" s="132" t="e">
        <f>MIN(25%,(#REF!+#REF!)/#REF!)</f>
        <v>#REF!</v>
      </c>
      <c r="AK63" s="39" t="e">
        <f>#REF!</f>
        <v>#REF!</v>
      </c>
      <c r="AL63" s="39" t="e">
        <f>#REF!</f>
        <v>#REF!</v>
      </c>
      <c r="AM63" s="39" t="e">
        <f>ROUNDDOWN( MAX((1 - MIN(facs_constr_factor*#REF!,facs_constr_max) + tech_2_3*#REF! + tech_2_6_2*#REF! + tech_2_10*#REF! + tech_4_6*#REF! + tech_6_3*#REF! + tech_9_2*#REF! + race_construction_cost), 1-global_constr_cap) *#REF!,0)</f>
        <v>#REF!</v>
      </c>
      <c r="AN63" s="39" t="e">
        <f>ROUNDDOWN( MAX(1 - MIN(facs_constr_factor*#REF!,facs_constr_max) + tech_1_11*#REF! + tech_6_3_2*#REF! + tech_5_2_3*#REF!, 1-global_constr_cap) *#REF!,0)</f>
        <v>#REF!</v>
      </c>
      <c r="AO63" s="39" t="e">
        <f>ROUNDDOWN( MAX((1 - MIN(facs_constr_factor*#REF!,facs_constr_max) + tech_2_3*#REF! + tech_2_6_2*#REF! + tech_2_10*#REF! + tech_4_6*#REF! + tech_6_3*#REF! + tech_9_2*#REF! + race_construction_cost), 1-global_constr_cap) * (ROUND((#REF!-250)*1.25 + 850 + 0,0)),0)</f>
        <v>#REF!</v>
      </c>
      <c r="AP63" s="39" t="e">
        <f>ROUNDDOWN( MAX(1 - MIN(facs_constr_factor*#REF!,facs_constr_max) + tech_1_11*#REF! + tech_6_3_2*#REF! + tech_5_2_3*#REF!, 1-global_constr_cap) * ROUND((#REF!-250)*0.285 + 87.5 + 0/4.25,0),0)</f>
        <v>#REF!</v>
      </c>
      <c r="AQ63" s="3" t="e">
        <f>#REF!*#REF! +#REF! *#REF!</f>
        <v>#REF!</v>
      </c>
      <c r="AR63" s="3" t="e">
        <f>#REF!*#REF!+#REF!*#REF!</f>
        <v>#REF!</v>
      </c>
      <c r="AS63" s="39" t="e">
        <f ca="1">MIN(SUM(OFFSET(#REF!,-1,0))+SUM(#REF!)+IF(#REF!&gt;12,SUM(OFFSET(#REF!,-12,0)),0),SUM(#REF!))</f>
        <v>#REF!</v>
      </c>
      <c r="AT63" s="3" t="e">
        <f ca="1">IF(#REF!&lt;&gt;0,MAX(0, MIN(20, 20 + SUM(#REF!) - SUM(#REF!) - SUM(OFFSET(#REF!,-1,0)) - IF(#REF!&gt;12,SUM(OFFSET(#REF!,-12,0)),0) - 20*#REF!)),0)</f>
        <v>#REF!</v>
      </c>
      <c r="AU63" s="134"/>
      <c r="AV63" s="39" t="e">
        <f>ROUND((#REF!-250 - IF(#REF!&lt;&gt;0,20,0))*1.25 + 850 + 0,0)</f>
        <v>#REF!</v>
      </c>
      <c r="AW63" s="39" t="e">
        <f>ROUND((#REF!-250 - IF(#REF!&lt;&gt;0,20,0))*0.285 + 87.5 + 0/4.25,0)</f>
        <v>#REF!</v>
      </c>
      <c r="AX63" s="133"/>
      <c r="AY63" s="172" t="e">
        <f t="array" aca="1" ref="AY63" ca="1">IF(#REF!&gt;12,OFFSET(#REF!,-12,0),0)+OFFSET(#REF!,-1,0)-#REF!</f>
        <v>#REF!</v>
      </c>
      <c r="AZ63" s="173" t="e">
        <f t="array" aca="1" ref="AZ63" ca="1">IF(#REF!&gt;12,OFFSET(#REF!,-12,0),0)+OFFSET(#REF!,-1,0)-#REF!</f>
        <v>#REF!</v>
      </c>
      <c r="BA63" s="173" t="e">
        <f t="array" aca="1" ref="BA63" ca="1">IF(#REF!&gt;12,OFFSET(#REF!,-12,0),0)+OFFSET(#REF!,-1,0)-#REF!</f>
        <v>#REF!</v>
      </c>
      <c r="BB63" s="173" t="e">
        <f t="array" aca="1" ref="BB63" ca="1">IF(#REF!&gt;12,OFFSET(#REF!,-12,0),0)+OFFSET(#REF!,-1,0)-#REF!</f>
        <v>#REF!</v>
      </c>
      <c r="BC63" s="173" t="e">
        <f t="array" aca="1" ref="BC63" ca="1">IF(#REF!&gt;12,OFFSET(#REF!,-12,0),0)+OFFSET(#REF!,-1,0)-#REF!</f>
        <v>#REF!</v>
      </c>
      <c r="BD63" s="174" t="e">
        <f t="array" aca="1" ref="BD63" ca="1">IF(#REF!&gt;12,OFFSET(#REF!,-12,0),0)+OFFSET(#REF!,-1,0)-#REF!</f>
        <v>#REF!</v>
      </c>
      <c r="BE63" s="174" t="e">
        <f t="array" aca="1" ref="BE63" ca="1">IF(#REF!&gt;12,OFFSET(#REF!,-12,0),0)+OFFSET(#REF!,-1,0)-#REF!</f>
        <v>#REF!</v>
      </c>
      <c r="BF63" s="343" t="e">
        <f t="array" aca="1" ref="BF63" ca="1">IF(#REF!&gt;12,OFFSET(#REF!,-12,0),0)+OFFSET(#REF!,-1,0)-#REF!</f>
        <v>#REF!</v>
      </c>
      <c r="BG63" s="343" t="e">
        <f t="array" aca="1" ref="BG63" ca="1">IF(#REF!&gt;12,OFFSET(#REF!,-12,0),0)+OFFSET(#REF!,-1,0)-#REF!</f>
        <v>#REF!</v>
      </c>
      <c r="BH63" s="347" t="e">
        <f t="array" aca="1" ref="BH63" ca="1">IF(#REF!&gt;12,OFFSET(#REF!,-12,0),0)+OFFSET(#REF!,-1,0)-#REF!</f>
        <v>#REF!</v>
      </c>
      <c r="BI63" s="347" t="e">
        <f t="array" aca="1" ref="BI63" ca="1">IF(#REF!&gt;12,OFFSET(#REF!,-12,0),0)+OFFSET(#REF!,-1,0)-#REF!</f>
        <v>#REF!</v>
      </c>
      <c r="BJ63" s="347" t="e">
        <f t="array" aca="1" ref="BJ63" ca="1">IF(#REF!&gt;12,OFFSET(#REF!,-12,0),0)+OFFSET(#REF!,-1,0)-#REF!</f>
        <v>#REF!</v>
      </c>
      <c r="BK63" s="347" t="e">
        <f t="array" aca="1" ref="BK63" ca="1">IF(#REF!&gt;12,OFFSET(#REF!,-12,0),0)+OFFSET(#REF!,-1,0)-#REF!</f>
        <v>#REF!</v>
      </c>
      <c r="BL63" s="351" t="e">
        <f t="array" aca="1" ref="BL63" ca="1">IF(#REF!&gt;12,OFFSET(#REF!,-12,0),0)+OFFSET(#REF!,-1,0)-#REF!</f>
        <v>#REF!</v>
      </c>
      <c r="BM63" s="351" t="e">
        <f t="array" aca="1" ref="BM63" ca="1">IF(#REF!&gt;12,OFFSET(#REF!,-12,0),0)+OFFSET(#REF!,-1,0)-#REF!</f>
        <v>#REF!</v>
      </c>
      <c r="BN63" s="351" t="e">
        <f t="array" aca="1" ref="BN63" ca="1">IF(#REF!&gt;12,OFFSET(#REF!,-12,0),0)+OFFSET(#REF!,-1,0)-#REF!</f>
        <v>#REF!</v>
      </c>
      <c r="BO63" s="175" t="e">
        <f t="array" aca="1" ref="BO63" ca="1">IF(#REF!&gt;12,OFFSET(#REF!,-12,0),0)+OFFSET(#REF!,-1,0)-#REF!</f>
        <v>#REF!</v>
      </c>
      <c r="BP63" s="175" t="e">
        <f t="array" aca="1" ref="BP63" ca="1">IF(#REF!&gt;12,OFFSET(#REF!,-12,0),0)+OFFSET(#REF!,-1,0)-#REF!</f>
        <v>#REF!</v>
      </c>
      <c r="BQ63" s="176" t="e">
        <f t="array" aca="1" ref="BQ63" ca="1">IF(#REF!&gt;12,OFFSET(#REF!,-12,0),0)+OFFSET(#REF!,-1,0)-#REF!</f>
        <v>#REF!</v>
      </c>
      <c r="BR63" s="134"/>
      <c r="BS63" s="133"/>
      <c r="BT63" s="39" t="e">
        <f>#REF!</f>
        <v>#REF!</v>
      </c>
      <c r="BU63" s="147" t="e">
        <f>#REF!</f>
        <v>#REF!</v>
      </c>
      <c r="BV63" s="134"/>
      <c r="BW63" s="164"/>
      <c r="BX63" s="164"/>
      <c r="BY63" s="164"/>
      <c r="BZ63" s="164"/>
      <c r="CA63" s="164"/>
      <c r="CB63" s="164"/>
      <c r="CC63" s="164"/>
      <c r="CD63" s="164"/>
      <c r="CE63" s="164"/>
      <c r="CF63" s="164"/>
      <c r="CG63" s="164"/>
      <c r="CH63" s="164"/>
      <c r="CI63" s="164"/>
      <c r="CJ63" s="164"/>
      <c r="CK63" s="164"/>
      <c r="CL63" s="164"/>
      <c r="CM63" s="164"/>
      <c r="CN63" s="164"/>
      <c r="CO63" s="164"/>
      <c r="CP63" s="134"/>
      <c r="CQ63" s="165" t="e">
        <f ca="1">-SUM(#REF!)+SUM(#REF!)+Rezone!L63+IF("Ch_"&amp; home_land=#REF!,#REF!)+IF(#REF!&gt;12,OFFSET(#REF!,-12,0),0)</f>
        <v>#REF!</v>
      </c>
      <c r="CR63" s="166" t="e">
        <f ca="1">-SUM(#REF!)+SUM(#REF!) +Rezone!M63 + IF("Ch_"&amp; home_land=#REF!,#REF!)+IF(#REF!&gt;12,OFFSET(#REF!,-12,0),0)</f>
        <v>#REF!</v>
      </c>
      <c r="CS63" s="341" t="e">
        <f ca="1">-SUM(#REF!)+SUM(#REF!) +Rezone!N63 + IF("Ch_"&amp; home_land=#REF!,#REF!)+IF(#REF!&gt;12,OFFSET(#REF!,-12,0),0)</f>
        <v>#REF!</v>
      </c>
      <c r="CT63" s="167" t="e">
        <f ca="1">-SUM(#REF!)+SUM(#REF!) +Rezone!O63 + IF("Ch_" &amp; home_land=#REF!,#REF!)+IF(#REF!&gt;12,OFFSET(#REF!,-12,0),0)</f>
        <v>#REF!</v>
      </c>
      <c r="CU63" s="168" t="e">
        <f ca="1">-SUM(#REF!)+SUM(#REF!) +Rezone!P63 + IF("Ch_" &amp; home_land=#REF!,#REF!)+IF(#REF!&gt;12,OFFSET(#REF!,-12,0),0)</f>
        <v>#REF!</v>
      </c>
      <c r="CV63" s="169" t="e">
        <f ca="1">- SUM(#REF!)+SUM(#REF!) +Rezone!Q63 + IF("Ch_" &amp; home_land=#REF!,#REF!)+IF(#REF!&gt;12,OFFSET(#REF!,-12,0),0)</f>
        <v>#REF!</v>
      </c>
      <c r="CW63" s="170" t="e">
        <f ca="1">-#REF!+#REF! +Rezone!R63 + IF("Ch_" &amp; home_land=#REF!,#REF!)+IF(#REF!&gt;12,OFFSET(#REF!,-12,0),0)</f>
        <v>#REF!</v>
      </c>
      <c r="CX63" s="3" t="e">
        <f>IF(Explore!S63=1,20) -#REF! +#REF!</f>
        <v>#REF!</v>
      </c>
      <c r="CY63" s="134"/>
      <c r="CZ63" s="39" t="e">
        <f t="shared" ca="1" si="12"/>
        <v>#REF!</v>
      </c>
      <c r="DA63" s="39" t="e">
        <f t="shared" ca="1" si="13"/>
        <v>#REF!</v>
      </c>
      <c r="DB63" s="3" t="e">
        <f t="shared" ca="1" si="14"/>
        <v>#REF!</v>
      </c>
      <c r="DC63" s="39" t="e">
        <f t="shared" ca="1" si="15"/>
        <v>#REF!</v>
      </c>
      <c r="DD63" s="39" t="e">
        <f t="shared" ca="1" si="16"/>
        <v>#REF!</v>
      </c>
      <c r="DE63" s="3" t="e">
        <f t="shared" ca="1" si="17"/>
        <v>#REF!</v>
      </c>
      <c r="DF63" s="39" t="e">
        <f t="shared" ca="1" si="18"/>
        <v>#REF!</v>
      </c>
      <c r="DG63" s="39" t="e">
        <f t="array" ref="DG63">INDEX(#REF!,ROW()-ROW(#REF!),MATCH("Total "&amp;home_land,#REF!,0))+#REF!</f>
        <v>#REF!</v>
      </c>
      <c r="DH63" s="3" t="e">
        <f t="shared" ca="1" si="10"/>
        <v>#REF!</v>
      </c>
      <c r="DI63" s="3" t="e">
        <f t="shared" ca="1" si="0"/>
        <v>#REF!</v>
      </c>
      <c r="DJ63" s="3" t="e">
        <f t="shared" ca="1" si="1"/>
        <v>#REF!</v>
      </c>
    </row>
    <row r="64" spans="1:114" x14ac:dyDescent="0.25">
      <c r="A64" s="160" t="e">
        <f>#REF!</f>
        <v>#REF!</v>
      </c>
      <c r="B64" s="161" t="e">
        <f>SUM(#REF!)</f>
        <v>#REF!</v>
      </c>
      <c r="C64" s="162" t="e">
        <f>SUM(#REF!)</f>
        <v>#REF!</v>
      </c>
      <c r="D64" s="162">
        <f t="shared" si="11"/>
        <v>0</v>
      </c>
      <c r="E64" s="163"/>
      <c r="F64" s="61" t="e">
        <f>#REF!+#REF!+#REF!</f>
        <v>#REF!</v>
      </c>
      <c r="G64" s="171" t="e">
        <f ca="1">OFFSET(#REF!,-1,0)+#REF!</f>
        <v>#REF!</v>
      </c>
      <c r="H64" s="166" t="e">
        <f ca="1">OFFSET(#REF!,-1,0)+#REF!</f>
        <v>#REF!</v>
      </c>
      <c r="I64" s="341" t="e">
        <f ca="1">OFFSET(#REF!,-1,0)+#REF!</f>
        <v>#REF!</v>
      </c>
      <c r="J64" s="345" t="e">
        <f ca="1">OFFSET(#REF!,-1,0)+#REF!</f>
        <v>#REF!</v>
      </c>
      <c r="K64" s="349" t="e">
        <f ca="1">OFFSET(#REF!,-1,0)+#REF!</f>
        <v>#REF!</v>
      </c>
      <c r="L64" s="169" t="e">
        <f ca="1">OFFSET(#REF!,-1,0)+#REF!</f>
        <v>#REF!</v>
      </c>
      <c r="M64" s="170" t="e">
        <f ca="1">OFFSET(#REF!,-1,0)+#REF!</f>
        <v>#REF!</v>
      </c>
      <c r="N64" s="339" t="e">
        <f>#REF!</f>
        <v>#REF!</v>
      </c>
      <c r="O64" s="164"/>
      <c r="P64" s="164"/>
      <c r="Q64" s="164"/>
      <c r="R64" s="164"/>
      <c r="S64" s="164"/>
      <c r="T64" s="164"/>
      <c r="U64" s="164"/>
      <c r="V64" s="164"/>
      <c r="W64" s="164"/>
      <c r="X64" s="164"/>
      <c r="Y64" s="164"/>
      <c r="Z64" s="164"/>
      <c r="AA64" s="164"/>
      <c r="AB64" s="164"/>
      <c r="AC64" s="164"/>
      <c r="AD64" s="164"/>
      <c r="AE64" s="164"/>
      <c r="AF64" s="164"/>
      <c r="AG64" s="164"/>
      <c r="AH64" s="53" t="e">
        <f>#REF!</f>
        <v>#REF!</v>
      </c>
      <c r="AI64" s="132" t="e">
        <f>MIN(25%,(#REF!+#REF!)/(#REF!-#REF!*20))</f>
        <v>#REF!</v>
      </c>
      <c r="AJ64" s="132" t="e">
        <f>MIN(25%,(#REF!+#REF!)/#REF!)</f>
        <v>#REF!</v>
      </c>
      <c r="AK64" s="39" t="e">
        <f>#REF!</f>
        <v>#REF!</v>
      </c>
      <c r="AL64" s="39" t="e">
        <f>#REF!</f>
        <v>#REF!</v>
      </c>
      <c r="AM64" s="39" t="e">
        <f>ROUNDDOWN( MAX((1 - MIN(facs_constr_factor*#REF!,facs_constr_max) + tech_2_3*#REF! + tech_2_6_2*#REF! + tech_2_10*#REF! + tech_4_6*#REF! + tech_6_3*#REF! + tech_9_2*#REF! + race_construction_cost), 1-global_constr_cap) *#REF!,0)</f>
        <v>#REF!</v>
      </c>
      <c r="AN64" s="39" t="e">
        <f>ROUNDDOWN( MAX(1 - MIN(facs_constr_factor*#REF!,facs_constr_max) + tech_1_11*#REF! + tech_6_3_2*#REF! + tech_5_2_3*#REF!, 1-global_constr_cap) *#REF!,0)</f>
        <v>#REF!</v>
      </c>
      <c r="AO64" s="39" t="e">
        <f>ROUNDDOWN( MAX((1 - MIN(facs_constr_factor*#REF!,facs_constr_max) + tech_2_3*#REF! + tech_2_6_2*#REF! + tech_2_10*#REF! + tech_4_6*#REF! + tech_6_3*#REF! + tech_9_2*#REF! + race_construction_cost), 1-global_constr_cap) * (ROUND((#REF!-250)*1.25 + 850 + 0,0)),0)</f>
        <v>#REF!</v>
      </c>
      <c r="AP64" s="39" t="e">
        <f>ROUNDDOWN( MAX(1 - MIN(facs_constr_factor*#REF!,facs_constr_max) + tech_1_11*#REF! + tech_6_3_2*#REF! + tech_5_2_3*#REF!, 1-global_constr_cap) * ROUND((#REF!-250)*0.285 + 87.5 + 0/4.25,0),0)</f>
        <v>#REF!</v>
      </c>
      <c r="AQ64" s="3" t="e">
        <f>#REF!*#REF! +#REF! *#REF!</f>
        <v>#REF!</v>
      </c>
      <c r="AR64" s="3" t="e">
        <f>#REF!*#REF!+#REF!*#REF!</f>
        <v>#REF!</v>
      </c>
      <c r="AS64" s="39" t="e">
        <f ca="1">MIN(SUM(OFFSET(#REF!,-1,0))+SUM(#REF!)+IF(#REF!&gt;12,SUM(OFFSET(#REF!,-12,0)),0),SUM(#REF!))</f>
        <v>#REF!</v>
      </c>
      <c r="AT64" s="3" t="e">
        <f ca="1">IF(#REF!&lt;&gt;0,MAX(0, MIN(20, 20 + SUM(#REF!) - SUM(#REF!) - SUM(OFFSET(#REF!,-1,0)) - IF(#REF!&gt;12,SUM(OFFSET(#REF!,-12,0)),0) - 20*#REF!)),0)</f>
        <v>#REF!</v>
      </c>
      <c r="AU64" s="134"/>
      <c r="AV64" s="39" t="e">
        <f>ROUND((#REF!-250 - IF(#REF!&lt;&gt;0,20,0))*1.25 + 850 + 0,0)</f>
        <v>#REF!</v>
      </c>
      <c r="AW64" s="39" t="e">
        <f>ROUND((#REF!-250 - IF(#REF!&lt;&gt;0,20,0))*0.285 + 87.5 + 0/4.25,0)</f>
        <v>#REF!</v>
      </c>
      <c r="AX64" s="133"/>
      <c r="AY64" s="172" t="e">
        <f t="array" aca="1" ref="AY64" ca="1">IF(#REF!&gt;12,OFFSET(#REF!,-12,0),0)+OFFSET(#REF!,-1,0)-#REF!</f>
        <v>#REF!</v>
      </c>
      <c r="AZ64" s="173" t="e">
        <f t="array" aca="1" ref="AZ64" ca="1">IF(#REF!&gt;12,OFFSET(#REF!,-12,0),0)+OFFSET(#REF!,-1,0)-#REF!</f>
        <v>#REF!</v>
      </c>
      <c r="BA64" s="173" t="e">
        <f t="array" aca="1" ref="BA64" ca="1">IF(#REF!&gt;12,OFFSET(#REF!,-12,0),0)+OFFSET(#REF!,-1,0)-#REF!</f>
        <v>#REF!</v>
      </c>
      <c r="BB64" s="173" t="e">
        <f t="array" aca="1" ref="BB64" ca="1">IF(#REF!&gt;12,OFFSET(#REF!,-12,0),0)+OFFSET(#REF!,-1,0)-#REF!</f>
        <v>#REF!</v>
      </c>
      <c r="BC64" s="173" t="e">
        <f t="array" aca="1" ref="BC64" ca="1">IF(#REF!&gt;12,OFFSET(#REF!,-12,0),0)+OFFSET(#REF!,-1,0)-#REF!</f>
        <v>#REF!</v>
      </c>
      <c r="BD64" s="174" t="e">
        <f t="array" aca="1" ref="BD64" ca="1">IF(#REF!&gt;12,OFFSET(#REF!,-12,0),0)+OFFSET(#REF!,-1,0)-#REF!</f>
        <v>#REF!</v>
      </c>
      <c r="BE64" s="174" t="e">
        <f t="array" aca="1" ref="BE64" ca="1">IF(#REF!&gt;12,OFFSET(#REF!,-12,0),0)+OFFSET(#REF!,-1,0)-#REF!</f>
        <v>#REF!</v>
      </c>
      <c r="BF64" s="343" t="e">
        <f t="array" aca="1" ref="BF64" ca="1">IF(#REF!&gt;12,OFFSET(#REF!,-12,0),0)+OFFSET(#REF!,-1,0)-#REF!</f>
        <v>#REF!</v>
      </c>
      <c r="BG64" s="343" t="e">
        <f t="array" aca="1" ref="BG64" ca="1">IF(#REF!&gt;12,OFFSET(#REF!,-12,0),0)+OFFSET(#REF!,-1,0)-#REF!</f>
        <v>#REF!</v>
      </c>
      <c r="BH64" s="347" t="e">
        <f t="array" aca="1" ref="BH64" ca="1">IF(#REF!&gt;12,OFFSET(#REF!,-12,0),0)+OFFSET(#REF!,-1,0)-#REF!</f>
        <v>#REF!</v>
      </c>
      <c r="BI64" s="347" t="e">
        <f t="array" aca="1" ref="BI64" ca="1">IF(#REF!&gt;12,OFFSET(#REF!,-12,0),0)+OFFSET(#REF!,-1,0)-#REF!</f>
        <v>#REF!</v>
      </c>
      <c r="BJ64" s="347" t="e">
        <f t="array" aca="1" ref="BJ64" ca="1">IF(#REF!&gt;12,OFFSET(#REF!,-12,0),0)+OFFSET(#REF!,-1,0)-#REF!</f>
        <v>#REF!</v>
      </c>
      <c r="BK64" s="347" t="e">
        <f t="array" aca="1" ref="BK64" ca="1">IF(#REF!&gt;12,OFFSET(#REF!,-12,0),0)+OFFSET(#REF!,-1,0)-#REF!</f>
        <v>#REF!</v>
      </c>
      <c r="BL64" s="351" t="e">
        <f t="array" aca="1" ref="BL64" ca="1">IF(#REF!&gt;12,OFFSET(#REF!,-12,0),0)+OFFSET(#REF!,-1,0)-#REF!</f>
        <v>#REF!</v>
      </c>
      <c r="BM64" s="351" t="e">
        <f t="array" aca="1" ref="BM64" ca="1">IF(#REF!&gt;12,OFFSET(#REF!,-12,0),0)+OFFSET(#REF!,-1,0)-#REF!</f>
        <v>#REF!</v>
      </c>
      <c r="BN64" s="351" t="e">
        <f t="array" aca="1" ref="BN64" ca="1">IF(#REF!&gt;12,OFFSET(#REF!,-12,0),0)+OFFSET(#REF!,-1,0)-#REF!</f>
        <v>#REF!</v>
      </c>
      <c r="BO64" s="175" t="e">
        <f t="array" aca="1" ref="BO64" ca="1">IF(#REF!&gt;12,OFFSET(#REF!,-12,0),0)+OFFSET(#REF!,-1,0)-#REF!</f>
        <v>#REF!</v>
      </c>
      <c r="BP64" s="175" t="e">
        <f t="array" aca="1" ref="BP64" ca="1">IF(#REF!&gt;12,OFFSET(#REF!,-12,0),0)+OFFSET(#REF!,-1,0)-#REF!</f>
        <v>#REF!</v>
      </c>
      <c r="BQ64" s="176" t="e">
        <f t="array" aca="1" ref="BQ64" ca="1">IF(#REF!&gt;12,OFFSET(#REF!,-12,0),0)+OFFSET(#REF!,-1,0)-#REF!</f>
        <v>#REF!</v>
      </c>
      <c r="BR64" s="134"/>
      <c r="BS64" s="133"/>
      <c r="BT64" s="39" t="e">
        <f>#REF!</f>
        <v>#REF!</v>
      </c>
      <c r="BU64" s="147" t="e">
        <f>#REF!</f>
        <v>#REF!</v>
      </c>
      <c r="BV64" s="134"/>
      <c r="BW64" s="164"/>
      <c r="BX64" s="164"/>
      <c r="BY64" s="164"/>
      <c r="BZ64" s="164"/>
      <c r="CA64" s="164"/>
      <c r="CB64" s="164"/>
      <c r="CC64" s="164"/>
      <c r="CD64" s="164"/>
      <c r="CE64" s="164"/>
      <c r="CF64" s="164"/>
      <c r="CG64" s="164"/>
      <c r="CH64" s="164"/>
      <c r="CI64" s="164"/>
      <c r="CJ64" s="164"/>
      <c r="CK64" s="164"/>
      <c r="CL64" s="164"/>
      <c r="CM64" s="164"/>
      <c r="CN64" s="164"/>
      <c r="CO64" s="164"/>
      <c r="CP64" s="134"/>
      <c r="CQ64" s="165" t="e">
        <f ca="1">-SUM(#REF!)+SUM(#REF!)+Rezone!L64+IF("Ch_"&amp; home_land=#REF!,#REF!)+IF(#REF!&gt;12,OFFSET(#REF!,-12,0),0)</f>
        <v>#REF!</v>
      </c>
      <c r="CR64" s="166" t="e">
        <f ca="1">-SUM(#REF!)+SUM(#REF!) +Rezone!M64 + IF("Ch_"&amp; home_land=#REF!,#REF!)+IF(#REF!&gt;12,OFFSET(#REF!,-12,0),0)</f>
        <v>#REF!</v>
      </c>
      <c r="CS64" s="341" t="e">
        <f ca="1">-SUM(#REF!)+SUM(#REF!) +Rezone!N64 + IF("Ch_"&amp; home_land=#REF!,#REF!)+IF(#REF!&gt;12,OFFSET(#REF!,-12,0),0)</f>
        <v>#REF!</v>
      </c>
      <c r="CT64" s="167" t="e">
        <f ca="1">-SUM(#REF!)+SUM(#REF!) +Rezone!O64 + IF("Ch_" &amp; home_land=#REF!,#REF!)+IF(#REF!&gt;12,OFFSET(#REF!,-12,0),0)</f>
        <v>#REF!</v>
      </c>
      <c r="CU64" s="168" t="e">
        <f ca="1">-SUM(#REF!)+SUM(#REF!) +Rezone!P64 + IF("Ch_" &amp; home_land=#REF!,#REF!)+IF(#REF!&gt;12,OFFSET(#REF!,-12,0),0)</f>
        <v>#REF!</v>
      </c>
      <c r="CV64" s="169" t="e">
        <f ca="1">- SUM(#REF!)+SUM(#REF!) +Rezone!Q64 + IF("Ch_" &amp; home_land=#REF!,#REF!)+IF(#REF!&gt;12,OFFSET(#REF!,-12,0),0)</f>
        <v>#REF!</v>
      </c>
      <c r="CW64" s="170" t="e">
        <f ca="1">-#REF!+#REF! +Rezone!R64 + IF("Ch_" &amp; home_land=#REF!,#REF!)+IF(#REF!&gt;12,OFFSET(#REF!,-12,0),0)</f>
        <v>#REF!</v>
      </c>
      <c r="CX64" s="3" t="e">
        <f>IF(Explore!S64=1,20) -#REF! +#REF!</f>
        <v>#REF!</v>
      </c>
      <c r="CY64" s="134"/>
      <c r="CZ64" s="39" t="e">
        <f t="shared" ca="1" si="12"/>
        <v>#REF!</v>
      </c>
      <c r="DA64" s="39" t="e">
        <f t="shared" ca="1" si="13"/>
        <v>#REF!</v>
      </c>
      <c r="DB64" s="3" t="e">
        <f t="shared" ca="1" si="14"/>
        <v>#REF!</v>
      </c>
      <c r="DC64" s="39" t="e">
        <f t="shared" ca="1" si="15"/>
        <v>#REF!</v>
      </c>
      <c r="DD64" s="39" t="e">
        <f t="shared" ca="1" si="16"/>
        <v>#REF!</v>
      </c>
      <c r="DE64" s="3" t="e">
        <f t="shared" ca="1" si="17"/>
        <v>#REF!</v>
      </c>
      <c r="DF64" s="39" t="e">
        <f t="shared" ca="1" si="18"/>
        <v>#REF!</v>
      </c>
      <c r="DG64" s="39" t="e">
        <f t="array" ref="DG64">INDEX(#REF!,ROW()-ROW(#REF!),MATCH("Total "&amp;home_land,#REF!,0))+#REF!</f>
        <v>#REF!</v>
      </c>
      <c r="DH64" s="3" t="e">
        <f t="shared" ca="1" si="10"/>
        <v>#REF!</v>
      </c>
      <c r="DI64" s="3" t="e">
        <f t="shared" ca="1" si="0"/>
        <v>#REF!</v>
      </c>
      <c r="DJ64" s="3" t="e">
        <f t="shared" ca="1" si="1"/>
        <v>#REF!</v>
      </c>
    </row>
    <row r="65" spans="1:114" x14ac:dyDescent="0.25">
      <c r="A65" s="160" t="e">
        <f>#REF!</f>
        <v>#REF!</v>
      </c>
      <c r="B65" s="161" t="e">
        <f>SUM(#REF!)</f>
        <v>#REF!</v>
      </c>
      <c r="C65" s="162" t="e">
        <f>SUM(#REF!)</f>
        <v>#REF!</v>
      </c>
      <c r="D65" s="162">
        <f t="shared" si="11"/>
        <v>0</v>
      </c>
      <c r="E65" s="163"/>
      <c r="F65" s="61" t="e">
        <f>#REF!+#REF!+#REF!</f>
        <v>#REF!</v>
      </c>
      <c r="G65" s="171" t="e">
        <f ca="1">OFFSET(#REF!,-1,0)+#REF!</f>
        <v>#REF!</v>
      </c>
      <c r="H65" s="166" t="e">
        <f ca="1">OFFSET(#REF!,-1,0)+#REF!</f>
        <v>#REF!</v>
      </c>
      <c r="I65" s="341" t="e">
        <f ca="1">OFFSET(#REF!,-1,0)+#REF!</f>
        <v>#REF!</v>
      </c>
      <c r="J65" s="345" t="e">
        <f ca="1">OFFSET(#REF!,-1,0)+#REF!</f>
        <v>#REF!</v>
      </c>
      <c r="K65" s="349" t="e">
        <f ca="1">OFFSET(#REF!,-1,0)+#REF!</f>
        <v>#REF!</v>
      </c>
      <c r="L65" s="169" t="e">
        <f ca="1">OFFSET(#REF!,-1,0)+#REF!</f>
        <v>#REF!</v>
      </c>
      <c r="M65" s="170" t="e">
        <f ca="1">OFFSET(#REF!,-1,0)+#REF!</f>
        <v>#REF!</v>
      </c>
      <c r="N65" s="339" t="e">
        <f>#REF!</f>
        <v>#REF!</v>
      </c>
      <c r="O65" s="164"/>
      <c r="P65" s="164"/>
      <c r="Q65" s="164"/>
      <c r="R65" s="164"/>
      <c r="S65" s="164"/>
      <c r="T65" s="164"/>
      <c r="U65" s="164"/>
      <c r="V65" s="164"/>
      <c r="W65" s="164"/>
      <c r="X65" s="164"/>
      <c r="Y65" s="164"/>
      <c r="Z65" s="164"/>
      <c r="AA65" s="164"/>
      <c r="AB65" s="164"/>
      <c r="AC65" s="164"/>
      <c r="AD65" s="164"/>
      <c r="AE65" s="164"/>
      <c r="AF65" s="164"/>
      <c r="AG65" s="164"/>
      <c r="AH65" s="53" t="e">
        <f>#REF!</f>
        <v>#REF!</v>
      </c>
      <c r="AI65" s="132" t="e">
        <f>MIN(25%,(#REF!+#REF!)/(#REF!-#REF!*20))</f>
        <v>#REF!</v>
      </c>
      <c r="AJ65" s="132" t="e">
        <f>MIN(25%,(#REF!+#REF!)/#REF!)</f>
        <v>#REF!</v>
      </c>
      <c r="AK65" s="39" t="e">
        <f>#REF!</f>
        <v>#REF!</v>
      </c>
      <c r="AL65" s="39" t="e">
        <f>#REF!</f>
        <v>#REF!</v>
      </c>
      <c r="AM65" s="39" t="e">
        <f>ROUNDDOWN( MAX((1 - MIN(facs_constr_factor*#REF!,facs_constr_max) + tech_2_3*#REF! + tech_2_6_2*#REF! + tech_2_10*#REF! + tech_4_6*#REF! + tech_6_3*#REF! + tech_9_2*#REF! + race_construction_cost), 1-global_constr_cap) *#REF!,0)</f>
        <v>#REF!</v>
      </c>
      <c r="AN65" s="39" t="e">
        <f>ROUNDDOWN( MAX(1 - MIN(facs_constr_factor*#REF!,facs_constr_max) + tech_1_11*#REF! + tech_6_3_2*#REF! + tech_5_2_3*#REF!, 1-global_constr_cap) *#REF!,0)</f>
        <v>#REF!</v>
      </c>
      <c r="AO65" s="39" t="e">
        <f>ROUNDDOWN( MAX((1 - MIN(facs_constr_factor*#REF!,facs_constr_max) + tech_2_3*#REF! + tech_2_6_2*#REF! + tech_2_10*#REF! + tech_4_6*#REF! + tech_6_3*#REF! + tech_9_2*#REF! + race_construction_cost), 1-global_constr_cap) * (ROUND((#REF!-250)*1.25 + 850 + 0,0)),0)</f>
        <v>#REF!</v>
      </c>
      <c r="AP65" s="39" t="e">
        <f>ROUNDDOWN( MAX(1 - MIN(facs_constr_factor*#REF!,facs_constr_max) + tech_1_11*#REF! + tech_6_3_2*#REF! + tech_5_2_3*#REF!, 1-global_constr_cap) * ROUND((#REF!-250)*0.285 + 87.5 + 0/4.25,0),0)</f>
        <v>#REF!</v>
      </c>
      <c r="AQ65" s="3" t="e">
        <f>#REF!*#REF! +#REF! *#REF!</f>
        <v>#REF!</v>
      </c>
      <c r="AR65" s="3" t="e">
        <f>#REF!*#REF!+#REF!*#REF!</f>
        <v>#REF!</v>
      </c>
      <c r="AS65" s="39" t="e">
        <f ca="1">MIN(SUM(OFFSET(#REF!,-1,0))+SUM(#REF!)+IF(#REF!&gt;12,SUM(OFFSET(#REF!,-12,0)),0),SUM(#REF!))</f>
        <v>#REF!</v>
      </c>
      <c r="AT65" s="3" t="e">
        <f ca="1">IF(#REF!&lt;&gt;0,MAX(0, MIN(20, 20 + SUM(#REF!) - SUM(#REF!) - SUM(OFFSET(#REF!,-1,0)) - IF(#REF!&gt;12,SUM(OFFSET(#REF!,-12,0)),0) - 20*#REF!)),0)</f>
        <v>#REF!</v>
      </c>
      <c r="AU65" s="134"/>
      <c r="AV65" s="39" t="e">
        <f>ROUND((#REF!-250 - IF(#REF!&lt;&gt;0,20,0))*1.25 + 850 + 0,0)</f>
        <v>#REF!</v>
      </c>
      <c r="AW65" s="39" t="e">
        <f>ROUND((#REF!-250 - IF(#REF!&lt;&gt;0,20,0))*0.285 + 87.5 + 0/4.25,0)</f>
        <v>#REF!</v>
      </c>
      <c r="AX65" s="133"/>
      <c r="AY65" s="172" t="e">
        <f t="array" aca="1" ref="AY65" ca="1">IF(#REF!&gt;12,OFFSET(#REF!,-12,0),0)+OFFSET(#REF!,-1,0)-#REF!</f>
        <v>#REF!</v>
      </c>
      <c r="AZ65" s="173" t="e">
        <f t="array" aca="1" ref="AZ65" ca="1">IF(#REF!&gt;12,OFFSET(#REF!,-12,0),0)+OFFSET(#REF!,-1,0)-#REF!</f>
        <v>#REF!</v>
      </c>
      <c r="BA65" s="173" t="e">
        <f t="array" aca="1" ref="BA65" ca="1">IF(#REF!&gt;12,OFFSET(#REF!,-12,0),0)+OFFSET(#REF!,-1,0)-#REF!</f>
        <v>#REF!</v>
      </c>
      <c r="BB65" s="173" t="e">
        <f t="array" aca="1" ref="BB65" ca="1">IF(#REF!&gt;12,OFFSET(#REF!,-12,0),0)+OFFSET(#REF!,-1,0)-#REF!</f>
        <v>#REF!</v>
      </c>
      <c r="BC65" s="173" t="e">
        <f t="array" aca="1" ref="BC65" ca="1">IF(#REF!&gt;12,OFFSET(#REF!,-12,0),0)+OFFSET(#REF!,-1,0)-#REF!</f>
        <v>#REF!</v>
      </c>
      <c r="BD65" s="174" t="e">
        <f t="array" aca="1" ref="BD65" ca="1">IF(#REF!&gt;12,OFFSET(#REF!,-12,0),0)+OFFSET(#REF!,-1,0)-#REF!</f>
        <v>#REF!</v>
      </c>
      <c r="BE65" s="174" t="e">
        <f t="array" aca="1" ref="BE65" ca="1">IF(#REF!&gt;12,OFFSET(#REF!,-12,0),0)+OFFSET(#REF!,-1,0)-#REF!</f>
        <v>#REF!</v>
      </c>
      <c r="BF65" s="343" t="e">
        <f t="array" aca="1" ref="BF65" ca="1">IF(#REF!&gt;12,OFFSET(#REF!,-12,0),0)+OFFSET(#REF!,-1,0)-#REF!</f>
        <v>#REF!</v>
      </c>
      <c r="BG65" s="343" t="e">
        <f t="array" aca="1" ref="BG65" ca="1">IF(#REF!&gt;12,OFFSET(#REF!,-12,0),0)+OFFSET(#REF!,-1,0)-#REF!</f>
        <v>#REF!</v>
      </c>
      <c r="BH65" s="347" t="e">
        <f t="array" aca="1" ref="BH65" ca="1">IF(#REF!&gt;12,OFFSET(#REF!,-12,0),0)+OFFSET(#REF!,-1,0)-#REF!</f>
        <v>#REF!</v>
      </c>
      <c r="BI65" s="347" t="e">
        <f t="array" aca="1" ref="BI65" ca="1">IF(#REF!&gt;12,OFFSET(#REF!,-12,0),0)+OFFSET(#REF!,-1,0)-#REF!</f>
        <v>#REF!</v>
      </c>
      <c r="BJ65" s="347" t="e">
        <f t="array" aca="1" ref="BJ65" ca="1">IF(#REF!&gt;12,OFFSET(#REF!,-12,0),0)+OFFSET(#REF!,-1,0)-#REF!</f>
        <v>#REF!</v>
      </c>
      <c r="BK65" s="347" t="e">
        <f t="array" aca="1" ref="BK65" ca="1">IF(#REF!&gt;12,OFFSET(#REF!,-12,0),0)+OFFSET(#REF!,-1,0)-#REF!</f>
        <v>#REF!</v>
      </c>
      <c r="BL65" s="351" t="e">
        <f t="array" aca="1" ref="BL65" ca="1">IF(#REF!&gt;12,OFFSET(#REF!,-12,0),0)+OFFSET(#REF!,-1,0)-#REF!</f>
        <v>#REF!</v>
      </c>
      <c r="BM65" s="351" t="e">
        <f t="array" aca="1" ref="BM65" ca="1">IF(#REF!&gt;12,OFFSET(#REF!,-12,0),0)+OFFSET(#REF!,-1,0)-#REF!</f>
        <v>#REF!</v>
      </c>
      <c r="BN65" s="351" t="e">
        <f t="array" aca="1" ref="BN65" ca="1">IF(#REF!&gt;12,OFFSET(#REF!,-12,0),0)+OFFSET(#REF!,-1,0)-#REF!</f>
        <v>#REF!</v>
      </c>
      <c r="BO65" s="175" t="e">
        <f t="array" aca="1" ref="BO65" ca="1">IF(#REF!&gt;12,OFFSET(#REF!,-12,0),0)+OFFSET(#REF!,-1,0)-#REF!</f>
        <v>#REF!</v>
      </c>
      <c r="BP65" s="175" t="e">
        <f t="array" aca="1" ref="BP65" ca="1">IF(#REF!&gt;12,OFFSET(#REF!,-12,0),0)+OFFSET(#REF!,-1,0)-#REF!</f>
        <v>#REF!</v>
      </c>
      <c r="BQ65" s="176" t="e">
        <f t="array" aca="1" ref="BQ65" ca="1">IF(#REF!&gt;12,OFFSET(#REF!,-12,0),0)+OFFSET(#REF!,-1,0)-#REF!</f>
        <v>#REF!</v>
      </c>
      <c r="BR65" s="134"/>
      <c r="BS65" s="133"/>
      <c r="BT65" s="39" t="e">
        <f>#REF!</f>
        <v>#REF!</v>
      </c>
      <c r="BU65" s="147" t="e">
        <f>#REF!</f>
        <v>#REF!</v>
      </c>
      <c r="BV65" s="134"/>
      <c r="BW65" s="164"/>
      <c r="BX65" s="164"/>
      <c r="BY65" s="164"/>
      <c r="BZ65" s="164"/>
      <c r="CA65" s="164"/>
      <c r="CB65" s="164"/>
      <c r="CC65" s="164"/>
      <c r="CD65" s="164"/>
      <c r="CE65" s="164"/>
      <c r="CF65" s="164"/>
      <c r="CG65" s="164"/>
      <c r="CH65" s="164"/>
      <c r="CI65" s="164"/>
      <c r="CJ65" s="164"/>
      <c r="CK65" s="164"/>
      <c r="CL65" s="164"/>
      <c r="CM65" s="164"/>
      <c r="CN65" s="164"/>
      <c r="CO65" s="164"/>
      <c r="CP65" s="134"/>
      <c r="CQ65" s="165" t="e">
        <f ca="1">-SUM(#REF!)+SUM(#REF!)+Rezone!L65+IF("Ch_"&amp; home_land=#REF!,#REF!)+IF(#REF!&gt;12,OFFSET(#REF!,-12,0),0)</f>
        <v>#REF!</v>
      </c>
      <c r="CR65" s="166" t="e">
        <f ca="1">-SUM(#REF!)+SUM(#REF!) +Rezone!M65 + IF("Ch_"&amp; home_land=#REF!,#REF!)+IF(#REF!&gt;12,OFFSET(#REF!,-12,0),0)</f>
        <v>#REF!</v>
      </c>
      <c r="CS65" s="341" t="e">
        <f ca="1">-SUM(#REF!)+SUM(#REF!) +Rezone!N65 + IF("Ch_"&amp; home_land=#REF!,#REF!)+IF(#REF!&gt;12,OFFSET(#REF!,-12,0),0)</f>
        <v>#REF!</v>
      </c>
      <c r="CT65" s="167" t="e">
        <f ca="1">-SUM(#REF!)+SUM(#REF!) +Rezone!O65 + IF("Ch_" &amp; home_land=#REF!,#REF!)+IF(#REF!&gt;12,OFFSET(#REF!,-12,0),0)</f>
        <v>#REF!</v>
      </c>
      <c r="CU65" s="168" t="e">
        <f ca="1">-SUM(#REF!)+SUM(#REF!) +Rezone!P65 + IF("Ch_" &amp; home_land=#REF!,#REF!)+IF(#REF!&gt;12,OFFSET(#REF!,-12,0),0)</f>
        <v>#REF!</v>
      </c>
      <c r="CV65" s="169" t="e">
        <f ca="1">- SUM(#REF!)+SUM(#REF!) +Rezone!Q65 + IF("Ch_" &amp; home_land=#REF!,#REF!)+IF(#REF!&gt;12,OFFSET(#REF!,-12,0),0)</f>
        <v>#REF!</v>
      </c>
      <c r="CW65" s="170" t="e">
        <f ca="1">-#REF!+#REF! +Rezone!R65 + IF("Ch_" &amp; home_land=#REF!,#REF!)+IF(#REF!&gt;12,OFFSET(#REF!,-12,0),0)</f>
        <v>#REF!</v>
      </c>
      <c r="CX65" s="3" t="e">
        <f>IF(Explore!S65=1,20) -#REF! +#REF!</f>
        <v>#REF!</v>
      </c>
      <c r="CY65" s="134"/>
      <c r="CZ65" s="39" t="e">
        <f t="shared" ca="1" si="12"/>
        <v>#REF!</v>
      </c>
      <c r="DA65" s="39" t="e">
        <f t="shared" ca="1" si="13"/>
        <v>#REF!</v>
      </c>
      <c r="DB65" s="3" t="e">
        <f t="shared" ca="1" si="14"/>
        <v>#REF!</v>
      </c>
      <c r="DC65" s="39" t="e">
        <f t="shared" ca="1" si="15"/>
        <v>#REF!</v>
      </c>
      <c r="DD65" s="39" t="e">
        <f t="shared" ca="1" si="16"/>
        <v>#REF!</v>
      </c>
      <c r="DE65" s="3" t="e">
        <f t="shared" ca="1" si="17"/>
        <v>#REF!</v>
      </c>
      <c r="DF65" s="39" t="e">
        <f t="shared" ca="1" si="18"/>
        <v>#REF!</v>
      </c>
      <c r="DG65" s="39" t="e">
        <f t="array" ref="DG65">INDEX(#REF!,ROW()-ROW(#REF!),MATCH("Total "&amp;home_land,#REF!,0))+#REF!</f>
        <v>#REF!</v>
      </c>
      <c r="DH65" s="3" t="e">
        <f t="shared" ca="1" si="10"/>
        <v>#REF!</v>
      </c>
      <c r="DI65" s="3" t="e">
        <f t="shared" ca="1" si="0"/>
        <v>#REF!</v>
      </c>
      <c r="DJ65" s="3" t="e">
        <f t="shared" ca="1" si="1"/>
        <v>#REF!</v>
      </c>
    </row>
    <row r="66" spans="1:114" x14ac:dyDescent="0.25">
      <c r="A66" s="160" t="e">
        <f>#REF!</f>
        <v>#REF!</v>
      </c>
      <c r="B66" s="161" t="e">
        <f>SUM(#REF!)</f>
        <v>#REF!</v>
      </c>
      <c r="C66" s="162" t="e">
        <f>SUM(#REF!)</f>
        <v>#REF!</v>
      </c>
      <c r="D66" s="162">
        <f t="shared" si="11"/>
        <v>0</v>
      </c>
      <c r="E66" s="163"/>
      <c r="F66" s="61" t="e">
        <f>#REF!+#REF!+#REF!</f>
        <v>#REF!</v>
      </c>
      <c r="G66" s="171" t="e">
        <f ca="1">OFFSET(#REF!,-1,0)+#REF!</f>
        <v>#REF!</v>
      </c>
      <c r="H66" s="166" t="e">
        <f ca="1">OFFSET(#REF!,-1,0)+#REF!</f>
        <v>#REF!</v>
      </c>
      <c r="I66" s="341" t="e">
        <f ca="1">OFFSET(#REF!,-1,0)+#REF!</f>
        <v>#REF!</v>
      </c>
      <c r="J66" s="345" t="e">
        <f ca="1">OFFSET(#REF!,-1,0)+#REF!</f>
        <v>#REF!</v>
      </c>
      <c r="K66" s="349" t="e">
        <f ca="1">OFFSET(#REF!,-1,0)+#REF!</f>
        <v>#REF!</v>
      </c>
      <c r="L66" s="169" t="e">
        <f ca="1">OFFSET(#REF!,-1,0)+#REF!</f>
        <v>#REF!</v>
      </c>
      <c r="M66" s="170" t="e">
        <f ca="1">OFFSET(#REF!,-1,0)+#REF!</f>
        <v>#REF!</v>
      </c>
      <c r="N66" s="339" t="e">
        <f>#REF!</f>
        <v>#REF!</v>
      </c>
      <c r="O66" s="164"/>
      <c r="P66" s="164"/>
      <c r="Q66" s="164"/>
      <c r="R66" s="164"/>
      <c r="S66" s="164"/>
      <c r="T66" s="164"/>
      <c r="U66" s="164"/>
      <c r="V66" s="164"/>
      <c r="W66" s="164"/>
      <c r="X66" s="164"/>
      <c r="Y66" s="164"/>
      <c r="Z66" s="164"/>
      <c r="AA66" s="164"/>
      <c r="AB66" s="164"/>
      <c r="AC66" s="164"/>
      <c r="AD66" s="164"/>
      <c r="AE66" s="164"/>
      <c r="AF66" s="164"/>
      <c r="AG66" s="164"/>
      <c r="AH66" s="53" t="e">
        <f>#REF!</f>
        <v>#REF!</v>
      </c>
      <c r="AI66" s="132" t="e">
        <f>MIN(25%,(#REF!+#REF!)/(#REF!-#REF!*20))</f>
        <v>#REF!</v>
      </c>
      <c r="AJ66" s="132" t="e">
        <f>MIN(25%,(#REF!+#REF!)/#REF!)</f>
        <v>#REF!</v>
      </c>
      <c r="AK66" s="39" t="e">
        <f>#REF!</f>
        <v>#REF!</v>
      </c>
      <c r="AL66" s="39" t="e">
        <f>#REF!</f>
        <v>#REF!</v>
      </c>
      <c r="AM66" s="39" t="e">
        <f>ROUNDDOWN( MAX((1 - MIN(facs_constr_factor*#REF!,facs_constr_max) + tech_2_3*#REF! + tech_2_6_2*#REF! + tech_2_10*#REF! + tech_4_6*#REF! + tech_6_3*#REF! + tech_9_2*#REF! + race_construction_cost), 1-global_constr_cap) *#REF!,0)</f>
        <v>#REF!</v>
      </c>
      <c r="AN66" s="39" t="e">
        <f>ROUNDDOWN( MAX(1 - MIN(facs_constr_factor*#REF!,facs_constr_max) + tech_1_11*#REF! + tech_6_3_2*#REF! + tech_5_2_3*#REF!, 1-global_constr_cap) *#REF!,0)</f>
        <v>#REF!</v>
      </c>
      <c r="AO66" s="39" t="e">
        <f>ROUNDDOWN( MAX((1 - MIN(facs_constr_factor*#REF!,facs_constr_max) + tech_2_3*#REF! + tech_2_6_2*#REF! + tech_2_10*#REF! + tech_4_6*#REF! + tech_6_3*#REF! + tech_9_2*#REF! + race_construction_cost), 1-global_constr_cap) * (ROUND((#REF!-250)*1.25 + 850 + 0,0)),0)</f>
        <v>#REF!</v>
      </c>
      <c r="AP66" s="39" t="e">
        <f>ROUNDDOWN( MAX(1 - MIN(facs_constr_factor*#REF!,facs_constr_max) + tech_1_11*#REF! + tech_6_3_2*#REF! + tech_5_2_3*#REF!, 1-global_constr_cap) * ROUND((#REF!-250)*0.285 + 87.5 + 0/4.25,0),0)</f>
        <v>#REF!</v>
      </c>
      <c r="AQ66" s="3" t="e">
        <f>#REF!*#REF! +#REF! *#REF!</f>
        <v>#REF!</v>
      </c>
      <c r="AR66" s="3" t="e">
        <f>#REF!*#REF!+#REF!*#REF!</f>
        <v>#REF!</v>
      </c>
      <c r="AS66" s="39" t="e">
        <f ca="1">MIN(SUM(OFFSET(#REF!,-1,0))+SUM(#REF!)+IF(#REF!&gt;12,SUM(OFFSET(#REF!,-12,0)),0),SUM(#REF!))</f>
        <v>#REF!</v>
      </c>
      <c r="AT66" s="3" t="e">
        <f ca="1">IF(#REF!&lt;&gt;0,MAX(0, MIN(20, 20 + SUM(#REF!) - SUM(#REF!) - SUM(OFFSET(#REF!,-1,0)) - IF(#REF!&gt;12,SUM(OFFSET(#REF!,-12,0)),0) - 20*#REF!)),0)</f>
        <v>#REF!</v>
      </c>
      <c r="AU66" s="134"/>
      <c r="AV66" s="39" t="e">
        <f>ROUND((#REF!-250 - IF(#REF!&lt;&gt;0,20,0))*1.25 + 850 + 0,0)</f>
        <v>#REF!</v>
      </c>
      <c r="AW66" s="39" t="e">
        <f>ROUND((#REF!-250 - IF(#REF!&lt;&gt;0,20,0))*0.285 + 87.5 + 0/4.25,0)</f>
        <v>#REF!</v>
      </c>
      <c r="AX66" s="133"/>
      <c r="AY66" s="172" t="e">
        <f t="array" aca="1" ref="AY66" ca="1">IF(#REF!&gt;12,OFFSET(#REF!,-12,0),0)+OFFSET(#REF!,-1,0)-#REF!</f>
        <v>#REF!</v>
      </c>
      <c r="AZ66" s="173" t="e">
        <f t="array" aca="1" ref="AZ66" ca="1">IF(#REF!&gt;12,OFFSET(#REF!,-12,0),0)+OFFSET(#REF!,-1,0)-#REF!</f>
        <v>#REF!</v>
      </c>
      <c r="BA66" s="173" t="e">
        <f t="array" aca="1" ref="BA66" ca="1">IF(#REF!&gt;12,OFFSET(#REF!,-12,0),0)+OFFSET(#REF!,-1,0)-#REF!</f>
        <v>#REF!</v>
      </c>
      <c r="BB66" s="173" t="e">
        <f t="array" aca="1" ref="BB66" ca="1">IF(#REF!&gt;12,OFFSET(#REF!,-12,0),0)+OFFSET(#REF!,-1,0)-#REF!</f>
        <v>#REF!</v>
      </c>
      <c r="BC66" s="173" t="e">
        <f t="array" aca="1" ref="BC66" ca="1">IF(#REF!&gt;12,OFFSET(#REF!,-12,0),0)+OFFSET(#REF!,-1,0)-#REF!</f>
        <v>#REF!</v>
      </c>
      <c r="BD66" s="174" t="e">
        <f t="array" aca="1" ref="BD66" ca="1">IF(#REF!&gt;12,OFFSET(#REF!,-12,0),0)+OFFSET(#REF!,-1,0)-#REF!</f>
        <v>#REF!</v>
      </c>
      <c r="BE66" s="174" t="e">
        <f t="array" aca="1" ref="BE66" ca="1">IF(#REF!&gt;12,OFFSET(#REF!,-12,0),0)+OFFSET(#REF!,-1,0)-#REF!</f>
        <v>#REF!</v>
      </c>
      <c r="BF66" s="343" t="e">
        <f t="array" aca="1" ref="BF66" ca="1">IF(#REF!&gt;12,OFFSET(#REF!,-12,0),0)+OFFSET(#REF!,-1,0)-#REF!</f>
        <v>#REF!</v>
      </c>
      <c r="BG66" s="343" t="e">
        <f t="array" aca="1" ref="BG66" ca="1">IF(#REF!&gt;12,OFFSET(#REF!,-12,0),0)+OFFSET(#REF!,-1,0)-#REF!</f>
        <v>#REF!</v>
      </c>
      <c r="BH66" s="347" t="e">
        <f t="array" aca="1" ref="BH66" ca="1">IF(#REF!&gt;12,OFFSET(#REF!,-12,0),0)+OFFSET(#REF!,-1,0)-#REF!</f>
        <v>#REF!</v>
      </c>
      <c r="BI66" s="347" t="e">
        <f t="array" aca="1" ref="BI66" ca="1">IF(#REF!&gt;12,OFFSET(#REF!,-12,0),0)+OFFSET(#REF!,-1,0)-#REF!</f>
        <v>#REF!</v>
      </c>
      <c r="BJ66" s="347" t="e">
        <f t="array" aca="1" ref="BJ66" ca="1">IF(#REF!&gt;12,OFFSET(#REF!,-12,0),0)+OFFSET(#REF!,-1,0)-#REF!</f>
        <v>#REF!</v>
      </c>
      <c r="BK66" s="347" t="e">
        <f t="array" aca="1" ref="BK66" ca="1">IF(#REF!&gt;12,OFFSET(#REF!,-12,0),0)+OFFSET(#REF!,-1,0)-#REF!</f>
        <v>#REF!</v>
      </c>
      <c r="BL66" s="351" t="e">
        <f t="array" aca="1" ref="BL66" ca="1">IF(#REF!&gt;12,OFFSET(#REF!,-12,0),0)+OFFSET(#REF!,-1,0)-#REF!</f>
        <v>#REF!</v>
      </c>
      <c r="BM66" s="351" t="e">
        <f t="array" aca="1" ref="BM66" ca="1">IF(#REF!&gt;12,OFFSET(#REF!,-12,0),0)+OFFSET(#REF!,-1,0)-#REF!</f>
        <v>#REF!</v>
      </c>
      <c r="BN66" s="351" t="e">
        <f t="array" aca="1" ref="BN66" ca="1">IF(#REF!&gt;12,OFFSET(#REF!,-12,0),0)+OFFSET(#REF!,-1,0)-#REF!</f>
        <v>#REF!</v>
      </c>
      <c r="BO66" s="175" t="e">
        <f t="array" aca="1" ref="BO66" ca="1">IF(#REF!&gt;12,OFFSET(#REF!,-12,0),0)+OFFSET(#REF!,-1,0)-#REF!</f>
        <v>#REF!</v>
      </c>
      <c r="BP66" s="175" t="e">
        <f t="array" aca="1" ref="BP66" ca="1">IF(#REF!&gt;12,OFFSET(#REF!,-12,0),0)+OFFSET(#REF!,-1,0)-#REF!</f>
        <v>#REF!</v>
      </c>
      <c r="BQ66" s="176" t="e">
        <f t="array" aca="1" ref="BQ66" ca="1">IF(#REF!&gt;12,OFFSET(#REF!,-12,0),0)+OFFSET(#REF!,-1,0)-#REF!</f>
        <v>#REF!</v>
      </c>
      <c r="BR66" s="134"/>
      <c r="BS66" s="133"/>
      <c r="BT66" s="39" t="e">
        <f>#REF!</f>
        <v>#REF!</v>
      </c>
      <c r="BU66" s="147" t="e">
        <f>#REF!</f>
        <v>#REF!</v>
      </c>
      <c r="BV66" s="134"/>
      <c r="BW66" s="164"/>
      <c r="BX66" s="164"/>
      <c r="BY66" s="164"/>
      <c r="BZ66" s="164"/>
      <c r="CA66" s="164"/>
      <c r="CB66" s="164"/>
      <c r="CC66" s="164"/>
      <c r="CD66" s="164"/>
      <c r="CE66" s="164"/>
      <c r="CF66" s="164"/>
      <c r="CG66" s="164"/>
      <c r="CH66" s="164"/>
      <c r="CI66" s="164"/>
      <c r="CJ66" s="164"/>
      <c r="CK66" s="164"/>
      <c r="CL66" s="164"/>
      <c r="CM66" s="164"/>
      <c r="CN66" s="164"/>
      <c r="CO66" s="164"/>
      <c r="CP66" s="134"/>
      <c r="CQ66" s="165" t="e">
        <f ca="1">-SUM(#REF!)+SUM(#REF!)+Rezone!L66+IF("Ch_"&amp; home_land=#REF!,#REF!)+IF(#REF!&gt;12,OFFSET(#REF!,-12,0),0)</f>
        <v>#REF!</v>
      </c>
      <c r="CR66" s="166" t="e">
        <f ca="1">-SUM(#REF!)+SUM(#REF!) +Rezone!M66 + IF("Ch_"&amp; home_land=#REF!,#REF!)+IF(#REF!&gt;12,OFFSET(#REF!,-12,0),0)</f>
        <v>#REF!</v>
      </c>
      <c r="CS66" s="341" t="e">
        <f ca="1">-SUM(#REF!)+SUM(#REF!) +Rezone!N66 + IF("Ch_"&amp; home_land=#REF!,#REF!)+IF(#REF!&gt;12,OFFSET(#REF!,-12,0),0)</f>
        <v>#REF!</v>
      </c>
      <c r="CT66" s="167" t="e">
        <f ca="1">-SUM(#REF!)+SUM(#REF!) +Rezone!O66 + IF("Ch_" &amp; home_land=#REF!,#REF!)+IF(#REF!&gt;12,OFFSET(#REF!,-12,0),0)</f>
        <v>#REF!</v>
      </c>
      <c r="CU66" s="168" t="e">
        <f ca="1">-SUM(#REF!)+SUM(#REF!) +Rezone!P66 + IF("Ch_" &amp; home_land=#REF!,#REF!)+IF(#REF!&gt;12,OFFSET(#REF!,-12,0),0)</f>
        <v>#REF!</v>
      </c>
      <c r="CV66" s="169" t="e">
        <f ca="1">- SUM(#REF!)+SUM(#REF!) +Rezone!Q66 + IF("Ch_" &amp; home_land=#REF!,#REF!)+IF(#REF!&gt;12,OFFSET(#REF!,-12,0),0)</f>
        <v>#REF!</v>
      </c>
      <c r="CW66" s="170" t="e">
        <f ca="1">-#REF!+#REF! +Rezone!R66 + IF("Ch_" &amp; home_land=#REF!,#REF!)+IF(#REF!&gt;12,OFFSET(#REF!,-12,0),0)</f>
        <v>#REF!</v>
      </c>
      <c r="CX66" s="3" t="e">
        <f>IF(Explore!S66=1,20) -#REF! +#REF!</f>
        <v>#REF!</v>
      </c>
      <c r="CY66" s="134"/>
      <c r="CZ66" s="39" t="e">
        <f t="shared" ca="1" si="12"/>
        <v>#REF!</v>
      </c>
      <c r="DA66" s="39" t="e">
        <f t="shared" ca="1" si="13"/>
        <v>#REF!</v>
      </c>
      <c r="DB66" s="3" t="e">
        <f t="shared" ca="1" si="14"/>
        <v>#REF!</v>
      </c>
      <c r="DC66" s="39" t="e">
        <f t="shared" ca="1" si="15"/>
        <v>#REF!</v>
      </c>
      <c r="DD66" s="39" t="e">
        <f t="shared" ca="1" si="16"/>
        <v>#REF!</v>
      </c>
      <c r="DE66" s="3" t="e">
        <f t="shared" ca="1" si="17"/>
        <v>#REF!</v>
      </c>
      <c r="DF66" s="39" t="e">
        <f t="shared" ca="1" si="18"/>
        <v>#REF!</v>
      </c>
      <c r="DG66" s="39" t="e">
        <f t="array" ref="DG66">INDEX(#REF!,ROW()-ROW(#REF!),MATCH("Total "&amp;home_land,#REF!,0))+#REF!</f>
        <v>#REF!</v>
      </c>
      <c r="DH66" s="3" t="e">
        <f t="shared" ca="1" si="10"/>
        <v>#REF!</v>
      </c>
      <c r="DI66" s="3" t="e">
        <f t="shared" ca="1" si="0"/>
        <v>#REF!</v>
      </c>
      <c r="DJ66" s="3" t="e">
        <f t="shared" ca="1" si="1"/>
        <v>#REF!</v>
      </c>
    </row>
    <row r="67" spans="1:114" x14ac:dyDescent="0.25">
      <c r="A67" s="160" t="e">
        <f>#REF!</f>
        <v>#REF!</v>
      </c>
      <c r="B67" s="161" t="e">
        <f>SUM(#REF!)</f>
        <v>#REF!</v>
      </c>
      <c r="C67" s="162" t="e">
        <f>SUM(#REF!)</f>
        <v>#REF!</v>
      </c>
      <c r="D67" s="162">
        <f t="shared" si="11"/>
        <v>0</v>
      </c>
      <c r="E67" s="163"/>
      <c r="F67" s="61" t="e">
        <f>#REF!+#REF!+#REF!</f>
        <v>#REF!</v>
      </c>
      <c r="G67" s="171" t="e">
        <f ca="1">OFFSET(#REF!,-1,0)+#REF!</f>
        <v>#REF!</v>
      </c>
      <c r="H67" s="166" t="e">
        <f ca="1">OFFSET(#REF!,-1,0)+#REF!</f>
        <v>#REF!</v>
      </c>
      <c r="I67" s="341" t="e">
        <f ca="1">OFFSET(#REF!,-1,0)+#REF!</f>
        <v>#REF!</v>
      </c>
      <c r="J67" s="345" t="e">
        <f ca="1">OFFSET(#REF!,-1,0)+#REF!</f>
        <v>#REF!</v>
      </c>
      <c r="K67" s="349" t="e">
        <f ca="1">OFFSET(#REF!,-1,0)+#REF!</f>
        <v>#REF!</v>
      </c>
      <c r="L67" s="169" t="e">
        <f ca="1">OFFSET(#REF!,-1,0)+#REF!</f>
        <v>#REF!</v>
      </c>
      <c r="M67" s="170" t="e">
        <f ca="1">OFFSET(#REF!,-1,0)+#REF!</f>
        <v>#REF!</v>
      </c>
      <c r="N67" s="339" t="e">
        <f>#REF!</f>
        <v>#REF!</v>
      </c>
      <c r="O67" s="164"/>
      <c r="P67" s="164"/>
      <c r="Q67" s="164"/>
      <c r="R67" s="164"/>
      <c r="S67" s="164"/>
      <c r="T67" s="164"/>
      <c r="U67" s="164"/>
      <c r="V67" s="164"/>
      <c r="W67" s="164"/>
      <c r="X67" s="164"/>
      <c r="Y67" s="164"/>
      <c r="Z67" s="164"/>
      <c r="AA67" s="164"/>
      <c r="AB67" s="164"/>
      <c r="AC67" s="164"/>
      <c r="AD67" s="164"/>
      <c r="AE67" s="164"/>
      <c r="AF67" s="164"/>
      <c r="AG67" s="164"/>
      <c r="AH67" s="53" t="e">
        <f>#REF!</f>
        <v>#REF!</v>
      </c>
      <c r="AI67" s="132" t="e">
        <f>MIN(25%,(#REF!+#REF!)/(#REF!-#REF!*20))</f>
        <v>#REF!</v>
      </c>
      <c r="AJ67" s="132" t="e">
        <f>MIN(25%,(#REF!+#REF!)/#REF!)</f>
        <v>#REF!</v>
      </c>
      <c r="AK67" s="39" t="e">
        <f>#REF!</f>
        <v>#REF!</v>
      </c>
      <c r="AL67" s="39" t="e">
        <f>#REF!</f>
        <v>#REF!</v>
      </c>
      <c r="AM67" s="39" t="e">
        <f>ROUNDDOWN( MAX((1 - MIN(facs_constr_factor*#REF!,facs_constr_max) + tech_2_3*#REF! + tech_2_6_2*#REF! + tech_2_10*#REF! + tech_4_6*#REF! + tech_6_3*#REF! + tech_9_2*#REF! + race_construction_cost), 1-global_constr_cap) *#REF!,0)</f>
        <v>#REF!</v>
      </c>
      <c r="AN67" s="39" t="e">
        <f>ROUNDDOWN( MAX(1 - MIN(facs_constr_factor*#REF!,facs_constr_max) + tech_1_11*#REF! + tech_6_3_2*#REF! + tech_5_2_3*#REF!, 1-global_constr_cap) *#REF!,0)</f>
        <v>#REF!</v>
      </c>
      <c r="AO67" s="39" t="e">
        <f>ROUNDDOWN( MAX((1 - MIN(facs_constr_factor*#REF!,facs_constr_max) + tech_2_3*#REF! + tech_2_6_2*#REF! + tech_2_10*#REF! + tech_4_6*#REF! + tech_6_3*#REF! + tech_9_2*#REF! + race_construction_cost), 1-global_constr_cap) * (ROUND((#REF!-250)*1.25 + 850 + 0,0)),0)</f>
        <v>#REF!</v>
      </c>
      <c r="AP67" s="39" t="e">
        <f>ROUNDDOWN( MAX(1 - MIN(facs_constr_factor*#REF!,facs_constr_max) + tech_1_11*#REF! + tech_6_3_2*#REF! + tech_5_2_3*#REF!, 1-global_constr_cap) * ROUND((#REF!-250)*0.285 + 87.5 + 0/4.25,0),0)</f>
        <v>#REF!</v>
      </c>
      <c r="AQ67" s="3" t="e">
        <f>#REF!*#REF! +#REF! *#REF!</f>
        <v>#REF!</v>
      </c>
      <c r="AR67" s="3" t="e">
        <f>#REF!*#REF!+#REF!*#REF!</f>
        <v>#REF!</v>
      </c>
      <c r="AS67" s="39" t="e">
        <f ca="1">MIN(SUM(OFFSET(#REF!,-1,0))+SUM(#REF!)+IF(#REF!&gt;12,SUM(OFFSET(#REF!,-12,0)),0),SUM(#REF!))</f>
        <v>#REF!</v>
      </c>
      <c r="AT67" s="3" t="e">
        <f ca="1">IF(#REF!&lt;&gt;0,MAX(0, MIN(20, 20 + SUM(#REF!) - SUM(#REF!) - SUM(OFFSET(#REF!,-1,0)) - IF(#REF!&gt;12,SUM(OFFSET(#REF!,-12,0)),0) - 20*#REF!)),0)</f>
        <v>#REF!</v>
      </c>
      <c r="AU67" s="134"/>
      <c r="AV67" s="39" t="e">
        <f>ROUND((#REF!-250 - IF(#REF!&lt;&gt;0,20,0))*1.25 + 850 + 0,0)</f>
        <v>#REF!</v>
      </c>
      <c r="AW67" s="39" t="e">
        <f>ROUND((#REF!-250 - IF(#REF!&lt;&gt;0,20,0))*0.285 + 87.5 + 0/4.25,0)</f>
        <v>#REF!</v>
      </c>
      <c r="AX67" s="133"/>
      <c r="AY67" s="172" t="e">
        <f t="array" aca="1" ref="AY67" ca="1">IF(#REF!&gt;12,OFFSET(#REF!,-12,0),0)+OFFSET(#REF!,-1,0)-#REF!</f>
        <v>#REF!</v>
      </c>
      <c r="AZ67" s="173" t="e">
        <f t="array" aca="1" ref="AZ67" ca="1">IF(#REF!&gt;12,OFFSET(#REF!,-12,0),0)+OFFSET(#REF!,-1,0)-#REF!</f>
        <v>#REF!</v>
      </c>
      <c r="BA67" s="173" t="e">
        <f t="array" aca="1" ref="BA67" ca="1">IF(#REF!&gt;12,OFFSET(#REF!,-12,0),0)+OFFSET(#REF!,-1,0)-#REF!</f>
        <v>#REF!</v>
      </c>
      <c r="BB67" s="173" t="e">
        <f t="array" aca="1" ref="BB67" ca="1">IF(#REF!&gt;12,OFFSET(#REF!,-12,0),0)+OFFSET(#REF!,-1,0)-#REF!</f>
        <v>#REF!</v>
      </c>
      <c r="BC67" s="173" t="e">
        <f t="array" aca="1" ref="BC67" ca="1">IF(#REF!&gt;12,OFFSET(#REF!,-12,0),0)+OFFSET(#REF!,-1,0)-#REF!</f>
        <v>#REF!</v>
      </c>
      <c r="BD67" s="174" t="e">
        <f t="array" aca="1" ref="BD67" ca="1">IF(#REF!&gt;12,OFFSET(#REF!,-12,0),0)+OFFSET(#REF!,-1,0)-#REF!</f>
        <v>#REF!</v>
      </c>
      <c r="BE67" s="174" t="e">
        <f t="array" aca="1" ref="BE67" ca="1">IF(#REF!&gt;12,OFFSET(#REF!,-12,0),0)+OFFSET(#REF!,-1,0)-#REF!</f>
        <v>#REF!</v>
      </c>
      <c r="BF67" s="343" t="e">
        <f t="array" aca="1" ref="BF67" ca="1">IF(#REF!&gt;12,OFFSET(#REF!,-12,0),0)+OFFSET(#REF!,-1,0)-#REF!</f>
        <v>#REF!</v>
      </c>
      <c r="BG67" s="343" t="e">
        <f t="array" aca="1" ref="BG67" ca="1">IF(#REF!&gt;12,OFFSET(#REF!,-12,0),0)+OFFSET(#REF!,-1,0)-#REF!</f>
        <v>#REF!</v>
      </c>
      <c r="BH67" s="347" t="e">
        <f t="array" aca="1" ref="BH67" ca="1">IF(#REF!&gt;12,OFFSET(#REF!,-12,0),0)+OFFSET(#REF!,-1,0)-#REF!</f>
        <v>#REF!</v>
      </c>
      <c r="BI67" s="347" t="e">
        <f t="array" aca="1" ref="BI67" ca="1">IF(#REF!&gt;12,OFFSET(#REF!,-12,0),0)+OFFSET(#REF!,-1,0)-#REF!</f>
        <v>#REF!</v>
      </c>
      <c r="BJ67" s="347" t="e">
        <f t="array" aca="1" ref="BJ67" ca="1">IF(#REF!&gt;12,OFFSET(#REF!,-12,0),0)+OFFSET(#REF!,-1,0)-#REF!</f>
        <v>#REF!</v>
      </c>
      <c r="BK67" s="347" t="e">
        <f t="array" aca="1" ref="BK67" ca="1">IF(#REF!&gt;12,OFFSET(#REF!,-12,0),0)+OFFSET(#REF!,-1,0)-#REF!</f>
        <v>#REF!</v>
      </c>
      <c r="BL67" s="351" t="e">
        <f t="array" aca="1" ref="BL67" ca="1">IF(#REF!&gt;12,OFFSET(#REF!,-12,0),0)+OFFSET(#REF!,-1,0)-#REF!</f>
        <v>#REF!</v>
      </c>
      <c r="BM67" s="351" t="e">
        <f t="array" aca="1" ref="BM67" ca="1">IF(#REF!&gt;12,OFFSET(#REF!,-12,0),0)+OFFSET(#REF!,-1,0)-#REF!</f>
        <v>#REF!</v>
      </c>
      <c r="BN67" s="351" t="e">
        <f t="array" aca="1" ref="BN67" ca="1">IF(#REF!&gt;12,OFFSET(#REF!,-12,0),0)+OFFSET(#REF!,-1,0)-#REF!</f>
        <v>#REF!</v>
      </c>
      <c r="BO67" s="175" t="e">
        <f t="array" aca="1" ref="BO67" ca="1">IF(#REF!&gt;12,OFFSET(#REF!,-12,0),0)+OFFSET(#REF!,-1,0)-#REF!</f>
        <v>#REF!</v>
      </c>
      <c r="BP67" s="175" t="e">
        <f t="array" aca="1" ref="BP67" ca="1">IF(#REF!&gt;12,OFFSET(#REF!,-12,0),0)+OFFSET(#REF!,-1,0)-#REF!</f>
        <v>#REF!</v>
      </c>
      <c r="BQ67" s="176" t="e">
        <f t="array" aca="1" ref="BQ67" ca="1">IF(#REF!&gt;12,OFFSET(#REF!,-12,0),0)+OFFSET(#REF!,-1,0)-#REF!</f>
        <v>#REF!</v>
      </c>
      <c r="BR67" s="134"/>
      <c r="BS67" s="133"/>
      <c r="BT67" s="39" t="e">
        <f>#REF!</f>
        <v>#REF!</v>
      </c>
      <c r="BU67" s="147" t="e">
        <f>#REF!</f>
        <v>#REF!</v>
      </c>
      <c r="BV67" s="134"/>
      <c r="BW67" s="164"/>
      <c r="BX67" s="164"/>
      <c r="BY67" s="164"/>
      <c r="BZ67" s="164"/>
      <c r="CA67" s="164"/>
      <c r="CB67" s="164"/>
      <c r="CC67" s="164"/>
      <c r="CD67" s="164"/>
      <c r="CE67" s="164"/>
      <c r="CF67" s="164"/>
      <c r="CG67" s="164"/>
      <c r="CH67" s="164"/>
      <c r="CI67" s="164"/>
      <c r="CJ67" s="164"/>
      <c r="CK67" s="164"/>
      <c r="CL67" s="164"/>
      <c r="CM67" s="164"/>
      <c r="CN67" s="164"/>
      <c r="CO67" s="164"/>
      <c r="CP67" s="134"/>
      <c r="CQ67" s="165" t="e">
        <f ca="1">-SUM(#REF!)+SUM(#REF!)+Rezone!L67+IF("Ch_"&amp; home_land=#REF!,#REF!)+IF(#REF!&gt;12,OFFSET(#REF!,-12,0),0)</f>
        <v>#REF!</v>
      </c>
      <c r="CR67" s="166" t="e">
        <f ca="1">-SUM(#REF!)+SUM(#REF!) +Rezone!M67 + IF("Ch_"&amp; home_land=#REF!,#REF!)+IF(#REF!&gt;12,OFFSET(#REF!,-12,0),0)</f>
        <v>#REF!</v>
      </c>
      <c r="CS67" s="341" t="e">
        <f ca="1">-SUM(#REF!)+SUM(#REF!) +Rezone!N67 + IF("Ch_"&amp; home_land=#REF!,#REF!)+IF(#REF!&gt;12,OFFSET(#REF!,-12,0),0)</f>
        <v>#REF!</v>
      </c>
      <c r="CT67" s="167" t="e">
        <f ca="1">-SUM(#REF!)+SUM(#REF!) +Rezone!O67 + IF("Ch_" &amp; home_land=#REF!,#REF!)+IF(#REF!&gt;12,OFFSET(#REF!,-12,0),0)</f>
        <v>#REF!</v>
      </c>
      <c r="CU67" s="168" t="e">
        <f ca="1">-SUM(#REF!)+SUM(#REF!) +Rezone!P67 + IF("Ch_" &amp; home_land=#REF!,#REF!)+IF(#REF!&gt;12,OFFSET(#REF!,-12,0),0)</f>
        <v>#REF!</v>
      </c>
      <c r="CV67" s="169" t="e">
        <f ca="1">- SUM(#REF!)+SUM(#REF!) +Rezone!Q67 + IF("Ch_" &amp; home_land=#REF!,#REF!)+IF(#REF!&gt;12,OFFSET(#REF!,-12,0),0)</f>
        <v>#REF!</v>
      </c>
      <c r="CW67" s="170" t="e">
        <f ca="1">-#REF!+#REF! +Rezone!R67 + IF("Ch_" &amp; home_land=#REF!,#REF!)+IF(#REF!&gt;12,OFFSET(#REF!,-12,0),0)</f>
        <v>#REF!</v>
      </c>
      <c r="CX67" s="3" t="e">
        <f>IF(Explore!S67=1,20) -#REF! +#REF!</f>
        <v>#REF!</v>
      </c>
      <c r="CY67" s="134"/>
      <c r="CZ67" s="39" t="e">
        <f t="shared" ca="1" si="12"/>
        <v>#REF!</v>
      </c>
      <c r="DA67" s="39" t="e">
        <f t="shared" ca="1" si="13"/>
        <v>#REF!</v>
      </c>
      <c r="DB67" s="3" t="e">
        <f t="shared" ca="1" si="14"/>
        <v>#REF!</v>
      </c>
      <c r="DC67" s="39" t="e">
        <f t="shared" ca="1" si="15"/>
        <v>#REF!</v>
      </c>
      <c r="DD67" s="39" t="e">
        <f t="shared" ca="1" si="16"/>
        <v>#REF!</v>
      </c>
      <c r="DE67" s="3" t="e">
        <f t="shared" ca="1" si="17"/>
        <v>#REF!</v>
      </c>
      <c r="DF67" s="39" t="e">
        <f t="shared" ca="1" si="18"/>
        <v>#REF!</v>
      </c>
      <c r="DG67" s="39" t="e">
        <f t="array" ref="DG67">INDEX(#REF!,ROW()-ROW(#REF!),MATCH("Total "&amp;home_land,#REF!,0))+#REF!</f>
        <v>#REF!</v>
      </c>
      <c r="DH67" s="3" t="e">
        <f t="shared" ca="1" si="10"/>
        <v>#REF!</v>
      </c>
      <c r="DI67" s="3" t="e">
        <f t="shared" ca="1" si="0"/>
        <v>#REF!</v>
      </c>
      <c r="DJ67" s="3" t="e">
        <f t="shared" ca="1" si="1"/>
        <v>#REF!</v>
      </c>
    </row>
    <row r="68" spans="1:114" x14ac:dyDescent="0.25">
      <c r="A68" s="160" t="e">
        <f>#REF!</f>
        <v>#REF!</v>
      </c>
      <c r="B68" s="161" t="e">
        <f>SUM(#REF!)</f>
        <v>#REF!</v>
      </c>
      <c r="C68" s="162" t="e">
        <f>SUM(#REF!)</f>
        <v>#REF!</v>
      </c>
      <c r="D68" s="162">
        <f t="shared" si="11"/>
        <v>0</v>
      </c>
      <c r="E68" s="163"/>
      <c r="F68" s="61" t="e">
        <f>#REF!+#REF!+#REF!</f>
        <v>#REF!</v>
      </c>
      <c r="G68" s="171" t="e">
        <f ca="1">OFFSET(#REF!,-1,0)+#REF!</f>
        <v>#REF!</v>
      </c>
      <c r="H68" s="166" t="e">
        <f ca="1">OFFSET(#REF!,-1,0)+#REF!</f>
        <v>#REF!</v>
      </c>
      <c r="I68" s="341" t="e">
        <f ca="1">OFFSET(#REF!,-1,0)+#REF!</f>
        <v>#REF!</v>
      </c>
      <c r="J68" s="345" t="e">
        <f ca="1">OFFSET(#REF!,-1,0)+#REF!</f>
        <v>#REF!</v>
      </c>
      <c r="K68" s="349" t="e">
        <f ca="1">OFFSET(#REF!,-1,0)+#REF!</f>
        <v>#REF!</v>
      </c>
      <c r="L68" s="169" t="e">
        <f ca="1">OFFSET(#REF!,-1,0)+#REF!</f>
        <v>#REF!</v>
      </c>
      <c r="M68" s="170" t="e">
        <f ca="1">OFFSET(#REF!,-1,0)+#REF!</f>
        <v>#REF!</v>
      </c>
      <c r="N68" s="339" t="e">
        <f>#REF!</f>
        <v>#REF!</v>
      </c>
      <c r="O68" s="164"/>
      <c r="P68" s="164"/>
      <c r="Q68" s="164"/>
      <c r="R68" s="164"/>
      <c r="S68" s="164"/>
      <c r="T68" s="164"/>
      <c r="U68" s="164"/>
      <c r="V68" s="164"/>
      <c r="W68" s="164"/>
      <c r="X68" s="164"/>
      <c r="Y68" s="164"/>
      <c r="Z68" s="164"/>
      <c r="AA68" s="164"/>
      <c r="AB68" s="164"/>
      <c r="AC68" s="164"/>
      <c r="AD68" s="164"/>
      <c r="AE68" s="164"/>
      <c r="AF68" s="164"/>
      <c r="AG68" s="164"/>
      <c r="AH68" s="53" t="e">
        <f>#REF!</f>
        <v>#REF!</v>
      </c>
      <c r="AI68" s="132" t="e">
        <f>MIN(25%,(#REF!+#REF!)/(#REF!-#REF!*20))</f>
        <v>#REF!</v>
      </c>
      <c r="AJ68" s="132" t="e">
        <f>MIN(25%,(#REF!+#REF!)/#REF!)</f>
        <v>#REF!</v>
      </c>
      <c r="AK68" s="39" t="e">
        <f>#REF!</f>
        <v>#REF!</v>
      </c>
      <c r="AL68" s="39" t="e">
        <f>#REF!</f>
        <v>#REF!</v>
      </c>
      <c r="AM68" s="39" t="e">
        <f>ROUNDDOWN( MAX((1 - MIN(facs_constr_factor*#REF!,facs_constr_max) + tech_2_3*#REF! + tech_2_6_2*#REF! + tech_2_10*#REF! + tech_4_6*#REF! + tech_6_3*#REF! + tech_9_2*#REF! + race_construction_cost), 1-global_constr_cap) *#REF!,0)</f>
        <v>#REF!</v>
      </c>
      <c r="AN68" s="39" t="e">
        <f>ROUNDDOWN( MAX(1 - MIN(facs_constr_factor*#REF!,facs_constr_max) + tech_1_11*#REF! + tech_6_3_2*#REF! + tech_5_2_3*#REF!, 1-global_constr_cap) *#REF!,0)</f>
        <v>#REF!</v>
      </c>
      <c r="AO68" s="39" t="e">
        <f>ROUNDDOWN( MAX((1 - MIN(facs_constr_factor*#REF!,facs_constr_max) + tech_2_3*#REF! + tech_2_6_2*#REF! + tech_2_10*#REF! + tech_4_6*#REF! + tech_6_3*#REF! + tech_9_2*#REF! + race_construction_cost), 1-global_constr_cap) * (ROUND((#REF!-250)*1.25 + 850 + 0,0)),0)</f>
        <v>#REF!</v>
      </c>
      <c r="AP68" s="39" t="e">
        <f>ROUNDDOWN( MAX(1 - MIN(facs_constr_factor*#REF!,facs_constr_max) + tech_1_11*#REF! + tech_6_3_2*#REF! + tech_5_2_3*#REF!, 1-global_constr_cap) * ROUND((#REF!-250)*0.285 + 87.5 + 0/4.25,0),0)</f>
        <v>#REF!</v>
      </c>
      <c r="AQ68" s="3" t="e">
        <f>#REF!*#REF! +#REF! *#REF!</f>
        <v>#REF!</v>
      </c>
      <c r="AR68" s="3" t="e">
        <f>#REF!*#REF!+#REF!*#REF!</f>
        <v>#REF!</v>
      </c>
      <c r="AS68" s="39" t="e">
        <f ca="1">MIN(SUM(OFFSET(#REF!,-1,0))+SUM(#REF!)+IF(#REF!&gt;12,SUM(OFFSET(#REF!,-12,0)),0),SUM(#REF!))</f>
        <v>#REF!</v>
      </c>
      <c r="AT68" s="3" t="e">
        <f ca="1">IF(#REF!&lt;&gt;0,MAX(0, MIN(20, 20 + SUM(#REF!) - SUM(#REF!) - SUM(OFFSET(#REF!,-1,0)) - IF(#REF!&gt;12,SUM(OFFSET(#REF!,-12,0)),0) - 20*#REF!)),0)</f>
        <v>#REF!</v>
      </c>
      <c r="AU68" s="134"/>
      <c r="AV68" s="39" t="e">
        <f>ROUND((#REF!-250 - IF(#REF!&lt;&gt;0,20,0))*1.25 + 850 + 0,0)</f>
        <v>#REF!</v>
      </c>
      <c r="AW68" s="39" t="e">
        <f>ROUND((#REF!-250 - IF(#REF!&lt;&gt;0,20,0))*0.285 + 87.5 + 0/4.25,0)</f>
        <v>#REF!</v>
      </c>
      <c r="AX68" s="133"/>
      <c r="AY68" s="172" t="e">
        <f t="array" aca="1" ref="AY68" ca="1">IF(#REF!&gt;12,OFFSET(#REF!,-12,0),0)+OFFSET(#REF!,-1,0)-#REF!</f>
        <v>#REF!</v>
      </c>
      <c r="AZ68" s="173" t="e">
        <f t="array" aca="1" ref="AZ68" ca="1">IF(#REF!&gt;12,OFFSET(#REF!,-12,0),0)+OFFSET(#REF!,-1,0)-#REF!</f>
        <v>#REF!</v>
      </c>
      <c r="BA68" s="173" t="e">
        <f t="array" aca="1" ref="BA68" ca="1">IF(#REF!&gt;12,OFFSET(#REF!,-12,0),0)+OFFSET(#REF!,-1,0)-#REF!</f>
        <v>#REF!</v>
      </c>
      <c r="BB68" s="173" t="e">
        <f t="array" aca="1" ref="BB68" ca="1">IF(#REF!&gt;12,OFFSET(#REF!,-12,0),0)+OFFSET(#REF!,-1,0)-#REF!</f>
        <v>#REF!</v>
      </c>
      <c r="BC68" s="173" t="e">
        <f t="array" aca="1" ref="BC68" ca="1">IF(#REF!&gt;12,OFFSET(#REF!,-12,0),0)+OFFSET(#REF!,-1,0)-#REF!</f>
        <v>#REF!</v>
      </c>
      <c r="BD68" s="174" t="e">
        <f t="array" aca="1" ref="BD68" ca="1">IF(#REF!&gt;12,OFFSET(#REF!,-12,0),0)+OFFSET(#REF!,-1,0)-#REF!</f>
        <v>#REF!</v>
      </c>
      <c r="BE68" s="174" t="e">
        <f t="array" aca="1" ref="BE68" ca="1">IF(#REF!&gt;12,OFFSET(#REF!,-12,0),0)+OFFSET(#REF!,-1,0)-#REF!</f>
        <v>#REF!</v>
      </c>
      <c r="BF68" s="343" t="e">
        <f t="array" aca="1" ref="BF68" ca="1">IF(#REF!&gt;12,OFFSET(#REF!,-12,0),0)+OFFSET(#REF!,-1,0)-#REF!</f>
        <v>#REF!</v>
      </c>
      <c r="BG68" s="343" t="e">
        <f t="array" aca="1" ref="BG68" ca="1">IF(#REF!&gt;12,OFFSET(#REF!,-12,0),0)+OFFSET(#REF!,-1,0)-#REF!</f>
        <v>#REF!</v>
      </c>
      <c r="BH68" s="347" t="e">
        <f t="array" aca="1" ref="BH68" ca="1">IF(#REF!&gt;12,OFFSET(#REF!,-12,0),0)+OFFSET(#REF!,-1,0)-#REF!</f>
        <v>#REF!</v>
      </c>
      <c r="BI68" s="347" t="e">
        <f t="array" aca="1" ref="BI68" ca="1">IF(#REF!&gt;12,OFFSET(#REF!,-12,0),0)+OFFSET(#REF!,-1,0)-#REF!</f>
        <v>#REF!</v>
      </c>
      <c r="BJ68" s="347" t="e">
        <f t="array" aca="1" ref="BJ68" ca="1">IF(#REF!&gt;12,OFFSET(#REF!,-12,0),0)+OFFSET(#REF!,-1,0)-#REF!</f>
        <v>#REF!</v>
      </c>
      <c r="BK68" s="347" t="e">
        <f t="array" aca="1" ref="BK68" ca="1">IF(#REF!&gt;12,OFFSET(#REF!,-12,0),0)+OFFSET(#REF!,-1,0)-#REF!</f>
        <v>#REF!</v>
      </c>
      <c r="BL68" s="351" t="e">
        <f t="array" aca="1" ref="BL68" ca="1">IF(#REF!&gt;12,OFFSET(#REF!,-12,0),0)+OFFSET(#REF!,-1,0)-#REF!</f>
        <v>#REF!</v>
      </c>
      <c r="BM68" s="351" t="e">
        <f t="array" aca="1" ref="BM68" ca="1">IF(#REF!&gt;12,OFFSET(#REF!,-12,0),0)+OFFSET(#REF!,-1,0)-#REF!</f>
        <v>#REF!</v>
      </c>
      <c r="BN68" s="351" t="e">
        <f t="array" aca="1" ref="BN68" ca="1">IF(#REF!&gt;12,OFFSET(#REF!,-12,0),0)+OFFSET(#REF!,-1,0)-#REF!</f>
        <v>#REF!</v>
      </c>
      <c r="BO68" s="175" t="e">
        <f t="array" aca="1" ref="BO68" ca="1">IF(#REF!&gt;12,OFFSET(#REF!,-12,0),0)+OFFSET(#REF!,-1,0)-#REF!</f>
        <v>#REF!</v>
      </c>
      <c r="BP68" s="175" t="e">
        <f t="array" aca="1" ref="BP68" ca="1">IF(#REF!&gt;12,OFFSET(#REF!,-12,0),0)+OFFSET(#REF!,-1,0)-#REF!</f>
        <v>#REF!</v>
      </c>
      <c r="BQ68" s="176" t="e">
        <f t="array" aca="1" ref="BQ68" ca="1">IF(#REF!&gt;12,OFFSET(#REF!,-12,0),0)+OFFSET(#REF!,-1,0)-#REF!</f>
        <v>#REF!</v>
      </c>
      <c r="BR68" s="134"/>
      <c r="BS68" s="133"/>
      <c r="BT68" s="39" t="e">
        <f>#REF!</f>
        <v>#REF!</v>
      </c>
      <c r="BU68" s="147" t="e">
        <f>#REF!</f>
        <v>#REF!</v>
      </c>
      <c r="BV68" s="134"/>
      <c r="BW68" s="164"/>
      <c r="BX68" s="164"/>
      <c r="BY68" s="164"/>
      <c r="BZ68" s="164"/>
      <c r="CA68" s="164"/>
      <c r="CB68" s="164"/>
      <c r="CC68" s="164"/>
      <c r="CD68" s="164"/>
      <c r="CE68" s="164"/>
      <c r="CF68" s="164"/>
      <c r="CG68" s="164"/>
      <c r="CH68" s="164"/>
      <c r="CI68" s="164"/>
      <c r="CJ68" s="164"/>
      <c r="CK68" s="164"/>
      <c r="CL68" s="164"/>
      <c r="CM68" s="164"/>
      <c r="CN68" s="164"/>
      <c r="CO68" s="164"/>
      <c r="CP68" s="134"/>
      <c r="CQ68" s="165" t="e">
        <f ca="1">-SUM(#REF!)+SUM(#REF!)+Rezone!L68+IF("Ch_"&amp; home_land=#REF!,#REF!)+IF(#REF!&gt;12,OFFSET(#REF!,-12,0),0)</f>
        <v>#REF!</v>
      </c>
      <c r="CR68" s="166" t="e">
        <f ca="1">-SUM(#REF!)+SUM(#REF!) +Rezone!M68 + IF("Ch_"&amp; home_land=#REF!,#REF!)+IF(#REF!&gt;12,OFFSET(#REF!,-12,0),0)</f>
        <v>#REF!</v>
      </c>
      <c r="CS68" s="341" t="e">
        <f ca="1">-SUM(#REF!)+SUM(#REF!) +Rezone!N68 + IF("Ch_"&amp; home_land=#REF!,#REF!)+IF(#REF!&gt;12,OFFSET(#REF!,-12,0),0)</f>
        <v>#REF!</v>
      </c>
      <c r="CT68" s="167" t="e">
        <f ca="1">-SUM(#REF!)+SUM(#REF!) +Rezone!O68 + IF("Ch_" &amp; home_land=#REF!,#REF!)+IF(#REF!&gt;12,OFFSET(#REF!,-12,0),0)</f>
        <v>#REF!</v>
      </c>
      <c r="CU68" s="168" t="e">
        <f ca="1">-SUM(#REF!)+SUM(#REF!) +Rezone!P68 + IF("Ch_" &amp; home_land=#REF!,#REF!)+IF(#REF!&gt;12,OFFSET(#REF!,-12,0),0)</f>
        <v>#REF!</v>
      </c>
      <c r="CV68" s="169" t="e">
        <f ca="1">- SUM(#REF!)+SUM(#REF!) +Rezone!Q68 + IF("Ch_" &amp; home_land=#REF!,#REF!)+IF(#REF!&gt;12,OFFSET(#REF!,-12,0),0)</f>
        <v>#REF!</v>
      </c>
      <c r="CW68" s="170" t="e">
        <f ca="1">-#REF!+#REF! +Rezone!R68 + IF("Ch_" &amp; home_land=#REF!,#REF!)+IF(#REF!&gt;12,OFFSET(#REF!,-12,0),0)</f>
        <v>#REF!</v>
      </c>
      <c r="CX68" s="3" t="e">
        <f>IF(Explore!S68=1,20) -#REF! +#REF!</f>
        <v>#REF!</v>
      </c>
      <c r="CY68" s="134"/>
      <c r="CZ68" s="39" t="e">
        <f t="shared" ca="1" si="12"/>
        <v>#REF!</v>
      </c>
      <c r="DA68" s="39" t="e">
        <f t="shared" ca="1" si="13"/>
        <v>#REF!</v>
      </c>
      <c r="DB68" s="3" t="e">
        <f t="shared" ca="1" si="14"/>
        <v>#REF!</v>
      </c>
      <c r="DC68" s="39" t="e">
        <f t="shared" ca="1" si="15"/>
        <v>#REF!</v>
      </c>
      <c r="DD68" s="39" t="e">
        <f t="shared" ca="1" si="16"/>
        <v>#REF!</v>
      </c>
      <c r="DE68" s="3" t="e">
        <f t="shared" ca="1" si="17"/>
        <v>#REF!</v>
      </c>
      <c r="DF68" s="39" t="e">
        <f t="shared" ca="1" si="18"/>
        <v>#REF!</v>
      </c>
      <c r="DG68" s="39" t="e">
        <f t="array" ref="DG68">INDEX(#REF!,ROW()-ROW(#REF!),MATCH("Total "&amp;home_land,#REF!,0))+#REF!</f>
        <v>#REF!</v>
      </c>
      <c r="DH68" s="3" t="e">
        <f t="shared" ca="1" si="10"/>
        <v>#REF!</v>
      </c>
      <c r="DI68" s="3" t="e">
        <f t="shared" ca="1" si="0"/>
        <v>#REF!</v>
      </c>
      <c r="DJ68" s="3" t="e">
        <f t="shared" ca="1" si="1"/>
        <v>#REF!</v>
      </c>
    </row>
    <row r="69" spans="1:114" x14ac:dyDescent="0.25">
      <c r="A69" s="160" t="e">
        <f>#REF!</f>
        <v>#REF!</v>
      </c>
      <c r="B69" s="161" t="e">
        <f>SUM(#REF!)</f>
        <v>#REF!</v>
      </c>
      <c r="C69" s="162" t="e">
        <f>SUM(#REF!)</f>
        <v>#REF!</v>
      </c>
      <c r="D69" s="162">
        <f t="shared" si="11"/>
        <v>0</v>
      </c>
      <c r="E69" s="163"/>
      <c r="F69" s="61" t="e">
        <f>#REF!+#REF!+#REF!</f>
        <v>#REF!</v>
      </c>
      <c r="G69" s="171" t="e">
        <f ca="1">OFFSET(#REF!,-1,0)+#REF!</f>
        <v>#REF!</v>
      </c>
      <c r="H69" s="166" t="e">
        <f ca="1">OFFSET(#REF!,-1,0)+#REF!</f>
        <v>#REF!</v>
      </c>
      <c r="I69" s="341" t="e">
        <f ca="1">OFFSET(#REF!,-1,0)+#REF!</f>
        <v>#REF!</v>
      </c>
      <c r="J69" s="345" t="e">
        <f ca="1">OFFSET(#REF!,-1,0)+#REF!</f>
        <v>#REF!</v>
      </c>
      <c r="K69" s="349" t="e">
        <f ca="1">OFFSET(#REF!,-1,0)+#REF!</f>
        <v>#REF!</v>
      </c>
      <c r="L69" s="169" t="e">
        <f ca="1">OFFSET(#REF!,-1,0)+#REF!</f>
        <v>#REF!</v>
      </c>
      <c r="M69" s="170" t="e">
        <f ca="1">OFFSET(#REF!,-1,0)+#REF!</f>
        <v>#REF!</v>
      </c>
      <c r="N69" s="339" t="e">
        <f>#REF!</f>
        <v>#REF!</v>
      </c>
      <c r="O69" s="164"/>
      <c r="P69" s="164"/>
      <c r="Q69" s="164"/>
      <c r="R69" s="164"/>
      <c r="S69" s="164"/>
      <c r="T69" s="164"/>
      <c r="U69" s="164"/>
      <c r="V69" s="164"/>
      <c r="W69" s="164"/>
      <c r="X69" s="164"/>
      <c r="Y69" s="164"/>
      <c r="Z69" s="164"/>
      <c r="AA69" s="164"/>
      <c r="AB69" s="164"/>
      <c r="AC69" s="164"/>
      <c r="AD69" s="164"/>
      <c r="AE69" s="164"/>
      <c r="AF69" s="164"/>
      <c r="AG69" s="164"/>
      <c r="AH69" s="53" t="e">
        <f>#REF!</f>
        <v>#REF!</v>
      </c>
      <c r="AI69" s="132" t="e">
        <f>MIN(25%,(#REF!+#REF!)/(#REF!-#REF!*20))</f>
        <v>#REF!</v>
      </c>
      <c r="AJ69" s="132" t="e">
        <f>MIN(25%,(#REF!+#REF!)/#REF!)</f>
        <v>#REF!</v>
      </c>
      <c r="AK69" s="39" t="e">
        <f>#REF!</f>
        <v>#REF!</v>
      </c>
      <c r="AL69" s="39" t="e">
        <f>#REF!</f>
        <v>#REF!</v>
      </c>
      <c r="AM69" s="39" t="e">
        <f>ROUNDDOWN( MAX((1 - MIN(facs_constr_factor*#REF!,facs_constr_max) + tech_2_3*#REF! + tech_2_6_2*#REF! + tech_2_10*#REF! + tech_4_6*#REF! + tech_6_3*#REF! + tech_9_2*#REF! + race_construction_cost), 1-global_constr_cap) *#REF!,0)</f>
        <v>#REF!</v>
      </c>
      <c r="AN69" s="39" t="e">
        <f>ROUNDDOWN( MAX(1 - MIN(facs_constr_factor*#REF!,facs_constr_max) + tech_1_11*#REF! + tech_6_3_2*#REF! + tech_5_2_3*#REF!, 1-global_constr_cap) *#REF!,0)</f>
        <v>#REF!</v>
      </c>
      <c r="AO69" s="39" t="e">
        <f>ROUNDDOWN( MAX((1 - MIN(facs_constr_factor*#REF!,facs_constr_max) + tech_2_3*#REF! + tech_2_6_2*#REF! + tech_2_10*#REF! + tech_4_6*#REF! + tech_6_3*#REF! + tech_9_2*#REF! + race_construction_cost), 1-global_constr_cap) * (ROUND((#REF!-250)*1.25 + 850 + 0,0)),0)</f>
        <v>#REF!</v>
      </c>
      <c r="AP69" s="39" t="e">
        <f>ROUNDDOWN( MAX(1 - MIN(facs_constr_factor*#REF!,facs_constr_max) + tech_1_11*#REF! + tech_6_3_2*#REF! + tech_5_2_3*#REF!, 1-global_constr_cap) * ROUND((#REF!-250)*0.285 + 87.5 + 0/4.25,0),0)</f>
        <v>#REF!</v>
      </c>
      <c r="AQ69" s="3" t="e">
        <f>#REF!*#REF! +#REF! *#REF!</f>
        <v>#REF!</v>
      </c>
      <c r="AR69" s="3" t="e">
        <f>#REF!*#REF!+#REF!*#REF!</f>
        <v>#REF!</v>
      </c>
      <c r="AS69" s="39" t="e">
        <f ca="1">MIN(SUM(OFFSET(#REF!,-1,0))+SUM(#REF!)+IF(#REF!&gt;12,SUM(OFFSET(#REF!,-12,0)),0),SUM(#REF!))</f>
        <v>#REF!</v>
      </c>
      <c r="AT69" s="3" t="e">
        <f ca="1">IF(#REF!&lt;&gt;0,MAX(0, MIN(20, 20 + SUM(#REF!) - SUM(#REF!) - SUM(OFFSET(#REF!,-1,0)) - IF(#REF!&gt;12,SUM(OFFSET(#REF!,-12,0)),0) - 20*#REF!)),0)</f>
        <v>#REF!</v>
      </c>
      <c r="AU69" s="134"/>
      <c r="AV69" s="39" t="e">
        <f>ROUND((#REF!-250 - IF(#REF!&lt;&gt;0,20,0))*1.25 + 850 + 0,0)</f>
        <v>#REF!</v>
      </c>
      <c r="AW69" s="39" t="e">
        <f>ROUND((#REF!-250 - IF(#REF!&lt;&gt;0,20,0))*0.285 + 87.5 + 0/4.25,0)</f>
        <v>#REF!</v>
      </c>
      <c r="AX69" s="133"/>
      <c r="AY69" s="172" t="e">
        <f t="array" aca="1" ref="AY69" ca="1">IF(#REF!&gt;12,OFFSET(#REF!,-12,0),0)+OFFSET(#REF!,-1,0)-#REF!</f>
        <v>#REF!</v>
      </c>
      <c r="AZ69" s="173" t="e">
        <f t="array" aca="1" ref="AZ69" ca="1">IF(#REF!&gt;12,OFFSET(#REF!,-12,0),0)+OFFSET(#REF!,-1,0)-#REF!</f>
        <v>#REF!</v>
      </c>
      <c r="BA69" s="173" t="e">
        <f t="array" aca="1" ref="BA69" ca="1">IF(#REF!&gt;12,OFFSET(#REF!,-12,0),0)+OFFSET(#REF!,-1,0)-#REF!</f>
        <v>#REF!</v>
      </c>
      <c r="BB69" s="173" t="e">
        <f t="array" aca="1" ref="BB69" ca="1">IF(#REF!&gt;12,OFFSET(#REF!,-12,0),0)+OFFSET(#REF!,-1,0)-#REF!</f>
        <v>#REF!</v>
      </c>
      <c r="BC69" s="173" t="e">
        <f t="array" aca="1" ref="BC69" ca="1">IF(#REF!&gt;12,OFFSET(#REF!,-12,0),0)+OFFSET(#REF!,-1,0)-#REF!</f>
        <v>#REF!</v>
      </c>
      <c r="BD69" s="174" t="e">
        <f t="array" aca="1" ref="BD69" ca="1">IF(#REF!&gt;12,OFFSET(#REF!,-12,0),0)+OFFSET(#REF!,-1,0)-#REF!</f>
        <v>#REF!</v>
      </c>
      <c r="BE69" s="174" t="e">
        <f t="array" aca="1" ref="BE69" ca="1">IF(#REF!&gt;12,OFFSET(#REF!,-12,0),0)+OFFSET(#REF!,-1,0)-#REF!</f>
        <v>#REF!</v>
      </c>
      <c r="BF69" s="343" t="e">
        <f t="array" aca="1" ref="BF69" ca="1">IF(#REF!&gt;12,OFFSET(#REF!,-12,0),0)+OFFSET(#REF!,-1,0)-#REF!</f>
        <v>#REF!</v>
      </c>
      <c r="BG69" s="343" t="e">
        <f t="array" aca="1" ref="BG69" ca="1">IF(#REF!&gt;12,OFFSET(#REF!,-12,0),0)+OFFSET(#REF!,-1,0)-#REF!</f>
        <v>#REF!</v>
      </c>
      <c r="BH69" s="347" t="e">
        <f t="array" aca="1" ref="BH69" ca="1">IF(#REF!&gt;12,OFFSET(#REF!,-12,0),0)+OFFSET(#REF!,-1,0)-#REF!</f>
        <v>#REF!</v>
      </c>
      <c r="BI69" s="347" t="e">
        <f t="array" aca="1" ref="BI69" ca="1">IF(#REF!&gt;12,OFFSET(#REF!,-12,0),0)+OFFSET(#REF!,-1,0)-#REF!</f>
        <v>#REF!</v>
      </c>
      <c r="BJ69" s="347" t="e">
        <f t="array" aca="1" ref="BJ69" ca="1">IF(#REF!&gt;12,OFFSET(#REF!,-12,0),0)+OFFSET(#REF!,-1,0)-#REF!</f>
        <v>#REF!</v>
      </c>
      <c r="BK69" s="347" t="e">
        <f t="array" aca="1" ref="BK69" ca="1">IF(#REF!&gt;12,OFFSET(#REF!,-12,0),0)+OFFSET(#REF!,-1,0)-#REF!</f>
        <v>#REF!</v>
      </c>
      <c r="BL69" s="351" t="e">
        <f t="array" aca="1" ref="BL69" ca="1">IF(#REF!&gt;12,OFFSET(#REF!,-12,0),0)+OFFSET(#REF!,-1,0)-#REF!</f>
        <v>#REF!</v>
      </c>
      <c r="BM69" s="351" t="e">
        <f t="array" aca="1" ref="BM69" ca="1">IF(#REF!&gt;12,OFFSET(#REF!,-12,0),0)+OFFSET(#REF!,-1,0)-#REF!</f>
        <v>#REF!</v>
      </c>
      <c r="BN69" s="351" t="e">
        <f t="array" aca="1" ref="BN69" ca="1">IF(#REF!&gt;12,OFFSET(#REF!,-12,0),0)+OFFSET(#REF!,-1,0)-#REF!</f>
        <v>#REF!</v>
      </c>
      <c r="BO69" s="175" t="e">
        <f t="array" aca="1" ref="BO69" ca="1">IF(#REF!&gt;12,OFFSET(#REF!,-12,0),0)+OFFSET(#REF!,-1,0)-#REF!</f>
        <v>#REF!</v>
      </c>
      <c r="BP69" s="175" t="e">
        <f t="array" aca="1" ref="BP69" ca="1">IF(#REF!&gt;12,OFFSET(#REF!,-12,0),0)+OFFSET(#REF!,-1,0)-#REF!</f>
        <v>#REF!</v>
      </c>
      <c r="BQ69" s="176" t="e">
        <f t="array" aca="1" ref="BQ69" ca="1">IF(#REF!&gt;12,OFFSET(#REF!,-12,0),0)+OFFSET(#REF!,-1,0)-#REF!</f>
        <v>#REF!</v>
      </c>
      <c r="BR69" s="134"/>
      <c r="BS69" s="133"/>
      <c r="BT69" s="39" t="e">
        <f>#REF!</f>
        <v>#REF!</v>
      </c>
      <c r="BU69" s="147" t="e">
        <f>#REF!</f>
        <v>#REF!</v>
      </c>
      <c r="BV69" s="134"/>
      <c r="BW69" s="164"/>
      <c r="BX69" s="164"/>
      <c r="BY69" s="164"/>
      <c r="BZ69" s="164"/>
      <c r="CA69" s="164"/>
      <c r="CB69" s="164"/>
      <c r="CC69" s="164"/>
      <c r="CD69" s="164"/>
      <c r="CE69" s="164"/>
      <c r="CF69" s="164"/>
      <c r="CG69" s="164"/>
      <c r="CH69" s="164"/>
      <c r="CI69" s="164"/>
      <c r="CJ69" s="164"/>
      <c r="CK69" s="164"/>
      <c r="CL69" s="164"/>
      <c r="CM69" s="164"/>
      <c r="CN69" s="164"/>
      <c r="CO69" s="164"/>
      <c r="CP69" s="134"/>
      <c r="CQ69" s="165" t="e">
        <f ca="1">-SUM(#REF!)+SUM(#REF!)+Rezone!L69+IF("Ch_"&amp; home_land=#REF!,#REF!)+IF(#REF!&gt;12,OFFSET(#REF!,-12,0),0)</f>
        <v>#REF!</v>
      </c>
      <c r="CR69" s="166" t="e">
        <f ca="1">-SUM(#REF!)+SUM(#REF!) +Rezone!M69 + IF("Ch_"&amp; home_land=#REF!,#REF!)+IF(#REF!&gt;12,OFFSET(#REF!,-12,0),0)</f>
        <v>#REF!</v>
      </c>
      <c r="CS69" s="341" t="e">
        <f ca="1">-SUM(#REF!)+SUM(#REF!) +Rezone!N69 + IF("Ch_"&amp; home_land=#REF!,#REF!)+IF(#REF!&gt;12,OFFSET(#REF!,-12,0),0)</f>
        <v>#REF!</v>
      </c>
      <c r="CT69" s="167" t="e">
        <f ca="1">-SUM(#REF!)+SUM(#REF!) +Rezone!O69 + IF("Ch_" &amp; home_land=#REF!,#REF!)+IF(#REF!&gt;12,OFFSET(#REF!,-12,0),0)</f>
        <v>#REF!</v>
      </c>
      <c r="CU69" s="168" t="e">
        <f ca="1">-SUM(#REF!)+SUM(#REF!) +Rezone!P69 + IF("Ch_" &amp; home_land=#REF!,#REF!)+IF(#REF!&gt;12,OFFSET(#REF!,-12,0),0)</f>
        <v>#REF!</v>
      </c>
      <c r="CV69" s="169" t="e">
        <f ca="1">- SUM(#REF!)+SUM(#REF!) +Rezone!Q69 + IF("Ch_" &amp; home_land=#REF!,#REF!)+IF(#REF!&gt;12,OFFSET(#REF!,-12,0),0)</f>
        <v>#REF!</v>
      </c>
      <c r="CW69" s="170" t="e">
        <f ca="1">-#REF!+#REF! +Rezone!R69 + IF("Ch_" &amp; home_land=#REF!,#REF!)+IF(#REF!&gt;12,OFFSET(#REF!,-12,0),0)</f>
        <v>#REF!</v>
      </c>
      <c r="CX69" s="3" t="e">
        <f>IF(Explore!S69=1,20) -#REF! +#REF!</f>
        <v>#REF!</v>
      </c>
      <c r="CY69" s="134"/>
      <c r="CZ69" s="39" t="e">
        <f t="shared" ca="1" si="12"/>
        <v>#REF!</v>
      </c>
      <c r="DA69" s="39" t="e">
        <f t="shared" ca="1" si="13"/>
        <v>#REF!</v>
      </c>
      <c r="DB69" s="3" t="e">
        <f t="shared" ca="1" si="14"/>
        <v>#REF!</v>
      </c>
      <c r="DC69" s="39" t="e">
        <f t="shared" ca="1" si="15"/>
        <v>#REF!</v>
      </c>
      <c r="DD69" s="39" t="e">
        <f t="shared" ca="1" si="16"/>
        <v>#REF!</v>
      </c>
      <c r="DE69" s="3" t="e">
        <f t="shared" ca="1" si="17"/>
        <v>#REF!</v>
      </c>
      <c r="DF69" s="39" t="e">
        <f t="shared" ca="1" si="18"/>
        <v>#REF!</v>
      </c>
      <c r="DG69" s="39" t="e">
        <f t="array" ref="DG69">INDEX(#REF!,ROW()-ROW(#REF!),MATCH("Total "&amp;home_land,#REF!,0))+#REF!</f>
        <v>#REF!</v>
      </c>
      <c r="DH69" s="3" t="e">
        <f t="shared" ca="1" si="10"/>
        <v>#REF!</v>
      </c>
      <c r="DI69" s="3" t="e">
        <f t="shared" ca="1" si="0"/>
        <v>#REF!</v>
      </c>
      <c r="DJ69" s="3" t="e">
        <f t="shared" ca="1" si="1"/>
        <v>#REF!</v>
      </c>
    </row>
    <row r="70" spans="1:114" x14ac:dyDescent="0.25">
      <c r="A70" s="160" t="e">
        <f>#REF!</f>
        <v>#REF!</v>
      </c>
      <c r="B70" s="161" t="e">
        <f>SUM(#REF!)</f>
        <v>#REF!</v>
      </c>
      <c r="C70" s="162" t="e">
        <f>SUM(#REF!)</f>
        <v>#REF!</v>
      </c>
      <c r="D70" s="162">
        <f t="shared" si="11"/>
        <v>0</v>
      </c>
      <c r="E70" s="163"/>
      <c r="F70" s="61" t="e">
        <f>#REF!+#REF!+#REF!</f>
        <v>#REF!</v>
      </c>
      <c r="G70" s="171" t="e">
        <f ca="1">OFFSET(#REF!,-1,0)+#REF!</f>
        <v>#REF!</v>
      </c>
      <c r="H70" s="166" t="e">
        <f ca="1">OFFSET(#REF!,-1,0)+#REF!</f>
        <v>#REF!</v>
      </c>
      <c r="I70" s="341" t="e">
        <f ca="1">OFFSET(#REF!,-1,0)+#REF!</f>
        <v>#REF!</v>
      </c>
      <c r="J70" s="345" t="e">
        <f ca="1">OFFSET(#REF!,-1,0)+#REF!</f>
        <v>#REF!</v>
      </c>
      <c r="K70" s="349" t="e">
        <f ca="1">OFFSET(#REF!,-1,0)+#REF!</f>
        <v>#REF!</v>
      </c>
      <c r="L70" s="169" t="e">
        <f ca="1">OFFSET(#REF!,-1,0)+#REF!</f>
        <v>#REF!</v>
      </c>
      <c r="M70" s="170" t="e">
        <f ca="1">OFFSET(#REF!,-1,0)+#REF!</f>
        <v>#REF!</v>
      </c>
      <c r="N70" s="339" t="e">
        <f>#REF!</f>
        <v>#REF!</v>
      </c>
      <c r="O70" s="164"/>
      <c r="P70" s="164"/>
      <c r="Q70" s="164"/>
      <c r="R70" s="164"/>
      <c r="S70" s="164"/>
      <c r="T70" s="164"/>
      <c r="U70" s="164"/>
      <c r="V70" s="164"/>
      <c r="W70" s="164"/>
      <c r="X70" s="164"/>
      <c r="Y70" s="164"/>
      <c r="Z70" s="164"/>
      <c r="AA70" s="164"/>
      <c r="AB70" s="164"/>
      <c r="AC70" s="164"/>
      <c r="AD70" s="164"/>
      <c r="AE70" s="164"/>
      <c r="AF70" s="164"/>
      <c r="AG70" s="164"/>
      <c r="AH70" s="53" t="e">
        <f>#REF!</f>
        <v>#REF!</v>
      </c>
      <c r="AI70" s="132" t="e">
        <f>MIN(25%,(#REF!+#REF!)/(#REF!-#REF!*20))</f>
        <v>#REF!</v>
      </c>
      <c r="AJ70" s="132" t="e">
        <f>MIN(25%,(#REF!+#REF!)/#REF!)</f>
        <v>#REF!</v>
      </c>
      <c r="AK70" s="39" t="e">
        <f>#REF!</f>
        <v>#REF!</v>
      </c>
      <c r="AL70" s="39" t="e">
        <f>#REF!</f>
        <v>#REF!</v>
      </c>
      <c r="AM70" s="39" t="e">
        <f>ROUNDDOWN( MAX((1 - MIN(facs_constr_factor*#REF!,facs_constr_max) + tech_2_3*#REF! + tech_2_6_2*#REF! + tech_2_10*#REF! + tech_4_6*#REF! + tech_6_3*#REF! + tech_9_2*#REF! + race_construction_cost), 1-global_constr_cap) *#REF!,0)</f>
        <v>#REF!</v>
      </c>
      <c r="AN70" s="39" t="e">
        <f>ROUNDDOWN( MAX(1 - MIN(facs_constr_factor*#REF!,facs_constr_max) + tech_1_11*#REF! + tech_6_3_2*#REF! + tech_5_2_3*#REF!, 1-global_constr_cap) *#REF!,0)</f>
        <v>#REF!</v>
      </c>
      <c r="AO70" s="39" t="e">
        <f>ROUNDDOWN( MAX((1 - MIN(facs_constr_factor*#REF!,facs_constr_max) + tech_2_3*#REF! + tech_2_6_2*#REF! + tech_2_10*#REF! + tech_4_6*#REF! + tech_6_3*#REF! + tech_9_2*#REF! + race_construction_cost), 1-global_constr_cap) * (ROUND((#REF!-250)*1.25 + 850 + 0,0)),0)</f>
        <v>#REF!</v>
      </c>
      <c r="AP70" s="39" t="e">
        <f>ROUNDDOWN( MAX(1 - MIN(facs_constr_factor*#REF!,facs_constr_max) + tech_1_11*#REF! + tech_6_3_2*#REF! + tech_5_2_3*#REF!, 1-global_constr_cap) * ROUND((#REF!-250)*0.285 + 87.5 + 0/4.25,0),0)</f>
        <v>#REF!</v>
      </c>
      <c r="AQ70" s="3" t="e">
        <f>#REF!*#REF! +#REF! *#REF!</f>
        <v>#REF!</v>
      </c>
      <c r="AR70" s="3" t="e">
        <f>#REF!*#REF!+#REF!*#REF!</f>
        <v>#REF!</v>
      </c>
      <c r="AS70" s="39" t="e">
        <f ca="1">MIN(SUM(OFFSET(#REF!,-1,0))+SUM(#REF!)+IF(#REF!&gt;12,SUM(OFFSET(#REF!,-12,0)),0),SUM(#REF!))</f>
        <v>#REF!</v>
      </c>
      <c r="AT70" s="3" t="e">
        <f ca="1">IF(#REF!&lt;&gt;0,MAX(0, MIN(20, 20 + SUM(#REF!) - SUM(#REF!) - SUM(OFFSET(#REF!,-1,0)) - IF(#REF!&gt;12,SUM(OFFSET(#REF!,-12,0)),0) - 20*#REF!)),0)</f>
        <v>#REF!</v>
      </c>
      <c r="AU70" s="134"/>
      <c r="AV70" s="39" t="e">
        <f>ROUND((#REF!-250 - IF(#REF!&lt;&gt;0,20,0))*1.25 + 850 + 0,0)</f>
        <v>#REF!</v>
      </c>
      <c r="AW70" s="39" t="e">
        <f>ROUND((#REF!-250 - IF(#REF!&lt;&gt;0,20,0))*0.285 + 87.5 + 0/4.25,0)</f>
        <v>#REF!</v>
      </c>
      <c r="AX70" s="133"/>
      <c r="AY70" s="172" t="e">
        <f t="array" aca="1" ref="AY70" ca="1">IF(#REF!&gt;12,OFFSET(#REF!,-12,0),0)+OFFSET(#REF!,-1,0)-#REF!</f>
        <v>#REF!</v>
      </c>
      <c r="AZ70" s="173" t="e">
        <f t="array" aca="1" ref="AZ70" ca="1">IF(#REF!&gt;12,OFFSET(#REF!,-12,0),0)+OFFSET(#REF!,-1,0)-#REF!</f>
        <v>#REF!</v>
      </c>
      <c r="BA70" s="173" t="e">
        <f t="array" aca="1" ref="BA70" ca="1">IF(#REF!&gt;12,OFFSET(#REF!,-12,0),0)+OFFSET(#REF!,-1,0)-#REF!</f>
        <v>#REF!</v>
      </c>
      <c r="BB70" s="173" t="e">
        <f t="array" aca="1" ref="BB70" ca="1">IF(#REF!&gt;12,OFFSET(#REF!,-12,0),0)+OFFSET(#REF!,-1,0)-#REF!</f>
        <v>#REF!</v>
      </c>
      <c r="BC70" s="173" t="e">
        <f t="array" aca="1" ref="BC70" ca="1">IF(#REF!&gt;12,OFFSET(#REF!,-12,0),0)+OFFSET(#REF!,-1,0)-#REF!</f>
        <v>#REF!</v>
      </c>
      <c r="BD70" s="174" t="e">
        <f t="array" aca="1" ref="BD70" ca="1">IF(#REF!&gt;12,OFFSET(#REF!,-12,0),0)+OFFSET(#REF!,-1,0)-#REF!</f>
        <v>#REF!</v>
      </c>
      <c r="BE70" s="174" t="e">
        <f t="array" aca="1" ref="BE70" ca="1">IF(#REF!&gt;12,OFFSET(#REF!,-12,0),0)+OFFSET(#REF!,-1,0)-#REF!</f>
        <v>#REF!</v>
      </c>
      <c r="BF70" s="343" t="e">
        <f t="array" aca="1" ref="BF70" ca="1">IF(#REF!&gt;12,OFFSET(#REF!,-12,0),0)+OFFSET(#REF!,-1,0)-#REF!</f>
        <v>#REF!</v>
      </c>
      <c r="BG70" s="343" t="e">
        <f t="array" aca="1" ref="BG70" ca="1">IF(#REF!&gt;12,OFFSET(#REF!,-12,0),0)+OFFSET(#REF!,-1,0)-#REF!</f>
        <v>#REF!</v>
      </c>
      <c r="BH70" s="347" t="e">
        <f t="array" aca="1" ref="BH70" ca="1">IF(#REF!&gt;12,OFFSET(#REF!,-12,0),0)+OFFSET(#REF!,-1,0)-#REF!</f>
        <v>#REF!</v>
      </c>
      <c r="BI70" s="347" t="e">
        <f t="array" aca="1" ref="BI70" ca="1">IF(#REF!&gt;12,OFFSET(#REF!,-12,0),0)+OFFSET(#REF!,-1,0)-#REF!</f>
        <v>#REF!</v>
      </c>
      <c r="BJ70" s="347" t="e">
        <f t="array" aca="1" ref="BJ70" ca="1">IF(#REF!&gt;12,OFFSET(#REF!,-12,0),0)+OFFSET(#REF!,-1,0)-#REF!</f>
        <v>#REF!</v>
      </c>
      <c r="BK70" s="347" t="e">
        <f t="array" aca="1" ref="BK70" ca="1">IF(#REF!&gt;12,OFFSET(#REF!,-12,0),0)+OFFSET(#REF!,-1,0)-#REF!</f>
        <v>#REF!</v>
      </c>
      <c r="BL70" s="351" t="e">
        <f t="array" aca="1" ref="BL70" ca="1">IF(#REF!&gt;12,OFFSET(#REF!,-12,0),0)+OFFSET(#REF!,-1,0)-#REF!</f>
        <v>#REF!</v>
      </c>
      <c r="BM70" s="351" t="e">
        <f t="array" aca="1" ref="BM70" ca="1">IF(#REF!&gt;12,OFFSET(#REF!,-12,0),0)+OFFSET(#REF!,-1,0)-#REF!</f>
        <v>#REF!</v>
      </c>
      <c r="BN70" s="351" t="e">
        <f t="array" aca="1" ref="BN70" ca="1">IF(#REF!&gt;12,OFFSET(#REF!,-12,0),0)+OFFSET(#REF!,-1,0)-#REF!</f>
        <v>#REF!</v>
      </c>
      <c r="BO70" s="175" t="e">
        <f t="array" aca="1" ref="BO70" ca="1">IF(#REF!&gt;12,OFFSET(#REF!,-12,0),0)+OFFSET(#REF!,-1,0)-#REF!</f>
        <v>#REF!</v>
      </c>
      <c r="BP70" s="175" t="e">
        <f t="array" aca="1" ref="BP70" ca="1">IF(#REF!&gt;12,OFFSET(#REF!,-12,0),0)+OFFSET(#REF!,-1,0)-#REF!</f>
        <v>#REF!</v>
      </c>
      <c r="BQ70" s="176" t="e">
        <f t="array" aca="1" ref="BQ70" ca="1">IF(#REF!&gt;12,OFFSET(#REF!,-12,0),0)+OFFSET(#REF!,-1,0)-#REF!</f>
        <v>#REF!</v>
      </c>
      <c r="BR70" s="134"/>
      <c r="BS70" s="133"/>
      <c r="BT70" s="39" t="e">
        <f>#REF!</f>
        <v>#REF!</v>
      </c>
      <c r="BU70" s="147" t="e">
        <f>#REF!</f>
        <v>#REF!</v>
      </c>
      <c r="BV70" s="134"/>
      <c r="BW70" s="164"/>
      <c r="BX70" s="164"/>
      <c r="BY70" s="164"/>
      <c r="BZ70" s="164"/>
      <c r="CA70" s="164"/>
      <c r="CB70" s="164"/>
      <c r="CC70" s="164"/>
      <c r="CD70" s="164"/>
      <c r="CE70" s="164"/>
      <c r="CF70" s="164"/>
      <c r="CG70" s="164"/>
      <c r="CH70" s="164"/>
      <c r="CI70" s="164"/>
      <c r="CJ70" s="164"/>
      <c r="CK70" s="164"/>
      <c r="CL70" s="164"/>
      <c r="CM70" s="164"/>
      <c r="CN70" s="164"/>
      <c r="CO70" s="164"/>
      <c r="CP70" s="134"/>
      <c r="CQ70" s="165" t="e">
        <f ca="1">-SUM(#REF!)+SUM(#REF!)+Rezone!L70+IF("Ch_"&amp; home_land=#REF!,#REF!)+IF(#REF!&gt;12,OFFSET(#REF!,-12,0),0)</f>
        <v>#REF!</v>
      </c>
      <c r="CR70" s="166" t="e">
        <f ca="1">-SUM(#REF!)+SUM(#REF!) +Rezone!M70 + IF("Ch_"&amp; home_land=#REF!,#REF!)+IF(#REF!&gt;12,OFFSET(#REF!,-12,0),0)</f>
        <v>#REF!</v>
      </c>
      <c r="CS70" s="341" t="e">
        <f ca="1">-SUM(#REF!)+SUM(#REF!) +Rezone!N70 + IF("Ch_"&amp; home_land=#REF!,#REF!)+IF(#REF!&gt;12,OFFSET(#REF!,-12,0),0)</f>
        <v>#REF!</v>
      </c>
      <c r="CT70" s="167" t="e">
        <f ca="1">-SUM(#REF!)+SUM(#REF!) +Rezone!O70 + IF("Ch_" &amp; home_land=#REF!,#REF!)+IF(#REF!&gt;12,OFFSET(#REF!,-12,0),0)</f>
        <v>#REF!</v>
      </c>
      <c r="CU70" s="168" t="e">
        <f ca="1">-SUM(#REF!)+SUM(#REF!) +Rezone!P70 + IF("Ch_" &amp; home_land=#REF!,#REF!)+IF(#REF!&gt;12,OFFSET(#REF!,-12,0),0)</f>
        <v>#REF!</v>
      </c>
      <c r="CV70" s="169" t="e">
        <f ca="1">- SUM(#REF!)+SUM(#REF!) +Rezone!Q70 + IF("Ch_" &amp; home_land=#REF!,#REF!)+IF(#REF!&gt;12,OFFSET(#REF!,-12,0),0)</f>
        <v>#REF!</v>
      </c>
      <c r="CW70" s="170" t="e">
        <f ca="1">-#REF!+#REF! +Rezone!R70 + IF("Ch_" &amp; home_land=#REF!,#REF!)+IF(#REF!&gt;12,OFFSET(#REF!,-12,0),0)</f>
        <v>#REF!</v>
      </c>
      <c r="CX70" s="3" t="e">
        <f>IF(Explore!S70=1,20) -#REF! +#REF!</f>
        <v>#REF!</v>
      </c>
      <c r="CY70" s="134"/>
      <c r="CZ70" s="39" t="e">
        <f t="shared" ca="1" si="12"/>
        <v>#REF!</v>
      </c>
      <c r="DA70" s="39" t="e">
        <f t="shared" ca="1" si="13"/>
        <v>#REF!</v>
      </c>
      <c r="DB70" s="3" t="e">
        <f t="shared" ca="1" si="14"/>
        <v>#REF!</v>
      </c>
      <c r="DC70" s="39" t="e">
        <f t="shared" ca="1" si="15"/>
        <v>#REF!</v>
      </c>
      <c r="DD70" s="39" t="e">
        <f t="shared" ca="1" si="16"/>
        <v>#REF!</v>
      </c>
      <c r="DE70" s="3" t="e">
        <f t="shared" ca="1" si="17"/>
        <v>#REF!</v>
      </c>
      <c r="DF70" s="39" t="e">
        <f t="shared" ca="1" si="18"/>
        <v>#REF!</v>
      </c>
      <c r="DG70" s="39" t="e">
        <f t="array" ref="DG70">INDEX(#REF!,ROW()-ROW(#REF!),MATCH("Total "&amp;home_land,#REF!,0))+#REF!</f>
        <v>#REF!</v>
      </c>
      <c r="DH70" s="3" t="e">
        <f t="shared" ca="1" si="10"/>
        <v>#REF!</v>
      </c>
      <c r="DI70" s="3" t="e">
        <f t="shared" ref="DI70:DI133" ca="1" si="19">MAX(BA70-BA69,0)</f>
        <v>#REF!</v>
      </c>
      <c r="DJ70" s="3" t="e">
        <f t="shared" ref="DJ70:DJ133" ca="1" si="20">MAX(BQ70-BQ69,0)</f>
        <v>#REF!</v>
      </c>
    </row>
    <row r="71" spans="1:114" x14ac:dyDescent="0.25">
      <c r="A71" s="160" t="e">
        <f>#REF!</f>
        <v>#REF!</v>
      </c>
      <c r="B71" s="161" t="e">
        <f>SUM(#REF!)</f>
        <v>#REF!</v>
      </c>
      <c r="C71" s="162" t="e">
        <f>SUM(#REF!)</f>
        <v>#REF!</v>
      </c>
      <c r="D71" s="162">
        <f t="shared" si="11"/>
        <v>0</v>
      </c>
      <c r="E71" s="163"/>
      <c r="F71" s="61" t="e">
        <f>#REF!+#REF!+#REF!</f>
        <v>#REF!</v>
      </c>
      <c r="G71" s="171" t="e">
        <f ca="1">OFFSET(#REF!,-1,0)+#REF!</f>
        <v>#REF!</v>
      </c>
      <c r="H71" s="166" t="e">
        <f ca="1">OFFSET(#REF!,-1,0)+#REF!</f>
        <v>#REF!</v>
      </c>
      <c r="I71" s="341" t="e">
        <f ca="1">OFFSET(#REF!,-1,0)+#REF!</f>
        <v>#REF!</v>
      </c>
      <c r="J71" s="345" t="e">
        <f ca="1">OFFSET(#REF!,-1,0)+#REF!</f>
        <v>#REF!</v>
      </c>
      <c r="K71" s="349" t="e">
        <f ca="1">OFFSET(#REF!,-1,0)+#REF!</f>
        <v>#REF!</v>
      </c>
      <c r="L71" s="169" t="e">
        <f ca="1">OFFSET(#REF!,-1,0)+#REF!</f>
        <v>#REF!</v>
      </c>
      <c r="M71" s="170" t="e">
        <f ca="1">OFFSET(#REF!,-1,0)+#REF!</f>
        <v>#REF!</v>
      </c>
      <c r="N71" s="339" t="e">
        <f>#REF!</f>
        <v>#REF!</v>
      </c>
      <c r="O71" s="164"/>
      <c r="P71" s="164"/>
      <c r="Q71" s="164"/>
      <c r="R71" s="146"/>
      <c r="S71" s="164"/>
      <c r="T71" s="164"/>
      <c r="U71" s="164"/>
      <c r="V71" s="164"/>
      <c r="W71" s="164"/>
      <c r="X71" s="164"/>
      <c r="Y71" s="164"/>
      <c r="Z71" s="164"/>
      <c r="AA71" s="164"/>
      <c r="AB71" s="164"/>
      <c r="AC71" s="164"/>
      <c r="AD71" s="164"/>
      <c r="AE71" s="164"/>
      <c r="AF71" s="164"/>
      <c r="AG71" s="164"/>
      <c r="AH71" s="53" t="e">
        <f>#REF!</f>
        <v>#REF!</v>
      </c>
      <c r="AI71" s="132" t="e">
        <f>MIN(25%,(#REF!+#REF!)/(#REF!-#REF!*20))</f>
        <v>#REF!</v>
      </c>
      <c r="AJ71" s="132" t="e">
        <f>MIN(25%,(#REF!+#REF!)/#REF!)</f>
        <v>#REF!</v>
      </c>
      <c r="AK71" s="39" t="e">
        <f>#REF!</f>
        <v>#REF!</v>
      </c>
      <c r="AL71" s="39" t="e">
        <f>#REF!</f>
        <v>#REF!</v>
      </c>
      <c r="AM71" s="39" t="e">
        <f>ROUNDDOWN( MAX((1 - MIN(facs_constr_factor*#REF!,facs_constr_max) + tech_2_3*#REF! + tech_2_6_2*#REF! + tech_2_10*#REF! + tech_4_6*#REF! + tech_6_3*#REF! + tech_9_2*#REF! + race_construction_cost), 1-global_constr_cap) *#REF!,0)</f>
        <v>#REF!</v>
      </c>
      <c r="AN71" s="39" t="e">
        <f>ROUNDDOWN( MAX(1 - MIN(facs_constr_factor*#REF!,facs_constr_max) + tech_1_11*#REF! + tech_6_3_2*#REF! + tech_5_2_3*#REF!, 1-global_constr_cap) *#REF!,0)</f>
        <v>#REF!</v>
      </c>
      <c r="AO71" s="39" t="e">
        <f>ROUNDDOWN( MAX((1 - MIN(facs_constr_factor*#REF!,facs_constr_max) + tech_2_3*#REF! + tech_2_6_2*#REF! + tech_2_10*#REF! + tech_4_6*#REF! + tech_6_3*#REF! + tech_9_2*#REF! + race_construction_cost), 1-global_constr_cap) * (ROUND((#REF!-250)*1.25 + 850 + 0,0)),0)</f>
        <v>#REF!</v>
      </c>
      <c r="AP71" s="39" t="e">
        <f>ROUNDDOWN( MAX(1 - MIN(facs_constr_factor*#REF!,facs_constr_max) + tech_1_11*#REF! + tech_6_3_2*#REF! + tech_5_2_3*#REF!, 1-global_constr_cap) * ROUND((#REF!-250)*0.285 + 87.5 + 0/4.25,0),0)</f>
        <v>#REF!</v>
      </c>
      <c r="AQ71" s="3" t="e">
        <f>#REF!*#REF! +#REF! *#REF!</f>
        <v>#REF!</v>
      </c>
      <c r="AR71" s="3" t="e">
        <f>#REF!*#REF!+#REF!*#REF!</f>
        <v>#REF!</v>
      </c>
      <c r="AS71" s="39" t="e">
        <f ca="1">MIN(SUM(OFFSET(#REF!,-1,0))+SUM(#REF!)+IF(#REF!&gt;12,SUM(OFFSET(#REF!,-12,0)),0),SUM(#REF!))</f>
        <v>#REF!</v>
      </c>
      <c r="AT71" s="3" t="e">
        <f ca="1">IF(#REF!&lt;&gt;0,MAX(0, MIN(20, 20 + SUM(#REF!) - SUM(#REF!) - SUM(OFFSET(#REF!,-1,0)) - IF(#REF!&gt;12,SUM(OFFSET(#REF!,-12,0)),0) - 20*#REF!)),0)</f>
        <v>#REF!</v>
      </c>
      <c r="AU71" s="134"/>
      <c r="AV71" s="39" t="e">
        <f>ROUND((#REF!-250 - IF(#REF!&lt;&gt;0,20,0))*1.25 + 850 + 0,0)</f>
        <v>#REF!</v>
      </c>
      <c r="AW71" s="39" t="e">
        <f>ROUND((#REF!-250 - IF(#REF!&lt;&gt;0,20,0))*0.285 + 87.5 + 0/4.25,0)</f>
        <v>#REF!</v>
      </c>
      <c r="AX71" s="133"/>
      <c r="AY71" s="172" t="e">
        <f t="array" aca="1" ref="AY71" ca="1">IF(#REF!&gt;12,OFFSET(#REF!,-12,0),0)+OFFSET(#REF!,-1,0)-#REF!</f>
        <v>#REF!</v>
      </c>
      <c r="AZ71" s="173" t="e">
        <f t="array" aca="1" ref="AZ71" ca="1">IF(#REF!&gt;12,OFFSET(#REF!,-12,0),0)+OFFSET(#REF!,-1,0)-#REF!</f>
        <v>#REF!</v>
      </c>
      <c r="BA71" s="173" t="e">
        <f t="array" aca="1" ref="BA71" ca="1">IF(#REF!&gt;12,OFFSET(#REF!,-12,0),0)+OFFSET(#REF!,-1,0)-#REF!</f>
        <v>#REF!</v>
      </c>
      <c r="BB71" s="173" t="e">
        <f t="array" aca="1" ref="BB71" ca="1">IF(#REF!&gt;12,OFFSET(#REF!,-12,0),0)+OFFSET(#REF!,-1,0)-#REF!</f>
        <v>#REF!</v>
      </c>
      <c r="BC71" s="173" t="e">
        <f t="array" aca="1" ref="BC71" ca="1">IF(#REF!&gt;12,OFFSET(#REF!,-12,0),0)+OFFSET(#REF!,-1,0)-#REF!</f>
        <v>#REF!</v>
      </c>
      <c r="BD71" s="174" t="e">
        <f t="array" aca="1" ref="BD71" ca="1">IF(#REF!&gt;12,OFFSET(#REF!,-12,0),0)+OFFSET(#REF!,-1,0)-#REF!</f>
        <v>#REF!</v>
      </c>
      <c r="BE71" s="174" t="e">
        <f t="array" aca="1" ref="BE71" ca="1">IF(#REF!&gt;12,OFFSET(#REF!,-12,0),0)+OFFSET(#REF!,-1,0)-#REF!</f>
        <v>#REF!</v>
      </c>
      <c r="BF71" s="343" t="e">
        <f t="array" aca="1" ref="BF71" ca="1">IF(#REF!&gt;12,OFFSET(#REF!,-12,0),0)+OFFSET(#REF!,-1,0)-#REF!</f>
        <v>#REF!</v>
      </c>
      <c r="BG71" s="343" t="e">
        <f t="array" aca="1" ref="BG71" ca="1">IF(#REF!&gt;12,OFFSET(#REF!,-12,0),0)+OFFSET(#REF!,-1,0)-#REF!</f>
        <v>#REF!</v>
      </c>
      <c r="BH71" s="347" t="e">
        <f t="array" aca="1" ref="BH71" ca="1">IF(#REF!&gt;12,OFFSET(#REF!,-12,0),0)+OFFSET(#REF!,-1,0)-#REF!</f>
        <v>#REF!</v>
      </c>
      <c r="BI71" s="347" t="e">
        <f t="array" aca="1" ref="BI71" ca="1">IF(#REF!&gt;12,OFFSET(#REF!,-12,0),0)+OFFSET(#REF!,-1,0)-#REF!</f>
        <v>#REF!</v>
      </c>
      <c r="BJ71" s="347" t="e">
        <f t="array" aca="1" ref="BJ71" ca="1">IF(#REF!&gt;12,OFFSET(#REF!,-12,0),0)+OFFSET(#REF!,-1,0)-#REF!</f>
        <v>#REF!</v>
      </c>
      <c r="BK71" s="347" t="e">
        <f t="array" aca="1" ref="BK71" ca="1">IF(#REF!&gt;12,OFFSET(#REF!,-12,0),0)+OFFSET(#REF!,-1,0)-#REF!</f>
        <v>#REF!</v>
      </c>
      <c r="BL71" s="351" t="e">
        <f t="array" aca="1" ref="BL71" ca="1">IF(#REF!&gt;12,OFFSET(#REF!,-12,0),0)+OFFSET(#REF!,-1,0)-#REF!</f>
        <v>#REF!</v>
      </c>
      <c r="BM71" s="351" t="e">
        <f t="array" aca="1" ref="BM71" ca="1">IF(#REF!&gt;12,OFFSET(#REF!,-12,0),0)+OFFSET(#REF!,-1,0)-#REF!</f>
        <v>#REF!</v>
      </c>
      <c r="BN71" s="351" t="e">
        <f t="array" aca="1" ref="BN71" ca="1">IF(#REF!&gt;12,OFFSET(#REF!,-12,0),0)+OFFSET(#REF!,-1,0)-#REF!</f>
        <v>#REF!</v>
      </c>
      <c r="BO71" s="175" t="e">
        <f t="array" aca="1" ref="BO71" ca="1">IF(#REF!&gt;12,OFFSET(#REF!,-12,0),0)+OFFSET(#REF!,-1,0)-#REF!</f>
        <v>#REF!</v>
      </c>
      <c r="BP71" s="175" t="e">
        <f t="array" aca="1" ref="BP71" ca="1">IF(#REF!&gt;12,OFFSET(#REF!,-12,0),0)+OFFSET(#REF!,-1,0)-#REF!</f>
        <v>#REF!</v>
      </c>
      <c r="BQ71" s="176" t="e">
        <f t="array" aca="1" ref="BQ71" ca="1">IF(#REF!&gt;12,OFFSET(#REF!,-12,0),0)+OFFSET(#REF!,-1,0)-#REF!</f>
        <v>#REF!</v>
      </c>
      <c r="BR71" s="134"/>
      <c r="BS71" s="133"/>
      <c r="BT71" s="39" t="e">
        <f>#REF!</f>
        <v>#REF!</v>
      </c>
      <c r="BU71" s="147" t="e">
        <f>#REF!</f>
        <v>#REF!</v>
      </c>
      <c r="BV71" s="134"/>
      <c r="BW71" s="164"/>
      <c r="BX71" s="164"/>
      <c r="BY71" s="164"/>
      <c r="BZ71" s="164"/>
      <c r="CA71" s="164"/>
      <c r="CB71" s="164"/>
      <c r="CC71" s="164"/>
      <c r="CD71" s="164"/>
      <c r="CE71" s="164"/>
      <c r="CF71" s="164"/>
      <c r="CG71" s="164"/>
      <c r="CH71" s="164"/>
      <c r="CI71" s="164"/>
      <c r="CJ71" s="164"/>
      <c r="CK71" s="164"/>
      <c r="CL71" s="164"/>
      <c r="CM71" s="164"/>
      <c r="CN71" s="164"/>
      <c r="CO71" s="164"/>
      <c r="CP71" s="134"/>
      <c r="CQ71" s="165" t="e">
        <f ca="1">-SUM(#REF!)+SUM(#REF!)+Rezone!L71+IF("Ch_"&amp; home_land=#REF!,#REF!)+IF(#REF!&gt;12,OFFSET(#REF!,-12,0),0)</f>
        <v>#REF!</v>
      </c>
      <c r="CR71" s="166" t="e">
        <f ca="1">-SUM(#REF!)+SUM(#REF!) +Rezone!M71 + IF("Ch_"&amp; home_land=#REF!,#REF!)+IF(#REF!&gt;12,OFFSET(#REF!,-12,0),0)</f>
        <v>#REF!</v>
      </c>
      <c r="CS71" s="341" t="e">
        <f ca="1">-SUM(#REF!)+SUM(#REF!) +Rezone!N71 + IF("Ch_"&amp; home_land=#REF!,#REF!)+IF(#REF!&gt;12,OFFSET(#REF!,-12,0),0)</f>
        <v>#REF!</v>
      </c>
      <c r="CT71" s="167" t="e">
        <f ca="1">-SUM(#REF!)+SUM(#REF!) +Rezone!O71 + IF("Ch_" &amp; home_land=#REF!,#REF!)+IF(#REF!&gt;12,OFFSET(#REF!,-12,0),0)</f>
        <v>#REF!</v>
      </c>
      <c r="CU71" s="168" t="e">
        <f ca="1">-SUM(#REF!)+SUM(#REF!) +Rezone!P71 + IF("Ch_" &amp; home_land=#REF!,#REF!)+IF(#REF!&gt;12,OFFSET(#REF!,-12,0),0)</f>
        <v>#REF!</v>
      </c>
      <c r="CV71" s="169" t="e">
        <f ca="1">- SUM(#REF!)+SUM(#REF!) +Rezone!Q71 + IF("Ch_" &amp; home_land=#REF!,#REF!)+IF(#REF!&gt;12,OFFSET(#REF!,-12,0),0)</f>
        <v>#REF!</v>
      </c>
      <c r="CW71" s="170" t="e">
        <f ca="1">-#REF!+#REF! +Rezone!R71 + IF("Ch_" &amp; home_land=#REF!,#REF!)+IF(#REF!&gt;12,OFFSET(#REF!,-12,0),0)</f>
        <v>#REF!</v>
      </c>
      <c r="CX71" s="3" t="e">
        <f>IF(Explore!S71=1,20) -#REF! +#REF!</f>
        <v>#REF!</v>
      </c>
      <c r="CY71" s="134"/>
      <c r="CZ71" s="39" t="e">
        <f t="shared" ca="1" si="12"/>
        <v>#REF!</v>
      </c>
      <c r="DA71" s="39" t="e">
        <f t="shared" ca="1" si="13"/>
        <v>#REF!</v>
      </c>
      <c r="DB71" s="3" t="e">
        <f t="shared" ca="1" si="14"/>
        <v>#REF!</v>
      </c>
      <c r="DC71" s="39" t="e">
        <f t="shared" ca="1" si="15"/>
        <v>#REF!</v>
      </c>
      <c r="DD71" s="39" t="e">
        <f t="shared" ca="1" si="16"/>
        <v>#REF!</v>
      </c>
      <c r="DE71" s="3" t="e">
        <f t="shared" ca="1" si="17"/>
        <v>#REF!</v>
      </c>
      <c r="DF71" s="39" t="e">
        <f t="shared" ca="1" si="18"/>
        <v>#REF!</v>
      </c>
      <c r="DG71" s="39" t="e">
        <f t="array" ref="DG71">INDEX(#REF!,ROW()-ROW(#REF!),MATCH("Total "&amp;home_land,#REF!,0))+#REF!</f>
        <v>#REF!</v>
      </c>
      <c r="DH71" s="3" t="e">
        <f t="shared" ca="1" si="10"/>
        <v>#REF!</v>
      </c>
      <c r="DI71" s="3" t="e">
        <f t="shared" ca="1" si="19"/>
        <v>#REF!</v>
      </c>
      <c r="DJ71" s="3" t="e">
        <f t="shared" ca="1" si="20"/>
        <v>#REF!</v>
      </c>
    </row>
    <row r="72" spans="1:114" x14ac:dyDescent="0.25">
      <c r="A72" s="160" t="e">
        <f>#REF!</f>
        <v>#REF!</v>
      </c>
      <c r="B72" s="161" t="e">
        <f>SUM(#REF!)</f>
        <v>#REF!</v>
      </c>
      <c r="C72" s="162" t="e">
        <f>SUM(#REF!)</f>
        <v>#REF!</v>
      </c>
      <c r="D72" s="162">
        <f t="shared" si="11"/>
        <v>0</v>
      </c>
      <c r="E72" s="163"/>
      <c r="F72" s="61" t="e">
        <f>#REF!+#REF!+#REF!</f>
        <v>#REF!</v>
      </c>
      <c r="G72" s="171" t="e">
        <f ca="1">OFFSET(#REF!,-1,0)+#REF!</f>
        <v>#REF!</v>
      </c>
      <c r="H72" s="166" t="e">
        <f ca="1">OFFSET(#REF!,-1,0)+#REF!</f>
        <v>#REF!</v>
      </c>
      <c r="I72" s="341" t="e">
        <f ca="1">OFFSET(#REF!,-1,0)+#REF!</f>
        <v>#REF!</v>
      </c>
      <c r="J72" s="345" t="e">
        <f ca="1">OFFSET(#REF!,-1,0)+#REF!</f>
        <v>#REF!</v>
      </c>
      <c r="K72" s="349" t="e">
        <f ca="1">OFFSET(#REF!,-1,0)+#REF!</f>
        <v>#REF!</v>
      </c>
      <c r="L72" s="169" t="e">
        <f ca="1">OFFSET(#REF!,-1,0)+#REF!</f>
        <v>#REF!</v>
      </c>
      <c r="M72" s="170" t="e">
        <f ca="1">OFFSET(#REF!,-1,0)+#REF!</f>
        <v>#REF!</v>
      </c>
      <c r="N72" s="339" t="e">
        <f>#REF!</f>
        <v>#REF!</v>
      </c>
      <c r="O72" s="164"/>
      <c r="P72" s="164"/>
      <c r="Q72" s="164"/>
      <c r="R72" s="164"/>
      <c r="S72" s="164"/>
      <c r="T72" s="164"/>
      <c r="U72" s="164"/>
      <c r="V72" s="164"/>
      <c r="W72" s="164"/>
      <c r="X72" s="164"/>
      <c r="Y72" s="164"/>
      <c r="Z72" s="164"/>
      <c r="AA72" s="164"/>
      <c r="AB72" s="164"/>
      <c r="AC72" s="164"/>
      <c r="AD72" s="164"/>
      <c r="AE72" s="164"/>
      <c r="AF72" s="164"/>
      <c r="AG72" s="164"/>
      <c r="AH72" s="53" t="e">
        <f>#REF!</f>
        <v>#REF!</v>
      </c>
      <c r="AI72" s="132" t="e">
        <f>MIN(25%,(#REF!+#REF!)/(#REF!-#REF!*20))</f>
        <v>#REF!</v>
      </c>
      <c r="AJ72" s="132" t="e">
        <f>MIN(25%,(#REF!+#REF!)/#REF!)</f>
        <v>#REF!</v>
      </c>
      <c r="AK72" s="39" t="e">
        <f>#REF!</f>
        <v>#REF!</v>
      </c>
      <c r="AL72" s="39" t="e">
        <f>#REF!</f>
        <v>#REF!</v>
      </c>
      <c r="AM72" s="39" t="e">
        <f>ROUNDDOWN( MAX((1 - MIN(facs_constr_factor*#REF!,facs_constr_max) + tech_2_3*#REF! + tech_2_6_2*#REF! + tech_2_10*#REF! + tech_4_6*#REF! + tech_6_3*#REF! + tech_9_2*#REF! + race_construction_cost), 1-global_constr_cap) *#REF!,0)</f>
        <v>#REF!</v>
      </c>
      <c r="AN72" s="39" t="e">
        <f>ROUNDDOWN( MAX(1 - MIN(facs_constr_factor*#REF!,facs_constr_max) + tech_1_11*#REF! + tech_6_3_2*#REF! + tech_5_2_3*#REF!, 1-global_constr_cap) *#REF!,0)</f>
        <v>#REF!</v>
      </c>
      <c r="AO72" s="39" t="e">
        <f>ROUNDDOWN( MAX((1 - MIN(facs_constr_factor*#REF!,facs_constr_max) + tech_2_3*#REF! + tech_2_6_2*#REF! + tech_2_10*#REF! + tech_4_6*#REF! + tech_6_3*#REF! + tech_9_2*#REF! + race_construction_cost), 1-global_constr_cap) * (ROUND((#REF!-250)*1.25 + 850 + 0,0)),0)</f>
        <v>#REF!</v>
      </c>
      <c r="AP72" s="39" t="e">
        <f>ROUNDDOWN( MAX(1 - MIN(facs_constr_factor*#REF!,facs_constr_max) + tech_1_11*#REF! + tech_6_3_2*#REF! + tech_5_2_3*#REF!, 1-global_constr_cap) * ROUND((#REF!-250)*0.285 + 87.5 + 0/4.25,0),0)</f>
        <v>#REF!</v>
      </c>
      <c r="AQ72" s="3" t="e">
        <f>#REF!*#REF! +#REF! *#REF!</f>
        <v>#REF!</v>
      </c>
      <c r="AR72" s="3" t="e">
        <f>#REF!*#REF!+#REF!*#REF!</f>
        <v>#REF!</v>
      </c>
      <c r="AS72" s="39" t="e">
        <f ca="1">MIN(SUM(OFFSET(#REF!,-1,0))+SUM(#REF!)+IF(#REF!&gt;12,SUM(OFFSET(#REF!,-12,0)),0),SUM(#REF!))</f>
        <v>#REF!</v>
      </c>
      <c r="AT72" s="3" t="e">
        <f ca="1">IF(#REF!&lt;&gt;0,MAX(0, MIN(20, 20 + SUM(#REF!) - SUM(#REF!) - SUM(OFFSET(#REF!,-1,0)) - IF(#REF!&gt;12,SUM(OFFSET(#REF!,-12,0)),0) - 20*#REF!)),0)</f>
        <v>#REF!</v>
      </c>
      <c r="AU72" s="134"/>
      <c r="AV72" s="39" t="e">
        <f>ROUND((#REF!-250 - IF(#REF!&lt;&gt;0,20,0))*1.25 + 850 + 0,0)</f>
        <v>#REF!</v>
      </c>
      <c r="AW72" s="39" t="e">
        <f>ROUND((#REF!-250 - IF(#REF!&lt;&gt;0,20,0))*0.285 + 87.5 + 0/4.25,0)</f>
        <v>#REF!</v>
      </c>
      <c r="AX72" s="133"/>
      <c r="AY72" s="172" t="e">
        <f t="array" aca="1" ref="AY72" ca="1">IF(#REF!&gt;12,OFFSET(#REF!,-12,0),0)+OFFSET(#REF!,-1,0)-#REF!</f>
        <v>#REF!</v>
      </c>
      <c r="AZ72" s="173" t="e">
        <f t="array" aca="1" ref="AZ72" ca="1">IF(#REF!&gt;12,OFFSET(#REF!,-12,0),0)+OFFSET(#REF!,-1,0)-#REF!</f>
        <v>#REF!</v>
      </c>
      <c r="BA72" s="173" t="e">
        <f t="array" aca="1" ref="BA72" ca="1">IF(#REF!&gt;12,OFFSET(#REF!,-12,0),0)+OFFSET(#REF!,-1,0)-#REF!</f>
        <v>#REF!</v>
      </c>
      <c r="BB72" s="173" t="e">
        <f t="array" aca="1" ref="BB72" ca="1">IF(#REF!&gt;12,OFFSET(#REF!,-12,0),0)+OFFSET(#REF!,-1,0)-#REF!</f>
        <v>#REF!</v>
      </c>
      <c r="BC72" s="173" t="e">
        <f t="array" aca="1" ref="BC72" ca="1">IF(#REF!&gt;12,OFFSET(#REF!,-12,0),0)+OFFSET(#REF!,-1,0)-#REF!</f>
        <v>#REF!</v>
      </c>
      <c r="BD72" s="174" t="e">
        <f t="array" aca="1" ref="BD72" ca="1">IF(#REF!&gt;12,OFFSET(#REF!,-12,0),0)+OFFSET(#REF!,-1,0)-#REF!</f>
        <v>#REF!</v>
      </c>
      <c r="BE72" s="174" t="e">
        <f t="array" aca="1" ref="BE72" ca="1">IF(#REF!&gt;12,OFFSET(#REF!,-12,0),0)+OFFSET(#REF!,-1,0)-#REF!</f>
        <v>#REF!</v>
      </c>
      <c r="BF72" s="343" t="e">
        <f t="array" aca="1" ref="BF72" ca="1">IF(#REF!&gt;12,OFFSET(#REF!,-12,0),0)+OFFSET(#REF!,-1,0)-#REF!</f>
        <v>#REF!</v>
      </c>
      <c r="BG72" s="343" t="e">
        <f t="array" aca="1" ref="BG72" ca="1">IF(#REF!&gt;12,OFFSET(#REF!,-12,0),0)+OFFSET(#REF!,-1,0)-#REF!</f>
        <v>#REF!</v>
      </c>
      <c r="BH72" s="347" t="e">
        <f t="array" aca="1" ref="BH72" ca="1">IF(#REF!&gt;12,OFFSET(#REF!,-12,0),0)+OFFSET(#REF!,-1,0)-#REF!</f>
        <v>#REF!</v>
      </c>
      <c r="BI72" s="347" t="e">
        <f t="array" aca="1" ref="BI72" ca="1">IF(#REF!&gt;12,OFFSET(#REF!,-12,0),0)+OFFSET(#REF!,-1,0)-#REF!</f>
        <v>#REF!</v>
      </c>
      <c r="BJ72" s="347" t="e">
        <f t="array" aca="1" ref="BJ72" ca="1">IF(#REF!&gt;12,OFFSET(#REF!,-12,0),0)+OFFSET(#REF!,-1,0)-#REF!</f>
        <v>#REF!</v>
      </c>
      <c r="BK72" s="347" t="e">
        <f t="array" aca="1" ref="BK72" ca="1">IF(#REF!&gt;12,OFFSET(#REF!,-12,0),0)+OFFSET(#REF!,-1,0)-#REF!</f>
        <v>#REF!</v>
      </c>
      <c r="BL72" s="351" t="e">
        <f t="array" aca="1" ref="BL72" ca="1">IF(#REF!&gt;12,OFFSET(#REF!,-12,0),0)+OFFSET(#REF!,-1,0)-#REF!</f>
        <v>#REF!</v>
      </c>
      <c r="BM72" s="351" t="e">
        <f t="array" aca="1" ref="BM72" ca="1">IF(#REF!&gt;12,OFFSET(#REF!,-12,0),0)+OFFSET(#REF!,-1,0)-#REF!</f>
        <v>#REF!</v>
      </c>
      <c r="BN72" s="351" t="e">
        <f t="array" aca="1" ref="BN72" ca="1">IF(#REF!&gt;12,OFFSET(#REF!,-12,0),0)+OFFSET(#REF!,-1,0)-#REF!</f>
        <v>#REF!</v>
      </c>
      <c r="BO72" s="175" t="e">
        <f t="array" aca="1" ref="BO72" ca="1">IF(#REF!&gt;12,OFFSET(#REF!,-12,0),0)+OFFSET(#REF!,-1,0)-#REF!</f>
        <v>#REF!</v>
      </c>
      <c r="BP72" s="175" t="e">
        <f t="array" aca="1" ref="BP72" ca="1">IF(#REF!&gt;12,OFFSET(#REF!,-12,0),0)+OFFSET(#REF!,-1,0)-#REF!</f>
        <v>#REF!</v>
      </c>
      <c r="BQ72" s="176" t="e">
        <f t="array" aca="1" ref="BQ72" ca="1">IF(#REF!&gt;12,OFFSET(#REF!,-12,0),0)+OFFSET(#REF!,-1,0)-#REF!</f>
        <v>#REF!</v>
      </c>
      <c r="BR72" s="134"/>
      <c r="BS72" s="133"/>
      <c r="BT72" s="39" t="e">
        <f>#REF!</f>
        <v>#REF!</v>
      </c>
      <c r="BU72" s="147" t="e">
        <f>#REF!</f>
        <v>#REF!</v>
      </c>
      <c r="BV72" s="134"/>
      <c r="BW72" s="164"/>
      <c r="BX72" s="164"/>
      <c r="BY72" s="164"/>
      <c r="BZ72" s="164"/>
      <c r="CA72" s="164"/>
      <c r="CB72" s="164"/>
      <c r="CC72" s="164"/>
      <c r="CD72" s="164"/>
      <c r="CE72" s="164"/>
      <c r="CF72" s="164"/>
      <c r="CG72" s="164"/>
      <c r="CH72" s="164"/>
      <c r="CI72" s="164"/>
      <c r="CJ72" s="164"/>
      <c r="CK72" s="164"/>
      <c r="CL72" s="164"/>
      <c r="CM72" s="164"/>
      <c r="CN72" s="164"/>
      <c r="CO72" s="164"/>
      <c r="CP72" s="134"/>
      <c r="CQ72" s="165" t="e">
        <f ca="1">-SUM(#REF!)+SUM(#REF!)+Rezone!L72+IF("Ch_"&amp; home_land=#REF!,#REF!)+IF(#REF!&gt;12,OFFSET(#REF!,-12,0),0)</f>
        <v>#REF!</v>
      </c>
      <c r="CR72" s="166" t="e">
        <f ca="1">-SUM(#REF!)+SUM(#REF!) +Rezone!M72 + IF("Ch_"&amp; home_land=#REF!,#REF!)+IF(#REF!&gt;12,OFFSET(#REF!,-12,0),0)</f>
        <v>#REF!</v>
      </c>
      <c r="CS72" s="341" t="e">
        <f ca="1">-SUM(#REF!)+SUM(#REF!) +Rezone!N72 + IF("Ch_"&amp; home_land=#REF!,#REF!)+IF(#REF!&gt;12,OFFSET(#REF!,-12,0),0)</f>
        <v>#REF!</v>
      </c>
      <c r="CT72" s="167" t="e">
        <f ca="1">-SUM(#REF!)+SUM(#REF!) +Rezone!O72 + IF("Ch_" &amp; home_land=#REF!,#REF!)+IF(#REF!&gt;12,OFFSET(#REF!,-12,0),0)</f>
        <v>#REF!</v>
      </c>
      <c r="CU72" s="168" t="e">
        <f ca="1">-SUM(#REF!)+SUM(#REF!) +Rezone!P72 + IF("Ch_" &amp; home_land=#REF!,#REF!)+IF(#REF!&gt;12,OFFSET(#REF!,-12,0),0)</f>
        <v>#REF!</v>
      </c>
      <c r="CV72" s="169" t="e">
        <f ca="1">- SUM(#REF!)+SUM(#REF!) +Rezone!Q72 + IF("Ch_" &amp; home_land=#REF!,#REF!)+IF(#REF!&gt;12,OFFSET(#REF!,-12,0),0)</f>
        <v>#REF!</v>
      </c>
      <c r="CW72" s="170" t="e">
        <f ca="1">-#REF!+#REF! +Rezone!R72 + IF("Ch_" &amp; home_land=#REF!,#REF!)+IF(#REF!&gt;12,OFFSET(#REF!,-12,0),0)</f>
        <v>#REF!</v>
      </c>
      <c r="CX72" s="3" t="e">
        <f>IF(Explore!S72=1,20) -#REF! +#REF!</f>
        <v>#REF!</v>
      </c>
      <c r="CY72" s="134"/>
      <c r="CZ72" s="39" t="e">
        <f t="shared" ca="1" si="12"/>
        <v>#REF!</v>
      </c>
      <c r="DA72" s="39" t="e">
        <f t="shared" ca="1" si="13"/>
        <v>#REF!</v>
      </c>
      <c r="DB72" s="3" t="e">
        <f t="shared" ca="1" si="14"/>
        <v>#REF!</v>
      </c>
      <c r="DC72" s="39" t="e">
        <f t="shared" ca="1" si="15"/>
        <v>#REF!</v>
      </c>
      <c r="DD72" s="39" t="e">
        <f t="shared" ca="1" si="16"/>
        <v>#REF!</v>
      </c>
      <c r="DE72" s="3" t="e">
        <f t="shared" ca="1" si="17"/>
        <v>#REF!</v>
      </c>
      <c r="DF72" s="39" t="e">
        <f t="shared" ca="1" si="18"/>
        <v>#REF!</v>
      </c>
      <c r="DG72" s="39" t="e">
        <f t="array" ref="DG72">INDEX(#REF!,ROW()-ROW(#REF!),MATCH("Total "&amp;home_land,#REF!,0))+#REF!</f>
        <v>#REF!</v>
      </c>
      <c r="DH72" s="3" t="e">
        <f t="shared" ca="1" si="10"/>
        <v>#REF!</v>
      </c>
      <c r="DI72" s="3" t="e">
        <f t="shared" ca="1" si="19"/>
        <v>#REF!</v>
      </c>
      <c r="DJ72" s="3" t="e">
        <f t="shared" ca="1" si="20"/>
        <v>#REF!</v>
      </c>
    </row>
    <row r="73" spans="1:114" x14ac:dyDescent="0.25">
      <c r="A73" s="160" t="e">
        <f>#REF!</f>
        <v>#REF!</v>
      </c>
      <c r="B73" s="161" t="e">
        <f>SUM(#REF!)</f>
        <v>#REF!</v>
      </c>
      <c r="C73" s="162" t="e">
        <f>SUM(#REF!)</f>
        <v>#REF!</v>
      </c>
      <c r="D73" s="162">
        <f t="shared" si="11"/>
        <v>0</v>
      </c>
      <c r="E73" s="163"/>
      <c r="F73" s="61" t="e">
        <f>#REF!+#REF!+#REF!</f>
        <v>#REF!</v>
      </c>
      <c r="G73" s="171" t="e">
        <f ca="1">OFFSET(#REF!,-1,0)+#REF!</f>
        <v>#REF!</v>
      </c>
      <c r="H73" s="166" t="e">
        <f ca="1">OFFSET(#REF!,-1,0)+#REF!</f>
        <v>#REF!</v>
      </c>
      <c r="I73" s="341" t="e">
        <f ca="1">OFFSET(#REF!,-1,0)+#REF!</f>
        <v>#REF!</v>
      </c>
      <c r="J73" s="345" t="e">
        <f ca="1">OFFSET(#REF!,-1,0)+#REF!</f>
        <v>#REF!</v>
      </c>
      <c r="K73" s="349" t="e">
        <f ca="1">OFFSET(#REF!,-1,0)+#REF!</f>
        <v>#REF!</v>
      </c>
      <c r="L73" s="169" t="e">
        <f ca="1">OFFSET(#REF!,-1,0)+#REF!</f>
        <v>#REF!</v>
      </c>
      <c r="M73" s="170" t="e">
        <f ca="1">OFFSET(#REF!,-1,0)+#REF!</f>
        <v>#REF!</v>
      </c>
      <c r="N73" s="339" t="e">
        <f>#REF!</f>
        <v>#REF!</v>
      </c>
      <c r="O73" s="164"/>
      <c r="P73" s="164"/>
      <c r="Q73" s="164"/>
      <c r="R73" s="164"/>
      <c r="S73" s="164"/>
      <c r="T73" s="164"/>
      <c r="U73" s="164"/>
      <c r="V73" s="164"/>
      <c r="W73" s="164"/>
      <c r="X73" s="164"/>
      <c r="Y73" s="164"/>
      <c r="Z73" s="164"/>
      <c r="AA73" s="164"/>
      <c r="AB73" s="164"/>
      <c r="AC73" s="164"/>
      <c r="AD73" s="164"/>
      <c r="AE73" s="164"/>
      <c r="AF73" s="164"/>
      <c r="AG73" s="164"/>
      <c r="AH73" s="53" t="e">
        <f>#REF!</f>
        <v>#REF!</v>
      </c>
      <c r="AI73" s="132" t="e">
        <f>MIN(25%,(#REF!+#REF!)/(#REF!-#REF!*20))</f>
        <v>#REF!</v>
      </c>
      <c r="AJ73" s="132" t="e">
        <f>MIN(25%,(#REF!+#REF!)/#REF!)</f>
        <v>#REF!</v>
      </c>
      <c r="AK73" s="39" t="e">
        <f>#REF!</f>
        <v>#REF!</v>
      </c>
      <c r="AL73" s="39" t="e">
        <f>#REF!</f>
        <v>#REF!</v>
      </c>
      <c r="AM73" s="39" t="e">
        <f>ROUNDDOWN( MAX((1 - MIN(facs_constr_factor*#REF!,facs_constr_max) + tech_2_3*#REF! + tech_2_6_2*#REF! + tech_2_10*#REF! + tech_4_6*#REF! + tech_6_3*#REF! + tech_9_2*#REF! + race_construction_cost), 1-global_constr_cap) *#REF!,0)</f>
        <v>#REF!</v>
      </c>
      <c r="AN73" s="39" t="e">
        <f>ROUNDDOWN( MAX(1 - MIN(facs_constr_factor*#REF!,facs_constr_max) + tech_1_11*#REF! + tech_6_3_2*#REF! + tech_5_2_3*#REF!, 1-global_constr_cap) *#REF!,0)</f>
        <v>#REF!</v>
      </c>
      <c r="AO73" s="39" t="e">
        <f>ROUNDDOWN( MAX((1 - MIN(facs_constr_factor*#REF!,facs_constr_max) + tech_2_3*#REF! + tech_2_6_2*#REF! + tech_2_10*#REF! + tech_4_6*#REF! + tech_6_3*#REF! + tech_9_2*#REF! + race_construction_cost), 1-global_constr_cap) * (ROUND((#REF!-250)*1.25 + 850 + 0,0)),0)</f>
        <v>#REF!</v>
      </c>
      <c r="AP73" s="39" t="e">
        <f>ROUNDDOWN( MAX(1 - MIN(facs_constr_factor*#REF!,facs_constr_max) + tech_1_11*#REF! + tech_6_3_2*#REF! + tech_5_2_3*#REF!, 1-global_constr_cap) * ROUND((#REF!-250)*0.285 + 87.5 + 0/4.25,0),0)</f>
        <v>#REF!</v>
      </c>
      <c r="AQ73" s="3" t="e">
        <f>#REF!*#REF! +#REF! *#REF!</f>
        <v>#REF!</v>
      </c>
      <c r="AR73" s="3" t="e">
        <f>#REF!*#REF!+#REF!*#REF!</f>
        <v>#REF!</v>
      </c>
      <c r="AS73" s="39" t="e">
        <f ca="1">MIN(SUM(OFFSET(#REF!,-1,0))+SUM(#REF!)+IF(#REF!&gt;12,SUM(OFFSET(#REF!,-12,0)),0),SUM(#REF!))</f>
        <v>#REF!</v>
      </c>
      <c r="AT73" s="3" t="e">
        <f ca="1">IF(#REF!&lt;&gt;0,MAX(0, MIN(20, 20 + SUM(#REF!) - SUM(#REF!) - SUM(OFFSET(#REF!,-1,0)) - IF(#REF!&gt;12,SUM(OFFSET(#REF!,-12,0)),0) - 20*#REF!)),0)</f>
        <v>#REF!</v>
      </c>
      <c r="AU73" s="134"/>
      <c r="AV73" s="39" t="e">
        <f>ROUND((#REF!-250 - IF(#REF!&lt;&gt;0,20,0))*1.25 + 850 + 0,0)</f>
        <v>#REF!</v>
      </c>
      <c r="AW73" s="39" t="e">
        <f>ROUND((#REF!-250 - IF(#REF!&lt;&gt;0,20,0))*0.285 + 87.5 + 0/4.25,0)</f>
        <v>#REF!</v>
      </c>
      <c r="AX73" s="133"/>
      <c r="AY73" s="172" t="e">
        <f t="array" aca="1" ref="AY73" ca="1">IF(#REF!&gt;12,OFFSET(#REF!,-12,0),0)+OFFSET(#REF!,-1,0)-#REF!</f>
        <v>#REF!</v>
      </c>
      <c r="AZ73" s="173" t="e">
        <f t="array" aca="1" ref="AZ73" ca="1">IF(#REF!&gt;12,OFFSET(#REF!,-12,0),0)+OFFSET(#REF!,-1,0)-#REF!</f>
        <v>#REF!</v>
      </c>
      <c r="BA73" s="173" t="e">
        <f t="array" aca="1" ref="BA73" ca="1">IF(#REF!&gt;12,OFFSET(#REF!,-12,0),0)+OFFSET(#REF!,-1,0)-#REF!</f>
        <v>#REF!</v>
      </c>
      <c r="BB73" s="173" t="e">
        <f t="array" aca="1" ref="BB73" ca="1">IF(#REF!&gt;12,OFFSET(#REF!,-12,0),0)+OFFSET(#REF!,-1,0)-#REF!</f>
        <v>#REF!</v>
      </c>
      <c r="BC73" s="173" t="e">
        <f t="array" aca="1" ref="BC73" ca="1">IF(#REF!&gt;12,OFFSET(#REF!,-12,0),0)+OFFSET(#REF!,-1,0)-#REF!</f>
        <v>#REF!</v>
      </c>
      <c r="BD73" s="174" t="e">
        <f t="array" aca="1" ref="BD73" ca="1">IF(#REF!&gt;12,OFFSET(#REF!,-12,0),0)+OFFSET(#REF!,-1,0)-#REF!</f>
        <v>#REF!</v>
      </c>
      <c r="BE73" s="174" t="e">
        <f t="array" aca="1" ref="BE73" ca="1">IF(#REF!&gt;12,OFFSET(#REF!,-12,0),0)+OFFSET(#REF!,-1,0)-#REF!</f>
        <v>#REF!</v>
      </c>
      <c r="BF73" s="343" t="e">
        <f t="array" aca="1" ref="BF73" ca="1">IF(#REF!&gt;12,OFFSET(#REF!,-12,0),0)+OFFSET(#REF!,-1,0)-#REF!</f>
        <v>#REF!</v>
      </c>
      <c r="BG73" s="343" t="e">
        <f t="array" aca="1" ref="BG73" ca="1">IF(#REF!&gt;12,OFFSET(#REF!,-12,0),0)+OFFSET(#REF!,-1,0)-#REF!</f>
        <v>#REF!</v>
      </c>
      <c r="BH73" s="347" t="e">
        <f t="array" aca="1" ref="BH73" ca="1">IF(#REF!&gt;12,OFFSET(#REF!,-12,0),0)+OFFSET(#REF!,-1,0)-#REF!</f>
        <v>#REF!</v>
      </c>
      <c r="BI73" s="347" t="e">
        <f t="array" aca="1" ref="BI73" ca="1">IF(#REF!&gt;12,OFFSET(#REF!,-12,0),0)+OFFSET(#REF!,-1,0)-#REF!</f>
        <v>#REF!</v>
      </c>
      <c r="BJ73" s="347" t="e">
        <f t="array" aca="1" ref="BJ73" ca="1">IF(#REF!&gt;12,OFFSET(#REF!,-12,0),0)+OFFSET(#REF!,-1,0)-#REF!</f>
        <v>#REF!</v>
      </c>
      <c r="BK73" s="347" t="e">
        <f t="array" aca="1" ref="BK73" ca="1">IF(#REF!&gt;12,OFFSET(#REF!,-12,0),0)+OFFSET(#REF!,-1,0)-#REF!</f>
        <v>#REF!</v>
      </c>
      <c r="BL73" s="351" t="e">
        <f t="array" aca="1" ref="BL73" ca="1">IF(#REF!&gt;12,OFFSET(#REF!,-12,0),0)+OFFSET(#REF!,-1,0)-#REF!</f>
        <v>#REF!</v>
      </c>
      <c r="BM73" s="351" t="e">
        <f t="array" aca="1" ref="BM73" ca="1">IF(#REF!&gt;12,OFFSET(#REF!,-12,0),0)+OFFSET(#REF!,-1,0)-#REF!</f>
        <v>#REF!</v>
      </c>
      <c r="BN73" s="351" t="e">
        <f t="array" aca="1" ref="BN73" ca="1">IF(#REF!&gt;12,OFFSET(#REF!,-12,0),0)+OFFSET(#REF!,-1,0)-#REF!</f>
        <v>#REF!</v>
      </c>
      <c r="BO73" s="175" t="e">
        <f t="array" aca="1" ref="BO73" ca="1">IF(#REF!&gt;12,OFFSET(#REF!,-12,0),0)+OFFSET(#REF!,-1,0)-#REF!</f>
        <v>#REF!</v>
      </c>
      <c r="BP73" s="175" t="e">
        <f t="array" aca="1" ref="BP73" ca="1">IF(#REF!&gt;12,OFFSET(#REF!,-12,0),0)+OFFSET(#REF!,-1,0)-#REF!</f>
        <v>#REF!</v>
      </c>
      <c r="BQ73" s="176" t="e">
        <f t="array" aca="1" ref="BQ73" ca="1">IF(#REF!&gt;12,OFFSET(#REF!,-12,0),0)+OFFSET(#REF!,-1,0)-#REF!</f>
        <v>#REF!</v>
      </c>
      <c r="BR73" s="134"/>
      <c r="BS73" s="133"/>
      <c r="BT73" s="39" t="e">
        <f>#REF!</f>
        <v>#REF!</v>
      </c>
      <c r="BU73" s="147" t="e">
        <f>#REF!</f>
        <v>#REF!</v>
      </c>
      <c r="BV73" s="134"/>
      <c r="BW73" s="164"/>
      <c r="BX73" s="164"/>
      <c r="BY73" s="164"/>
      <c r="BZ73" s="164"/>
      <c r="CA73" s="164"/>
      <c r="CB73" s="164"/>
      <c r="CC73" s="164"/>
      <c r="CD73" s="164"/>
      <c r="CE73" s="164"/>
      <c r="CF73" s="164"/>
      <c r="CG73" s="164"/>
      <c r="CH73" s="164"/>
      <c r="CI73" s="164"/>
      <c r="CJ73" s="164"/>
      <c r="CK73" s="164"/>
      <c r="CL73" s="164"/>
      <c r="CM73" s="164"/>
      <c r="CN73" s="164"/>
      <c r="CO73" s="164"/>
      <c r="CP73" s="134"/>
      <c r="CQ73" s="165" t="e">
        <f ca="1">-SUM(#REF!)+SUM(#REF!)+Rezone!L73+IF("Ch_"&amp; home_land=#REF!,#REF!)+IF(#REF!&gt;12,OFFSET(#REF!,-12,0),0)</f>
        <v>#REF!</v>
      </c>
      <c r="CR73" s="166" t="e">
        <f ca="1">-SUM(#REF!)+SUM(#REF!) +Rezone!M73 + IF("Ch_"&amp; home_land=#REF!,#REF!)+IF(#REF!&gt;12,OFFSET(#REF!,-12,0),0)</f>
        <v>#REF!</v>
      </c>
      <c r="CS73" s="341" t="e">
        <f ca="1">-SUM(#REF!)+SUM(#REF!) +Rezone!N73 + IF("Ch_"&amp; home_land=#REF!,#REF!)+IF(#REF!&gt;12,OFFSET(#REF!,-12,0),0)</f>
        <v>#REF!</v>
      </c>
      <c r="CT73" s="167" t="e">
        <f ca="1">-SUM(#REF!)+SUM(#REF!) +Rezone!O73 + IF("Ch_" &amp; home_land=#REF!,#REF!)+IF(#REF!&gt;12,OFFSET(#REF!,-12,0),0)</f>
        <v>#REF!</v>
      </c>
      <c r="CU73" s="168" t="e">
        <f ca="1">-SUM(#REF!)+SUM(#REF!) +Rezone!P73 + IF("Ch_" &amp; home_land=#REF!,#REF!)+IF(#REF!&gt;12,OFFSET(#REF!,-12,0),0)</f>
        <v>#REF!</v>
      </c>
      <c r="CV73" s="169" t="e">
        <f ca="1">- SUM(#REF!)+SUM(#REF!) +Rezone!Q73 + IF("Ch_" &amp; home_land=#REF!,#REF!)+IF(#REF!&gt;12,OFFSET(#REF!,-12,0),0)</f>
        <v>#REF!</v>
      </c>
      <c r="CW73" s="170" t="e">
        <f ca="1">-#REF!+#REF! +Rezone!R73 + IF("Ch_" &amp; home_land=#REF!,#REF!)+IF(#REF!&gt;12,OFFSET(#REF!,-12,0),0)</f>
        <v>#REF!</v>
      </c>
      <c r="CX73" s="3" t="e">
        <f>IF(Explore!S73=1,20) -#REF! +#REF!</f>
        <v>#REF!</v>
      </c>
      <c r="CY73" s="134"/>
      <c r="CZ73" s="39" t="e">
        <f t="shared" ca="1" si="12"/>
        <v>#REF!</v>
      </c>
      <c r="DA73" s="39" t="e">
        <f t="shared" ca="1" si="13"/>
        <v>#REF!</v>
      </c>
      <c r="DB73" s="3" t="e">
        <f t="shared" ca="1" si="14"/>
        <v>#REF!</v>
      </c>
      <c r="DC73" s="39" t="e">
        <f t="shared" ca="1" si="15"/>
        <v>#REF!</v>
      </c>
      <c r="DD73" s="39" t="e">
        <f t="shared" ca="1" si="16"/>
        <v>#REF!</v>
      </c>
      <c r="DE73" s="3" t="e">
        <f t="shared" ca="1" si="17"/>
        <v>#REF!</v>
      </c>
      <c r="DF73" s="39" t="e">
        <f t="shared" ca="1" si="18"/>
        <v>#REF!</v>
      </c>
      <c r="DG73" s="39" t="e">
        <f t="array" ref="DG73">INDEX(#REF!,ROW()-ROW(#REF!),MATCH("Total "&amp;home_land,#REF!,0))+#REF!</f>
        <v>#REF!</v>
      </c>
      <c r="DH73" s="3" t="e">
        <f t="shared" ca="1" si="10"/>
        <v>#REF!</v>
      </c>
      <c r="DI73" s="3" t="e">
        <f t="shared" ca="1" si="19"/>
        <v>#REF!</v>
      </c>
      <c r="DJ73" s="3" t="e">
        <f t="shared" ca="1" si="20"/>
        <v>#REF!</v>
      </c>
    </row>
    <row r="74" spans="1:114" x14ac:dyDescent="0.25">
      <c r="A74" s="160" t="e">
        <f>#REF!</f>
        <v>#REF!</v>
      </c>
      <c r="B74" s="161" t="e">
        <f>SUM(#REF!)</f>
        <v>#REF!</v>
      </c>
      <c r="C74" s="162" t="e">
        <f>SUM(#REF!)</f>
        <v>#REF!</v>
      </c>
      <c r="D74" s="162">
        <f t="shared" si="11"/>
        <v>0</v>
      </c>
      <c r="E74" s="163"/>
      <c r="F74" s="61" t="e">
        <f>#REF!+#REF!+#REF!</f>
        <v>#REF!</v>
      </c>
      <c r="G74" s="171" t="e">
        <f ca="1">OFFSET(#REF!,-1,0)+#REF!</f>
        <v>#REF!</v>
      </c>
      <c r="H74" s="166" t="e">
        <f ca="1">OFFSET(#REF!,-1,0)+#REF!</f>
        <v>#REF!</v>
      </c>
      <c r="I74" s="341" t="e">
        <f ca="1">OFFSET(#REF!,-1,0)+#REF!</f>
        <v>#REF!</v>
      </c>
      <c r="J74" s="345" t="e">
        <f ca="1">OFFSET(#REF!,-1,0)+#REF!</f>
        <v>#REF!</v>
      </c>
      <c r="K74" s="349" t="e">
        <f ca="1">OFFSET(#REF!,-1,0)+#REF!</f>
        <v>#REF!</v>
      </c>
      <c r="L74" s="169" t="e">
        <f ca="1">OFFSET(#REF!,-1,0)+#REF!</f>
        <v>#REF!</v>
      </c>
      <c r="M74" s="170" t="e">
        <f ca="1">OFFSET(#REF!,-1,0)+#REF!</f>
        <v>#REF!</v>
      </c>
      <c r="N74" s="339" t="e">
        <f>#REF!</f>
        <v>#REF!</v>
      </c>
      <c r="O74" s="164"/>
      <c r="P74" s="164"/>
      <c r="Q74" s="164"/>
      <c r="R74" s="164"/>
      <c r="S74" s="164"/>
      <c r="T74" s="164"/>
      <c r="U74" s="164"/>
      <c r="V74" s="164"/>
      <c r="W74" s="164"/>
      <c r="X74" s="164"/>
      <c r="Y74" s="164"/>
      <c r="Z74" s="164"/>
      <c r="AA74" s="164"/>
      <c r="AB74" s="164"/>
      <c r="AC74" s="164"/>
      <c r="AD74" s="164"/>
      <c r="AE74" s="164"/>
      <c r="AF74" s="164"/>
      <c r="AG74" s="164"/>
      <c r="AH74" s="53" t="e">
        <f>#REF!</f>
        <v>#REF!</v>
      </c>
      <c r="AI74" s="132" t="e">
        <f>MIN(25%,(#REF!+#REF!)/(#REF!-#REF!*20))</f>
        <v>#REF!</v>
      </c>
      <c r="AJ74" s="132" t="e">
        <f>MIN(25%,(#REF!+#REF!)/#REF!)</f>
        <v>#REF!</v>
      </c>
      <c r="AK74" s="39" t="e">
        <f>#REF!</f>
        <v>#REF!</v>
      </c>
      <c r="AL74" s="39" t="e">
        <f>#REF!</f>
        <v>#REF!</v>
      </c>
      <c r="AM74" s="39" t="e">
        <f>ROUNDDOWN( MAX((1 - MIN(facs_constr_factor*#REF!,facs_constr_max) + tech_2_3*#REF! + tech_2_6_2*#REF! + tech_2_10*#REF! + tech_4_6*#REF! + tech_6_3*#REF! + tech_9_2*#REF! + race_construction_cost), 1-global_constr_cap) *#REF!,0)</f>
        <v>#REF!</v>
      </c>
      <c r="AN74" s="39" t="e">
        <f>ROUNDDOWN( MAX(1 - MIN(facs_constr_factor*#REF!,facs_constr_max) + tech_1_11*#REF! + tech_6_3_2*#REF! + tech_5_2_3*#REF!, 1-global_constr_cap) *#REF!,0)</f>
        <v>#REF!</v>
      </c>
      <c r="AO74" s="39" t="e">
        <f>ROUNDDOWN( MAX((1 - MIN(facs_constr_factor*#REF!,facs_constr_max) + tech_2_3*#REF! + tech_2_6_2*#REF! + tech_2_10*#REF! + tech_4_6*#REF! + tech_6_3*#REF! + tech_9_2*#REF! + race_construction_cost), 1-global_constr_cap) * (ROUND((#REF!-250)*1.25 + 850 + 0,0)),0)</f>
        <v>#REF!</v>
      </c>
      <c r="AP74" s="39" t="e">
        <f>ROUNDDOWN( MAX(1 - MIN(facs_constr_factor*#REF!,facs_constr_max) + tech_1_11*#REF! + tech_6_3_2*#REF! + tech_5_2_3*#REF!, 1-global_constr_cap) * ROUND((#REF!-250)*0.285 + 87.5 + 0/4.25,0),0)</f>
        <v>#REF!</v>
      </c>
      <c r="AQ74" s="3" t="e">
        <f>#REF!*#REF! +#REF! *#REF!</f>
        <v>#REF!</v>
      </c>
      <c r="AR74" s="3" t="e">
        <f>#REF!*#REF!+#REF!*#REF!</f>
        <v>#REF!</v>
      </c>
      <c r="AS74" s="39" t="e">
        <f ca="1">MIN(SUM(OFFSET(#REF!,-1,0))+SUM(#REF!)+IF(#REF!&gt;12,SUM(OFFSET(#REF!,-12,0)),0),SUM(#REF!))</f>
        <v>#REF!</v>
      </c>
      <c r="AT74" s="3" t="e">
        <f ca="1">IF(#REF!&lt;&gt;0,MAX(0, MIN(20, 20 + SUM(#REF!) - SUM(#REF!) - SUM(OFFSET(#REF!,-1,0)) - IF(#REF!&gt;12,SUM(OFFSET(#REF!,-12,0)),0) - 20*#REF!)),0)</f>
        <v>#REF!</v>
      </c>
      <c r="AU74" s="134"/>
      <c r="AV74" s="39" t="e">
        <f>ROUND((#REF!-250 - IF(#REF!&lt;&gt;0,20,0))*1.25 + 850 + 0,0)</f>
        <v>#REF!</v>
      </c>
      <c r="AW74" s="39" t="e">
        <f>ROUND((#REF!-250 - IF(#REF!&lt;&gt;0,20,0))*0.285 + 87.5 + 0/4.25,0)</f>
        <v>#REF!</v>
      </c>
      <c r="AX74" s="133"/>
      <c r="AY74" s="172" t="e">
        <f t="array" aca="1" ref="AY74" ca="1">IF(#REF!&gt;12,OFFSET(#REF!,-12,0),0)+OFFSET(#REF!,-1,0)-#REF!</f>
        <v>#REF!</v>
      </c>
      <c r="AZ74" s="173" t="e">
        <f t="array" aca="1" ref="AZ74" ca="1">IF(#REF!&gt;12,OFFSET(#REF!,-12,0),0)+OFFSET(#REF!,-1,0)-#REF!</f>
        <v>#REF!</v>
      </c>
      <c r="BA74" s="173" t="e">
        <f t="array" aca="1" ref="BA74" ca="1">IF(#REF!&gt;12,OFFSET(#REF!,-12,0),0)+OFFSET(#REF!,-1,0)-#REF!</f>
        <v>#REF!</v>
      </c>
      <c r="BB74" s="173" t="e">
        <f t="array" aca="1" ref="BB74" ca="1">IF(#REF!&gt;12,OFFSET(#REF!,-12,0),0)+OFFSET(#REF!,-1,0)-#REF!</f>
        <v>#REF!</v>
      </c>
      <c r="BC74" s="173" t="e">
        <f t="array" aca="1" ref="BC74" ca="1">IF(#REF!&gt;12,OFFSET(#REF!,-12,0),0)+OFFSET(#REF!,-1,0)-#REF!</f>
        <v>#REF!</v>
      </c>
      <c r="BD74" s="174" t="e">
        <f t="array" aca="1" ref="BD74" ca="1">IF(#REF!&gt;12,OFFSET(#REF!,-12,0),0)+OFFSET(#REF!,-1,0)-#REF!</f>
        <v>#REF!</v>
      </c>
      <c r="BE74" s="174" t="e">
        <f t="array" aca="1" ref="BE74" ca="1">IF(#REF!&gt;12,OFFSET(#REF!,-12,0),0)+OFFSET(#REF!,-1,0)-#REF!</f>
        <v>#REF!</v>
      </c>
      <c r="BF74" s="343" t="e">
        <f t="array" aca="1" ref="BF74" ca="1">IF(#REF!&gt;12,OFFSET(#REF!,-12,0),0)+OFFSET(#REF!,-1,0)-#REF!</f>
        <v>#REF!</v>
      </c>
      <c r="BG74" s="343" t="e">
        <f t="array" aca="1" ref="BG74" ca="1">IF(#REF!&gt;12,OFFSET(#REF!,-12,0),0)+OFFSET(#REF!,-1,0)-#REF!</f>
        <v>#REF!</v>
      </c>
      <c r="BH74" s="347" t="e">
        <f t="array" aca="1" ref="BH74" ca="1">IF(#REF!&gt;12,OFFSET(#REF!,-12,0),0)+OFFSET(#REF!,-1,0)-#REF!</f>
        <v>#REF!</v>
      </c>
      <c r="BI74" s="347" t="e">
        <f t="array" aca="1" ref="BI74" ca="1">IF(#REF!&gt;12,OFFSET(#REF!,-12,0),0)+OFFSET(#REF!,-1,0)-#REF!</f>
        <v>#REF!</v>
      </c>
      <c r="BJ74" s="347" t="e">
        <f t="array" aca="1" ref="BJ74" ca="1">IF(#REF!&gt;12,OFFSET(#REF!,-12,0),0)+OFFSET(#REF!,-1,0)-#REF!</f>
        <v>#REF!</v>
      </c>
      <c r="BK74" s="347" t="e">
        <f t="array" aca="1" ref="BK74" ca="1">IF(#REF!&gt;12,OFFSET(#REF!,-12,0),0)+OFFSET(#REF!,-1,0)-#REF!</f>
        <v>#REF!</v>
      </c>
      <c r="BL74" s="351" t="e">
        <f t="array" aca="1" ref="BL74" ca="1">IF(#REF!&gt;12,OFFSET(#REF!,-12,0),0)+OFFSET(#REF!,-1,0)-#REF!</f>
        <v>#REF!</v>
      </c>
      <c r="BM74" s="351" t="e">
        <f t="array" aca="1" ref="BM74" ca="1">IF(#REF!&gt;12,OFFSET(#REF!,-12,0),0)+OFFSET(#REF!,-1,0)-#REF!</f>
        <v>#REF!</v>
      </c>
      <c r="BN74" s="351" t="e">
        <f t="array" aca="1" ref="BN74" ca="1">IF(#REF!&gt;12,OFFSET(#REF!,-12,0),0)+OFFSET(#REF!,-1,0)-#REF!</f>
        <v>#REF!</v>
      </c>
      <c r="BO74" s="175" t="e">
        <f t="array" aca="1" ref="BO74" ca="1">IF(#REF!&gt;12,OFFSET(#REF!,-12,0),0)+OFFSET(#REF!,-1,0)-#REF!</f>
        <v>#REF!</v>
      </c>
      <c r="BP74" s="175" t="e">
        <f t="array" aca="1" ref="BP74" ca="1">IF(#REF!&gt;12,OFFSET(#REF!,-12,0),0)+OFFSET(#REF!,-1,0)-#REF!</f>
        <v>#REF!</v>
      </c>
      <c r="BQ74" s="176" t="e">
        <f t="array" aca="1" ref="BQ74" ca="1">IF(#REF!&gt;12,OFFSET(#REF!,-12,0),0)+OFFSET(#REF!,-1,0)-#REF!</f>
        <v>#REF!</v>
      </c>
      <c r="BR74" s="134"/>
      <c r="BS74" s="133"/>
      <c r="BT74" s="39" t="e">
        <f>#REF!</f>
        <v>#REF!</v>
      </c>
      <c r="BU74" s="147" t="e">
        <f>#REF!</f>
        <v>#REF!</v>
      </c>
      <c r="BV74" s="134"/>
      <c r="BW74" s="164"/>
      <c r="BX74" s="164"/>
      <c r="BY74" s="164"/>
      <c r="BZ74" s="164"/>
      <c r="CA74" s="164"/>
      <c r="CB74" s="164"/>
      <c r="CC74" s="164"/>
      <c r="CD74" s="164"/>
      <c r="CE74" s="164"/>
      <c r="CF74" s="164"/>
      <c r="CG74" s="164"/>
      <c r="CH74" s="164"/>
      <c r="CI74" s="164"/>
      <c r="CJ74" s="164"/>
      <c r="CK74" s="164"/>
      <c r="CL74" s="164"/>
      <c r="CM74" s="164"/>
      <c r="CN74" s="164"/>
      <c r="CO74" s="164"/>
      <c r="CP74" s="134"/>
      <c r="CQ74" s="165" t="e">
        <f ca="1">-SUM(#REF!)+SUM(#REF!)+Rezone!L74+IF("Ch_"&amp; home_land=#REF!,#REF!)+IF(#REF!&gt;12,OFFSET(#REF!,-12,0),0)</f>
        <v>#REF!</v>
      </c>
      <c r="CR74" s="166" t="e">
        <f ca="1">-SUM(#REF!)+SUM(#REF!) +Rezone!M74 + IF("Ch_"&amp; home_land=#REF!,#REF!)+IF(#REF!&gt;12,OFFSET(#REF!,-12,0),0)</f>
        <v>#REF!</v>
      </c>
      <c r="CS74" s="341" t="e">
        <f ca="1">-SUM(#REF!)+SUM(#REF!) +Rezone!N74 + IF("Ch_"&amp; home_land=#REF!,#REF!)+IF(#REF!&gt;12,OFFSET(#REF!,-12,0),0)</f>
        <v>#REF!</v>
      </c>
      <c r="CT74" s="167" t="e">
        <f ca="1">-SUM(#REF!)+SUM(#REF!) +Rezone!O74 + IF("Ch_" &amp; home_land=#REF!,#REF!)+IF(#REF!&gt;12,OFFSET(#REF!,-12,0),0)</f>
        <v>#REF!</v>
      </c>
      <c r="CU74" s="168" t="e">
        <f ca="1">-SUM(#REF!)+SUM(#REF!) +Rezone!P74 + IF("Ch_" &amp; home_land=#REF!,#REF!)+IF(#REF!&gt;12,OFFSET(#REF!,-12,0),0)</f>
        <v>#REF!</v>
      </c>
      <c r="CV74" s="169" t="e">
        <f ca="1">- SUM(#REF!)+SUM(#REF!) +Rezone!Q74 + IF("Ch_" &amp; home_land=#REF!,#REF!)+IF(#REF!&gt;12,OFFSET(#REF!,-12,0),0)</f>
        <v>#REF!</v>
      </c>
      <c r="CW74" s="170" t="e">
        <f ca="1">-#REF!+#REF! +Rezone!R74 + IF("Ch_" &amp; home_land=#REF!,#REF!)+IF(#REF!&gt;12,OFFSET(#REF!,-12,0),0)</f>
        <v>#REF!</v>
      </c>
      <c r="CX74" s="3" t="e">
        <f>IF(Explore!S74=1,20) -#REF! +#REF!</f>
        <v>#REF!</v>
      </c>
      <c r="CY74" s="134"/>
      <c r="CZ74" s="39" t="e">
        <f t="shared" ca="1" si="12"/>
        <v>#REF!</v>
      </c>
      <c r="DA74" s="39" t="e">
        <f t="shared" ca="1" si="13"/>
        <v>#REF!</v>
      </c>
      <c r="DB74" s="3" t="e">
        <f t="shared" ca="1" si="14"/>
        <v>#REF!</v>
      </c>
      <c r="DC74" s="39" t="e">
        <f t="shared" ca="1" si="15"/>
        <v>#REF!</v>
      </c>
      <c r="DD74" s="39" t="e">
        <f t="shared" ca="1" si="16"/>
        <v>#REF!</v>
      </c>
      <c r="DE74" s="3" t="e">
        <f t="shared" ca="1" si="17"/>
        <v>#REF!</v>
      </c>
      <c r="DF74" s="39" t="e">
        <f t="shared" ca="1" si="18"/>
        <v>#REF!</v>
      </c>
      <c r="DG74" s="39" t="e">
        <f t="array" ref="DG74">INDEX(#REF!,ROW()-ROW(#REF!),MATCH("Total "&amp;home_land,#REF!,0))+#REF!</f>
        <v>#REF!</v>
      </c>
      <c r="DH74" s="3" t="e">
        <f t="shared" ca="1" si="10"/>
        <v>#REF!</v>
      </c>
      <c r="DI74" s="3" t="e">
        <f t="shared" ca="1" si="19"/>
        <v>#REF!</v>
      </c>
      <c r="DJ74" s="3" t="e">
        <f t="shared" ca="1" si="20"/>
        <v>#REF!</v>
      </c>
    </row>
    <row r="75" spans="1:114" x14ac:dyDescent="0.25">
      <c r="A75" s="160" t="e">
        <f>#REF!</f>
        <v>#REF!</v>
      </c>
      <c r="B75" s="161" t="e">
        <f>SUM(#REF!)</f>
        <v>#REF!</v>
      </c>
      <c r="C75" s="162" t="e">
        <f>SUM(#REF!)</f>
        <v>#REF!</v>
      </c>
      <c r="D75" s="162">
        <f t="shared" si="11"/>
        <v>0</v>
      </c>
      <c r="E75" s="163"/>
      <c r="F75" s="61" t="e">
        <f>#REF!+#REF!+#REF!</f>
        <v>#REF!</v>
      </c>
      <c r="G75" s="171" t="e">
        <f ca="1">OFFSET(#REF!,-1,0)+#REF!</f>
        <v>#REF!</v>
      </c>
      <c r="H75" s="166" t="e">
        <f ca="1">OFFSET(#REF!,-1,0)+#REF!</f>
        <v>#REF!</v>
      </c>
      <c r="I75" s="341" t="e">
        <f ca="1">OFFSET(#REF!,-1,0)+#REF!</f>
        <v>#REF!</v>
      </c>
      <c r="J75" s="345" t="e">
        <f ca="1">OFFSET(#REF!,-1,0)+#REF!</f>
        <v>#REF!</v>
      </c>
      <c r="K75" s="349" t="e">
        <f ca="1">OFFSET(#REF!,-1,0)+#REF!</f>
        <v>#REF!</v>
      </c>
      <c r="L75" s="169" t="e">
        <f ca="1">OFFSET(#REF!,-1,0)+#REF!</f>
        <v>#REF!</v>
      </c>
      <c r="M75" s="170" t="e">
        <f ca="1">OFFSET(#REF!,-1,0)+#REF!</f>
        <v>#REF!</v>
      </c>
      <c r="N75" s="339" t="e">
        <f>#REF!</f>
        <v>#REF!</v>
      </c>
      <c r="O75" s="164"/>
      <c r="P75" s="164"/>
      <c r="Q75" s="164"/>
      <c r="R75" s="164"/>
      <c r="S75" s="164"/>
      <c r="T75" s="164"/>
      <c r="U75" s="164"/>
      <c r="V75" s="164"/>
      <c r="W75" s="164"/>
      <c r="X75" s="164"/>
      <c r="Y75" s="164"/>
      <c r="Z75" s="164"/>
      <c r="AA75" s="164"/>
      <c r="AB75" s="164"/>
      <c r="AC75" s="164"/>
      <c r="AD75" s="164"/>
      <c r="AE75" s="164"/>
      <c r="AF75" s="164"/>
      <c r="AG75" s="164"/>
      <c r="AH75" s="53" t="e">
        <f>#REF!</f>
        <v>#REF!</v>
      </c>
      <c r="AI75" s="132" t="e">
        <f>MIN(25%,(#REF!+#REF!)/(#REF!-#REF!*20))</f>
        <v>#REF!</v>
      </c>
      <c r="AJ75" s="132" t="e">
        <f>MIN(25%,(#REF!+#REF!)/#REF!)</f>
        <v>#REF!</v>
      </c>
      <c r="AK75" s="39" t="e">
        <f>#REF!</f>
        <v>#REF!</v>
      </c>
      <c r="AL75" s="39" t="e">
        <f>#REF!</f>
        <v>#REF!</v>
      </c>
      <c r="AM75" s="39" t="e">
        <f>ROUNDDOWN( MAX((1 - MIN(facs_constr_factor*#REF!,facs_constr_max) + tech_2_3*#REF! + tech_2_6_2*#REF! + tech_2_10*#REF! + tech_4_6*#REF! + tech_6_3*#REF! + tech_9_2*#REF! + race_construction_cost), 1-global_constr_cap) *#REF!,0)</f>
        <v>#REF!</v>
      </c>
      <c r="AN75" s="39" t="e">
        <f>ROUNDDOWN( MAX(1 - MIN(facs_constr_factor*#REF!,facs_constr_max) + tech_1_11*#REF! + tech_6_3_2*#REF! + tech_5_2_3*#REF!, 1-global_constr_cap) *#REF!,0)</f>
        <v>#REF!</v>
      </c>
      <c r="AO75" s="39" t="e">
        <f>ROUNDDOWN( MAX((1 - MIN(facs_constr_factor*#REF!,facs_constr_max) + tech_2_3*#REF! + tech_2_6_2*#REF! + tech_2_10*#REF! + tech_4_6*#REF! + tech_6_3*#REF! + tech_9_2*#REF! + race_construction_cost), 1-global_constr_cap) * (ROUND((#REF!-250)*1.25 + 850 + 0,0)),0)</f>
        <v>#REF!</v>
      </c>
      <c r="AP75" s="39" t="e">
        <f>ROUNDDOWN( MAX(1 - MIN(facs_constr_factor*#REF!,facs_constr_max) + tech_1_11*#REF! + tech_6_3_2*#REF! + tech_5_2_3*#REF!, 1-global_constr_cap) * ROUND((#REF!-250)*0.285 + 87.5 + 0/4.25,0),0)</f>
        <v>#REF!</v>
      </c>
      <c r="AQ75" s="3" t="e">
        <f>#REF!*#REF! +#REF! *#REF!</f>
        <v>#REF!</v>
      </c>
      <c r="AR75" s="3" t="e">
        <f>#REF!*#REF!+#REF!*#REF!</f>
        <v>#REF!</v>
      </c>
      <c r="AS75" s="39" t="e">
        <f ca="1">MIN(SUM(OFFSET(#REF!,-1,0))+SUM(#REF!)+IF(#REF!&gt;12,SUM(OFFSET(#REF!,-12,0)),0),SUM(#REF!))</f>
        <v>#REF!</v>
      </c>
      <c r="AT75" s="3" t="e">
        <f ca="1">IF(#REF!&lt;&gt;0,MAX(0, MIN(20, 20 + SUM(#REF!) - SUM(#REF!) - SUM(OFFSET(#REF!,-1,0)) - IF(#REF!&gt;12,SUM(OFFSET(#REF!,-12,0)),0) - 20*#REF!)),0)</f>
        <v>#REF!</v>
      </c>
      <c r="AU75" s="134"/>
      <c r="AV75" s="39" t="e">
        <f>ROUND((#REF!-250 - IF(#REF!&lt;&gt;0,20,0))*1.25 + 850 + 0,0)</f>
        <v>#REF!</v>
      </c>
      <c r="AW75" s="39" t="e">
        <f>ROUND((#REF!-250 - IF(#REF!&lt;&gt;0,20,0))*0.285 + 87.5 + 0/4.25,0)</f>
        <v>#REF!</v>
      </c>
      <c r="AX75" s="133"/>
      <c r="AY75" s="172" t="e">
        <f t="array" aca="1" ref="AY75" ca="1">IF(#REF!&gt;12,OFFSET(#REF!,-12,0),0)+OFFSET(#REF!,-1,0)-#REF!</f>
        <v>#REF!</v>
      </c>
      <c r="AZ75" s="173" t="e">
        <f t="array" aca="1" ref="AZ75" ca="1">IF(#REF!&gt;12,OFFSET(#REF!,-12,0),0)+OFFSET(#REF!,-1,0)-#REF!</f>
        <v>#REF!</v>
      </c>
      <c r="BA75" s="173" t="e">
        <f t="array" aca="1" ref="BA75" ca="1">IF(#REF!&gt;12,OFFSET(#REF!,-12,0),0)+OFFSET(#REF!,-1,0)-#REF!</f>
        <v>#REF!</v>
      </c>
      <c r="BB75" s="173" t="e">
        <f t="array" aca="1" ref="BB75" ca="1">IF(#REF!&gt;12,OFFSET(#REF!,-12,0),0)+OFFSET(#REF!,-1,0)-#REF!</f>
        <v>#REF!</v>
      </c>
      <c r="BC75" s="173" t="e">
        <f t="array" aca="1" ref="BC75" ca="1">IF(#REF!&gt;12,OFFSET(#REF!,-12,0),0)+OFFSET(#REF!,-1,0)-#REF!</f>
        <v>#REF!</v>
      </c>
      <c r="BD75" s="174" t="e">
        <f t="array" aca="1" ref="BD75" ca="1">IF(#REF!&gt;12,OFFSET(#REF!,-12,0),0)+OFFSET(#REF!,-1,0)-#REF!</f>
        <v>#REF!</v>
      </c>
      <c r="BE75" s="174" t="e">
        <f t="array" aca="1" ref="BE75" ca="1">IF(#REF!&gt;12,OFFSET(#REF!,-12,0),0)+OFFSET(#REF!,-1,0)-#REF!</f>
        <v>#REF!</v>
      </c>
      <c r="BF75" s="343" t="e">
        <f t="array" aca="1" ref="BF75" ca="1">IF(#REF!&gt;12,OFFSET(#REF!,-12,0),0)+OFFSET(#REF!,-1,0)-#REF!</f>
        <v>#REF!</v>
      </c>
      <c r="BG75" s="343" t="e">
        <f t="array" aca="1" ref="BG75" ca="1">IF(#REF!&gt;12,OFFSET(#REF!,-12,0),0)+OFFSET(#REF!,-1,0)-#REF!</f>
        <v>#REF!</v>
      </c>
      <c r="BH75" s="347" t="e">
        <f t="array" aca="1" ref="BH75" ca="1">IF(#REF!&gt;12,OFFSET(#REF!,-12,0),0)+OFFSET(#REF!,-1,0)-#REF!</f>
        <v>#REF!</v>
      </c>
      <c r="BI75" s="347" t="e">
        <f t="array" aca="1" ref="BI75" ca="1">IF(#REF!&gt;12,OFFSET(#REF!,-12,0),0)+OFFSET(#REF!,-1,0)-#REF!</f>
        <v>#REF!</v>
      </c>
      <c r="BJ75" s="347" t="e">
        <f t="array" aca="1" ref="BJ75" ca="1">IF(#REF!&gt;12,OFFSET(#REF!,-12,0),0)+OFFSET(#REF!,-1,0)-#REF!</f>
        <v>#REF!</v>
      </c>
      <c r="BK75" s="347" t="e">
        <f t="array" aca="1" ref="BK75" ca="1">IF(#REF!&gt;12,OFFSET(#REF!,-12,0),0)+OFFSET(#REF!,-1,0)-#REF!</f>
        <v>#REF!</v>
      </c>
      <c r="BL75" s="351" t="e">
        <f t="array" aca="1" ref="BL75" ca="1">IF(#REF!&gt;12,OFFSET(#REF!,-12,0),0)+OFFSET(#REF!,-1,0)-#REF!</f>
        <v>#REF!</v>
      </c>
      <c r="BM75" s="351" t="e">
        <f t="array" aca="1" ref="BM75" ca="1">IF(#REF!&gt;12,OFFSET(#REF!,-12,0),0)+OFFSET(#REF!,-1,0)-#REF!</f>
        <v>#REF!</v>
      </c>
      <c r="BN75" s="351" t="e">
        <f t="array" aca="1" ref="BN75" ca="1">IF(#REF!&gt;12,OFFSET(#REF!,-12,0),0)+OFFSET(#REF!,-1,0)-#REF!</f>
        <v>#REF!</v>
      </c>
      <c r="BO75" s="175" t="e">
        <f t="array" aca="1" ref="BO75" ca="1">IF(#REF!&gt;12,OFFSET(#REF!,-12,0),0)+OFFSET(#REF!,-1,0)-#REF!</f>
        <v>#REF!</v>
      </c>
      <c r="BP75" s="175" t="e">
        <f t="array" aca="1" ref="BP75" ca="1">IF(#REF!&gt;12,OFFSET(#REF!,-12,0),0)+OFFSET(#REF!,-1,0)-#REF!</f>
        <v>#REF!</v>
      </c>
      <c r="BQ75" s="176" t="e">
        <f t="array" aca="1" ref="BQ75" ca="1">IF(#REF!&gt;12,OFFSET(#REF!,-12,0),0)+OFFSET(#REF!,-1,0)-#REF!</f>
        <v>#REF!</v>
      </c>
      <c r="BR75" s="134"/>
      <c r="BS75" s="133"/>
      <c r="BT75" s="39" t="e">
        <f>#REF!</f>
        <v>#REF!</v>
      </c>
      <c r="BU75" s="147" t="e">
        <f>#REF!</f>
        <v>#REF!</v>
      </c>
      <c r="BV75" s="134"/>
      <c r="BW75" s="164"/>
      <c r="BX75" s="164"/>
      <c r="BY75" s="164"/>
      <c r="BZ75" s="164"/>
      <c r="CA75" s="164"/>
      <c r="CB75" s="164"/>
      <c r="CC75" s="164"/>
      <c r="CD75" s="164"/>
      <c r="CE75" s="164"/>
      <c r="CF75" s="164"/>
      <c r="CG75" s="164"/>
      <c r="CH75" s="164"/>
      <c r="CI75" s="164"/>
      <c r="CJ75" s="164"/>
      <c r="CK75" s="164"/>
      <c r="CL75" s="164"/>
      <c r="CM75" s="164"/>
      <c r="CN75" s="164"/>
      <c r="CO75" s="164"/>
      <c r="CP75" s="134"/>
      <c r="CQ75" s="165" t="e">
        <f ca="1">-SUM(#REF!)+SUM(#REF!)+Rezone!L75+IF("Ch_"&amp; home_land=#REF!,#REF!)+IF(#REF!&gt;12,OFFSET(#REF!,-12,0),0)</f>
        <v>#REF!</v>
      </c>
      <c r="CR75" s="166" t="e">
        <f ca="1">-SUM(#REF!)+SUM(#REF!) +Rezone!M75 + IF("Ch_"&amp; home_land=#REF!,#REF!)+IF(#REF!&gt;12,OFFSET(#REF!,-12,0),0)</f>
        <v>#REF!</v>
      </c>
      <c r="CS75" s="341" t="e">
        <f ca="1">-SUM(#REF!)+SUM(#REF!) +Rezone!N75 + IF("Ch_"&amp; home_land=#REF!,#REF!)+IF(#REF!&gt;12,OFFSET(#REF!,-12,0),0)</f>
        <v>#REF!</v>
      </c>
      <c r="CT75" s="167" t="e">
        <f ca="1">-SUM(#REF!)+SUM(#REF!) +Rezone!O75 + IF("Ch_" &amp; home_land=#REF!,#REF!)+IF(#REF!&gt;12,OFFSET(#REF!,-12,0),0)</f>
        <v>#REF!</v>
      </c>
      <c r="CU75" s="168" t="e">
        <f ca="1">-SUM(#REF!)+SUM(#REF!) +Rezone!P75 + IF("Ch_" &amp; home_land=#REF!,#REF!)+IF(#REF!&gt;12,OFFSET(#REF!,-12,0),0)</f>
        <v>#REF!</v>
      </c>
      <c r="CV75" s="169" t="e">
        <f ca="1">- SUM(#REF!)+SUM(#REF!) +Rezone!Q75 + IF("Ch_" &amp; home_land=#REF!,#REF!)+IF(#REF!&gt;12,OFFSET(#REF!,-12,0),0)</f>
        <v>#REF!</v>
      </c>
      <c r="CW75" s="170" t="e">
        <f ca="1">-#REF!+#REF! +Rezone!R75 + IF("Ch_" &amp; home_land=#REF!,#REF!)+IF(#REF!&gt;12,OFFSET(#REF!,-12,0),0)</f>
        <v>#REF!</v>
      </c>
      <c r="CX75" s="3" t="e">
        <f>IF(Explore!S75=1,20) -#REF! +#REF!</f>
        <v>#REF!</v>
      </c>
      <c r="CY75" s="134"/>
      <c r="CZ75" s="39" t="e">
        <f t="shared" ca="1" si="12"/>
        <v>#REF!</v>
      </c>
      <c r="DA75" s="39" t="e">
        <f t="shared" ca="1" si="13"/>
        <v>#REF!</v>
      </c>
      <c r="DB75" s="3" t="e">
        <f t="shared" ca="1" si="14"/>
        <v>#REF!</v>
      </c>
      <c r="DC75" s="39" t="e">
        <f t="shared" ca="1" si="15"/>
        <v>#REF!</v>
      </c>
      <c r="DD75" s="39" t="e">
        <f t="shared" ca="1" si="16"/>
        <v>#REF!</v>
      </c>
      <c r="DE75" s="3" t="e">
        <f t="shared" ca="1" si="17"/>
        <v>#REF!</v>
      </c>
      <c r="DF75" s="39" t="e">
        <f t="shared" ca="1" si="18"/>
        <v>#REF!</v>
      </c>
      <c r="DG75" s="39" t="e">
        <f t="array" ref="DG75">INDEX(#REF!,ROW()-ROW(#REF!),MATCH("Total "&amp;home_land,#REF!,0))+#REF!</f>
        <v>#REF!</v>
      </c>
      <c r="DH75" s="3" t="e">
        <f t="shared" ca="1" si="10"/>
        <v>#REF!</v>
      </c>
      <c r="DI75" s="3" t="e">
        <f t="shared" ca="1" si="19"/>
        <v>#REF!</v>
      </c>
      <c r="DJ75" s="3" t="e">
        <f t="shared" ca="1" si="20"/>
        <v>#REF!</v>
      </c>
    </row>
    <row r="76" spans="1:114" ht="13" x14ac:dyDescent="0.3">
      <c r="A76" s="177" t="e">
        <f>#REF!</f>
        <v>#REF!</v>
      </c>
      <c r="B76" s="178" t="e">
        <f>SUM(#REF!)</f>
        <v>#REF!</v>
      </c>
      <c r="C76" s="179" t="e">
        <f>SUM(#REF!)</f>
        <v>#REF!</v>
      </c>
      <c r="D76" s="179">
        <f t="shared" ref="D76:D131" si="21">SUM(O65:AG76)</f>
        <v>0</v>
      </c>
      <c r="E76" s="180"/>
      <c r="F76" s="181" t="e">
        <f>#REF!+#REF!+#REF!</f>
        <v>#REF!</v>
      </c>
      <c r="G76" s="182" t="e">
        <f ca="1">OFFSET(#REF!,-1,0)+#REF!</f>
        <v>#REF!</v>
      </c>
      <c r="H76" s="183" t="e">
        <f ca="1">OFFSET(#REF!,-1,0)+#REF!</f>
        <v>#REF!</v>
      </c>
      <c r="I76" s="342" t="e">
        <f ca="1">OFFSET(#REF!,-1,0)+#REF!</f>
        <v>#REF!</v>
      </c>
      <c r="J76" s="346" t="e">
        <f ca="1">OFFSET(#REF!,-1,0)+#REF!</f>
        <v>#REF!</v>
      </c>
      <c r="K76" s="350" t="e">
        <f ca="1">OFFSET(#REF!,-1,0)+#REF!</f>
        <v>#REF!</v>
      </c>
      <c r="L76" s="186" t="e">
        <f ca="1">OFFSET(#REF!,-1,0)+#REF!</f>
        <v>#REF!</v>
      </c>
      <c r="M76" s="187" t="e">
        <f ca="1">OFFSET(#REF!,-1,0)+#REF!</f>
        <v>#REF!</v>
      </c>
      <c r="N76" s="340" t="e">
        <f>#REF!</f>
        <v>#REF!</v>
      </c>
      <c r="O76" s="188"/>
      <c r="P76" s="188"/>
      <c r="Q76" s="188"/>
      <c r="R76" s="188"/>
      <c r="S76" s="188"/>
      <c r="T76" s="188"/>
      <c r="U76" s="188"/>
      <c r="V76" s="188"/>
      <c r="W76" s="188"/>
      <c r="X76" s="188"/>
      <c r="Y76" s="188"/>
      <c r="Z76" s="188"/>
      <c r="AA76" s="188"/>
      <c r="AB76" s="188"/>
      <c r="AC76" s="188"/>
      <c r="AD76" s="188"/>
      <c r="AE76" s="188"/>
      <c r="AF76" s="188"/>
      <c r="AG76" s="188"/>
      <c r="AH76" s="189" t="e">
        <f>#REF!</f>
        <v>#REF!</v>
      </c>
      <c r="AI76" s="190" t="e">
        <f>MIN(25%,(#REF!+#REF!)/(#REF!-#REF!*20))</f>
        <v>#REF!</v>
      </c>
      <c r="AJ76" s="190" t="e">
        <f>MIN(25%,(#REF!+#REF!)/#REF!)</f>
        <v>#REF!</v>
      </c>
      <c r="AK76" s="191" t="e">
        <f>#REF!</f>
        <v>#REF!</v>
      </c>
      <c r="AL76" s="191" t="e">
        <f>#REF!</f>
        <v>#REF!</v>
      </c>
      <c r="AM76" s="191" t="e">
        <f>ROUNDDOWN( MAX((1 - MIN(facs_constr_factor*#REF!,facs_constr_max) + tech_2_3*#REF! + tech_2_6_2*#REF! + tech_2_10*#REF! + tech_4_6*#REF! + tech_6_3*#REF! + tech_9_2*#REF! + race_construction_cost), 1-global_constr_cap) *#REF!,0)</f>
        <v>#REF!</v>
      </c>
      <c r="AN76" s="191" t="e">
        <f>ROUNDDOWN( MAX(1 - MIN(facs_constr_factor*#REF!,facs_constr_max) + tech_1_11*#REF! + tech_6_3_2*#REF! + tech_5_2_3*#REF!, 1-global_constr_cap) *#REF!,0)</f>
        <v>#REF!</v>
      </c>
      <c r="AO76" s="191" t="e">
        <f>ROUNDDOWN( MAX((1 - MIN(facs_constr_factor*#REF!,facs_constr_max) + tech_2_3*#REF! + tech_2_6_2*#REF! + tech_2_10*#REF! + tech_4_6*#REF! + tech_6_3*#REF! + tech_9_2*#REF! + race_construction_cost), 1-global_constr_cap) * (ROUND((#REF!-250)*1.25 + 850 + 0,0)),0)</f>
        <v>#REF!</v>
      </c>
      <c r="AP76" s="191" t="e">
        <f>ROUNDDOWN( MAX(1 - MIN(facs_constr_factor*#REF!,facs_constr_max) + tech_1_11*#REF! + tech_6_3_2*#REF! + tech_5_2_3*#REF!, 1-global_constr_cap) * ROUND((#REF!-250)*0.285 + 87.5 + 0/4.25,0),0)</f>
        <v>#REF!</v>
      </c>
      <c r="AQ76" s="3" t="e">
        <f>#REF!*#REF! +#REF! *#REF!</f>
        <v>#REF!</v>
      </c>
      <c r="AR76" s="3" t="e">
        <f>#REF!*#REF!+#REF!*#REF!</f>
        <v>#REF!</v>
      </c>
      <c r="AS76" s="191" t="e">
        <f ca="1">MIN(SUM(OFFSET(#REF!,-1,0))+SUM(#REF!)+IF(#REF!&gt;12,SUM(OFFSET(#REF!,-12,0)),0),SUM(#REF!))</f>
        <v>#REF!</v>
      </c>
      <c r="AT76" s="3" t="e">
        <f ca="1">IF(#REF!&lt;&gt;0,MAX(0, MIN(20, 20 + SUM(#REF!) - SUM(#REF!) - SUM(OFFSET(#REF!,-1,0)) - IF(#REF!&gt;12,SUM(OFFSET(#REF!,-12,0)),0) - 20*#REF!)),0)</f>
        <v>#REF!</v>
      </c>
      <c r="AU76" s="140"/>
      <c r="AV76" s="191" t="e">
        <f>ROUND((#REF!-250 - IF(#REF!&lt;&gt;0,20,0))*1.25 + 850 + 0,0)</f>
        <v>#REF!</v>
      </c>
      <c r="AW76" s="191" t="e">
        <f>ROUND((#REF!-250 - IF(#REF!&lt;&gt;0,20,0))*0.285 + 87.5 + 0/4.25,0)</f>
        <v>#REF!</v>
      </c>
      <c r="AX76" s="150"/>
      <c r="AY76" s="193" t="e">
        <f t="array" aca="1" ref="AY76" ca="1">IF(#REF!&gt;12,OFFSET(#REF!,-12,0),0)+OFFSET(#REF!,-1,0)-#REF!</f>
        <v>#REF!</v>
      </c>
      <c r="AZ76" s="194" t="e">
        <f t="array" aca="1" ref="AZ76" ca="1">IF(#REF!&gt;12,OFFSET(#REF!,-12,0),0)+OFFSET(#REF!,-1,0)-#REF!</f>
        <v>#REF!</v>
      </c>
      <c r="BA76" s="194" t="e">
        <f t="array" aca="1" ref="BA76" ca="1">IF(#REF!&gt;12,OFFSET(#REF!,-12,0),0)+OFFSET(#REF!,-1,0)-#REF!</f>
        <v>#REF!</v>
      </c>
      <c r="BB76" s="194" t="e">
        <f t="array" aca="1" ref="BB76" ca="1">IF(#REF!&gt;12,OFFSET(#REF!,-12,0),0)+OFFSET(#REF!,-1,0)-#REF!</f>
        <v>#REF!</v>
      </c>
      <c r="BC76" s="194" t="e">
        <f t="array" aca="1" ref="BC76" ca="1">IF(#REF!&gt;12,OFFSET(#REF!,-12,0),0)+OFFSET(#REF!,-1,0)-#REF!</f>
        <v>#REF!</v>
      </c>
      <c r="BD76" s="195" t="e">
        <f t="array" aca="1" ref="BD76" ca="1">IF(#REF!&gt;12,OFFSET(#REF!,-12,0),0)+OFFSET(#REF!,-1,0)-#REF!</f>
        <v>#REF!</v>
      </c>
      <c r="BE76" s="195" t="e">
        <f t="array" aca="1" ref="BE76" ca="1">IF(#REF!&gt;12,OFFSET(#REF!,-12,0),0)+OFFSET(#REF!,-1,0)-#REF!</f>
        <v>#REF!</v>
      </c>
      <c r="BF76" s="344" t="e">
        <f t="array" aca="1" ref="BF76" ca="1">IF(#REF!&gt;12,OFFSET(#REF!,-12,0),0)+OFFSET(#REF!,-1,0)-#REF!</f>
        <v>#REF!</v>
      </c>
      <c r="BG76" s="343" t="e">
        <f t="array" aca="1" ref="BG76" ca="1">IF(#REF!&gt;12,OFFSET(#REF!,-12,0),0)+OFFSET(#REF!,-1,0)-#REF!</f>
        <v>#REF!</v>
      </c>
      <c r="BH76" s="348" t="e">
        <f t="array" aca="1" ref="BH76" ca="1">IF(#REF!&gt;12,OFFSET(#REF!,-12,0),0)+OFFSET(#REF!,-1,0)-#REF!</f>
        <v>#REF!</v>
      </c>
      <c r="BI76" s="348" t="e">
        <f t="array" aca="1" ref="BI76" ca="1">IF(#REF!&gt;12,OFFSET(#REF!,-12,0),0)+OFFSET(#REF!,-1,0)-#REF!</f>
        <v>#REF!</v>
      </c>
      <c r="BJ76" s="348" t="e">
        <f t="array" aca="1" ref="BJ76" ca="1">IF(#REF!&gt;12,OFFSET(#REF!,-12,0),0)+OFFSET(#REF!,-1,0)-#REF!</f>
        <v>#REF!</v>
      </c>
      <c r="BK76" s="348" t="e">
        <f t="array" aca="1" ref="BK76" ca="1">IF(#REF!&gt;12,OFFSET(#REF!,-12,0),0)+OFFSET(#REF!,-1,0)-#REF!</f>
        <v>#REF!</v>
      </c>
      <c r="BL76" s="352" t="e">
        <f t="array" aca="1" ref="BL76" ca="1">IF(#REF!&gt;12,OFFSET(#REF!,-12,0),0)+OFFSET(#REF!,-1,0)-#REF!</f>
        <v>#REF!</v>
      </c>
      <c r="BM76" s="352" t="e">
        <f t="array" aca="1" ref="BM76" ca="1">IF(#REF!&gt;12,OFFSET(#REF!,-12,0),0)+OFFSET(#REF!,-1,0)-#REF!</f>
        <v>#REF!</v>
      </c>
      <c r="BN76" s="352" t="e">
        <f t="array" aca="1" ref="BN76" ca="1">IF(#REF!&gt;12,OFFSET(#REF!,-12,0),0)+OFFSET(#REF!,-1,0)-#REF!</f>
        <v>#REF!</v>
      </c>
      <c r="BO76" s="196" t="e">
        <f t="array" aca="1" ref="BO76" ca="1">IF(#REF!&gt;12,OFFSET(#REF!,-12,0),0)+OFFSET(#REF!,-1,0)-#REF!</f>
        <v>#REF!</v>
      </c>
      <c r="BP76" s="196" t="e">
        <f t="array" aca="1" ref="BP76" ca="1">IF(#REF!&gt;12,OFFSET(#REF!,-12,0),0)+OFFSET(#REF!,-1,0)-#REF!</f>
        <v>#REF!</v>
      </c>
      <c r="BQ76" s="197" t="e">
        <f t="array" aca="1" ref="BQ76" ca="1">IF(#REF!&gt;12,OFFSET(#REF!,-12,0),0)+OFFSET(#REF!,-1,0)-#REF!</f>
        <v>#REF!</v>
      </c>
      <c r="BR76" s="140"/>
      <c r="BS76" s="150"/>
      <c r="BT76" s="191" t="e">
        <f>#REF!</f>
        <v>#REF!</v>
      </c>
      <c r="BU76" s="198" t="e">
        <f>#REF!</f>
        <v>#REF!</v>
      </c>
      <c r="BV76" s="140"/>
      <c r="BW76" s="188"/>
      <c r="BX76" s="188"/>
      <c r="BY76" s="188"/>
      <c r="BZ76" s="188"/>
      <c r="CA76" s="188"/>
      <c r="CB76" s="188"/>
      <c r="CC76" s="188"/>
      <c r="CD76" s="188"/>
      <c r="CE76" s="188"/>
      <c r="CF76" s="188"/>
      <c r="CG76" s="188"/>
      <c r="CH76" s="188"/>
      <c r="CI76" s="188"/>
      <c r="CJ76" s="188"/>
      <c r="CK76" s="188"/>
      <c r="CL76" s="188"/>
      <c r="CM76" s="188"/>
      <c r="CN76" s="188"/>
      <c r="CO76" s="188"/>
      <c r="CP76" s="140"/>
      <c r="CQ76" s="199" t="e">
        <f ca="1">-SUM(#REF!)+SUM(#REF!)+Rezone!L76+IF("Ch_"&amp; home_land=#REF!,#REF!)+IF(#REF!&gt;12,OFFSET(#REF!,-12,0),0)</f>
        <v>#REF!</v>
      </c>
      <c r="CR76" s="183" t="e">
        <f ca="1">-SUM(#REF!)+SUM(#REF!) +Rezone!M76 + IF("Ch_"&amp; home_land=#REF!,#REF!)+IF(#REF!&gt;12,OFFSET(#REF!,-12,0),0)</f>
        <v>#REF!</v>
      </c>
      <c r="CS76" s="342" t="e">
        <f ca="1">-SUM(#REF!)+SUM(#REF!) +Rezone!N76 + IF("Ch_"&amp; home_land=#REF!,#REF!)+IF(#REF!&gt;12,OFFSET(#REF!,-12,0),0)</f>
        <v>#REF!</v>
      </c>
      <c r="CT76" s="184" t="e">
        <f ca="1">-SUM(#REF!)+SUM(#REF!) +Rezone!O76 + IF("Ch_" &amp; home_land=#REF!,#REF!)+IF(#REF!&gt;12,OFFSET(#REF!,-12,0),0)</f>
        <v>#REF!</v>
      </c>
      <c r="CU76" s="185" t="e">
        <f ca="1">-SUM(#REF!)+SUM(#REF!) +Rezone!P76 + IF("Ch_" &amp; home_land=#REF!,#REF!)+IF(#REF!&gt;12,OFFSET(#REF!,-12,0),0)</f>
        <v>#REF!</v>
      </c>
      <c r="CV76" s="186" t="e">
        <f ca="1">- SUM(#REF!)+SUM(#REF!) +Rezone!Q76 + IF("Ch_" &amp; home_land=#REF!,#REF!)+IF(#REF!&gt;12,OFFSET(#REF!,-12,0),0)</f>
        <v>#REF!</v>
      </c>
      <c r="CW76" s="187" t="e">
        <f ca="1">-#REF!+#REF! +Rezone!R76 + IF("Ch_" &amp; home_land=#REF!,#REF!)+IF(#REF!&gt;12,OFFSET(#REF!,-12,0),0)</f>
        <v>#REF!</v>
      </c>
      <c r="CX76" s="192" t="e">
        <f>IF(Explore!S76=1,20) -#REF! +#REF!</f>
        <v>#REF!</v>
      </c>
      <c r="CY76" s="140"/>
      <c r="CZ76" s="191" t="e">
        <f t="shared" ca="1" si="12"/>
        <v>#REF!</v>
      </c>
      <c r="DA76" s="191" t="e">
        <f t="shared" ca="1" si="13"/>
        <v>#REF!</v>
      </c>
      <c r="DB76" s="192" t="e">
        <f t="shared" ca="1" si="14"/>
        <v>#REF!</v>
      </c>
      <c r="DC76" s="191" t="e">
        <f t="shared" ca="1" si="15"/>
        <v>#REF!</v>
      </c>
      <c r="DD76" s="191" t="e">
        <f t="shared" ca="1" si="16"/>
        <v>#REF!</v>
      </c>
      <c r="DE76" s="192" t="e">
        <f t="shared" ca="1" si="17"/>
        <v>#REF!</v>
      </c>
      <c r="DF76" s="191" t="e">
        <f t="shared" ca="1" si="18"/>
        <v>#REF!</v>
      </c>
      <c r="DG76" s="191" t="e">
        <f t="array" ref="DG76">INDEX(#REF!,ROW()-ROW(#REF!),MATCH("Total "&amp;home_land,#REF!,0))+#REF!</f>
        <v>#REF!</v>
      </c>
      <c r="DH76" s="192" t="e">
        <f t="shared" ref="DH76:DH131" ca="1" si="22">SUM(O65:O76)+AY76</f>
        <v>#REF!</v>
      </c>
      <c r="DI76" s="192" t="e">
        <f t="shared" ca="1" si="19"/>
        <v>#REF!</v>
      </c>
      <c r="DJ76" s="192" t="e">
        <f t="shared" ca="1" si="20"/>
        <v>#REF!</v>
      </c>
    </row>
    <row r="77" spans="1:114" x14ac:dyDescent="0.25">
      <c r="A77" s="160" t="e">
        <f>#REF!</f>
        <v>#REF!</v>
      </c>
      <c r="B77" s="161" t="e">
        <f>SUM(#REF!)</f>
        <v>#REF!</v>
      </c>
      <c r="C77" s="162" t="e">
        <f>SUM(#REF!)</f>
        <v>#REF!</v>
      </c>
      <c r="D77" s="162">
        <f t="shared" si="21"/>
        <v>0</v>
      </c>
      <c r="E77" s="163"/>
      <c r="F77" s="61" t="e">
        <f>#REF!+#REF!+#REF!</f>
        <v>#REF!</v>
      </c>
      <c r="G77" s="171" t="e">
        <f ca="1">OFFSET(#REF!,-1,0)+#REF!</f>
        <v>#REF!</v>
      </c>
      <c r="H77" s="166" t="e">
        <f ca="1">OFFSET(#REF!,-1,0)+#REF!</f>
        <v>#REF!</v>
      </c>
      <c r="I77" s="341" t="e">
        <f ca="1">OFFSET(#REF!,-1,0)+#REF!</f>
        <v>#REF!</v>
      </c>
      <c r="J77" s="345" t="e">
        <f ca="1">OFFSET(#REF!,-1,0)+#REF!</f>
        <v>#REF!</v>
      </c>
      <c r="K77" s="349" t="e">
        <f ca="1">OFFSET(#REF!,-1,0)+#REF!</f>
        <v>#REF!</v>
      </c>
      <c r="L77" s="169" t="e">
        <f ca="1">OFFSET(#REF!,-1,0)+#REF!</f>
        <v>#REF!</v>
      </c>
      <c r="M77" s="170" t="e">
        <f ca="1">OFFSET(#REF!,-1,0)+#REF!</f>
        <v>#REF!</v>
      </c>
      <c r="N77" s="339" t="e">
        <f>#REF!</f>
        <v>#REF!</v>
      </c>
      <c r="O77" s="164"/>
      <c r="P77" s="164"/>
      <c r="Q77" s="164"/>
      <c r="R77" s="164"/>
      <c r="S77" s="164"/>
      <c r="T77" s="164"/>
      <c r="U77" s="164"/>
      <c r="V77" s="164"/>
      <c r="W77" s="164"/>
      <c r="X77" s="164"/>
      <c r="Y77" s="164"/>
      <c r="Z77" s="164"/>
      <c r="AA77" s="164"/>
      <c r="AB77" s="164"/>
      <c r="AC77" s="164"/>
      <c r="AD77" s="164"/>
      <c r="AE77" s="164"/>
      <c r="AF77" s="164"/>
      <c r="AG77" s="164"/>
      <c r="AH77" s="53" t="e">
        <f>#REF!</f>
        <v>#REF!</v>
      </c>
      <c r="AI77" s="132" t="e">
        <f>MIN(25%,(#REF!+#REF!)/(#REF!-#REF!*20))</f>
        <v>#REF!</v>
      </c>
      <c r="AJ77" s="132" t="e">
        <f>MIN(25%,(#REF!+#REF!)/#REF!)</f>
        <v>#REF!</v>
      </c>
      <c r="AK77" s="39" t="e">
        <f>#REF!</f>
        <v>#REF!</v>
      </c>
      <c r="AL77" s="39" t="e">
        <f>#REF!</f>
        <v>#REF!</v>
      </c>
      <c r="AM77" s="39" t="e">
        <f>ROUNDDOWN( MAX((1 - MIN(facs_constr_factor*#REF!,facs_constr_max) + tech_2_3*#REF! + tech_2_6_2*#REF! + tech_2_10*#REF! + tech_4_6*#REF! + tech_6_3*#REF! + tech_9_2*#REF! + race_construction_cost), 1-global_constr_cap) *#REF!,0)</f>
        <v>#REF!</v>
      </c>
      <c r="AN77" s="39" t="e">
        <f>ROUNDDOWN( MAX(1 - MIN(facs_constr_factor*#REF!,facs_constr_max) + tech_1_11*#REF! + tech_6_3_2*#REF! + tech_5_2_3*#REF!, 1-global_constr_cap) *#REF!,0)</f>
        <v>#REF!</v>
      </c>
      <c r="AO77" s="39" t="e">
        <f>ROUNDDOWN( MAX((1 - MIN(facs_constr_factor*#REF!,facs_constr_max) + tech_2_3*#REF! + tech_2_6_2*#REF! + tech_2_10*#REF! + tech_4_6*#REF! + tech_6_3*#REF! + tech_9_2*#REF! + race_construction_cost), 1-global_constr_cap) * (ROUND((#REF!-250)*1.25 + 850 + 0,0)),0)</f>
        <v>#REF!</v>
      </c>
      <c r="AP77" s="39" t="e">
        <f>ROUNDDOWN( MAX(1 - MIN(facs_constr_factor*#REF!,facs_constr_max) + tech_1_11*#REF! + tech_6_3_2*#REF! + tech_5_2_3*#REF!, 1-global_constr_cap) * ROUND((#REF!-250)*0.285 + 87.5 + 0/4.25,0),0)</f>
        <v>#REF!</v>
      </c>
      <c r="AQ77" s="3" t="e">
        <f>#REF!*#REF! +#REF! *#REF!</f>
        <v>#REF!</v>
      </c>
      <c r="AR77" s="3" t="e">
        <f>#REF!*#REF!+#REF!*#REF!</f>
        <v>#REF!</v>
      </c>
      <c r="AS77" s="39" t="e">
        <f ca="1">MIN(SUM(OFFSET(#REF!,-1,0))+SUM(#REF!)+IF(#REF!&gt;12,SUM(OFFSET(#REF!,-12,0)),0),SUM(#REF!))</f>
        <v>#REF!</v>
      </c>
      <c r="AT77" s="3" t="e">
        <f ca="1">IF(#REF!&lt;&gt;0,MAX(0, MIN(20, 20 + SUM(#REF!) - SUM(#REF!) - SUM(OFFSET(#REF!,-1,0)) - IF(#REF!&gt;12,SUM(OFFSET(#REF!,-12,0)),0) - 20*#REF!)),0)</f>
        <v>#REF!</v>
      </c>
      <c r="AU77" s="134"/>
      <c r="AV77" s="39" t="e">
        <f>ROUND((#REF!-250 - IF(#REF!&lt;&gt;0,20,0))*1.25 + 850 + 0,0)</f>
        <v>#REF!</v>
      </c>
      <c r="AW77" s="39" t="e">
        <f>ROUND((#REF!-250 - IF(#REF!&lt;&gt;0,20,0))*0.285 + 87.5 + 0/4.25,0)</f>
        <v>#REF!</v>
      </c>
      <c r="AX77" s="133"/>
      <c r="AY77" s="172" t="e">
        <f t="array" aca="1" ref="AY77" ca="1">IF(#REF!&gt;12,OFFSET(#REF!,-12,0),0)+OFFSET(#REF!,-1,0)-#REF!</f>
        <v>#REF!</v>
      </c>
      <c r="AZ77" s="173" t="e">
        <f t="array" aca="1" ref="AZ77" ca="1">IF(#REF!&gt;12,OFFSET(#REF!,-12,0),0)+OFFSET(#REF!,-1,0)-#REF!</f>
        <v>#REF!</v>
      </c>
      <c r="BA77" s="173" t="e">
        <f t="array" aca="1" ref="BA77" ca="1">IF(#REF!&gt;12,OFFSET(#REF!,-12,0),0)+OFFSET(#REF!,-1,0)-#REF!</f>
        <v>#REF!</v>
      </c>
      <c r="BB77" s="173" t="e">
        <f t="array" aca="1" ref="BB77" ca="1">IF(#REF!&gt;12,OFFSET(#REF!,-12,0),0)+OFFSET(#REF!,-1,0)-#REF!</f>
        <v>#REF!</v>
      </c>
      <c r="BC77" s="173" t="e">
        <f t="array" aca="1" ref="BC77" ca="1">IF(#REF!&gt;12,OFFSET(#REF!,-12,0),0)+OFFSET(#REF!,-1,0)-#REF!</f>
        <v>#REF!</v>
      </c>
      <c r="BD77" s="174" t="e">
        <f t="array" aca="1" ref="BD77" ca="1">IF(#REF!&gt;12,OFFSET(#REF!,-12,0),0)+OFFSET(#REF!,-1,0)-#REF!</f>
        <v>#REF!</v>
      </c>
      <c r="BE77" s="174" t="e">
        <f t="array" aca="1" ref="BE77" ca="1">IF(#REF!&gt;12,OFFSET(#REF!,-12,0),0)+OFFSET(#REF!,-1,0)-#REF!</f>
        <v>#REF!</v>
      </c>
      <c r="BF77" s="343" t="e">
        <f t="array" aca="1" ref="BF77" ca="1">IF(#REF!&gt;12,OFFSET(#REF!,-12,0),0)+OFFSET(#REF!,-1,0)-#REF!</f>
        <v>#REF!</v>
      </c>
      <c r="BG77" s="343" t="e">
        <f t="array" aca="1" ref="BG77" ca="1">IF(#REF!&gt;12,OFFSET(#REF!,-12,0),0)+OFFSET(#REF!,-1,0)-#REF!</f>
        <v>#REF!</v>
      </c>
      <c r="BH77" s="347" t="e">
        <f t="array" aca="1" ref="BH77" ca="1">IF(#REF!&gt;12,OFFSET(#REF!,-12,0),0)+OFFSET(#REF!,-1,0)-#REF!</f>
        <v>#REF!</v>
      </c>
      <c r="BI77" s="347" t="e">
        <f t="array" aca="1" ref="BI77" ca="1">IF(#REF!&gt;12,OFFSET(#REF!,-12,0),0)+OFFSET(#REF!,-1,0)-#REF!</f>
        <v>#REF!</v>
      </c>
      <c r="BJ77" s="347" t="e">
        <f t="array" aca="1" ref="BJ77" ca="1">IF(#REF!&gt;12,OFFSET(#REF!,-12,0),0)+OFFSET(#REF!,-1,0)-#REF!</f>
        <v>#REF!</v>
      </c>
      <c r="BK77" s="347" t="e">
        <f t="array" aca="1" ref="BK77" ca="1">IF(#REF!&gt;12,OFFSET(#REF!,-12,0),0)+OFFSET(#REF!,-1,0)-#REF!</f>
        <v>#REF!</v>
      </c>
      <c r="BL77" s="351" t="e">
        <f t="array" aca="1" ref="BL77" ca="1">IF(#REF!&gt;12,OFFSET(#REF!,-12,0),0)+OFFSET(#REF!,-1,0)-#REF!</f>
        <v>#REF!</v>
      </c>
      <c r="BM77" s="351" t="e">
        <f t="array" aca="1" ref="BM77" ca="1">IF(#REF!&gt;12,OFFSET(#REF!,-12,0),0)+OFFSET(#REF!,-1,0)-#REF!</f>
        <v>#REF!</v>
      </c>
      <c r="BN77" s="351" t="e">
        <f t="array" aca="1" ref="BN77" ca="1">IF(#REF!&gt;12,OFFSET(#REF!,-12,0),0)+OFFSET(#REF!,-1,0)-#REF!</f>
        <v>#REF!</v>
      </c>
      <c r="BO77" s="175" t="e">
        <f t="array" aca="1" ref="BO77" ca="1">IF(#REF!&gt;12,OFFSET(#REF!,-12,0),0)+OFFSET(#REF!,-1,0)-#REF!</f>
        <v>#REF!</v>
      </c>
      <c r="BP77" s="175" t="e">
        <f t="array" aca="1" ref="BP77" ca="1">IF(#REF!&gt;12,OFFSET(#REF!,-12,0),0)+OFFSET(#REF!,-1,0)-#REF!</f>
        <v>#REF!</v>
      </c>
      <c r="BQ77" s="176" t="e">
        <f t="array" aca="1" ref="BQ77" ca="1">IF(#REF!&gt;12,OFFSET(#REF!,-12,0),0)+OFFSET(#REF!,-1,0)-#REF!</f>
        <v>#REF!</v>
      </c>
      <c r="BR77" s="134"/>
      <c r="BS77" s="133"/>
      <c r="BT77" s="39" t="e">
        <f>#REF!</f>
        <v>#REF!</v>
      </c>
      <c r="BU77" s="147" t="e">
        <f>#REF!</f>
        <v>#REF!</v>
      </c>
      <c r="BV77" s="134"/>
      <c r="BW77" s="164"/>
      <c r="BX77" s="164"/>
      <c r="BY77" s="164"/>
      <c r="BZ77" s="164"/>
      <c r="CA77" s="164"/>
      <c r="CB77" s="164"/>
      <c r="CC77" s="164"/>
      <c r="CD77" s="164"/>
      <c r="CE77" s="164"/>
      <c r="CF77" s="164"/>
      <c r="CG77" s="164"/>
      <c r="CH77" s="164"/>
      <c r="CI77" s="164"/>
      <c r="CJ77" s="164"/>
      <c r="CK77" s="164"/>
      <c r="CL77" s="164"/>
      <c r="CM77" s="164"/>
      <c r="CN77" s="164"/>
      <c r="CO77" s="164"/>
      <c r="CP77" s="134"/>
      <c r="CQ77" s="165" t="e">
        <f ca="1">-SUM(#REF!)+SUM(#REF!)+Rezone!L77+IF("Ch_"&amp; home_land=#REF!,#REF!)+IF(#REF!&gt;12,OFFSET(#REF!,-12,0),0)</f>
        <v>#REF!</v>
      </c>
      <c r="CR77" s="166" t="e">
        <f ca="1">-SUM(#REF!)+SUM(#REF!) +Rezone!M77 + IF("Ch_"&amp; home_land=#REF!,#REF!)+IF(#REF!&gt;12,OFFSET(#REF!,-12,0),0)</f>
        <v>#REF!</v>
      </c>
      <c r="CS77" s="341" t="e">
        <f ca="1">-SUM(#REF!)+SUM(#REF!) +Rezone!N77 + IF("Ch_"&amp; home_land=#REF!,#REF!)+IF(#REF!&gt;12,OFFSET(#REF!,-12,0),0)</f>
        <v>#REF!</v>
      </c>
      <c r="CT77" s="167" t="e">
        <f ca="1">-SUM(#REF!)+SUM(#REF!) +Rezone!O77 + IF("Ch_" &amp; home_land=#REF!,#REF!)+IF(#REF!&gt;12,OFFSET(#REF!,-12,0),0)</f>
        <v>#REF!</v>
      </c>
      <c r="CU77" s="168" t="e">
        <f ca="1">-SUM(#REF!)+SUM(#REF!) +Rezone!P77 + IF("Ch_" &amp; home_land=#REF!,#REF!)+IF(#REF!&gt;12,OFFSET(#REF!,-12,0),0)</f>
        <v>#REF!</v>
      </c>
      <c r="CV77" s="169" t="e">
        <f ca="1">- SUM(#REF!)+SUM(#REF!) +Rezone!Q77 + IF("Ch_" &amp; home_land=#REF!,#REF!)+IF(#REF!&gt;12,OFFSET(#REF!,-12,0),0)</f>
        <v>#REF!</v>
      </c>
      <c r="CW77" s="170" t="e">
        <f ca="1">-#REF!+#REF! +Rezone!R77 + IF("Ch_" &amp; home_land=#REF!,#REF!)+IF(#REF!&gt;12,OFFSET(#REF!,-12,0),0)</f>
        <v>#REF!</v>
      </c>
      <c r="CX77" s="3" t="e">
        <f>IF(Explore!S77=1,20) -#REF! +#REF!</f>
        <v>#REF!</v>
      </c>
      <c r="CY77" s="134"/>
      <c r="CZ77" s="39" t="e">
        <f t="shared" ca="1" si="12"/>
        <v>#REF!</v>
      </c>
      <c r="DA77" s="39" t="e">
        <f t="shared" ca="1" si="13"/>
        <v>#REF!</v>
      </c>
      <c r="DB77" s="3" t="e">
        <f t="shared" ca="1" si="14"/>
        <v>#REF!</v>
      </c>
      <c r="DC77" s="39" t="e">
        <f t="shared" ca="1" si="15"/>
        <v>#REF!</v>
      </c>
      <c r="DD77" s="39" t="e">
        <f t="shared" ca="1" si="16"/>
        <v>#REF!</v>
      </c>
      <c r="DE77" s="3" t="e">
        <f t="shared" ca="1" si="17"/>
        <v>#REF!</v>
      </c>
      <c r="DF77" s="39" t="e">
        <f t="shared" ca="1" si="18"/>
        <v>#REF!</v>
      </c>
      <c r="DG77" s="39" t="e">
        <f t="array" ref="DG77">INDEX(#REF!,ROW()-ROW(#REF!),MATCH("Total "&amp;home_land,#REF!,0))+#REF!</f>
        <v>#REF!</v>
      </c>
      <c r="DH77" s="3" t="e">
        <f t="shared" ca="1" si="22"/>
        <v>#REF!</v>
      </c>
      <c r="DI77" s="39" t="e">
        <f t="shared" ca="1" si="19"/>
        <v>#REF!</v>
      </c>
      <c r="DJ77" s="3" t="e">
        <f t="shared" ca="1" si="20"/>
        <v>#REF!</v>
      </c>
    </row>
    <row r="78" spans="1:114" x14ac:dyDescent="0.25">
      <c r="A78" s="160" t="e">
        <f>#REF!</f>
        <v>#REF!</v>
      </c>
      <c r="B78" s="161" t="e">
        <f>SUM(#REF!)</f>
        <v>#REF!</v>
      </c>
      <c r="C78" s="162" t="e">
        <f>SUM(#REF!)</f>
        <v>#REF!</v>
      </c>
      <c r="D78" s="162">
        <f t="shared" si="21"/>
        <v>0</v>
      </c>
      <c r="E78" s="163"/>
      <c r="F78" s="61" t="e">
        <f>#REF!+#REF!+#REF!</f>
        <v>#REF!</v>
      </c>
      <c r="G78" s="171" t="e">
        <f ca="1">OFFSET(#REF!,-1,0)+#REF!</f>
        <v>#REF!</v>
      </c>
      <c r="H78" s="166" t="e">
        <f ca="1">OFFSET(#REF!,-1,0)+#REF!</f>
        <v>#REF!</v>
      </c>
      <c r="I78" s="341" t="e">
        <f ca="1">OFFSET(#REF!,-1,0)+#REF!</f>
        <v>#REF!</v>
      </c>
      <c r="J78" s="345" t="e">
        <f ca="1">OFFSET(#REF!,-1,0)+#REF!</f>
        <v>#REF!</v>
      </c>
      <c r="K78" s="349" t="e">
        <f ca="1">OFFSET(#REF!,-1,0)+#REF!</f>
        <v>#REF!</v>
      </c>
      <c r="L78" s="169" t="e">
        <f ca="1">OFFSET(#REF!,-1,0)+#REF!</f>
        <v>#REF!</v>
      </c>
      <c r="M78" s="170" t="e">
        <f ca="1">OFFSET(#REF!,-1,0)+#REF!</f>
        <v>#REF!</v>
      </c>
      <c r="N78" s="339" t="e">
        <f>#REF!</f>
        <v>#REF!</v>
      </c>
      <c r="O78" s="164"/>
      <c r="P78" s="164"/>
      <c r="Q78" s="164"/>
      <c r="R78" s="164"/>
      <c r="S78" s="164"/>
      <c r="T78" s="164"/>
      <c r="U78" s="164"/>
      <c r="V78" s="164"/>
      <c r="W78" s="164"/>
      <c r="X78" s="164"/>
      <c r="Y78" s="164"/>
      <c r="Z78" s="164"/>
      <c r="AA78" s="164"/>
      <c r="AB78" s="164"/>
      <c r="AC78" s="164"/>
      <c r="AD78" s="164"/>
      <c r="AE78" s="164"/>
      <c r="AF78" s="164"/>
      <c r="AG78" s="164"/>
      <c r="AH78" s="53" t="e">
        <f>#REF!</f>
        <v>#REF!</v>
      </c>
      <c r="AI78" s="132" t="e">
        <f>MIN(25%,(#REF!+#REF!)/(#REF!-#REF!*20))</f>
        <v>#REF!</v>
      </c>
      <c r="AJ78" s="132" t="e">
        <f>MIN(25%,(#REF!+#REF!)/#REF!)</f>
        <v>#REF!</v>
      </c>
      <c r="AK78" s="39" t="e">
        <f>#REF!</f>
        <v>#REF!</v>
      </c>
      <c r="AL78" s="39" t="e">
        <f>#REF!</f>
        <v>#REF!</v>
      </c>
      <c r="AM78" s="39" t="e">
        <f>ROUNDDOWN( MAX((1 - MIN(facs_constr_factor*#REF!,facs_constr_max) + tech_2_3*#REF! + tech_2_6_2*#REF! + tech_2_10*#REF! + tech_4_6*#REF! + tech_6_3*#REF! + tech_9_2*#REF! + race_construction_cost), 1-global_constr_cap) *#REF!,0)</f>
        <v>#REF!</v>
      </c>
      <c r="AN78" s="39" t="e">
        <f>ROUNDDOWN( MAX(1 - MIN(facs_constr_factor*#REF!,facs_constr_max) + tech_1_11*#REF! + tech_6_3_2*#REF! + tech_5_2_3*#REF!, 1-global_constr_cap) *#REF!,0)</f>
        <v>#REF!</v>
      </c>
      <c r="AO78" s="39" t="e">
        <f>ROUNDDOWN( MAX((1 - MIN(facs_constr_factor*#REF!,facs_constr_max) + tech_2_3*#REF! + tech_2_6_2*#REF! + tech_2_10*#REF! + tech_4_6*#REF! + tech_6_3*#REF! + tech_9_2*#REF! + race_construction_cost), 1-global_constr_cap) * (ROUND((#REF!-250)*1.25 + 850 + 0,0)),0)</f>
        <v>#REF!</v>
      </c>
      <c r="AP78" s="39" t="e">
        <f>ROUNDDOWN( MAX(1 - MIN(facs_constr_factor*#REF!,facs_constr_max) + tech_1_11*#REF! + tech_6_3_2*#REF! + tech_5_2_3*#REF!, 1-global_constr_cap) * ROUND((#REF!-250)*0.285 + 87.5 + 0/4.25,0),0)</f>
        <v>#REF!</v>
      </c>
      <c r="AQ78" s="3" t="e">
        <f>#REF!*#REF! +#REF! *#REF!</f>
        <v>#REF!</v>
      </c>
      <c r="AR78" s="3" t="e">
        <f>#REF!*#REF!+#REF!*#REF!</f>
        <v>#REF!</v>
      </c>
      <c r="AS78" s="39" t="e">
        <f ca="1">MIN(SUM(OFFSET(#REF!,-1,0))+SUM(#REF!)+IF(#REF!&gt;12,SUM(OFFSET(#REF!,-12,0)),0),SUM(#REF!))</f>
        <v>#REF!</v>
      </c>
      <c r="AT78" s="3" t="e">
        <f ca="1">IF(#REF!&lt;&gt;0,MAX(0, MIN(20, 20 + SUM(#REF!) - SUM(#REF!) - SUM(OFFSET(#REF!,-1,0)) - IF(#REF!&gt;12,SUM(OFFSET(#REF!,-12,0)),0) - 20*#REF!)),0)</f>
        <v>#REF!</v>
      </c>
      <c r="AU78" s="134"/>
      <c r="AV78" s="39" t="e">
        <f>ROUND((#REF!-250 - IF(#REF!&lt;&gt;0,20,0))*1.25 + 850 + 0,0)</f>
        <v>#REF!</v>
      </c>
      <c r="AW78" s="39" t="e">
        <f>ROUND((#REF!-250 - IF(#REF!&lt;&gt;0,20,0))*0.285 + 87.5 + 0/4.25,0)</f>
        <v>#REF!</v>
      </c>
      <c r="AX78" s="133"/>
      <c r="AY78" s="172" t="e">
        <f t="array" aca="1" ref="AY78" ca="1">IF(#REF!&gt;12,OFFSET(#REF!,-12,0),0)+OFFSET(#REF!,-1,0)-#REF!</f>
        <v>#REF!</v>
      </c>
      <c r="AZ78" s="173" t="e">
        <f t="array" aca="1" ref="AZ78" ca="1">IF(#REF!&gt;12,OFFSET(#REF!,-12,0),0)+OFFSET(#REF!,-1,0)-#REF!</f>
        <v>#REF!</v>
      </c>
      <c r="BA78" s="173" t="e">
        <f t="array" aca="1" ref="BA78" ca="1">IF(#REF!&gt;12,OFFSET(#REF!,-12,0),0)+OFFSET(#REF!,-1,0)-#REF!</f>
        <v>#REF!</v>
      </c>
      <c r="BB78" s="173" t="e">
        <f t="array" aca="1" ref="BB78" ca="1">IF(#REF!&gt;12,OFFSET(#REF!,-12,0),0)+OFFSET(#REF!,-1,0)-#REF!</f>
        <v>#REF!</v>
      </c>
      <c r="BC78" s="173" t="e">
        <f t="array" aca="1" ref="BC78" ca="1">IF(#REF!&gt;12,OFFSET(#REF!,-12,0),0)+OFFSET(#REF!,-1,0)-#REF!</f>
        <v>#REF!</v>
      </c>
      <c r="BD78" s="174" t="e">
        <f t="array" aca="1" ref="BD78" ca="1">IF(#REF!&gt;12,OFFSET(#REF!,-12,0),0)+OFFSET(#REF!,-1,0)-#REF!</f>
        <v>#REF!</v>
      </c>
      <c r="BE78" s="174" t="e">
        <f t="array" aca="1" ref="BE78" ca="1">IF(#REF!&gt;12,OFFSET(#REF!,-12,0),0)+OFFSET(#REF!,-1,0)-#REF!</f>
        <v>#REF!</v>
      </c>
      <c r="BF78" s="343" t="e">
        <f t="array" aca="1" ref="BF78" ca="1">IF(#REF!&gt;12,OFFSET(#REF!,-12,0),0)+OFFSET(#REF!,-1,0)-#REF!</f>
        <v>#REF!</v>
      </c>
      <c r="BG78" s="343" t="e">
        <f t="array" aca="1" ref="BG78" ca="1">IF(#REF!&gt;12,OFFSET(#REF!,-12,0),0)+OFFSET(#REF!,-1,0)-#REF!</f>
        <v>#REF!</v>
      </c>
      <c r="BH78" s="347" t="e">
        <f t="array" aca="1" ref="BH78" ca="1">IF(#REF!&gt;12,OFFSET(#REF!,-12,0),0)+OFFSET(#REF!,-1,0)-#REF!</f>
        <v>#REF!</v>
      </c>
      <c r="BI78" s="347" t="e">
        <f t="array" aca="1" ref="BI78" ca="1">IF(#REF!&gt;12,OFFSET(#REF!,-12,0),0)+OFFSET(#REF!,-1,0)-#REF!</f>
        <v>#REF!</v>
      </c>
      <c r="BJ78" s="347" t="e">
        <f t="array" aca="1" ref="BJ78" ca="1">IF(#REF!&gt;12,OFFSET(#REF!,-12,0),0)+OFFSET(#REF!,-1,0)-#REF!</f>
        <v>#REF!</v>
      </c>
      <c r="BK78" s="347" t="e">
        <f t="array" aca="1" ref="BK78" ca="1">IF(#REF!&gt;12,OFFSET(#REF!,-12,0),0)+OFFSET(#REF!,-1,0)-#REF!</f>
        <v>#REF!</v>
      </c>
      <c r="BL78" s="351" t="e">
        <f t="array" aca="1" ref="BL78" ca="1">IF(#REF!&gt;12,OFFSET(#REF!,-12,0),0)+OFFSET(#REF!,-1,0)-#REF!</f>
        <v>#REF!</v>
      </c>
      <c r="BM78" s="351" t="e">
        <f t="array" aca="1" ref="BM78" ca="1">IF(#REF!&gt;12,OFFSET(#REF!,-12,0),0)+OFFSET(#REF!,-1,0)-#REF!</f>
        <v>#REF!</v>
      </c>
      <c r="BN78" s="351" t="e">
        <f t="array" aca="1" ref="BN78" ca="1">IF(#REF!&gt;12,OFFSET(#REF!,-12,0),0)+OFFSET(#REF!,-1,0)-#REF!</f>
        <v>#REF!</v>
      </c>
      <c r="BO78" s="175" t="e">
        <f t="array" aca="1" ref="BO78" ca="1">IF(#REF!&gt;12,OFFSET(#REF!,-12,0),0)+OFFSET(#REF!,-1,0)-#REF!</f>
        <v>#REF!</v>
      </c>
      <c r="BP78" s="175" t="e">
        <f t="array" aca="1" ref="BP78" ca="1">IF(#REF!&gt;12,OFFSET(#REF!,-12,0),0)+OFFSET(#REF!,-1,0)-#REF!</f>
        <v>#REF!</v>
      </c>
      <c r="BQ78" s="176" t="e">
        <f t="array" aca="1" ref="BQ78" ca="1">IF(#REF!&gt;12,OFFSET(#REF!,-12,0),0)+OFFSET(#REF!,-1,0)-#REF!</f>
        <v>#REF!</v>
      </c>
      <c r="BR78" s="134"/>
      <c r="BS78" s="133"/>
      <c r="BT78" s="39" t="e">
        <f>#REF!</f>
        <v>#REF!</v>
      </c>
      <c r="BU78" s="147" t="e">
        <f>#REF!</f>
        <v>#REF!</v>
      </c>
      <c r="BV78" s="134"/>
      <c r="BW78" s="164"/>
      <c r="BX78" s="164"/>
      <c r="BY78" s="164"/>
      <c r="BZ78" s="164"/>
      <c r="CA78" s="164"/>
      <c r="CB78" s="164"/>
      <c r="CC78" s="164"/>
      <c r="CD78" s="164"/>
      <c r="CE78" s="164"/>
      <c r="CF78" s="164"/>
      <c r="CG78" s="164"/>
      <c r="CH78" s="164"/>
      <c r="CI78" s="164"/>
      <c r="CJ78" s="164"/>
      <c r="CK78" s="164"/>
      <c r="CL78" s="164"/>
      <c r="CM78" s="164"/>
      <c r="CN78" s="164"/>
      <c r="CO78" s="164"/>
      <c r="CP78" s="134"/>
      <c r="CQ78" s="165" t="e">
        <f ca="1">-SUM(#REF!)+SUM(#REF!)+Rezone!L78+IF("Ch_"&amp; home_land=#REF!,#REF!)+IF(#REF!&gt;12,OFFSET(#REF!,-12,0),0)</f>
        <v>#REF!</v>
      </c>
      <c r="CR78" s="166" t="e">
        <f ca="1">-SUM(#REF!)+SUM(#REF!) +Rezone!M78 + IF("Ch_"&amp; home_land=#REF!,#REF!)+IF(#REF!&gt;12,OFFSET(#REF!,-12,0),0)</f>
        <v>#REF!</v>
      </c>
      <c r="CS78" s="341" t="e">
        <f ca="1">-SUM(#REF!)+SUM(#REF!) +Rezone!N78 + IF("Ch_"&amp; home_land=#REF!,#REF!)+IF(#REF!&gt;12,OFFSET(#REF!,-12,0),0)</f>
        <v>#REF!</v>
      </c>
      <c r="CT78" s="167" t="e">
        <f ca="1">-SUM(#REF!)+SUM(#REF!) +Rezone!O78 + IF("Ch_" &amp; home_land=#REF!,#REF!)+IF(#REF!&gt;12,OFFSET(#REF!,-12,0),0)</f>
        <v>#REF!</v>
      </c>
      <c r="CU78" s="168" t="e">
        <f ca="1">-SUM(#REF!)+SUM(#REF!) +Rezone!P78 + IF("Ch_" &amp; home_land=#REF!,#REF!)+IF(#REF!&gt;12,OFFSET(#REF!,-12,0),0)</f>
        <v>#REF!</v>
      </c>
      <c r="CV78" s="169" t="e">
        <f ca="1">- SUM(#REF!)+SUM(#REF!) +Rezone!Q78 + IF("Ch_" &amp; home_land=#REF!,#REF!)+IF(#REF!&gt;12,OFFSET(#REF!,-12,0),0)</f>
        <v>#REF!</v>
      </c>
      <c r="CW78" s="170" t="e">
        <f ca="1">-#REF!+#REF! +Rezone!R78 + IF("Ch_" &amp; home_land=#REF!,#REF!)+IF(#REF!&gt;12,OFFSET(#REF!,-12,0),0)</f>
        <v>#REF!</v>
      </c>
      <c r="CX78" s="3" t="e">
        <f>IF(Explore!S78=1,20) -#REF! +#REF!</f>
        <v>#REF!</v>
      </c>
      <c r="CY78" s="134"/>
      <c r="CZ78" s="39" t="e">
        <f t="shared" ca="1" si="12"/>
        <v>#REF!</v>
      </c>
      <c r="DA78" s="39" t="e">
        <f t="shared" ca="1" si="13"/>
        <v>#REF!</v>
      </c>
      <c r="DB78" s="3" t="e">
        <f t="shared" ca="1" si="14"/>
        <v>#REF!</v>
      </c>
      <c r="DC78" s="39" t="e">
        <f t="shared" ca="1" si="15"/>
        <v>#REF!</v>
      </c>
      <c r="DD78" s="39" t="e">
        <f t="shared" ca="1" si="16"/>
        <v>#REF!</v>
      </c>
      <c r="DE78" s="3" t="e">
        <f t="shared" ca="1" si="17"/>
        <v>#REF!</v>
      </c>
      <c r="DF78" s="39" t="e">
        <f t="shared" ca="1" si="18"/>
        <v>#REF!</v>
      </c>
      <c r="DG78" s="39" t="e">
        <f t="array" ref="DG78">INDEX(#REF!,ROW()-ROW(#REF!),MATCH("Total "&amp;home_land,#REF!,0))+#REF!</f>
        <v>#REF!</v>
      </c>
      <c r="DH78" s="3" t="e">
        <f t="shared" ca="1" si="22"/>
        <v>#REF!</v>
      </c>
      <c r="DI78" s="3" t="e">
        <f t="shared" ca="1" si="19"/>
        <v>#REF!</v>
      </c>
      <c r="DJ78" s="3" t="e">
        <f t="shared" ca="1" si="20"/>
        <v>#REF!</v>
      </c>
    </row>
    <row r="79" spans="1:114" x14ac:dyDescent="0.25">
      <c r="A79" s="160" t="e">
        <f>#REF!</f>
        <v>#REF!</v>
      </c>
      <c r="B79" s="161" t="e">
        <f>SUM(#REF!)</f>
        <v>#REF!</v>
      </c>
      <c r="C79" s="162" t="e">
        <f>SUM(#REF!)</f>
        <v>#REF!</v>
      </c>
      <c r="D79" s="162">
        <f t="shared" si="21"/>
        <v>0</v>
      </c>
      <c r="E79" s="163"/>
      <c r="F79" s="61" t="e">
        <f>#REF!+#REF!+#REF!</f>
        <v>#REF!</v>
      </c>
      <c r="G79" s="171" t="e">
        <f ca="1">OFFSET(#REF!,-1,0)+#REF!</f>
        <v>#REF!</v>
      </c>
      <c r="H79" s="166" t="e">
        <f ca="1">OFFSET(#REF!,-1,0)+#REF!</f>
        <v>#REF!</v>
      </c>
      <c r="I79" s="341" t="e">
        <f ca="1">OFFSET(#REF!,-1,0)+#REF!</f>
        <v>#REF!</v>
      </c>
      <c r="J79" s="345" t="e">
        <f ca="1">OFFSET(#REF!,-1,0)+#REF!</f>
        <v>#REF!</v>
      </c>
      <c r="K79" s="349" t="e">
        <f ca="1">OFFSET(#REF!,-1,0)+#REF!</f>
        <v>#REF!</v>
      </c>
      <c r="L79" s="169" t="e">
        <f ca="1">OFFSET(#REF!,-1,0)+#REF!</f>
        <v>#REF!</v>
      </c>
      <c r="M79" s="170" t="e">
        <f ca="1">OFFSET(#REF!,-1,0)+#REF!</f>
        <v>#REF!</v>
      </c>
      <c r="N79" s="339" t="e">
        <f>#REF!</f>
        <v>#REF!</v>
      </c>
      <c r="O79" s="164"/>
      <c r="P79" s="164"/>
      <c r="Q79" s="164"/>
      <c r="R79" s="164"/>
      <c r="S79" s="164"/>
      <c r="T79" s="164"/>
      <c r="U79" s="164"/>
      <c r="V79" s="164"/>
      <c r="W79" s="164"/>
      <c r="X79" s="164"/>
      <c r="Y79" s="164"/>
      <c r="Z79" s="164"/>
      <c r="AA79" s="164"/>
      <c r="AB79" s="164"/>
      <c r="AC79" s="164"/>
      <c r="AD79" s="164"/>
      <c r="AE79" s="164"/>
      <c r="AF79" s="164"/>
      <c r="AG79" s="164"/>
      <c r="AH79" s="53" t="e">
        <f>#REF!</f>
        <v>#REF!</v>
      </c>
      <c r="AI79" s="132" t="e">
        <f>MIN(25%,(#REF!+#REF!)/(#REF!-#REF!*20))</f>
        <v>#REF!</v>
      </c>
      <c r="AJ79" s="132" t="e">
        <f>MIN(25%,(#REF!+#REF!)/#REF!)</f>
        <v>#REF!</v>
      </c>
      <c r="AK79" s="39" t="e">
        <f>#REF!</f>
        <v>#REF!</v>
      </c>
      <c r="AL79" s="39" t="e">
        <f>#REF!</f>
        <v>#REF!</v>
      </c>
      <c r="AM79" s="39" t="e">
        <f>ROUNDDOWN( MAX((1 - MIN(facs_constr_factor*#REF!,facs_constr_max) + tech_2_3*#REF! + tech_2_6_2*#REF! + tech_2_10*#REF! + tech_4_6*#REF! + tech_6_3*#REF! + tech_9_2*#REF! + race_construction_cost), 1-global_constr_cap) *#REF!,0)</f>
        <v>#REF!</v>
      </c>
      <c r="AN79" s="39" t="e">
        <f>ROUNDDOWN( MAX(1 - MIN(facs_constr_factor*#REF!,facs_constr_max) + tech_1_11*#REF! + tech_6_3_2*#REF! + tech_5_2_3*#REF!, 1-global_constr_cap) *#REF!,0)</f>
        <v>#REF!</v>
      </c>
      <c r="AO79" s="39" t="e">
        <f>ROUNDDOWN( MAX((1 - MIN(facs_constr_factor*#REF!,facs_constr_max) + tech_2_3*#REF! + tech_2_6_2*#REF! + tech_2_10*#REF! + tech_4_6*#REF! + tech_6_3*#REF! + tech_9_2*#REF! + race_construction_cost), 1-global_constr_cap) * (ROUND((#REF!-250)*1.25 + 850 + 0,0)),0)</f>
        <v>#REF!</v>
      </c>
      <c r="AP79" s="39" t="e">
        <f>ROUNDDOWN( MAX(1 - MIN(facs_constr_factor*#REF!,facs_constr_max) + tech_1_11*#REF! + tech_6_3_2*#REF! + tech_5_2_3*#REF!, 1-global_constr_cap) * ROUND((#REF!-250)*0.285 + 87.5 + 0/4.25,0),0)</f>
        <v>#REF!</v>
      </c>
      <c r="AQ79" s="3" t="e">
        <f>#REF!*#REF! +#REF! *#REF!</f>
        <v>#REF!</v>
      </c>
      <c r="AR79" s="3" t="e">
        <f>#REF!*#REF!+#REF!*#REF!</f>
        <v>#REF!</v>
      </c>
      <c r="AS79" s="39" t="e">
        <f ca="1">MIN(SUM(OFFSET(#REF!,-1,0))+SUM(#REF!)+IF(#REF!&gt;12,SUM(OFFSET(#REF!,-12,0)),0),SUM(#REF!))</f>
        <v>#REF!</v>
      </c>
      <c r="AT79" s="3" t="e">
        <f ca="1">IF(#REF!&lt;&gt;0,MAX(0, MIN(20, 20 + SUM(#REF!) - SUM(#REF!) - SUM(OFFSET(#REF!,-1,0)) - IF(#REF!&gt;12,SUM(OFFSET(#REF!,-12,0)),0) - 20*#REF!)),0)</f>
        <v>#REF!</v>
      </c>
      <c r="AU79" s="134"/>
      <c r="AV79" s="39" t="e">
        <f>ROUND((#REF!-250 - IF(#REF!&lt;&gt;0,20,0))*1.25 + 850 + 0,0)</f>
        <v>#REF!</v>
      </c>
      <c r="AW79" s="39" t="e">
        <f>ROUND((#REF!-250 - IF(#REF!&lt;&gt;0,20,0))*0.285 + 87.5 + 0/4.25,0)</f>
        <v>#REF!</v>
      </c>
      <c r="AX79" s="133"/>
      <c r="AY79" s="172" t="e">
        <f t="array" aca="1" ref="AY79" ca="1">IF(#REF!&gt;12,OFFSET(#REF!,-12,0),0)+OFFSET(#REF!,-1,0)-#REF!</f>
        <v>#REF!</v>
      </c>
      <c r="AZ79" s="173" t="e">
        <f t="array" aca="1" ref="AZ79" ca="1">IF(#REF!&gt;12,OFFSET(#REF!,-12,0),0)+OFFSET(#REF!,-1,0)-#REF!</f>
        <v>#REF!</v>
      </c>
      <c r="BA79" s="173" t="e">
        <f t="array" aca="1" ref="BA79" ca="1">IF(#REF!&gt;12,OFFSET(#REF!,-12,0),0)+OFFSET(#REF!,-1,0)-#REF!</f>
        <v>#REF!</v>
      </c>
      <c r="BB79" s="173" t="e">
        <f t="array" aca="1" ref="BB79" ca="1">IF(#REF!&gt;12,OFFSET(#REF!,-12,0),0)+OFFSET(#REF!,-1,0)-#REF!</f>
        <v>#REF!</v>
      </c>
      <c r="BC79" s="173" t="e">
        <f t="array" aca="1" ref="BC79" ca="1">IF(#REF!&gt;12,OFFSET(#REF!,-12,0),0)+OFFSET(#REF!,-1,0)-#REF!</f>
        <v>#REF!</v>
      </c>
      <c r="BD79" s="174" t="e">
        <f t="array" aca="1" ref="BD79" ca="1">IF(#REF!&gt;12,OFFSET(#REF!,-12,0),0)+OFFSET(#REF!,-1,0)-#REF!</f>
        <v>#REF!</v>
      </c>
      <c r="BE79" s="174" t="e">
        <f t="array" aca="1" ref="BE79" ca="1">IF(#REF!&gt;12,OFFSET(#REF!,-12,0),0)+OFFSET(#REF!,-1,0)-#REF!</f>
        <v>#REF!</v>
      </c>
      <c r="BF79" s="343" t="e">
        <f t="array" aca="1" ref="BF79" ca="1">IF(#REF!&gt;12,OFFSET(#REF!,-12,0),0)+OFFSET(#REF!,-1,0)-#REF!</f>
        <v>#REF!</v>
      </c>
      <c r="BG79" s="343" t="e">
        <f t="array" aca="1" ref="BG79" ca="1">IF(#REF!&gt;12,OFFSET(#REF!,-12,0),0)+OFFSET(#REF!,-1,0)-#REF!</f>
        <v>#REF!</v>
      </c>
      <c r="BH79" s="347" t="e">
        <f t="array" aca="1" ref="BH79" ca="1">IF(#REF!&gt;12,OFFSET(#REF!,-12,0),0)+OFFSET(#REF!,-1,0)-#REF!</f>
        <v>#REF!</v>
      </c>
      <c r="BI79" s="347" t="e">
        <f t="array" aca="1" ref="BI79" ca="1">IF(#REF!&gt;12,OFFSET(#REF!,-12,0),0)+OFFSET(#REF!,-1,0)-#REF!</f>
        <v>#REF!</v>
      </c>
      <c r="BJ79" s="347" t="e">
        <f t="array" aca="1" ref="BJ79" ca="1">IF(#REF!&gt;12,OFFSET(#REF!,-12,0),0)+OFFSET(#REF!,-1,0)-#REF!</f>
        <v>#REF!</v>
      </c>
      <c r="BK79" s="347" t="e">
        <f t="array" aca="1" ref="BK79" ca="1">IF(#REF!&gt;12,OFFSET(#REF!,-12,0),0)+OFFSET(#REF!,-1,0)-#REF!</f>
        <v>#REF!</v>
      </c>
      <c r="BL79" s="351" t="e">
        <f t="array" aca="1" ref="BL79" ca="1">IF(#REF!&gt;12,OFFSET(#REF!,-12,0),0)+OFFSET(#REF!,-1,0)-#REF!</f>
        <v>#REF!</v>
      </c>
      <c r="BM79" s="351" t="e">
        <f t="array" aca="1" ref="BM79" ca="1">IF(#REF!&gt;12,OFFSET(#REF!,-12,0),0)+OFFSET(#REF!,-1,0)-#REF!</f>
        <v>#REF!</v>
      </c>
      <c r="BN79" s="351" t="e">
        <f t="array" aca="1" ref="BN79" ca="1">IF(#REF!&gt;12,OFFSET(#REF!,-12,0),0)+OFFSET(#REF!,-1,0)-#REF!</f>
        <v>#REF!</v>
      </c>
      <c r="BO79" s="175" t="e">
        <f t="array" aca="1" ref="BO79" ca="1">IF(#REF!&gt;12,OFFSET(#REF!,-12,0),0)+OFFSET(#REF!,-1,0)-#REF!</f>
        <v>#REF!</v>
      </c>
      <c r="BP79" s="175" t="e">
        <f t="array" aca="1" ref="BP79" ca="1">IF(#REF!&gt;12,OFFSET(#REF!,-12,0),0)+OFFSET(#REF!,-1,0)-#REF!</f>
        <v>#REF!</v>
      </c>
      <c r="BQ79" s="176" t="e">
        <f t="array" aca="1" ref="BQ79" ca="1">IF(#REF!&gt;12,OFFSET(#REF!,-12,0),0)+OFFSET(#REF!,-1,0)-#REF!</f>
        <v>#REF!</v>
      </c>
      <c r="BR79" s="134"/>
      <c r="BS79" s="133"/>
      <c r="BT79" s="39" t="e">
        <f>#REF!</f>
        <v>#REF!</v>
      </c>
      <c r="BU79" s="147" t="e">
        <f>#REF!</f>
        <v>#REF!</v>
      </c>
      <c r="BV79" s="134"/>
      <c r="BW79" s="164"/>
      <c r="BX79" s="164"/>
      <c r="BY79" s="164"/>
      <c r="BZ79" s="164"/>
      <c r="CA79" s="164"/>
      <c r="CB79" s="164"/>
      <c r="CC79" s="164"/>
      <c r="CD79" s="164"/>
      <c r="CE79" s="164"/>
      <c r="CF79" s="164"/>
      <c r="CG79" s="164"/>
      <c r="CH79" s="164"/>
      <c r="CI79" s="164"/>
      <c r="CJ79" s="164"/>
      <c r="CK79" s="164"/>
      <c r="CL79" s="164"/>
      <c r="CM79" s="164"/>
      <c r="CN79" s="164"/>
      <c r="CO79" s="164"/>
      <c r="CP79" s="134"/>
      <c r="CQ79" s="165" t="e">
        <f ca="1">-SUM(#REF!)+SUM(#REF!)+Rezone!L79+IF("Ch_"&amp; home_land=#REF!,#REF!)+IF(#REF!&gt;12,OFFSET(#REF!,-12,0),0)</f>
        <v>#REF!</v>
      </c>
      <c r="CR79" s="166" t="e">
        <f ca="1">-SUM(#REF!)+SUM(#REF!) +Rezone!M79 + IF("Ch_"&amp; home_land=#REF!,#REF!)+IF(#REF!&gt;12,OFFSET(#REF!,-12,0),0)</f>
        <v>#REF!</v>
      </c>
      <c r="CS79" s="341" t="e">
        <f ca="1">-SUM(#REF!)+SUM(#REF!) +Rezone!N79 + IF("Ch_"&amp; home_land=#REF!,#REF!)+IF(#REF!&gt;12,OFFSET(#REF!,-12,0),0)</f>
        <v>#REF!</v>
      </c>
      <c r="CT79" s="167" t="e">
        <f ca="1">-SUM(#REF!)+SUM(#REF!) +Rezone!O79 + IF("Ch_" &amp; home_land=#REF!,#REF!)+IF(#REF!&gt;12,OFFSET(#REF!,-12,0),0)</f>
        <v>#REF!</v>
      </c>
      <c r="CU79" s="168" t="e">
        <f ca="1">-SUM(#REF!)+SUM(#REF!) +Rezone!P79 + IF("Ch_" &amp; home_land=#REF!,#REF!)+IF(#REF!&gt;12,OFFSET(#REF!,-12,0),0)</f>
        <v>#REF!</v>
      </c>
      <c r="CV79" s="169" t="e">
        <f ca="1">- SUM(#REF!)+SUM(#REF!) +Rezone!Q79 + IF("Ch_" &amp; home_land=#REF!,#REF!)+IF(#REF!&gt;12,OFFSET(#REF!,-12,0),0)</f>
        <v>#REF!</v>
      </c>
      <c r="CW79" s="170" t="e">
        <f ca="1">-#REF!+#REF! +Rezone!R79 + IF("Ch_" &amp; home_land=#REF!,#REF!)+IF(#REF!&gt;12,OFFSET(#REF!,-12,0),0)</f>
        <v>#REF!</v>
      </c>
      <c r="CX79" s="3" t="e">
        <f>IF(Explore!S79=1,20) -#REF! +#REF!</f>
        <v>#REF!</v>
      </c>
      <c r="CY79" s="134"/>
      <c r="CZ79" s="39" t="e">
        <f t="shared" ca="1" si="12"/>
        <v>#REF!</v>
      </c>
      <c r="DA79" s="39" t="e">
        <f t="shared" ca="1" si="13"/>
        <v>#REF!</v>
      </c>
      <c r="DB79" s="3" t="e">
        <f t="shared" ca="1" si="14"/>
        <v>#REF!</v>
      </c>
      <c r="DC79" s="39" t="e">
        <f t="shared" ca="1" si="15"/>
        <v>#REF!</v>
      </c>
      <c r="DD79" s="39" t="e">
        <f t="shared" ca="1" si="16"/>
        <v>#REF!</v>
      </c>
      <c r="DE79" s="3" t="e">
        <f t="shared" ca="1" si="17"/>
        <v>#REF!</v>
      </c>
      <c r="DF79" s="39" t="e">
        <f t="shared" ca="1" si="18"/>
        <v>#REF!</v>
      </c>
      <c r="DG79" s="39" t="e">
        <f t="array" ref="DG79">INDEX(#REF!,ROW()-ROW(#REF!),MATCH("Total "&amp;home_land,#REF!,0))+#REF!</f>
        <v>#REF!</v>
      </c>
      <c r="DH79" s="3" t="e">
        <f t="shared" ca="1" si="22"/>
        <v>#REF!</v>
      </c>
      <c r="DI79" s="3" t="e">
        <f t="shared" ca="1" si="19"/>
        <v>#REF!</v>
      </c>
      <c r="DJ79" s="3" t="e">
        <f t="shared" ca="1" si="20"/>
        <v>#REF!</v>
      </c>
    </row>
    <row r="80" spans="1:114" x14ac:dyDescent="0.25">
      <c r="A80" s="160" t="e">
        <f>#REF!</f>
        <v>#REF!</v>
      </c>
      <c r="B80" s="161" t="e">
        <f>SUM(#REF!)</f>
        <v>#REF!</v>
      </c>
      <c r="C80" s="162" t="e">
        <f>SUM(#REF!)</f>
        <v>#REF!</v>
      </c>
      <c r="D80" s="162">
        <f t="shared" si="21"/>
        <v>0</v>
      </c>
      <c r="E80" s="163"/>
      <c r="F80" s="61" t="e">
        <f>#REF!+#REF!+#REF!</f>
        <v>#REF!</v>
      </c>
      <c r="G80" s="171" t="e">
        <f ca="1">OFFSET(#REF!,-1,0)+#REF!</f>
        <v>#REF!</v>
      </c>
      <c r="H80" s="166" t="e">
        <f ca="1">OFFSET(#REF!,-1,0)+#REF!</f>
        <v>#REF!</v>
      </c>
      <c r="I80" s="341" t="e">
        <f ca="1">OFFSET(#REF!,-1,0)+#REF!</f>
        <v>#REF!</v>
      </c>
      <c r="J80" s="345" t="e">
        <f ca="1">OFFSET(#REF!,-1,0)+#REF!</f>
        <v>#REF!</v>
      </c>
      <c r="K80" s="349" t="e">
        <f ca="1">OFFSET(#REF!,-1,0)+#REF!</f>
        <v>#REF!</v>
      </c>
      <c r="L80" s="169" t="e">
        <f ca="1">OFFSET(#REF!,-1,0)+#REF!</f>
        <v>#REF!</v>
      </c>
      <c r="M80" s="170" t="e">
        <f ca="1">OFFSET(#REF!,-1,0)+#REF!</f>
        <v>#REF!</v>
      </c>
      <c r="N80" s="339" t="e">
        <f>#REF!</f>
        <v>#REF!</v>
      </c>
      <c r="O80" s="164"/>
      <c r="P80" s="164"/>
      <c r="Q80" s="164"/>
      <c r="R80" s="164"/>
      <c r="S80" s="164"/>
      <c r="T80" s="164"/>
      <c r="U80" s="164"/>
      <c r="V80" s="164"/>
      <c r="W80" s="164"/>
      <c r="X80" s="164"/>
      <c r="Y80" s="164"/>
      <c r="Z80" s="164"/>
      <c r="AA80" s="164"/>
      <c r="AB80" s="164"/>
      <c r="AC80" s="164"/>
      <c r="AD80" s="164"/>
      <c r="AE80" s="164"/>
      <c r="AF80" s="164"/>
      <c r="AG80" s="164"/>
      <c r="AH80" s="53" t="e">
        <f>#REF!</f>
        <v>#REF!</v>
      </c>
      <c r="AI80" s="132" t="e">
        <f>MIN(25%,(#REF!+#REF!)/(#REF!-#REF!*20))</f>
        <v>#REF!</v>
      </c>
      <c r="AJ80" s="132" t="e">
        <f>MIN(25%,(#REF!+#REF!)/#REF!)</f>
        <v>#REF!</v>
      </c>
      <c r="AK80" s="39" t="e">
        <f>#REF!</f>
        <v>#REF!</v>
      </c>
      <c r="AL80" s="39" t="e">
        <f>#REF!</f>
        <v>#REF!</v>
      </c>
      <c r="AM80" s="39" t="e">
        <f>ROUNDDOWN( MAX((1 - MIN(facs_constr_factor*#REF!,facs_constr_max) + tech_2_3*#REF! + tech_2_6_2*#REF! + tech_2_10*#REF! + tech_4_6*#REF! + tech_6_3*#REF! + tech_9_2*#REF! + race_construction_cost), 1-global_constr_cap) *#REF!,0)</f>
        <v>#REF!</v>
      </c>
      <c r="AN80" s="39" t="e">
        <f>ROUNDDOWN( MAX(1 - MIN(facs_constr_factor*#REF!,facs_constr_max) + tech_1_11*#REF! + tech_6_3_2*#REF! + tech_5_2_3*#REF!, 1-global_constr_cap) *#REF!,0)</f>
        <v>#REF!</v>
      </c>
      <c r="AO80" s="39" t="e">
        <f>ROUNDDOWN( MAX((1 - MIN(facs_constr_factor*#REF!,facs_constr_max) + tech_2_3*#REF! + tech_2_6_2*#REF! + tech_2_10*#REF! + tech_4_6*#REF! + tech_6_3*#REF! + tech_9_2*#REF! + race_construction_cost), 1-global_constr_cap) * (ROUND((#REF!-250)*1.25 + 850 + 0,0)),0)</f>
        <v>#REF!</v>
      </c>
      <c r="AP80" s="39" t="e">
        <f>ROUNDDOWN( MAX(1 - MIN(facs_constr_factor*#REF!,facs_constr_max) + tech_1_11*#REF! + tech_6_3_2*#REF! + tech_5_2_3*#REF!, 1-global_constr_cap) * ROUND((#REF!-250)*0.285 + 87.5 + 0/4.25,0),0)</f>
        <v>#REF!</v>
      </c>
      <c r="AQ80" s="3" t="e">
        <f>#REF!*#REF! +#REF! *#REF!</f>
        <v>#REF!</v>
      </c>
      <c r="AR80" s="3" t="e">
        <f>#REF!*#REF!+#REF!*#REF!</f>
        <v>#REF!</v>
      </c>
      <c r="AS80" s="39" t="e">
        <f ca="1">MIN(SUM(OFFSET(#REF!,-1,0))+SUM(#REF!)+IF(#REF!&gt;12,SUM(OFFSET(#REF!,-12,0)),0),SUM(#REF!))</f>
        <v>#REF!</v>
      </c>
      <c r="AT80" s="3" t="e">
        <f ca="1">IF(#REF!&lt;&gt;0,MAX(0, MIN(20, 20 + SUM(#REF!) - SUM(#REF!) - SUM(OFFSET(#REF!,-1,0)) - IF(#REF!&gt;12,SUM(OFFSET(#REF!,-12,0)),0) - 20*#REF!)),0)</f>
        <v>#REF!</v>
      </c>
      <c r="AU80" s="134"/>
      <c r="AV80" s="39" t="e">
        <f>ROUND((#REF!-250 - IF(#REF!&lt;&gt;0,20,0))*1.25 + 850 + 0,0)</f>
        <v>#REF!</v>
      </c>
      <c r="AW80" s="39" t="e">
        <f>ROUND((#REF!-250 - IF(#REF!&lt;&gt;0,20,0))*0.285 + 87.5 + 0/4.25,0)</f>
        <v>#REF!</v>
      </c>
      <c r="AX80" s="133"/>
      <c r="AY80" s="172" t="e">
        <f t="array" aca="1" ref="AY80" ca="1">IF(#REF!&gt;12,OFFSET(#REF!,-12,0),0)+OFFSET(#REF!,-1,0)-#REF!</f>
        <v>#REF!</v>
      </c>
      <c r="AZ80" s="173" t="e">
        <f t="array" aca="1" ref="AZ80" ca="1">IF(#REF!&gt;12,OFFSET(#REF!,-12,0),0)+OFFSET(#REF!,-1,0)-#REF!</f>
        <v>#REF!</v>
      </c>
      <c r="BA80" s="173" t="e">
        <f t="array" aca="1" ref="BA80" ca="1">IF(#REF!&gt;12,OFFSET(#REF!,-12,0),0)+OFFSET(#REF!,-1,0)-#REF!</f>
        <v>#REF!</v>
      </c>
      <c r="BB80" s="173" t="e">
        <f t="array" aca="1" ref="BB80" ca="1">IF(#REF!&gt;12,OFFSET(#REF!,-12,0),0)+OFFSET(#REF!,-1,0)-#REF!</f>
        <v>#REF!</v>
      </c>
      <c r="BC80" s="173" t="e">
        <f t="array" aca="1" ref="BC80" ca="1">IF(#REF!&gt;12,OFFSET(#REF!,-12,0),0)+OFFSET(#REF!,-1,0)-#REF!</f>
        <v>#REF!</v>
      </c>
      <c r="BD80" s="174" t="e">
        <f t="array" aca="1" ref="BD80" ca="1">IF(#REF!&gt;12,OFFSET(#REF!,-12,0),0)+OFFSET(#REF!,-1,0)-#REF!</f>
        <v>#REF!</v>
      </c>
      <c r="BE80" s="174" t="e">
        <f t="array" aca="1" ref="BE80" ca="1">IF(#REF!&gt;12,OFFSET(#REF!,-12,0),0)+OFFSET(#REF!,-1,0)-#REF!</f>
        <v>#REF!</v>
      </c>
      <c r="BF80" s="343" t="e">
        <f t="array" aca="1" ref="BF80" ca="1">IF(#REF!&gt;12,OFFSET(#REF!,-12,0),0)+OFFSET(#REF!,-1,0)-#REF!</f>
        <v>#REF!</v>
      </c>
      <c r="BG80" s="343" t="e">
        <f t="array" aca="1" ref="BG80" ca="1">IF(#REF!&gt;12,OFFSET(#REF!,-12,0),0)+OFFSET(#REF!,-1,0)-#REF!</f>
        <v>#REF!</v>
      </c>
      <c r="BH80" s="347" t="e">
        <f t="array" aca="1" ref="BH80" ca="1">IF(#REF!&gt;12,OFFSET(#REF!,-12,0),0)+OFFSET(#REF!,-1,0)-#REF!</f>
        <v>#REF!</v>
      </c>
      <c r="BI80" s="347" t="e">
        <f t="array" aca="1" ref="BI80" ca="1">IF(#REF!&gt;12,OFFSET(#REF!,-12,0),0)+OFFSET(#REF!,-1,0)-#REF!</f>
        <v>#REF!</v>
      </c>
      <c r="BJ80" s="347" t="e">
        <f t="array" aca="1" ref="BJ80" ca="1">IF(#REF!&gt;12,OFFSET(#REF!,-12,0),0)+OFFSET(#REF!,-1,0)-#REF!</f>
        <v>#REF!</v>
      </c>
      <c r="BK80" s="347" t="e">
        <f t="array" aca="1" ref="BK80" ca="1">IF(#REF!&gt;12,OFFSET(#REF!,-12,0),0)+OFFSET(#REF!,-1,0)-#REF!</f>
        <v>#REF!</v>
      </c>
      <c r="BL80" s="351" t="e">
        <f t="array" aca="1" ref="BL80" ca="1">IF(#REF!&gt;12,OFFSET(#REF!,-12,0),0)+OFFSET(#REF!,-1,0)-#REF!</f>
        <v>#REF!</v>
      </c>
      <c r="BM80" s="351" t="e">
        <f t="array" aca="1" ref="BM80" ca="1">IF(#REF!&gt;12,OFFSET(#REF!,-12,0),0)+OFFSET(#REF!,-1,0)-#REF!</f>
        <v>#REF!</v>
      </c>
      <c r="BN80" s="351" t="e">
        <f t="array" aca="1" ref="BN80" ca="1">IF(#REF!&gt;12,OFFSET(#REF!,-12,0),0)+OFFSET(#REF!,-1,0)-#REF!</f>
        <v>#REF!</v>
      </c>
      <c r="BO80" s="175" t="e">
        <f t="array" aca="1" ref="BO80" ca="1">IF(#REF!&gt;12,OFFSET(#REF!,-12,0),0)+OFFSET(#REF!,-1,0)-#REF!</f>
        <v>#REF!</v>
      </c>
      <c r="BP80" s="175" t="e">
        <f t="array" aca="1" ref="BP80" ca="1">IF(#REF!&gt;12,OFFSET(#REF!,-12,0),0)+OFFSET(#REF!,-1,0)-#REF!</f>
        <v>#REF!</v>
      </c>
      <c r="BQ80" s="176" t="e">
        <f t="array" aca="1" ref="BQ80" ca="1">IF(#REF!&gt;12,OFFSET(#REF!,-12,0),0)+OFFSET(#REF!,-1,0)-#REF!</f>
        <v>#REF!</v>
      </c>
      <c r="BR80" s="134"/>
      <c r="BS80" s="133"/>
      <c r="BT80" s="39" t="e">
        <f>#REF!</f>
        <v>#REF!</v>
      </c>
      <c r="BU80" s="147" t="e">
        <f>#REF!</f>
        <v>#REF!</v>
      </c>
      <c r="BV80" s="134"/>
      <c r="BW80" s="164"/>
      <c r="BX80" s="164"/>
      <c r="BY80" s="164"/>
      <c r="BZ80" s="164"/>
      <c r="CA80" s="164"/>
      <c r="CB80" s="164"/>
      <c r="CC80" s="164"/>
      <c r="CD80" s="164"/>
      <c r="CE80" s="164"/>
      <c r="CF80" s="164"/>
      <c r="CG80" s="164"/>
      <c r="CH80" s="164"/>
      <c r="CI80" s="164"/>
      <c r="CJ80" s="164"/>
      <c r="CK80" s="164"/>
      <c r="CL80" s="164"/>
      <c r="CM80" s="164"/>
      <c r="CN80" s="164"/>
      <c r="CO80" s="164"/>
      <c r="CP80" s="134"/>
      <c r="CQ80" s="165" t="e">
        <f ca="1">-SUM(#REF!)+SUM(#REF!)+Rezone!L80+IF("Ch_"&amp; home_land=#REF!,#REF!)+IF(#REF!&gt;12,OFFSET(#REF!,-12,0),0)</f>
        <v>#REF!</v>
      </c>
      <c r="CR80" s="166" t="e">
        <f ca="1">-SUM(#REF!)+SUM(#REF!) +Rezone!M80 + IF("Ch_"&amp; home_land=#REF!,#REF!)+IF(#REF!&gt;12,OFFSET(#REF!,-12,0),0)</f>
        <v>#REF!</v>
      </c>
      <c r="CS80" s="341" t="e">
        <f ca="1">-SUM(#REF!)+SUM(#REF!) +Rezone!N80 + IF("Ch_"&amp; home_land=#REF!,#REF!)+IF(#REF!&gt;12,OFFSET(#REF!,-12,0),0)</f>
        <v>#REF!</v>
      </c>
      <c r="CT80" s="167" t="e">
        <f ca="1">-SUM(#REF!)+SUM(#REF!) +Rezone!O80 + IF("Ch_" &amp; home_land=#REF!,#REF!)+IF(#REF!&gt;12,OFFSET(#REF!,-12,0),0)</f>
        <v>#REF!</v>
      </c>
      <c r="CU80" s="168" t="e">
        <f ca="1">-SUM(#REF!)+SUM(#REF!) +Rezone!P80 + IF("Ch_" &amp; home_land=#REF!,#REF!)+IF(#REF!&gt;12,OFFSET(#REF!,-12,0),0)</f>
        <v>#REF!</v>
      </c>
      <c r="CV80" s="169" t="e">
        <f ca="1">- SUM(#REF!)+SUM(#REF!) +Rezone!Q80 + IF("Ch_" &amp; home_land=#REF!,#REF!)+IF(#REF!&gt;12,OFFSET(#REF!,-12,0),0)</f>
        <v>#REF!</v>
      </c>
      <c r="CW80" s="170" t="e">
        <f ca="1">-#REF!+#REF! +Rezone!R80 + IF("Ch_" &amp; home_land=#REF!,#REF!)+IF(#REF!&gt;12,OFFSET(#REF!,-12,0),0)</f>
        <v>#REF!</v>
      </c>
      <c r="CX80" s="3" t="e">
        <f>IF(Explore!S80=1,20) -#REF! +#REF!</f>
        <v>#REF!</v>
      </c>
      <c r="CY80" s="134"/>
      <c r="CZ80" s="39" t="e">
        <f t="shared" ref="CZ80:CZ111" ca="1" si="23">G80+SUM(P69:S80)+SUM(AZ80:BC80)</f>
        <v>#REF!</v>
      </c>
      <c r="DA80" s="39" t="e">
        <f t="shared" ref="DA80:DA111" ca="1" si="24">H80+SUM(T69:U80)+SUM(BD80:BE80)</f>
        <v>#REF!</v>
      </c>
      <c r="DB80" s="3" t="e">
        <f t="shared" ref="DB80:DB111" ca="1" si="25">I80+SUM(V69:W80)+SUM(BF80:BG80)</f>
        <v>#REF!</v>
      </c>
      <c r="DC80" s="39" t="e">
        <f t="shared" ref="DC80:DC111" ca="1" si="26">J80+SUM(X69:Y80)+SUM(BH80:BI80)</f>
        <v>#REF!</v>
      </c>
      <c r="DD80" s="39" t="e">
        <f t="shared" ref="DD80:DD111" ca="1" si="27">K80+SUM(AB69:AD80)+SUM(BL80:BN80)</f>
        <v>#REF!</v>
      </c>
      <c r="DE80" s="3" t="e">
        <f t="shared" ref="DE80:DE111" ca="1" si="28">L80+SUM(AE69:AE80)+BO80</f>
        <v>#REF!</v>
      </c>
      <c r="DF80" s="39" t="e">
        <f t="shared" ref="DF80:DF111" ca="1" si="29">M80+SUM(AG69:AG80)+BQ80</f>
        <v>#REF!</v>
      </c>
      <c r="DG80" s="39" t="e">
        <f t="array" ref="DG80">INDEX(#REF!,ROW()-ROW(#REF!),MATCH("Total "&amp;home_land,#REF!,0))+#REF!</f>
        <v>#REF!</v>
      </c>
      <c r="DH80" s="3" t="e">
        <f t="shared" ca="1" si="22"/>
        <v>#REF!</v>
      </c>
      <c r="DI80" s="3" t="e">
        <f t="shared" ca="1" si="19"/>
        <v>#REF!</v>
      </c>
      <c r="DJ80" s="3" t="e">
        <f t="shared" ca="1" si="20"/>
        <v>#REF!</v>
      </c>
    </row>
    <row r="81" spans="1:114" x14ac:dyDescent="0.25">
      <c r="A81" s="160" t="e">
        <f>#REF!</f>
        <v>#REF!</v>
      </c>
      <c r="B81" s="161" t="e">
        <f>SUM(#REF!)</f>
        <v>#REF!</v>
      </c>
      <c r="C81" s="162" t="e">
        <f>SUM(#REF!)</f>
        <v>#REF!</v>
      </c>
      <c r="D81" s="162">
        <f t="shared" si="21"/>
        <v>0</v>
      </c>
      <c r="E81" s="163"/>
      <c r="F81" s="61" t="e">
        <f>#REF!+#REF!+#REF!</f>
        <v>#REF!</v>
      </c>
      <c r="G81" s="171" t="e">
        <f ca="1">OFFSET(#REF!,-1,0)+#REF!</f>
        <v>#REF!</v>
      </c>
      <c r="H81" s="166" t="e">
        <f ca="1">OFFSET(#REF!,-1,0)+#REF!</f>
        <v>#REF!</v>
      </c>
      <c r="I81" s="341" t="e">
        <f ca="1">OFFSET(#REF!,-1,0)+#REF!</f>
        <v>#REF!</v>
      </c>
      <c r="J81" s="345" t="e">
        <f ca="1">OFFSET(#REF!,-1,0)+#REF!</f>
        <v>#REF!</v>
      </c>
      <c r="K81" s="349" t="e">
        <f ca="1">OFFSET(#REF!,-1,0)+#REF!</f>
        <v>#REF!</v>
      </c>
      <c r="L81" s="169" t="e">
        <f ca="1">OFFSET(#REF!,-1,0)+#REF!</f>
        <v>#REF!</v>
      </c>
      <c r="M81" s="170" t="e">
        <f ca="1">OFFSET(#REF!,-1,0)+#REF!</f>
        <v>#REF!</v>
      </c>
      <c r="N81" s="339" t="e">
        <f>#REF!</f>
        <v>#REF!</v>
      </c>
      <c r="O81" s="164"/>
      <c r="P81" s="164"/>
      <c r="Q81" s="164"/>
      <c r="R81" s="164"/>
      <c r="S81" s="164"/>
      <c r="T81" s="164"/>
      <c r="U81" s="164"/>
      <c r="V81" s="164"/>
      <c r="W81" s="164"/>
      <c r="X81" s="164"/>
      <c r="Y81" s="164"/>
      <c r="Z81" s="164"/>
      <c r="AA81" s="164"/>
      <c r="AB81" s="164"/>
      <c r="AC81" s="164"/>
      <c r="AD81" s="164"/>
      <c r="AE81" s="164"/>
      <c r="AF81" s="164"/>
      <c r="AG81" s="164"/>
      <c r="AH81" s="53" t="e">
        <f>#REF!</f>
        <v>#REF!</v>
      </c>
      <c r="AI81" s="132" t="e">
        <f>MIN(25%,(#REF!+#REF!)/(#REF!-#REF!*20))</f>
        <v>#REF!</v>
      </c>
      <c r="AJ81" s="132" t="e">
        <f>MIN(25%,(#REF!+#REF!)/#REF!)</f>
        <v>#REF!</v>
      </c>
      <c r="AK81" s="39" t="e">
        <f>#REF!</f>
        <v>#REF!</v>
      </c>
      <c r="AL81" s="39" t="e">
        <f>#REF!</f>
        <v>#REF!</v>
      </c>
      <c r="AM81" s="39" t="e">
        <f>ROUNDDOWN( MAX((1 - MIN(facs_constr_factor*#REF!,facs_constr_max) + tech_2_3*#REF! + tech_2_6_2*#REF! + tech_2_10*#REF! + tech_4_6*#REF! + tech_6_3*#REF! + tech_9_2*#REF! + race_construction_cost), 1-global_constr_cap) *#REF!,0)</f>
        <v>#REF!</v>
      </c>
      <c r="AN81" s="39" t="e">
        <f>ROUNDDOWN( MAX(1 - MIN(facs_constr_factor*#REF!,facs_constr_max) + tech_1_11*#REF! + tech_6_3_2*#REF! + tech_5_2_3*#REF!, 1-global_constr_cap) *#REF!,0)</f>
        <v>#REF!</v>
      </c>
      <c r="AO81" s="39" t="e">
        <f>ROUNDDOWN( MAX((1 - MIN(facs_constr_factor*#REF!,facs_constr_max) + tech_2_3*#REF! + tech_2_6_2*#REF! + tech_2_10*#REF! + tech_4_6*#REF! + tech_6_3*#REF! + tech_9_2*#REF! + race_construction_cost), 1-global_constr_cap) * (ROUND((#REF!-250)*1.25 + 850 + 0,0)),0)</f>
        <v>#REF!</v>
      </c>
      <c r="AP81" s="39" t="e">
        <f>ROUNDDOWN( MAX(1 - MIN(facs_constr_factor*#REF!,facs_constr_max) + tech_1_11*#REF! + tech_6_3_2*#REF! + tech_5_2_3*#REF!, 1-global_constr_cap) * ROUND((#REF!-250)*0.285 + 87.5 + 0/4.25,0),0)</f>
        <v>#REF!</v>
      </c>
      <c r="AQ81" s="3" t="e">
        <f>#REF!*#REF! +#REF! *#REF!</f>
        <v>#REF!</v>
      </c>
      <c r="AR81" s="3" t="e">
        <f>#REF!*#REF!+#REF!*#REF!</f>
        <v>#REF!</v>
      </c>
      <c r="AS81" s="39" t="e">
        <f ca="1">MIN(SUM(OFFSET(#REF!,-1,0))+SUM(#REF!)+IF(#REF!&gt;12,SUM(OFFSET(#REF!,-12,0)),0),SUM(#REF!))</f>
        <v>#REF!</v>
      </c>
      <c r="AT81" s="3" t="e">
        <f ca="1">IF(#REF!&lt;&gt;0,MAX(0, MIN(20, 20 + SUM(#REF!) - SUM(#REF!) - SUM(OFFSET(#REF!,-1,0)) - IF(#REF!&gt;12,SUM(OFFSET(#REF!,-12,0)),0) - 20*#REF!)),0)</f>
        <v>#REF!</v>
      </c>
      <c r="AU81" s="134"/>
      <c r="AV81" s="39" t="e">
        <f>ROUND((#REF!-250 - IF(#REF!&lt;&gt;0,20,0))*1.25 + 850 + 0,0)</f>
        <v>#REF!</v>
      </c>
      <c r="AW81" s="39" t="e">
        <f>ROUND((#REF!-250 - IF(#REF!&lt;&gt;0,20,0))*0.285 + 87.5 + 0/4.25,0)</f>
        <v>#REF!</v>
      </c>
      <c r="AX81" s="133"/>
      <c r="AY81" s="172" t="e">
        <f t="array" aca="1" ref="AY81" ca="1">IF(#REF!&gt;12,OFFSET(#REF!,-12,0),0)+OFFSET(#REF!,-1,0)-#REF!</f>
        <v>#REF!</v>
      </c>
      <c r="AZ81" s="173" t="e">
        <f t="array" aca="1" ref="AZ81" ca="1">IF(#REF!&gt;12,OFFSET(#REF!,-12,0),0)+OFFSET(#REF!,-1,0)-#REF!</f>
        <v>#REF!</v>
      </c>
      <c r="BA81" s="173" t="e">
        <f t="array" aca="1" ref="BA81" ca="1">IF(#REF!&gt;12,OFFSET(#REF!,-12,0),0)+OFFSET(#REF!,-1,0)-#REF!</f>
        <v>#REF!</v>
      </c>
      <c r="BB81" s="173" t="e">
        <f t="array" aca="1" ref="BB81" ca="1">IF(#REF!&gt;12,OFFSET(#REF!,-12,0),0)+OFFSET(#REF!,-1,0)-#REF!</f>
        <v>#REF!</v>
      </c>
      <c r="BC81" s="173" t="e">
        <f t="array" aca="1" ref="BC81" ca="1">IF(#REF!&gt;12,OFFSET(#REF!,-12,0),0)+OFFSET(#REF!,-1,0)-#REF!</f>
        <v>#REF!</v>
      </c>
      <c r="BD81" s="174" t="e">
        <f t="array" aca="1" ref="BD81" ca="1">IF(#REF!&gt;12,OFFSET(#REF!,-12,0),0)+OFFSET(#REF!,-1,0)-#REF!</f>
        <v>#REF!</v>
      </c>
      <c r="BE81" s="174" t="e">
        <f t="array" aca="1" ref="BE81" ca="1">IF(#REF!&gt;12,OFFSET(#REF!,-12,0),0)+OFFSET(#REF!,-1,0)-#REF!</f>
        <v>#REF!</v>
      </c>
      <c r="BF81" s="343" t="e">
        <f t="array" aca="1" ref="BF81" ca="1">IF(#REF!&gt;12,OFFSET(#REF!,-12,0),0)+OFFSET(#REF!,-1,0)-#REF!</f>
        <v>#REF!</v>
      </c>
      <c r="BG81" s="343" t="e">
        <f t="array" aca="1" ref="BG81" ca="1">IF(#REF!&gt;12,OFFSET(#REF!,-12,0),0)+OFFSET(#REF!,-1,0)-#REF!</f>
        <v>#REF!</v>
      </c>
      <c r="BH81" s="347" t="e">
        <f t="array" aca="1" ref="BH81" ca="1">IF(#REF!&gt;12,OFFSET(#REF!,-12,0),0)+OFFSET(#REF!,-1,0)-#REF!</f>
        <v>#REF!</v>
      </c>
      <c r="BI81" s="347" t="e">
        <f t="array" aca="1" ref="BI81" ca="1">IF(#REF!&gt;12,OFFSET(#REF!,-12,0),0)+OFFSET(#REF!,-1,0)-#REF!</f>
        <v>#REF!</v>
      </c>
      <c r="BJ81" s="347" t="e">
        <f t="array" aca="1" ref="BJ81" ca="1">IF(#REF!&gt;12,OFFSET(#REF!,-12,0),0)+OFFSET(#REF!,-1,0)-#REF!</f>
        <v>#REF!</v>
      </c>
      <c r="BK81" s="347" t="e">
        <f t="array" aca="1" ref="BK81" ca="1">IF(#REF!&gt;12,OFFSET(#REF!,-12,0),0)+OFFSET(#REF!,-1,0)-#REF!</f>
        <v>#REF!</v>
      </c>
      <c r="BL81" s="351" t="e">
        <f t="array" aca="1" ref="BL81" ca="1">IF(#REF!&gt;12,OFFSET(#REF!,-12,0),0)+OFFSET(#REF!,-1,0)-#REF!</f>
        <v>#REF!</v>
      </c>
      <c r="BM81" s="351" t="e">
        <f t="array" aca="1" ref="BM81" ca="1">IF(#REF!&gt;12,OFFSET(#REF!,-12,0),0)+OFFSET(#REF!,-1,0)-#REF!</f>
        <v>#REF!</v>
      </c>
      <c r="BN81" s="351" t="e">
        <f t="array" aca="1" ref="BN81" ca="1">IF(#REF!&gt;12,OFFSET(#REF!,-12,0),0)+OFFSET(#REF!,-1,0)-#REF!</f>
        <v>#REF!</v>
      </c>
      <c r="BO81" s="175" t="e">
        <f t="array" aca="1" ref="BO81" ca="1">IF(#REF!&gt;12,OFFSET(#REF!,-12,0),0)+OFFSET(#REF!,-1,0)-#REF!</f>
        <v>#REF!</v>
      </c>
      <c r="BP81" s="175" t="e">
        <f t="array" aca="1" ref="BP81" ca="1">IF(#REF!&gt;12,OFFSET(#REF!,-12,0),0)+OFFSET(#REF!,-1,0)-#REF!</f>
        <v>#REF!</v>
      </c>
      <c r="BQ81" s="176" t="e">
        <f t="array" aca="1" ref="BQ81" ca="1">IF(#REF!&gt;12,OFFSET(#REF!,-12,0),0)+OFFSET(#REF!,-1,0)-#REF!</f>
        <v>#REF!</v>
      </c>
      <c r="BR81" s="134"/>
      <c r="BS81" s="133"/>
      <c r="BT81" s="39" t="e">
        <f>#REF!</f>
        <v>#REF!</v>
      </c>
      <c r="BU81" s="147" t="e">
        <f>#REF!</f>
        <v>#REF!</v>
      </c>
      <c r="BV81" s="134"/>
      <c r="BW81" s="164"/>
      <c r="BX81" s="164"/>
      <c r="BY81" s="164"/>
      <c r="BZ81" s="164"/>
      <c r="CA81" s="164"/>
      <c r="CB81" s="164"/>
      <c r="CC81" s="164"/>
      <c r="CD81" s="164"/>
      <c r="CE81" s="164"/>
      <c r="CF81" s="164"/>
      <c r="CG81" s="164"/>
      <c r="CH81" s="164"/>
      <c r="CI81" s="164"/>
      <c r="CJ81" s="164"/>
      <c r="CK81" s="164"/>
      <c r="CL81" s="164"/>
      <c r="CM81" s="164"/>
      <c r="CN81" s="164"/>
      <c r="CO81" s="164"/>
      <c r="CP81" s="134"/>
      <c r="CQ81" s="165" t="e">
        <f ca="1">-SUM(#REF!)+SUM(#REF!)+Rezone!L81+IF("Ch_"&amp; home_land=#REF!,#REF!)+IF(#REF!&gt;12,OFFSET(#REF!,-12,0),0)</f>
        <v>#REF!</v>
      </c>
      <c r="CR81" s="166" t="e">
        <f ca="1">-SUM(#REF!)+SUM(#REF!) +Rezone!M81 + IF("Ch_"&amp; home_land=#REF!,#REF!)+IF(#REF!&gt;12,OFFSET(#REF!,-12,0),0)</f>
        <v>#REF!</v>
      </c>
      <c r="CS81" s="341" t="e">
        <f ca="1">-SUM(#REF!)+SUM(#REF!) +Rezone!N81 + IF("Ch_"&amp; home_land=#REF!,#REF!)+IF(#REF!&gt;12,OFFSET(#REF!,-12,0),0)</f>
        <v>#REF!</v>
      </c>
      <c r="CT81" s="167" t="e">
        <f ca="1">-SUM(#REF!)+SUM(#REF!) +Rezone!O81 + IF("Ch_" &amp; home_land=#REF!,#REF!)+IF(#REF!&gt;12,OFFSET(#REF!,-12,0),0)</f>
        <v>#REF!</v>
      </c>
      <c r="CU81" s="168" t="e">
        <f ca="1">-SUM(#REF!)+SUM(#REF!) +Rezone!P81 + IF("Ch_" &amp; home_land=#REF!,#REF!)+IF(#REF!&gt;12,OFFSET(#REF!,-12,0),0)</f>
        <v>#REF!</v>
      </c>
      <c r="CV81" s="169" t="e">
        <f ca="1">- SUM(#REF!)+SUM(#REF!) +Rezone!Q81 + IF("Ch_" &amp; home_land=#REF!,#REF!)+IF(#REF!&gt;12,OFFSET(#REF!,-12,0),0)</f>
        <v>#REF!</v>
      </c>
      <c r="CW81" s="170" t="e">
        <f ca="1">-#REF!+#REF! +Rezone!R81 + IF("Ch_" &amp; home_land=#REF!,#REF!)+IF(#REF!&gt;12,OFFSET(#REF!,-12,0),0)</f>
        <v>#REF!</v>
      </c>
      <c r="CX81" s="3" t="e">
        <f>IF(Explore!S81=1,20) -#REF! +#REF!</f>
        <v>#REF!</v>
      </c>
      <c r="CY81" s="134"/>
      <c r="CZ81" s="39" t="e">
        <f t="shared" ca="1" si="23"/>
        <v>#REF!</v>
      </c>
      <c r="DA81" s="39" t="e">
        <f t="shared" ca="1" si="24"/>
        <v>#REF!</v>
      </c>
      <c r="DB81" s="3" t="e">
        <f t="shared" ca="1" si="25"/>
        <v>#REF!</v>
      </c>
      <c r="DC81" s="39" t="e">
        <f t="shared" ca="1" si="26"/>
        <v>#REF!</v>
      </c>
      <c r="DD81" s="39" t="e">
        <f t="shared" ca="1" si="27"/>
        <v>#REF!</v>
      </c>
      <c r="DE81" s="3" t="e">
        <f t="shared" ca="1" si="28"/>
        <v>#REF!</v>
      </c>
      <c r="DF81" s="39" t="e">
        <f t="shared" ca="1" si="29"/>
        <v>#REF!</v>
      </c>
      <c r="DG81" s="39" t="e">
        <f t="array" ref="DG81">INDEX(#REF!,ROW()-ROW(#REF!),MATCH("Total "&amp;home_land,#REF!,0))+#REF!</f>
        <v>#REF!</v>
      </c>
      <c r="DH81" s="3" t="e">
        <f t="shared" ca="1" si="22"/>
        <v>#REF!</v>
      </c>
      <c r="DI81" s="3" t="e">
        <f t="shared" ca="1" si="19"/>
        <v>#REF!</v>
      </c>
      <c r="DJ81" s="3" t="e">
        <f t="shared" ca="1" si="20"/>
        <v>#REF!</v>
      </c>
    </row>
    <row r="82" spans="1:114" x14ac:dyDescent="0.25">
      <c r="A82" s="160" t="e">
        <f>#REF!</f>
        <v>#REF!</v>
      </c>
      <c r="B82" s="161" t="e">
        <f>SUM(#REF!)</f>
        <v>#REF!</v>
      </c>
      <c r="C82" s="162" t="e">
        <f>SUM(#REF!)</f>
        <v>#REF!</v>
      </c>
      <c r="D82" s="162">
        <f t="shared" si="21"/>
        <v>0</v>
      </c>
      <c r="E82" s="163"/>
      <c r="F82" s="61" t="e">
        <f>#REF!+#REF!+#REF!</f>
        <v>#REF!</v>
      </c>
      <c r="G82" s="171" t="e">
        <f ca="1">OFFSET(#REF!,-1,0)+#REF!</f>
        <v>#REF!</v>
      </c>
      <c r="H82" s="166" t="e">
        <f ca="1">OFFSET(#REF!,-1,0)+#REF!</f>
        <v>#REF!</v>
      </c>
      <c r="I82" s="341" t="e">
        <f ca="1">OFFSET(#REF!,-1,0)+#REF!</f>
        <v>#REF!</v>
      </c>
      <c r="J82" s="345" t="e">
        <f ca="1">OFFSET(#REF!,-1,0)+#REF!</f>
        <v>#REF!</v>
      </c>
      <c r="K82" s="349" t="e">
        <f ca="1">OFFSET(#REF!,-1,0)+#REF!</f>
        <v>#REF!</v>
      </c>
      <c r="L82" s="169" t="e">
        <f ca="1">OFFSET(#REF!,-1,0)+#REF!</f>
        <v>#REF!</v>
      </c>
      <c r="M82" s="170" t="e">
        <f ca="1">OFFSET(#REF!,-1,0)+#REF!</f>
        <v>#REF!</v>
      </c>
      <c r="N82" s="339" t="e">
        <f>#REF!</f>
        <v>#REF!</v>
      </c>
      <c r="O82" s="164"/>
      <c r="P82" s="164"/>
      <c r="Q82" s="164"/>
      <c r="R82" s="164"/>
      <c r="S82" s="164"/>
      <c r="T82" s="164"/>
      <c r="U82" s="164"/>
      <c r="V82" s="164"/>
      <c r="W82" s="164"/>
      <c r="X82" s="164"/>
      <c r="Y82" s="164"/>
      <c r="Z82" s="164"/>
      <c r="AA82" s="164"/>
      <c r="AB82" s="164"/>
      <c r="AC82" s="164"/>
      <c r="AD82" s="164"/>
      <c r="AE82" s="164"/>
      <c r="AF82" s="164"/>
      <c r="AG82" s="164"/>
      <c r="AH82" s="53" t="e">
        <f>#REF!</f>
        <v>#REF!</v>
      </c>
      <c r="AI82" s="132" t="e">
        <f>MIN(25%,(#REF!+#REF!)/(#REF!-#REF!*20))</f>
        <v>#REF!</v>
      </c>
      <c r="AJ82" s="132" t="e">
        <f>MIN(25%,(#REF!+#REF!)/#REF!)</f>
        <v>#REF!</v>
      </c>
      <c r="AK82" s="39" t="e">
        <f>#REF!</f>
        <v>#REF!</v>
      </c>
      <c r="AL82" s="39" t="e">
        <f>#REF!</f>
        <v>#REF!</v>
      </c>
      <c r="AM82" s="39" t="e">
        <f>ROUNDDOWN( MAX((1 - MIN(facs_constr_factor*#REF!,facs_constr_max) + tech_2_3*#REF! + tech_2_6_2*#REF! + tech_2_10*#REF! + tech_4_6*#REF! + tech_6_3*#REF! + tech_9_2*#REF! + race_construction_cost), 1-global_constr_cap) *#REF!,0)</f>
        <v>#REF!</v>
      </c>
      <c r="AN82" s="39" t="e">
        <f>ROUNDDOWN( MAX(1 - MIN(facs_constr_factor*#REF!,facs_constr_max) + tech_1_11*#REF! + tech_6_3_2*#REF! + tech_5_2_3*#REF!, 1-global_constr_cap) *#REF!,0)</f>
        <v>#REF!</v>
      </c>
      <c r="AO82" s="39" t="e">
        <f>ROUNDDOWN( MAX((1 - MIN(facs_constr_factor*#REF!,facs_constr_max) + tech_2_3*#REF! + tech_2_6_2*#REF! + tech_2_10*#REF! + tech_4_6*#REF! + tech_6_3*#REF! + tech_9_2*#REF! + race_construction_cost), 1-global_constr_cap) * (ROUND((#REF!-250)*1.25 + 850 + 0,0)),0)</f>
        <v>#REF!</v>
      </c>
      <c r="AP82" s="39" t="e">
        <f>ROUNDDOWN( MAX(1 - MIN(facs_constr_factor*#REF!,facs_constr_max) + tech_1_11*#REF! + tech_6_3_2*#REF! + tech_5_2_3*#REF!, 1-global_constr_cap) * ROUND((#REF!-250)*0.285 + 87.5 + 0/4.25,0),0)</f>
        <v>#REF!</v>
      </c>
      <c r="AQ82" s="3" t="e">
        <f>#REF!*#REF! +#REF! *#REF!</f>
        <v>#REF!</v>
      </c>
      <c r="AR82" s="3" t="e">
        <f>#REF!*#REF!+#REF!*#REF!</f>
        <v>#REF!</v>
      </c>
      <c r="AS82" s="39" t="e">
        <f ca="1">MIN(SUM(OFFSET(#REF!,-1,0))+SUM(#REF!)+IF(#REF!&gt;12,SUM(OFFSET(#REF!,-12,0)),0),SUM(#REF!))</f>
        <v>#REF!</v>
      </c>
      <c r="AT82" s="3" t="e">
        <f ca="1">IF(#REF!&lt;&gt;0,MAX(0, MIN(20, 20 + SUM(#REF!) - SUM(#REF!) - SUM(OFFSET(#REF!,-1,0)) - IF(#REF!&gt;12,SUM(OFFSET(#REF!,-12,0)),0) - 20*#REF!)),0)</f>
        <v>#REF!</v>
      </c>
      <c r="AU82" s="134"/>
      <c r="AV82" s="39" t="e">
        <f>ROUND((#REF!-250 - IF(#REF!&lt;&gt;0,20,0))*1.25 + 850 + 0,0)</f>
        <v>#REF!</v>
      </c>
      <c r="AW82" s="39" t="e">
        <f>ROUND((#REF!-250 - IF(#REF!&lt;&gt;0,20,0))*0.285 + 87.5 + 0/4.25,0)</f>
        <v>#REF!</v>
      </c>
      <c r="AX82" s="133"/>
      <c r="AY82" s="172" t="e">
        <f t="array" aca="1" ref="AY82" ca="1">IF(#REF!&gt;12,OFFSET(#REF!,-12,0),0)+OFFSET(#REF!,-1,0)-#REF!</f>
        <v>#REF!</v>
      </c>
      <c r="AZ82" s="173" t="e">
        <f t="array" aca="1" ref="AZ82" ca="1">IF(#REF!&gt;12,OFFSET(#REF!,-12,0),0)+OFFSET(#REF!,-1,0)-#REF!</f>
        <v>#REF!</v>
      </c>
      <c r="BA82" s="173" t="e">
        <f t="array" aca="1" ref="BA82" ca="1">IF(#REF!&gt;12,OFFSET(#REF!,-12,0),0)+OFFSET(#REF!,-1,0)-#REF!</f>
        <v>#REF!</v>
      </c>
      <c r="BB82" s="173" t="e">
        <f t="array" aca="1" ref="BB82" ca="1">IF(#REF!&gt;12,OFFSET(#REF!,-12,0),0)+OFFSET(#REF!,-1,0)-#REF!</f>
        <v>#REF!</v>
      </c>
      <c r="BC82" s="173" t="e">
        <f t="array" aca="1" ref="BC82" ca="1">IF(#REF!&gt;12,OFFSET(#REF!,-12,0),0)+OFFSET(#REF!,-1,0)-#REF!</f>
        <v>#REF!</v>
      </c>
      <c r="BD82" s="174" t="e">
        <f t="array" aca="1" ref="BD82" ca="1">IF(#REF!&gt;12,OFFSET(#REF!,-12,0),0)+OFFSET(#REF!,-1,0)-#REF!</f>
        <v>#REF!</v>
      </c>
      <c r="BE82" s="174" t="e">
        <f t="array" aca="1" ref="BE82" ca="1">IF(#REF!&gt;12,OFFSET(#REF!,-12,0),0)+OFFSET(#REF!,-1,0)-#REF!</f>
        <v>#REF!</v>
      </c>
      <c r="BF82" s="343" t="e">
        <f t="array" aca="1" ref="BF82" ca="1">IF(#REF!&gt;12,OFFSET(#REF!,-12,0),0)+OFFSET(#REF!,-1,0)-#REF!</f>
        <v>#REF!</v>
      </c>
      <c r="BG82" s="343" t="e">
        <f t="array" aca="1" ref="BG82" ca="1">IF(#REF!&gt;12,OFFSET(#REF!,-12,0),0)+OFFSET(#REF!,-1,0)-#REF!</f>
        <v>#REF!</v>
      </c>
      <c r="BH82" s="347" t="e">
        <f t="array" aca="1" ref="BH82" ca="1">IF(#REF!&gt;12,OFFSET(#REF!,-12,0),0)+OFFSET(#REF!,-1,0)-#REF!</f>
        <v>#REF!</v>
      </c>
      <c r="BI82" s="347" t="e">
        <f t="array" aca="1" ref="BI82" ca="1">IF(#REF!&gt;12,OFFSET(#REF!,-12,0),0)+OFFSET(#REF!,-1,0)-#REF!</f>
        <v>#REF!</v>
      </c>
      <c r="BJ82" s="347" t="e">
        <f t="array" aca="1" ref="BJ82" ca="1">IF(#REF!&gt;12,OFFSET(#REF!,-12,0),0)+OFFSET(#REF!,-1,0)-#REF!</f>
        <v>#REF!</v>
      </c>
      <c r="BK82" s="347" t="e">
        <f t="array" aca="1" ref="BK82" ca="1">IF(#REF!&gt;12,OFFSET(#REF!,-12,0),0)+OFFSET(#REF!,-1,0)-#REF!</f>
        <v>#REF!</v>
      </c>
      <c r="BL82" s="351" t="e">
        <f t="array" aca="1" ref="BL82" ca="1">IF(#REF!&gt;12,OFFSET(#REF!,-12,0),0)+OFFSET(#REF!,-1,0)-#REF!</f>
        <v>#REF!</v>
      </c>
      <c r="BM82" s="351" t="e">
        <f t="array" aca="1" ref="BM82" ca="1">IF(#REF!&gt;12,OFFSET(#REF!,-12,0),0)+OFFSET(#REF!,-1,0)-#REF!</f>
        <v>#REF!</v>
      </c>
      <c r="BN82" s="351" t="e">
        <f t="array" aca="1" ref="BN82" ca="1">IF(#REF!&gt;12,OFFSET(#REF!,-12,0),0)+OFFSET(#REF!,-1,0)-#REF!</f>
        <v>#REF!</v>
      </c>
      <c r="BO82" s="175" t="e">
        <f t="array" aca="1" ref="BO82" ca="1">IF(#REF!&gt;12,OFFSET(#REF!,-12,0),0)+OFFSET(#REF!,-1,0)-#REF!</f>
        <v>#REF!</v>
      </c>
      <c r="BP82" s="175" t="e">
        <f t="array" aca="1" ref="BP82" ca="1">IF(#REF!&gt;12,OFFSET(#REF!,-12,0),0)+OFFSET(#REF!,-1,0)-#REF!</f>
        <v>#REF!</v>
      </c>
      <c r="BQ82" s="176" t="e">
        <f t="array" aca="1" ref="BQ82" ca="1">IF(#REF!&gt;12,OFFSET(#REF!,-12,0),0)+OFFSET(#REF!,-1,0)-#REF!</f>
        <v>#REF!</v>
      </c>
      <c r="BR82" s="134"/>
      <c r="BS82" s="133"/>
      <c r="BT82" s="39" t="e">
        <f>#REF!</f>
        <v>#REF!</v>
      </c>
      <c r="BU82" s="147" t="e">
        <f>#REF!</f>
        <v>#REF!</v>
      </c>
      <c r="BV82" s="134"/>
      <c r="BW82" s="164"/>
      <c r="BX82" s="164"/>
      <c r="BY82" s="164"/>
      <c r="BZ82" s="164"/>
      <c r="CA82" s="164"/>
      <c r="CB82" s="164"/>
      <c r="CC82" s="164"/>
      <c r="CD82" s="164"/>
      <c r="CE82" s="164"/>
      <c r="CF82" s="164"/>
      <c r="CG82" s="164"/>
      <c r="CH82" s="164"/>
      <c r="CI82" s="164"/>
      <c r="CJ82" s="164"/>
      <c r="CK82" s="164"/>
      <c r="CL82" s="164"/>
      <c r="CM82" s="164"/>
      <c r="CN82" s="164"/>
      <c r="CO82" s="164"/>
      <c r="CP82" s="134"/>
      <c r="CQ82" s="165" t="e">
        <f ca="1">-SUM(#REF!)+SUM(#REF!)+Rezone!L82+IF("Ch_"&amp; home_land=#REF!,#REF!)+IF(#REF!&gt;12,OFFSET(#REF!,-12,0),0)</f>
        <v>#REF!</v>
      </c>
      <c r="CR82" s="166" t="e">
        <f ca="1">-SUM(#REF!)+SUM(#REF!) +Rezone!M82 + IF("Ch_"&amp; home_land=#REF!,#REF!)+IF(#REF!&gt;12,OFFSET(#REF!,-12,0),0)</f>
        <v>#REF!</v>
      </c>
      <c r="CS82" s="341" t="e">
        <f ca="1">-SUM(#REF!)+SUM(#REF!) +Rezone!N82 + IF("Ch_"&amp; home_land=#REF!,#REF!)+IF(#REF!&gt;12,OFFSET(#REF!,-12,0),0)</f>
        <v>#REF!</v>
      </c>
      <c r="CT82" s="167" t="e">
        <f ca="1">-SUM(#REF!)+SUM(#REF!) +Rezone!O82 + IF("Ch_" &amp; home_land=#REF!,#REF!)+IF(#REF!&gt;12,OFFSET(#REF!,-12,0),0)</f>
        <v>#REF!</v>
      </c>
      <c r="CU82" s="168" t="e">
        <f ca="1">-SUM(#REF!)+SUM(#REF!) +Rezone!P82 + IF("Ch_" &amp; home_land=#REF!,#REF!)+IF(#REF!&gt;12,OFFSET(#REF!,-12,0),0)</f>
        <v>#REF!</v>
      </c>
      <c r="CV82" s="169" t="e">
        <f ca="1">- SUM(#REF!)+SUM(#REF!) +Rezone!Q82 + IF("Ch_" &amp; home_land=#REF!,#REF!)+IF(#REF!&gt;12,OFFSET(#REF!,-12,0),0)</f>
        <v>#REF!</v>
      </c>
      <c r="CW82" s="170" t="e">
        <f ca="1">-#REF!+#REF! +Rezone!R82 + IF("Ch_" &amp; home_land=#REF!,#REF!)+IF(#REF!&gt;12,OFFSET(#REF!,-12,0),0)</f>
        <v>#REF!</v>
      </c>
      <c r="CX82" s="3" t="e">
        <f>IF(Explore!S82=1,20) -#REF! +#REF!</f>
        <v>#REF!</v>
      </c>
      <c r="CY82" s="134"/>
      <c r="CZ82" s="39" t="e">
        <f t="shared" ca="1" si="23"/>
        <v>#REF!</v>
      </c>
      <c r="DA82" s="39" t="e">
        <f t="shared" ca="1" si="24"/>
        <v>#REF!</v>
      </c>
      <c r="DB82" s="3" t="e">
        <f t="shared" ca="1" si="25"/>
        <v>#REF!</v>
      </c>
      <c r="DC82" s="39" t="e">
        <f t="shared" ca="1" si="26"/>
        <v>#REF!</v>
      </c>
      <c r="DD82" s="39" t="e">
        <f t="shared" ca="1" si="27"/>
        <v>#REF!</v>
      </c>
      <c r="DE82" s="3" t="e">
        <f t="shared" ca="1" si="28"/>
        <v>#REF!</v>
      </c>
      <c r="DF82" s="39" t="e">
        <f t="shared" ca="1" si="29"/>
        <v>#REF!</v>
      </c>
      <c r="DG82" s="39" t="e">
        <f t="array" ref="DG82">INDEX(#REF!,ROW()-ROW(#REF!),MATCH("Total "&amp;home_land,#REF!,0))+#REF!</f>
        <v>#REF!</v>
      </c>
      <c r="DH82" s="3" t="e">
        <f t="shared" ca="1" si="22"/>
        <v>#REF!</v>
      </c>
      <c r="DI82" s="3" t="e">
        <f t="shared" ca="1" si="19"/>
        <v>#REF!</v>
      </c>
      <c r="DJ82" s="3" t="e">
        <f t="shared" ca="1" si="20"/>
        <v>#REF!</v>
      </c>
    </row>
    <row r="83" spans="1:114" x14ac:dyDescent="0.25">
      <c r="A83" s="160" t="e">
        <f>#REF!</f>
        <v>#REF!</v>
      </c>
      <c r="B83" s="161" t="e">
        <f>SUM(#REF!)</f>
        <v>#REF!</v>
      </c>
      <c r="C83" s="162" t="e">
        <f>SUM(#REF!)</f>
        <v>#REF!</v>
      </c>
      <c r="D83" s="162">
        <f t="shared" si="21"/>
        <v>0</v>
      </c>
      <c r="E83" s="163"/>
      <c r="F83" s="61" t="e">
        <f>#REF!+#REF!+#REF!</f>
        <v>#REF!</v>
      </c>
      <c r="G83" s="171" t="e">
        <f ca="1">OFFSET(#REF!,-1,0)+#REF!</f>
        <v>#REF!</v>
      </c>
      <c r="H83" s="166" t="e">
        <f ca="1">OFFSET(#REF!,-1,0)+#REF!</f>
        <v>#REF!</v>
      </c>
      <c r="I83" s="341" t="e">
        <f ca="1">OFFSET(#REF!,-1,0)+#REF!</f>
        <v>#REF!</v>
      </c>
      <c r="J83" s="345" t="e">
        <f ca="1">OFFSET(#REF!,-1,0)+#REF!</f>
        <v>#REF!</v>
      </c>
      <c r="K83" s="349" t="e">
        <f ca="1">OFFSET(#REF!,-1,0)+#REF!</f>
        <v>#REF!</v>
      </c>
      <c r="L83" s="169" t="e">
        <f ca="1">OFFSET(#REF!,-1,0)+#REF!</f>
        <v>#REF!</v>
      </c>
      <c r="M83" s="170" t="e">
        <f ca="1">OFFSET(#REF!,-1,0)+#REF!</f>
        <v>#REF!</v>
      </c>
      <c r="N83" s="339" t="e">
        <f>#REF!</f>
        <v>#REF!</v>
      </c>
      <c r="O83" s="164"/>
      <c r="P83" s="164"/>
      <c r="Q83" s="164"/>
      <c r="R83" s="164"/>
      <c r="S83" s="164"/>
      <c r="T83" s="164"/>
      <c r="U83" s="164"/>
      <c r="V83" s="164"/>
      <c r="W83" s="164"/>
      <c r="X83" s="164"/>
      <c r="Y83" s="164"/>
      <c r="Z83" s="164"/>
      <c r="AA83" s="164"/>
      <c r="AB83" s="164"/>
      <c r="AC83" s="164"/>
      <c r="AD83" s="164"/>
      <c r="AE83" s="164"/>
      <c r="AF83" s="164"/>
      <c r="AG83" s="164"/>
      <c r="AH83" s="53" t="e">
        <f>#REF!</f>
        <v>#REF!</v>
      </c>
      <c r="AI83" s="132" t="e">
        <f>MIN(25%,(#REF!+#REF!)/(#REF!-#REF!*20))</f>
        <v>#REF!</v>
      </c>
      <c r="AJ83" s="132" t="e">
        <f>MIN(25%,(#REF!+#REF!)/#REF!)</f>
        <v>#REF!</v>
      </c>
      <c r="AK83" s="39" t="e">
        <f>#REF!</f>
        <v>#REF!</v>
      </c>
      <c r="AL83" s="39" t="e">
        <f>#REF!</f>
        <v>#REF!</v>
      </c>
      <c r="AM83" s="39" t="e">
        <f>ROUNDDOWN( MAX((1 - MIN(facs_constr_factor*#REF!,facs_constr_max) + tech_2_3*#REF! + tech_2_6_2*#REF! + tech_2_10*#REF! + tech_4_6*#REF! + tech_6_3*#REF! + tech_9_2*#REF! + race_construction_cost), 1-global_constr_cap) *#REF!,0)</f>
        <v>#REF!</v>
      </c>
      <c r="AN83" s="39" t="e">
        <f>ROUNDDOWN( MAX(1 - MIN(facs_constr_factor*#REF!,facs_constr_max) + tech_1_11*#REF! + tech_6_3_2*#REF! + tech_5_2_3*#REF!, 1-global_constr_cap) *#REF!,0)</f>
        <v>#REF!</v>
      </c>
      <c r="AO83" s="39" t="e">
        <f>ROUNDDOWN( MAX((1 - MIN(facs_constr_factor*#REF!,facs_constr_max) + tech_2_3*#REF! + tech_2_6_2*#REF! + tech_2_10*#REF! + tech_4_6*#REF! + tech_6_3*#REF! + tech_9_2*#REF! + race_construction_cost), 1-global_constr_cap) * (ROUND((#REF!-250)*1.25 + 850 + 0,0)),0)</f>
        <v>#REF!</v>
      </c>
      <c r="AP83" s="39" t="e">
        <f>ROUNDDOWN( MAX(1 - MIN(facs_constr_factor*#REF!,facs_constr_max) + tech_1_11*#REF! + tech_6_3_2*#REF! + tech_5_2_3*#REF!, 1-global_constr_cap) * ROUND((#REF!-250)*0.285 + 87.5 + 0/4.25,0),0)</f>
        <v>#REF!</v>
      </c>
      <c r="AQ83" s="3" t="e">
        <f>#REF!*#REF! +#REF! *#REF!</f>
        <v>#REF!</v>
      </c>
      <c r="AR83" s="3" t="e">
        <f>#REF!*#REF!+#REF!*#REF!</f>
        <v>#REF!</v>
      </c>
      <c r="AS83" s="39" t="e">
        <f ca="1">MIN(SUM(OFFSET(#REF!,-1,0))+SUM(#REF!)+IF(#REF!&gt;12,SUM(OFFSET(#REF!,-12,0)),0),SUM(#REF!))</f>
        <v>#REF!</v>
      </c>
      <c r="AT83" s="3" t="e">
        <f ca="1">IF(#REF!&lt;&gt;0,MAX(0, MIN(20, 20 + SUM(#REF!) - SUM(#REF!) - SUM(OFFSET(#REF!,-1,0)) - IF(#REF!&gt;12,SUM(OFFSET(#REF!,-12,0)),0) - 20*#REF!)),0)</f>
        <v>#REF!</v>
      </c>
      <c r="AU83" s="134"/>
      <c r="AV83" s="39" t="e">
        <f>ROUND((#REF!-250 - IF(#REF!&lt;&gt;0,20,0))*1.25 + 850 + 0,0)</f>
        <v>#REF!</v>
      </c>
      <c r="AW83" s="39" t="e">
        <f>ROUND((#REF!-250 - IF(#REF!&lt;&gt;0,20,0))*0.285 + 87.5 + 0/4.25,0)</f>
        <v>#REF!</v>
      </c>
      <c r="AX83" s="133"/>
      <c r="AY83" s="172" t="e">
        <f t="array" aca="1" ref="AY83" ca="1">IF(#REF!&gt;12,OFFSET(#REF!,-12,0),0)+OFFSET(#REF!,-1,0)-#REF!</f>
        <v>#REF!</v>
      </c>
      <c r="AZ83" s="173" t="e">
        <f t="array" aca="1" ref="AZ83" ca="1">IF(#REF!&gt;12,OFFSET(#REF!,-12,0),0)+OFFSET(#REF!,-1,0)-#REF!</f>
        <v>#REF!</v>
      </c>
      <c r="BA83" s="173" t="e">
        <f t="array" aca="1" ref="BA83" ca="1">IF(#REF!&gt;12,OFFSET(#REF!,-12,0),0)+OFFSET(#REF!,-1,0)-#REF!</f>
        <v>#REF!</v>
      </c>
      <c r="BB83" s="173" t="e">
        <f t="array" aca="1" ref="BB83" ca="1">IF(#REF!&gt;12,OFFSET(#REF!,-12,0),0)+OFFSET(#REF!,-1,0)-#REF!</f>
        <v>#REF!</v>
      </c>
      <c r="BC83" s="173" t="e">
        <f t="array" aca="1" ref="BC83" ca="1">IF(#REF!&gt;12,OFFSET(#REF!,-12,0),0)+OFFSET(#REF!,-1,0)-#REF!</f>
        <v>#REF!</v>
      </c>
      <c r="BD83" s="174" t="e">
        <f t="array" aca="1" ref="BD83" ca="1">IF(#REF!&gt;12,OFFSET(#REF!,-12,0),0)+OFFSET(#REF!,-1,0)-#REF!</f>
        <v>#REF!</v>
      </c>
      <c r="BE83" s="174" t="e">
        <f t="array" aca="1" ref="BE83" ca="1">IF(#REF!&gt;12,OFFSET(#REF!,-12,0),0)+OFFSET(#REF!,-1,0)-#REF!</f>
        <v>#REF!</v>
      </c>
      <c r="BF83" s="343" t="e">
        <f t="array" aca="1" ref="BF83" ca="1">IF(#REF!&gt;12,OFFSET(#REF!,-12,0),0)+OFFSET(#REF!,-1,0)-#REF!</f>
        <v>#REF!</v>
      </c>
      <c r="BG83" s="343" t="e">
        <f t="array" aca="1" ref="BG83" ca="1">IF(#REF!&gt;12,OFFSET(#REF!,-12,0),0)+OFFSET(#REF!,-1,0)-#REF!</f>
        <v>#REF!</v>
      </c>
      <c r="BH83" s="347" t="e">
        <f t="array" aca="1" ref="BH83" ca="1">IF(#REF!&gt;12,OFFSET(#REF!,-12,0),0)+OFFSET(#REF!,-1,0)-#REF!</f>
        <v>#REF!</v>
      </c>
      <c r="BI83" s="347" t="e">
        <f t="array" aca="1" ref="BI83" ca="1">IF(#REF!&gt;12,OFFSET(#REF!,-12,0),0)+OFFSET(#REF!,-1,0)-#REF!</f>
        <v>#REF!</v>
      </c>
      <c r="BJ83" s="347" t="e">
        <f t="array" aca="1" ref="BJ83" ca="1">IF(#REF!&gt;12,OFFSET(#REF!,-12,0),0)+OFFSET(#REF!,-1,0)-#REF!</f>
        <v>#REF!</v>
      </c>
      <c r="BK83" s="347" t="e">
        <f t="array" aca="1" ref="BK83" ca="1">IF(#REF!&gt;12,OFFSET(#REF!,-12,0),0)+OFFSET(#REF!,-1,0)-#REF!</f>
        <v>#REF!</v>
      </c>
      <c r="BL83" s="351" t="e">
        <f t="array" aca="1" ref="BL83" ca="1">IF(#REF!&gt;12,OFFSET(#REF!,-12,0),0)+OFFSET(#REF!,-1,0)-#REF!</f>
        <v>#REF!</v>
      </c>
      <c r="BM83" s="351" t="e">
        <f t="array" aca="1" ref="BM83" ca="1">IF(#REF!&gt;12,OFFSET(#REF!,-12,0),0)+OFFSET(#REF!,-1,0)-#REF!</f>
        <v>#REF!</v>
      </c>
      <c r="BN83" s="351" t="e">
        <f t="array" aca="1" ref="BN83" ca="1">IF(#REF!&gt;12,OFFSET(#REF!,-12,0),0)+OFFSET(#REF!,-1,0)-#REF!</f>
        <v>#REF!</v>
      </c>
      <c r="BO83" s="175" t="e">
        <f t="array" aca="1" ref="BO83" ca="1">IF(#REF!&gt;12,OFFSET(#REF!,-12,0),0)+OFFSET(#REF!,-1,0)-#REF!</f>
        <v>#REF!</v>
      </c>
      <c r="BP83" s="175" t="e">
        <f t="array" aca="1" ref="BP83" ca="1">IF(#REF!&gt;12,OFFSET(#REF!,-12,0),0)+OFFSET(#REF!,-1,0)-#REF!</f>
        <v>#REF!</v>
      </c>
      <c r="BQ83" s="176" t="e">
        <f t="array" aca="1" ref="BQ83" ca="1">IF(#REF!&gt;12,OFFSET(#REF!,-12,0),0)+OFFSET(#REF!,-1,0)-#REF!</f>
        <v>#REF!</v>
      </c>
      <c r="BR83" s="134"/>
      <c r="BS83" s="133"/>
      <c r="BT83" s="39" t="e">
        <f>#REF!</f>
        <v>#REF!</v>
      </c>
      <c r="BU83" s="147" t="e">
        <f>#REF!</f>
        <v>#REF!</v>
      </c>
      <c r="BV83" s="134"/>
      <c r="BW83" s="164"/>
      <c r="BX83" s="164"/>
      <c r="BY83" s="164"/>
      <c r="BZ83" s="164"/>
      <c r="CA83" s="164"/>
      <c r="CB83" s="164"/>
      <c r="CC83" s="164"/>
      <c r="CD83" s="164"/>
      <c r="CE83" s="164"/>
      <c r="CF83" s="164"/>
      <c r="CG83" s="164"/>
      <c r="CH83" s="164"/>
      <c r="CI83" s="164"/>
      <c r="CJ83" s="164"/>
      <c r="CK83" s="164"/>
      <c r="CL83" s="164"/>
      <c r="CM83" s="164"/>
      <c r="CN83" s="164"/>
      <c r="CO83" s="164"/>
      <c r="CP83" s="134"/>
      <c r="CQ83" s="165" t="e">
        <f ca="1">-SUM(#REF!)+SUM(#REF!)+Rezone!L83+IF("Ch_"&amp; home_land=#REF!,#REF!)+IF(#REF!&gt;12,OFFSET(#REF!,-12,0),0)</f>
        <v>#REF!</v>
      </c>
      <c r="CR83" s="166" t="e">
        <f ca="1">-SUM(#REF!)+SUM(#REF!) +Rezone!M83 + IF("Ch_"&amp; home_land=#REF!,#REF!)+IF(#REF!&gt;12,OFFSET(#REF!,-12,0),0)</f>
        <v>#REF!</v>
      </c>
      <c r="CS83" s="341" t="e">
        <f ca="1">-SUM(#REF!)+SUM(#REF!) +Rezone!N83 + IF("Ch_"&amp; home_land=#REF!,#REF!)+IF(#REF!&gt;12,OFFSET(#REF!,-12,0),0)</f>
        <v>#REF!</v>
      </c>
      <c r="CT83" s="167" t="e">
        <f ca="1">-SUM(#REF!)+SUM(#REF!) +Rezone!O83 + IF("Ch_" &amp; home_land=#REF!,#REF!)+IF(#REF!&gt;12,OFFSET(#REF!,-12,0),0)</f>
        <v>#REF!</v>
      </c>
      <c r="CU83" s="168" t="e">
        <f ca="1">-SUM(#REF!)+SUM(#REF!) +Rezone!P83 + IF("Ch_" &amp; home_land=#REF!,#REF!)+IF(#REF!&gt;12,OFFSET(#REF!,-12,0),0)</f>
        <v>#REF!</v>
      </c>
      <c r="CV83" s="169" t="e">
        <f ca="1">- SUM(#REF!)+SUM(#REF!) +Rezone!Q83 + IF("Ch_" &amp; home_land=#REF!,#REF!)+IF(#REF!&gt;12,OFFSET(#REF!,-12,0),0)</f>
        <v>#REF!</v>
      </c>
      <c r="CW83" s="170" t="e">
        <f ca="1">-#REF!+#REF! +Rezone!R83 + IF("Ch_" &amp; home_land=#REF!,#REF!)+IF(#REF!&gt;12,OFFSET(#REF!,-12,0),0)</f>
        <v>#REF!</v>
      </c>
      <c r="CX83" s="3" t="e">
        <f>IF(Explore!S83=1,20) -#REF! +#REF!</f>
        <v>#REF!</v>
      </c>
      <c r="CY83" s="134"/>
      <c r="CZ83" s="39" t="e">
        <f t="shared" ca="1" si="23"/>
        <v>#REF!</v>
      </c>
      <c r="DA83" s="39" t="e">
        <f t="shared" ca="1" si="24"/>
        <v>#REF!</v>
      </c>
      <c r="DB83" s="3" t="e">
        <f t="shared" ca="1" si="25"/>
        <v>#REF!</v>
      </c>
      <c r="DC83" s="39" t="e">
        <f t="shared" ca="1" si="26"/>
        <v>#REF!</v>
      </c>
      <c r="DD83" s="39" t="e">
        <f t="shared" ca="1" si="27"/>
        <v>#REF!</v>
      </c>
      <c r="DE83" s="3" t="e">
        <f t="shared" ca="1" si="28"/>
        <v>#REF!</v>
      </c>
      <c r="DF83" s="39" t="e">
        <f t="shared" ca="1" si="29"/>
        <v>#REF!</v>
      </c>
      <c r="DG83" s="39" t="e">
        <f t="array" ref="DG83">INDEX(#REF!,ROW()-ROW(#REF!),MATCH("Total "&amp;home_land,#REF!,0))+#REF!</f>
        <v>#REF!</v>
      </c>
      <c r="DH83" s="3" t="e">
        <f t="shared" ca="1" si="22"/>
        <v>#REF!</v>
      </c>
      <c r="DI83" s="3" t="e">
        <f t="shared" ca="1" si="19"/>
        <v>#REF!</v>
      </c>
      <c r="DJ83" s="3" t="e">
        <f t="shared" ca="1" si="20"/>
        <v>#REF!</v>
      </c>
    </row>
    <row r="84" spans="1:114" x14ac:dyDescent="0.25">
      <c r="A84" s="160" t="e">
        <f>#REF!</f>
        <v>#REF!</v>
      </c>
      <c r="B84" s="161" t="e">
        <f>SUM(#REF!)</f>
        <v>#REF!</v>
      </c>
      <c r="C84" s="162" t="e">
        <f>SUM(#REF!)</f>
        <v>#REF!</v>
      </c>
      <c r="D84" s="162">
        <f t="shared" si="21"/>
        <v>0</v>
      </c>
      <c r="E84" s="163"/>
      <c r="F84" s="61" t="e">
        <f>#REF!+#REF!+#REF!</f>
        <v>#REF!</v>
      </c>
      <c r="G84" s="171" t="e">
        <f ca="1">OFFSET(#REF!,-1,0)+#REF!</f>
        <v>#REF!</v>
      </c>
      <c r="H84" s="166" t="e">
        <f ca="1">OFFSET(#REF!,-1,0)+#REF!</f>
        <v>#REF!</v>
      </c>
      <c r="I84" s="341" t="e">
        <f ca="1">OFFSET(#REF!,-1,0)+#REF!</f>
        <v>#REF!</v>
      </c>
      <c r="J84" s="345" t="e">
        <f ca="1">OFFSET(#REF!,-1,0)+#REF!</f>
        <v>#REF!</v>
      </c>
      <c r="K84" s="349" t="e">
        <f ca="1">OFFSET(#REF!,-1,0)+#REF!</f>
        <v>#REF!</v>
      </c>
      <c r="L84" s="169" t="e">
        <f ca="1">OFFSET(#REF!,-1,0)+#REF!</f>
        <v>#REF!</v>
      </c>
      <c r="M84" s="170" t="e">
        <f ca="1">OFFSET(#REF!,-1,0)+#REF!</f>
        <v>#REF!</v>
      </c>
      <c r="N84" s="339" t="e">
        <f>#REF!</f>
        <v>#REF!</v>
      </c>
      <c r="O84" s="164"/>
      <c r="P84" s="164"/>
      <c r="Q84" s="164"/>
      <c r="R84" s="146"/>
      <c r="S84" s="164"/>
      <c r="T84" s="164"/>
      <c r="U84" s="164"/>
      <c r="V84" s="164"/>
      <c r="W84" s="164"/>
      <c r="X84" s="164"/>
      <c r="Y84" s="164"/>
      <c r="Z84" s="164"/>
      <c r="AA84" s="164"/>
      <c r="AB84" s="164"/>
      <c r="AC84" s="164"/>
      <c r="AD84" s="164"/>
      <c r="AE84" s="164"/>
      <c r="AF84" s="164"/>
      <c r="AG84" s="164"/>
      <c r="AH84" s="53" t="e">
        <f>#REF!</f>
        <v>#REF!</v>
      </c>
      <c r="AI84" s="132" t="e">
        <f>MIN(25%,(#REF!+#REF!)/(#REF!-#REF!*20))</f>
        <v>#REF!</v>
      </c>
      <c r="AJ84" s="132" t="e">
        <f>MIN(25%,(#REF!+#REF!)/#REF!)</f>
        <v>#REF!</v>
      </c>
      <c r="AK84" s="39" t="e">
        <f>#REF!</f>
        <v>#REF!</v>
      </c>
      <c r="AL84" s="39" t="e">
        <f>#REF!</f>
        <v>#REF!</v>
      </c>
      <c r="AM84" s="39" t="e">
        <f>ROUNDDOWN( MAX((1 - MIN(facs_constr_factor*#REF!,facs_constr_max) + tech_2_3*#REF! + tech_2_6_2*#REF! + tech_2_10*#REF! + tech_4_6*#REF! + tech_6_3*#REF! + tech_9_2*#REF! + race_construction_cost), 1-global_constr_cap) *#REF!,0)</f>
        <v>#REF!</v>
      </c>
      <c r="AN84" s="39" t="e">
        <f>ROUNDDOWN( MAX(1 - MIN(facs_constr_factor*#REF!,facs_constr_max) + tech_1_11*#REF! + tech_6_3_2*#REF! + tech_5_2_3*#REF!, 1-global_constr_cap) *#REF!,0)</f>
        <v>#REF!</v>
      </c>
      <c r="AO84" s="39" t="e">
        <f>ROUNDDOWN( MAX((1 - MIN(facs_constr_factor*#REF!,facs_constr_max) + tech_2_3*#REF! + tech_2_6_2*#REF! + tech_2_10*#REF! + tech_4_6*#REF! + tech_6_3*#REF! + tech_9_2*#REF! + race_construction_cost), 1-global_constr_cap) * (ROUND((#REF!-250)*1.25 + 850 + 0,0)),0)</f>
        <v>#REF!</v>
      </c>
      <c r="AP84" s="39" t="e">
        <f>ROUNDDOWN( MAX(1 - MIN(facs_constr_factor*#REF!,facs_constr_max) + tech_1_11*#REF! + tech_6_3_2*#REF! + tech_5_2_3*#REF!, 1-global_constr_cap) * ROUND((#REF!-250)*0.285 + 87.5 + 0/4.25,0),0)</f>
        <v>#REF!</v>
      </c>
      <c r="AQ84" s="3" t="e">
        <f>#REF!*#REF! +#REF! *#REF!</f>
        <v>#REF!</v>
      </c>
      <c r="AR84" s="3" t="e">
        <f>#REF!*#REF!+#REF!*#REF!</f>
        <v>#REF!</v>
      </c>
      <c r="AS84" s="39" t="e">
        <f ca="1">MIN(SUM(OFFSET(#REF!,-1,0))+SUM(#REF!)+IF(#REF!&gt;12,SUM(OFFSET(#REF!,-12,0)),0),SUM(#REF!))</f>
        <v>#REF!</v>
      </c>
      <c r="AT84" s="3" t="e">
        <f ca="1">IF(#REF!&lt;&gt;0,MAX(0, MIN(20, 20 + SUM(#REF!) - SUM(#REF!) - SUM(OFFSET(#REF!,-1,0)) - IF(#REF!&gt;12,SUM(OFFSET(#REF!,-12,0)),0) - 20*#REF!)),0)</f>
        <v>#REF!</v>
      </c>
      <c r="AU84" s="134"/>
      <c r="AV84" s="39" t="e">
        <f>ROUND((#REF!-250 - IF(#REF!&lt;&gt;0,20,0))*1.25 + 850 + 0,0)</f>
        <v>#REF!</v>
      </c>
      <c r="AW84" s="39" t="e">
        <f>ROUND((#REF!-250 - IF(#REF!&lt;&gt;0,20,0))*0.285 + 87.5 + 0/4.25,0)</f>
        <v>#REF!</v>
      </c>
      <c r="AX84" s="133"/>
      <c r="AY84" s="172" t="e">
        <f t="array" aca="1" ref="AY84" ca="1">IF(#REF!&gt;12,OFFSET(#REF!,-12,0),0)+OFFSET(#REF!,-1,0)-#REF!</f>
        <v>#REF!</v>
      </c>
      <c r="AZ84" s="173" t="e">
        <f t="array" aca="1" ref="AZ84" ca="1">IF(#REF!&gt;12,OFFSET(#REF!,-12,0),0)+OFFSET(#REF!,-1,0)-#REF!</f>
        <v>#REF!</v>
      </c>
      <c r="BA84" s="173" t="e">
        <f t="array" aca="1" ref="BA84" ca="1">IF(#REF!&gt;12,OFFSET(#REF!,-12,0),0)+OFFSET(#REF!,-1,0)-#REF!</f>
        <v>#REF!</v>
      </c>
      <c r="BB84" s="173" t="e">
        <f t="array" aca="1" ref="BB84" ca="1">IF(#REF!&gt;12,OFFSET(#REF!,-12,0),0)+OFFSET(#REF!,-1,0)-#REF!</f>
        <v>#REF!</v>
      </c>
      <c r="BC84" s="173" t="e">
        <f t="array" aca="1" ref="BC84" ca="1">IF(#REF!&gt;12,OFFSET(#REF!,-12,0),0)+OFFSET(#REF!,-1,0)-#REF!</f>
        <v>#REF!</v>
      </c>
      <c r="BD84" s="174" t="e">
        <f t="array" aca="1" ref="BD84" ca="1">IF(#REF!&gt;12,OFFSET(#REF!,-12,0),0)+OFFSET(#REF!,-1,0)-#REF!</f>
        <v>#REF!</v>
      </c>
      <c r="BE84" s="174" t="e">
        <f t="array" aca="1" ref="BE84" ca="1">IF(#REF!&gt;12,OFFSET(#REF!,-12,0),0)+OFFSET(#REF!,-1,0)-#REF!</f>
        <v>#REF!</v>
      </c>
      <c r="BF84" s="343" t="e">
        <f t="array" aca="1" ref="BF84" ca="1">IF(#REF!&gt;12,OFFSET(#REF!,-12,0),0)+OFFSET(#REF!,-1,0)-#REF!</f>
        <v>#REF!</v>
      </c>
      <c r="BG84" s="343" t="e">
        <f t="array" aca="1" ref="BG84" ca="1">IF(#REF!&gt;12,OFFSET(#REF!,-12,0),0)+OFFSET(#REF!,-1,0)-#REF!</f>
        <v>#REF!</v>
      </c>
      <c r="BH84" s="347" t="e">
        <f t="array" aca="1" ref="BH84" ca="1">IF(#REF!&gt;12,OFFSET(#REF!,-12,0),0)+OFFSET(#REF!,-1,0)-#REF!</f>
        <v>#REF!</v>
      </c>
      <c r="BI84" s="347" t="e">
        <f t="array" aca="1" ref="BI84" ca="1">IF(#REF!&gt;12,OFFSET(#REF!,-12,0),0)+OFFSET(#REF!,-1,0)-#REF!</f>
        <v>#REF!</v>
      </c>
      <c r="BJ84" s="347" t="e">
        <f t="array" aca="1" ref="BJ84" ca="1">IF(#REF!&gt;12,OFFSET(#REF!,-12,0),0)+OFFSET(#REF!,-1,0)-#REF!</f>
        <v>#REF!</v>
      </c>
      <c r="BK84" s="347" t="e">
        <f t="array" aca="1" ref="BK84" ca="1">IF(#REF!&gt;12,OFFSET(#REF!,-12,0),0)+OFFSET(#REF!,-1,0)-#REF!</f>
        <v>#REF!</v>
      </c>
      <c r="BL84" s="351" t="e">
        <f t="array" aca="1" ref="BL84" ca="1">IF(#REF!&gt;12,OFFSET(#REF!,-12,0),0)+OFFSET(#REF!,-1,0)-#REF!</f>
        <v>#REF!</v>
      </c>
      <c r="BM84" s="351" t="e">
        <f t="array" aca="1" ref="BM84" ca="1">IF(#REF!&gt;12,OFFSET(#REF!,-12,0),0)+OFFSET(#REF!,-1,0)-#REF!</f>
        <v>#REF!</v>
      </c>
      <c r="BN84" s="351" t="e">
        <f t="array" aca="1" ref="BN84" ca="1">IF(#REF!&gt;12,OFFSET(#REF!,-12,0),0)+OFFSET(#REF!,-1,0)-#REF!</f>
        <v>#REF!</v>
      </c>
      <c r="BO84" s="175" t="e">
        <f t="array" aca="1" ref="BO84" ca="1">IF(#REF!&gt;12,OFFSET(#REF!,-12,0),0)+OFFSET(#REF!,-1,0)-#REF!</f>
        <v>#REF!</v>
      </c>
      <c r="BP84" s="175" t="e">
        <f t="array" aca="1" ref="BP84" ca="1">IF(#REF!&gt;12,OFFSET(#REF!,-12,0),0)+OFFSET(#REF!,-1,0)-#REF!</f>
        <v>#REF!</v>
      </c>
      <c r="BQ84" s="176" t="e">
        <f t="array" aca="1" ref="BQ84" ca="1">IF(#REF!&gt;12,OFFSET(#REF!,-12,0),0)+OFFSET(#REF!,-1,0)-#REF!</f>
        <v>#REF!</v>
      </c>
      <c r="BR84" s="134"/>
      <c r="BS84" s="133"/>
      <c r="BT84" s="39" t="e">
        <f>#REF!</f>
        <v>#REF!</v>
      </c>
      <c r="BU84" s="147" t="e">
        <f>#REF!</f>
        <v>#REF!</v>
      </c>
      <c r="BV84" s="134"/>
      <c r="BW84" s="164"/>
      <c r="BX84" s="164"/>
      <c r="BY84" s="164"/>
      <c r="BZ84" s="164"/>
      <c r="CA84" s="164"/>
      <c r="CB84" s="164"/>
      <c r="CC84" s="164"/>
      <c r="CD84" s="164"/>
      <c r="CE84" s="164"/>
      <c r="CF84" s="164"/>
      <c r="CG84" s="164"/>
      <c r="CH84" s="164"/>
      <c r="CI84" s="164"/>
      <c r="CJ84" s="164"/>
      <c r="CK84" s="164"/>
      <c r="CL84" s="164"/>
      <c r="CM84" s="164"/>
      <c r="CN84" s="164"/>
      <c r="CO84" s="164"/>
      <c r="CP84" s="134"/>
      <c r="CQ84" s="165" t="e">
        <f ca="1">-SUM(#REF!)+SUM(#REF!)+Rezone!L84+IF("Ch_"&amp; home_land=#REF!,#REF!)+IF(#REF!&gt;12,OFFSET(#REF!,-12,0),0)</f>
        <v>#REF!</v>
      </c>
      <c r="CR84" s="166" t="e">
        <f ca="1">-SUM(#REF!)+SUM(#REF!) +Rezone!M84 + IF("Ch_"&amp; home_land=#REF!,#REF!)+IF(#REF!&gt;12,OFFSET(#REF!,-12,0),0)</f>
        <v>#REF!</v>
      </c>
      <c r="CS84" s="341" t="e">
        <f ca="1">-SUM(#REF!)+SUM(#REF!) +Rezone!N84 + IF("Ch_"&amp; home_land=#REF!,#REF!)+IF(#REF!&gt;12,OFFSET(#REF!,-12,0),0)</f>
        <v>#REF!</v>
      </c>
      <c r="CT84" s="167" t="e">
        <f ca="1">-SUM(#REF!)+SUM(#REF!) +Rezone!O84 + IF("Ch_" &amp; home_land=#REF!,#REF!)+IF(#REF!&gt;12,OFFSET(#REF!,-12,0),0)</f>
        <v>#REF!</v>
      </c>
      <c r="CU84" s="168" t="e">
        <f ca="1">-SUM(#REF!)+SUM(#REF!) +Rezone!P84 + IF("Ch_" &amp; home_land=#REF!,#REF!)+IF(#REF!&gt;12,OFFSET(#REF!,-12,0),0)</f>
        <v>#REF!</v>
      </c>
      <c r="CV84" s="169" t="e">
        <f ca="1">- SUM(#REF!)+SUM(#REF!) +Rezone!Q84 + IF("Ch_" &amp; home_land=#REF!,#REF!)+IF(#REF!&gt;12,OFFSET(#REF!,-12,0),0)</f>
        <v>#REF!</v>
      </c>
      <c r="CW84" s="170" t="e">
        <f ca="1">-#REF!+#REF! +Rezone!R84 + IF("Ch_" &amp; home_land=#REF!,#REF!)+IF(#REF!&gt;12,OFFSET(#REF!,-12,0),0)</f>
        <v>#REF!</v>
      </c>
      <c r="CX84" s="3" t="e">
        <f>IF(Explore!S84=1,20) -#REF! +#REF!</f>
        <v>#REF!</v>
      </c>
      <c r="CY84" s="134"/>
      <c r="CZ84" s="39" t="e">
        <f t="shared" ca="1" si="23"/>
        <v>#REF!</v>
      </c>
      <c r="DA84" s="39" t="e">
        <f t="shared" ca="1" si="24"/>
        <v>#REF!</v>
      </c>
      <c r="DB84" s="3" t="e">
        <f t="shared" ca="1" si="25"/>
        <v>#REF!</v>
      </c>
      <c r="DC84" s="39" t="e">
        <f t="shared" ca="1" si="26"/>
        <v>#REF!</v>
      </c>
      <c r="DD84" s="39" t="e">
        <f t="shared" ca="1" si="27"/>
        <v>#REF!</v>
      </c>
      <c r="DE84" s="3" t="e">
        <f t="shared" ca="1" si="28"/>
        <v>#REF!</v>
      </c>
      <c r="DF84" s="39" t="e">
        <f t="shared" ca="1" si="29"/>
        <v>#REF!</v>
      </c>
      <c r="DG84" s="39" t="e">
        <f t="array" ref="DG84">INDEX(#REF!,ROW()-ROW(#REF!),MATCH("Total "&amp;home_land,#REF!,0))+#REF!</f>
        <v>#REF!</v>
      </c>
      <c r="DH84" s="3" t="e">
        <f t="shared" ca="1" si="22"/>
        <v>#REF!</v>
      </c>
      <c r="DI84" s="3" t="e">
        <f t="shared" ca="1" si="19"/>
        <v>#REF!</v>
      </c>
      <c r="DJ84" s="3" t="e">
        <f t="shared" ca="1" si="20"/>
        <v>#REF!</v>
      </c>
    </row>
    <row r="85" spans="1:114" x14ac:dyDescent="0.25">
      <c r="A85" s="160" t="e">
        <f>#REF!</f>
        <v>#REF!</v>
      </c>
      <c r="B85" s="161" t="e">
        <f>SUM(#REF!)</f>
        <v>#REF!</v>
      </c>
      <c r="C85" s="162" t="e">
        <f>SUM(#REF!)</f>
        <v>#REF!</v>
      </c>
      <c r="D85" s="162">
        <f t="shared" si="21"/>
        <v>0</v>
      </c>
      <c r="E85" s="163"/>
      <c r="F85" s="61" t="e">
        <f>#REF!+#REF!+#REF!</f>
        <v>#REF!</v>
      </c>
      <c r="G85" s="171" t="e">
        <f ca="1">OFFSET(#REF!,-1,0)+#REF!</f>
        <v>#REF!</v>
      </c>
      <c r="H85" s="166" t="e">
        <f ca="1">OFFSET(#REF!,-1,0)+#REF!</f>
        <v>#REF!</v>
      </c>
      <c r="I85" s="341" t="e">
        <f ca="1">OFFSET(#REF!,-1,0)+#REF!</f>
        <v>#REF!</v>
      </c>
      <c r="J85" s="345" t="e">
        <f ca="1">OFFSET(#REF!,-1,0)+#REF!</f>
        <v>#REF!</v>
      </c>
      <c r="K85" s="349" t="e">
        <f ca="1">OFFSET(#REF!,-1,0)+#REF!</f>
        <v>#REF!</v>
      </c>
      <c r="L85" s="169" t="e">
        <f ca="1">OFFSET(#REF!,-1,0)+#REF!</f>
        <v>#REF!</v>
      </c>
      <c r="M85" s="170" t="e">
        <f ca="1">OFFSET(#REF!,-1,0)+#REF!</f>
        <v>#REF!</v>
      </c>
      <c r="N85" s="339" t="e">
        <f>#REF!</f>
        <v>#REF!</v>
      </c>
      <c r="O85" s="164"/>
      <c r="P85" s="164"/>
      <c r="Q85" s="164"/>
      <c r="R85" s="146"/>
      <c r="S85" s="164"/>
      <c r="T85" s="164"/>
      <c r="U85" s="164"/>
      <c r="V85" s="164"/>
      <c r="W85" s="164"/>
      <c r="X85" s="164"/>
      <c r="Y85" s="164"/>
      <c r="Z85" s="164"/>
      <c r="AA85" s="164"/>
      <c r="AB85" s="164"/>
      <c r="AC85" s="164"/>
      <c r="AD85" s="164"/>
      <c r="AE85" s="164"/>
      <c r="AF85" s="164"/>
      <c r="AG85" s="164"/>
      <c r="AH85" s="53" t="e">
        <f>#REF!</f>
        <v>#REF!</v>
      </c>
      <c r="AI85" s="132" t="e">
        <f>MIN(25%,(#REF!+#REF!)/(#REF!-#REF!*20))</f>
        <v>#REF!</v>
      </c>
      <c r="AJ85" s="132" t="e">
        <f>MIN(25%,(#REF!+#REF!)/#REF!)</f>
        <v>#REF!</v>
      </c>
      <c r="AK85" s="39" t="e">
        <f>#REF!</f>
        <v>#REF!</v>
      </c>
      <c r="AL85" s="39" t="e">
        <f>#REF!</f>
        <v>#REF!</v>
      </c>
      <c r="AM85" s="39" t="e">
        <f>ROUNDDOWN( MAX((1 - MIN(facs_constr_factor*#REF!,facs_constr_max) + tech_2_3*#REF! + tech_2_6_2*#REF! + tech_2_10*#REF! + tech_4_6*#REF! + tech_6_3*#REF! + tech_9_2*#REF! + race_construction_cost), 1-global_constr_cap) *#REF!,0)</f>
        <v>#REF!</v>
      </c>
      <c r="AN85" s="39" t="e">
        <f>ROUNDDOWN( MAX(1 - MIN(facs_constr_factor*#REF!,facs_constr_max) + tech_1_11*#REF! + tech_6_3_2*#REF! + tech_5_2_3*#REF!, 1-global_constr_cap) *#REF!,0)</f>
        <v>#REF!</v>
      </c>
      <c r="AO85" s="39" t="e">
        <f>ROUNDDOWN( MAX((1 - MIN(facs_constr_factor*#REF!,facs_constr_max) + tech_2_3*#REF! + tech_2_6_2*#REF! + tech_2_10*#REF! + tech_4_6*#REF! + tech_6_3*#REF! + tech_9_2*#REF! + race_construction_cost), 1-global_constr_cap) * (ROUND((#REF!-250)*1.25 + 850 + 0,0)),0)</f>
        <v>#REF!</v>
      </c>
      <c r="AP85" s="39" t="e">
        <f>ROUNDDOWN( MAX(1 - MIN(facs_constr_factor*#REF!,facs_constr_max) + tech_1_11*#REF! + tech_6_3_2*#REF! + tech_5_2_3*#REF!, 1-global_constr_cap) * ROUND((#REF!-250)*0.285 + 87.5 + 0/4.25,0),0)</f>
        <v>#REF!</v>
      </c>
      <c r="AQ85" s="3" t="e">
        <f>#REF!*#REF! +#REF! *#REF!</f>
        <v>#REF!</v>
      </c>
      <c r="AR85" s="3" t="e">
        <f>#REF!*#REF!+#REF!*#REF!</f>
        <v>#REF!</v>
      </c>
      <c r="AS85" s="39" t="e">
        <f ca="1">MIN(SUM(OFFSET(#REF!,-1,0))+SUM(#REF!)+IF(#REF!&gt;12,SUM(OFFSET(#REF!,-12,0)),0),SUM(#REF!))</f>
        <v>#REF!</v>
      </c>
      <c r="AT85" s="3" t="e">
        <f ca="1">IF(#REF!&lt;&gt;0,MAX(0, MIN(20, 20 + SUM(#REF!) - SUM(#REF!) - SUM(OFFSET(#REF!,-1,0)) - IF(#REF!&gt;12,SUM(OFFSET(#REF!,-12,0)),0) - 20*#REF!)),0)</f>
        <v>#REF!</v>
      </c>
      <c r="AU85" s="134"/>
      <c r="AV85" s="39" t="e">
        <f>ROUND((#REF!-250 - IF(#REF!&lt;&gt;0,20,0))*1.25 + 850 + 0,0)</f>
        <v>#REF!</v>
      </c>
      <c r="AW85" s="39" t="e">
        <f>ROUND((#REF!-250 - IF(#REF!&lt;&gt;0,20,0))*0.285 + 87.5 + 0/4.25,0)</f>
        <v>#REF!</v>
      </c>
      <c r="AX85" s="133"/>
      <c r="AY85" s="172" t="e">
        <f t="array" aca="1" ref="AY85" ca="1">IF(#REF!&gt;12,OFFSET(#REF!,-12,0),0)+OFFSET(#REF!,-1,0)-#REF!</f>
        <v>#REF!</v>
      </c>
      <c r="AZ85" s="173" t="e">
        <f t="array" aca="1" ref="AZ85" ca="1">IF(#REF!&gt;12,OFFSET(#REF!,-12,0),0)+OFFSET(#REF!,-1,0)-#REF!</f>
        <v>#REF!</v>
      </c>
      <c r="BA85" s="173" t="e">
        <f t="array" aca="1" ref="BA85" ca="1">IF(#REF!&gt;12,OFFSET(#REF!,-12,0),0)+OFFSET(#REF!,-1,0)-#REF!</f>
        <v>#REF!</v>
      </c>
      <c r="BB85" s="173" t="e">
        <f t="array" aca="1" ref="BB85" ca="1">IF(#REF!&gt;12,OFFSET(#REF!,-12,0),0)+OFFSET(#REF!,-1,0)-#REF!</f>
        <v>#REF!</v>
      </c>
      <c r="BC85" s="173" t="e">
        <f t="array" aca="1" ref="BC85" ca="1">IF(#REF!&gt;12,OFFSET(#REF!,-12,0),0)+OFFSET(#REF!,-1,0)-#REF!</f>
        <v>#REF!</v>
      </c>
      <c r="BD85" s="174" t="e">
        <f t="array" aca="1" ref="BD85" ca="1">IF(#REF!&gt;12,OFFSET(#REF!,-12,0),0)+OFFSET(#REF!,-1,0)-#REF!</f>
        <v>#REF!</v>
      </c>
      <c r="BE85" s="174" t="e">
        <f t="array" aca="1" ref="BE85" ca="1">IF(#REF!&gt;12,OFFSET(#REF!,-12,0),0)+OFFSET(#REF!,-1,0)-#REF!</f>
        <v>#REF!</v>
      </c>
      <c r="BF85" s="343" t="e">
        <f t="array" aca="1" ref="BF85" ca="1">IF(#REF!&gt;12,OFFSET(#REF!,-12,0),0)+OFFSET(#REF!,-1,0)-#REF!</f>
        <v>#REF!</v>
      </c>
      <c r="BG85" s="343" t="e">
        <f t="array" aca="1" ref="BG85" ca="1">IF(#REF!&gt;12,OFFSET(#REF!,-12,0),0)+OFFSET(#REF!,-1,0)-#REF!</f>
        <v>#REF!</v>
      </c>
      <c r="BH85" s="347" t="e">
        <f t="array" aca="1" ref="BH85" ca="1">IF(#REF!&gt;12,OFFSET(#REF!,-12,0),0)+OFFSET(#REF!,-1,0)-#REF!</f>
        <v>#REF!</v>
      </c>
      <c r="BI85" s="347" t="e">
        <f t="array" aca="1" ref="BI85" ca="1">IF(#REF!&gt;12,OFFSET(#REF!,-12,0),0)+OFFSET(#REF!,-1,0)-#REF!</f>
        <v>#REF!</v>
      </c>
      <c r="BJ85" s="347" t="e">
        <f t="array" aca="1" ref="BJ85" ca="1">IF(#REF!&gt;12,OFFSET(#REF!,-12,0),0)+OFFSET(#REF!,-1,0)-#REF!</f>
        <v>#REF!</v>
      </c>
      <c r="BK85" s="347" t="e">
        <f t="array" aca="1" ref="BK85" ca="1">IF(#REF!&gt;12,OFFSET(#REF!,-12,0),0)+OFFSET(#REF!,-1,0)-#REF!</f>
        <v>#REF!</v>
      </c>
      <c r="BL85" s="351" t="e">
        <f t="array" aca="1" ref="BL85" ca="1">IF(#REF!&gt;12,OFFSET(#REF!,-12,0),0)+OFFSET(#REF!,-1,0)-#REF!</f>
        <v>#REF!</v>
      </c>
      <c r="BM85" s="351" t="e">
        <f t="array" aca="1" ref="BM85" ca="1">IF(#REF!&gt;12,OFFSET(#REF!,-12,0),0)+OFFSET(#REF!,-1,0)-#REF!</f>
        <v>#REF!</v>
      </c>
      <c r="BN85" s="351" t="e">
        <f t="array" aca="1" ref="BN85" ca="1">IF(#REF!&gt;12,OFFSET(#REF!,-12,0),0)+OFFSET(#REF!,-1,0)-#REF!</f>
        <v>#REF!</v>
      </c>
      <c r="BO85" s="175" t="e">
        <f t="array" aca="1" ref="BO85" ca="1">IF(#REF!&gt;12,OFFSET(#REF!,-12,0),0)+OFFSET(#REF!,-1,0)-#REF!</f>
        <v>#REF!</v>
      </c>
      <c r="BP85" s="175" t="e">
        <f t="array" aca="1" ref="BP85" ca="1">IF(#REF!&gt;12,OFFSET(#REF!,-12,0),0)+OFFSET(#REF!,-1,0)-#REF!</f>
        <v>#REF!</v>
      </c>
      <c r="BQ85" s="176" t="e">
        <f t="array" aca="1" ref="BQ85" ca="1">IF(#REF!&gt;12,OFFSET(#REF!,-12,0),0)+OFFSET(#REF!,-1,0)-#REF!</f>
        <v>#REF!</v>
      </c>
      <c r="BR85" s="134"/>
      <c r="BS85" s="133"/>
      <c r="BT85" s="39" t="e">
        <f>#REF!</f>
        <v>#REF!</v>
      </c>
      <c r="BU85" s="147" t="e">
        <f>#REF!</f>
        <v>#REF!</v>
      </c>
      <c r="BV85" s="134"/>
      <c r="BW85" s="164"/>
      <c r="BX85" s="164"/>
      <c r="BY85" s="164"/>
      <c r="BZ85" s="164"/>
      <c r="CA85" s="164"/>
      <c r="CB85" s="164"/>
      <c r="CC85" s="164"/>
      <c r="CD85" s="164"/>
      <c r="CE85" s="164"/>
      <c r="CF85" s="164"/>
      <c r="CG85" s="164"/>
      <c r="CH85" s="164"/>
      <c r="CI85" s="164"/>
      <c r="CJ85" s="164"/>
      <c r="CK85" s="164"/>
      <c r="CL85" s="164"/>
      <c r="CM85" s="164"/>
      <c r="CN85" s="164"/>
      <c r="CO85" s="164"/>
      <c r="CP85" s="134"/>
      <c r="CQ85" s="165" t="e">
        <f ca="1">-SUM(#REF!)+SUM(#REF!)+Rezone!L85+IF("Ch_"&amp; home_land=#REF!,#REF!)+IF(#REF!&gt;12,OFFSET(#REF!,-12,0),0)</f>
        <v>#REF!</v>
      </c>
      <c r="CR85" s="166" t="e">
        <f ca="1">-SUM(#REF!)+SUM(#REF!) +Rezone!M85 + IF("Ch_"&amp; home_land=#REF!,#REF!)+IF(#REF!&gt;12,OFFSET(#REF!,-12,0),0)</f>
        <v>#REF!</v>
      </c>
      <c r="CS85" s="341" t="e">
        <f ca="1">-SUM(#REF!)+SUM(#REF!) +Rezone!N85 + IF("Ch_"&amp; home_land=#REF!,#REF!)+IF(#REF!&gt;12,OFFSET(#REF!,-12,0),0)</f>
        <v>#REF!</v>
      </c>
      <c r="CT85" s="167" t="e">
        <f ca="1">-SUM(#REF!)+SUM(#REF!) +Rezone!O85 + IF("Ch_" &amp; home_land=#REF!,#REF!)+IF(#REF!&gt;12,OFFSET(#REF!,-12,0),0)</f>
        <v>#REF!</v>
      </c>
      <c r="CU85" s="168" t="e">
        <f ca="1">-SUM(#REF!)+SUM(#REF!) +Rezone!P85 + IF("Ch_" &amp; home_land=#REF!,#REF!)+IF(#REF!&gt;12,OFFSET(#REF!,-12,0),0)</f>
        <v>#REF!</v>
      </c>
      <c r="CV85" s="169" t="e">
        <f ca="1">- SUM(#REF!)+SUM(#REF!) +Rezone!Q85 + IF("Ch_" &amp; home_land=#REF!,#REF!)+IF(#REF!&gt;12,OFFSET(#REF!,-12,0),0)</f>
        <v>#REF!</v>
      </c>
      <c r="CW85" s="170" t="e">
        <f ca="1">-#REF!+#REF! +Rezone!R85 + IF("Ch_" &amp; home_land=#REF!,#REF!)+IF(#REF!&gt;12,OFFSET(#REF!,-12,0),0)</f>
        <v>#REF!</v>
      </c>
      <c r="CX85" s="3" t="e">
        <f>IF(Explore!S85=1,20) -#REF! +#REF!</f>
        <v>#REF!</v>
      </c>
      <c r="CY85" s="134"/>
      <c r="CZ85" s="39" t="e">
        <f t="shared" ca="1" si="23"/>
        <v>#REF!</v>
      </c>
      <c r="DA85" s="39" t="e">
        <f t="shared" ca="1" si="24"/>
        <v>#REF!</v>
      </c>
      <c r="DB85" s="3" t="e">
        <f t="shared" ca="1" si="25"/>
        <v>#REF!</v>
      </c>
      <c r="DC85" s="39" t="e">
        <f t="shared" ca="1" si="26"/>
        <v>#REF!</v>
      </c>
      <c r="DD85" s="39" t="e">
        <f t="shared" ca="1" si="27"/>
        <v>#REF!</v>
      </c>
      <c r="DE85" s="3" t="e">
        <f t="shared" ca="1" si="28"/>
        <v>#REF!</v>
      </c>
      <c r="DF85" s="39" t="e">
        <f t="shared" ca="1" si="29"/>
        <v>#REF!</v>
      </c>
      <c r="DG85" s="39" t="e">
        <f t="array" ref="DG85">INDEX(#REF!,ROW()-ROW(#REF!),MATCH("Total "&amp;home_land,#REF!,0))+#REF!</f>
        <v>#REF!</v>
      </c>
      <c r="DH85" s="3" t="e">
        <f t="shared" ca="1" si="22"/>
        <v>#REF!</v>
      </c>
      <c r="DI85" s="3" t="e">
        <f t="shared" ca="1" si="19"/>
        <v>#REF!</v>
      </c>
      <c r="DJ85" s="3" t="e">
        <f t="shared" ca="1" si="20"/>
        <v>#REF!</v>
      </c>
    </row>
    <row r="86" spans="1:114" x14ac:dyDescent="0.25">
      <c r="A86" s="160" t="e">
        <f>#REF!</f>
        <v>#REF!</v>
      </c>
      <c r="B86" s="161" t="e">
        <f>SUM(#REF!)</f>
        <v>#REF!</v>
      </c>
      <c r="C86" s="162" t="e">
        <f>SUM(#REF!)</f>
        <v>#REF!</v>
      </c>
      <c r="D86" s="162">
        <f t="shared" si="21"/>
        <v>0</v>
      </c>
      <c r="E86" s="163"/>
      <c r="F86" s="61" t="e">
        <f>#REF!+#REF!+#REF!</f>
        <v>#REF!</v>
      </c>
      <c r="G86" s="171" t="e">
        <f ca="1">OFFSET(#REF!,-1,0)+#REF!</f>
        <v>#REF!</v>
      </c>
      <c r="H86" s="166" t="e">
        <f ca="1">OFFSET(#REF!,-1,0)+#REF!</f>
        <v>#REF!</v>
      </c>
      <c r="I86" s="341" t="e">
        <f ca="1">OFFSET(#REF!,-1,0)+#REF!</f>
        <v>#REF!</v>
      </c>
      <c r="J86" s="345" t="e">
        <f ca="1">OFFSET(#REF!,-1,0)+#REF!</f>
        <v>#REF!</v>
      </c>
      <c r="K86" s="349" t="e">
        <f ca="1">OFFSET(#REF!,-1,0)+#REF!</f>
        <v>#REF!</v>
      </c>
      <c r="L86" s="169" t="e">
        <f ca="1">OFFSET(#REF!,-1,0)+#REF!</f>
        <v>#REF!</v>
      </c>
      <c r="M86" s="170" t="e">
        <f ca="1">OFFSET(#REF!,-1,0)+#REF!</f>
        <v>#REF!</v>
      </c>
      <c r="N86" s="339" t="e">
        <f>#REF!</f>
        <v>#REF!</v>
      </c>
      <c r="O86" s="164"/>
      <c r="P86" s="164"/>
      <c r="Q86" s="164"/>
      <c r="R86" s="146"/>
      <c r="S86" s="164"/>
      <c r="T86" s="164"/>
      <c r="U86" s="164"/>
      <c r="V86" s="164"/>
      <c r="W86" s="164"/>
      <c r="X86" s="164"/>
      <c r="Y86" s="164"/>
      <c r="Z86" s="164"/>
      <c r="AA86" s="164"/>
      <c r="AB86" s="164"/>
      <c r="AC86" s="164"/>
      <c r="AD86" s="164"/>
      <c r="AE86" s="164"/>
      <c r="AF86" s="164"/>
      <c r="AG86" s="164"/>
      <c r="AH86" s="53" t="e">
        <f>#REF!</f>
        <v>#REF!</v>
      </c>
      <c r="AI86" s="132" t="e">
        <f>MIN(25%,(#REF!+#REF!)/(#REF!-#REF!*20))</f>
        <v>#REF!</v>
      </c>
      <c r="AJ86" s="132" t="e">
        <f>MIN(25%,(#REF!+#REF!)/#REF!)</f>
        <v>#REF!</v>
      </c>
      <c r="AK86" s="39" t="e">
        <f>#REF!</f>
        <v>#REF!</v>
      </c>
      <c r="AL86" s="39" t="e">
        <f>#REF!</f>
        <v>#REF!</v>
      </c>
      <c r="AM86" s="39" t="e">
        <f>ROUNDDOWN( MAX((1 - MIN(facs_constr_factor*#REF!,facs_constr_max) + tech_2_3*#REF! + tech_2_6_2*#REF! + tech_2_10*#REF! + tech_4_6*#REF! + tech_6_3*#REF! + tech_9_2*#REF! + race_construction_cost), 1-global_constr_cap) *#REF!,0)</f>
        <v>#REF!</v>
      </c>
      <c r="AN86" s="39" t="e">
        <f>ROUNDDOWN( MAX(1 - MIN(facs_constr_factor*#REF!,facs_constr_max) + tech_1_11*#REF! + tech_6_3_2*#REF! + tech_5_2_3*#REF!, 1-global_constr_cap) *#REF!,0)</f>
        <v>#REF!</v>
      </c>
      <c r="AO86" s="39" t="e">
        <f>ROUNDDOWN( MAX((1 - MIN(facs_constr_factor*#REF!,facs_constr_max) + tech_2_3*#REF! + tech_2_6_2*#REF! + tech_2_10*#REF! + tech_4_6*#REF! + tech_6_3*#REF! + tech_9_2*#REF! + race_construction_cost), 1-global_constr_cap) * (ROUND((#REF!-250)*1.25 + 850 + 0,0)),0)</f>
        <v>#REF!</v>
      </c>
      <c r="AP86" s="39" t="e">
        <f>ROUNDDOWN( MAX(1 - MIN(facs_constr_factor*#REF!,facs_constr_max) + tech_1_11*#REF! + tech_6_3_2*#REF! + tech_5_2_3*#REF!, 1-global_constr_cap) * ROUND((#REF!-250)*0.285 + 87.5 + 0/4.25,0),0)</f>
        <v>#REF!</v>
      </c>
      <c r="AQ86" s="3" t="e">
        <f>#REF!*#REF! +#REF! *#REF!</f>
        <v>#REF!</v>
      </c>
      <c r="AR86" s="3" t="e">
        <f>#REF!*#REF!+#REF!*#REF!</f>
        <v>#REF!</v>
      </c>
      <c r="AS86" s="39" t="e">
        <f ca="1">MIN(SUM(OFFSET(#REF!,-1,0))+SUM(#REF!)+IF(#REF!&gt;12,SUM(OFFSET(#REF!,-12,0)),0),SUM(#REF!))</f>
        <v>#REF!</v>
      </c>
      <c r="AT86" s="3" t="e">
        <f ca="1">IF(#REF!&lt;&gt;0,MAX(0, MIN(20, 20 + SUM(#REF!) - SUM(#REF!) - SUM(OFFSET(#REF!,-1,0)) - IF(#REF!&gt;12,SUM(OFFSET(#REF!,-12,0)),0) - 20*#REF!)),0)</f>
        <v>#REF!</v>
      </c>
      <c r="AU86" s="134"/>
      <c r="AV86" s="39" t="e">
        <f>ROUND((#REF!-250 - IF(#REF!&lt;&gt;0,20,0))*1.25 + 850 + 0,0)</f>
        <v>#REF!</v>
      </c>
      <c r="AW86" s="39" t="e">
        <f>ROUND((#REF!-250 - IF(#REF!&lt;&gt;0,20,0))*0.285 + 87.5 + 0/4.25,0)</f>
        <v>#REF!</v>
      </c>
      <c r="AX86" s="133"/>
      <c r="AY86" s="172" t="e">
        <f t="array" aca="1" ref="AY86" ca="1">IF(#REF!&gt;12,OFFSET(#REF!,-12,0),0)+OFFSET(#REF!,-1,0)-#REF!</f>
        <v>#REF!</v>
      </c>
      <c r="AZ86" s="173" t="e">
        <f t="array" aca="1" ref="AZ86" ca="1">IF(#REF!&gt;12,OFFSET(#REF!,-12,0),0)+OFFSET(#REF!,-1,0)-#REF!</f>
        <v>#REF!</v>
      </c>
      <c r="BA86" s="173" t="e">
        <f t="array" aca="1" ref="BA86" ca="1">IF(#REF!&gt;12,OFFSET(#REF!,-12,0),0)+OFFSET(#REF!,-1,0)-#REF!</f>
        <v>#REF!</v>
      </c>
      <c r="BB86" s="173" t="e">
        <f t="array" aca="1" ref="BB86" ca="1">IF(#REF!&gt;12,OFFSET(#REF!,-12,0),0)+OFFSET(#REF!,-1,0)-#REF!</f>
        <v>#REF!</v>
      </c>
      <c r="BC86" s="173" t="e">
        <f t="array" aca="1" ref="BC86" ca="1">IF(#REF!&gt;12,OFFSET(#REF!,-12,0),0)+OFFSET(#REF!,-1,0)-#REF!</f>
        <v>#REF!</v>
      </c>
      <c r="BD86" s="174" t="e">
        <f t="array" aca="1" ref="BD86" ca="1">IF(#REF!&gt;12,OFFSET(#REF!,-12,0),0)+OFFSET(#REF!,-1,0)-#REF!</f>
        <v>#REF!</v>
      </c>
      <c r="BE86" s="174" t="e">
        <f t="array" aca="1" ref="BE86" ca="1">IF(#REF!&gt;12,OFFSET(#REF!,-12,0),0)+OFFSET(#REF!,-1,0)-#REF!</f>
        <v>#REF!</v>
      </c>
      <c r="BF86" s="343" t="e">
        <f t="array" aca="1" ref="BF86" ca="1">IF(#REF!&gt;12,OFFSET(#REF!,-12,0),0)+OFFSET(#REF!,-1,0)-#REF!</f>
        <v>#REF!</v>
      </c>
      <c r="BG86" s="343" t="e">
        <f t="array" aca="1" ref="BG86" ca="1">IF(#REF!&gt;12,OFFSET(#REF!,-12,0),0)+OFFSET(#REF!,-1,0)-#REF!</f>
        <v>#REF!</v>
      </c>
      <c r="BH86" s="347" t="e">
        <f t="array" aca="1" ref="BH86" ca="1">IF(#REF!&gt;12,OFFSET(#REF!,-12,0),0)+OFFSET(#REF!,-1,0)-#REF!</f>
        <v>#REF!</v>
      </c>
      <c r="BI86" s="347" t="e">
        <f t="array" aca="1" ref="BI86" ca="1">IF(#REF!&gt;12,OFFSET(#REF!,-12,0),0)+OFFSET(#REF!,-1,0)-#REF!</f>
        <v>#REF!</v>
      </c>
      <c r="BJ86" s="347" t="e">
        <f t="array" aca="1" ref="BJ86" ca="1">IF(#REF!&gt;12,OFFSET(#REF!,-12,0),0)+OFFSET(#REF!,-1,0)-#REF!</f>
        <v>#REF!</v>
      </c>
      <c r="BK86" s="347" t="e">
        <f t="array" aca="1" ref="BK86" ca="1">IF(#REF!&gt;12,OFFSET(#REF!,-12,0),0)+OFFSET(#REF!,-1,0)-#REF!</f>
        <v>#REF!</v>
      </c>
      <c r="BL86" s="351" t="e">
        <f t="array" aca="1" ref="BL86" ca="1">IF(#REF!&gt;12,OFFSET(#REF!,-12,0),0)+OFFSET(#REF!,-1,0)-#REF!</f>
        <v>#REF!</v>
      </c>
      <c r="BM86" s="351" t="e">
        <f t="array" aca="1" ref="BM86" ca="1">IF(#REF!&gt;12,OFFSET(#REF!,-12,0),0)+OFFSET(#REF!,-1,0)-#REF!</f>
        <v>#REF!</v>
      </c>
      <c r="BN86" s="351" t="e">
        <f t="array" aca="1" ref="BN86" ca="1">IF(#REF!&gt;12,OFFSET(#REF!,-12,0),0)+OFFSET(#REF!,-1,0)-#REF!</f>
        <v>#REF!</v>
      </c>
      <c r="BO86" s="175" t="e">
        <f t="array" aca="1" ref="BO86" ca="1">IF(#REF!&gt;12,OFFSET(#REF!,-12,0),0)+OFFSET(#REF!,-1,0)-#REF!</f>
        <v>#REF!</v>
      </c>
      <c r="BP86" s="175" t="e">
        <f t="array" aca="1" ref="BP86" ca="1">IF(#REF!&gt;12,OFFSET(#REF!,-12,0),0)+OFFSET(#REF!,-1,0)-#REF!</f>
        <v>#REF!</v>
      </c>
      <c r="BQ86" s="176" t="e">
        <f t="array" aca="1" ref="BQ86" ca="1">IF(#REF!&gt;12,OFFSET(#REF!,-12,0),0)+OFFSET(#REF!,-1,0)-#REF!</f>
        <v>#REF!</v>
      </c>
      <c r="BR86" s="134"/>
      <c r="BS86" s="133"/>
      <c r="BT86" s="39" t="e">
        <f>#REF!</f>
        <v>#REF!</v>
      </c>
      <c r="BU86" s="147" t="e">
        <f>#REF!</f>
        <v>#REF!</v>
      </c>
      <c r="BV86" s="134"/>
      <c r="BW86" s="164"/>
      <c r="BX86" s="164"/>
      <c r="BY86" s="164"/>
      <c r="BZ86" s="164"/>
      <c r="CA86" s="164"/>
      <c r="CB86" s="164"/>
      <c r="CC86" s="164"/>
      <c r="CD86" s="164"/>
      <c r="CE86" s="164"/>
      <c r="CF86" s="164"/>
      <c r="CG86" s="164"/>
      <c r="CH86" s="164"/>
      <c r="CI86" s="164"/>
      <c r="CJ86" s="164"/>
      <c r="CK86" s="164"/>
      <c r="CL86" s="164"/>
      <c r="CM86" s="164"/>
      <c r="CN86" s="164"/>
      <c r="CO86" s="164"/>
      <c r="CP86" s="134"/>
      <c r="CQ86" s="165" t="e">
        <f ca="1">-SUM(#REF!)+SUM(#REF!)+Rezone!L86+IF("Ch_"&amp; home_land=#REF!,#REF!)+IF(#REF!&gt;12,OFFSET(#REF!,-12,0),0)</f>
        <v>#REF!</v>
      </c>
      <c r="CR86" s="166" t="e">
        <f ca="1">-SUM(#REF!)+SUM(#REF!) +Rezone!M86 + IF("Ch_"&amp; home_land=#REF!,#REF!)+IF(#REF!&gt;12,OFFSET(#REF!,-12,0),0)</f>
        <v>#REF!</v>
      </c>
      <c r="CS86" s="341" t="e">
        <f ca="1">-SUM(#REF!)+SUM(#REF!) +Rezone!N86 + IF("Ch_"&amp; home_land=#REF!,#REF!)+IF(#REF!&gt;12,OFFSET(#REF!,-12,0),0)</f>
        <v>#REF!</v>
      </c>
      <c r="CT86" s="167" t="e">
        <f ca="1">-SUM(#REF!)+SUM(#REF!) +Rezone!O86 + IF("Ch_" &amp; home_land=#REF!,#REF!)+IF(#REF!&gt;12,OFFSET(#REF!,-12,0),0)</f>
        <v>#REF!</v>
      </c>
      <c r="CU86" s="168" t="e">
        <f ca="1">-SUM(#REF!)+SUM(#REF!) +Rezone!P86 + IF("Ch_" &amp; home_land=#REF!,#REF!)+IF(#REF!&gt;12,OFFSET(#REF!,-12,0),0)</f>
        <v>#REF!</v>
      </c>
      <c r="CV86" s="169" t="e">
        <f ca="1">- SUM(#REF!)+SUM(#REF!) +Rezone!Q86 + IF("Ch_" &amp; home_land=#REF!,#REF!)+IF(#REF!&gt;12,OFFSET(#REF!,-12,0),0)</f>
        <v>#REF!</v>
      </c>
      <c r="CW86" s="170" t="e">
        <f ca="1">-#REF!+#REF! +Rezone!R86 + IF("Ch_" &amp; home_land=#REF!,#REF!)+IF(#REF!&gt;12,OFFSET(#REF!,-12,0),0)</f>
        <v>#REF!</v>
      </c>
      <c r="CX86" s="3" t="e">
        <f>IF(Explore!S86=1,20) -#REF! +#REF!</f>
        <v>#REF!</v>
      </c>
      <c r="CY86" s="134"/>
      <c r="CZ86" s="39" t="e">
        <f t="shared" ca="1" si="23"/>
        <v>#REF!</v>
      </c>
      <c r="DA86" s="39" t="e">
        <f t="shared" ca="1" si="24"/>
        <v>#REF!</v>
      </c>
      <c r="DB86" s="3" t="e">
        <f t="shared" ca="1" si="25"/>
        <v>#REF!</v>
      </c>
      <c r="DC86" s="39" t="e">
        <f t="shared" ca="1" si="26"/>
        <v>#REF!</v>
      </c>
      <c r="DD86" s="39" t="e">
        <f t="shared" ca="1" si="27"/>
        <v>#REF!</v>
      </c>
      <c r="DE86" s="3" t="e">
        <f t="shared" ca="1" si="28"/>
        <v>#REF!</v>
      </c>
      <c r="DF86" s="39" t="e">
        <f t="shared" ca="1" si="29"/>
        <v>#REF!</v>
      </c>
      <c r="DG86" s="39" t="e">
        <f t="array" ref="DG86">INDEX(#REF!,ROW()-ROW(#REF!),MATCH("Total "&amp;home_land,#REF!,0))+#REF!</f>
        <v>#REF!</v>
      </c>
      <c r="DH86" s="3" t="e">
        <f t="shared" ca="1" si="22"/>
        <v>#REF!</v>
      </c>
      <c r="DI86" s="3" t="e">
        <f t="shared" ca="1" si="19"/>
        <v>#REF!</v>
      </c>
      <c r="DJ86" s="3" t="e">
        <f t="shared" ca="1" si="20"/>
        <v>#REF!</v>
      </c>
    </row>
    <row r="87" spans="1:114" x14ac:dyDescent="0.25">
      <c r="A87" s="160" t="e">
        <f>#REF!</f>
        <v>#REF!</v>
      </c>
      <c r="B87" s="161" t="e">
        <f>SUM(#REF!)</f>
        <v>#REF!</v>
      </c>
      <c r="C87" s="162" t="e">
        <f>SUM(#REF!)</f>
        <v>#REF!</v>
      </c>
      <c r="D87" s="162">
        <f t="shared" si="21"/>
        <v>0</v>
      </c>
      <c r="E87" s="163"/>
      <c r="F87" s="61" t="e">
        <f>#REF!+#REF!+#REF!</f>
        <v>#REF!</v>
      </c>
      <c r="G87" s="171" t="e">
        <f ca="1">OFFSET(#REF!,-1,0)+#REF!</f>
        <v>#REF!</v>
      </c>
      <c r="H87" s="166" t="e">
        <f ca="1">OFFSET(#REF!,-1,0)+#REF!</f>
        <v>#REF!</v>
      </c>
      <c r="I87" s="341" t="e">
        <f ca="1">OFFSET(#REF!,-1,0)+#REF!</f>
        <v>#REF!</v>
      </c>
      <c r="J87" s="345" t="e">
        <f ca="1">OFFSET(#REF!,-1,0)+#REF!</f>
        <v>#REF!</v>
      </c>
      <c r="K87" s="349" t="e">
        <f ca="1">OFFSET(#REF!,-1,0)+#REF!</f>
        <v>#REF!</v>
      </c>
      <c r="L87" s="169" t="e">
        <f ca="1">OFFSET(#REF!,-1,0)+#REF!</f>
        <v>#REF!</v>
      </c>
      <c r="M87" s="170" t="e">
        <f ca="1">OFFSET(#REF!,-1,0)+#REF!</f>
        <v>#REF!</v>
      </c>
      <c r="N87" s="339" t="e">
        <f>#REF!</f>
        <v>#REF!</v>
      </c>
      <c r="O87" s="164"/>
      <c r="P87" s="164"/>
      <c r="Q87" s="164"/>
      <c r="R87" s="164"/>
      <c r="S87" s="164"/>
      <c r="T87" s="164"/>
      <c r="U87" s="164"/>
      <c r="V87" s="164"/>
      <c r="W87" s="164"/>
      <c r="X87" s="164"/>
      <c r="Y87" s="164"/>
      <c r="Z87" s="164"/>
      <c r="AA87" s="164"/>
      <c r="AB87" s="164"/>
      <c r="AC87" s="164"/>
      <c r="AD87" s="164"/>
      <c r="AE87" s="164"/>
      <c r="AF87" s="164"/>
      <c r="AG87" s="164"/>
      <c r="AH87" s="53" t="e">
        <f>#REF!</f>
        <v>#REF!</v>
      </c>
      <c r="AI87" s="132" t="e">
        <f>MIN(25%,(#REF!+#REF!)/(#REF!-#REF!*20))</f>
        <v>#REF!</v>
      </c>
      <c r="AJ87" s="132" t="e">
        <f>MIN(25%,(#REF!+#REF!)/#REF!)</f>
        <v>#REF!</v>
      </c>
      <c r="AK87" s="39" t="e">
        <f>#REF!</f>
        <v>#REF!</v>
      </c>
      <c r="AL87" s="39" t="e">
        <f>#REF!</f>
        <v>#REF!</v>
      </c>
      <c r="AM87" s="39" t="e">
        <f>ROUNDDOWN( MAX((1 - MIN(facs_constr_factor*#REF!,facs_constr_max) + tech_2_3*#REF! + tech_2_6_2*#REF! + tech_2_10*#REF! + tech_4_6*#REF! + tech_6_3*#REF! + tech_9_2*#REF! + race_construction_cost), 1-global_constr_cap) *#REF!,0)</f>
        <v>#REF!</v>
      </c>
      <c r="AN87" s="39" t="e">
        <f>ROUNDDOWN( MAX(1 - MIN(facs_constr_factor*#REF!,facs_constr_max) + tech_1_11*#REF! + tech_6_3_2*#REF! + tech_5_2_3*#REF!, 1-global_constr_cap) *#REF!,0)</f>
        <v>#REF!</v>
      </c>
      <c r="AO87" s="39" t="e">
        <f>ROUNDDOWN( MAX((1 - MIN(facs_constr_factor*#REF!,facs_constr_max) + tech_2_3*#REF! + tech_2_6_2*#REF! + tech_2_10*#REF! + tech_4_6*#REF! + tech_6_3*#REF! + tech_9_2*#REF! + race_construction_cost), 1-global_constr_cap) * (ROUND((#REF!-250)*1.25 + 850 + 0,0)),0)</f>
        <v>#REF!</v>
      </c>
      <c r="AP87" s="39" t="e">
        <f>ROUNDDOWN( MAX(1 - MIN(facs_constr_factor*#REF!,facs_constr_max) + tech_1_11*#REF! + tech_6_3_2*#REF! + tech_5_2_3*#REF!, 1-global_constr_cap) * ROUND((#REF!-250)*0.285 + 87.5 + 0/4.25,0),0)</f>
        <v>#REF!</v>
      </c>
      <c r="AQ87" s="3" t="e">
        <f>#REF!*#REF! +#REF! *#REF!</f>
        <v>#REF!</v>
      </c>
      <c r="AR87" s="3" t="e">
        <f>#REF!*#REF!+#REF!*#REF!</f>
        <v>#REF!</v>
      </c>
      <c r="AS87" s="39" t="e">
        <f ca="1">MIN(SUM(OFFSET(#REF!,-1,0))+SUM(#REF!)+IF(#REF!&gt;12,SUM(OFFSET(#REF!,-12,0)),0),SUM(#REF!))</f>
        <v>#REF!</v>
      </c>
      <c r="AT87" s="3" t="e">
        <f ca="1">IF(#REF!&lt;&gt;0,MAX(0, MIN(20, 20 + SUM(#REF!) - SUM(#REF!) - SUM(OFFSET(#REF!,-1,0)) - IF(#REF!&gt;12,SUM(OFFSET(#REF!,-12,0)),0) - 20*#REF!)),0)</f>
        <v>#REF!</v>
      </c>
      <c r="AU87" s="134"/>
      <c r="AV87" s="39" t="e">
        <f>ROUND((#REF!-250 - IF(#REF!&lt;&gt;0,20,0))*1.25 + 850 + 0,0)</f>
        <v>#REF!</v>
      </c>
      <c r="AW87" s="39" t="e">
        <f>ROUND((#REF!-250 - IF(#REF!&lt;&gt;0,20,0))*0.285 + 87.5 + 0/4.25,0)</f>
        <v>#REF!</v>
      </c>
      <c r="AX87" s="133"/>
      <c r="AY87" s="172" t="e">
        <f t="array" aca="1" ref="AY87" ca="1">IF(#REF!&gt;12,OFFSET(#REF!,-12,0),0)+OFFSET(#REF!,-1,0)-#REF!</f>
        <v>#REF!</v>
      </c>
      <c r="AZ87" s="173" t="e">
        <f t="array" aca="1" ref="AZ87" ca="1">IF(#REF!&gt;12,OFFSET(#REF!,-12,0),0)+OFFSET(#REF!,-1,0)-#REF!</f>
        <v>#REF!</v>
      </c>
      <c r="BA87" s="173" t="e">
        <f t="array" aca="1" ref="BA87" ca="1">IF(#REF!&gt;12,OFFSET(#REF!,-12,0),0)+OFFSET(#REF!,-1,0)-#REF!</f>
        <v>#REF!</v>
      </c>
      <c r="BB87" s="173" t="e">
        <f t="array" aca="1" ref="BB87" ca="1">IF(#REF!&gt;12,OFFSET(#REF!,-12,0),0)+OFFSET(#REF!,-1,0)-#REF!</f>
        <v>#REF!</v>
      </c>
      <c r="BC87" s="173" t="e">
        <f t="array" aca="1" ref="BC87" ca="1">IF(#REF!&gt;12,OFFSET(#REF!,-12,0),0)+OFFSET(#REF!,-1,0)-#REF!</f>
        <v>#REF!</v>
      </c>
      <c r="BD87" s="174" t="e">
        <f t="array" aca="1" ref="BD87" ca="1">IF(#REF!&gt;12,OFFSET(#REF!,-12,0),0)+OFFSET(#REF!,-1,0)-#REF!</f>
        <v>#REF!</v>
      </c>
      <c r="BE87" s="174" t="e">
        <f t="array" aca="1" ref="BE87" ca="1">IF(#REF!&gt;12,OFFSET(#REF!,-12,0),0)+OFFSET(#REF!,-1,0)-#REF!</f>
        <v>#REF!</v>
      </c>
      <c r="BF87" s="343" t="e">
        <f t="array" aca="1" ref="BF87" ca="1">IF(#REF!&gt;12,OFFSET(#REF!,-12,0),0)+OFFSET(#REF!,-1,0)-#REF!</f>
        <v>#REF!</v>
      </c>
      <c r="BG87" s="343" t="e">
        <f t="array" aca="1" ref="BG87" ca="1">IF(#REF!&gt;12,OFFSET(#REF!,-12,0),0)+OFFSET(#REF!,-1,0)-#REF!</f>
        <v>#REF!</v>
      </c>
      <c r="BH87" s="347" t="e">
        <f t="array" aca="1" ref="BH87" ca="1">IF(#REF!&gt;12,OFFSET(#REF!,-12,0),0)+OFFSET(#REF!,-1,0)-#REF!</f>
        <v>#REF!</v>
      </c>
      <c r="BI87" s="347" t="e">
        <f t="array" aca="1" ref="BI87" ca="1">IF(#REF!&gt;12,OFFSET(#REF!,-12,0),0)+OFFSET(#REF!,-1,0)-#REF!</f>
        <v>#REF!</v>
      </c>
      <c r="BJ87" s="347" t="e">
        <f t="array" aca="1" ref="BJ87" ca="1">IF(#REF!&gt;12,OFFSET(#REF!,-12,0),0)+OFFSET(#REF!,-1,0)-#REF!</f>
        <v>#REF!</v>
      </c>
      <c r="BK87" s="347" t="e">
        <f t="array" aca="1" ref="BK87" ca="1">IF(#REF!&gt;12,OFFSET(#REF!,-12,0),0)+OFFSET(#REF!,-1,0)-#REF!</f>
        <v>#REF!</v>
      </c>
      <c r="BL87" s="351" t="e">
        <f t="array" aca="1" ref="BL87" ca="1">IF(#REF!&gt;12,OFFSET(#REF!,-12,0),0)+OFFSET(#REF!,-1,0)-#REF!</f>
        <v>#REF!</v>
      </c>
      <c r="BM87" s="351" t="e">
        <f t="array" aca="1" ref="BM87" ca="1">IF(#REF!&gt;12,OFFSET(#REF!,-12,0),0)+OFFSET(#REF!,-1,0)-#REF!</f>
        <v>#REF!</v>
      </c>
      <c r="BN87" s="351" t="e">
        <f t="array" aca="1" ref="BN87" ca="1">IF(#REF!&gt;12,OFFSET(#REF!,-12,0),0)+OFFSET(#REF!,-1,0)-#REF!</f>
        <v>#REF!</v>
      </c>
      <c r="BO87" s="175" t="e">
        <f t="array" aca="1" ref="BO87" ca="1">IF(#REF!&gt;12,OFFSET(#REF!,-12,0),0)+OFFSET(#REF!,-1,0)-#REF!</f>
        <v>#REF!</v>
      </c>
      <c r="BP87" s="175" t="e">
        <f t="array" aca="1" ref="BP87" ca="1">IF(#REF!&gt;12,OFFSET(#REF!,-12,0),0)+OFFSET(#REF!,-1,0)-#REF!</f>
        <v>#REF!</v>
      </c>
      <c r="BQ87" s="176" t="e">
        <f t="array" aca="1" ref="BQ87" ca="1">IF(#REF!&gt;12,OFFSET(#REF!,-12,0),0)+OFFSET(#REF!,-1,0)-#REF!</f>
        <v>#REF!</v>
      </c>
      <c r="BR87" s="134"/>
      <c r="BS87" s="133"/>
      <c r="BT87" s="39" t="e">
        <f>#REF!</f>
        <v>#REF!</v>
      </c>
      <c r="BU87" s="147" t="e">
        <f>#REF!</f>
        <v>#REF!</v>
      </c>
      <c r="BV87" s="134"/>
      <c r="BW87" s="164"/>
      <c r="BX87" s="164"/>
      <c r="BY87" s="164"/>
      <c r="BZ87" s="164"/>
      <c r="CA87" s="164"/>
      <c r="CB87" s="164"/>
      <c r="CC87" s="164"/>
      <c r="CD87" s="164"/>
      <c r="CE87" s="164"/>
      <c r="CF87" s="164"/>
      <c r="CG87" s="164"/>
      <c r="CH87" s="164"/>
      <c r="CI87" s="164"/>
      <c r="CJ87" s="164"/>
      <c r="CK87" s="164"/>
      <c r="CL87" s="164"/>
      <c r="CM87" s="164"/>
      <c r="CN87" s="164"/>
      <c r="CO87" s="164"/>
      <c r="CP87" s="134"/>
      <c r="CQ87" s="165" t="e">
        <f ca="1">-SUM(#REF!)+SUM(#REF!)+Rezone!L87+IF("Ch_"&amp; home_land=#REF!,#REF!)+IF(#REF!&gt;12,OFFSET(#REF!,-12,0),0)</f>
        <v>#REF!</v>
      </c>
      <c r="CR87" s="166" t="e">
        <f ca="1">-SUM(#REF!)+SUM(#REF!) +Rezone!M87 + IF("Ch_"&amp; home_land=#REF!,#REF!)+IF(#REF!&gt;12,OFFSET(#REF!,-12,0),0)</f>
        <v>#REF!</v>
      </c>
      <c r="CS87" s="341" t="e">
        <f ca="1">-SUM(#REF!)+SUM(#REF!) +Rezone!N87 + IF("Ch_"&amp; home_land=#REF!,#REF!)+IF(#REF!&gt;12,OFFSET(#REF!,-12,0),0)</f>
        <v>#REF!</v>
      </c>
      <c r="CT87" s="167" t="e">
        <f ca="1">-SUM(#REF!)+SUM(#REF!) +Rezone!O87 + IF("Ch_" &amp; home_land=#REF!,#REF!)+IF(#REF!&gt;12,OFFSET(#REF!,-12,0),0)</f>
        <v>#REF!</v>
      </c>
      <c r="CU87" s="168" t="e">
        <f ca="1">-SUM(#REF!)+SUM(#REF!) +Rezone!P87 + IF("Ch_" &amp; home_land=#REF!,#REF!)+IF(#REF!&gt;12,OFFSET(#REF!,-12,0),0)</f>
        <v>#REF!</v>
      </c>
      <c r="CV87" s="169" t="e">
        <f ca="1">- SUM(#REF!)+SUM(#REF!) +Rezone!Q87 + IF("Ch_" &amp; home_land=#REF!,#REF!)+IF(#REF!&gt;12,OFFSET(#REF!,-12,0),0)</f>
        <v>#REF!</v>
      </c>
      <c r="CW87" s="170" t="e">
        <f ca="1">-#REF!+#REF! +Rezone!R87 + IF("Ch_" &amp; home_land=#REF!,#REF!)+IF(#REF!&gt;12,OFFSET(#REF!,-12,0),0)</f>
        <v>#REF!</v>
      </c>
      <c r="CX87" s="3" t="e">
        <f>IF(Explore!S87=1,20) -#REF! +#REF!</f>
        <v>#REF!</v>
      </c>
      <c r="CY87" s="134"/>
      <c r="CZ87" s="39" t="e">
        <f t="shared" ca="1" si="23"/>
        <v>#REF!</v>
      </c>
      <c r="DA87" s="39" t="e">
        <f t="shared" ca="1" si="24"/>
        <v>#REF!</v>
      </c>
      <c r="DB87" s="3" t="e">
        <f t="shared" ca="1" si="25"/>
        <v>#REF!</v>
      </c>
      <c r="DC87" s="39" t="e">
        <f t="shared" ca="1" si="26"/>
        <v>#REF!</v>
      </c>
      <c r="DD87" s="39" t="e">
        <f t="shared" ca="1" si="27"/>
        <v>#REF!</v>
      </c>
      <c r="DE87" s="3" t="e">
        <f t="shared" ca="1" si="28"/>
        <v>#REF!</v>
      </c>
      <c r="DF87" s="39" t="e">
        <f t="shared" ca="1" si="29"/>
        <v>#REF!</v>
      </c>
      <c r="DG87" s="39" t="e">
        <f t="array" ref="DG87">INDEX(#REF!,ROW()-ROW(#REF!),MATCH("Total "&amp;home_land,#REF!,0))+#REF!</f>
        <v>#REF!</v>
      </c>
      <c r="DH87" s="3" t="e">
        <f t="shared" ca="1" si="22"/>
        <v>#REF!</v>
      </c>
      <c r="DI87" s="3" t="e">
        <f t="shared" ca="1" si="19"/>
        <v>#REF!</v>
      </c>
      <c r="DJ87" s="3" t="e">
        <f t="shared" ca="1" si="20"/>
        <v>#REF!</v>
      </c>
    </row>
    <row r="88" spans="1:114" x14ac:dyDescent="0.25">
      <c r="A88" s="160" t="e">
        <f>#REF!</f>
        <v>#REF!</v>
      </c>
      <c r="B88" s="161" t="e">
        <f>SUM(#REF!)</f>
        <v>#REF!</v>
      </c>
      <c r="C88" s="162" t="e">
        <f>SUM(#REF!)</f>
        <v>#REF!</v>
      </c>
      <c r="D88" s="162">
        <f t="shared" si="21"/>
        <v>0</v>
      </c>
      <c r="E88" s="163"/>
      <c r="F88" s="61" t="e">
        <f>#REF!+#REF!+#REF!</f>
        <v>#REF!</v>
      </c>
      <c r="G88" s="171" t="e">
        <f ca="1">OFFSET(#REF!,-1,0)+#REF!</f>
        <v>#REF!</v>
      </c>
      <c r="H88" s="166" t="e">
        <f ca="1">OFFSET(#REF!,-1,0)+#REF!</f>
        <v>#REF!</v>
      </c>
      <c r="I88" s="341" t="e">
        <f ca="1">OFFSET(#REF!,-1,0)+#REF!</f>
        <v>#REF!</v>
      </c>
      <c r="J88" s="345" t="e">
        <f ca="1">OFFSET(#REF!,-1,0)+#REF!</f>
        <v>#REF!</v>
      </c>
      <c r="K88" s="349" t="e">
        <f ca="1">OFFSET(#REF!,-1,0)+#REF!</f>
        <v>#REF!</v>
      </c>
      <c r="L88" s="169" t="e">
        <f ca="1">OFFSET(#REF!,-1,0)+#REF!</f>
        <v>#REF!</v>
      </c>
      <c r="M88" s="170" t="e">
        <f ca="1">OFFSET(#REF!,-1,0)+#REF!</f>
        <v>#REF!</v>
      </c>
      <c r="N88" s="339" t="e">
        <f>#REF!</f>
        <v>#REF!</v>
      </c>
      <c r="O88" s="164"/>
      <c r="P88" s="146"/>
      <c r="Q88" s="164"/>
      <c r="R88" s="164"/>
      <c r="S88" s="164"/>
      <c r="T88" s="164"/>
      <c r="U88" s="164"/>
      <c r="V88" s="164"/>
      <c r="W88" s="164"/>
      <c r="X88" s="164"/>
      <c r="Y88" s="164"/>
      <c r="Z88" s="164"/>
      <c r="AA88" s="164"/>
      <c r="AB88" s="164"/>
      <c r="AC88" s="164"/>
      <c r="AD88" s="164"/>
      <c r="AE88" s="164"/>
      <c r="AF88" s="164"/>
      <c r="AG88" s="146"/>
      <c r="AH88" s="53" t="e">
        <f>#REF!</f>
        <v>#REF!</v>
      </c>
      <c r="AI88" s="132" t="e">
        <f>MIN(25%,(#REF!+#REF!)/(#REF!-#REF!*20))</f>
        <v>#REF!</v>
      </c>
      <c r="AJ88" s="132" t="e">
        <f>MIN(25%,(#REF!+#REF!)/#REF!)</f>
        <v>#REF!</v>
      </c>
      <c r="AK88" s="39" t="e">
        <f>#REF!</f>
        <v>#REF!</v>
      </c>
      <c r="AL88" s="39" t="e">
        <f>#REF!</f>
        <v>#REF!</v>
      </c>
      <c r="AM88" s="39" t="e">
        <f>ROUNDDOWN( MAX((1 - MIN(facs_constr_factor*#REF!,facs_constr_max) + tech_2_3*#REF! + tech_2_6_2*#REF! + tech_2_10*#REF! + tech_4_6*#REF! + tech_6_3*#REF! + tech_9_2*#REF! + race_construction_cost), 1-global_constr_cap) *#REF!,0)</f>
        <v>#REF!</v>
      </c>
      <c r="AN88" s="39" t="e">
        <f>ROUNDDOWN( MAX(1 - MIN(facs_constr_factor*#REF!,facs_constr_max) + tech_1_11*#REF! + tech_6_3_2*#REF! + tech_5_2_3*#REF!, 1-global_constr_cap) *#REF!,0)</f>
        <v>#REF!</v>
      </c>
      <c r="AO88" s="39" t="e">
        <f>ROUNDDOWN( MAX((1 - MIN(facs_constr_factor*#REF!,facs_constr_max) + tech_2_3*#REF! + tech_2_6_2*#REF! + tech_2_10*#REF! + tech_4_6*#REF! + tech_6_3*#REF! + tech_9_2*#REF! + race_construction_cost), 1-global_constr_cap) * (ROUND((#REF!-250)*1.25 + 850 + 0,0)),0)</f>
        <v>#REF!</v>
      </c>
      <c r="AP88" s="39" t="e">
        <f>ROUNDDOWN( MAX(1 - MIN(facs_constr_factor*#REF!,facs_constr_max) + tech_1_11*#REF! + tech_6_3_2*#REF! + tech_5_2_3*#REF!, 1-global_constr_cap) * ROUND((#REF!-250)*0.285 + 87.5 + 0/4.25,0),0)</f>
        <v>#REF!</v>
      </c>
      <c r="AQ88" s="3" t="e">
        <f>#REF!*#REF! +#REF! *#REF!</f>
        <v>#REF!</v>
      </c>
      <c r="AR88" s="3" t="e">
        <f>#REF!*#REF!+#REF!*#REF!</f>
        <v>#REF!</v>
      </c>
      <c r="AS88" s="39" t="e">
        <f ca="1">MIN(SUM(OFFSET(#REF!,-1,0))+SUM(#REF!)+IF(#REF!&gt;12,SUM(OFFSET(#REF!,-12,0)),0),SUM(#REF!))</f>
        <v>#REF!</v>
      </c>
      <c r="AT88" s="3" t="e">
        <f ca="1">IF(#REF!&lt;&gt;0,MAX(0, MIN(20, 20 + SUM(#REF!) - SUM(#REF!) - SUM(OFFSET(#REF!,-1,0)) - IF(#REF!&gt;12,SUM(OFFSET(#REF!,-12,0)),0) - 20*#REF!)),0)</f>
        <v>#REF!</v>
      </c>
      <c r="AU88" s="134"/>
      <c r="AV88" s="39" t="e">
        <f>ROUND((#REF!-250 - IF(#REF!&lt;&gt;0,20,0))*1.25 + 850 + 0,0)</f>
        <v>#REF!</v>
      </c>
      <c r="AW88" s="39" t="e">
        <f>ROUND((#REF!-250 - IF(#REF!&lt;&gt;0,20,0))*0.285 + 87.5 + 0/4.25,0)</f>
        <v>#REF!</v>
      </c>
      <c r="AX88" s="133"/>
      <c r="AY88" s="172" t="e">
        <f t="array" aca="1" ref="AY88" ca="1">IF(#REF!&gt;12,OFFSET(#REF!,-12,0),0)+OFFSET(#REF!,-1,0)-#REF!</f>
        <v>#REF!</v>
      </c>
      <c r="AZ88" s="173" t="e">
        <f t="array" aca="1" ref="AZ88" ca="1">IF(#REF!&gt;12,OFFSET(#REF!,-12,0),0)+OFFSET(#REF!,-1,0)-#REF!</f>
        <v>#REF!</v>
      </c>
      <c r="BA88" s="173" t="e">
        <f t="array" aca="1" ref="BA88" ca="1">IF(#REF!&gt;12,OFFSET(#REF!,-12,0),0)+OFFSET(#REF!,-1,0)-#REF!</f>
        <v>#REF!</v>
      </c>
      <c r="BB88" s="173" t="e">
        <f t="array" aca="1" ref="BB88" ca="1">IF(#REF!&gt;12,OFFSET(#REF!,-12,0),0)+OFFSET(#REF!,-1,0)-#REF!</f>
        <v>#REF!</v>
      </c>
      <c r="BC88" s="173" t="e">
        <f t="array" aca="1" ref="BC88" ca="1">IF(#REF!&gt;12,OFFSET(#REF!,-12,0),0)+OFFSET(#REF!,-1,0)-#REF!</f>
        <v>#REF!</v>
      </c>
      <c r="BD88" s="174" t="e">
        <f t="array" aca="1" ref="BD88" ca="1">IF(#REF!&gt;12,OFFSET(#REF!,-12,0),0)+OFFSET(#REF!,-1,0)-#REF!</f>
        <v>#REF!</v>
      </c>
      <c r="BE88" s="174" t="e">
        <f t="array" aca="1" ref="BE88" ca="1">IF(#REF!&gt;12,OFFSET(#REF!,-12,0),0)+OFFSET(#REF!,-1,0)-#REF!</f>
        <v>#REF!</v>
      </c>
      <c r="BF88" s="343" t="e">
        <f t="array" aca="1" ref="BF88" ca="1">IF(#REF!&gt;12,OFFSET(#REF!,-12,0),0)+OFFSET(#REF!,-1,0)-#REF!</f>
        <v>#REF!</v>
      </c>
      <c r="BG88" s="343" t="e">
        <f t="array" aca="1" ref="BG88" ca="1">IF(#REF!&gt;12,OFFSET(#REF!,-12,0),0)+OFFSET(#REF!,-1,0)-#REF!</f>
        <v>#REF!</v>
      </c>
      <c r="BH88" s="347" t="e">
        <f t="array" aca="1" ref="BH88" ca="1">IF(#REF!&gt;12,OFFSET(#REF!,-12,0),0)+OFFSET(#REF!,-1,0)-#REF!</f>
        <v>#REF!</v>
      </c>
      <c r="BI88" s="347" t="e">
        <f t="array" aca="1" ref="BI88" ca="1">IF(#REF!&gt;12,OFFSET(#REF!,-12,0),0)+OFFSET(#REF!,-1,0)-#REF!</f>
        <v>#REF!</v>
      </c>
      <c r="BJ88" s="347" t="e">
        <f t="array" aca="1" ref="BJ88" ca="1">IF(#REF!&gt;12,OFFSET(#REF!,-12,0),0)+OFFSET(#REF!,-1,0)-#REF!</f>
        <v>#REF!</v>
      </c>
      <c r="BK88" s="347" t="e">
        <f t="array" aca="1" ref="BK88" ca="1">IF(#REF!&gt;12,OFFSET(#REF!,-12,0),0)+OFFSET(#REF!,-1,0)-#REF!</f>
        <v>#REF!</v>
      </c>
      <c r="BL88" s="351" t="e">
        <f t="array" aca="1" ref="BL88" ca="1">IF(#REF!&gt;12,OFFSET(#REF!,-12,0),0)+OFFSET(#REF!,-1,0)-#REF!</f>
        <v>#REF!</v>
      </c>
      <c r="BM88" s="351" t="e">
        <f t="array" aca="1" ref="BM88" ca="1">IF(#REF!&gt;12,OFFSET(#REF!,-12,0),0)+OFFSET(#REF!,-1,0)-#REF!</f>
        <v>#REF!</v>
      </c>
      <c r="BN88" s="351" t="e">
        <f t="array" aca="1" ref="BN88" ca="1">IF(#REF!&gt;12,OFFSET(#REF!,-12,0),0)+OFFSET(#REF!,-1,0)-#REF!</f>
        <v>#REF!</v>
      </c>
      <c r="BO88" s="175" t="e">
        <f t="array" aca="1" ref="BO88" ca="1">IF(#REF!&gt;12,OFFSET(#REF!,-12,0),0)+OFFSET(#REF!,-1,0)-#REF!</f>
        <v>#REF!</v>
      </c>
      <c r="BP88" s="175" t="e">
        <f t="array" aca="1" ref="BP88" ca="1">IF(#REF!&gt;12,OFFSET(#REF!,-12,0),0)+OFFSET(#REF!,-1,0)-#REF!</f>
        <v>#REF!</v>
      </c>
      <c r="BQ88" s="176" t="e">
        <f t="array" aca="1" ref="BQ88" ca="1">IF(#REF!&gt;12,OFFSET(#REF!,-12,0),0)+OFFSET(#REF!,-1,0)-#REF!</f>
        <v>#REF!</v>
      </c>
      <c r="BR88" s="134"/>
      <c r="BS88" s="133"/>
      <c r="BT88" s="39" t="e">
        <f>#REF!</f>
        <v>#REF!</v>
      </c>
      <c r="BU88" s="147" t="e">
        <f>#REF!</f>
        <v>#REF!</v>
      </c>
      <c r="BV88" s="134"/>
      <c r="BW88" s="164"/>
      <c r="BX88" s="164"/>
      <c r="BY88" s="164"/>
      <c r="BZ88" s="164"/>
      <c r="CA88" s="164"/>
      <c r="CB88" s="164"/>
      <c r="CC88" s="164"/>
      <c r="CD88" s="164"/>
      <c r="CE88" s="164"/>
      <c r="CF88" s="164"/>
      <c r="CG88" s="164"/>
      <c r="CH88" s="164"/>
      <c r="CI88" s="164"/>
      <c r="CJ88" s="164"/>
      <c r="CK88" s="164"/>
      <c r="CL88" s="164"/>
      <c r="CM88" s="164"/>
      <c r="CN88" s="164"/>
      <c r="CO88" s="164"/>
      <c r="CP88" s="134"/>
      <c r="CQ88" s="165" t="e">
        <f ca="1">-SUM(#REF!)+SUM(#REF!)+Rezone!L88+IF("Ch_"&amp; home_land=#REF!,#REF!)+IF(#REF!&gt;12,OFFSET(#REF!,-12,0),0)</f>
        <v>#REF!</v>
      </c>
      <c r="CR88" s="166" t="e">
        <f ca="1">-SUM(#REF!)+SUM(#REF!) +Rezone!M88 + IF("Ch_"&amp; home_land=#REF!,#REF!)+IF(#REF!&gt;12,OFFSET(#REF!,-12,0),0)</f>
        <v>#REF!</v>
      </c>
      <c r="CS88" s="341" t="e">
        <f ca="1">-SUM(#REF!)+SUM(#REF!) +Rezone!N88 + IF("Ch_"&amp; home_land=#REF!,#REF!)+IF(#REF!&gt;12,OFFSET(#REF!,-12,0),0)</f>
        <v>#REF!</v>
      </c>
      <c r="CT88" s="167" t="e">
        <f ca="1">-SUM(#REF!)+SUM(#REF!) +Rezone!O88 + IF("Ch_" &amp; home_land=#REF!,#REF!)+IF(#REF!&gt;12,OFFSET(#REF!,-12,0),0)</f>
        <v>#REF!</v>
      </c>
      <c r="CU88" s="168" t="e">
        <f ca="1">-SUM(#REF!)+SUM(#REF!) +Rezone!P88 + IF("Ch_" &amp; home_land=#REF!,#REF!)+IF(#REF!&gt;12,OFFSET(#REF!,-12,0),0)</f>
        <v>#REF!</v>
      </c>
      <c r="CV88" s="169" t="e">
        <f ca="1">- SUM(#REF!)+SUM(#REF!) +Rezone!Q88 + IF("Ch_" &amp; home_land=#REF!,#REF!)+IF(#REF!&gt;12,OFFSET(#REF!,-12,0),0)</f>
        <v>#REF!</v>
      </c>
      <c r="CW88" s="170" t="e">
        <f ca="1">-#REF!+#REF! +Rezone!R88 + IF("Ch_" &amp; home_land=#REF!,#REF!)+IF(#REF!&gt;12,OFFSET(#REF!,-12,0),0)</f>
        <v>#REF!</v>
      </c>
      <c r="CX88" s="3" t="e">
        <f>IF(Explore!S88=1,20) -#REF! +#REF!</f>
        <v>#REF!</v>
      </c>
      <c r="CY88" s="134"/>
      <c r="CZ88" s="39" t="e">
        <f t="shared" ca="1" si="23"/>
        <v>#REF!</v>
      </c>
      <c r="DA88" s="39" t="e">
        <f t="shared" ca="1" si="24"/>
        <v>#REF!</v>
      </c>
      <c r="DB88" s="3" t="e">
        <f t="shared" ca="1" si="25"/>
        <v>#REF!</v>
      </c>
      <c r="DC88" s="39" t="e">
        <f t="shared" ca="1" si="26"/>
        <v>#REF!</v>
      </c>
      <c r="DD88" s="39" t="e">
        <f t="shared" ca="1" si="27"/>
        <v>#REF!</v>
      </c>
      <c r="DE88" s="3" t="e">
        <f t="shared" ca="1" si="28"/>
        <v>#REF!</v>
      </c>
      <c r="DF88" s="39" t="e">
        <f t="shared" ca="1" si="29"/>
        <v>#REF!</v>
      </c>
      <c r="DG88" s="39" t="e">
        <f t="array" ref="DG88">INDEX(#REF!,ROW()-ROW(#REF!),MATCH("Total "&amp;home_land,#REF!,0))+#REF!</f>
        <v>#REF!</v>
      </c>
      <c r="DH88" s="3" t="e">
        <f t="shared" ca="1" si="22"/>
        <v>#REF!</v>
      </c>
      <c r="DI88" s="3" t="e">
        <f t="shared" ca="1" si="19"/>
        <v>#REF!</v>
      </c>
      <c r="DJ88" s="3" t="e">
        <f t="shared" ca="1" si="20"/>
        <v>#REF!</v>
      </c>
    </row>
    <row r="89" spans="1:114" x14ac:dyDescent="0.25">
      <c r="A89" s="160" t="e">
        <f>#REF!</f>
        <v>#REF!</v>
      </c>
      <c r="B89" s="161" t="e">
        <f>SUM(#REF!)</f>
        <v>#REF!</v>
      </c>
      <c r="C89" s="162" t="e">
        <f>SUM(#REF!)</f>
        <v>#REF!</v>
      </c>
      <c r="D89" s="162">
        <f t="shared" si="21"/>
        <v>0</v>
      </c>
      <c r="E89" s="163"/>
      <c r="F89" s="61" t="e">
        <f>#REF!+#REF!+#REF!</f>
        <v>#REF!</v>
      </c>
      <c r="G89" s="171" t="e">
        <f ca="1">OFFSET(#REF!,-1,0)+#REF!</f>
        <v>#REF!</v>
      </c>
      <c r="H89" s="166" t="e">
        <f ca="1">OFFSET(#REF!,-1,0)+#REF!</f>
        <v>#REF!</v>
      </c>
      <c r="I89" s="341" t="e">
        <f ca="1">OFFSET(#REF!,-1,0)+#REF!</f>
        <v>#REF!</v>
      </c>
      <c r="J89" s="345" t="e">
        <f ca="1">OFFSET(#REF!,-1,0)+#REF!</f>
        <v>#REF!</v>
      </c>
      <c r="K89" s="349" t="e">
        <f ca="1">OFFSET(#REF!,-1,0)+#REF!</f>
        <v>#REF!</v>
      </c>
      <c r="L89" s="169" t="e">
        <f ca="1">OFFSET(#REF!,-1,0)+#REF!</f>
        <v>#REF!</v>
      </c>
      <c r="M89" s="170" t="e">
        <f ca="1">OFFSET(#REF!,-1,0)+#REF!</f>
        <v>#REF!</v>
      </c>
      <c r="N89" s="339" t="e">
        <f>#REF!</f>
        <v>#REF!</v>
      </c>
      <c r="O89" s="164"/>
      <c r="P89" s="164"/>
      <c r="Q89" s="164"/>
      <c r="R89" s="164"/>
      <c r="S89" s="164"/>
      <c r="T89" s="164"/>
      <c r="U89" s="164"/>
      <c r="V89" s="164"/>
      <c r="W89" s="164"/>
      <c r="X89" s="146"/>
      <c r="Y89" s="164"/>
      <c r="Z89" s="164"/>
      <c r="AA89" s="164"/>
      <c r="AB89" s="164"/>
      <c r="AC89" s="164"/>
      <c r="AD89" s="164"/>
      <c r="AE89" s="164"/>
      <c r="AF89" s="164"/>
      <c r="AG89" s="164"/>
      <c r="AH89" s="53" t="e">
        <f>#REF!</f>
        <v>#REF!</v>
      </c>
      <c r="AI89" s="132" t="e">
        <f>MIN(25%,(#REF!+#REF!)/(#REF!-#REF!*20))</f>
        <v>#REF!</v>
      </c>
      <c r="AJ89" s="132" t="e">
        <f>MIN(25%,(#REF!+#REF!)/#REF!)</f>
        <v>#REF!</v>
      </c>
      <c r="AK89" s="39" t="e">
        <f>#REF!</f>
        <v>#REF!</v>
      </c>
      <c r="AL89" s="39" t="e">
        <f>#REF!</f>
        <v>#REF!</v>
      </c>
      <c r="AM89" s="39" t="e">
        <f>ROUNDDOWN( MAX((1 - MIN(facs_constr_factor*#REF!,facs_constr_max) + tech_2_3*#REF! + tech_2_6_2*#REF! + tech_2_10*#REF! + tech_4_6*#REF! + tech_6_3*#REF! + tech_9_2*#REF! + race_construction_cost), 1-global_constr_cap) *#REF!,0)</f>
        <v>#REF!</v>
      </c>
      <c r="AN89" s="39" t="e">
        <f>ROUNDDOWN( MAX(1 - MIN(facs_constr_factor*#REF!,facs_constr_max) + tech_1_11*#REF! + tech_6_3_2*#REF! + tech_5_2_3*#REF!, 1-global_constr_cap) *#REF!,0)</f>
        <v>#REF!</v>
      </c>
      <c r="AO89" s="39" t="e">
        <f>ROUNDDOWN( MAX((1 - MIN(facs_constr_factor*#REF!,facs_constr_max) + tech_2_3*#REF! + tech_2_6_2*#REF! + tech_2_10*#REF! + tech_4_6*#REF! + tech_6_3*#REF! + tech_9_2*#REF! + race_construction_cost), 1-global_constr_cap) * (ROUND((#REF!-250)*1.25 + 850 + 0,0)),0)</f>
        <v>#REF!</v>
      </c>
      <c r="AP89" s="39" t="e">
        <f>ROUNDDOWN( MAX(1 - MIN(facs_constr_factor*#REF!,facs_constr_max) + tech_1_11*#REF! + tech_6_3_2*#REF! + tech_5_2_3*#REF!, 1-global_constr_cap) * ROUND((#REF!-250)*0.285 + 87.5 + 0/4.25,0),0)</f>
        <v>#REF!</v>
      </c>
      <c r="AQ89" s="3" t="e">
        <f>#REF!*#REF! +#REF! *#REF!</f>
        <v>#REF!</v>
      </c>
      <c r="AR89" s="3" t="e">
        <f>#REF!*#REF!+#REF!*#REF!</f>
        <v>#REF!</v>
      </c>
      <c r="AS89" s="39" t="e">
        <f ca="1">MIN(SUM(OFFSET(#REF!,-1,0))+SUM(#REF!)+IF(#REF!&gt;12,SUM(OFFSET(#REF!,-12,0)),0),SUM(#REF!))</f>
        <v>#REF!</v>
      </c>
      <c r="AT89" s="3" t="e">
        <f ca="1">IF(#REF!&lt;&gt;0,MAX(0, MIN(20, 20 + SUM(#REF!) - SUM(#REF!) - SUM(OFFSET(#REF!,-1,0)) - IF(#REF!&gt;12,SUM(OFFSET(#REF!,-12,0)),0) - 20*#REF!)),0)</f>
        <v>#REF!</v>
      </c>
      <c r="AU89" s="134"/>
      <c r="AV89" s="39" t="e">
        <f>ROUND((#REF!-250 - IF(#REF!&lt;&gt;0,20,0))*1.25 + 850 + 0,0)</f>
        <v>#REF!</v>
      </c>
      <c r="AW89" s="39" t="e">
        <f>ROUND((#REF!-250 - IF(#REF!&lt;&gt;0,20,0))*0.285 + 87.5 + 0/4.25,0)</f>
        <v>#REF!</v>
      </c>
      <c r="AX89" s="133"/>
      <c r="AY89" s="172" t="e">
        <f t="array" aca="1" ref="AY89" ca="1">IF(#REF!&gt;12,OFFSET(#REF!,-12,0),0)+OFFSET(#REF!,-1,0)-#REF!</f>
        <v>#REF!</v>
      </c>
      <c r="AZ89" s="173" t="e">
        <f t="array" aca="1" ref="AZ89" ca="1">IF(#REF!&gt;12,OFFSET(#REF!,-12,0),0)+OFFSET(#REF!,-1,0)-#REF!</f>
        <v>#REF!</v>
      </c>
      <c r="BA89" s="173" t="e">
        <f t="array" aca="1" ref="BA89" ca="1">IF(#REF!&gt;12,OFFSET(#REF!,-12,0),0)+OFFSET(#REF!,-1,0)-#REF!</f>
        <v>#REF!</v>
      </c>
      <c r="BB89" s="173" t="e">
        <f t="array" aca="1" ref="BB89" ca="1">IF(#REF!&gt;12,OFFSET(#REF!,-12,0),0)+OFFSET(#REF!,-1,0)-#REF!</f>
        <v>#REF!</v>
      </c>
      <c r="BC89" s="173" t="e">
        <f t="array" aca="1" ref="BC89" ca="1">IF(#REF!&gt;12,OFFSET(#REF!,-12,0),0)+OFFSET(#REF!,-1,0)-#REF!</f>
        <v>#REF!</v>
      </c>
      <c r="BD89" s="174" t="e">
        <f t="array" aca="1" ref="BD89" ca="1">IF(#REF!&gt;12,OFFSET(#REF!,-12,0),0)+OFFSET(#REF!,-1,0)-#REF!</f>
        <v>#REF!</v>
      </c>
      <c r="BE89" s="174" t="e">
        <f t="array" aca="1" ref="BE89" ca="1">IF(#REF!&gt;12,OFFSET(#REF!,-12,0),0)+OFFSET(#REF!,-1,0)-#REF!</f>
        <v>#REF!</v>
      </c>
      <c r="BF89" s="343" t="e">
        <f t="array" aca="1" ref="BF89" ca="1">IF(#REF!&gt;12,OFFSET(#REF!,-12,0),0)+OFFSET(#REF!,-1,0)-#REF!</f>
        <v>#REF!</v>
      </c>
      <c r="BG89" s="343" t="e">
        <f t="array" aca="1" ref="BG89" ca="1">IF(#REF!&gt;12,OFFSET(#REF!,-12,0),0)+OFFSET(#REF!,-1,0)-#REF!</f>
        <v>#REF!</v>
      </c>
      <c r="BH89" s="347" t="e">
        <f t="array" aca="1" ref="BH89" ca="1">IF(#REF!&gt;12,OFFSET(#REF!,-12,0),0)+OFFSET(#REF!,-1,0)-#REF!</f>
        <v>#REF!</v>
      </c>
      <c r="BI89" s="347" t="e">
        <f t="array" aca="1" ref="BI89" ca="1">IF(#REF!&gt;12,OFFSET(#REF!,-12,0),0)+OFFSET(#REF!,-1,0)-#REF!</f>
        <v>#REF!</v>
      </c>
      <c r="BJ89" s="347" t="e">
        <f t="array" aca="1" ref="BJ89" ca="1">IF(#REF!&gt;12,OFFSET(#REF!,-12,0),0)+OFFSET(#REF!,-1,0)-#REF!</f>
        <v>#REF!</v>
      </c>
      <c r="BK89" s="347" t="e">
        <f t="array" aca="1" ref="BK89" ca="1">IF(#REF!&gt;12,OFFSET(#REF!,-12,0),0)+OFFSET(#REF!,-1,0)-#REF!</f>
        <v>#REF!</v>
      </c>
      <c r="BL89" s="351" t="e">
        <f t="array" aca="1" ref="BL89" ca="1">IF(#REF!&gt;12,OFFSET(#REF!,-12,0),0)+OFFSET(#REF!,-1,0)-#REF!</f>
        <v>#REF!</v>
      </c>
      <c r="BM89" s="351" t="e">
        <f t="array" aca="1" ref="BM89" ca="1">IF(#REF!&gt;12,OFFSET(#REF!,-12,0),0)+OFFSET(#REF!,-1,0)-#REF!</f>
        <v>#REF!</v>
      </c>
      <c r="BN89" s="351" t="e">
        <f t="array" aca="1" ref="BN89" ca="1">IF(#REF!&gt;12,OFFSET(#REF!,-12,0),0)+OFFSET(#REF!,-1,0)-#REF!</f>
        <v>#REF!</v>
      </c>
      <c r="BO89" s="175" t="e">
        <f t="array" aca="1" ref="BO89" ca="1">IF(#REF!&gt;12,OFFSET(#REF!,-12,0),0)+OFFSET(#REF!,-1,0)-#REF!</f>
        <v>#REF!</v>
      </c>
      <c r="BP89" s="175" t="e">
        <f t="array" aca="1" ref="BP89" ca="1">IF(#REF!&gt;12,OFFSET(#REF!,-12,0),0)+OFFSET(#REF!,-1,0)-#REF!</f>
        <v>#REF!</v>
      </c>
      <c r="BQ89" s="176" t="e">
        <f t="array" aca="1" ref="BQ89" ca="1">IF(#REF!&gt;12,OFFSET(#REF!,-12,0),0)+OFFSET(#REF!,-1,0)-#REF!</f>
        <v>#REF!</v>
      </c>
      <c r="BR89" s="134"/>
      <c r="BS89" s="133"/>
      <c r="BT89" s="39" t="e">
        <f>#REF!</f>
        <v>#REF!</v>
      </c>
      <c r="BU89" s="147" t="e">
        <f>#REF!</f>
        <v>#REF!</v>
      </c>
      <c r="BV89" s="134"/>
      <c r="BW89" s="164"/>
      <c r="BX89" s="164"/>
      <c r="BY89" s="164"/>
      <c r="BZ89" s="164"/>
      <c r="CA89" s="164"/>
      <c r="CB89" s="164"/>
      <c r="CC89" s="164"/>
      <c r="CD89" s="164"/>
      <c r="CE89" s="164"/>
      <c r="CF89" s="164"/>
      <c r="CG89" s="164"/>
      <c r="CH89" s="164"/>
      <c r="CI89" s="164"/>
      <c r="CJ89" s="164"/>
      <c r="CK89" s="164"/>
      <c r="CL89" s="164"/>
      <c r="CM89" s="164"/>
      <c r="CN89" s="164"/>
      <c r="CO89" s="164"/>
      <c r="CP89" s="134"/>
      <c r="CQ89" s="165" t="e">
        <f ca="1">-SUM(#REF!)+SUM(#REF!)+Rezone!L89+IF("Ch_"&amp; home_land=#REF!,#REF!)+IF(#REF!&gt;12,OFFSET(#REF!,-12,0),0)</f>
        <v>#REF!</v>
      </c>
      <c r="CR89" s="166" t="e">
        <f ca="1">-SUM(#REF!)+SUM(#REF!) +Rezone!M89 + IF("Ch_"&amp; home_land=#REF!,#REF!)+IF(#REF!&gt;12,OFFSET(#REF!,-12,0),0)</f>
        <v>#REF!</v>
      </c>
      <c r="CS89" s="341" t="e">
        <f ca="1">-SUM(#REF!)+SUM(#REF!) +Rezone!N89 + IF("Ch_"&amp; home_land=#REF!,#REF!)+IF(#REF!&gt;12,OFFSET(#REF!,-12,0),0)</f>
        <v>#REF!</v>
      </c>
      <c r="CT89" s="167" t="e">
        <f ca="1">-SUM(#REF!)+SUM(#REF!) +Rezone!O89 + IF("Ch_" &amp; home_land=#REF!,#REF!)+IF(#REF!&gt;12,OFFSET(#REF!,-12,0),0)</f>
        <v>#REF!</v>
      </c>
      <c r="CU89" s="168" t="e">
        <f ca="1">-SUM(#REF!)+SUM(#REF!) +Rezone!P89 + IF("Ch_" &amp; home_land=#REF!,#REF!)+IF(#REF!&gt;12,OFFSET(#REF!,-12,0),0)</f>
        <v>#REF!</v>
      </c>
      <c r="CV89" s="169" t="e">
        <f ca="1">- SUM(#REF!)+SUM(#REF!) +Rezone!Q89 + IF("Ch_" &amp; home_land=#REF!,#REF!)+IF(#REF!&gt;12,OFFSET(#REF!,-12,0),0)</f>
        <v>#REF!</v>
      </c>
      <c r="CW89" s="170" t="e">
        <f ca="1">-#REF!+#REF! +Rezone!R89 + IF("Ch_" &amp; home_land=#REF!,#REF!)+IF(#REF!&gt;12,OFFSET(#REF!,-12,0),0)</f>
        <v>#REF!</v>
      </c>
      <c r="CX89" s="3" t="e">
        <f>IF(Explore!S89=1,20) -#REF! +#REF!</f>
        <v>#REF!</v>
      </c>
      <c r="CY89" s="134"/>
      <c r="CZ89" s="39" t="e">
        <f t="shared" ca="1" si="23"/>
        <v>#REF!</v>
      </c>
      <c r="DA89" s="39" t="e">
        <f t="shared" ca="1" si="24"/>
        <v>#REF!</v>
      </c>
      <c r="DB89" s="3" t="e">
        <f t="shared" ca="1" si="25"/>
        <v>#REF!</v>
      </c>
      <c r="DC89" s="39" t="e">
        <f t="shared" ca="1" si="26"/>
        <v>#REF!</v>
      </c>
      <c r="DD89" s="39" t="e">
        <f t="shared" ca="1" si="27"/>
        <v>#REF!</v>
      </c>
      <c r="DE89" s="3" t="e">
        <f t="shared" ca="1" si="28"/>
        <v>#REF!</v>
      </c>
      <c r="DF89" s="39" t="e">
        <f t="shared" ca="1" si="29"/>
        <v>#REF!</v>
      </c>
      <c r="DG89" s="39" t="e">
        <f t="array" ref="DG89">INDEX(#REF!,ROW()-ROW(#REF!),MATCH("Total "&amp;home_land,#REF!,0))+#REF!</f>
        <v>#REF!</v>
      </c>
      <c r="DH89" s="3" t="e">
        <f t="shared" ca="1" si="22"/>
        <v>#REF!</v>
      </c>
      <c r="DI89" s="3" t="e">
        <f t="shared" ca="1" si="19"/>
        <v>#REF!</v>
      </c>
      <c r="DJ89" s="3" t="e">
        <f t="shared" ca="1" si="20"/>
        <v>#REF!</v>
      </c>
    </row>
    <row r="90" spans="1:114" x14ac:dyDescent="0.25">
      <c r="A90" s="160" t="e">
        <f>#REF!</f>
        <v>#REF!</v>
      </c>
      <c r="B90" s="161" t="e">
        <f>SUM(#REF!)</f>
        <v>#REF!</v>
      </c>
      <c r="C90" s="162" t="e">
        <f>SUM(#REF!)</f>
        <v>#REF!</v>
      </c>
      <c r="D90" s="162">
        <f t="shared" si="21"/>
        <v>0</v>
      </c>
      <c r="E90" s="163"/>
      <c r="F90" s="61" t="e">
        <f>#REF!+#REF!+#REF!</f>
        <v>#REF!</v>
      </c>
      <c r="G90" s="171" t="e">
        <f ca="1">OFFSET(#REF!,-1,0)+#REF!</f>
        <v>#REF!</v>
      </c>
      <c r="H90" s="166" t="e">
        <f ca="1">OFFSET(#REF!,-1,0)+#REF!</f>
        <v>#REF!</v>
      </c>
      <c r="I90" s="341" t="e">
        <f ca="1">OFFSET(#REF!,-1,0)+#REF!</f>
        <v>#REF!</v>
      </c>
      <c r="J90" s="345" t="e">
        <f ca="1">OFFSET(#REF!,-1,0)+#REF!</f>
        <v>#REF!</v>
      </c>
      <c r="K90" s="349" t="e">
        <f ca="1">OFFSET(#REF!,-1,0)+#REF!</f>
        <v>#REF!</v>
      </c>
      <c r="L90" s="169" t="e">
        <f ca="1">OFFSET(#REF!,-1,0)+#REF!</f>
        <v>#REF!</v>
      </c>
      <c r="M90" s="170" t="e">
        <f ca="1">OFFSET(#REF!,-1,0)+#REF!</f>
        <v>#REF!</v>
      </c>
      <c r="N90" s="339" t="e">
        <f>#REF!</f>
        <v>#REF!</v>
      </c>
      <c r="O90" s="164"/>
      <c r="P90" s="164"/>
      <c r="Q90" s="164"/>
      <c r="R90" s="164"/>
      <c r="S90" s="164"/>
      <c r="T90" s="164"/>
      <c r="U90" s="164"/>
      <c r="V90" s="164"/>
      <c r="W90" s="164"/>
      <c r="X90" s="164"/>
      <c r="Y90" s="164"/>
      <c r="Z90" s="164"/>
      <c r="AA90" s="164"/>
      <c r="AB90" s="164"/>
      <c r="AC90" s="164"/>
      <c r="AD90" s="164"/>
      <c r="AE90" s="164"/>
      <c r="AF90" s="164"/>
      <c r="AG90" s="164"/>
      <c r="AH90" s="53" t="e">
        <f>#REF!</f>
        <v>#REF!</v>
      </c>
      <c r="AI90" s="132" t="e">
        <f>MIN(25%,(#REF!+#REF!)/(#REF!-#REF!*20))</f>
        <v>#REF!</v>
      </c>
      <c r="AJ90" s="132" t="e">
        <f>MIN(25%,(#REF!+#REF!)/#REF!)</f>
        <v>#REF!</v>
      </c>
      <c r="AK90" s="39" t="e">
        <f>#REF!</f>
        <v>#REF!</v>
      </c>
      <c r="AL90" s="39" t="e">
        <f>#REF!</f>
        <v>#REF!</v>
      </c>
      <c r="AM90" s="39" t="e">
        <f>ROUNDDOWN( MAX((1 - MIN(facs_constr_factor*#REF!,facs_constr_max) + tech_2_3*#REF! + tech_2_6_2*#REF! + tech_2_10*#REF! + tech_4_6*#REF! + tech_6_3*#REF! + tech_9_2*#REF! + race_construction_cost), 1-global_constr_cap) *#REF!,0)</f>
        <v>#REF!</v>
      </c>
      <c r="AN90" s="39" t="e">
        <f>ROUNDDOWN( MAX(1 - MIN(facs_constr_factor*#REF!,facs_constr_max) + tech_1_11*#REF! + tech_6_3_2*#REF! + tech_5_2_3*#REF!, 1-global_constr_cap) *#REF!,0)</f>
        <v>#REF!</v>
      </c>
      <c r="AO90" s="39" t="e">
        <f>ROUNDDOWN( MAX((1 - MIN(facs_constr_factor*#REF!,facs_constr_max) + tech_2_3*#REF! + tech_2_6_2*#REF! + tech_2_10*#REF! + tech_4_6*#REF! + tech_6_3*#REF! + tech_9_2*#REF! + race_construction_cost), 1-global_constr_cap) * (ROUND((#REF!-250)*1.25 + 850 + 0,0)),0)</f>
        <v>#REF!</v>
      </c>
      <c r="AP90" s="39" t="e">
        <f>ROUNDDOWN( MAX(1 - MIN(facs_constr_factor*#REF!,facs_constr_max) + tech_1_11*#REF! + tech_6_3_2*#REF! + tech_5_2_3*#REF!, 1-global_constr_cap) * ROUND((#REF!-250)*0.285 + 87.5 + 0/4.25,0),0)</f>
        <v>#REF!</v>
      </c>
      <c r="AQ90" s="3" t="e">
        <f>#REF!*#REF! +#REF! *#REF!</f>
        <v>#REF!</v>
      </c>
      <c r="AR90" s="3" t="e">
        <f>#REF!*#REF!+#REF!*#REF!</f>
        <v>#REF!</v>
      </c>
      <c r="AS90" s="39" t="e">
        <f ca="1">MIN(SUM(OFFSET(#REF!,-1,0))+SUM(#REF!)+IF(#REF!&gt;12,SUM(OFFSET(#REF!,-12,0)),0),SUM(#REF!))</f>
        <v>#REF!</v>
      </c>
      <c r="AT90" s="3" t="e">
        <f ca="1">IF(#REF!&lt;&gt;0,MAX(0, MIN(20, 20 + SUM(#REF!) - SUM(#REF!) - SUM(OFFSET(#REF!,-1,0)) - IF(#REF!&gt;12,SUM(OFFSET(#REF!,-12,0)),0) - 20*#REF!)),0)</f>
        <v>#REF!</v>
      </c>
      <c r="AU90" s="134"/>
      <c r="AV90" s="39" t="e">
        <f>ROUND((#REF!-250 - IF(#REF!&lt;&gt;0,20,0))*1.25 + 850 + 0,0)</f>
        <v>#REF!</v>
      </c>
      <c r="AW90" s="39" t="e">
        <f>ROUND((#REF!-250 - IF(#REF!&lt;&gt;0,20,0))*0.285 + 87.5 + 0/4.25,0)</f>
        <v>#REF!</v>
      </c>
      <c r="AX90" s="133"/>
      <c r="AY90" s="172" t="e">
        <f t="array" aca="1" ref="AY90" ca="1">IF(#REF!&gt;12,OFFSET(#REF!,-12,0),0)+OFFSET(#REF!,-1,0)-#REF!</f>
        <v>#REF!</v>
      </c>
      <c r="AZ90" s="173" t="e">
        <f t="array" aca="1" ref="AZ90" ca="1">IF(#REF!&gt;12,OFFSET(#REF!,-12,0),0)+OFFSET(#REF!,-1,0)-#REF!</f>
        <v>#REF!</v>
      </c>
      <c r="BA90" s="173" t="e">
        <f t="array" aca="1" ref="BA90" ca="1">IF(#REF!&gt;12,OFFSET(#REF!,-12,0),0)+OFFSET(#REF!,-1,0)-#REF!</f>
        <v>#REF!</v>
      </c>
      <c r="BB90" s="173" t="e">
        <f t="array" aca="1" ref="BB90" ca="1">IF(#REF!&gt;12,OFFSET(#REF!,-12,0),0)+OFFSET(#REF!,-1,0)-#REF!</f>
        <v>#REF!</v>
      </c>
      <c r="BC90" s="173" t="e">
        <f t="array" aca="1" ref="BC90" ca="1">IF(#REF!&gt;12,OFFSET(#REF!,-12,0),0)+OFFSET(#REF!,-1,0)-#REF!</f>
        <v>#REF!</v>
      </c>
      <c r="BD90" s="174" t="e">
        <f t="array" aca="1" ref="BD90" ca="1">IF(#REF!&gt;12,OFFSET(#REF!,-12,0),0)+OFFSET(#REF!,-1,0)-#REF!</f>
        <v>#REF!</v>
      </c>
      <c r="BE90" s="174" t="e">
        <f t="array" aca="1" ref="BE90" ca="1">IF(#REF!&gt;12,OFFSET(#REF!,-12,0),0)+OFFSET(#REF!,-1,0)-#REF!</f>
        <v>#REF!</v>
      </c>
      <c r="BF90" s="343" t="e">
        <f t="array" aca="1" ref="BF90" ca="1">IF(#REF!&gt;12,OFFSET(#REF!,-12,0),0)+OFFSET(#REF!,-1,0)-#REF!</f>
        <v>#REF!</v>
      </c>
      <c r="BG90" s="343" t="e">
        <f t="array" aca="1" ref="BG90" ca="1">IF(#REF!&gt;12,OFFSET(#REF!,-12,0),0)+OFFSET(#REF!,-1,0)-#REF!</f>
        <v>#REF!</v>
      </c>
      <c r="BH90" s="347" t="e">
        <f t="array" aca="1" ref="BH90" ca="1">IF(#REF!&gt;12,OFFSET(#REF!,-12,0),0)+OFFSET(#REF!,-1,0)-#REF!</f>
        <v>#REF!</v>
      </c>
      <c r="BI90" s="347" t="e">
        <f t="array" aca="1" ref="BI90" ca="1">IF(#REF!&gt;12,OFFSET(#REF!,-12,0),0)+OFFSET(#REF!,-1,0)-#REF!</f>
        <v>#REF!</v>
      </c>
      <c r="BJ90" s="347" t="e">
        <f t="array" aca="1" ref="BJ90" ca="1">IF(#REF!&gt;12,OFFSET(#REF!,-12,0),0)+OFFSET(#REF!,-1,0)-#REF!</f>
        <v>#REF!</v>
      </c>
      <c r="BK90" s="347" t="e">
        <f t="array" aca="1" ref="BK90" ca="1">IF(#REF!&gt;12,OFFSET(#REF!,-12,0),0)+OFFSET(#REF!,-1,0)-#REF!</f>
        <v>#REF!</v>
      </c>
      <c r="BL90" s="351" t="e">
        <f t="array" aca="1" ref="BL90" ca="1">IF(#REF!&gt;12,OFFSET(#REF!,-12,0),0)+OFFSET(#REF!,-1,0)-#REF!</f>
        <v>#REF!</v>
      </c>
      <c r="BM90" s="351" t="e">
        <f t="array" aca="1" ref="BM90" ca="1">IF(#REF!&gt;12,OFFSET(#REF!,-12,0),0)+OFFSET(#REF!,-1,0)-#REF!</f>
        <v>#REF!</v>
      </c>
      <c r="BN90" s="351" t="e">
        <f t="array" aca="1" ref="BN90" ca="1">IF(#REF!&gt;12,OFFSET(#REF!,-12,0),0)+OFFSET(#REF!,-1,0)-#REF!</f>
        <v>#REF!</v>
      </c>
      <c r="BO90" s="175" t="e">
        <f t="array" aca="1" ref="BO90" ca="1">IF(#REF!&gt;12,OFFSET(#REF!,-12,0),0)+OFFSET(#REF!,-1,0)-#REF!</f>
        <v>#REF!</v>
      </c>
      <c r="BP90" s="175" t="e">
        <f t="array" aca="1" ref="BP90" ca="1">IF(#REF!&gt;12,OFFSET(#REF!,-12,0),0)+OFFSET(#REF!,-1,0)-#REF!</f>
        <v>#REF!</v>
      </c>
      <c r="BQ90" s="176" t="e">
        <f t="array" aca="1" ref="BQ90" ca="1">IF(#REF!&gt;12,OFFSET(#REF!,-12,0),0)+OFFSET(#REF!,-1,0)-#REF!</f>
        <v>#REF!</v>
      </c>
      <c r="BR90" s="134"/>
      <c r="BS90" s="133"/>
      <c r="BT90" s="39" t="e">
        <f>#REF!</f>
        <v>#REF!</v>
      </c>
      <c r="BU90" s="147" t="e">
        <f>#REF!</f>
        <v>#REF!</v>
      </c>
      <c r="BV90" s="134"/>
      <c r="BW90" s="164"/>
      <c r="BX90" s="164"/>
      <c r="BY90" s="164"/>
      <c r="BZ90" s="164"/>
      <c r="CA90" s="164"/>
      <c r="CB90" s="164"/>
      <c r="CC90" s="164"/>
      <c r="CD90" s="164"/>
      <c r="CE90" s="164"/>
      <c r="CF90" s="164"/>
      <c r="CG90" s="164"/>
      <c r="CH90" s="164"/>
      <c r="CI90" s="164"/>
      <c r="CJ90" s="164"/>
      <c r="CK90" s="164"/>
      <c r="CL90" s="164"/>
      <c r="CM90" s="164"/>
      <c r="CN90" s="164"/>
      <c r="CO90" s="164"/>
      <c r="CP90" s="134"/>
      <c r="CQ90" s="165" t="e">
        <f ca="1">-SUM(#REF!)+SUM(#REF!)+Rezone!L90+IF("Ch_"&amp; home_land=#REF!,#REF!)+IF(#REF!&gt;12,OFFSET(#REF!,-12,0),0)</f>
        <v>#REF!</v>
      </c>
      <c r="CR90" s="166" t="e">
        <f ca="1">-SUM(#REF!)+SUM(#REF!) +Rezone!M90 + IF("Ch_"&amp; home_land=#REF!,#REF!)+IF(#REF!&gt;12,OFFSET(#REF!,-12,0),0)</f>
        <v>#REF!</v>
      </c>
      <c r="CS90" s="341" t="e">
        <f ca="1">-SUM(#REF!)+SUM(#REF!) +Rezone!N90 + IF("Ch_"&amp; home_land=#REF!,#REF!)+IF(#REF!&gt;12,OFFSET(#REF!,-12,0),0)</f>
        <v>#REF!</v>
      </c>
      <c r="CT90" s="167" t="e">
        <f ca="1">-SUM(#REF!)+SUM(#REF!) +Rezone!O90 + IF("Ch_" &amp; home_land=#REF!,#REF!)+IF(#REF!&gt;12,OFFSET(#REF!,-12,0),0)</f>
        <v>#REF!</v>
      </c>
      <c r="CU90" s="168" t="e">
        <f ca="1">-SUM(#REF!)+SUM(#REF!) +Rezone!P90 + IF("Ch_" &amp; home_land=#REF!,#REF!)+IF(#REF!&gt;12,OFFSET(#REF!,-12,0),0)</f>
        <v>#REF!</v>
      </c>
      <c r="CV90" s="169" t="e">
        <f ca="1">- SUM(#REF!)+SUM(#REF!) +Rezone!Q90 + IF("Ch_" &amp; home_land=#REF!,#REF!)+IF(#REF!&gt;12,OFFSET(#REF!,-12,0),0)</f>
        <v>#REF!</v>
      </c>
      <c r="CW90" s="170" t="e">
        <f ca="1">-#REF!+#REF! +Rezone!R90 + IF("Ch_" &amp; home_land=#REF!,#REF!)+IF(#REF!&gt;12,OFFSET(#REF!,-12,0),0)</f>
        <v>#REF!</v>
      </c>
      <c r="CX90" s="3" t="e">
        <f>IF(Explore!S90=1,20) -#REF! +#REF!</f>
        <v>#REF!</v>
      </c>
      <c r="CY90" s="134"/>
      <c r="CZ90" s="39" t="e">
        <f t="shared" ca="1" si="23"/>
        <v>#REF!</v>
      </c>
      <c r="DA90" s="39" t="e">
        <f t="shared" ca="1" si="24"/>
        <v>#REF!</v>
      </c>
      <c r="DB90" s="3" t="e">
        <f t="shared" ca="1" si="25"/>
        <v>#REF!</v>
      </c>
      <c r="DC90" s="39" t="e">
        <f t="shared" ca="1" si="26"/>
        <v>#REF!</v>
      </c>
      <c r="DD90" s="39" t="e">
        <f t="shared" ca="1" si="27"/>
        <v>#REF!</v>
      </c>
      <c r="DE90" s="3" t="e">
        <f t="shared" ca="1" si="28"/>
        <v>#REF!</v>
      </c>
      <c r="DF90" s="39" t="e">
        <f t="shared" ca="1" si="29"/>
        <v>#REF!</v>
      </c>
      <c r="DG90" s="39" t="e">
        <f t="array" ref="DG90">INDEX(#REF!,ROW()-ROW(#REF!),MATCH("Total "&amp;home_land,#REF!,0))+#REF!</f>
        <v>#REF!</v>
      </c>
      <c r="DH90" s="3" t="e">
        <f t="shared" ca="1" si="22"/>
        <v>#REF!</v>
      </c>
      <c r="DI90" s="3" t="e">
        <f t="shared" ca="1" si="19"/>
        <v>#REF!</v>
      </c>
      <c r="DJ90" s="3" t="e">
        <f t="shared" ca="1" si="20"/>
        <v>#REF!</v>
      </c>
    </row>
    <row r="91" spans="1:114" x14ac:dyDescent="0.25">
      <c r="A91" s="160" t="e">
        <f>#REF!</f>
        <v>#REF!</v>
      </c>
      <c r="B91" s="161" t="e">
        <f>SUM(#REF!)</f>
        <v>#REF!</v>
      </c>
      <c r="C91" s="162" t="e">
        <f>SUM(#REF!)</f>
        <v>#REF!</v>
      </c>
      <c r="D91" s="162">
        <f t="shared" si="21"/>
        <v>0</v>
      </c>
      <c r="E91" s="163"/>
      <c r="F91" s="61" t="e">
        <f>#REF!+#REF!+#REF!</f>
        <v>#REF!</v>
      </c>
      <c r="G91" s="171" t="e">
        <f ca="1">OFFSET(#REF!,-1,0)+#REF!</f>
        <v>#REF!</v>
      </c>
      <c r="H91" s="166" t="e">
        <f ca="1">OFFSET(#REF!,-1,0)+#REF!</f>
        <v>#REF!</v>
      </c>
      <c r="I91" s="341" t="e">
        <f ca="1">OFFSET(#REF!,-1,0)+#REF!</f>
        <v>#REF!</v>
      </c>
      <c r="J91" s="345" t="e">
        <f ca="1">OFFSET(#REF!,-1,0)+#REF!</f>
        <v>#REF!</v>
      </c>
      <c r="K91" s="349" t="e">
        <f ca="1">OFFSET(#REF!,-1,0)+#REF!</f>
        <v>#REF!</v>
      </c>
      <c r="L91" s="169" t="e">
        <f ca="1">OFFSET(#REF!,-1,0)+#REF!</f>
        <v>#REF!</v>
      </c>
      <c r="M91" s="170" t="e">
        <f ca="1">OFFSET(#REF!,-1,0)+#REF!</f>
        <v>#REF!</v>
      </c>
      <c r="N91" s="339" t="e">
        <f>#REF!</f>
        <v>#REF!</v>
      </c>
      <c r="O91" s="164"/>
      <c r="P91" s="164"/>
      <c r="Q91" s="164"/>
      <c r="R91" s="164"/>
      <c r="S91" s="164"/>
      <c r="T91" s="164"/>
      <c r="U91" s="164"/>
      <c r="V91" s="164"/>
      <c r="W91" s="164"/>
      <c r="X91" s="164"/>
      <c r="Y91" s="164"/>
      <c r="Z91" s="164"/>
      <c r="AA91" s="164"/>
      <c r="AB91" s="164"/>
      <c r="AC91" s="164"/>
      <c r="AD91" s="164"/>
      <c r="AE91" s="164"/>
      <c r="AF91" s="164"/>
      <c r="AG91" s="164"/>
      <c r="AH91" s="53" t="e">
        <f>#REF!</f>
        <v>#REF!</v>
      </c>
      <c r="AI91" s="132" t="e">
        <f>MIN(25%,(#REF!+#REF!)/(#REF!-#REF!*20))</f>
        <v>#REF!</v>
      </c>
      <c r="AJ91" s="132" t="e">
        <f>MIN(25%,(#REF!+#REF!)/#REF!)</f>
        <v>#REF!</v>
      </c>
      <c r="AK91" s="39" t="e">
        <f>#REF!</f>
        <v>#REF!</v>
      </c>
      <c r="AL91" s="39" t="e">
        <f>#REF!</f>
        <v>#REF!</v>
      </c>
      <c r="AM91" s="39" t="e">
        <f>ROUNDDOWN( MAX((1 - MIN(facs_constr_factor*#REF!,facs_constr_max) + tech_2_3*#REF! + tech_2_6_2*#REF! + tech_2_10*#REF! + tech_4_6*#REF! + tech_6_3*#REF! + tech_9_2*#REF! + race_construction_cost), 1-global_constr_cap) *#REF!,0)</f>
        <v>#REF!</v>
      </c>
      <c r="AN91" s="39" t="e">
        <f>ROUNDDOWN( MAX(1 - MIN(facs_constr_factor*#REF!,facs_constr_max) + tech_1_11*#REF! + tech_6_3_2*#REF! + tech_5_2_3*#REF!, 1-global_constr_cap) *#REF!,0)</f>
        <v>#REF!</v>
      </c>
      <c r="AO91" s="39" t="e">
        <f>ROUNDDOWN( MAX((1 - MIN(facs_constr_factor*#REF!,facs_constr_max) + tech_2_3*#REF! + tech_2_6_2*#REF! + tech_2_10*#REF! + tech_4_6*#REF! + tech_6_3*#REF! + tech_9_2*#REF! + race_construction_cost), 1-global_constr_cap) * (ROUND((#REF!-250)*1.25 + 850 + 0,0)),0)</f>
        <v>#REF!</v>
      </c>
      <c r="AP91" s="39" t="e">
        <f>ROUNDDOWN( MAX(1 - MIN(facs_constr_factor*#REF!,facs_constr_max) + tech_1_11*#REF! + tech_6_3_2*#REF! + tech_5_2_3*#REF!, 1-global_constr_cap) * ROUND((#REF!-250)*0.285 + 87.5 + 0/4.25,0),0)</f>
        <v>#REF!</v>
      </c>
      <c r="AQ91" s="3" t="e">
        <f>#REF!*#REF! +#REF! *#REF!</f>
        <v>#REF!</v>
      </c>
      <c r="AR91" s="3" t="e">
        <f>#REF!*#REF!+#REF!*#REF!</f>
        <v>#REF!</v>
      </c>
      <c r="AS91" s="39" t="e">
        <f ca="1">MIN(SUM(OFFSET(#REF!,-1,0))+SUM(#REF!)+IF(#REF!&gt;12,SUM(OFFSET(#REF!,-12,0)),0),SUM(#REF!))</f>
        <v>#REF!</v>
      </c>
      <c r="AT91" s="3" t="e">
        <f ca="1">IF(#REF!&lt;&gt;0,MAX(0, MIN(20, 20 + SUM(#REF!) - SUM(#REF!) - SUM(OFFSET(#REF!,-1,0)) - IF(#REF!&gt;12,SUM(OFFSET(#REF!,-12,0)),0) - 20*#REF!)),0)</f>
        <v>#REF!</v>
      </c>
      <c r="AU91" s="134"/>
      <c r="AV91" s="39" t="e">
        <f>ROUND((#REF!-250 - IF(#REF!&lt;&gt;0,20,0))*1.25 + 850 + 0,0)</f>
        <v>#REF!</v>
      </c>
      <c r="AW91" s="39" t="e">
        <f>ROUND((#REF!-250 - IF(#REF!&lt;&gt;0,20,0))*0.285 + 87.5 + 0/4.25,0)</f>
        <v>#REF!</v>
      </c>
      <c r="AX91" s="133"/>
      <c r="AY91" s="172" t="e">
        <f t="array" aca="1" ref="AY91" ca="1">IF(#REF!&gt;12,OFFSET(#REF!,-12,0),0)+OFFSET(#REF!,-1,0)-#REF!</f>
        <v>#REF!</v>
      </c>
      <c r="AZ91" s="173" t="e">
        <f t="array" aca="1" ref="AZ91" ca="1">IF(#REF!&gt;12,OFFSET(#REF!,-12,0),0)+OFFSET(#REF!,-1,0)-#REF!</f>
        <v>#REF!</v>
      </c>
      <c r="BA91" s="173" t="e">
        <f t="array" aca="1" ref="BA91" ca="1">IF(#REF!&gt;12,OFFSET(#REF!,-12,0),0)+OFFSET(#REF!,-1,0)-#REF!</f>
        <v>#REF!</v>
      </c>
      <c r="BB91" s="173" t="e">
        <f t="array" aca="1" ref="BB91" ca="1">IF(#REF!&gt;12,OFFSET(#REF!,-12,0),0)+OFFSET(#REF!,-1,0)-#REF!</f>
        <v>#REF!</v>
      </c>
      <c r="BC91" s="173" t="e">
        <f t="array" aca="1" ref="BC91" ca="1">IF(#REF!&gt;12,OFFSET(#REF!,-12,0),0)+OFFSET(#REF!,-1,0)-#REF!</f>
        <v>#REF!</v>
      </c>
      <c r="BD91" s="174" t="e">
        <f t="array" aca="1" ref="BD91" ca="1">IF(#REF!&gt;12,OFFSET(#REF!,-12,0),0)+OFFSET(#REF!,-1,0)-#REF!</f>
        <v>#REF!</v>
      </c>
      <c r="BE91" s="174" t="e">
        <f t="array" aca="1" ref="BE91" ca="1">IF(#REF!&gt;12,OFFSET(#REF!,-12,0),0)+OFFSET(#REF!,-1,0)-#REF!</f>
        <v>#REF!</v>
      </c>
      <c r="BF91" s="343" t="e">
        <f t="array" aca="1" ref="BF91" ca="1">IF(#REF!&gt;12,OFFSET(#REF!,-12,0),0)+OFFSET(#REF!,-1,0)-#REF!</f>
        <v>#REF!</v>
      </c>
      <c r="BG91" s="343" t="e">
        <f t="array" aca="1" ref="BG91" ca="1">IF(#REF!&gt;12,OFFSET(#REF!,-12,0),0)+OFFSET(#REF!,-1,0)-#REF!</f>
        <v>#REF!</v>
      </c>
      <c r="BH91" s="347" t="e">
        <f t="array" aca="1" ref="BH91" ca="1">IF(#REF!&gt;12,OFFSET(#REF!,-12,0),0)+OFFSET(#REF!,-1,0)-#REF!</f>
        <v>#REF!</v>
      </c>
      <c r="BI91" s="347" t="e">
        <f t="array" aca="1" ref="BI91" ca="1">IF(#REF!&gt;12,OFFSET(#REF!,-12,0),0)+OFFSET(#REF!,-1,0)-#REF!</f>
        <v>#REF!</v>
      </c>
      <c r="BJ91" s="347" t="e">
        <f t="array" aca="1" ref="BJ91" ca="1">IF(#REF!&gt;12,OFFSET(#REF!,-12,0),0)+OFFSET(#REF!,-1,0)-#REF!</f>
        <v>#REF!</v>
      </c>
      <c r="BK91" s="347" t="e">
        <f t="array" aca="1" ref="BK91" ca="1">IF(#REF!&gt;12,OFFSET(#REF!,-12,0),0)+OFFSET(#REF!,-1,0)-#REF!</f>
        <v>#REF!</v>
      </c>
      <c r="BL91" s="351" t="e">
        <f t="array" aca="1" ref="BL91" ca="1">IF(#REF!&gt;12,OFFSET(#REF!,-12,0),0)+OFFSET(#REF!,-1,0)-#REF!</f>
        <v>#REF!</v>
      </c>
      <c r="BM91" s="351" t="e">
        <f t="array" aca="1" ref="BM91" ca="1">IF(#REF!&gt;12,OFFSET(#REF!,-12,0),0)+OFFSET(#REF!,-1,0)-#REF!</f>
        <v>#REF!</v>
      </c>
      <c r="BN91" s="351" t="e">
        <f t="array" aca="1" ref="BN91" ca="1">IF(#REF!&gt;12,OFFSET(#REF!,-12,0),0)+OFFSET(#REF!,-1,0)-#REF!</f>
        <v>#REF!</v>
      </c>
      <c r="BO91" s="175" t="e">
        <f t="array" aca="1" ref="BO91" ca="1">IF(#REF!&gt;12,OFFSET(#REF!,-12,0),0)+OFFSET(#REF!,-1,0)-#REF!</f>
        <v>#REF!</v>
      </c>
      <c r="BP91" s="175" t="e">
        <f t="array" aca="1" ref="BP91" ca="1">IF(#REF!&gt;12,OFFSET(#REF!,-12,0),0)+OFFSET(#REF!,-1,0)-#REF!</f>
        <v>#REF!</v>
      </c>
      <c r="BQ91" s="176" t="e">
        <f t="array" aca="1" ref="BQ91" ca="1">IF(#REF!&gt;12,OFFSET(#REF!,-12,0),0)+OFFSET(#REF!,-1,0)-#REF!</f>
        <v>#REF!</v>
      </c>
      <c r="BR91" s="134"/>
      <c r="BS91" s="133"/>
      <c r="BT91" s="39" t="e">
        <f>#REF!</f>
        <v>#REF!</v>
      </c>
      <c r="BU91" s="147" t="e">
        <f>#REF!</f>
        <v>#REF!</v>
      </c>
      <c r="BV91" s="134"/>
      <c r="BW91" s="164"/>
      <c r="BX91" s="164"/>
      <c r="BY91" s="164"/>
      <c r="BZ91" s="164"/>
      <c r="CA91" s="164"/>
      <c r="CB91" s="164"/>
      <c r="CC91" s="164"/>
      <c r="CD91" s="164"/>
      <c r="CE91" s="164"/>
      <c r="CF91" s="164"/>
      <c r="CG91" s="164"/>
      <c r="CH91" s="164"/>
      <c r="CI91" s="164"/>
      <c r="CJ91" s="164"/>
      <c r="CK91" s="164"/>
      <c r="CL91" s="164"/>
      <c r="CM91" s="164"/>
      <c r="CN91" s="164"/>
      <c r="CO91" s="164"/>
      <c r="CP91" s="134"/>
      <c r="CQ91" s="165" t="e">
        <f ca="1">-SUM(#REF!)+SUM(#REF!)+Rezone!L91+IF("Ch_"&amp; home_land=#REF!,#REF!)+IF(#REF!&gt;12,OFFSET(#REF!,-12,0),0)</f>
        <v>#REF!</v>
      </c>
      <c r="CR91" s="166" t="e">
        <f ca="1">-SUM(#REF!)+SUM(#REF!) +Rezone!M91 + IF("Ch_"&amp; home_land=#REF!,#REF!)+IF(#REF!&gt;12,OFFSET(#REF!,-12,0),0)</f>
        <v>#REF!</v>
      </c>
      <c r="CS91" s="341" t="e">
        <f ca="1">-SUM(#REF!)+SUM(#REF!) +Rezone!N91 + IF("Ch_"&amp; home_land=#REF!,#REF!)+IF(#REF!&gt;12,OFFSET(#REF!,-12,0),0)</f>
        <v>#REF!</v>
      </c>
      <c r="CT91" s="167" t="e">
        <f ca="1">-SUM(#REF!)+SUM(#REF!) +Rezone!O91 + IF("Ch_" &amp; home_land=#REF!,#REF!)+IF(#REF!&gt;12,OFFSET(#REF!,-12,0),0)</f>
        <v>#REF!</v>
      </c>
      <c r="CU91" s="168" t="e">
        <f ca="1">-SUM(#REF!)+SUM(#REF!) +Rezone!P91 + IF("Ch_" &amp; home_land=#REF!,#REF!)+IF(#REF!&gt;12,OFFSET(#REF!,-12,0),0)</f>
        <v>#REF!</v>
      </c>
      <c r="CV91" s="169" t="e">
        <f ca="1">- SUM(#REF!)+SUM(#REF!) +Rezone!Q91 + IF("Ch_" &amp; home_land=#REF!,#REF!)+IF(#REF!&gt;12,OFFSET(#REF!,-12,0),0)</f>
        <v>#REF!</v>
      </c>
      <c r="CW91" s="170" t="e">
        <f ca="1">-#REF!+#REF! +Rezone!R91 + IF("Ch_" &amp; home_land=#REF!,#REF!)+IF(#REF!&gt;12,OFFSET(#REF!,-12,0),0)</f>
        <v>#REF!</v>
      </c>
      <c r="CX91" s="3" t="e">
        <f>IF(Explore!S91=1,20) -#REF! +#REF!</f>
        <v>#REF!</v>
      </c>
      <c r="CY91" s="134"/>
      <c r="CZ91" s="39" t="e">
        <f t="shared" ca="1" si="23"/>
        <v>#REF!</v>
      </c>
      <c r="DA91" s="39" t="e">
        <f t="shared" ca="1" si="24"/>
        <v>#REF!</v>
      </c>
      <c r="DB91" s="3" t="e">
        <f t="shared" ca="1" si="25"/>
        <v>#REF!</v>
      </c>
      <c r="DC91" s="39" t="e">
        <f t="shared" ca="1" si="26"/>
        <v>#REF!</v>
      </c>
      <c r="DD91" s="39" t="e">
        <f t="shared" ca="1" si="27"/>
        <v>#REF!</v>
      </c>
      <c r="DE91" s="3" t="e">
        <f t="shared" ca="1" si="28"/>
        <v>#REF!</v>
      </c>
      <c r="DF91" s="39" t="e">
        <f t="shared" ca="1" si="29"/>
        <v>#REF!</v>
      </c>
      <c r="DG91" s="39" t="e">
        <f t="array" ref="DG91">INDEX(#REF!,ROW()-ROW(#REF!),MATCH("Total "&amp;home_land,#REF!,0))+#REF!</f>
        <v>#REF!</v>
      </c>
      <c r="DH91" s="3" t="e">
        <f t="shared" ca="1" si="22"/>
        <v>#REF!</v>
      </c>
      <c r="DI91" s="3" t="e">
        <f t="shared" ca="1" si="19"/>
        <v>#REF!</v>
      </c>
      <c r="DJ91" s="3" t="e">
        <f t="shared" ca="1" si="20"/>
        <v>#REF!</v>
      </c>
    </row>
    <row r="92" spans="1:114" x14ac:dyDescent="0.25">
      <c r="A92" s="160" t="e">
        <f>#REF!</f>
        <v>#REF!</v>
      </c>
      <c r="B92" s="161" t="e">
        <f>SUM(#REF!)</f>
        <v>#REF!</v>
      </c>
      <c r="C92" s="162" t="e">
        <f>SUM(#REF!)</f>
        <v>#REF!</v>
      </c>
      <c r="D92" s="162">
        <f t="shared" si="21"/>
        <v>0</v>
      </c>
      <c r="E92" s="163"/>
      <c r="F92" s="61" t="e">
        <f>#REF!+#REF!+#REF!</f>
        <v>#REF!</v>
      </c>
      <c r="G92" s="171" t="e">
        <f ca="1">OFFSET(#REF!,-1,0)+#REF!</f>
        <v>#REF!</v>
      </c>
      <c r="H92" s="166" t="e">
        <f ca="1">OFFSET(#REF!,-1,0)+#REF!</f>
        <v>#REF!</v>
      </c>
      <c r="I92" s="341" t="e">
        <f ca="1">OFFSET(#REF!,-1,0)+#REF!</f>
        <v>#REF!</v>
      </c>
      <c r="J92" s="345" t="e">
        <f ca="1">OFFSET(#REF!,-1,0)+#REF!</f>
        <v>#REF!</v>
      </c>
      <c r="K92" s="349" t="e">
        <f ca="1">OFFSET(#REF!,-1,0)+#REF!</f>
        <v>#REF!</v>
      </c>
      <c r="L92" s="169" t="e">
        <f ca="1">OFFSET(#REF!,-1,0)+#REF!</f>
        <v>#REF!</v>
      </c>
      <c r="M92" s="170" t="e">
        <f ca="1">OFFSET(#REF!,-1,0)+#REF!</f>
        <v>#REF!</v>
      </c>
      <c r="N92" s="339" t="e">
        <f>#REF!</f>
        <v>#REF!</v>
      </c>
      <c r="O92" s="164"/>
      <c r="P92" s="164"/>
      <c r="Q92" s="164"/>
      <c r="R92" s="164"/>
      <c r="S92" s="164"/>
      <c r="T92" s="164"/>
      <c r="U92" s="164"/>
      <c r="V92" s="164"/>
      <c r="W92" s="164"/>
      <c r="X92" s="164"/>
      <c r="Y92" s="164"/>
      <c r="Z92" s="164"/>
      <c r="AA92" s="164"/>
      <c r="AB92" s="164"/>
      <c r="AC92" s="164"/>
      <c r="AD92" s="164"/>
      <c r="AE92" s="164"/>
      <c r="AF92" s="164"/>
      <c r="AG92" s="164"/>
      <c r="AH92" s="53" t="e">
        <f>#REF!</f>
        <v>#REF!</v>
      </c>
      <c r="AI92" s="132" t="e">
        <f>MIN(25%,(#REF!+#REF!)/(#REF!-#REF!*20))</f>
        <v>#REF!</v>
      </c>
      <c r="AJ92" s="132" t="e">
        <f>MIN(25%,(#REF!+#REF!)/#REF!)</f>
        <v>#REF!</v>
      </c>
      <c r="AK92" s="39" t="e">
        <f>#REF!</f>
        <v>#REF!</v>
      </c>
      <c r="AL92" s="39" t="e">
        <f>#REF!</f>
        <v>#REF!</v>
      </c>
      <c r="AM92" s="39" t="e">
        <f>ROUNDDOWN( MAX((1 - MIN(facs_constr_factor*#REF!,facs_constr_max) + tech_2_3*#REF! + tech_2_6_2*#REF! + tech_2_10*#REF! + tech_4_6*#REF! + tech_6_3*#REF! + tech_9_2*#REF! + race_construction_cost), 1-global_constr_cap) *#REF!,0)</f>
        <v>#REF!</v>
      </c>
      <c r="AN92" s="39" t="e">
        <f>ROUNDDOWN( MAX(1 - MIN(facs_constr_factor*#REF!,facs_constr_max) + tech_1_11*#REF! + tech_6_3_2*#REF! + tech_5_2_3*#REF!, 1-global_constr_cap) *#REF!,0)</f>
        <v>#REF!</v>
      </c>
      <c r="AO92" s="39" t="e">
        <f>ROUNDDOWN( MAX((1 - MIN(facs_constr_factor*#REF!,facs_constr_max) + tech_2_3*#REF! + tech_2_6_2*#REF! + tech_2_10*#REF! + tech_4_6*#REF! + tech_6_3*#REF! + tech_9_2*#REF! + race_construction_cost), 1-global_constr_cap) * (ROUND((#REF!-250)*1.25 + 850 + 0,0)),0)</f>
        <v>#REF!</v>
      </c>
      <c r="AP92" s="39" t="e">
        <f>ROUNDDOWN( MAX(1 - MIN(facs_constr_factor*#REF!,facs_constr_max) + tech_1_11*#REF! + tech_6_3_2*#REF! + tech_5_2_3*#REF!, 1-global_constr_cap) * ROUND((#REF!-250)*0.285 + 87.5 + 0/4.25,0),0)</f>
        <v>#REF!</v>
      </c>
      <c r="AQ92" s="3" t="e">
        <f>#REF!*#REF! +#REF! *#REF!</f>
        <v>#REF!</v>
      </c>
      <c r="AR92" s="3" t="e">
        <f>#REF!*#REF!+#REF!*#REF!</f>
        <v>#REF!</v>
      </c>
      <c r="AS92" s="39" t="e">
        <f ca="1">MIN(SUM(OFFSET(#REF!,-1,0))+SUM(#REF!)+IF(#REF!&gt;12,SUM(OFFSET(#REF!,-12,0)),0),SUM(#REF!))</f>
        <v>#REF!</v>
      </c>
      <c r="AT92" s="3" t="e">
        <f ca="1">IF(#REF!&lt;&gt;0,MAX(0, MIN(20, 20 + SUM(#REF!) - SUM(#REF!) - SUM(OFFSET(#REF!,-1,0)) - IF(#REF!&gt;12,SUM(OFFSET(#REF!,-12,0)),0) - 20*#REF!)),0)</f>
        <v>#REF!</v>
      </c>
      <c r="AU92" s="134"/>
      <c r="AV92" s="39" t="e">
        <f>ROUND((#REF!-250 - IF(#REF!&lt;&gt;0,20,0))*1.25 + 850 + 0,0)</f>
        <v>#REF!</v>
      </c>
      <c r="AW92" s="39" t="e">
        <f>ROUND((#REF!-250 - IF(#REF!&lt;&gt;0,20,0))*0.285 + 87.5 + 0/4.25,0)</f>
        <v>#REF!</v>
      </c>
      <c r="AX92" s="133"/>
      <c r="AY92" s="172" t="e">
        <f t="array" aca="1" ref="AY92" ca="1">IF(#REF!&gt;12,OFFSET(#REF!,-12,0),0)+OFFSET(#REF!,-1,0)-#REF!</f>
        <v>#REF!</v>
      </c>
      <c r="AZ92" s="173" t="e">
        <f t="array" aca="1" ref="AZ92" ca="1">IF(#REF!&gt;12,OFFSET(#REF!,-12,0),0)+OFFSET(#REF!,-1,0)-#REF!</f>
        <v>#REF!</v>
      </c>
      <c r="BA92" s="173" t="e">
        <f t="array" aca="1" ref="BA92" ca="1">IF(#REF!&gt;12,OFFSET(#REF!,-12,0),0)+OFFSET(#REF!,-1,0)-#REF!</f>
        <v>#REF!</v>
      </c>
      <c r="BB92" s="173" t="e">
        <f t="array" aca="1" ref="BB92" ca="1">IF(#REF!&gt;12,OFFSET(#REF!,-12,0),0)+OFFSET(#REF!,-1,0)-#REF!</f>
        <v>#REF!</v>
      </c>
      <c r="BC92" s="173" t="e">
        <f t="array" aca="1" ref="BC92" ca="1">IF(#REF!&gt;12,OFFSET(#REF!,-12,0),0)+OFFSET(#REF!,-1,0)-#REF!</f>
        <v>#REF!</v>
      </c>
      <c r="BD92" s="174" t="e">
        <f t="array" aca="1" ref="BD92" ca="1">IF(#REF!&gt;12,OFFSET(#REF!,-12,0),0)+OFFSET(#REF!,-1,0)-#REF!</f>
        <v>#REF!</v>
      </c>
      <c r="BE92" s="174" t="e">
        <f t="array" aca="1" ref="BE92" ca="1">IF(#REF!&gt;12,OFFSET(#REF!,-12,0),0)+OFFSET(#REF!,-1,0)-#REF!</f>
        <v>#REF!</v>
      </c>
      <c r="BF92" s="343" t="e">
        <f t="array" aca="1" ref="BF92" ca="1">IF(#REF!&gt;12,OFFSET(#REF!,-12,0),0)+OFFSET(#REF!,-1,0)-#REF!</f>
        <v>#REF!</v>
      </c>
      <c r="BG92" s="343" t="e">
        <f t="array" aca="1" ref="BG92" ca="1">IF(#REF!&gt;12,OFFSET(#REF!,-12,0),0)+OFFSET(#REF!,-1,0)-#REF!</f>
        <v>#REF!</v>
      </c>
      <c r="BH92" s="347" t="e">
        <f t="array" aca="1" ref="BH92" ca="1">IF(#REF!&gt;12,OFFSET(#REF!,-12,0),0)+OFFSET(#REF!,-1,0)-#REF!</f>
        <v>#REF!</v>
      </c>
      <c r="BI92" s="347" t="e">
        <f t="array" aca="1" ref="BI92" ca="1">IF(#REF!&gt;12,OFFSET(#REF!,-12,0),0)+OFFSET(#REF!,-1,0)-#REF!</f>
        <v>#REF!</v>
      </c>
      <c r="BJ92" s="347" t="e">
        <f t="array" aca="1" ref="BJ92" ca="1">IF(#REF!&gt;12,OFFSET(#REF!,-12,0),0)+OFFSET(#REF!,-1,0)-#REF!</f>
        <v>#REF!</v>
      </c>
      <c r="BK92" s="347" t="e">
        <f t="array" aca="1" ref="BK92" ca="1">IF(#REF!&gt;12,OFFSET(#REF!,-12,0),0)+OFFSET(#REF!,-1,0)-#REF!</f>
        <v>#REF!</v>
      </c>
      <c r="BL92" s="351" t="e">
        <f t="array" aca="1" ref="BL92" ca="1">IF(#REF!&gt;12,OFFSET(#REF!,-12,0),0)+OFFSET(#REF!,-1,0)-#REF!</f>
        <v>#REF!</v>
      </c>
      <c r="BM92" s="351" t="e">
        <f t="array" aca="1" ref="BM92" ca="1">IF(#REF!&gt;12,OFFSET(#REF!,-12,0),0)+OFFSET(#REF!,-1,0)-#REF!</f>
        <v>#REF!</v>
      </c>
      <c r="BN92" s="351" t="e">
        <f t="array" aca="1" ref="BN92" ca="1">IF(#REF!&gt;12,OFFSET(#REF!,-12,0),0)+OFFSET(#REF!,-1,0)-#REF!</f>
        <v>#REF!</v>
      </c>
      <c r="BO92" s="175" t="e">
        <f t="array" aca="1" ref="BO92" ca="1">IF(#REF!&gt;12,OFFSET(#REF!,-12,0),0)+OFFSET(#REF!,-1,0)-#REF!</f>
        <v>#REF!</v>
      </c>
      <c r="BP92" s="175" t="e">
        <f t="array" aca="1" ref="BP92" ca="1">IF(#REF!&gt;12,OFFSET(#REF!,-12,0),0)+OFFSET(#REF!,-1,0)-#REF!</f>
        <v>#REF!</v>
      </c>
      <c r="BQ92" s="176" t="e">
        <f t="array" aca="1" ref="BQ92" ca="1">IF(#REF!&gt;12,OFFSET(#REF!,-12,0),0)+OFFSET(#REF!,-1,0)-#REF!</f>
        <v>#REF!</v>
      </c>
      <c r="BR92" s="134"/>
      <c r="BS92" s="133"/>
      <c r="BT92" s="39" t="e">
        <f>#REF!</f>
        <v>#REF!</v>
      </c>
      <c r="BU92" s="147" t="e">
        <f>#REF!</f>
        <v>#REF!</v>
      </c>
      <c r="BV92" s="134"/>
      <c r="BW92" s="164"/>
      <c r="BX92" s="164"/>
      <c r="BY92" s="164"/>
      <c r="BZ92" s="164"/>
      <c r="CA92" s="164"/>
      <c r="CB92" s="164"/>
      <c r="CC92" s="164"/>
      <c r="CD92" s="164"/>
      <c r="CE92" s="164"/>
      <c r="CF92" s="164"/>
      <c r="CG92" s="164"/>
      <c r="CH92" s="164"/>
      <c r="CI92" s="164"/>
      <c r="CJ92" s="164"/>
      <c r="CK92" s="164"/>
      <c r="CL92" s="164"/>
      <c r="CM92" s="164"/>
      <c r="CN92" s="164"/>
      <c r="CO92" s="164"/>
      <c r="CP92" s="134"/>
      <c r="CQ92" s="165" t="e">
        <f ca="1">-SUM(#REF!)+SUM(#REF!)+Rezone!L92+IF("Ch_"&amp; home_land=#REF!,#REF!)+IF(#REF!&gt;12,OFFSET(#REF!,-12,0),0)</f>
        <v>#REF!</v>
      </c>
      <c r="CR92" s="166" t="e">
        <f ca="1">-SUM(#REF!)+SUM(#REF!) +Rezone!M92 + IF("Ch_"&amp; home_land=#REF!,#REF!)+IF(#REF!&gt;12,OFFSET(#REF!,-12,0),0)</f>
        <v>#REF!</v>
      </c>
      <c r="CS92" s="341" t="e">
        <f ca="1">-SUM(#REF!)+SUM(#REF!) +Rezone!N92 + IF("Ch_"&amp; home_land=#REF!,#REF!)+IF(#REF!&gt;12,OFFSET(#REF!,-12,0),0)</f>
        <v>#REF!</v>
      </c>
      <c r="CT92" s="167" t="e">
        <f ca="1">-SUM(#REF!)+SUM(#REF!) +Rezone!O92 + IF("Ch_" &amp; home_land=#REF!,#REF!)+IF(#REF!&gt;12,OFFSET(#REF!,-12,0),0)</f>
        <v>#REF!</v>
      </c>
      <c r="CU92" s="168" t="e">
        <f ca="1">-SUM(#REF!)+SUM(#REF!) +Rezone!P92 + IF("Ch_" &amp; home_land=#REF!,#REF!)+IF(#REF!&gt;12,OFFSET(#REF!,-12,0),0)</f>
        <v>#REF!</v>
      </c>
      <c r="CV92" s="169" t="e">
        <f ca="1">- SUM(#REF!)+SUM(#REF!) +Rezone!Q92 + IF("Ch_" &amp; home_land=#REF!,#REF!)+IF(#REF!&gt;12,OFFSET(#REF!,-12,0),0)</f>
        <v>#REF!</v>
      </c>
      <c r="CW92" s="170" t="e">
        <f ca="1">-#REF!+#REF! +Rezone!R92 + IF("Ch_" &amp; home_land=#REF!,#REF!)+IF(#REF!&gt;12,OFFSET(#REF!,-12,0),0)</f>
        <v>#REF!</v>
      </c>
      <c r="CX92" s="3" t="e">
        <f>IF(Explore!S92=1,20) -#REF! +#REF!</f>
        <v>#REF!</v>
      </c>
      <c r="CY92" s="134"/>
      <c r="CZ92" s="39" t="e">
        <f t="shared" ca="1" si="23"/>
        <v>#REF!</v>
      </c>
      <c r="DA92" s="39" t="e">
        <f t="shared" ca="1" si="24"/>
        <v>#REF!</v>
      </c>
      <c r="DB92" s="3" t="e">
        <f t="shared" ca="1" si="25"/>
        <v>#REF!</v>
      </c>
      <c r="DC92" s="39" t="e">
        <f t="shared" ca="1" si="26"/>
        <v>#REF!</v>
      </c>
      <c r="DD92" s="39" t="e">
        <f t="shared" ca="1" si="27"/>
        <v>#REF!</v>
      </c>
      <c r="DE92" s="3" t="e">
        <f t="shared" ca="1" si="28"/>
        <v>#REF!</v>
      </c>
      <c r="DF92" s="39" t="e">
        <f t="shared" ca="1" si="29"/>
        <v>#REF!</v>
      </c>
      <c r="DG92" s="39" t="e">
        <f t="array" ref="DG92">INDEX(#REF!,ROW()-ROW(#REF!),MATCH("Total "&amp;home_land,#REF!,0))+#REF!</f>
        <v>#REF!</v>
      </c>
      <c r="DH92" s="3" t="e">
        <f t="shared" ca="1" si="22"/>
        <v>#REF!</v>
      </c>
      <c r="DI92" s="3" t="e">
        <f t="shared" ca="1" si="19"/>
        <v>#REF!</v>
      </c>
      <c r="DJ92" s="3" t="e">
        <f t="shared" ca="1" si="20"/>
        <v>#REF!</v>
      </c>
    </row>
    <row r="93" spans="1:114" x14ac:dyDescent="0.25">
      <c r="A93" s="160" t="e">
        <f>#REF!</f>
        <v>#REF!</v>
      </c>
      <c r="B93" s="161" t="e">
        <f>SUM(#REF!)</f>
        <v>#REF!</v>
      </c>
      <c r="C93" s="162" t="e">
        <f>SUM(#REF!)</f>
        <v>#REF!</v>
      </c>
      <c r="D93" s="162">
        <f t="shared" si="21"/>
        <v>0</v>
      </c>
      <c r="E93" s="163"/>
      <c r="F93" s="61" t="e">
        <f>#REF!+#REF!+#REF!</f>
        <v>#REF!</v>
      </c>
      <c r="G93" s="171" t="e">
        <f ca="1">OFFSET(#REF!,-1,0)+#REF!</f>
        <v>#REF!</v>
      </c>
      <c r="H93" s="166" t="e">
        <f ca="1">OFFSET(#REF!,-1,0)+#REF!</f>
        <v>#REF!</v>
      </c>
      <c r="I93" s="341" t="e">
        <f ca="1">OFFSET(#REF!,-1,0)+#REF!</f>
        <v>#REF!</v>
      </c>
      <c r="J93" s="345" t="e">
        <f ca="1">OFFSET(#REF!,-1,0)+#REF!</f>
        <v>#REF!</v>
      </c>
      <c r="K93" s="349" t="e">
        <f ca="1">OFFSET(#REF!,-1,0)+#REF!</f>
        <v>#REF!</v>
      </c>
      <c r="L93" s="169" t="e">
        <f ca="1">OFFSET(#REF!,-1,0)+#REF!</f>
        <v>#REF!</v>
      </c>
      <c r="M93" s="170" t="e">
        <f ca="1">OFFSET(#REF!,-1,0)+#REF!</f>
        <v>#REF!</v>
      </c>
      <c r="N93" s="339" t="e">
        <f>#REF!</f>
        <v>#REF!</v>
      </c>
      <c r="O93" s="164"/>
      <c r="P93" s="164"/>
      <c r="Q93" s="164"/>
      <c r="R93" s="164"/>
      <c r="S93" s="164"/>
      <c r="T93" s="164"/>
      <c r="U93" s="164"/>
      <c r="V93" s="164"/>
      <c r="W93" s="164"/>
      <c r="X93" s="164"/>
      <c r="Y93" s="164"/>
      <c r="Z93" s="164"/>
      <c r="AA93" s="164"/>
      <c r="AB93" s="164"/>
      <c r="AC93" s="164"/>
      <c r="AD93" s="164"/>
      <c r="AE93" s="164"/>
      <c r="AF93" s="164"/>
      <c r="AG93" s="164"/>
      <c r="AH93" s="53" t="e">
        <f>#REF!</f>
        <v>#REF!</v>
      </c>
      <c r="AI93" s="132" t="e">
        <f>MIN(25%,(#REF!+#REF!)/(#REF!-#REF!*20))</f>
        <v>#REF!</v>
      </c>
      <c r="AJ93" s="132" t="e">
        <f>MIN(25%,(#REF!+#REF!)/#REF!)</f>
        <v>#REF!</v>
      </c>
      <c r="AK93" s="39" t="e">
        <f>#REF!</f>
        <v>#REF!</v>
      </c>
      <c r="AL93" s="39" t="e">
        <f>#REF!</f>
        <v>#REF!</v>
      </c>
      <c r="AM93" s="39" t="e">
        <f>ROUNDDOWN( MAX((1 - MIN(facs_constr_factor*#REF!,facs_constr_max) + tech_2_3*#REF! + tech_2_6_2*#REF! + tech_2_10*#REF! + tech_4_6*#REF! + tech_6_3*#REF! + tech_9_2*#REF! + race_construction_cost), 1-global_constr_cap) *#REF!,0)</f>
        <v>#REF!</v>
      </c>
      <c r="AN93" s="39" t="e">
        <f>ROUNDDOWN( MAX(1 - MIN(facs_constr_factor*#REF!,facs_constr_max) + tech_1_11*#REF! + tech_6_3_2*#REF! + tech_5_2_3*#REF!, 1-global_constr_cap) *#REF!,0)</f>
        <v>#REF!</v>
      </c>
      <c r="AO93" s="39" t="e">
        <f>ROUNDDOWN( MAX((1 - MIN(facs_constr_factor*#REF!,facs_constr_max) + tech_2_3*#REF! + tech_2_6_2*#REF! + tech_2_10*#REF! + tech_4_6*#REF! + tech_6_3*#REF! + tech_9_2*#REF! + race_construction_cost), 1-global_constr_cap) * (ROUND((#REF!-250)*1.25 + 850 + 0,0)),0)</f>
        <v>#REF!</v>
      </c>
      <c r="AP93" s="39" t="e">
        <f>ROUNDDOWN( MAX(1 - MIN(facs_constr_factor*#REF!,facs_constr_max) + tech_1_11*#REF! + tech_6_3_2*#REF! + tech_5_2_3*#REF!, 1-global_constr_cap) * ROUND((#REF!-250)*0.285 + 87.5 + 0/4.25,0),0)</f>
        <v>#REF!</v>
      </c>
      <c r="AQ93" s="3" t="e">
        <f>#REF!*#REF! +#REF! *#REF!</f>
        <v>#REF!</v>
      </c>
      <c r="AR93" s="3" t="e">
        <f>#REF!*#REF!+#REF!*#REF!</f>
        <v>#REF!</v>
      </c>
      <c r="AS93" s="39" t="e">
        <f ca="1">MIN(SUM(OFFSET(#REF!,-1,0))+SUM(#REF!)+IF(#REF!&gt;12,SUM(OFFSET(#REF!,-12,0)),0),SUM(#REF!))</f>
        <v>#REF!</v>
      </c>
      <c r="AT93" s="3" t="e">
        <f ca="1">IF(#REF!&lt;&gt;0,MAX(0, MIN(20, 20 + SUM(#REF!) - SUM(#REF!) - SUM(OFFSET(#REF!,-1,0)) - IF(#REF!&gt;12,SUM(OFFSET(#REF!,-12,0)),0) - 20*#REF!)),0)</f>
        <v>#REF!</v>
      </c>
      <c r="AU93" s="134"/>
      <c r="AV93" s="39" t="e">
        <f>ROUND((#REF!-250 - IF(#REF!&lt;&gt;0,20,0))*1.25 + 850 + 0,0)</f>
        <v>#REF!</v>
      </c>
      <c r="AW93" s="39" t="e">
        <f>ROUND((#REF!-250 - IF(#REF!&lt;&gt;0,20,0))*0.285 + 87.5 + 0/4.25,0)</f>
        <v>#REF!</v>
      </c>
      <c r="AX93" s="133"/>
      <c r="AY93" s="172" t="e">
        <f t="array" aca="1" ref="AY93" ca="1">IF(#REF!&gt;12,OFFSET(#REF!,-12,0),0)+OFFSET(#REF!,-1,0)-#REF!</f>
        <v>#REF!</v>
      </c>
      <c r="AZ93" s="173" t="e">
        <f t="array" aca="1" ref="AZ93" ca="1">IF(#REF!&gt;12,OFFSET(#REF!,-12,0),0)+OFFSET(#REF!,-1,0)-#REF!</f>
        <v>#REF!</v>
      </c>
      <c r="BA93" s="173" t="e">
        <f t="array" aca="1" ref="BA93" ca="1">IF(#REF!&gt;12,OFFSET(#REF!,-12,0),0)+OFFSET(#REF!,-1,0)-#REF!</f>
        <v>#REF!</v>
      </c>
      <c r="BB93" s="173" t="e">
        <f t="array" aca="1" ref="BB93" ca="1">IF(#REF!&gt;12,OFFSET(#REF!,-12,0),0)+OFFSET(#REF!,-1,0)-#REF!</f>
        <v>#REF!</v>
      </c>
      <c r="BC93" s="173" t="e">
        <f t="array" aca="1" ref="BC93" ca="1">IF(#REF!&gt;12,OFFSET(#REF!,-12,0),0)+OFFSET(#REF!,-1,0)-#REF!</f>
        <v>#REF!</v>
      </c>
      <c r="BD93" s="174" t="e">
        <f t="array" aca="1" ref="BD93" ca="1">IF(#REF!&gt;12,OFFSET(#REF!,-12,0),0)+OFFSET(#REF!,-1,0)-#REF!</f>
        <v>#REF!</v>
      </c>
      <c r="BE93" s="174" t="e">
        <f t="array" aca="1" ref="BE93" ca="1">IF(#REF!&gt;12,OFFSET(#REF!,-12,0),0)+OFFSET(#REF!,-1,0)-#REF!</f>
        <v>#REF!</v>
      </c>
      <c r="BF93" s="343" t="e">
        <f t="array" aca="1" ref="BF93" ca="1">IF(#REF!&gt;12,OFFSET(#REF!,-12,0),0)+OFFSET(#REF!,-1,0)-#REF!</f>
        <v>#REF!</v>
      </c>
      <c r="BG93" s="343" t="e">
        <f t="array" aca="1" ref="BG93" ca="1">IF(#REF!&gt;12,OFFSET(#REF!,-12,0),0)+OFFSET(#REF!,-1,0)-#REF!</f>
        <v>#REF!</v>
      </c>
      <c r="BH93" s="347" t="e">
        <f t="array" aca="1" ref="BH93" ca="1">IF(#REF!&gt;12,OFFSET(#REF!,-12,0),0)+OFFSET(#REF!,-1,0)-#REF!</f>
        <v>#REF!</v>
      </c>
      <c r="BI93" s="347" t="e">
        <f t="array" aca="1" ref="BI93" ca="1">IF(#REF!&gt;12,OFFSET(#REF!,-12,0),0)+OFFSET(#REF!,-1,0)-#REF!</f>
        <v>#REF!</v>
      </c>
      <c r="BJ93" s="347" t="e">
        <f t="array" aca="1" ref="BJ93" ca="1">IF(#REF!&gt;12,OFFSET(#REF!,-12,0),0)+OFFSET(#REF!,-1,0)-#REF!</f>
        <v>#REF!</v>
      </c>
      <c r="BK93" s="347" t="e">
        <f t="array" aca="1" ref="BK93" ca="1">IF(#REF!&gt;12,OFFSET(#REF!,-12,0),0)+OFFSET(#REF!,-1,0)-#REF!</f>
        <v>#REF!</v>
      </c>
      <c r="BL93" s="351" t="e">
        <f t="array" aca="1" ref="BL93" ca="1">IF(#REF!&gt;12,OFFSET(#REF!,-12,0),0)+OFFSET(#REF!,-1,0)-#REF!</f>
        <v>#REF!</v>
      </c>
      <c r="BM93" s="351" t="e">
        <f t="array" aca="1" ref="BM93" ca="1">IF(#REF!&gt;12,OFFSET(#REF!,-12,0),0)+OFFSET(#REF!,-1,0)-#REF!</f>
        <v>#REF!</v>
      </c>
      <c r="BN93" s="351" t="e">
        <f t="array" aca="1" ref="BN93" ca="1">IF(#REF!&gt;12,OFFSET(#REF!,-12,0),0)+OFFSET(#REF!,-1,0)-#REF!</f>
        <v>#REF!</v>
      </c>
      <c r="BO93" s="175" t="e">
        <f t="array" aca="1" ref="BO93" ca="1">IF(#REF!&gt;12,OFFSET(#REF!,-12,0),0)+OFFSET(#REF!,-1,0)-#REF!</f>
        <v>#REF!</v>
      </c>
      <c r="BP93" s="175" t="e">
        <f t="array" aca="1" ref="BP93" ca="1">IF(#REF!&gt;12,OFFSET(#REF!,-12,0),0)+OFFSET(#REF!,-1,0)-#REF!</f>
        <v>#REF!</v>
      </c>
      <c r="BQ93" s="176" t="e">
        <f t="array" aca="1" ref="BQ93" ca="1">IF(#REF!&gt;12,OFFSET(#REF!,-12,0),0)+OFFSET(#REF!,-1,0)-#REF!</f>
        <v>#REF!</v>
      </c>
      <c r="BR93" s="134"/>
      <c r="BS93" s="133"/>
      <c r="BT93" s="39" t="e">
        <f>#REF!</f>
        <v>#REF!</v>
      </c>
      <c r="BU93" s="147" t="e">
        <f>#REF!</f>
        <v>#REF!</v>
      </c>
      <c r="BV93" s="134"/>
      <c r="BW93" s="164"/>
      <c r="BX93" s="164"/>
      <c r="BY93" s="164"/>
      <c r="BZ93" s="164"/>
      <c r="CA93" s="164"/>
      <c r="CB93" s="164"/>
      <c r="CC93" s="164"/>
      <c r="CD93" s="164"/>
      <c r="CE93" s="164"/>
      <c r="CF93" s="164"/>
      <c r="CG93" s="164"/>
      <c r="CH93" s="164"/>
      <c r="CI93" s="164"/>
      <c r="CJ93" s="164"/>
      <c r="CK93" s="164"/>
      <c r="CL93" s="164"/>
      <c r="CM93" s="164"/>
      <c r="CN93" s="164"/>
      <c r="CO93" s="164"/>
      <c r="CP93" s="134"/>
      <c r="CQ93" s="165" t="e">
        <f ca="1">-SUM(#REF!)+SUM(#REF!)+Rezone!L93+IF("Ch_"&amp; home_land=#REF!,#REF!)+IF(#REF!&gt;12,OFFSET(#REF!,-12,0),0)</f>
        <v>#REF!</v>
      </c>
      <c r="CR93" s="166" t="e">
        <f ca="1">-SUM(#REF!)+SUM(#REF!) +Rezone!M93 + IF("Ch_"&amp; home_land=#REF!,#REF!)+IF(#REF!&gt;12,OFFSET(#REF!,-12,0),0)</f>
        <v>#REF!</v>
      </c>
      <c r="CS93" s="341" t="e">
        <f ca="1">-SUM(#REF!)+SUM(#REF!) +Rezone!N93 + IF("Ch_"&amp; home_land=#REF!,#REF!)+IF(#REF!&gt;12,OFFSET(#REF!,-12,0),0)</f>
        <v>#REF!</v>
      </c>
      <c r="CT93" s="167" t="e">
        <f ca="1">-SUM(#REF!)+SUM(#REF!) +Rezone!O93 + IF("Ch_" &amp; home_land=#REF!,#REF!)+IF(#REF!&gt;12,OFFSET(#REF!,-12,0),0)</f>
        <v>#REF!</v>
      </c>
      <c r="CU93" s="168" t="e">
        <f ca="1">-SUM(#REF!)+SUM(#REF!) +Rezone!P93 + IF("Ch_" &amp; home_land=#REF!,#REF!)+IF(#REF!&gt;12,OFFSET(#REF!,-12,0),0)</f>
        <v>#REF!</v>
      </c>
      <c r="CV93" s="169" t="e">
        <f ca="1">- SUM(#REF!)+SUM(#REF!) +Rezone!Q93 + IF("Ch_" &amp; home_land=#REF!,#REF!)+IF(#REF!&gt;12,OFFSET(#REF!,-12,0),0)</f>
        <v>#REF!</v>
      </c>
      <c r="CW93" s="170" t="e">
        <f ca="1">-#REF!+#REF! +Rezone!R93 + IF("Ch_" &amp; home_land=#REF!,#REF!)+IF(#REF!&gt;12,OFFSET(#REF!,-12,0),0)</f>
        <v>#REF!</v>
      </c>
      <c r="CX93" s="3" t="e">
        <f>IF(Explore!S93=1,20) -#REF! +#REF!</f>
        <v>#REF!</v>
      </c>
      <c r="CY93" s="134"/>
      <c r="CZ93" s="39" t="e">
        <f t="shared" ca="1" si="23"/>
        <v>#REF!</v>
      </c>
      <c r="DA93" s="39" t="e">
        <f t="shared" ca="1" si="24"/>
        <v>#REF!</v>
      </c>
      <c r="DB93" s="3" t="e">
        <f t="shared" ca="1" si="25"/>
        <v>#REF!</v>
      </c>
      <c r="DC93" s="39" t="e">
        <f t="shared" ca="1" si="26"/>
        <v>#REF!</v>
      </c>
      <c r="DD93" s="39" t="e">
        <f t="shared" ca="1" si="27"/>
        <v>#REF!</v>
      </c>
      <c r="DE93" s="3" t="e">
        <f t="shared" ca="1" si="28"/>
        <v>#REF!</v>
      </c>
      <c r="DF93" s="39" t="e">
        <f t="shared" ca="1" si="29"/>
        <v>#REF!</v>
      </c>
      <c r="DG93" s="39" t="e">
        <f t="array" ref="DG93">INDEX(#REF!,ROW()-ROW(#REF!),MATCH("Total "&amp;home_land,#REF!,0))+#REF!</f>
        <v>#REF!</v>
      </c>
      <c r="DH93" s="3" t="e">
        <f t="shared" ca="1" si="22"/>
        <v>#REF!</v>
      </c>
      <c r="DI93" s="3" t="e">
        <f t="shared" ca="1" si="19"/>
        <v>#REF!</v>
      </c>
      <c r="DJ93" s="3" t="e">
        <f t="shared" ca="1" si="20"/>
        <v>#REF!</v>
      </c>
    </row>
    <row r="94" spans="1:114" x14ac:dyDescent="0.25">
      <c r="A94" s="160" t="e">
        <f>#REF!</f>
        <v>#REF!</v>
      </c>
      <c r="B94" s="161" t="e">
        <f>SUM(#REF!)</f>
        <v>#REF!</v>
      </c>
      <c r="C94" s="162" t="e">
        <f>SUM(#REF!)</f>
        <v>#REF!</v>
      </c>
      <c r="D94" s="162">
        <f t="shared" si="21"/>
        <v>0</v>
      </c>
      <c r="E94" s="163"/>
      <c r="F94" s="61" t="e">
        <f>#REF!+#REF!+#REF!</f>
        <v>#REF!</v>
      </c>
      <c r="G94" s="171" t="e">
        <f ca="1">OFFSET(#REF!,-1,0)+#REF!</f>
        <v>#REF!</v>
      </c>
      <c r="H94" s="166" t="e">
        <f ca="1">OFFSET(#REF!,-1,0)+#REF!</f>
        <v>#REF!</v>
      </c>
      <c r="I94" s="341" t="e">
        <f ca="1">OFFSET(#REF!,-1,0)+#REF!</f>
        <v>#REF!</v>
      </c>
      <c r="J94" s="345" t="e">
        <f ca="1">OFFSET(#REF!,-1,0)+#REF!</f>
        <v>#REF!</v>
      </c>
      <c r="K94" s="349" t="e">
        <f ca="1">OFFSET(#REF!,-1,0)+#REF!</f>
        <v>#REF!</v>
      </c>
      <c r="L94" s="169" t="e">
        <f ca="1">OFFSET(#REF!,-1,0)+#REF!</f>
        <v>#REF!</v>
      </c>
      <c r="M94" s="170" t="e">
        <f ca="1">OFFSET(#REF!,-1,0)+#REF!</f>
        <v>#REF!</v>
      </c>
      <c r="N94" s="339" t="e">
        <f>#REF!</f>
        <v>#REF!</v>
      </c>
      <c r="O94" s="164"/>
      <c r="P94" s="164"/>
      <c r="Q94" s="164"/>
      <c r="R94" s="164"/>
      <c r="S94" s="164"/>
      <c r="T94" s="164"/>
      <c r="U94" s="164"/>
      <c r="V94" s="164"/>
      <c r="W94" s="164"/>
      <c r="X94" s="164"/>
      <c r="Y94" s="164"/>
      <c r="Z94" s="164"/>
      <c r="AA94" s="164"/>
      <c r="AB94" s="164"/>
      <c r="AC94" s="164"/>
      <c r="AD94" s="164"/>
      <c r="AE94" s="164"/>
      <c r="AF94" s="164"/>
      <c r="AG94" s="164"/>
      <c r="AH94" s="53" t="e">
        <f>#REF!</f>
        <v>#REF!</v>
      </c>
      <c r="AI94" s="132" t="e">
        <f>MIN(25%,(#REF!+#REF!)/(#REF!-#REF!*20))</f>
        <v>#REF!</v>
      </c>
      <c r="AJ94" s="132" t="e">
        <f>MIN(25%,(#REF!+#REF!)/#REF!)</f>
        <v>#REF!</v>
      </c>
      <c r="AK94" s="39" t="e">
        <f>#REF!</f>
        <v>#REF!</v>
      </c>
      <c r="AL94" s="39" t="e">
        <f>#REF!</f>
        <v>#REF!</v>
      </c>
      <c r="AM94" s="39" t="e">
        <f>ROUNDDOWN( MAX((1 - MIN(facs_constr_factor*#REF!,facs_constr_max) + tech_2_3*#REF! + tech_2_6_2*#REF! + tech_2_10*#REF! + tech_4_6*#REF! + tech_6_3*#REF! + tech_9_2*#REF! + race_construction_cost), 1-global_constr_cap) *#REF!,0)</f>
        <v>#REF!</v>
      </c>
      <c r="AN94" s="39" t="e">
        <f>ROUNDDOWN( MAX(1 - MIN(facs_constr_factor*#REF!,facs_constr_max) + tech_1_11*#REF! + tech_6_3_2*#REF! + tech_5_2_3*#REF!, 1-global_constr_cap) *#REF!,0)</f>
        <v>#REF!</v>
      </c>
      <c r="AO94" s="39" t="e">
        <f>ROUNDDOWN( MAX((1 - MIN(facs_constr_factor*#REF!,facs_constr_max) + tech_2_3*#REF! + tech_2_6_2*#REF! + tech_2_10*#REF! + tech_4_6*#REF! + tech_6_3*#REF! + tech_9_2*#REF! + race_construction_cost), 1-global_constr_cap) * (ROUND((#REF!-250)*1.25 + 850 + 0,0)),0)</f>
        <v>#REF!</v>
      </c>
      <c r="AP94" s="39" t="e">
        <f>ROUNDDOWN( MAX(1 - MIN(facs_constr_factor*#REF!,facs_constr_max) + tech_1_11*#REF! + tech_6_3_2*#REF! + tech_5_2_3*#REF!, 1-global_constr_cap) * ROUND((#REF!-250)*0.285 + 87.5 + 0/4.25,0),0)</f>
        <v>#REF!</v>
      </c>
      <c r="AQ94" s="3" t="e">
        <f>#REF!*#REF! +#REF! *#REF!</f>
        <v>#REF!</v>
      </c>
      <c r="AR94" s="3" t="e">
        <f>#REF!*#REF!+#REF!*#REF!</f>
        <v>#REF!</v>
      </c>
      <c r="AS94" s="39" t="e">
        <f ca="1">MIN(SUM(OFFSET(#REF!,-1,0))+SUM(#REF!)+IF(#REF!&gt;12,SUM(OFFSET(#REF!,-12,0)),0),SUM(#REF!))</f>
        <v>#REF!</v>
      </c>
      <c r="AT94" s="3" t="e">
        <f ca="1">IF(#REF!&lt;&gt;0,MAX(0, MIN(20, 20 + SUM(#REF!) - SUM(#REF!) - SUM(OFFSET(#REF!,-1,0)) - IF(#REF!&gt;12,SUM(OFFSET(#REF!,-12,0)),0) - 20*#REF!)),0)</f>
        <v>#REF!</v>
      </c>
      <c r="AU94" s="134"/>
      <c r="AV94" s="39" t="e">
        <f>ROUND((#REF!-250 - IF(#REF!&lt;&gt;0,20,0))*1.25 + 850 + 0,0)</f>
        <v>#REF!</v>
      </c>
      <c r="AW94" s="39" t="e">
        <f>ROUND((#REF!-250 - IF(#REF!&lt;&gt;0,20,0))*0.285 + 87.5 + 0/4.25,0)</f>
        <v>#REF!</v>
      </c>
      <c r="AX94" s="133"/>
      <c r="AY94" s="172" t="e">
        <f t="array" aca="1" ref="AY94" ca="1">IF(#REF!&gt;12,OFFSET(#REF!,-12,0),0)+OFFSET(#REF!,-1,0)-#REF!</f>
        <v>#REF!</v>
      </c>
      <c r="AZ94" s="173" t="e">
        <f t="array" aca="1" ref="AZ94" ca="1">IF(#REF!&gt;12,OFFSET(#REF!,-12,0),0)+OFFSET(#REF!,-1,0)-#REF!</f>
        <v>#REF!</v>
      </c>
      <c r="BA94" s="173" t="e">
        <f t="array" aca="1" ref="BA94" ca="1">IF(#REF!&gt;12,OFFSET(#REF!,-12,0),0)+OFFSET(#REF!,-1,0)-#REF!</f>
        <v>#REF!</v>
      </c>
      <c r="BB94" s="173" t="e">
        <f t="array" aca="1" ref="BB94" ca="1">IF(#REF!&gt;12,OFFSET(#REF!,-12,0),0)+OFFSET(#REF!,-1,0)-#REF!</f>
        <v>#REF!</v>
      </c>
      <c r="BC94" s="173" t="e">
        <f t="array" aca="1" ref="BC94" ca="1">IF(#REF!&gt;12,OFFSET(#REF!,-12,0),0)+OFFSET(#REF!,-1,0)-#REF!</f>
        <v>#REF!</v>
      </c>
      <c r="BD94" s="174" t="e">
        <f t="array" aca="1" ref="BD94" ca="1">IF(#REF!&gt;12,OFFSET(#REF!,-12,0),0)+OFFSET(#REF!,-1,0)-#REF!</f>
        <v>#REF!</v>
      </c>
      <c r="BE94" s="174" t="e">
        <f t="array" aca="1" ref="BE94" ca="1">IF(#REF!&gt;12,OFFSET(#REF!,-12,0),0)+OFFSET(#REF!,-1,0)-#REF!</f>
        <v>#REF!</v>
      </c>
      <c r="BF94" s="343" t="e">
        <f t="array" aca="1" ref="BF94" ca="1">IF(#REF!&gt;12,OFFSET(#REF!,-12,0),0)+OFFSET(#REF!,-1,0)-#REF!</f>
        <v>#REF!</v>
      </c>
      <c r="BG94" s="343" t="e">
        <f t="array" aca="1" ref="BG94" ca="1">IF(#REF!&gt;12,OFFSET(#REF!,-12,0),0)+OFFSET(#REF!,-1,0)-#REF!</f>
        <v>#REF!</v>
      </c>
      <c r="BH94" s="347" t="e">
        <f t="array" aca="1" ref="BH94" ca="1">IF(#REF!&gt;12,OFFSET(#REF!,-12,0),0)+OFFSET(#REF!,-1,0)-#REF!</f>
        <v>#REF!</v>
      </c>
      <c r="BI94" s="347" t="e">
        <f t="array" aca="1" ref="BI94" ca="1">IF(#REF!&gt;12,OFFSET(#REF!,-12,0),0)+OFFSET(#REF!,-1,0)-#REF!</f>
        <v>#REF!</v>
      </c>
      <c r="BJ94" s="347" t="e">
        <f t="array" aca="1" ref="BJ94" ca="1">IF(#REF!&gt;12,OFFSET(#REF!,-12,0),0)+OFFSET(#REF!,-1,0)-#REF!</f>
        <v>#REF!</v>
      </c>
      <c r="BK94" s="347" t="e">
        <f t="array" aca="1" ref="BK94" ca="1">IF(#REF!&gt;12,OFFSET(#REF!,-12,0),0)+OFFSET(#REF!,-1,0)-#REF!</f>
        <v>#REF!</v>
      </c>
      <c r="BL94" s="351" t="e">
        <f t="array" aca="1" ref="BL94" ca="1">IF(#REF!&gt;12,OFFSET(#REF!,-12,0),0)+OFFSET(#REF!,-1,0)-#REF!</f>
        <v>#REF!</v>
      </c>
      <c r="BM94" s="351" t="e">
        <f t="array" aca="1" ref="BM94" ca="1">IF(#REF!&gt;12,OFFSET(#REF!,-12,0),0)+OFFSET(#REF!,-1,0)-#REF!</f>
        <v>#REF!</v>
      </c>
      <c r="BN94" s="351" t="e">
        <f t="array" aca="1" ref="BN94" ca="1">IF(#REF!&gt;12,OFFSET(#REF!,-12,0),0)+OFFSET(#REF!,-1,0)-#REF!</f>
        <v>#REF!</v>
      </c>
      <c r="BO94" s="175" t="e">
        <f t="array" aca="1" ref="BO94" ca="1">IF(#REF!&gt;12,OFFSET(#REF!,-12,0),0)+OFFSET(#REF!,-1,0)-#REF!</f>
        <v>#REF!</v>
      </c>
      <c r="BP94" s="175" t="e">
        <f t="array" aca="1" ref="BP94" ca="1">IF(#REF!&gt;12,OFFSET(#REF!,-12,0),0)+OFFSET(#REF!,-1,0)-#REF!</f>
        <v>#REF!</v>
      </c>
      <c r="BQ94" s="176" t="e">
        <f t="array" aca="1" ref="BQ94" ca="1">IF(#REF!&gt;12,OFFSET(#REF!,-12,0),0)+OFFSET(#REF!,-1,0)-#REF!</f>
        <v>#REF!</v>
      </c>
      <c r="BR94" s="134"/>
      <c r="BS94" s="133"/>
      <c r="BT94" s="39" t="e">
        <f>#REF!</f>
        <v>#REF!</v>
      </c>
      <c r="BU94" s="147" t="e">
        <f>#REF!</f>
        <v>#REF!</v>
      </c>
      <c r="BV94" s="134"/>
      <c r="BW94" s="164"/>
      <c r="BX94" s="164"/>
      <c r="BY94" s="164"/>
      <c r="BZ94" s="164"/>
      <c r="CA94" s="164"/>
      <c r="CB94" s="164"/>
      <c r="CC94" s="164"/>
      <c r="CD94" s="164"/>
      <c r="CE94" s="164"/>
      <c r="CF94" s="164"/>
      <c r="CG94" s="164"/>
      <c r="CH94" s="164"/>
      <c r="CI94" s="164"/>
      <c r="CJ94" s="164"/>
      <c r="CK94" s="164"/>
      <c r="CL94" s="164"/>
      <c r="CM94" s="164"/>
      <c r="CN94" s="164"/>
      <c r="CO94" s="164"/>
      <c r="CP94" s="134"/>
      <c r="CQ94" s="165" t="e">
        <f ca="1">-SUM(#REF!)+SUM(#REF!)+Rezone!L94+IF("Ch_"&amp; home_land=#REF!,#REF!)+IF(#REF!&gt;12,OFFSET(#REF!,-12,0),0)</f>
        <v>#REF!</v>
      </c>
      <c r="CR94" s="166" t="e">
        <f ca="1">-SUM(#REF!)+SUM(#REF!) +Rezone!M94 + IF("Ch_"&amp; home_land=#REF!,#REF!)+IF(#REF!&gt;12,OFFSET(#REF!,-12,0),0)</f>
        <v>#REF!</v>
      </c>
      <c r="CS94" s="341" t="e">
        <f ca="1">-SUM(#REF!)+SUM(#REF!) +Rezone!N94 + IF("Ch_"&amp; home_land=#REF!,#REF!)+IF(#REF!&gt;12,OFFSET(#REF!,-12,0),0)</f>
        <v>#REF!</v>
      </c>
      <c r="CT94" s="167" t="e">
        <f ca="1">-SUM(#REF!)+SUM(#REF!) +Rezone!O94 + IF("Ch_" &amp; home_land=#REF!,#REF!)+IF(#REF!&gt;12,OFFSET(#REF!,-12,0),0)</f>
        <v>#REF!</v>
      </c>
      <c r="CU94" s="168" t="e">
        <f ca="1">-SUM(#REF!)+SUM(#REF!) +Rezone!P94 + IF("Ch_" &amp; home_land=#REF!,#REF!)+IF(#REF!&gt;12,OFFSET(#REF!,-12,0),0)</f>
        <v>#REF!</v>
      </c>
      <c r="CV94" s="169" t="e">
        <f ca="1">- SUM(#REF!)+SUM(#REF!) +Rezone!Q94 + IF("Ch_" &amp; home_land=#REF!,#REF!)+IF(#REF!&gt;12,OFFSET(#REF!,-12,0),0)</f>
        <v>#REF!</v>
      </c>
      <c r="CW94" s="170" t="e">
        <f ca="1">-#REF!+#REF! +Rezone!R94 + IF("Ch_" &amp; home_land=#REF!,#REF!)+IF(#REF!&gt;12,OFFSET(#REF!,-12,0),0)</f>
        <v>#REF!</v>
      </c>
      <c r="CX94" s="3" t="e">
        <f>IF(Explore!S94=1,20) -#REF! +#REF!</f>
        <v>#REF!</v>
      </c>
      <c r="CY94" s="134"/>
      <c r="CZ94" s="39" t="e">
        <f t="shared" ca="1" si="23"/>
        <v>#REF!</v>
      </c>
      <c r="DA94" s="39" t="e">
        <f t="shared" ca="1" si="24"/>
        <v>#REF!</v>
      </c>
      <c r="DB94" s="3" t="e">
        <f t="shared" ca="1" si="25"/>
        <v>#REF!</v>
      </c>
      <c r="DC94" s="39" t="e">
        <f t="shared" ca="1" si="26"/>
        <v>#REF!</v>
      </c>
      <c r="DD94" s="39" t="e">
        <f t="shared" ca="1" si="27"/>
        <v>#REF!</v>
      </c>
      <c r="DE94" s="3" t="e">
        <f t="shared" ca="1" si="28"/>
        <v>#REF!</v>
      </c>
      <c r="DF94" s="39" t="e">
        <f t="shared" ca="1" si="29"/>
        <v>#REF!</v>
      </c>
      <c r="DG94" s="39" t="e">
        <f t="array" ref="DG94">INDEX(#REF!,ROW()-ROW(#REF!),MATCH("Total "&amp;home_land,#REF!,0))+#REF!</f>
        <v>#REF!</v>
      </c>
      <c r="DH94" s="3" t="e">
        <f t="shared" ca="1" si="22"/>
        <v>#REF!</v>
      </c>
      <c r="DI94" s="3" t="e">
        <f t="shared" ca="1" si="19"/>
        <v>#REF!</v>
      </c>
      <c r="DJ94" s="3" t="e">
        <f t="shared" ca="1" si="20"/>
        <v>#REF!</v>
      </c>
    </row>
    <row r="95" spans="1:114" x14ac:dyDescent="0.25">
      <c r="A95" s="160" t="e">
        <f>#REF!</f>
        <v>#REF!</v>
      </c>
      <c r="B95" s="161" t="e">
        <f>SUM(#REF!)</f>
        <v>#REF!</v>
      </c>
      <c r="C95" s="162" t="e">
        <f>SUM(#REF!)</f>
        <v>#REF!</v>
      </c>
      <c r="D95" s="162">
        <f t="shared" si="21"/>
        <v>0</v>
      </c>
      <c r="E95" s="163"/>
      <c r="F95" s="61" t="e">
        <f>#REF!+#REF!+#REF!</f>
        <v>#REF!</v>
      </c>
      <c r="G95" s="171" t="e">
        <f ca="1">OFFSET(#REF!,-1,0)+#REF!</f>
        <v>#REF!</v>
      </c>
      <c r="H95" s="166" t="e">
        <f ca="1">OFFSET(#REF!,-1,0)+#REF!</f>
        <v>#REF!</v>
      </c>
      <c r="I95" s="341" t="e">
        <f ca="1">OFFSET(#REF!,-1,0)+#REF!</f>
        <v>#REF!</v>
      </c>
      <c r="J95" s="345" t="e">
        <f ca="1">OFFSET(#REF!,-1,0)+#REF!</f>
        <v>#REF!</v>
      </c>
      <c r="K95" s="349" t="e">
        <f ca="1">OFFSET(#REF!,-1,0)+#REF!</f>
        <v>#REF!</v>
      </c>
      <c r="L95" s="169" t="e">
        <f ca="1">OFFSET(#REF!,-1,0)+#REF!</f>
        <v>#REF!</v>
      </c>
      <c r="M95" s="170" t="e">
        <f ca="1">OFFSET(#REF!,-1,0)+#REF!</f>
        <v>#REF!</v>
      </c>
      <c r="N95" s="339" t="e">
        <f>#REF!</f>
        <v>#REF!</v>
      </c>
      <c r="O95" s="164"/>
      <c r="P95" s="164"/>
      <c r="Q95" s="164"/>
      <c r="R95" s="164"/>
      <c r="S95" s="164"/>
      <c r="T95" s="164"/>
      <c r="U95" s="164"/>
      <c r="V95" s="164"/>
      <c r="W95" s="164"/>
      <c r="X95" s="164"/>
      <c r="Y95" s="164"/>
      <c r="Z95" s="164"/>
      <c r="AA95" s="164"/>
      <c r="AB95" s="164"/>
      <c r="AC95" s="164"/>
      <c r="AD95" s="164"/>
      <c r="AE95" s="164"/>
      <c r="AF95" s="164"/>
      <c r="AG95" s="164"/>
      <c r="AH95" s="53" t="e">
        <f>#REF!</f>
        <v>#REF!</v>
      </c>
      <c r="AI95" s="132" t="e">
        <f>MIN(25%,(#REF!+#REF!)/(#REF!-#REF!*20))</f>
        <v>#REF!</v>
      </c>
      <c r="AJ95" s="132" t="e">
        <f>MIN(25%,(#REF!+#REF!)/#REF!)</f>
        <v>#REF!</v>
      </c>
      <c r="AK95" s="39" t="e">
        <f>#REF!</f>
        <v>#REF!</v>
      </c>
      <c r="AL95" s="39" t="e">
        <f>#REF!</f>
        <v>#REF!</v>
      </c>
      <c r="AM95" s="39" t="e">
        <f>ROUNDDOWN( MAX((1 - MIN(facs_constr_factor*#REF!,facs_constr_max) + tech_2_3*#REF! + tech_2_6_2*#REF! + tech_2_10*#REF! + tech_4_6*#REF! + tech_6_3*#REF! + tech_9_2*#REF! + race_construction_cost), 1-global_constr_cap) *#REF!,0)</f>
        <v>#REF!</v>
      </c>
      <c r="AN95" s="39" t="e">
        <f>ROUNDDOWN( MAX(1 - MIN(facs_constr_factor*#REF!,facs_constr_max) + tech_1_11*#REF! + tech_6_3_2*#REF! + tech_5_2_3*#REF!, 1-global_constr_cap) *#REF!,0)</f>
        <v>#REF!</v>
      </c>
      <c r="AO95" s="39" t="e">
        <f>ROUNDDOWN( MAX((1 - MIN(facs_constr_factor*#REF!,facs_constr_max) + tech_2_3*#REF! + tech_2_6_2*#REF! + tech_2_10*#REF! + tech_4_6*#REF! + tech_6_3*#REF! + tech_9_2*#REF! + race_construction_cost), 1-global_constr_cap) * (ROUND((#REF!-250)*1.25 + 850 + 0,0)),0)</f>
        <v>#REF!</v>
      </c>
      <c r="AP95" s="39" t="e">
        <f>ROUNDDOWN( MAX(1 - MIN(facs_constr_factor*#REF!,facs_constr_max) + tech_1_11*#REF! + tech_6_3_2*#REF! + tech_5_2_3*#REF!, 1-global_constr_cap) * ROUND((#REF!-250)*0.285 + 87.5 + 0/4.25,0),0)</f>
        <v>#REF!</v>
      </c>
      <c r="AQ95" s="3" t="e">
        <f>#REF!*#REF! +#REF! *#REF!</f>
        <v>#REF!</v>
      </c>
      <c r="AR95" s="3" t="e">
        <f>#REF!*#REF!+#REF!*#REF!</f>
        <v>#REF!</v>
      </c>
      <c r="AS95" s="39" t="e">
        <f ca="1">MIN(SUM(OFFSET(#REF!,-1,0))+SUM(#REF!)+IF(#REF!&gt;12,SUM(OFFSET(#REF!,-12,0)),0),SUM(#REF!))</f>
        <v>#REF!</v>
      </c>
      <c r="AT95" s="3" t="e">
        <f ca="1">IF(#REF!&lt;&gt;0,MAX(0, MIN(20, 20 + SUM(#REF!) - SUM(#REF!) - SUM(OFFSET(#REF!,-1,0)) - IF(#REF!&gt;12,SUM(OFFSET(#REF!,-12,0)),0) - 20*#REF!)),0)</f>
        <v>#REF!</v>
      </c>
      <c r="AU95" s="134"/>
      <c r="AV95" s="39" t="e">
        <f>ROUND((#REF!-250 - IF(#REF!&lt;&gt;0,20,0))*1.25 + 850 + 0,0)</f>
        <v>#REF!</v>
      </c>
      <c r="AW95" s="39" t="e">
        <f>ROUND((#REF!-250 - IF(#REF!&lt;&gt;0,20,0))*0.285 + 87.5 + 0/4.25,0)</f>
        <v>#REF!</v>
      </c>
      <c r="AX95" s="133"/>
      <c r="AY95" s="172" t="e">
        <f t="array" aca="1" ref="AY95" ca="1">IF(#REF!&gt;12,OFFSET(#REF!,-12,0),0)+OFFSET(#REF!,-1,0)-#REF!</f>
        <v>#REF!</v>
      </c>
      <c r="AZ95" s="173" t="e">
        <f t="array" aca="1" ref="AZ95" ca="1">IF(#REF!&gt;12,OFFSET(#REF!,-12,0),0)+OFFSET(#REF!,-1,0)-#REF!</f>
        <v>#REF!</v>
      </c>
      <c r="BA95" s="173" t="e">
        <f t="array" aca="1" ref="BA95" ca="1">IF(#REF!&gt;12,OFFSET(#REF!,-12,0),0)+OFFSET(#REF!,-1,0)-#REF!</f>
        <v>#REF!</v>
      </c>
      <c r="BB95" s="173" t="e">
        <f t="array" aca="1" ref="BB95" ca="1">IF(#REF!&gt;12,OFFSET(#REF!,-12,0),0)+OFFSET(#REF!,-1,0)-#REF!</f>
        <v>#REF!</v>
      </c>
      <c r="BC95" s="173" t="e">
        <f t="array" aca="1" ref="BC95" ca="1">IF(#REF!&gt;12,OFFSET(#REF!,-12,0),0)+OFFSET(#REF!,-1,0)-#REF!</f>
        <v>#REF!</v>
      </c>
      <c r="BD95" s="174" t="e">
        <f t="array" aca="1" ref="BD95" ca="1">IF(#REF!&gt;12,OFFSET(#REF!,-12,0),0)+OFFSET(#REF!,-1,0)-#REF!</f>
        <v>#REF!</v>
      </c>
      <c r="BE95" s="174" t="e">
        <f t="array" aca="1" ref="BE95" ca="1">IF(#REF!&gt;12,OFFSET(#REF!,-12,0),0)+OFFSET(#REF!,-1,0)-#REF!</f>
        <v>#REF!</v>
      </c>
      <c r="BF95" s="343" t="e">
        <f t="array" aca="1" ref="BF95" ca="1">IF(#REF!&gt;12,OFFSET(#REF!,-12,0),0)+OFFSET(#REF!,-1,0)-#REF!</f>
        <v>#REF!</v>
      </c>
      <c r="BG95" s="343" t="e">
        <f t="array" aca="1" ref="BG95" ca="1">IF(#REF!&gt;12,OFFSET(#REF!,-12,0),0)+OFFSET(#REF!,-1,0)-#REF!</f>
        <v>#REF!</v>
      </c>
      <c r="BH95" s="347" t="e">
        <f t="array" aca="1" ref="BH95" ca="1">IF(#REF!&gt;12,OFFSET(#REF!,-12,0),0)+OFFSET(#REF!,-1,0)-#REF!</f>
        <v>#REF!</v>
      </c>
      <c r="BI95" s="347" t="e">
        <f t="array" aca="1" ref="BI95" ca="1">IF(#REF!&gt;12,OFFSET(#REF!,-12,0),0)+OFFSET(#REF!,-1,0)-#REF!</f>
        <v>#REF!</v>
      </c>
      <c r="BJ95" s="347" t="e">
        <f t="array" aca="1" ref="BJ95" ca="1">IF(#REF!&gt;12,OFFSET(#REF!,-12,0),0)+OFFSET(#REF!,-1,0)-#REF!</f>
        <v>#REF!</v>
      </c>
      <c r="BK95" s="347" t="e">
        <f t="array" aca="1" ref="BK95" ca="1">IF(#REF!&gt;12,OFFSET(#REF!,-12,0),0)+OFFSET(#REF!,-1,0)-#REF!</f>
        <v>#REF!</v>
      </c>
      <c r="BL95" s="351" t="e">
        <f t="array" aca="1" ref="BL95" ca="1">IF(#REF!&gt;12,OFFSET(#REF!,-12,0),0)+OFFSET(#REF!,-1,0)-#REF!</f>
        <v>#REF!</v>
      </c>
      <c r="BM95" s="351" t="e">
        <f t="array" aca="1" ref="BM95" ca="1">IF(#REF!&gt;12,OFFSET(#REF!,-12,0),0)+OFFSET(#REF!,-1,0)-#REF!</f>
        <v>#REF!</v>
      </c>
      <c r="BN95" s="351" t="e">
        <f t="array" aca="1" ref="BN95" ca="1">IF(#REF!&gt;12,OFFSET(#REF!,-12,0),0)+OFFSET(#REF!,-1,0)-#REF!</f>
        <v>#REF!</v>
      </c>
      <c r="BO95" s="175" t="e">
        <f t="array" aca="1" ref="BO95" ca="1">IF(#REF!&gt;12,OFFSET(#REF!,-12,0),0)+OFFSET(#REF!,-1,0)-#REF!</f>
        <v>#REF!</v>
      </c>
      <c r="BP95" s="175" t="e">
        <f t="array" aca="1" ref="BP95" ca="1">IF(#REF!&gt;12,OFFSET(#REF!,-12,0),0)+OFFSET(#REF!,-1,0)-#REF!</f>
        <v>#REF!</v>
      </c>
      <c r="BQ95" s="176" t="e">
        <f t="array" aca="1" ref="BQ95" ca="1">IF(#REF!&gt;12,OFFSET(#REF!,-12,0),0)+OFFSET(#REF!,-1,0)-#REF!</f>
        <v>#REF!</v>
      </c>
      <c r="BR95" s="134"/>
      <c r="BS95" s="133"/>
      <c r="BT95" s="39" t="e">
        <f>#REF!</f>
        <v>#REF!</v>
      </c>
      <c r="BU95" s="147" t="e">
        <f>#REF!</f>
        <v>#REF!</v>
      </c>
      <c r="BV95" s="134"/>
      <c r="BW95" s="164"/>
      <c r="BX95" s="164"/>
      <c r="BY95" s="164"/>
      <c r="BZ95" s="164"/>
      <c r="CA95" s="164"/>
      <c r="CB95" s="164"/>
      <c r="CC95" s="164"/>
      <c r="CD95" s="164"/>
      <c r="CE95" s="164"/>
      <c r="CF95" s="164"/>
      <c r="CG95" s="164"/>
      <c r="CH95" s="164"/>
      <c r="CI95" s="164"/>
      <c r="CJ95" s="164"/>
      <c r="CK95" s="164"/>
      <c r="CL95" s="164"/>
      <c r="CM95" s="164"/>
      <c r="CN95" s="164"/>
      <c r="CO95" s="164"/>
      <c r="CP95" s="134"/>
      <c r="CQ95" s="165" t="e">
        <f ca="1">-SUM(#REF!)+SUM(#REF!)+Rezone!L95+IF("Ch_"&amp; home_land=#REF!,#REF!)+IF(#REF!&gt;12,OFFSET(#REF!,-12,0),0)</f>
        <v>#REF!</v>
      </c>
      <c r="CR95" s="166" t="e">
        <f ca="1">-SUM(#REF!)+SUM(#REF!) +Rezone!M95 + IF("Ch_"&amp; home_land=#REF!,#REF!)+IF(#REF!&gt;12,OFFSET(#REF!,-12,0),0)</f>
        <v>#REF!</v>
      </c>
      <c r="CS95" s="341" t="e">
        <f ca="1">-SUM(#REF!)+SUM(#REF!) +Rezone!N95 + IF("Ch_"&amp; home_land=#REF!,#REF!)+IF(#REF!&gt;12,OFFSET(#REF!,-12,0),0)</f>
        <v>#REF!</v>
      </c>
      <c r="CT95" s="167" t="e">
        <f ca="1">-SUM(#REF!)+SUM(#REF!) +Rezone!O95 + IF("Ch_" &amp; home_land=#REF!,#REF!)+IF(#REF!&gt;12,OFFSET(#REF!,-12,0),0)</f>
        <v>#REF!</v>
      </c>
      <c r="CU95" s="168" t="e">
        <f ca="1">-SUM(#REF!)+SUM(#REF!) +Rezone!P95 + IF("Ch_" &amp; home_land=#REF!,#REF!)+IF(#REF!&gt;12,OFFSET(#REF!,-12,0),0)</f>
        <v>#REF!</v>
      </c>
      <c r="CV95" s="169" t="e">
        <f ca="1">- SUM(#REF!)+SUM(#REF!) +Rezone!Q95 + IF("Ch_" &amp; home_land=#REF!,#REF!)+IF(#REF!&gt;12,OFFSET(#REF!,-12,0),0)</f>
        <v>#REF!</v>
      </c>
      <c r="CW95" s="170" t="e">
        <f ca="1">-#REF!+#REF! +Rezone!R95 + IF("Ch_" &amp; home_land=#REF!,#REF!)+IF(#REF!&gt;12,OFFSET(#REF!,-12,0),0)</f>
        <v>#REF!</v>
      </c>
      <c r="CX95" s="3" t="e">
        <f>IF(Explore!S95=1,20) -#REF! +#REF!</f>
        <v>#REF!</v>
      </c>
      <c r="CY95" s="134"/>
      <c r="CZ95" s="39" t="e">
        <f t="shared" ca="1" si="23"/>
        <v>#REF!</v>
      </c>
      <c r="DA95" s="39" t="e">
        <f t="shared" ca="1" si="24"/>
        <v>#REF!</v>
      </c>
      <c r="DB95" s="3" t="e">
        <f t="shared" ca="1" si="25"/>
        <v>#REF!</v>
      </c>
      <c r="DC95" s="39" t="e">
        <f t="shared" ca="1" si="26"/>
        <v>#REF!</v>
      </c>
      <c r="DD95" s="39" t="e">
        <f t="shared" ca="1" si="27"/>
        <v>#REF!</v>
      </c>
      <c r="DE95" s="3" t="e">
        <f t="shared" ca="1" si="28"/>
        <v>#REF!</v>
      </c>
      <c r="DF95" s="39" t="e">
        <f t="shared" ca="1" si="29"/>
        <v>#REF!</v>
      </c>
      <c r="DG95" s="39" t="e">
        <f t="array" ref="DG95">INDEX(#REF!,ROW()-ROW(#REF!),MATCH("Total "&amp;home_land,#REF!,0))+#REF!</f>
        <v>#REF!</v>
      </c>
      <c r="DH95" s="3" t="e">
        <f t="shared" ca="1" si="22"/>
        <v>#REF!</v>
      </c>
      <c r="DI95" s="3" t="e">
        <f t="shared" ca="1" si="19"/>
        <v>#REF!</v>
      </c>
      <c r="DJ95" s="3" t="e">
        <f t="shared" ca="1" si="20"/>
        <v>#REF!</v>
      </c>
    </row>
    <row r="96" spans="1:114" x14ac:dyDescent="0.25">
      <c r="A96" s="160" t="e">
        <f>#REF!</f>
        <v>#REF!</v>
      </c>
      <c r="B96" s="161" t="e">
        <f>SUM(#REF!)</f>
        <v>#REF!</v>
      </c>
      <c r="C96" s="162" t="e">
        <f>SUM(#REF!)</f>
        <v>#REF!</v>
      </c>
      <c r="D96" s="162">
        <f t="shared" si="21"/>
        <v>0</v>
      </c>
      <c r="E96" s="163"/>
      <c r="F96" s="61" t="e">
        <f>#REF!+#REF!+#REF!</f>
        <v>#REF!</v>
      </c>
      <c r="G96" s="171" t="e">
        <f ca="1">OFFSET(#REF!,-1,0)+#REF!</f>
        <v>#REF!</v>
      </c>
      <c r="H96" s="166" t="e">
        <f ca="1">OFFSET(#REF!,-1,0)+#REF!</f>
        <v>#REF!</v>
      </c>
      <c r="I96" s="341" t="e">
        <f ca="1">OFFSET(#REF!,-1,0)+#REF!</f>
        <v>#REF!</v>
      </c>
      <c r="J96" s="345" t="e">
        <f ca="1">OFFSET(#REF!,-1,0)+#REF!</f>
        <v>#REF!</v>
      </c>
      <c r="K96" s="349" t="e">
        <f ca="1">OFFSET(#REF!,-1,0)+#REF!</f>
        <v>#REF!</v>
      </c>
      <c r="L96" s="169" t="e">
        <f ca="1">OFFSET(#REF!,-1,0)+#REF!</f>
        <v>#REF!</v>
      </c>
      <c r="M96" s="170" t="e">
        <f ca="1">OFFSET(#REF!,-1,0)+#REF!</f>
        <v>#REF!</v>
      </c>
      <c r="N96" s="339" t="e">
        <f>#REF!</f>
        <v>#REF!</v>
      </c>
      <c r="O96" s="164"/>
      <c r="P96" s="164"/>
      <c r="Q96" s="164"/>
      <c r="R96" s="146"/>
      <c r="S96" s="164"/>
      <c r="T96" s="164"/>
      <c r="U96" s="164"/>
      <c r="V96" s="164"/>
      <c r="W96" s="164"/>
      <c r="X96" s="164"/>
      <c r="Y96" s="164"/>
      <c r="Z96" s="164"/>
      <c r="AA96" s="164"/>
      <c r="AB96" s="164"/>
      <c r="AC96" s="164"/>
      <c r="AD96" s="164"/>
      <c r="AE96" s="164"/>
      <c r="AF96" s="164"/>
      <c r="AG96" s="164"/>
      <c r="AH96" s="53" t="e">
        <f>#REF!</f>
        <v>#REF!</v>
      </c>
      <c r="AI96" s="132" t="e">
        <f>MIN(25%,(#REF!+#REF!)/(#REF!-#REF!*20))</f>
        <v>#REF!</v>
      </c>
      <c r="AJ96" s="132" t="e">
        <f>MIN(25%,(#REF!+#REF!)/#REF!)</f>
        <v>#REF!</v>
      </c>
      <c r="AK96" s="39" t="e">
        <f>#REF!</f>
        <v>#REF!</v>
      </c>
      <c r="AL96" s="39" t="e">
        <f>#REF!</f>
        <v>#REF!</v>
      </c>
      <c r="AM96" s="39" t="e">
        <f>ROUNDDOWN( MAX((1 - MIN(facs_constr_factor*#REF!,facs_constr_max) + tech_2_3*#REF! + tech_2_6_2*#REF! + tech_2_10*#REF! + tech_4_6*#REF! + tech_6_3*#REF! + tech_9_2*#REF! + race_construction_cost), 1-global_constr_cap) *#REF!,0)</f>
        <v>#REF!</v>
      </c>
      <c r="AN96" s="39" t="e">
        <f>ROUNDDOWN( MAX(1 - MIN(facs_constr_factor*#REF!,facs_constr_max) + tech_1_11*#REF! + tech_6_3_2*#REF! + tech_5_2_3*#REF!, 1-global_constr_cap) *#REF!,0)</f>
        <v>#REF!</v>
      </c>
      <c r="AO96" s="39" t="e">
        <f>ROUNDDOWN( MAX((1 - MIN(facs_constr_factor*#REF!,facs_constr_max) + tech_2_3*#REF! + tech_2_6_2*#REF! + tech_2_10*#REF! + tech_4_6*#REF! + tech_6_3*#REF! + tech_9_2*#REF! + race_construction_cost), 1-global_constr_cap) * (ROUND((#REF!-250)*1.25 + 850 + 0,0)),0)</f>
        <v>#REF!</v>
      </c>
      <c r="AP96" s="39" t="e">
        <f>ROUNDDOWN( MAX(1 - MIN(facs_constr_factor*#REF!,facs_constr_max) + tech_1_11*#REF! + tech_6_3_2*#REF! + tech_5_2_3*#REF!, 1-global_constr_cap) * ROUND((#REF!-250)*0.285 + 87.5 + 0/4.25,0),0)</f>
        <v>#REF!</v>
      </c>
      <c r="AQ96" s="3" t="e">
        <f>#REF!*#REF! +#REF! *#REF!</f>
        <v>#REF!</v>
      </c>
      <c r="AR96" s="3" t="e">
        <f>#REF!*#REF!+#REF!*#REF!</f>
        <v>#REF!</v>
      </c>
      <c r="AS96" s="39" t="e">
        <f ca="1">MIN(SUM(OFFSET(#REF!,-1,0))+SUM(#REF!)+IF(#REF!&gt;12,SUM(OFFSET(#REF!,-12,0)),0),SUM(#REF!))</f>
        <v>#REF!</v>
      </c>
      <c r="AT96" s="3" t="e">
        <f ca="1">IF(#REF!&lt;&gt;0,MAX(0, MIN(20, 20 + SUM(#REF!) - SUM(#REF!) - SUM(OFFSET(#REF!,-1,0)) - IF(#REF!&gt;12,SUM(OFFSET(#REF!,-12,0)),0) - 20*#REF!)),0)</f>
        <v>#REF!</v>
      </c>
      <c r="AU96" s="134"/>
      <c r="AV96" s="39" t="e">
        <f>ROUND((#REF!-250 - IF(#REF!&lt;&gt;0,20,0))*1.25 + 850 + 0,0)</f>
        <v>#REF!</v>
      </c>
      <c r="AW96" s="39" t="e">
        <f>ROUND((#REF!-250 - IF(#REF!&lt;&gt;0,20,0))*0.285 + 87.5 + 0/4.25,0)</f>
        <v>#REF!</v>
      </c>
      <c r="AX96" s="133"/>
      <c r="AY96" s="172" t="e">
        <f t="array" aca="1" ref="AY96" ca="1">IF(#REF!&gt;12,OFFSET(#REF!,-12,0),0)+OFFSET(#REF!,-1,0)-#REF!</f>
        <v>#REF!</v>
      </c>
      <c r="AZ96" s="173" t="e">
        <f t="array" aca="1" ref="AZ96" ca="1">IF(#REF!&gt;12,OFFSET(#REF!,-12,0),0)+OFFSET(#REF!,-1,0)-#REF!</f>
        <v>#REF!</v>
      </c>
      <c r="BA96" s="173" t="e">
        <f t="array" aca="1" ref="BA96" ca="1">IF(#REF!&gt;12,OFFSET(#REF!,-12,0),0)+OFFSET(#REF!,-1,0)-#REF!</f>
        <v>#REF!</v>
      </c>
      <c r="BB96" s="173" t="e">
        <f t="array" aca="1" ref="BB96" ca="1">IF(#REF!&gt;12,OFFSET(#REF!,-12,0),0)+OFFSET(#REF!,-1,0)-#REF!</f>
        <v>#REF!</v>
      </c>
      <c r="BC96" s="173" t="e">
        <f t="array" aca="1" ref="BC96" ca="1">IF(#REF!&gt;12,OFFSET(#REF!,-12,0),0)+OFFSET(#REF!,-1,0)-#REF!</f>
        <v>#REF!</v>
      </c>
      <c r="BD96" s="174" t="e">
        <f t="array" aca="1" ref="BD96" ca="1">IF(#REF!&gt;12,OFFSET(#REF!,-12,0),0)+OFFSET(#REF!,-1,0)-#REF!</f>
        <v>#REF!</v>
      </c>
      <c r="BE96" s="174" t="e">
        <f t="array" aca="1" ref="BE96" ca="1">IF(#REF!&gt;12,OFFSET(#REF!,-12,0),0)+OFFSET(#REF!,-1,0)-#REF!</f>
        <v>#REF!</v>
      </c>
      <c r="BF96" s="343" t="e">
        <f t="array" aca="1" ref="BF96" ca="1">IF(#REF!&gt;12,OFFSET(#REF!,-12,0),0)+OFFSET(#REF!,-1,0)-#REF!</f>
        <v>#REF!</v>
      </c>
      <c r="BG96" s="343" t="e">
        <f t="array" aca="1" ref="BG96" ca="1">IF(#REF!&gt;12,OFFSET(#REF!,-12,0),0)+OFFSET(#REF!,-1,0)-#REF!</f>
        <v>#REF!</v>
      </c>
      <c r="BH96" s="347" t="e">
        <f t="array" aca="1" ref="BH96" ca="1">IF(#REF!&gt;12,OFFSET(#REF!,-12,0),0)+OFFSET(#REF!,-1,0)-#REF!</f>
        <v>#REF!</v>
      </c>
      <c r="BI96" s="347" t="e">
        <f t="array" aca="1" ref="BI96" ca="1">IF(#REF!&gt;12,OFFSET(#REF!,-12,0),0)+OFFSET(#REF!,-1,0)-#REF!</f>
        <v>#REF!</v>
      </c>
      <c r="BJ96" s="347" t="e">
        <f t="array" aca="1" ref="BJ96" ca="1">IF(#REF!&gt;12,OFFSET(#REF!,-12,0),0)+OFFSET(#REF!,-1,0)-#REF!</f>
        <v>#REF!</v>
      </c>
      <c r="BK96" s="347" t="e">
        <f t="array" aca="1" ref="BK96" ca="1">IF(#REF!&gt;12,OFFSET(#REF!,-12,0),0)+OFFSET(#REF!,-1,0)-#REF!</f>
        <v>#REF!</v>
      </c>
      <c r="BL96" s="351" t="e">
        <f t="array" aca="1" ref="BL96" ca="1">IF(#REF!&gt;12,OFFSET(#REF!,-12,0),0)+OFFSET(#REF!,-1,0)-#REF!</f>
        <v>#REF!</v>
      </c>
      <c r="BM96" s="351" t="e">
        <f t="array" aca="1" ref="BM96" ca="1">IF(#REF!&gt;12,OFFSET(#REF!,-12,0),0)+OFFSET(#REF!,-1,0)-#REF!</f>
        <v>#REF!</v>
      </c>
      <c r="BN96" s="351" t="e">
        <f t="array" aca="1" ref="BN96" ca="1">IF(#REF!&gt;12,OFFSET(#REF!,-12,0),0)+OFFSET(#REF!,-1,0)-#REF!</f>
        <v>#REF!</v>
      </c>
      <c r="BO96" s="175" t="e">
        <f t="array" aca="1" ref="BO96" ca="1">IF(#REF!&gt;12,OFFSET(#REF!,-12,0),0)+OFFSET(#REF!,-1,0)-#REF!</f>
        <v>#REF!</v>
      </c>
      <c r="BP96" s="175" t="e">
        <f t="array" aca="1" ref="BP96" ca="1">IF(#REF!&gt;12,OFFSET(#REF!,-12,0),0)+OFFSET(#REF!,-1,0)-#REF!</f>
        <v>#REF!</v>
      </c>
      <c r="BQ96" s="176" t="e">
        <f t="array" aca="1" ref="BQ96" ca="1">IF(#REF!&gt;12,OFFSET(#REF!,-12,0),0)+OFFSET(#REF!,-1,0)-#REF!</f>
        <v>#REF!</v>
      </c>
      <c r="BR96" s="134"/>
      <c r="BS96" s="133"/>
      <c r="BT96" s="39" t="e">
        <f>#REF!</f>
        <v>#REF!</v>
      </c>
      <c r="BU96" s="147" t="e">
        <f>#REF!</f>
        <v>#REF!</v>
      </c>
      <c r="BV96" s="134"/>
      <c r="BW96" s="164"/>
      <c r="BX96" s="164"/>
      <c r="BY96" s="164"/>
      <c r="BZ96" s="164"/>
      <c r="CA96" s="164"/>
      <c r="CB96" s="164"/>
      <c r="CC96" s="164"/>
      <c r="CD96" s="164"/>
      <c r="CE96" s="164"/>
      <c r="CF96" s="164"/>
      <c r="CG96" s="164"/>
      <c r="CH96" s="164"/>
      <c r="CI96" s="164"/>
      <c r="CJ96" s="164"/>
      <c r="CK96" s="164"/>
      <c r="CL96" s="164"/>
      <c r="CM96" s="164"/>
      <c r="CN96" s="164"/>
      <c r="CO96" s="164"/>
      <c r="CP96" s="134"/>
      <c r="CQ96" s="165" t="e">
        <f ca="1">-SUM(#REF!)+SUM(#REF!)+Rezone!L96+IF("Ch_"&amp; home_land=#REF!,#REF!)+IF(#REF!&gt;12,OFFSET(#REF!,-12,0),0)</f>
        <v>#REF!</v>
      </c>
      <c r="CR96" s="166" t="e">
        <f ca="1">-SUM(#REF!)+SUM(#REF!) +Rezone!M96 + IF("Ch_"&amp; home_land=#REF!,#REF!)+IF(#REF!&gt;12,OFFSET(#REF!,-12,0),0)</f>
        <v>#REF!</v>
      </c>
      <c r="CS96" s="341" t="e">
        <f ca="1">-SUM(#REF!)+SUM(#REF!) +Rezone!N96 + IF("Ch_"&amp; home_land=#REF!,#REF!)+IF(#REF!&gt;12,OFFSET(#REF!,-12,0),0)</f>
        <v>#REF!</v>
      </c>
      <c r="CT96" s="167" t="e">
        <f ca="1">-SUM(#REF!)+SUM(#REF!) +Rezone!O96 + IF("Ch_" &amp; home_land=#REF!,#REF!)+IF(#REF!&gt;12,OFFSET(#REF!,-12,0),0)</f>
        <v>#REF!</v>
      </c>
      <c r="CU96" s="168" t="e">
        <f ca="1">-SUM(#REF!)+SUM(#REF!) +Rezone!P96 + IF("Ch_" &amp; home_land=#REF!,#REF!)+IF(#REF!&gt;12,OFFSET(#REF!,-12,0),0)</f>
        <v>#REF!</v>
      </c>
      <c r="CV96" s="169" t="e">
        <f ca="1">- SUM(#REF!)+SUM(#REF!) +Rezone!Q96 + IF("Ch_" &amp; home_land=#REF!,#REF!)+IF(#REF!&gt;12,OFFSET(#REF!,-12,0),0)</f>
        <v>#REF!</v>
      </c>
      <c r="CW96" s="170" t="e">
        <f ca="1">-#REF!+#REF! +Rezone!R96 + IF("Ch_" &amp; home_land=#REF!,#REF!)+IF(#REF!&gt;12,OFFSET(#REF!,-12,0),0)</f>
        <v>#REF!</v>
      </c>
      <c r="CX96" s="3" t="e">
        <f>IF(Explore!S96=1,20) -#REF! +#REF!</f>
        <v>#REF!</v>
      </c>
      <c r="CY96" s="134"/>
      <c r="CZ96" s="39" t="e">
        <f t="shared" ca="1" si="23"/>
        <v>#REF!</v>
      </c>
      <c r="DA96" s="39" t="e">
        <f t="shared" ca="1" si="24"/>
        <v>#REF!</v>
      </c>
      <c r="DB96" s="3" t="e">
        <f t="shared" ca="1" si="25"/>
        <v>#REF!</v>
      </c>
      <c r="DC96" s="39" t="e">
        <f t="shared" ca="1" si="26"/>
        <v>#REF!</v>
      </c>
      <c r="DD96" s="39" t="e">
        <f t="shared" ca="1" si="27"/>
        <v>#REF!</v>
      </c>
      <c r="DE96" s="3" t="e">
        <f t="shared" ca="1" si="28"/>
        <v>#REF!</v>
      </c>
      <c r="DF96" s="39" t="e">
        <f t="shared" ca="1" si="29"/>
        <v>#REF!</v>
      </c>
      <c r="DG96" s="39" t="e">
        <f t="array" ref="DG96">INDEX(#REF!,ROW()-ROW(#REF!),MATCH("Total "&amp;home_land,#REF!,0))+#REF!</f>
        <v>#REF!</v>
      </c>
      <c r="DH96" s="3" t="e">
        <f t="shared" ca="1" si="22"/>
        <v>#REF!</v>
      </c>
      <c r="DI96" s="3" t="e">
        <f t="shared" ca="1" si="19"/>
        <v>#REF!</v>
      </c>
      <c r="DJ96" s="3" t="e">
        <f t="shared" ca="1" si="20"/>
        <v>#REF!</v>
      </c>
    </row>
    <row r="97" spans="1:114" x14ac:dyDescent="0.25">
      <c r="A97" s="160" t="e">
        <f>#REF!</f>
        <v>#REF!</v>
      </c>
      <c r="B97" s="161" t="e">
        <f>SUM(#REF!)</f>
        <v>#REF!</v>
      </c>
      <c r="C97" s="162" t="e">
        <f>SUM(#REF!)</f>
        <v>#REF!</v>
      </c>
      <c r="D97" s="162">
        <f t="shared" si="21"/>
        <v>0</v>
      </c>
      <c r="E97" s="163"/>
      <c r="F97" s="61" t="e">
        <f>#REF!+#REF!+#REF!</f>
        <v>#REF!</v>
      </c>
      <c r="G97" s="171" t="e">
        <f ca="1">OFFSET(#REF!,-1,0)+#REF!</f>
        <v>#REF!</v>
      </c>
      <c r="H97" s="166" t="e">
        <f ca="1">OFFSET(#REF!,-1,0)+#REF!</f>
        <v>#REF!</v>
      </c>
      <c r="I97" s="341" t="e">
        <f ca="1">OFFSET(#REF!,-1,0)+#REF!</f>
        <v>#REF!</v>
      </c>
      <c r="J97" s="345" t="e">
        <f ca="1">OFFSET(#REF!,-1,0)+#REF!</f>
        <v>#REF!</v>
      </c>
      <c r="K97" s="349" t="e">
        <f ca="1">OFFSET(#REF!,-1,0)+#REF!</f>
        <v>#REF!</v>
      </c>
      <c r="L97" s="169" t="e">
        <f ca="1">OFFSET(#REF!,-1,0)+#REF!</f>
        <v>#REF!</v>
      </c>
      <c r="M97" s="170" t="e">
        <f ca="1">OFFSET(#REF!,-1,0)+#REF!</f>
        <v>#REF!</v>
      </c>
      <c r="N97" s="339" t="e">
        <f>#REF!</f>
        <v>#REF!</v>
      </c>
      <c r="O97" s="164"/>
      <c r="P97" s="164"/>
      <c r="Q97" s="164"/>
      <c r="R97" s="146"/>
      <c r="S97" s="164"/>
      <c r="T97" s="164"/>
      <c r="U97" s="164"/>
      <c r="V97" s="164"/>
      <c r="W97" s="164"/>
      <c r="X97" s="164"/>
      <c r="Y97" s="164"/>
      <c r="Z97" s="164"/>
      <c r="AA97" s="164"/>
      <c r="AB97" s="164"/>
      <c r="AC97" s="164"/>
      <c r="AD97" s="164"/>
      <c r="AE97" s="164"/>
      <c r="AF97" s="164"/>
      <c r="AG97" s="164"/>
      <c r="AH97" s="53" t="e">
        <f>#REF!</f>
        <v>#REF!</v>
      </c>
      <c r="AI97" s="132" t="e">
        <f>MIN(25%,(#REF!+#REF!)/(#REF!-#REF!*20))</f>
        <v>#REF!</v>
      </c>
      <c r="AJ97" s="132" t="e">
        <f>MIN(25%,(#REF!+#REF!)/#REF!)</f>
        <v>#REF!</v>
      </c>
      <c r="AK97" s="39" t="e">
        <f>#REF!</f>
        <v>#REF!</v>
      </c>
      <c r="AL97" s="39" t="e">
        <f>#REF!</f>
        <v>#REF!</v>
      </c>
      <c r="AM97" s="39" t="e">
        <f>ROUNDDOWN( MAX((1 - MIN(facs_constr_factor*#REF!,facs_constr_max) + tech_2_3*#REF! + tech_2_6_2*#REF! + tech_2_10*#REF! + tech_4_6*#REF! + tech_6_3*#REF! + tech_9_2*#REF! + race_construction_cost), 1-global_constr_cap) *#REF!,0)</f>
        <v>#REF!</v>
      </c>
      <c r="AN97" s="39" t="e">
        <f>ROUNDDOWN( MAX(1 - MIN(facs_constr_factor*#REF!,facs_constr_max) + tech_1_11*#REF! + tech_6_3_2*#REF! + tech_5_2_3*#REF!, 1-global_constr_cap) *#REF!,0)</f>
        <v>#REF!</v>
      </c>
      <c r="AO97" s="39" t="e">
        <f>ROUNDDOWN( MAX((1 - MIN(facs_constr_factor*#REF!,facs_constr_max) + tech_2_3*#REF! + tech_2_6_2*#REF! + tech_2_10*#REF! + tech_4_6*#REF! + tech_6_3*#REF! + tech_9_2*#REF! + race_construction_cost), 1-global_constr_cap) * (ROUND((#REF!-250)*1.25 + 850 + 0,0)),0)</f>
        <v>#REF!</v>
      </c>
      <c r="AP97" s="39" t="e">
        <f>ROUNDDOWN( MAX(1 - MIN(facs_constr_factor*#REF!,facs_constr_max) + tech_1_11*#REF! + tech_6_3_2*#REF! + tech_5_2_3*#REF!, 1-global_constr_cap) * ROUND((#REF!-250)*0.285 + 87.5 + 0/4.25,0),0)</f>
        <v>#REF!</v>
      </c>
      <c r="AQ97" s="3" t="e">
        <f>#REF!*#REF! +#REF! *#REF!</f>
        <v>#REF!</v>
      </c>
      <c r="AR97" s="3" t="e">
        <f>#REF!*#REF!+#REF!*#REF!</f>
        <v>#REF!</v>
      </c>
      <c r="AS97" s="39" t="e">
        <f ca="1">MIN(SUM(OFFSET(#REF!,-1,0))+SUM(#REF!)+IF(#REF!&gt;12,SUM(OFFSET(#REF!,-12,0)),0),SUM(#REF!))</f>
        <v>#REF!</v>
      </c>
      <c r="AT97" s="3" t="e">
        <f ca="1">IF(#REF!&lt;&gt;0,MAX(0, MIN(20, 20 + SUM(#REF!) - SUM(#REF!) - SUM(OFFSET(#REF!,-1,0)) - IF(#REF!&gt;12,SUM(OFFSET(#REF!,-12,0)),0) - 20*#REF!)),0)</f>
        <v>#REF!</v>
      </c>
      <c r="AU97" s="134"/>
      <c r="AV97" s="39" t="e">
        <f>ROUND((#REF!-250 - IF(#REF!&lt;&gt;0,20,0))*1.25 + 850 + 0,0)</f>
        <v>#REF!</v>
      </c>
      <c r="AW97" s="39" t="e">
        <f>ROUND((#REF!-250 - IF(#REF!&lt;&gt;0,20,0))*0.285 + 87.5 + 0/4.25,0)</f>
        <v>#REF!</v>
      </c>
      <c r="AX97" s="133"/>
      <c r="AY97" s="172" t="e">
        <f t="array" aca="1" ref="AY97" ca="1">IF(#REF!&gt;12,OFFSET(#REF!,-12,0),0)+OFFSET(#REF!,-1,0)-#REF!</f>
        <v>#REF!</v>
      </c>
      <c r="AZ97" s="173" t="e">
        <f t="array" aca="1" ref="AZ97" ca="1">IF(#REF!&gt;12,OFFSET(#REF!,-12,0),0)+OFFSET(#REF!,-1,0)-#REF!</f>
        <v>#REF!</v>
      </c>
      <c r="BA97" s="173" t="e">
        <f t="array" aca="1" ref="BA97" ca="1">IF(#REF!&gt;12,OFFSET(#REF!,-12,0),0)+OFFSET(#REF!,-1,0)-#REF!</f>
        <v>#REF!</v>
      </c>
      <c r="BB97" s="173" t="e">
        <f t="array" aca="1" ref="BB97" ca="1">IF(#REF!&gt;12,OFFSET(#REF!,-12,0),0)+OFFSET(#REF!,-1,0)-#REF!</f>
        <v>#REF!</v>
      </c>
      <c r="BC97" s="173" t="e">
        <f t="array" aca="1" ref="BC97" ca="1">IF(#REF!&gt;12,OFFSET(#REF!,-12,0),0)+OFFSET(#REF!,-1,0)-#REF!</f>
        <v>#REF!</v>
      </c>
      <c r="BD97" s="174" t="e">
        <f t="array" aca="1" ref="BD97" ca="1">IF(#REF!&gt;12,OFFSET(#REF!,-12,0),0)+OFFSET(#REF!,-1,0)-#REF!</f>
        <v>#REF!</v>
      </c>
      <c r="BE97" s="174" t="e">
        <f t="array" aca="1" ref="BE97" ca="1">IF(#REF!&gt;12,OFFSET(#REF!,-12,0),0)+OFFSET(#REF!,-1,0)-#REF!</f>
        <v>#REF!</v>
      </c>
      <c r="BF97" s="343" t="e">
        <f t="array" aca="1" ref="BF97" ca="1">IF(#REF!&gt;12,OFFSET(#REF!,-12,0),0)+OFFSET(#REF!,-1,0)-#REF!</f>
        <v>#REF!</v>
      </c>
      <c r="BG97" s="343" t="e">
        <f t="array" aca="1" ref="BG97" ca="1">IF(#REF!&gt;12,OFFSET(#REF!,-12,0),0)+OFFSET(#REF!,-1,0)-#REF!</f>
        <v>#REF!</v>
      </c>
      <c r="BH97" s="347" t="e">
        <f t="array" aca="1" ref="BH97" ca="1">IF(#REF!&gt;12,OFFSET(#REF!,-12,0),0)+OFFSET(#REF!,-1,0)-#REF!</f>
        <v>#REF!</v>
      </c>
      <c r="BI97" s="347" t="e">
        <f t="array" aca="1" ref="BI97" ca="1">IF(#REF!&gt;12,OFFSET(#REF!,-12,0),0)+OFFSET(#REF!,-1,0)-#REF!</f>
        <v>#REF!</v>
      </c>
      <c r="BJ97" s="347" t="e">
        <f t="array" aca="1" ref="BJ97" ca="1">IF(#REF!&gt;12,OFFSET(#REF!,-12,0),0)+OFFSET(#REF!,-1,0)-#REF!</f>
        <v>#REF!</v>
      </c>
      <c r="BK97" s="347" t="e">
        <f t="array" aca="1" ref="BK97" ca="1">IF(#REF!&gt;12,OFFSET(#REF!,-12,0),0)+OFFSET(#REF!,-1,0)-#REF!</f>
        <v>#REF!</v>
      </c>
      <c r="BL97" s="351" t="e">
        <f t="array" aca="1" ref="BL97" ca="1">IF(#REF!&gt;12,OFFSET(#REF!,-12,0),0)+OFFSET(#REF!,-1,0)-#REF!</f>
        <v>#REF!</v>
      </c>
      <c r="BM97" s="351" t="e">
        <f t="array" aca="1" ref="BM97" ca="1">IF(#REF!&gt;12,OFFSET(#REF!,-12,0),0)+OFFSET(#REF!,-1,0)-#REF!</f>
        <v>#REF!</v>
      </c>
      <c r="BN97" s="351" t="e">
        <f t="array" aca="1" ref="BN97" ca="1">IF(#REF!&gt;12,OFFSET(#REF!,-12,0),0)+OFFSET(#REF!,-1,0)-#REF!</f>
        <v>#REF!</v>
      </c>
      <c r="BO97" s="175" t="e">
        <f t="array" aca="1" ref="BO97" ca="1">IF(#REF!&gt;12,OFFSET(#REF!,-12,0),0)+OFFSET(#REF!,-1,0)-#REF!</f>
        <v>#REF!</v>
      </c>
      <c r="BP97" s="175" t="e">
        <f t="array" aca="1" ref="BP97" ca="1">IF(#REF!&gt;12,OFFSET(#REF!,-12,0),0)+OFFSET(#REF!,-1,0)-#REF!</f>
        <v>#REF!</v>
      </c>
      <c r="BQ97" s="176" t="e">
        <f t="array" aca="1" ref="BQ97" ca="1">IF(#REF!&gt;12,OFFSET(#REF!,-12,0),0)+OFFSET(#REF!,-1,0)-#REF!</f>
        <v>#REF!</v>
      </c>
      <c r="BR97" s="134"/>
      <c r="BS97" s="133"/>
      <c r="BT97" s="39" t="e">
        <f>#REF!</f>
        <v>#REF!</v>
      </c>
      <c r="BU97" s="147" t="e">
        <f>#REF!</f>
        <v>#REF!</v>
      </c>
      <c r="BV97" s="134"/>
      <c r="BW97" s="164"/>
      <c r="BX97" s="164"/>
      <c r="BY97" s="164"/>
      <c r="BZ97" s="164"/>
      <c r="CA97" s="164"/>
      <c r="CB97" s="164"/>
      <c r="CC97" s="164"/>
      <c r="CD97" s="164"/>
      <c r="CE97" s="164"/>
      <c r="CF97" s="164"/>
      <c r="CG97" s="164"/>
      <c r="CH97" s="164"/>
      <c r="CI97" s="164"/>
      <c r="CJ97" s="164"/>
      <c r="CK97" s="164"/>
      <c r="CL97" s="164"/>
      <c r="CM97" s="164"/>
      <c r="CN97" s="164"/>
      <c r="CO97" s="164"/>
      <c r="CP97" s="134"/>
      <c r="CQ97" s="165" t="e">
        <f ca="1">-SUM(#REF!)+SUM(#REF!)+Rezone!L97+IF("Ch_"&amp; home_land=#REF!,#REF!)+IF(#REF!&gt;12,OFFSET(#REF!,-12,0),0)</f>
        <v>#REF!</v>
      </c>
      <c r="CR97" s="166" t="e">
        <f ca="1">-SUM(#REF!)+SUM(#REF!) +Rezone!M97 + IF("Ch_"&amp; home_land=#REF!,#REF!)+IF(#REF!&gt;12,OFFSET(#REF!,-12,0),0)</f>
        <v>#REF!</v>
      </c>
      <c r="CS97" s="341" t="e">
        <f ca="1">-SUM(#REF!)+SUM(#REF!) +Rezone!N97 + IF("Ch_"&amp; home_land=#REF!,#REF!)+IF(#REF!&gt;12,OFFSET(#REF!,-12,0),0)</f>
        <v>#REF!</v>
      </c>
      <c r="CT97" s="167" t="e">
        <f ca="1">-SUM(#REF!)+SUM(#REF!) +Rezone!O97 + IF("Ch_" &amp; home_land=#REF!,#REF!)+IF(#REF!&gt;12,OFFSET(#REF!,-12,0),0)</f>
        <v>#REF!</v>
      </c>
      <c r="CU97" s="168" t="e">
        <f ca="1">-SUM(#REF!)+SUM(#REF!) +Rezone!P97 + IF("Ch_" &amp; home_land=#REF!,#REF!)+IF(#REF!&gt;12,OFFSET(#REF!,-12,0),0)</f>
        <v>#REF!</v>
      </c>
      <c r="CV97" s="169" t="e">
        <f ca="1">- SUM(#REF!)+SUM(#REF!) +Rezone!Q97 + IF("Ch_" &amp; home_land=#REF!,#REF!)+IF(#REF!&gt;12,OFFSET(#REF!,-12,0),0)</f>
        <v>#REF!</v>
      </c>
      <c r="CW97" s="170" t="e">
        <f ca="1">-#REF!+#REF! +Rezone!R97 + IF("Ch_" &amp; home_land=#REF!,#REF!)+IF(#REF!&gt;12,OFFSET(#REF!,-12,0),0)</f>
        <v>#REF!</v>
      </c>
      <c r="CX97" s="3" t="e">
        <f>IF(Explore!S97=1,20) -#REF! +#REF!</f>
        <v>#REF!</v>
      </c>
      <c r="CY97" s="134"/>
      <c r="CZ97" s="39" t="e">
        <f t="shared" ca="1" si="23"/>
        <v>#REF!</v>
      </c>
      <c r="DA97" s="39" t="e">
        <f t="shared" ca="1" si="24"/>
        <v>#REF!</v>
      </c>
      <c r="DB97" s="3" t="e">
        <f t="shared" ca="1" si="25"/>
        <v>#REF!</v>
      </c>
      <c r="DC97" s="39" t="e">
        <f t="shared" ca="1" si="26"/>
        <v>#REF!</v>
      </c>
      <c r="DD97" s="39" t="e">
        <f t="shared" ca="1" si="27"/>
        <v>#REF!</v>
      </c>
      <c r="DE97" s="3" t="e">
        <f t="shared" ca="1" si="28"/>
        <v>#REF!</v>
      </c>
      <c r="DF97" s="39" t="e">
        <f t="shared" ca="1" si="29"/>
        <v>#REF!</v>
      </c>
      <c r="DG97" s="39" t="e">
        <f t="array" ref="DG97">INDEX(#REF!,ROW()-ROW(#REF!),MATCH("Total "&amp;home_land,#REF!,0))+#REF!</f>
        <v>#REF!</v>
      </c>
      <c r="DH97" s="3" t="e">
        <f t="shared" ca="1" si="22"/>
        <v>#REF!</v>
      </c>
      <c r="DI97" s="3" t="e">
        <f t="shared" ca="1" si="19"/>
        <v>#REF!</v>
      </c>
      <c r="DJ97" s="3" t="e">
        <f t="shared" ca="1" si="20"/>
        <v>#REF!</v>
      </c>
    </row>
    <row r="98" spans="1:114" x14ac:dyDescent="0.25">
      <c r="A98" s="160" t="e">
        <f>#REF!</f>
        <v>#REF!</v>
      </c>
      <c r="B98" s="161" t="e">
        <f>SUM(#REF!)</f>
        <v>#REF!</v>
      </c>
      <c r="C98" s="162" t="e">
        <f>SUM(#REF!)</f>
        <v>#REF!</v>
      </c>
      <c r="D98" s="162">
        <f t="shared" si="21"/>
        <v>0</v>
      </c>
      <c r="E98" s="163"/>
      <c r="F98" s="61" t="e">
        <f>#REF!+#REF!+#REF!</f>
        <v>#REF!</v>
      </c>
      <c r="G98" s="171" t="e">
        <f ca="1">OFFSET(#REF!,-1,0)+#REF!</f>
        <v>#REF!</v>
      </c>
      <c r="H98" s="166" t="e">
        <f ca="1">OFFSET(#REF!,-1,0)+#REF!</f>
        <v>#REF!</v>
      </c>
      <c r="I98" s="341" t="e">
        <f ca="1">OFFSET(#REF!,-1,0)+#REF!</f>
        <v>#REF!</v>
      </c>
      <c r="J98" s="345" t="e">
        <f ca="1">OFFSET(#REF!,-1,0)+#REF!</f>
        <v>#REF!</v>
      </c>
      <c r="K98" s="349" t="e">
        <f ca="1">OFFSET(#REF!,-1,0)+#REF!</f>
        <v>#REF!</v>
      </c>
      <c r="L98" s="169" t="e">
        <f ca="1">OFFSET(#REF!,-1,0)+#REF!</f>
        <v>#REF!</v>
      </c>
      <c r="M98" s="170" t="e">
        <f ca="1">OFFSET(#REF!,-1,0)+#REF!</f>
        <v>#REF!</v>
      </c>
      <c r="N98" s="339" t="e">
        <f>#REF!</f>
        <v>#REF!</v>
      </c>
      <c r="O98" s="164"/>
      <c r="P98" s="164"/>
      <c r="Q98" s="164"/>
      <c r="R98" s="146"/>
      <c r="S98" s="164"/>
      <c r="T98" s="164"/>
      <c r="U98" s="164"/>
      <c r="V98" s="164"/>
      <c r="W98" s="164"/>
      <c r="X98" s="164"/>
      <c r="Y98" s="164"/>
      <c r="Z98" s="164"/>
      <c r="AA98" s="164"/>
      <c r="AB98" s="164"/>
      <c r="AC98" s="164"/>
      <c r="AD98" s="164"/>
      <c r="AE98" s="164"/>
      <c r="AF98" s="164"/>
      <c r="AG98" s="164"/>
      <c r="AH98" s="53" t="e">
        <f>#REF!</f>
        <v>#REF!</v>
      </c>
      <c r="AI98" s="132" t="e">
        <f>MIN(25%,(#REF!+#REF!)/(#REF!-#REF!*20))</f>
        <v>#REF!</v>
      </c>
      <c r="AJ98" s="132" t="e">
        <f>MIN(25%,(#REF!+#REF!)/#REF!)</f>
        <v>#REF!</v>
      </c>
      <c r="AK98" s="39" t="e">
        <f>#REF!</f>
        <v>#REF!</v>
      </c>
      <c r="AL98" s="39" t="e">
        <f>#REF!</f>
        <v>#REF!</v>
      </c>
      <c r="AM98" s="39" t="e">
        <f>ROUNDDOWN( MAX((1 - MIN(facs_constr_factor*#REF!,facs_constr_max) + tech_2_3*#REF! + tech_2_6_2*#REF! + tech_2_10*#REF! + tech_4_6*#REF! + tech_6_3*#REF! + tech_9_2*#REF! + race_construction_cost), 1-global_constr_cap) *#REF!,0)</f>
        <v>#REF!</v>
      </c>
      <c r="AN98" s="39" t="e">
        <f>ROUNDDOWN( MAX(1 - MIN(facs_constr_factor*#REF!,facs_constr_max) + tech_1_11*#REF! + tech_6_3_2*#REF! + tech_5_2_3*#REF!, 1-global_constr_cap) *#REF!,0)</f>
        <v>#REF!</v>
      </c>
      <c r="AO98" s="39" t="e">
        <f>ROUNDDOWN( MAX((1 - MIN(facs_constr_factor*#REF!,facs_constr_max) + tech_2_3*#REF! + tech_2_6_2*#REF! + tech_2_10*#REF! + tech_4_6*#REF! + tech_6_3*#REF! + tech_9_2*#REF! + race_construction_cost), 1-global_constr_cap) * (ROUND((#REF!-250)*1.25 + 850 + 0,0)),0)</f>
        <v>#REF!</v>
      </c>
      <c r="AP98" s="39" t="e">
        <f>ROUNDDOWN( MAX(1 - MIN(facs_constr_factor*#REF!,facs_constr_max) + tech_1_11*#REF! + tech_6_3_2*#REF! + tech_5_2_3*#REF!, 1-global_constr_cap) * ROUND((#REF!-250)*0.285 + 87.5 + 0/4.25,0),0)</f>
        <v>#REF!</v>
      </c>
      <c r="AQ98" s="3" t="e">
        <f>#REF!*#REF! +#REF! *#REF!</f>
        <v>#REF!</v>
      </c>
      <c r="AR98" s="3" t="e">
        <f>#REF!*#REF!+#REF!*#REF!</f>
        <v>#REF!</v>
      </c>
      <c r="AS98" s="39" t="e">
        <f ca="1">MIN(SUM(OFFSET(#REF!,-1,0))+SUM(#REF!)+IF(#REF!&gt;12,SUM(OFFSET(#REF!,-12,0)),0),SUM(#REF!))</f>
        <v>#REF!</v>
      </c>
      <c r="AT98" s="3" t="e">
        <f ca="1">IF(#REF!&lt;&gt;0,MAX(0, MIN(20, 20 + SUM(#REF!) - SUM(#REF!) - SUM(OFFSET(#REF!,-1,0)) - IF(#REF!&gt;12,SUM(OFFSET(#REF!,-12,0)),0) - 20*#REF!)),0)</f>
        <v>#REF!</v>
      </c>
      <c r="AU98" s="134"/>
      <c r="AV98" s="39" t="e">
        <f>ROUND((#REF!-250 - IF(#REF!&lt;&gt;0,20,0))*1.25 + 850 + 0,0)</f>
        <v>#REF!</v>
      </c>
      <c r="AW98" s="39" t="e">
        <f>ROUND((#REF!-250 - IF(#REF!&lt;&gt;0,20,0))*0.285 + 87.5 + 0/4.25,0)</f>
        <v>#REF!</v>
      </c>
      <c r="AX98" s="133"/>
      <c r="AY98" s="172" t="e">
        <f t="array" aca="1" ref="AY98" ca="1">IF(#REF!&gt;12,OFFSET(#REF!,-12,0),0)+OFFSET(#REF!,-1,0)-#REF!</f>
        <v>#REF!</v>
      </c>
      <c r="AZ98" s="173" t="e">
        <f t="array" aca="1" ref="AZ98" ca="1">IF(#REF!&gt;12,OFFSET(#REF!,-12,0),0)+OFFSET(#REF!,-1,0)-#REF!</f>
        <v>#REF!</v>
      </c>
      <c r="BA98" s="173" t="e">
        <f t="array" aca="1" ref="BA98" ca="1">IF(#REF!&gt;12,OFFSET(#REF!,-12,0),0)+OFFSET(#REF!,-1,0)-#REF!</f>
        <v>#REF!</v>
      </c>
      <c r="BB98" s="173" t="e">
        <f t="array" aca="1" ref="BB98" ca="1">IF(#REF!&gt;12,OFFSET(#REF!,-12,0),0)+OFFSET(#REF!,-1,0)-#REF!</f>
        <v>#REF!</v>
      </c>
      <c r="BC98" s="173" t="e">
        <f t="array" aca="1" ref="BC98" ca="1">IF(#REF!&gt;12,OFFSET(#REF!,-12,0),0)+OFFSET(#REF!,-1,0)-#REF!</f>
        <v>#REF!</v>
      </c>
      <c r="BD98" s="174" t="e">
        <f t="array" aca="1" ref="BD98" ca="1">IF(#REF!&gt;12,OFFSET(#REF!,-12,0),0)+OFFSET(#REF!,-1,0)-#REF!</f>
        <v>#REF!</v>
      </c>
      <c r="BE98" s="174" t="e">
        <f t="array" aca="1" ref="BE98" ca="1">IF(#REF!&gt;12,OFFSET(#REF!,-12,0),0)+OFFSET(#REF!,-1,0)-#REF!</f>
        <v>#REF!</v>
      </c>
      <c r="BF98" s="343" t="e">
        <f t="array" aca="1" ref="BF98" ca="1">IF(#REF!&gt;12,OFFSET(#REF!,-12,0),0)+OFFSET(#REF!,-1,0)-#REF!</f>
        <v>#REF!</v>
      </c>
      <c r="BG98" s="343" t="e">
        <f t="array" aca="1" ref="BG98" ca="1">IF(#REF!&gt;12,OFFSET(#REF!,-12,0),0)+OFFSET(#REF!,-1,0)-#REF!</f>
        <v>#REF!</v>
      </c>
      <c r="BH98" s="347" t="e">
        <f t="array" aca="1" ref="BH98" ca="1">IF(#REF!&gt;12,OFFSET(#REF!,-12,0),0)+OFFSET(#REF!,-1,0)-#REF!</f>
        <v>#REF!</v>
      </c>
      <c r="BI98" s="347" t="e">
        <f t="array" aca="1" ref="BI98" ca="1">IF(#REF!&gt;12,OFFSET(#REF!,-12,0),0)+OFFSET(#REF!,-1,0)-#REF!</f>
        <v>#REF!</v>
      </c>
      <c r="BJ98" s="347" t="e">
        <f t="array" aca="1" ref="BJ98" ca="1">IF(#REF!&gt;12,OFFSET(#REF!,-12,0),0)+OFFSET(#REF!,-1,0)-#REF!</f>
        <v>#REF!</v>
      </c>
      <c r="BK98" s="347" t="e">
        <f t="array" aca="1" ref="BK98" ca="1">IF(#REF!&gt;12,OFFSET(#REF!,-12,0),0)+OFFSET(#REF!,-1,0)-#REF!</f>
        <v>#REF!</v>
      </c>
      <c r="BL98" s="351" t="e">
        <f t="array" aca="1" ref="BL98" ca="1">IF(#REF!&gt;12,OFFSET(#REF!,-12,0),0)+OFFSET(#REF!,-1,0)-#REF!</f>
        <v>#REF!</v>
      </c>
      <c r="BM98" s="351" t="e">
        <f t="array" aca="1" ref="BM98" ca="1">IF(#REF!&gt;12,OFFSET(#REF!,-12,0),0)+OFFSET(#REF!,-1,0)-#REF!</f>
        <v>#REF!</v>
      </c>
      <c r="BN98" s="351" t="e">
        <f t="array" aca="1" ref="BN98" ca="1">IF(#REF!&gt;12,OFFSET(#REF!,-12,0),0)+OFFSET(#REF!,-1,0)-#REF!</f>
        <v>#REF!</v>
      </c>
      <c r="BO98" s="175" t="e">
        <f t="array" aca="1" ref="BO98" ca="1">IF(#REF!&gt;12,OFFSET(#REF!,-12,0),0)+OFFSET(#REF!,-1,0)-#REF!</f>
        <v>#REF!</v>
      </c>
      <c r="BP98" s="175" t="e">
        <f t="array" aca="1" ref="BP98" ca="1">IF(#REF!&gt;12,OFFSET(#REF!,-12,0),0)+OFFSET(#REF!,-1,0)-#REF!</f>
        <v>#REF!</v>
      </c>
      <c r="BQ98" s="176" t="e">
        <f t="array" aca="1" ref="BQ98" ca="1">IF(#REF!&gt;12,OFFSET(#REF!,-12,0),0)+OFFSET(#REF!,-1,0)-#REF!</f>
        <v>#REF!</v>
      </c>
      <c r="BR98" s="134"/>
      <c r="BS98" s="133"/>
      <c r="BT98" s="39" t="e">
        <f>#REF!</f>
        <v>#REF!</v>
      </c>
      <c r="BU98" s="147" t="e">
        <f>#REF!</f>
        <v>#REF!</v>
      </c>
      <c r="BV98" s="134"/>
      <c r="BW98" s="164"/>
      <c r="BX98" s="164"/>
      <c r="BY98" s="164"/>
      <c r="BZ98" s="164"/>
      <c r="CA98" s="164"/>
      <c r="CB98" s="164"/>
      <c r="CC98" s="164"/>
      <c r="CD98" s="164"/>
      <c r="CE98" s="164"/>
      <c r="CF98" s="164"/>
      <c r="CG98" s="164"/>
      <c r="CH98" s="164"/>
      <c r="CI98" s="164"/>
      <c r="CJ98" s="164"/>
      <c r="CK98" s="164"/>
      <c r="CL98" s="164"/>
      <c r="CM98" s="164"/>
      <c r="CN98" s="164"/>
      <c r="CO98" s="164"/>
      <c r="CP98" s="134"/>
      <c r="CQ98" s="165" t="e">
        <f ca="1">-SUM(#REF!)+SUM(#REF!)+Rezone!L98+IF("Ch_"&amp; home_land=#REF!,#REF!)+IF(#REF!&gt;12,OFFSET(#REF!,-12,0),0)</f>
        <v>#REF!</v>
      </c>
      <c r="CR98" s="166" t="e">
        <f ca="1">-SUM(#REF!)+SUM(#REF!) +Rezone!M98 + IF("Ch_"&amp; home_land=#REF!,#REF!)+IF(#REF!&gt;12,OFFSET(#REF!,-12,0),0)</f>
        <v>#REF!</v>
      </c>
      <c r="CS98" s="341" t="e">
        <f ca="1">-SUM(#REF!)+SUM(#REF!) +Rezone!N98 + IF("Ch_"&amp; home_land=#REF!,#REF!)+IF(#REF!&gt;12,OFFSET(#REF!,-12,0),0)</f>
        <v>#REF!</v>
      </c>
      <c r="CT98" s="167" t="e">
        <f ca="1">-SUM(#REF!)+SUM(#REF!) +Rezone!O98 + IF("Ch_" &amp; home_land=#REF!,#REF!)+IF(#REF!&gt;12,OFFSET(#REF!,-12,0),0)</f>
        <v>#REF!</v>
      </c>
      <c r="CU98" s="168" t="e">
        <f ca="1">-SUM(#REF!)+SUM(#REF!) +Rezone!P98 + IF("Ch_" &amp; home_land=#REF!,#REF!)+IF(#REF!&gt;12,OFFSET(#REF!,-12,0),0)</f>
        <v>#REF!</v>
      </c>
      <c r="CV98" s="169" t="e">
        <f ca="1">- SUM(#REF!)+SUM(#REF!) +Rezone!Q98 + IF("Ch_" &amp; home_land=#REF!,#REF!)+IF(#REF!&gt;12,OFFSET(#REF!,-12,0),0)</f>
        <v>#REF!</v>
      </c>
      <c r="CW98" s="170" t="e">
        <f ca="1">-#REF!+#REF! +Rezone!R98 + IF("Ch_" &amp; home_land=#REF!,#REF!)+IF(#REF!&gt;12,OFFSET(#REF!,-12,0),0)</f>
        <v>#REF!</v>
      </c>
      <c r="CX98" s="3" t="e">
        <f>IF(Explore!S98=1,20) -#REF! +#REF!</f>
        <v>#REF!</v>
      </c>
      <c r="CY98" s="134"/>
      <c r="CZ98" s="39" t="e">
        <f t="shared" ca="1" si="23"/>
        <v>#REF!</v>
      </c>
      <c r="DA98" s="39" t="e">
        <f t="shared" ca="1" si="24"/>
        <v>#REF!</v>
      </c>
      <c r="DB98" s="3" t="e">
        <f t="shared" ca="1" si="25"/>
        <v>#REF!</v>
      </c>
      <c r="DC98" s="39" t="e">
        <f t="shared" ca="1" si="26"/>
        <v>#REF!</v>
      </c>
      <c r="DD98" s="39" t="e">
        <f t="shared" ca="1" si="27"/>
        <v>#REF!</v>
      </c>
      <c r="DE98" s="3" t="e">
        <f t="shared" ca="1" si="28"/>
        <v>#REF!</v>
      </c>
      <c r="DF98" s="39" t="e">
        <f t="shared" ca="1" si="29"/>
        <v>#REF!</v>
      </c>
      <c r="DG98" s="39" t="e">
        <f t="array" ref="DG98">INDEX(#REF!,ROW()-ROW(#REF!),MATCH("Total "&amp;home_land,#REF!,0))+#REF!</f>
        <v>#REF!</v>
      </c>
      <c r="DH98" s="3" t="e">
        <f t="shared" ca="1" si="22"/>
        <v>#REF!</v>
      </c>
      <c r="DI98" s="3" t="e">
        <f t="shared" ca="1" si="19"/>
        <v>#REF!</v>
      </c>
      <c r="DJ98" s="3" t="e">
        <f t="shared" ca="1" si="20"/>
        <v>#REF!</v>
      </c>
    </row>
    <row r="99" spans="1:114" x14ac:dyDescent="0.25">
      <c r="A99" s="160" t="e">
        <f>#REF!</f>
        <v>#REF!</v>
      </c>
      <c r="B99" s="161" t="e">
        <f>SUM(#REF!)</f>
        <v>#REF!</v>
      </c>
      <c r="C99" s="162" t="e">
        <f>SUM(#REF!)</f>
        <v>#REF!</v>
      </c>
      <c r="D99" s="162">
        <f t="shared" si="21"/>
        <v>0</v>
      </c>
      <c r="E99" s="163"/>
      <c r="F99" s="61" t="e">
        <f>#REF!+#REF!+#REF!</f>
        <v>#REF!</v>
      </c>
      <c r="G99" s="171" t="e">
        <f ca="1">OFFSET(#REF!,-1,0)+#REF!</f>
        <v>#REF!</v>
      </c>
      <c r="H99" s="166" t="e">
        <f ca="1">OFFSET(#REF!,-1,0)+#REF!</f>
        <v>#REF!</v>
      </c>
      <c r="I99" s="341" t="e">
        <f ca="1">OFFSET(#REF!,-1,0)+#REF!</f>
        <v>#REF!</v>
      </c>
      <c r="J99" s="345" t="e">
        <f ca="1">OFFSET(#REF!,-1,0)+#REF!</f>
        <v>#REF!</v>
      </c>
      <c r="K99" s="349" t="e">
        <f ca="1">OFFSET(#REF!,-1,0)+#REF!</f>
        <v>#REF!</v>
      </c>
      <c r="L99" s="169" t="e">
        <f ca="1">OFFSET(#REF!,-1,0)+#REF!</f>
        <v>#REF!</v>
      </c>
      <c r="M99" s="170" t="e">
        <f ca="1">OFFSET(#REF!,-1,0)+#REF!</f>
        <v>#REF!</v>
      </c>
      <c r="N99" s="339" t="e">
        <f>#REF!</f>
        <v>#REF!</v>
      </c>
      <c r="O99" s="164"/>
      <c r="P99" s="146"/>
      <c r="Q99" s="164"/>
      <c r="R99" s="164"/>
      <c r="S99" s="164"/>
      <c r="T99" s="164"/>
      <c r="U99" s="164"/>
      <c r="V99" s="164"/>
      <c r="W99" s="164"/>
      <c r="X99" s="164"/>
      <c r="Y99" s="164"/>
      <c r="Z99" s="164"/>
      <c r="AA99" s="164"/>
      <c r="AB99" s="164"/>
      <c r="AC99" s="164"/>
      <c r="AD99" s="164"/>
      <c r="AE99" s="164"/>
      <c r="AF99" s="164"/>
      <c r="AG99" s="164"/>
      <c r="AH99" s="53" t="e">
        <f>#REF!</f>
        <v>#REF!</v>
      </c>
      <c r="AI99" s="132" t="e">
        <f>MIN(25%,(#REF!+#REF!)/(#REF!-#REF!*20))</f>
        <v>#REF!</v>
      </c>
      <c r="AJ99" s="132" t="e">
        <f>MIN(25%,(#REF!+#REF!)/#REF!)</f>
        <v>#REF!</v>
      </c>
      <c r="AK99" s="39" t="e">
        <f>#REF!</f>
        <v>#REF!</v>
      </c>
      <c r="AL99" s="39" t="e">
        <f>#REF!</f>
        <v>#REF!</v>
      </c>
      <c r="AM99" s="39" t="e">
        <f>ROUNDDOWN( MAX((1 - MIN(facs_constr_factor*#REF!,facs_constr_max) + tech_2_3*#REF! + tech_2_6_2*#REF! + tech_2_10*#REF! + tech_4_6*#REF! + tech_6_3*#REF! + tech_9_2*#REF! + race_construction_cost), 1-global_constr_cap) *#REF!,0)</f>
        <v>#REF!</v>
      </c>
      <c r="AN99" s="39" t="e">
        <f>ROUNDDOWN( MAX(1 - MIN(facs_constr_factor*#REF!,facs_constr_max) + tech_1_11*#REF! + tech_6_3_2*#REF! + tech_5_2_3*#REF!, 1-global_constr_cap) *#REF!,0)</f>
        <v>#REF!</v>
      </c>
      <c r="AO99" s="39" t="e">
        <f>ROUNDDOWN( MAX((1 - MIN(facs_constr_factor*#REF!,facs_constr_max) + tech_2_3*#REF! + tech_2_6_2*#REF! + tech_2_10*#REF! + tech_4_6*#REF! + tech_6_3*#REF! + tech_9_2*#REF! + race_construction_cost), 1-global_constr_cap) * (ROUND((#REF!-250)*1.25 + 850 + 0,0)),0)</f>
        <v>#REF!</v>
      </c>
      <c r="AP99" s="39" t="e">
        <f>ROUNDDOWN( MAX(1 - MIN(facs_constr_factor*#REF!,facs_constr_max) + tech_1_11*#REF! + tech_6_3_2*#REF! + tech_5_2_3*#REF!, 1-global_constr_cap) * ROUND((#REF!-250)*0.285 + 87.5 + 0/4.25,0),0)</f>
        <v>#REF!</v>
      </c>
      <c r="AQ99" s="3" t="e">
        <f>#REF!*#REF! +#REF! *#REF!</f>
        <v>#REF!</v>
      </c>
      <c r="AR99" s="3" t="e">
        <f>#REF!*#REF!+#REF!*#REF!</f>
        <v>#REF!</v>
      </c>
      <c r="AS99" s="39" t="e">
        <f ca="1">MIN(SUM(OFFSET(#REF!,-1,0))+SUM(#REF!)+IF(#REF!&gt;12,SUM(OFFSET(#REF!,-12,0)),0),SUM(#REF!))</f>
        <v>#REF!</v>
      </c>
      <c r="AT99" s="3" t="e">
        <f ca="1">IF(#REF!&lt;&gt;0,MAX(0, MIN(20, 20 + SUM(#REF!) - SUM(#REF!) - SUM(OFFSET(#REF!,-1,0)) - IF(#REF!&gt;12,SUM(OFFSET(#REF!,-12,0)),0) - 20*#REF!)),0)</f>
        <v>#REF!</v>
      </c>
      <c r="AU99" s="134"/>
      <c r="AV99" s="39" t="e">
        <f>ROUND((#REF!-250 - IF(#REF!&lt;&gt;0,20,0))*1.25 + 850 + 0,0)</f>
        <v>#REF!</v>
      </c>
      <c r="AW99" s="39" t="e">
        <f>ROUND((#REF!-250 - IF(#REF!&lt;&gt;0,20,0))*0.285 + 87.5 + 0/4.25,0)</f>
        <v>#REF!</v>
      </c>
      <c r="AX99" s="133"/>
      <c r="AY99" s="172" t="e">
        <f t="array" aca="1" ref="AY99" ca="1">IF(#REF!&gt;12,OFFSET(#REF!,-12,0),0)+OFFSET(#REF!,-1,0)-#REF!</f>
        <v>#REF!</v>
      </c>
      <c r="AZ99" s="173" t="e">
        <f t="array" aca="1" ref="AZ99" ca="1">IF(#REF!&gt;12,OFFSET(#REF!,-12,0),0)+OFFSET(#REF!,-1,0)-#REF!</f>
        <v>#REF!</v>
      </c>
      <c r="BA99" s="173" t="e">
        <f t="array" aca="1" ref="BA99" ca="1">IF(#REF!&gt;12,OFFSET(#REF!,-12,0),0)+OFFSET(#REF!,-1,0)-#REF!</f>
        <v>#REF!</v>
      </c>
      <c r="BB99" s="173" t="e">
        <f t="array" aca="1" ref="BB99" ca="1">IF(#REF!&gt;12,OFFSET(#REF!,-12,0),0)+OFFSET(#REF!,-1,0)-#REF!</f>
        <v>#REF!</v>
      </c>
      <c r="BC99" s="173" t="e">
        <f t="array" aca="1" ref="BC99" ca="1">IF(#REF!&gt;12,OFFSET(#REF!,-12,0),0)+OFFSET(#REF!,-1,0)-#REF!</f>
        <v>#REF!</v>
      </c>
      <c r="BD99" s="174" t="e">
        <f t="array" aca="1" ref="BD99" ca="1">IF(#REF!&gt;12,OFFSET(#REF!,-12,0),0)+OFFSET(#REF!,-1,0)-#REF!</f>
        <v>#REF!</v>
      </c>
      <c r="BE99" s="174" t="e">
        <f t="array" aca="1" ref="BE99" ca="1">IF(#REF!&gt;12,OFFSET(#REF!,-12,0),0)+OFFSET(#REF!,-1,0)-#REF!</f>
        <v>#REF!</v>
      </c>
      <c r="BF99" s="343" t="e">
        <f t="array" aca="1" ref="BF99" ca="1">IF(#REF!&gt;12,OFFSET(#REF!,-12,0),0)+OFFSET(#REF!,-1,0)-#REF!</f>
        <v>#REF!</v>
      </c>
      <c r="BG99" s="343" t="e">
        <f t="array" aca="1" ref="BG99" ca="1">IF(#REF!&gt;12,OFFSET(#REF!,-12,0),0)+OFFSET(#REF!,-1,0)-#REF!</f>
        <v>#REF!</v>
      </c>
      <c r="BH99" s="347" t="e">
        <f t="array" aca="1" ref="BH99" ca="1">IF(#REF!&gt;12,OFFSET(#REF!,-12,0),0)+OFFSET(#REF!,-1,0)-#REF!</f>
        <v>#REF!</v>
      </c>
      <c r="BI99" s="347" t="e">
        <f t="array" aca="1" ref="BI99" ca="1">IF(#REF!&gt;12,OFFSET(#REF!,-12,0),0)+OFFSET(#REF!,-1,0)-#REF!</f>
        <v>#REF!</v>
      </c>
      <c r="BJ99" s="347" t="e">
        <f t="array" aca="1" ref="BJ99" ca="1">IF(#REF!&gt;12,OFFSET(#REF!,-12,0),0)+OFFSET(#REF!,-1,0)-#REF!</f>
        <v>#REF!</v>
      </c>
      <c r="BK99" s="347" t="e">
        <f t="array" aca="1" ref="BK99" ca="1">IF(#REF!&gt;12,OFFSET(#REF!,-12,0),0)+OFFSET(#REF!,-1,0)-#REF!</f>
        <v>#REF!</v>
      </c>
      <c r="BL99" s="351" t="e">
        <f t="array" aca="1" ref="BL99" ca="1">IF(#REF!&gt;12,OFFSET(#REF!,-12,0),0)+OFFSET(#REF!,-1,0)-#REF!</f>
        <v>#REF!</v>
      </c>
      <c r="BM99" s="351" t="e">
        <f t="array" aca="1" ref="BM99" ca="1">IF(#REF!&gt;12,OFFSET(#REF!,-12,0),0)+OFFSET(#REF!,-1,0)-#REF!</f>
        <v>#REF!</v>
      </c>
      <c r="BN99" s="351" t="e">
        <f t="array" aca="1" ref="BN99" ca="1">IF(#REF!&gt;12,OFFSET(#REF!,-12,0),0)+OFFSET(#REF!,-1,0)-#REF!</f>
        <v>#REF!</v>
      </c>
      <c r="BO99" s="175" t="e">
        <f t="array" aca="1" ref="BO99" ca="1">IF(#REF!&gt;12,OFFSET(#REF!,-12,0),0)+OFFSET(#REF!,-1,0)-#REF!</f>
        <v>#REF!</v>
      </c>
      <c r="BP99" s="175" t="e">
        <f t="array" aca="1" ref="BP99" ca="1">IF(#REF!&gt;12,OFFSET(#REF!,-12,0),0)+OFFSET(#REF!,-1,0)-#REF!</f>
        <v>#REF!</v>
      </c>
      <c r="BQ99" s="176" t="e">
        <f t="array" aca="1" ref="BQ99" ca="1">IF(#REF!&gt;12,OFFSET(#REF!,-12,0),0)+OFFSET(#REF!,-1,0)-#REF!</f>
        <v>#REF!</v>
      </c>
      <c r="BR99" s="134"/>
      <c r="BS99" s="133"/>
      <c r="BT99" s="39" t="e">
        <f>#REF!</f>
        <v>#REF!</v>
      </c>
      <c r="BU99" s="147" t="e">
        <f>#REF!</f>
        <v>#REF!</v>
      </c>
      <c r="BV99" s="134"/>
      <c r="BW99" s="164"/>
      <c r="BX99" s="164"/>
      <c r="BY99" s="164"/>
      <c r="BZ99" s="164"/>
      <c r="CA99" s="164"/>
      <c r="CB99" s="164"/>
      <c r="CC99" s="164"/>
      <c r="CD99" s="164"/>
      <c r="CE99" s="164"/>
      <c r="CF99" s="164"/>
      <c r="CG99" s="164"/>
      <c r="CH99" s="164"/>
      <c r="CI99" s="164"/>
      <c r="CJ99" s="164"/>
      <c r="CK99" s="164"/>
      <c r="CL99" s="164"/>
      <c r="CM99" s="164"/>
      <c r="CN99" s="164"/>
      <c r="CO99" s="164"/>
      <c r="CP99" s="134"/>
      <c r="CQ99" s="165" t="e">
        <f ca="1">-SUM(#REF!)+SUM(#REF!)+Rezone!L99+IF("Ch_"&amp; home_land=#REF!,#REF!)+IF(#REF!&gt;12,OFFSET(#REF!,-12,0),0)</f>
        <v>#REF!</v>
      </c>
      <c r="CR99" s="166" t="e">
        <f ca="1">-SUM(#REF!)+SUM(#REF!) +Rezone!M99 + IF("Ch_"&amp; home_land=#REF!,#REF!)+IF(#REF!&gt;12,OFFSET(#REF!,-12,0),0)</f>
        <v>#REF!</v>
      </c>
      <c r="CS99" s="341" t="e">
        <f ca="1">-SUM(#REF!)+SUM(#REF!) +Rezone!N99 + IF("Ch_"&amp; home_land=#REF!,#REF!)+IF(#REF!&gt;12,OFFSET(#REF!,-12,0),0)</f>
        <v>#REF!</v>
      </c>
      <c r="CT99" s="167" t="e">
        <f ca="1">-SUM(#REF!)+SUM(#REF!) +Rezone!O99 + IF("Ch_" &amp; home_land=#REF!,#REF!)+IF(#REF!&gt;12,OFFSET(#REF!,-12,0),0)</f>
        <v>#REF!</v>
      </c>
      <c r="CU99" s="168" t="e">
        <f ca="1">-SUM(#REF!)+SUM(#REF!) +Rezone!P99 + IF("Ch_" &amp; home_land=#REF!,#REF!)+IF(#REF!&gt;12,OFFSET(#REF!,-12,0),0)</f>
        <v>#REF!</v>
      </c>
      <c r="CV99" s="169" t="e">
        <f ca="1">- SUM(#REF!)+SUM(#REF!) +Rezone!Q99 + IF("Ch_" &amp; home_land=#REF!,#REF!)+IF(#REF!&gt;12,OFFSET(#REF!,-12,0),0)</f>
        <v>#REF!</v>
      </c>
      <c r="CW99" s="170" t="e">
        <f ca="1">-#REF!+#REF! +Rezone!R99 + IF("Ch_" &amp; home_land=#REF!,#REF!)+IF(#REF!&gt;12,OFFSET(#REF!,-12,0),0)</f>
        <v>#REF!</v>
      </c>
      <c r="CX99" s="3" t="e">
        <f>IF(Explore!S99=1,20) -#REF! +#REF!</f>
        <v>#REF!</v>
      </c>
      <c r="CY99" s="134"/>
      <c r="CZ99" s="39" t="e">
        <f t="shared" ca="1" si="23"/>
        <v>#REF!</v>
      </c>
      <c r="DA99" s="39" t="e">
        <f t="shared" ca="1" si="24"/>
        <v>#REF!</v>
      </c>
      <c r="DB99" s="3" t="e">
        <f t="shared" ca="1" si="25"/>
        <v>#REF!</v>
      </c>
      <c r="DC99" s="39" t="e">
        <f t="shared" ca="1" si="26"/>
        <v>#REF!</v>
      </c>
      <c r="DD99" s="39" t="e">
        <f t="shared" ca="1" si="27"/>
        <v>#REF!</v>
      </c>
      <c r="DE99" s="3" t="e">
        <f t="shared" ca="1" si="28"/>
        <v>#REF!</v>
      </c>
      <c r="DF99" s="39" t="e">
        <f t="shared" ca="1" si="29"/>
        <v>#REF!</v>
      </c>
      <c r="DG99" s="39" t="e">
        <f t="array" ref="DG99">INDEX(#REF!,ROW()-ROW(#REF!),MATCH("Total "&amp;home_land,#REF!,0))+#REF!</f>
        <v>#REF!</v>
      </c>
      <c r="DH99" s="3" t="e">
        <f t="shared" ca="1" si="22"/>
        <v>#REF!</v>
      </c>
      <c r="DI99" s="3" t="e">
        <f t="shared" ca="1" si="19"/>
        <v>#REF!</v>
      </c>
      <c r="DJ99" s="3" t="e">
        <f t="shared" ca="1" si="20"/>
        <v>#REF!</v>
      </c>
    </row>
    <row r="100" spans="1:114" x14ac:dyDescent="0.25">
      <c r="A100" s="160" t="e">
        <f>#REF!</f>
        <v>#REF!</v>
      </c>
      <c r="B100" s="161" t="e">
        <f>SUM(#REF!)</f>
        <v>#REF!</v>
      </c>
      <c r="C100" s="162" t="e">
        <f>SUM(#REF!)</f>
        <v>#REF!</v>
      </c>
      <c r="D100" s="162">
        <f t="shared" si="21"/>
        <v>0</v>
      </c>
      <c r="E100" s="163"/>
      <c r="F100" s="61" t="e">
        <f>#REF!+#REF!+#REF!</f>
        <v>#REF!</v>
      </c>
      <c r="G100" s="171" t="e">
        <f ca="1">OFFSET(#REF!,-1,0)+#REF!</f>
        <v>#REF!</v>
      </c>
      <c r="H100" s="166" t="e">
        <f ca="1">OFFSET(#REF!,-1,0)+#REF!</f>
        <v>#REF!</v>
      </c>
      <c r="I100" s="341" t="e">
        <f ca="1">OFFSET(#REF!,-1,0)+#REF!</f>
        <v>#REF!</v>
      </c>
      <c r="J100" s="345" t="e">
        <f ca="1">OFFSET(#REF!,-1,0)+#REF!</f>
        <v>#REF!</v>
      </c>
      <c r="K100" s="349" t="e">
        <f ca="1">OFFSET(#REF!,-1,0)+#REF!</f>
        <v>#REF!</v>
      </c>
      <c r="L100" s="169" t="e">
        <f ca="1">OFFSET(#REF!,-1,0)+#REF!</f>
        <v>#REF!</v>
      </c>
      <c r="M100" s="170" t="e">
        <f ca="1">OFFSET(#REF!,-1,0)+#REF!</f>
        <v>#REF!</v>
      </c>
      <c r="N100" s="339" t="e">
        <f>#REF!</f>
        <v>#REF!</v>
      </c>
      <c r="O100" s="164"/>
      <c r="P100" s="164"/>
      <c r="Q100" s="164"/>
      <c r="R100" s="164"/>
      <c r="S100" s="164"/>
      <c r="T100" s="164"/>
      <c r="U100" s="164"/>
      <c r="V100" s="164"/>
      <c r="W100" s="164"/>
      <c r="X100" s="164"/>
      <c r="Y100" s="164"/>
      <c r="Z100" s="164"/>
      <c r="AA100" s="164"/>
      <c r="AB100" s="164"/>
      <c r="AC100" s="164"/>
      <c r="AD100" s="164"/>
      <c r="AE100" s="164"/>
      <c r="AF100" s="164"/>
      <c r="AG100" s="164"/>
      <c r="AH100" s="53" t="e">
        <f>#REF!</f>
        <v>#REF!</v>
      </c>
      <c r="AI100" s="132" t="e">
        <f>MIN(25%,(#REF!+#REF!)/(#REF!-#REF!*20))</f>
        <v>#REF!</v>
      </c>
      <c r="AJ100" s="132" t="e">
        <f>MIN(25%,(#REF!+#REF!)/#REF!)</f>
        <v>#REF!</v>
      </c>
      <c r="AK100" s="39" t="e">
        <f>#REF!</f>
        <v>#REF!</v>
      </c>
      <c r="AL100" s="39" t="e">
        <f>#REF!</f>
        <v>#REF!</v>
      </c>
      <c r="AM100" s="39" t="e">
        <f>ROUNDDOWN( MAX((1 - MIN(facs_constr_factor*#REF!,facs_constr_max) + tech_2_3*#REF! + tech_2_6_2*#REF! + tech_2_10*#REF! + tech_4_6*#REF! + tech_6_3*#REF! + tech_9_2*#REF! + race_construction_cost), 1-global_constr_cap) *#REF!,0)</f>
        <v>#REF!</v>
      </c>
      <c r="AN100" s="39" t="e">
        <f>ROUNDDOWN( MAX(1 - MIN(facs_constr_factor*#REF!,facs_constr_max) + tech_1_11*#REF! + tech_6_3_2*#REF! + tech_5_2_3*#REF!, 1-global_constr_cap) *#REF!,0)</f>
        <v>#REF!</v>
      </c>
      <c r="AO100" s="39" t="e">
        <f>ROUNDDOWN( MAX((1 - MIN(facs_constr_factor*#REF!,facs_constr_max) + tech_2_3*#REF! + tech_2_6_2*#REF! + tech_2_10*#REF! + tech_4_6*#REF! + tech_6_3*#REF! + tech_9_2*#REF! + race_construction_cost), 1-global_constr_cap) * (ROUND((#REF!-250)*1.25 + 850 + 0,0)),0)</f>
        <v>#REF!</v>
      </c>
      <c r="AP100" s="39" t="e">
        <f>ROUNDDOWN( MAX(1 - MIN(facs_constr_factor*#REF!,facs_constr_max) + tech_1_11*#REF! + tech_6_3_2*#REF! + tech_5_2_3*#REF!, 1-global_constr_cap) * ROUND((#REF!-250)*0.285 + 87.5 + 0/4.25,0),0)</f>
        <v>#REF!</v>
      </c>
      <c r="AQ100" s="3" t="e">
        <f>#REF!*#REF! +#REF! *#REF!</f>
        <v>#REF!</v>
      </c>
      <c r="AR100" s="3" t="e">
        <f>#REF!*#REF!+#REF!*#REF!</f>
        <v>#REF!</v>
      </c>
      <c r="AS100" s="39" t="e">
        <f ca="1">MIN(SUM(OFFSET(#REF!,-1,0))+SUM(#REF!)+IF(#REF!&gt;12,SUM(OFFSET(#REF!,-12,0)),0),SUM(#REF!))</f>
        <v>#REF!</v>
      </c>
      <c r="AT100" s="3" t="e">
        <f ca="1">IF(#REF!&lt;&gt;0,MAX(0, MIN(20, 20 + SUM(#REF!) - SUM(#REF!) - SUM(OFFSET(#REF!,-1,0)) - IF(#REF!&gt;12,SUM(OFFSET(#REF!,-12,0)),0) - 20*#REF!)),0)</f>
        <v>#REF!</v>
      </c>
      <c r="AU100" s="134"/>
      <c r="AV100" s="39" t="e">
        <f>ROUND((#REF!-250 - IF(#REF!&lt;&gt;0,20,0))*1.25 + 850 + 0,0)</f>
        <v>#REF!</v>
      </c>
      <c r="AW100" s="39" t="e">
        <f>ROUND((#REF!-250 - IF(#REF!&lt;&gt;0,20,0))*0.285 + 87.5 + 0/4.25,0)</f>
        <v>#REF!</v>
      </c>
      <c r="AX100" s="133"/>
      <c r="AY100" s="172" t="e">
        <f t="array" aca="1" ref="AY100" ca="1">IF(#REF!&gt;12,OFFSET(#REF!,-12,0),0)+OFFSET(#REF!,-1,0)-#REF!</f>
        <v>#REF!</v>
      </c>
      <c r="AZ100" s="173" t="e">
        <f t="array" aca="1" ref="AZ100" ca="1">IF(#REF!&gt;12,OFFSET(#REF!,-12,0),0)+OFFSET(#REF!,-1,0)-#REF!</f>
        <v>#REF!</v>
      </c>
      <c r="BA100" s="173" t="e">
        <f t="array" aca="1" ref="BA100" ca="1">IF(#REF!&gt;12,OFFSET(#REF!,-12,0),0)+OFFSET(#REF!,-1,0)-#REF!</f>
        <v>#REF!</v>
      </c>
      <c r="BB100" s="173" t="e">
        <f t="array" aca="1" ref="BB100" ca="1">IF(#REF!&gt;12,OFFSET(#REF!,-12,0),0)+OFFSET(#REF!,-1,0)-#REF!</f>
        <v>#REF!</v>
      </c>
      <c r="BC100" s="173" t="e">
        <f t="array" aca="1" ref="BC100" ca="1">IF(#REF!&gt;12,OFFSET(#REF!,-12,0),0)+OFFSET(#REF!,-1,0)-#REF!</f>
        <v>#REF!</v>
      </c>
      <c r="BD100" s="174" t="e">
        <f t="array" aca="1" ref="BD100" ca="1">IF(#REF!&gt;12,OFFSET(#REF!,-12,0),0)+OFFSET(#REF!,-1,0)-#REF!</f>
        <v>#REF!</v>
      </c>
      <c r="BE100" s="174" t="e">
        <f t="array" aca="1" ref="BE100" ca="1">IF(#REF!&gt;12,OFFSET(#REF!,-12,0),0)+OFFSET(#REF!,-1,0)-#REF!</f>
        <v>#REF!</v>
      </c>
      <c r="BF100" s="343" t="e">
        <f t="array" aca="1" ref="BF100" ca="1">IF(#REF!&gt;12,OFFSET(#REF!,-12,0),0)+OFFSET(#REF!,-1,0)-#REF!</f>
        <v>#REF!</v>
      </c>
      <c r="BG100" s="343" t="e">
        <f t="array" aca="1" ref="BG100" ca="1">IF(#REF!&gt;12,OFFSET(#REF!,-12,0),0)+OFFSET(#REF!,-1,0)-#REF!</f>
        <v>#REF!</v>
      </c>
      <c r="BH100" s="347" t="e">
        <f t="array" aca="1" ref="BH100" ca="1">IF(#REF!&gt;12,OFFSET(#REF!,-12,0),0)+OFFSET(#REF!,-1,0)-#REF!</f>
        <v>#REF!</v>
      </c>
      <c r="BI100" s="347" t="e">
        <f t="array" aca="1" ref="BI100" ca="1">IF(#REF!&gt;12,OFFSET(#REF!,-12,0),0)+OFFSET(#REF!,-1,0)-#REF!</f>
        <v>#REF!</v>
      </c>
      <c r="BJ100" s="347" t="e">
        <f t="array" aca="1" ref="BJ100" ca="1">IF(#REF!&gt;12,OFFSET(#REF!,-12,0),0)+OFFSET(#REF!,-1,0)-#REF!</f>
        <v>#REF!</v>
      </c>
      <c r="BK100" s="347" t="e">
        <f t="array" aca="1" ref="BK100" ca="1">IF(#REF!&gt;12,OFFSET(#REF!,-12,0),0)+OFFSET(#REF!,-1,0)-#REF!</f>
        <v>#REF!</v>
      </c>
      <c r="BL100" s="351" t="e">
        <f t="array" aca="1" ref="BL100" ca="1">IF(#REF!&gt;12,OFFSET(#REF!,-12,0),0)+OFFSET(#REF!,-1,0)-#REF!</f>
        <v>#REF!</v>
      </c>
      <c r="BM100" s="351" t="e">
        <f t="array" aca="1" ref="BM100" ca="1">IF(#REF!&gt;12,OFFSET(#REF!,-12,0),0)+OFFSET(#REF!,-1,0)-#REF!</f>
        <v>#REF!</v>
      </c>
      <c r="BN100" s="351" t="e">
        <f t="array" aca="1" ref="BN100" ca="1">IF(#REF!&gt;12,OFFSET(#REF!,-12,0),0)+OFFSET(#REF!,-1,0)-#REF!</f>
        <v>#REF!</v>
      </c>
      <c r="BO100" s="175" t="e">
        <f t="array" aca="1" ref="BO100" ca="1">IF(#REF!&gt;12,OFFSET(#REF!,-12,0),0)+OFFSET(#REF!,-1,0)-#REF!</f>
        <v>#REF!</v>
      </c>
      <c r="BP100" s="175" t="e">
        <f t="array" aca="1" ref="BP100" ca="1">IF(#REF!&gt;12,OFFSET(#REF!,-12,0),0)+OFFSET(#REF!,-1,0)-#REF!</f>
        <v>#REF!</v>
      </c>
      <c r="BQ100" s="176" t="e">
        <f t="array" aca="1" ref="BQ100" ca="1">IF(#REF!&gt;12,OFFSET(#REF!,-12,0),0)+OFFSET(#REF!,-1,0)-#REF!</f>
        <v>#REF!</v>
      </c>
      <c r="BR100" s="134"/>
      <c r="BS100" s="133"/>
      <c r="BT100" s="39" t="e">
        <f>#REF!</f>
        <v>#REF!</v>
      </c>
      <c r="BU100" s="147" t="e">
        <f>#REF!</f>
        <v>#REF!</v>
      </c>
      <c r="BV100" s="134"/>
      <c r="BW100" s="164"/>
      <c r="BX100" s="164"/>
      <c r="BY100" s="164"/>
      <c r="BZ100" s="164"/>
      <c r="CA100" s="164"/>
      <c r="CB100" s="164"/>
      <c r="CC100" s="164"/>
      <c r="CD100" s="164"/>
      <c r="CE100" s="164"/>
      <c r="CF100" s="164"/>
      <c r="CG100" s="164"/>
      <c r="CH100" s="164"/>
      <c r="CI100" s="164"/>
      <c r="CJ100" s="164"/>
      <c r="CK100" s="164"/>
      <c r="CL100" s="164"/>
      <c r="CM100" s="164"/>
      <c r="CN100" s="164"/>
      <c r="CO100" s="164"/>
      <c r="CP100" s="134"/>
      <c r="CQ100" s="165" t="e">
        <f ca="1">-SUM(#REF!)+SUM(#REF!)+Rezone!L100+IF("Ch_"&amp; home_land=#REF!,#REF!)+IF(#REF!&gt;12,OFFSET(#REF!,-12,0),0)</f>
        <v>#REF!</v>
      </c>
      <c r="CR100" s="166" t="e">
        <f ca="1">-SUM(#REF!)+SUM(#REF!) +Rezone!M100 + IF("Ch_"&amp; home_land=#REF!,#REF!)+IF(#REF!&gt;12,OFFSET(#REF!,-12,0),0)</f>
        <v>#REF!</v>
      </c>
      <c r="CS100" s="341" t="e">
        <f ca="1">-SUM(#REF!)+SUM(#REF!) +Rezone!N100 + IF("Ch_"&amp; home_land=#REF!,#REF!)+IF(#REF!&gt;12,OFFSET(#REF!,-12,0),0)</f>
        <v>#REF!</v>
      </c>
      <c r="CT100" s="167" t="e">
        <f ca="1">-SUM(#REF!)+SUM(#REF!) +Rezone!O100 + IF("Ch_" &amp; home_land=#REF!,#REF!)+IF(#REF!&gt;12,OFFSET(#REF!,-12,0),0)</f>
        <v>#REF!</v>
      </c>
      <c r="CU100" s="168" t="e">
        <f ca="1">-SUM(#REF!)+SUM(#REF!) +Rezone!P100 + IF("Ch_" &amp; home_land=#REF!,#REF!)+IF(#REF!&gt;12,OFFSET(#REF!,-12,0),0)</f>
        <v>#REF!</v>
      </c>
      <c r="CV100" s="169" t="e">
        <f ca="1">- SUM(#REF!)+SUM(#REF!) +Rezone!Q100 + IF("Ch_" &amp; home_land=#REF!,#REF!)+IF(#REF!&gt;12,OFFSET(#REF!,-12,0),0)</f>
        <v>#REF!</v>
      </c>
      <c r="CW100" s="170" t="e">
        <f ca="1">-#REF!+#REF! +Rezone!R100 + IF("Ch_" &amp; home_land=#REF!,#REF!)+IF(#REF!&gt;12,OFFSET(#REF!,-12,0),0)</f>
        <v>#REF!</v>
      </c>
      <c r="CX100" s="3" t="e">
        <f>IF(Explore!S100=1,20) -#REF! +#REF!</f>
        <v>#REF!</v>
      </c>
      <c r="CY100" s="134"/>
      <c r="CZ100" s="39" t="e">
        <f t="shared" ca="1" si="23"/>
        <v>#REF!</v>
      </c>
      <c r="DA100" s="39" t="e">
        <f t="shared" ca="1" si="24"/>
        <v>#REF!</v>
      </c>
      <c r="DB100" s="3" t="e">
        <f t="shared" ca="1" si="25"/>
        <v>#REF!</v>
      </c>
      <c r="DC100" s="39" t="e">
        <f t="shared" ca="1" si="26"/>
        <v>#REF!</v>
      </c>
      <c r="DD100" s="39" t="e">
        <f t="shared" ca="1" si="27"/>
        <v>#REF!</v>
      </c>
      <c r="DE100" s="3" t="e">
        <f t="shared" ca="1" si="28"/>
        <v>#REF!</v>
      </c>
      <c r="DF100" s="39" t="e">
        <f t="shared" ca="1" si="29"/>
        <v>#REF!</v>
      </c>
      <c r="DG100" s="39" t="e">
        <f t="array" ref="DG100">INDEX(#REF!,ROW()-ROW(#REF!),MATCH("Total "&amp;home_land,#REF!,0))+#REF!</f>
        <v>#REF!</v>
      </c>
      <c r="DH100" s="3" t="e">
        <f t="shared" ca="1" si="22"/>
        <v>#REF!</v>
      </c>
      <c r="DI100" s="3" t="e">
        <f t="shared" ca="1" si="19"/>
        <v>#REF!</v>
      </c>
      <c r="DJ100" s="3" t="e">
        <f t="shared" ca="1" si="20"/>
        <v>#REF!</v>
      </c>
    </row>
    <row r="101" spans="1:114" x14ac:dyDescent="0.25">
      <c r="A101" s="160" t="e">
        <f>#REF!</f>
        <v>#REF!</v>
      </c>
      <c r="B101" s="161" t="e">
        <f>SUM(#REF!)</f>
        <v>#REF!</v>
      </c>
      <c r="C101" s="162" t="e">
        <f>SUM(#REF!)</f>
        <v>#REF!</v>
      </c>
      <c r="D101" s="162">
        <f t="shared" si="21"/>
        <v>0</v>
      </c>
      <c r="E101" s="163"/>
      <c r="F101" s="61" t="e">
        <f>#REF!+#REF!+#REF!</f>
        <v>#REF!</v>
      </c>
      <c r="G101" s="171" t="e">
        <f ca="1">OFFSET(#REF!,-1,0)+#REF!</f>
        <v>#REF!</v>
      </c>
      <c r="H101" s="166" t="e">
        <f ca="1">OFFSET(#REF!,-1,0)+#REF!</f>
        <v>#REF!</v>
      </c>
      <c r="I101" s="341" t="e">
        <f ca="1">OFFSET(#REF!,-1,0)+#REF!</f>
        <v>#REF!</v>
      </c>
      <c r="J101" s="345" t="e">
        <f ca="1">OFFSET(#REF!,-1,0)+#REF!</f>
        <v>#REF!</v>
      </c>
      <c r="K101" s="349" t="e">
        <f ca="1">OFFSET(#REF!,-1,0)+#REF!</f>
        <v>#REF!</v>
      </c>
      <c r="L101" s="169" t="e">
        <f ca="1">OFFSET(#REF!,-1,0)+#REF!</f>
        <v>#REF!</v>
      </c>
      <c r="M101" s="170" t="e">
        <f ca="1">OFFSET(#REF!,-1,0)+#REF!</f>
        <v>#REF!</v>
      </c>
      <c r="N101" s="339" t="e">
        <f>#REF!</f>
        <v>#REF!</v>
      </c>
      <c r="O101" s="164"/>
      <c r="P101" s="164"/>
      <c r="Q101" s="164"/>
      <c r="R101" s="164"/>
      <c r="S101" s="164"/>
      <c r="T101" s="164"/>
      <c r="U101" s="164"/>
      <c r="V101" s="164"/>
      <c r="W101" s="164"/>
      <c r="X101" s="164"/>
      <c r="Y101" s="164"/>
      <c r="Z101" s="164"/>
      <c r="AA101" s="164"/>
      <c r="AB101" s="164"/>
      <c r="AC101" s="164"/>
      <c r="AD101" s="164"/>
      <c r="AE101" s="164"/>
      <c r="AF101" s="164"/>
      <c r="AG101" s="164"/>
      <c r="AH101" s="53" t="e">
        <f>#REF!</f>
        <v>#REF!</v>
      </c>
      <c r="AI101" s="132" t="e">
        <f>MIN(25%,(#REF!+#REF!)/(#REF!-#REF!*20))</f>
        <v>#REF!</v>
      </c>
      <c r="AJ101" s="132" t="e">
        <f>MIN(25%,(#REF!+#REF!)/#REF!)</f>
        <v>#REF!</v>
      </c>
      <c r="AK101" s="39" t="e">
        <f>#REF!</f>
        <v>#REF!</v>
      </c>
      <c r="AL101" s="39" t="e">
        <f>#REF!</f>
        <v>#REF!</v>
      </c>
      <c r="AM101" s="39" t="e">
        <f>ROUNDDOWN( MAX((1 - MIN(facs_constr_factor*#REF!,facs_constr_max) + tech_2_3*#REF! + tech_2_6_2*#REF! + tech_2_10*#REF! + tech_4_6*#REF! + tech_6_3*#REF! + tech_9_2*#REF! + race_construction_cost), 1-global_constr_cap) *#REF!,0)</f>
        <v>#REF!</v>
      </c>
      <c r="AN101" s="39" t="e">
        <f>ROUNDDOWN( MAX(1 - MIN(facs_constr_factor*#REF!,facs_constr_max) + tech_1_11*#REF! + tech_6_3_2*#REF! + tech_5_2_3*#REF!, 1-global_constr_cap) *#REF!,0)</f>
        <v>#REF!</v>
      </c>
      <c r="AO101" s="39" t="e">
        <f>ROUNDDOWN( MAX((1 - MIN(facs_constr_factor*#REF!,facs_constr_max) + tech_2_3*#REF! + tech_2_6_2*#REF! + tech_2_10*#REF! + tech_4_6*#REF! + tech_6_3*#REF! + tech_9_2*#REF! + race_construction_cost), 1-global_constr_cap) * (ROUND((#REF!-250)*1.25 + 850 + 0,0)),0)</f>
        <v>#REF!</v>
      </c>
      <c r="AP101" s="39" t="e">
        <f>ROUNDDOWN( MAX(1 - MIN(facs_constr_factor*#REF!,facs_constr_max) + tech_1_11*#REF! + tech_6_3_2*#REF! + tech_5_2_3*#REF!, 1-global_constr_cap) * ROUND((#REF!-250)*0.285 + 87.5 + 0/4.25,0),0)</f>
        <v>#REF!</v>
      </c>
      <c r="AQ101" s="3" t="e">
        <f>#REF!*#REF! +#REF! *#REF!</f>
        <v>#REF!</v>
      </c>
      <c r="AR101" s="3" t="e">
        <f>#REF!*#REF!+#REF!*#REF!</f>
        <v>#REF!</v>
      </c>
      <c r="AS101" s="39" t="e">
        <f ca="1">MIN(SUM(OFFSET(#REF!,-1,0))+SUM(#REF!)+IF(#REF!&gt;12,SUM(OFFSET(#REF!,-12,0)),0),SUM(#REF!))</f>
        <v>#REF!</v>
      </c>
      <c r="AT101" s="3" t="e">
        <f ca="1">IF(#REF!&lt;&gt;0,MAX(0, MIN(20, 20 + SUM(#REF!) - SUM(#REF!) - SUM(OFFSET(#REF!,-1,0)) - IF(#REF!&gt;12,SUM(OFFSET(#REF!,-12,0)),0) - 20*#REF!)),0)</f>
        <v>#REF!</v>
      </c>
      <c r="AU101" s="134"/>
      <c r="AV101" s="39" t="e">
        <f>ROUND((#REF!-250 - IF(#REF!&lt;&gt;0,20,0))*1.25 + 850 + 0,0)</f>
        <v>#REF!</v>
      </c>
      <c r="AW101" s="39" t="e">
        <f>ROUND((#REF!-250 - IF(#REF!&lt;&gt;0,20,0))*0.285 + 87.5 + 0/4.25,0)</f>
        <v>#REF!</v>
      </c>
      <c r="AX101" s="133"/>
      <c r="AY101" s="172" t="e">
        <f t="array" aca="1" ref="AY101" ca="1">IF(#REF!&gt;12,OFFSET(#REF!,-12,0),0)+OFFSET(#REF!,-1,0)-#REF!</f>
        <v>#REF!</v>
      </c>
      <c r="AZ101" s="173" t="e">
        <f t="array" aca="1" ref="AZ101" ca="1">IF(#REF!&gt;12,OFFSET(#REF!,-12,0),0)+OFFSET(#REF!,-1,0)-#REF!</f>
        <v>#REF!</v>
      </c>
      <c r="BA101" s="173" t="e">
        <f t="array" aca="1" ref="BA101" ca="1">IF(#REF!&gt;12,OFFSET(#REF!,-12,0),0)+OFFSET(#REF!,-1,0)-#REF!</f>
        <v>#REF!</v>
      </c>
      <c r="BB101" s="173" t="e">
        <f t="array" aca="1" ref="BB101" ca="1">IF(#REF!&gt;12,OFFSET(#REF!,-12,0),0)+OFFSET(#REF!,-1,0)-#REF!</f>
        <v>#REF!</v>
      </c>
      <c r="BC101" s="173" t="e">
        <f t="array" aca="1" ref="BC101" ca="1">IF(#REF!&gt;12,OFFSET(#REF!,-12,0),0)+OFFSET(#REF!,-1,0)-#REF!</f>
        <v>#REF!</v>
      </c>
      <c r="BD101" s="174" t="e">
        <f t="array" aca="1" ref="BD101" ca="1">IF(#REF!&gt;12,OFFSET(#REF!,-12,0),0)+OFFSET(#REF!,-1,0)-#REF!</f>
        <v>#REF!</v>
      </c>
      <c r="BE101" s="174" t="e">
        <f t="array" aca="1" ref="BE101" ca="1">IF(#REF!&gt;12,OFFSET(#REF!,-12,0),0)+OFFSET(#REF!,-1,0)-#REF!</f>
        <v>#REF!</v>
      </c>
      <c r="BF101" s="343" t="e">
        <f t="array" aca="1" ref="BF101" ca="1">IF(#REF!&gt;12,OFFSET(#REF!,-12,0),0)+OFFSET(#REF!,-1,0)-#REF!</f>
        <v>#REF!</v>
      </c>
      <c r="BG101" s="343" t="e">
        <f t="array" aca="1" ref="BG101" ca="1">IF(#REF!&gt;12,OFFSET(#REF!,-12,0),0)+OFFSET(#REF!,-1,0)-#REF!</f>
        <v>#REF!</v>
      </c>
      <c r="BH101" s="347" t="e">
        <f t="array" aca="1" ref="BH101" ca="1">IF(#REF!&gt;12,OFFSET(#REF!,-12,0),0)+OFFSET(#REF!,-1,0)-#REF!</f>
        <v>#REF!</v>
      </c>
      <c r="BI101" s="347" t="e">
        <f t="array" aca="1" ref="BI101" ca="1">IF(#REF!&gt;12,OFFSET(#REF!,-12,0),0)+OFFSET(#REF!,-1,0)-#REF!</f>
        <v>#REF!</v>
      </c>
      <c r="BJ101" s="347" t="e">
        <f t="array" aca="1" ref="BJ101" ca="1">IF(#REF!&gt;12,OFFSET(#REF!,-12,0),0)+OFFSET(#REF!,-1,0)-#REF!</f>
        <v>#REF!</v>
      </c>
      <c r="BK101" s="347" t="e">
        <f t="array" aca="1" ref="BK101" ca="1">IF(#REF!&gt;12,OFFSET(#REF!,-12,0),0)+OFFSET(#REF!,-1,0)-#REF!</f>
        <v>#REF!</v>
      </c>
      <c r="BL101" s="351" t="e">
        <f t="array" aca="1" ref="BL101" ca="1">IF(#REF!&gt;12,OFFSET(#REF!,-12,0),0)+OFFSET(#REF!,-1,0)-#REF!</f>
        <v>#REF!</v>
      </c>
      <c r="BM101" s="351" t="e">
        <f t="array" aca="1" ref="BM101" ca="1">IF(#REF!&gt;12,OFFSET(#REF!,-12,0),0)+OFFSET(#REF!,-1,0)-#REF!</f>
        <v>#REF!</v>
      </c>
      <c r="BN101" s="351" t="e">
        <f t="array" aca="1" ref="BN101" ca="1">IF(#REF!&gt;12,OFFSET(#REF!,-12,0),0)+OFFSET(#REF!,-1,0)-#REF!</f>
        <v>#REF!</v>
      </c>
      <c r="BO101" s="175" t="e">
        <f t="array" aca="1" ref="BO101" ca="1">IF(#REF!&gt;12,OFFSET(#REF!,-12,0),0)+OFFSET(#REF!,-1,0)-#REF!</f>
        <v>#REF!</v>
      </c>
      <c r="BP101" s="175" t="e">
        <f t="array" aca="1" ref="BP101" ca="1">IF(#REF!&gt;12,OFFSET(#REF!,-12,0),0)+OFFSET(#REF!,-1,0)-#REF!</f>
        <v>#REF!</v>
      </c>
      <c r="BQ101" s="176" t="e">
        <f t="array" aca="1" ref="BQ101" ca="1">IF(#REF!&gt;12,OFFSET(#REF!,-12,0),0)+OFFSET(#REF!,-1,0)-#REF!</f>
        <v>#REF!</v>
      </c>
      <c r="BR101" s="134"/>
      <c r="BS101" s="133"/>
      <c r="BT101" s="39" t="e">
        <f>#REF!</f>
        <v>#REF!</v>
      </c>
      <c r="BU101" s="147" t="e">
        <f>#REF!</f>
        <v>#REF!</v>
      </c>
      <c r="BV101" s="134"/>
      <c r="BW101" s="164"/>
      <c r="BX101" s="164"/>
      <c r="BY101" s="164"/>
      <c r="BZ101" s="164"/>
      <c r="CA101" s="164"/>
      <c r="CB101" s="164"/>
      <c r="CC101" s="164"/>
      <c r="CD101" s="164"/>
      <c r="CE101" s="164"/>
      <c r="CF101" s="164"/>
      <c r="CG101" s="164"/>
      <c r="CH101" s="164"/>
      <c r="CI101" s="164"/>
      <c r="CJ101" s="164"/>
      <c r="CK101" s="164"/>
      <c r="CL101" s="164"/>
      <c r="CM101" s="164"/>
      <c r="CN101" s="164"/>
      <c r="CO101" s="164"/>
      <c r="CP101" s="134"/>
      <c r="CQ101" s="165" t="e">
        <f ca="1">-SUM(#REF!)+SUM(#REF!)+Rezone!L101+IF("Ch_"&amp; home_land=#REF!,#REF!)+IF(#REF!&gt;12,OFFSET(#REF!,-12,0),0)</f>
        <v>#REF!</v>
      </c>
      <c r="CR101" s="166" t="e">
        <f ca="1">-SUM(#REF!)+SUM(#REF!) +Rezone!M101 + IF("Ch_"&amp; home_land=#REF!,#REF!)+IF(#REF!&gt;12,OFFSET(#REF!,-12,0),0)</f>
        <v>#REF!</v>
      </c>
      <c r="CS101" s="341" t="e">
        <f ca="1">-SUM(#REF!)+SUM(#REF!) +Rezone!N101 + IF("Ch_"&amp; home_land=#REF!,#REF!)+IF(#REF!&gt;12,OFFSET(#REF!,-12,0),0)</f>
        <v>#REF!</v>
      </c>
      <c r="CT101" s="167" t="e">
        <f ca="1">-SUM(#REF!)+SUM(#REF!) +Rezone!O101 + IF("Ch_" &amp; home_land=#REF!,#REF!)+IF(#REF!&gt;12,OFFSET(#REF!,-12,0),0)</f>
        <v>#REF!</v>
      </c>
      <c r="CU101" s="168" t="e">
        <f ca="1">-SUM(#REF!)+SUM(#REF!) +Rezone!P101 + IF("Ch_" &amp; home_land=#REF!,#REF!)+IF(#REF!&gt;12,OFFSET(#REF!,-12,0),0)</f>
        <v>#REF!</v>
      </c>
      <c r="CV101" s="169" t="e">
        <f ca="1">- SUM(#REF!)+SUM(#REF!) +Rezone!Q101 + IF("Ch_" &amp; home_land=#REF!,#REF!)+IF(#REF!&gt;12,OFFSET(#REF!,-12,0),0)</f>
        <v>#REF!</v>
      </c>
      <c r="CW101" s="170" t="e">
        <f ca="1">-#REF!+#REF! +Rezone!R101 + IF("Ch_" &amp; home_land=#REF!,#REF!)+IF(#REF!&gt;12,OFFSET(#REF!,-12,0),0)</f>
        <v>#REF!</v>
      </c>
      <c r="CX101" s="3" t="e">
        <f>IF(Explore!S101=1,20) -#REF! +#REF!</f>
        <v>#REF!</v>
      </c>
      <c r="CY101" s="134"/>
      <c r="CZ101" s="39" t="e">
        <f t="shared" ca="1" si="23"/>
        <v>#REF!</v>
      </c>
      <c r="DA101" s="39" t="e">
        <f t="shared" ca="1" si="24"/>
        <v>#REF!</v>
      </c>
      <c r="DB101" s="3" t="e">
        <f t="shared" ca="1" si="25"/>
        <v>#REF!</v>
      </c>
      <c r="DC101" s="39" t="e">
        <f t="shared" ca="1" si="26"/>
        <v>#REF!</v>
      </c>
      <c r="DD101" s="39" t="e">
        <f t="shared" ca="1" si="27"/>
        <v>#REF!</v>
      </c>
      <c r="DE101" s="3" t="e">
        <f t="shared" ca="1" si="28"/>
        <v>#REF!</v>
      </c>
      <c r="DF101" s="39" t="e">
        <f t="shared" ca="1" si="29"/>
        <v>#REF!</v>
      </c>
      <c r="DG101" s="39" t="e">
        <f t="array" ref="DG101">INDEX(#REF!,ROW()-ROW(#REF!),MATCH("Total "&amp;home_land,#REF!,0))+#REF!</f>
        <v>#REF!</v>
      </c>
      <c r="DH101" s="3" t="e">
        <f t="shared" ca="1" si="22"/>
        <v>#REF!</v>
      </c>
      <c r="DI101" s="3" t="e">
        <f t="shared" ca="1" si="19"/>
        <v>#REF!</v>
      </c>
      <c r="DJ101" s="3" t="e">
        <f t="shared" ca="1" si="20"/>
        <v>#REF!</v>
      </c>
    </row>
    <row r="102" spans="1:114" x14ac:dyDescent="0.25">
      <c r="A102" s="160" t="e">
        <f>#REF!</f>
        <v>#REF!</v>
      </c>
      <c r="B102" s="161" t="e">
        <f>SUM(#REF!)</f>
        <v>#REF!</v>
      </c>
      <c r="C102" s="162" t="e">
        <f>SUM(#REF!)</f>
        <v>#REF!</v>
      </c>
      <c r="D102" s="162">
        <f t="shared" si="21"/>
        <v>0</v>
      </c>
      <c r="E102" s="163"/>
      <c r="F102" s="61" t="e">
        <f>#REF!+#REF!+#REF!</f>
        <v>#REF!</v>
      </c>
      <c r="G102" s="171" t="e">
        <f ca="1">OFFSET(#REF!,-1,0)+#REF!</f>
        <v>#REF!</v>
      </c>
      <c r="H102" s="166" t="e">
        <f ca="1">OFFSET(#REF!,-1,0)+#REF!</f>
        <v>#REF!</v>
      </c>
      <c r="I102" s="341" t="e">
        <f ca="1">OFFSET(#REF!,-1,0)+#REF!</f>
        <v>#REF!</v>
      </c>
      <c r="J102" s="345" t="e">
        <f ca="1">OFFSET(#REF!,-1,0)+#REF!</f>
        <v>#REF!</v>
      </c>
      <c r="K102" s="349" t="e">
        <f ca="1">OFFSET(#REF!,-1,0)+#REF!</f>
        <v>#REF!</v>
      </c>
      <c r="L102" s="169" t="e">
        <f ca="1">OFFSET(#REF!,-1,0)+#REF!</f>
        <v>#REF!</v>
      </c>
      <c r="M102" s="170" t="e">
        <f ca="1">OFFSET(#REF!,-1,0)+#REF!</f>
        <v>#REF!</v>
      </c>
      <c r="N102" s="339" t="e">
        <f>#REF!</f>
        <v>#REF!</v>
      </c>
      <c r="O102" s="164"/>
      <c r="P102" s="164"/>
      <c r="Q102" s="164"/>
      <c r="R102" s="164"/>
      <c r="S102" s="164"/>
      <c r="T102" s="164"/>
      <c r="U102" s="164"/>
      <c r="V102" s="164"/>
      <c r="W102" s="164"/>
      <c r="X102" s="164"/>
      <c r="Y102" s="164"/>
      <c r="Z102" s="164"/>
      <c r="AA102" s="164"/>
      <c r="AB102" s="164"/>
      <c r="AC102" s="164"/>
      <c r="AD102" s="164"/>
      <c r="AE102" s="164"/>
      <c r="AF102" s="164"/>
      <c r="AG102" s="164"/>
      <c r="AH102" s="53" t="e">
        <f>#REF!</f>
        <v>#REF!</v>
      </c>
      <c r="AI102" s="132" t="e">
        <f>MIN(25%,(#REF!+#REF!)/(#REF!-#REF!*20))</f>
        <v>#REF!</v>
      </c>
      <c r="AJ102" s="132" t="e">
        <f>MIN(25%,(#REF!+#REF!)/#REF!)</f>
        <v>#REF!</v>
      </c>
      <c r="AK102" s="39" t="e">
        <f>#REF!</f>
        <v>#REF!</v>
      </c>
      <c r="AL102" s="39" t="e">
        <f>#REF!</f>
        <v>#REF!</v>
      </c>
      <c r="AM102" s="39" t="e">
        <f>ROUNDDOWN( MAX((1 - MIN(facs_constr_factor*#REF!,facs_constr_max) + tech_2_3*#REF! + tech_2_6_2*#REF! + tech_2_10*#REF! + tech_4_6*#REF! + tech_6_3*#REF! + tech_9_2*#REF! + race_construction_cost), 1-global_constr_cap) *#REF!,0)</f>
        <v>#REF!</v>
      </c>
      <c r="AN102" s="39" t="e">
        <f>ROUNDDOWN( MAX(1 - MIN(facs_constr_factor*#REF!,facs_constr_max) + tech_1_11*#REF! + tech_6_3_2*#REF! + tech_5_2_3*#REF!, 1-global_constr_cap) *#REF!,0)</f>
        <v>#REF!</v>
      </c>
      <c r="AO102" s="39" t="e">
        <f>ROUNDDOWN( MAX((1 - MIN(facs_constr_factor*#REF!,facs_constr_max) + tech_2_3*#REF! + tech_2_6_2*#REF! + tech_2_10*#REF! + tech_4_6*#REF! + tech_6_3*#REF! + tech_9_2*#REF! + race_construction_cost), 1-global_constr_cap) * (ROUND((#REF!-250)*1.25 + 850 + 0,0)),0)</f>
        <v>#REF!</v>
      </c>
      <c r="AP102" s="39" t="e">
        <f>ROUNDDOWN( MAX(1 - MIN(facs_constr_factor*#REF!,facs_constr_max) + tech_1_11*#REF! + tech_6_3_2*#REF! + tech_5_2_3*#REF!, 1-global_constr_cap) * ROUND((#REF!-250)*0.285 + 87.5 + 0/4.25,0),0)</f>
        <v>#REF!</v>
      </c>
      <c r="AQ102" s="3" t="e">
        <f>#REF!*#REF! +#REF! *#REF!</f>
        <v>#REF!</v>
      </c>
      <c r="AR102" s="3" t="e">
        <f>#REF!*#REF!+#REF!*#REF!</f>
        <v>#REF!</v>
      </c>
      <c r="AS102" s="39" t="e">
        <f ca="1">MIN(SUM(OFFSET(#REF!,-1,0))+SUM(#REF!)+IF(#REF!&gt;12,SUM(OFFSET(#REF!,-12,0)),0),SUM(#REF!))</f>
        <v>#REF!</v>
      </c>
      <c r="AT102" s="3" t="e">
        <f ca="1">IF(#REF!&lt;&gt;0,MAX(0, MIN(20, 20 + SUM(#REF!) - SUM(#REF!) - SUM(OFFSET(#REF!,-1,0)) - IF(#REF!&gt;12,SUM(OFFSET(#REF!,-12,0)),0) - 20*#REF!)),0)</f>
        <v>#REF!</v>
      </c>
      <c r="AU102" s="134"/>
      <c r="AV102" s="39" t="e">
        <f>ROUND((#REF!-250 - IF(#REF!&lt;&gt;0,20,0))*1.25 + 850 + 0,0)</f>
        <v>#REF!</v>
      </c>
      <c r="AW102" s="39" t="e">
        <f>ROUND((#REF!-250 - IF(#REF!&lt;&gt;0,20,0))*0.285 + 87.5 + 0/4.25,0)</f>
        <v>#REF!</v>
      </c>
      <c r="AX102" s="133"/>
      <c r="AY102" s="172" t="e">
        <f t="array" aca="1" ref="AY102" ca="1">IF(#REF!&gt;12,OFFSET(#REF!,-12,0),0)+OFFSET(#REF!,-1,0)-#REF!</f>
        <v>#REF!</v>
      </c>
      <c r="AZ102" s="173" t="e">
        <f t="array" aca="1" ref="AZ102" ca="1">IF(#REF!&gt;12,OFFSET(#REF!,-12,0),0)+OFFSET(#REF!,-1,0)-#REF!</f>
        <v>#REF!</v>
      </c>
      <c r="BA102" s="173" t="e">
        <f t="array" aca="1" ref="BA102" ca="1">IF(#REF!&gt;12,OFFSET(#REF!,-12,0),0)+OFFSET(#REF!,-1,0)-#REF!</f>
        <v>#REF!</v>
      </c>
      <c r="BB102" s="173" t="e">
        <f t="array" aca="1" ref="BB102" ca="1">IF(#REF!&gt;12,OFFSET(#REF!,-12,0),0)+OFFSET(#REF!,-1,0)-#REF!</f>
        <v>#REF!</v>
      </c>
      <c r="BC102" s="173" t="e">
        <f t="array" aca="1" ref="BC102" ca="1">IF(#REF!&gt;12,OFFSET(#REF!,-12,0),0)+OFFSET(#REF!,-1,0)-#REF!</f>
        <v>#REF!</v>
      </c>
      <c r="BD102" s="174" t="e">
        <f t="array" aca="1" ref="BD102" ca="1">IF(#REF!&gt;12,OFFSET(#REF!,-12,0),0)+OFFSET(#REF!,-1,0)-#REF!</f>
        <v>#REF!</v>
      </c>
      <c r="BE102" s="174" t="e">
        <f t="array" aca="1" ref="BE102" ca="1">IF(#REF!&gt;12,OFFSET(#REF!,-12,0),0)+OFFSET(#REF!,-1,0)-#REF!</f>
        <v>#REF!</v>
      </c>
      <c r="BF102" s="343" t="e">
        <f t="array" aca="1" ref="BF102" ca="1">IF(#REF!&gt;12,OFFSET(#REF!,-12,0),0)+OFFSET(#REF!,-1,0)-#REF!</f>
        <v>#REF!</v>
      </c>
      <c r="BG102" s="343" t="e">
        <f t="array" aca="1" ref="BG102" ca="1">IF(#REF!&gt;12,OFFSET(#REF!,-12,0),0)+OFFSET(#REF!,-1,0)-#REF!</f>
        <v>#REF!</v>
      </c>
      <c r="BH102" s="347" t="e">
        <f t="array" aca="1" ref="BH102" ca="1">IF(#REF!&gt;12,OFFSET(#REF!,-12,0),0)+OFFSET(#REF!,-1,0)-#REF!</f>
        <v>#REF!</v>
      </c>
      <c r="BI102" s="347" t="e">
        <f t="array" aca="1" ref="BI102" ca="1">IF(#REF!&gt;12,OFFSET(#REF!,-12,0),0)+OFFSET(#REF!,-1,0)-#REF!</f>
        <v>#REF!</v>
      </c>
      <c r="BJ102" s="347" t="e">
        <f t="array" aca="1" ref="BJ102" ca="1">IF(#REF!&gt;12,OFFSET(#REF!,-12,0),0)+OFFSET(#REF!,-1,0)-#REF!</f>
        <v>#REF!</v>
      </c>
      <c r="BK102" s="347" t="e">
        <f t="array" aca="1" ref="BK102" ca="1">IF(#REF!&gt;12,OFFSET(#REF!,-12,0),0)+OFFSET(#REF!,-1,0)-#REF!</f>
        <v>#REF!</v>
      </c>
      <c r="BL102" s="351" t="e">
        <f t="array" aca="1" ref="BL102" ca="1">IF(#REF!&gt;12,OFFSET(#REF!,-12,0),0)+OFFSET(#REF!,-1,0)-#REF!</f>
        <v>#REF!</v>
      </c>
      <c r="BM102" s="351" t="e">
        <f t="array" aca="1" ref="BM102" ca="1">IF(#REF!&gt;12,OFFSET(#REF!,-12,0),0)+OFFSET(#REF!,-1,0)-#REF!</f>
        <v>#REF!</v>
      </c>
      <c r="BN102" s="351" t="e">
        <f t="array" aca="1" ref="BN102" ca="1">IF(#REF!&gt;12,OFFSET(#REF!,-12,0),0)+OFFSET(#REF!,-1,0)-#REF!</f>
        <v>#REF!</v>
      </c>
      <c r="BO102" s="175" t="e">
        <f t="array" aca="1" ref="BO102" ca="1">IF(#REF!&gt;12,OFFSET(#REF!,-12,0),0)+OFFSET(#REF!,-1,0)-#REF!</f>
        <v>#REF!</v>
      </c>
      <c r="BP102" s="175" t="e">
        <f t="array" aca="1" ref="BP102" ca="1">IF(#REF!&gt;12,OFFSET(#REF!,-12,0),0)+OFFSET(#REF!,-1,0)-#REF!</f>
        <v>#REF!</v>
      </c>
      <c r="BQ102" s="176" t="e">
        <f t="array" aca="1" ref="BQ102" ca="1">IF(#REF!&gt;12,OFFSET(#REF!,-12,0),0)+OFFSET(#REF!,-1,0)-#REF!</f>
        <v>#REF!</v>
      </c>
      <c r="BR102" s="134"/>
      <c r="BS102" s="133"/>
      <c r="BT102" s="39" t="e">
        <f>#REF!</f>
        <v>#REF!</v>
      </c>
      <c r="BU102" s="147" t="e">
        <f>#REF!</f>
        <v>#REF!</v>
      </c>
      <c r="BV102" s="134"/>
      <c r="BW102" s="164"/>
      <c r="BX102" s="164"/>
      <c r="BY102" s="164"/>
      <c r="BZ102" s="164"/>
      <c r="CA102" s="164"/>
      <c r="CB102" s="164"/>
      <c r="CC102" s="164"/>
      <c r="CD102" s="164"/>
      <c r="CE102" s="164"/>
      <c r="CF102" s="164"/>
      <c r="CG102" s="164"/>
      <c r="CH102" s="164"/>
      <c r="CI102" s="164"/>
      <c r="CJ102" s="164"/>
      <c r="CK102" s="164"/>
      <c r="CL102" s="164"/>
      <c r="CM102" s="164"/>
      <c r="CN102" s="164"/>
      <c r="CO102" s="164"/>
      <c r="CP102" s="134"/>
      <c r="CQ102" s="165" t="e">
        <f ca="1">-SUM(#REF!)+SUM(#REF!)+Rezone!L102+IF("Ch_"&amp; home_land=#REF!,#REF!)+IF(#REF!&gt;12,OFFSET(#REF!,-12,0),0)</f>
        <v>#REF!</v>
      </c>
      <c r="CR102" s="166" t="e">
        <f ca="1">-SUM(#REF!)+SUM(#REF!) +Rezone!M102 + IF("Ch_"&amp; home_land=#REF!,#REF!)+IF(#REF!&gt;12,OFFSET(#REF!,-12,0),0)</f>
        <v>#REF!</v>
      </c>
      <c r="CS102" s="341" t="e">
        <f ca="1">-SUM(#REF!)+SUM(#REF!) +Rezone!N102 + IF("Ch_"&amp; home_land=#REF!,#REF!)+IF(#REF!&gt;12,OFFSET(#REF!,-12,0),0)</f>
        <v>#REF!</v>
      </c>
      <c r="CT102" s="167" t="e">
        <f ca="1">-SUM(#REF!)+SUM(#REF!) +Rezone!O102 + IF("Ch_" &amp; home_land=#REF!,#REF!)+IF(#REF!&gt;12,OFFSET(#REF!,-12,0),0)</f>
        <v>#REF!</v>
      </c>
      <c r="CU102" s="168" t="e">
        <f ca="1">-SUM(#REF!)+SUM(#REF!) +Rezone!P102 + IF("Ch_" &amp; home_land=#REF!,#REF!)+IF(#REF!&gt;12,OFFSET(#REF!,-12,0),0)</f>
        <v>#REF!</v>
      </c>
      <c r="CV102" s="169" t="e">
        <f ca="1">- SUM(#REF!)+SUM(#REF!) +Rezone!Q102 + IF("Ch_" &amp; home_land=#REF!,#REF!)+IF(#REF!&gt;12,OFFSET(#REF!,-12,0),0)</f>
        <v>#REF!</v>
      </c>
      <c r="CW102" s="170" t="e">
        <f ca="1">-#REF!+#REF! +Rezone!R102 + IF("Ch_" &amp; home_land=#REF!,#REF!)+IF(#REF!&gt;12,OFFSET(#REF!,-12,0),0)</f>
        <v>#REF!</v>
      </c>
      <c r="CX102" s="3" t="e">
        <f>IF(Explore!S102=1,20) -#REF! +#REF!</f>
        <v>#REF!</v>
      </c>
      <c r="CY102" s="134"/>
      <c r="CZ102" s="39" t="e">
        <f t="shared" ca="1" si="23"/>
        <v>#REF!</v>
      </c>
      <c r="DA102" s="39" t="e">
        <f t="shared" ca="1" si="24"/>
        <v>#REF!</v>
      </c>
      <c r="DB102" s="3" t="e">
        <f t="shared" ca="1" si="25"/>
        <v>#REF!</v>
      </c>
      <c r="DC102" s="39" t="e">
        <f t="shared" ca="1" si="26"/>
        <v>#REF!</v>
      </c>
      <c r="DD102" s="39" t="e">
        <f t="shared" ca="1" si="27"/>
        <v>#REF!</v>
      </c>
      <c r="DE102" s="3" t="e">
        <f t="shared" ca="1" si="28"/>
        <v>#REF!</v>
      </c>
      <c r="DF102" s="39" t="e">
        <f t="shared" ca="1" si="29"/>
        <v>#REF!</v>
      </c>
      <c r="DG102" s="39" t="e">
        <f t="array" ref="DG102">INDEX(#REF!,ROW()-ROW(#REF!),MATCH("Total "&amp;home_land,#REF!,0))+#REF!</f>
        <v>#REF!</v>
      </c>
      <c r="DH102" s="3" t="e">
        <f t="shared" ca="1" si="22"/>
        <v>#REF!</v>
      </c>
      <c r="DI102" s="3" t="e">
        <f t="shared" ca="1" si="19"/>
        <v>#REF!</v>
      </c>
      <c r="DJ102" s="3" t="e">
        <f t="shared" ca="1" si="20"/>
        <v>#REF!</v>
      </c>
    </row>
    <row r="103" spans="1:114" x14ac:dyDescent="0.25">
      <c r="A103" s="160" t="e">
        <f>#REF!</f>
        <v>#REF!</v>
      </c>
      <c r="B103" s="161" t="e">
        <f>SUM(#REF!)</f>
        <v>#REF!</v>
      </c>
      <c r="C103" s="162" t="e">
        <f>SUM(#REF!)</f>
        <v>#REF!</v>
      </c>
      <c r="D103" s="162">
        <f t="shared" si="21"/>
        <v>0</v>
      </c>
      <c r="E103" s="163"/>
      <c r="F103" s="61" t="e">
        <f>#REF!+#REF!+#REF!</f>
        <v>#REF!</v>
      </c>
      <c r="G103" s="171" t="e">
        <f ca="1">OFFSET(#REF!,-1,0)+#REF!</f>
        <v>#REF!</v>
      </c>
      <c r="H103" s="166" t="e">
        <f ca="1">OFFSET(#REF!,-1,0)+#REF!</f>
        <v>#REF!</v>
      </c>
      <c r="I103" s="341" t="e">
        <f ca="1">OFFSET(#REF!,-1,0)+#REF!</f>
        <v>#REF!</v>
      </c>
      <c r="J103" s="345" t="e">
        <f ca="1">OFFSET(#REF!,-1,0)+#REF!</f>
        <v>#REF!</v>
      </c>
      <c r="K103" s="349" t="e">
        <f ca="1">OFFSET(#REF!,-1,0)+#REF!</f>
        <v>#REF!</v>
      </c>
      <c r="L103" s="169" t="e">
        <f ca="1">OFFSET(#REF!,-1,0)+#REF!</f>
        <v>#REF!</v>
      </c>
      <c r="M103" s="170" t="e">
        <f ca="1">OFFSET(#REF!,-1,0)+#REF!</f>
        <v>#REF!</v>
      </c>
      <c r="N103" s="339" t="e">
        <f>#REF!</f>
        <v>#REF!</v>
      </c>
      <c r="O103" s="164"/>
      <c r="P103" s="164"/>
      <c r="Q103" s="164"/>
      <c r="R103" s="164"/>
      <c r="S103" s="164"/>
      <c r="T103" s="164"/>
      <c r="U103" s="164"/>
      <c r="V103" s="164"/>
      <c r="W103" s="164"/>
      <c r="X103" s="164"/>
      <c r="Y103" s="164"/>
      <c r="Z103" s="164"/>
      <c r="AA103" s="164"/>
      <c r="AB103" s="164"/>
      <c r="AC103" s="164"/>
      <c r="AD103" s="164"/>
      <c r="AE103" s="164"/>
      <c r="AF103" s="164"/>
      <c r="AG103" s="164"/>
      <c r="AH103" s="53" t="e">
        <f>#REF!</f>
        <v>#REF!</v>
      </c>
      <c r="AI103" s="132" t="e">
        <f>MIN(25%,(#REF!+#REF!)/(#REF!-#REF!*20))</f>
        <v>#REF!</v>
      </c>
      <c r="AJ103" s="132" t="e">
        <f>MIN(25%,(#REF!+#REF!)/#REF!)</f>
        <v>#REF!</v>
      </c>
      <c r="AK103" s="39" t="e">
        <f>#REF!</f>
        <v>#REF!</v>
      </c>
      <c r="AL103" s="39" t="e">
        <f>#REF!</f>
        <v>#REF!</v>
      </c>
      <c r="AM103" s="39" t="e">
        <f>ROUNDDOWN( MAX((1 - MIN(facs_constr_factor*#REF!,facs_constr_max) + tech_2_3*#REF! + tech_2_6_2*#REF! + tech_2_10*#REF! + tech_4_6*#REF! + tech_6_3*#REF! + tech_9_2*#REF! + race_construction_cost), 1-global_constr_cap) *#REF!,0)</f>
        <v>#REF!</v>
      </c>
      <c r="AN103" s="39" t="e">
        <f>ROUNDDOWN( MAX(1 - MIN(facs_constr_factor*#REF!,facs_constr_max) + tech_1_11*#REF! + tech_6_3_2*#REF! + tech_5_2_3*#REF!, 1-global_constr_cap) *#REF!,0)</f>
        <v>#REF!</v>
      </c>
      <c r="AO103" s="39" t="e">
        <f>ROUNDDOWN( MAX((1 - MIN(facs_constr_factor*#REF!,facs_constr_max) + tech_2_3*#REF! + tech_2_6_2*#REF! + tech_2_10*#REF! + tech_4_6*#REF! + tech_6_3*#REF! + tech_9_2*#REF! + race_construction_cost), 1-global_constr_cap) * (ROUND((#REF!-250)*1.25 + 850 + 0,0)),0)</f>
        <v>#REF!</v>
      </c>
      <c r="AP103" s="39" t="e">
        <f>ROUNDDOWN( MAX(1 - MIN(facs_constr_factor*#REF!,facs_constr_max) + tech_1_11*#REF! + tech_6_3_2*#REF! + tech_5_2_3*#REF!, 1-global_constr_cap) * ROUND((#REF!-250)*0.285 + 87.5 + 0/4.25,0),0)</f>
        <v>#REF!</v>
      </c>
      <c r="AQ103" s="3" t="e">
        <f>#REF!*#REF! +#REF! *#REF!</f>
        <v>#REF!</v>
      </c>
      <c r="AR103" s="3" t="e">
        <f>#REF!*#REF!+#REF!*#REF!</f>
        <v>#REF!</v>
      </c>
      <c r="AS103" s="39" t="e">
        <f ca="1">MIN(SUM(OFFSET(#REF!,-1,0))+SUM(#REF!)+IF(#REF!&gt;12,SUM(OFFSET(#REF!,-12,0)),0),SUM(#REF!))</f>
        <v>#REF!</v>
      </c>
      <c r="AT103" s="3" t="e">
        <f ca="1">IF(#REF!&lt;&gt;0,MAX(0, MIN(20, 20 + SUM(#REF!) - SUM(#REF!) - SUM(OFFSET(#REF!,-1,0)) - IF(#REF!&gt;12,SUM(OFFSET(#REF!,-12,0)),0) - 20*#REF!)),0)</f>
        <v>#REF!</v>
      </c>
      <c r="AU103" s="134"/>
      <c r="AV103" s="39" t="e">
        <f>ROUND((#REF!-250 - IF(#REF!&lt;&gt;0,20,0))*1.25 + 850 + 0,0)</f>
        <v>#REF!</v>
      </c>
      <c r="AW103" s="39" t="e">
        <f>ROUND((#REF!-250 - IF(#REF!&lt;&gt;0,20,0))*0.285 + 87.5 + 0/4.25,0)</f>
        <v>#REF!</v>
      </c>
      <c r="AX103" s="133"/>
      <c r="AY103" s="172" t="e">
        <f t="array" aca="1" ref="AY103" ca="1">IF(#REF!&gt;12,OFFSET(#REF!,-12,0),0)+OFFSET(#REF!,-1,0)-#REF!</f>
        <v>#REF!</v>
      </c>
      <c r="AZ103" s="173" t="e">
        <f t="array" aca="1" ref="AZ103" ca="1">IF(#REF!&gt;12,OFFSET(#REF!,-12,0),0)+OFFSET(#REF!,-1,0)-#REF!</f>
        <v>#REF!</v>
      </c>
      <c r="BA103" s="173" t="e">
        <f t="array" aca="1" ref="BA103" ca="1">IF(#REF!&gt;12,OFFSET(#REF!,-12,0),0)+OFFSET(#REF!,-1,0)-#REF!</f>
        <v>#REF!</v>
      </c>
      <c r="BB103" s="173" t="e">
        <f t="array" aca="1" ref="BB103" ca="1">IF(#REF!&gt;12,OFFSET(#REF!,-12,0),0)+OFFSET(#REF!,-1,0)-#REF!</f>
        <v>#REF!</v>
      </c>
      <c r="BC103" s="173" t="e">
        <f t="array" aca="1" ref="BC103" ca="1">IF(#REF!&gt;12,OFFSET(#REF!,-12,0),0)+OFFSET(#REF!,-1,0)-#REF!</f>
        <v>#REF!</v>
      </c>
      <c r="BD103" s="174" t="e">
        <f t="array" aca="1" ref="BD103" ca="1">IF(#REF!&gt;12,OFFSET(#REF!,-12,0),0)+OFFSET(#REF!,-1,0)-#REF!</f>
        <v>#REF!</v>
      </c>
      <c r="BE103" s="174" t="e">
        <f t="array" aca="1" ref="BE103" ca="1">IF(#REF!&gt;12,OFFSET(#REF!,-12,0),0)+OFFSET(#REF!,-1,0)-#REF!</f>
        <v>#REF!</v>
      </c>
      <c r="BF103" s="343" t="e">
        <f t="array" aca="1" ref="BF103" ca="1">IF(#REF!&gt;12,OFFSET(#REF!,-12,0),0)+OFFSET(#REF!,-1,0)-#REF!</f>
        <v>#REF!</v>
      </c>
      <c r="BG103" s="343" t="e">
        <f t="array" aca="1" ref="BG103" ca="1">IF(#REF!&gt;12,OFFSET(#REF!,-12,0),0)+OFFSET(#REF!,-1,0)-#REF!</f>
        <v>#REF!</v>
      </c>
      <c r="BH103" s="347" t="e">
        <f t="array" aca="1" ref="BH103" ca="1">IF(#REF!&gt;12,OFFSET(#REF!,-12,0),0)+OFFSET(#REF!,-1,0)-#REF!</f>
        <v>#REF!</v>
      </c>
      <c r="BI103" s="347" t="e">
        <f t="array" aca="1" ref="BI103" ca="1">IF(#REF!&gt;12,OFFSET(#REF!,-12,0),0)+OFFSET(#REF!,-1,0)-#REF!</f>
        <v>#REF!</v>
      </c>
      <c r="BJ103" s="347" t="e">
        <f t="array" aca="1" ref="BJ103" ca="1">IF(#REF!&gt;12,OFFSET(#REF!,-12,0),0)+OFFSET(#REF!,-1,0)-#REF!</f>
        <v>#REF!</v>
      </c>
      <c r="BK103" s="347" t="e">
        <f t="array" aca="1" ref="BK103" ca="1">IF(#REF!&gt;12,OFFSET(#REF!,-12,0),0)+OFFSET(#REF!,-1,0)-#REF!</f>
        <v>#REF!</v>
      </c>
      <c r="BL103" s="351" t="e">
        <f t="array" aca="1" ref="BL103" ca="1">IF(#REF!&gt;12,OFFSET(#REF!,-12,0),0)+OFFSET(#REF!,-1,0)-#REF!</f>
        <v>#REF!</v>
      </c>
      <c r="BM103" s="351" t="e">
        <f t="array" aca="1" ref="BM103" ca="1">IF(#REF!&gt;12,OFFSET(#REF!,-12,0),0)+OFFSET(#REF!,-1,0)-#REF!</f>
        <v>#REF!</v>
      </c>
      <c r="BN103" s="351" t="e">
        <f t="array" aca="1" ref="BN103" ca="1">IF(#REF!&gt;12,OFFSET(#REF!,-12,0),0)+OFFSET(#REF!,-1,0)-#REF!</f>
        <v>#REF!</v>
      </c>
      <c r="BO103" s="175" t="e">
        <f t="array" aca="1" ref="BO103" ca="1">IF(#REF!&gt;12,OFFSET(#REF!,-12,0),0)+OFFSET(#REF!,-1,0)-#REF!</f>
        <v>#REF!</v>
      </c>
      <c r="BP103" s="175" t="e">
        <f t="array" aca="1" ref="BP103" ca="1">IF(#REF!&gt;12,OFFSET(#REF!,-12,0),0)+OFFSET(#REF!,-1,0)-#REF!</f>
        <v>#REF!</v>
      </c>
      <c r="BQ103" s="176" t="e">
        <f t="array" aca="1" ref="BQ103" ca="1">IF(#REF!&gt;12,OFFSET(#REF!,-12,0),0)+OFFSET(#REF!,-1,0)-#REF!</f>
        <v>#REF!</v>
      </c>
      <c r="BR103" s="134"/>
      <c r="BS103" s="133"/>
      <c r="BT103" s="39" t="e">
        <f>#REF!</f>
        <v>#REF!</v>
      </c>
      <c r="BU103" s="147" t="e">
        <f>#REF!</f>
        <v>#REF!</v>
      </c>
      <c r="BV103" s="134"/>
      <c r="BW103" s="164"/>
      <c r="BX103" s="164"/>
      <c r="BY103" s="164"/>
      <c r="BZ103" s="164"/>
      <c r="CA103" s="164"/>
      <c r="CB103" s="164"/>
      <c r="CC103" s="164"/>
      <c r="CD103" s="164"/>
      <c r="CE103" s="164"/>
      <c r="CF103" s="164"/>
      <c r="CG103" s="164"/>
      <c r="CH103" s="164"/>
      <c r="CI103" s="164"/>
      <c r="CJ103" s="164"/>
      <c r="CK103" s="164"/>
      <c r="CL103" s="164"/>
      <c r="CM103" s="164"/>
      <c r="CN103" s="164"/>
      <c r="CO103" s="164"/>
      <c r="CP103" s="134"/>
      <c r="CQ103" s="165" t="e">
        <f ca="1">-SUM(#REF!)+SUM(#REF!)+Rezone!L103+IF("Ch_"&amp; home_land=#REF!,#REF!)+IF(#REF!&gt;12,OFFSET(#REF!,-12,0),0)</f>
        <v>#REF!</v>
      </c>
      <c r="CR103" s="166" t="e">
        <f ca="1">-SUM(#REF!)+SUM(#REF!) +Rezone!M103 + IF("Ch_"&amp; home_land=#REF!,#REF!)+IF(#REF!&gt;12,OFFSET(#REF!,-12,0),0)</f>
        <v>#REF!</v>
      </c>
      <c r="CS103" s="341" t="e">
        <f ca="1">-SUM(#REF!)+SUM(#REF!) +Rezone!N103 + IF("Ch_"&amp; home_land=#REF!,#REF!)+IF(#REF!&gt;12,OFFSET(#REF!,-12,0),0)</f>
        <v>#REF!</v>
      </c>
      <c r="CT103" s="167" t="e">
        <f ca="1">-SUM(#REF!)+SUM(#REF!) +Rezone!O103 + IF("Ch_" &amp; home_land=#REF!,#REF!)+IF(#REF!&gt;12,OFFSET(#REF!,-12,0),0)</f>
        <v>#REF!</v>
      </c>
      <c r="CU103" s="168" t="e">
        <f ca="1">-SUM(#REF!)+SUM(#REF!) +Rezone!P103 + IF("Ch_" &amp; home_land=#REF!,#REF!)+IF(#REF!&gt;12,OFFSET(#REF!,-12,0),0)</f>
        <v>#REF!</v>
      </c>
      <c r="CV103" s="169" t="e">
        <f ca="1">- SUM(#REF!)+SUM(#REF!) +Rezone!Q103 + IF("Ch_" &amp; home_land=#REF!,#REF!)+IF(#REF!&gt;12,OFFSET(#REF!,-12,0),0)</f>
        <v>#REF!</v>
      </c>
      <c r="CW103" s="170" t="e">
        <f ca="1">-#REF!+#REF! +Rezone!R103 + IF("Ch_" &amp; home_land=#REF!,#REF!)+IF(#REF!&gt;12,OFFSET(#REF!,-12,0),0)</f>
        <v>#REF!</v>
      </c>
      <c r="CX103" s="3" t="e">
        <f>IF(Explore!S103=1,20) -#REF! +#REF!</f>
        <v>#REF!</v>
      </c>
      <c r="CY103" s="134"/>
      <c r="CZ103" s="39" t="e">
        <f t="shared" ca="1" si="23"/>
        <v>#REF!</v>
      </c>
      <c r="DA103" s="39" t="e">
        <f t="shared" ca="1" si="24"/>
        <v>#REF!</v>
      </c>
      <c r="DB103" s="3" t="e">
        <f t="shared" ca="1" si="25"/>
        <v>#REF!</v>
      </c>
      <c r="DC103" s="39" t="e">
        <f t="shared" ca="1" si="26"/>
        <v>#REF!</v>
      </c>
      <c r="DD103" s="39" t="e">
        <f t="shared" ca="1" si="27"/>
        <v>#REF!</v>
      </c>
      <c r="DE103" s="3" t="e">
        <f t="shared" ca="1" si="28"/>
        <v>#REF!</v>
      </c>
      <c r="DF103" s="39" t="e">
        <f t="shared" ca="1" si="29"/>
        <v>#REF!</v>
      </c>
      <c r="DG103" s="39" t="e">
        <f t="array" ref="DG103">INDEX(#REF!,ROW()-ROW(#REF!),MATCH("Total "&amp;home_land,#REF!,0))+#REF!</f>
        <v>#REF!</v>
      </c>
      <c r="DH103" s="3" t="e">
        <f t="shared" ca="1" si="22"/>
        <v>#REF!</v>
      </c>
      <c r="DI103" s="3" t="e">
        <f t="shared" ca="1" si="19"/>
        <v>#REF!</v>
      </c>
      <c r="DJ103" s="3" t="e">
        <f t="shared" ca="1" si="20"/>
        <v>#REF!</v>
      </c>
    </row>
    <row r="104" spans="1:114" x14ac:dyDescent="0.25">
      <c r="A104" s="160" t="e">
        <f>#REF!</f>
        <v>#REF!</v>
      </c>
      <c r="B104" s="161" t="e">
        <f>SUM(#REF!)</f>
        <v>#REF!</v>
      </c>
      <c r="C104" s="162" t="e">
        <f>SUM(#REF!)</f>
        <v>#REF!</v>
      </c>
      <c r="D104" s="162">
        <f t="shared" si="21"/>
        <v>0</v>
      </c>
      <c r="E104" s="163"/>
      <c r="F104" s="61" t="e">
        <f>#REF!+#REF!+#REF!</f>
        <v>#REF!</v>
      </c>
      <c r="G104" s="171" t="e">
        <f ca="1">OFFSET(#REF!,-1,0)+#REF!</f>
        <v>#REF!</v>
      </c>
      <c r="H104" s="166" t="e">
        <f ca="1">OFFSET(#REF!,-1,0)+#REF!</f>
        <v>#REF!</v>
      </c>
      <c r="I104" s="341" t="e">
        <f ca="1">OFFSET(#REF!,-1,0)+#REF!</f>
        <v>#REF!</v>
      </c>
      <c r="J104" s="345" t="e">
        <f ca="1">OFFSET(#REF!,-1,0)+#REF!</f>
        <v>#REF!</v>
      </c>
      <c r="K104" s="349" t="e">
        <f ca="1">OFFSET(#REF!,-1,0)+#REF!</f>
        <v>#REF!</v>
      </c>
      <c r="L104" s="169" t="e">
        <f ca="1">OFFSET(#REF!,-1,0)+#REF!</f>
        <v>#REF!</v>
      </c>
      <c r="M104" s="170" t="e">
        <f ca="1">OFFSET(#REF!,-1,0)+#REF!</f>
        <v>#REF!</v>
      </c>
      <c r="N104" s="339" t="e">
        <f>#REF!</f>
        <v>#REF!</v>
      </c>
      <c r="O104" s="164"/>
      <c r="P104" s="164"/>
      <c r="Q104" s="164"/>
      <c r="R104" s="164"/>
      <c r="S104" s="164"/>
      <c r="T104" s="164"/>
      <c r="U104" s="164"/>
      <c r="V104" s="164"/>
      <c r="W104" s="164"/>
      <c r="X104" s="164"/>
      <c r="Y104" s="164"/>
      <c r="Z104" s="164"/>
      <c r="AA104" s="164"/>
      <c r="AB104" s="164"/>
      <c r="AC104" s="164"/>
      <c r="AD104" s="164"/>
      <c r="AE104" s="164"/>
      <c r="AF104" s="164"/>
      <c r="AG104" s="164"/>
      <c r="AH104" s="53" t="e">
        <f>#REF!</f>
        <v>#REF!</v>
      </c>
      <c r="AI104" s="132" t="e">
        <f>MIN(25%,(#REF!+#REF!)/(#REF!-#REF!*20))</f>
        <v>#REF!</v>
      </c>
      <c r="AJ104" s="132" t="e">
        <f>MIN(25%,(#REF!+#REF!)/#REF!)</f>
        <v>#REF!</v>
      </c>
      <c r="AK104" s="39" t="e">
        <f>#REF!</f>
        <v>#REF!</v>
      </c>
      <c r="AL104" s="39" t="e">
        <f>#REF!</f>
        <v>#REF!</v>
      </c>
      <c r="AM104" s="39" t="e">
        <f>ROUNDDOWN( MAX((1 - MIN(facs_constr_factor*#REF!,facs_constr_max) + tech_2_3*#REF! + tech_2_6_2*#REF! + tech_2_10*#REF! + tech_4_6*#REF! + tech_6_3*#REF! + tech_9_2*#REF! + race_construction_cost), 1-global_constr_cap) *#REF!,0)</f>
        <v>#REF!</v>
      </c>
      <c r="AN104" s="39" t="e">
        <f>ROUNDDOWN( MAX(1 - MIN(facs_constr_factor*#REF!,facs_constr_max) + tech_1_11*#REF! + tech_6_3_2*#REF! + tech_5_2_3*#REF!, 1-global_constr_cap) *#REF!,0)</f>
        <v>#REF!</v>
      </c>
      <c r="AO104" s="39" t="e">
        <f>ROUNDDOWN( MAX((1 - MIN(facs_constr_factor*#REF!,facs_constr_max) + tech_2_3*#REF! + tech_2_6_2*#REF! + tech_2_10*#REF! + tech_4_6*#REF! + tech_6_3*#REF! + tech_9_2*#REF! + race_construction_cost), 1-global_constr_cap) * (ROUND((#REF!-250)*1.25 + 850 + 0,0)),0)</f>
        <v>#REF!</v>
      </c>
      <c r="AP104" s="39" t="e">
        <f>ROUNDDOWN( MAX(1 - MIN(facs_constr_factor*#REF!,facs_constr_max) + tech_1_11*#REF! + tech_6_3_2*#REF! + tech_5_2_3*#REF!, 1-global_constr_cap) * ROUND((#REF!-250)*0.285 + 87.5 + 0/4.25,0),0)</f>
        <v>#REF!</v>
      </c>
      <c r="AQ104" s="3" t="e">
        <f>#REF!*#REF! +#REF! *#REF!</f>
        <v>#REF!</v>
      </c>
      <c r="AR104" s="3" t="e">
        <f>#REF!*#REF!+#REF!*#REF!</f>
        <v>#REF!</v>
      </c>
      <c r="AS104" s="39" t="e">
        <f ca="1">MIN(SUM(OFFSET(#REF!,-1,0))+SUM(#REF!)+IF(#REF!&gt;12,SUM(OFFSET(#REF!,-12,0)),0),SUM(#REF!))</f>
        <v>#REF!</v>
      </c>
      <c r="AT104" s="3" t="e">
        <f ca="1">IF(#REF!&lt;&gt;0,MAX(0, MIN(20, 20 + SUM(#REF!) - SUM(#REF!) - SUM(OFFSET(#REF!,-1,0)) - IF(#REF!&gt;12,SUM(OFFSET(#REF!,-12,0)),0) - 20*#REF!)),0)</f>
        <v>#REF!</v>
      </c>
      <c r="AU104" s="134"/>
      <c r="AV104" s="39" t="e">
        <f>ROUND((#REF!-250 - IF(#REF!&lt;&gt;0,20,0))*1.25 + 850 + 0,0)</f>
        <v>#REF!</v>
      </c>
      <c r="AW104" s="39" t="e">
        <f>ROUND((#REF!-250 - IF(#REF!&lt;&gt;0,20,0))*0.285 + 87.5 + 0/4.25,0)</f>
        <v>#REF!</v>
      </c>
      <c r="AX104" s="133"/>
      <c r="AY104" s="172" t="e">
        <f t="array" aca="1" ref="AY104" ca="1">IF(#REF!&gt;12,OFFSET(#REF!,-12,0),0)+OFFSET(#REF!,-1,0)-#REF!</f>
        <v>#REF!</v>
      </c>
      <c r="AZ104" s="173" t="e">
        <f t="array" aca="1" ref="AZ104" ca="1">IF(#REF!&gt;12,OFFSET(#REF!,-12,0),0)+OFFSET(#REF!,-1,0)-#REF!</f>
        <v>#REF!</v>
      </c>
      <c r="BA104" s="173" t="e">
        <f t="array" aca="1" ref="BA104" ca="1">IF(#REF!&gt;12,OFFSET(#REF!,-12,0),0)+OFFSET(#REF!,-1,0)-#REF!</f>
        <v>#REF!</v>
      </c>
      <c r="BB104" s="173" t="e">
        <f t="array" aca="1" ref="BB104" ca="1">IF(#REF!&gt;12,OFFSET(#REF!,-12,0),0)+OFFSET(#REF!,-1,0)-#REF!</f>
        <v>#REF!</v>
      </c>
      <c r="BC104" s="173" t="e">
        <f t="array" aca="1" ref="BC104" ca="1">IF(#REF!&gt;12,OFFSET(#REF!,-12,0),0)+OFFSET(#REF!,-1,0)-#REF!</f>
        <v>#REF!</v>
      </c>
      <c r="BD104" s="174" t="e">
        <f t="array" aca="1" ref="BD104" ca="1">IF(#REF!&gt;12,OFFSET(#REF!,-12,0),0)+OFFSET(#REF!,-1,0)-#REF!</f>
        <v>#REF!</v>
      </c>
      <c r="BE104" s="174" t="e">
        <f t="array" aca="1" ref="BE104" ca="1">IF(#REF!&gt;12,OFFSET(#REF!,-12,0),0)+OFFSET(#REF!,-1,0)-#REF!</f>
        <v>#REF!</v>
      </c>
      <c r="BF104" s="343" t="e">
        <f t="array" aca="1" ref="BF104" ca="1">IF(#REF!&gt;12,OFFSET(#REF!,-12,0),0)+OFFSET(#REF!,-1,0)-#REF!</f>
        <v>#REF!</v>
      </c>
      <c r="BG104" s="343" t="e">
        <f t="array" aca="1" ref="BG104" ca="1">IF(#REF!&gt;12,OFFSET(#REF!,-12,0),0)+OFFSET(#REF!,-1,0)-#REF!</f>
        <v>#REF!</v>
      </c>
      <c r="BH104" s="347" t="e">
        <f t="array" aca="1" ref="BH104" ca="1">IF(#REF!&gt;12,OFFSET(#REF!,-12,0),0)+OFFSET(#REF!,-1,0)-#REF!</f>
        <v>#REF!</v>
      </c>
      <c r="BI104" s="347" t="e">
        <f t="array" aca="1" ref="BI104" ca="1">IF(#REF!&gt;12,OFFSET(#REF!,-12,0),0)+OFFSET(#REF!,-1,0)-#REF!</f>
        <v>#REF!</v>
      </c>
      <c r="BJ104" s="347" t="e">
        <f t="array" aca="1" ref="BJ104" ca="1">IF(#REF!&gt;12,OFFSET(#REF!,-12,0),0)+OFFSET(#REF!,-1,0)-#REF!</f>
        <v>#REF!</v>
      </c>
      <c r="BK104" s="347" t="e">
        <f t="array" aca="1" ref="BK104" ca="1">IF(#REF!&gt;12,OFFSET(#REF!,-12,0),0)+OFFSET(#REF!,-1,0)-#REF!</f>
        <v>#REF!</v>
      </c>
      <c r="BL104" s="351" t="e">
        <f t="array" aca="1" ref="BL104" ca="1">IF(#REF!&gt;12,OFFSET(#REF!,-12,0),0)+OFFSET(#REF!,-1,0)-#REF!</f>
        <v>#REF!</v>
      </c>
      <c r="BM104" s="351" t="e">
        <f t="array" aca="1" ref="BM104" ca="1">IF(#REF!&gt;12,OFFSET(#REF!,-12,0),0)+OFFSET(#REF!,-1,0)-#REF!</f>
        <v>#REF!</v>
      </c>
      <c r="BN104" s="351" t="e">
        <f t="array" aca="1" ref="BN104" ca="1">IF(#REF!&gt;12,OFFSET(#REF!,-12,0),0)+OFFSET(#REF!,-1,0)-#REF!</f>
        <v>#REF!</v>
      </c>
      <c r="BO104" s="175" t="e">
        <f t="array" aca="1" ref="BO104" ca="1">IF(#REF!&gt;12,OFFSET(#REF!,-12,0),0)+OFFSET(#REF!,-1,0)-#REF!</f>
        <v>#REF!</v>
      </c>
      <c r="BP104" s="175" t="e">
        <f t="array" aca="1" ref="BP104" ca="1">IF(#REF!&gt;12,OFFSET(#REF!,-12,0),0)+OFFSET(#REF!,-1,0)-#REF!</f>
        <v>#REF!</v>
      </c>
      <c r="BQ104" s="176" t="e">
        <f t="array" aca="1" ref="BQ104" ca="1">IF(#REF!&gt;12,OFFSET(#REF!,-12,0),0)+OFFSET(#REF!,-1,0)-#REF!</f>
        <v>#REF!</v>
      </c>
      <c r="BR104" s="134"/>
      <c r="BS104" s="133"/>
      <c r="BT104" s="39" t="e">
        <f>#REF!</f>
        <v>#REF!</v>
      </c>
      <c r="BU104" s="147" t="e">
        <f>#REF!</f>
        <v>#REF!</v>
      </c>
      <c r="BV104" s="134"/>
      <c r="BW104" s="164"/>
      <c r="BX104" s="164"/>
      <c r="BY104" s="164"/>
      <c r="BZ104" s="164"/>
      <c r="CA104" s="164"/>
      <c r="CB104" s="164"/>
      <c r="CC104" s="164"/>
      <c r="CD104" s="164"/>
      <c r="CE104" s="164"/>
      <c r="CF104" s="164"/>
      <c r="CG104" s="164"/>
      <c r="CH104" s="164"/>
      <c r="CI104" s="164"/>
      <c r="CJ104" s="164"/>
      <c r="CK104" s="164"/>
      <c r="CL104" s="164"/>
      <c r="CM104" s="164"/>
      <c r="CN104" s="164"/>
      <c r="CO104" s="164"/>
      <c r="CP104" s="134"/>
      <c r="CQ104" s="165" t="e">
        <f ca="1">-SUM(#REF!)+SUM(#REF!)+Rezone!L104+IF("Ch_"&amp; home_land=#REF!,#REF!)+IF(#REF!&gt;12,OFFSET(#REF!,-12,0),0)</f>
        <v>#REF!</v>
      </c>
      <c r="CR104" s="166" t="e">
        <f ca="1">-SUM(#REF!)+SUM(#REF!) +Rezone!M104 + IF("Ch_"&amp; home_land=#REF!,#REF!)+IF(#REF!&gt;12,OFFSET(#REF!,-12,0),0)</f>
        <v>#REF!</v>
      </c>
      <c r="CS104" s="341" t="e">
        <f ca="1">-SUM(#REF!)+SUM(#REF!) +Rezone!N104 + IF("Ch_"&amp; home_land=#REF!,#REF!)+IF(#REF!&gt;12,OFFSET(#REF!,-12,0),0)</f>
        <v>#REF!</v>
      </c>
      <c r="CT104" s="167" t="e">
        <f ca="1">-SUM(#REF!)+SUM(#REF!) +Rezone!O104 + IF("Ch_" &amp; home_land=#REF!,#REF!)+IF(#REF!&gt;12,OFFSET(#REF!,-12,0),0)</f>
        <v>#REF!</v>
      </c>
      <c r="CU104" s="168" t="e">
        <f ca="1">-SUM(#REF!)+SUM(#REF!) +Rezone!P104 + IF("Ch_" &amp; home_land=#REF!,#REF!)+IF(#REF!&gt;12,OFFSET(#REF!,-12,0),0)</f>
        <v>#REF!</v>
      </c>
      <c r="CV104" s="169" t="e">
        <f ca="1">- SUM(#REF!)+SUM(#REF!) +Rezone!Q104 + IF("Ch_" &amp; home_land=#REF!,#REF!)+IF(#REF!&gt;12,OFFSET(#REF!,-12,0),0)</f>
        <v>#REF!</v>
      </c>
      <c r="CW104" s="170" t="e">
        <f ca="1">-#REF!+#REF! +Rezone!R104 + IF("Ch_" &amp; home_land=#REF!,#REF!)+IF(#REF!&gt;12,OFFSET(#REF!,-12,0),0)</f>
        <v>#REF!</v>
      </c>
      <c r="CX104" s="3" t="e">
        <f>IF(Explore!S104=1,20) -#REF! +#REF!</f>
        <v>#REF!</v>
      </c>
      <c r="CY104" s="134"/>
      <c r="CZ104" s="39" t="e">
        <f t="shared" ca="1" si="23"/>
        <v>#REF!</v>
      </c>
      <c r="DA104" s="39" t="e">
        <f t="shared" ca="1" si="24"/>
        <v>#REF!</v>
      </c>
      <c r="DB104" s="3" t="e">
        <f t="shared" ca="1" si="25"/>
        <v>#REF!</v>
      </c>
      <c r="DC104" s="39" t="e">
        <f t="shared" ca="1" si="26"/>
        <v>#REF!</v>
      </c>
      <c r="DD104" s="39" t="e">
        <f t="shared" ca="1" si="27"/>
        <v>#REF!</v>
      </c>
      <c r="DE104" s="3" t="e">
        <f t="shared" ca="1" si="28"/>
        <v>#REF!</v>
      </c>
      <c r="DF104" s="39" t="e">
        <f t="shared" ca="1" si="29"/>
        <v>#REF!</v>
      </c>
      <c r="DG104" s="39" t="e">
        <f t="array" ref="DG104">INDEX(#REF!,ROW()-ROW(#REF!),MATCH("Total "&amp;home_land,#REF!,0))+#REF!</f>
        <v>#REF!</v>
      </c>
      <c r="DH104" s="3" t="e">
        <f t="shared" ca="1" si="22"/>
        <v>#REF!</v>
      </c>
      <c r="DI104" s="3" t="e">
        <f t="shared" ca="1" si="19"/>
        <v>#REF!</v>
      </c>
      <c r="DJ104" s="3" t="e">
        <f t="shared" ca="1" si="20"/>
        <v>#REF!</v>
      </c>
    </row>
    <row r="105" spans="1:114" x14ac:dyDescent="0.25">
      <c r="A105" s="160" t="e">
        <f>#REF!</f>
        <v>#REF!</v>
      </c>
      <c r="B105" s="161" t="e">
        <f>SUM(#REF!)</f>
        <v>#REF!</v>
      </c>
      <c r="C105" s="162" t="e">
        <f>SUM(#REF!)</f>
        <v>#REF!</v>
      </c>
      <c r="D105" s="162">
        <f t="shared" si="21"/>
        <v>0</v>
      </c>
      <c r="E105" s="163"/>
      <c r="F105" s="61" t="e">
        <f>#REF!+#REF!+#REF!</f>
        <v>#REF!</v>
      </c>
      <c r="G105" s="171" t="e">
        <f ca="1">OFFSET(#REF!,-1,0)+#REF!</f>
        <v>#REF!</v>
      </c>
      <c r="H105" s="166" t="e">
        <f ca="1">OFFSET(#REF!,-1,0)+#REF!</f>
        <v>#REF!</v>
      </c>
      <c r="I105" s="341" t="e">
        <f ca="1">OFFSET(#REF!,-1,0)+#REF!</f>
        <v>#REF!</v>
      </c>
      <c r="J105" s="345" t="e">
        <f ca="1">OFFSET(#REF!,-1,0)+#REF!</f>
        <v>#REF!</v>
      </c>
      <c r="K105" s="349" t="e">
        <f ca="1">OFFSET(#REF!,-1,0)+#REF!</f>
        <v>#REF!</v>
      </c>
      <c r="L105" s="169" t="e">
        <f ca="1">OFFSET(#REF!,-1,0)+#REF!</f>
        <v>#REF!</v>
      </c>
      <c r="M105" s="170" t="e">
        <f ca="1">OFFSET(#REF!,-1,0)+#REF!</f>
        <v>#REF!</v>
      </c>
      <c r="N105" s="339" t="e">
        <f>#REF!</f>
        <v>#REF!</v>
      </c>
      <c r="O105" s="164"/>
      <c r="P105" s="164"/>
      <c r="Q105" s="164"/>
      <c r="R105" s="164"/>
      <c r="S105" s="164"/>
      <c r="T105" s="164"/>
      <c r="U105" s="164"/>
      <c r="V105" s="164"/>
      <c r="W105" s="164"/>
      <c r="X105" s="164"/>
      <c r="Y105" s="164"/>
      <c r="Z105" s="164"/>
      <c r="AA105" s="164"/>
      <c r="AB105" s="164"/>
      <c r="AC105" s="164"/>
      <c r="AD105" s="164"/>
      <c r="AE105" s="164"/>
      <c r="AF105" s="164"/>
      <c r="AG105" s="164"/>
      <c r="AH105" s="53" t="e">
        <f>#REF!</f>
        <v>#REF!</v>
      </c>
      <c r="AI105" s="132" t="e">
        <f>MIN(25%,(#REF!+#REF!)/(#REF!-#REF!*20))</f>
        <v>#REF!</v>
      </c>
      <c r="AJ105" s="132" t="e">
        <f>MIN(25%,(#REF!+#REF!)/#REF!)</f>
        <v>#REF!</v>
      </c>
      <c r="AK105" s="39" t="e">
        <f>#REF!</f>
        <v>#REF!</v>
      </c>
      <c r="AL105" s="39" t="e">
        <f>#REF!</f>
        <v>#REF!</v>
      </c>
      <c r="AM105" s="39" t="e">
        <f>ROUNDDOWN( MAX((1 - MIN(facs_constr_factor*#REF!,facs_constr_max) + tech_2_3*#REF! + tech_2_6_2*#REF! + tech_2_10*#REF! + tech_4_6*#REF! + tech_6_3*#REF! + tech_9_2*#REF! + race_construction_cost), 1-global_constr_cap) *#REF!,0)</f>
        <v>#REF!</v>
      </c>
      <c r="AN105" s="39" t="e">
        <f>ROUNDDOWN( MAX(1 - MIN(facs_constr_factor*#REF!,facs_constr_max) + tech_1_11*#REF! + tech_6_3_2*#REF! + tech_5_2_3*#REF!, 1-global_constr_cap) *#REF!,0)</f>
        <v>#REF!</v>
      </c>
      <c r="AO105" s="39" t="e">
        <f>ROUNDDOWN( MAX((1 - MIN(facs_constr_factor*#REF!,facs_constr_max) + tech_2_3*#REF! + tech_2_6_2*#REF! + tech_2_10*#REF! + tech_4_6*#REF! + tech_6_3*#REF! + tech_9_2*#REF! + race_construction_cost), 1-global_constr_cap) * (ROUND((#REF!-250)*1.25 + 850 + 0,0)),0)</f>
        <v>#REF!</v>
      </c>
      <c r="AP105" s="39" t="e">
        <f>ROUNDDOWN( MAX(1 - MIN(facs_constr_factor*#REF!,facs_constr_max) + tech_1_11*#REF! + tech_6_3_2*#REF! + tech_5_2_3*#REF!, 1-global_constr_cap) * ROUND((#REF!-250)*0.285 + 87.5 + 0/4.25,0),0)</f>
        <v>#REF!</v>
      </c>
      <c r="AQ105" s="3" t="e">
        <f>#REF!*#REF! +#REF! *#REF!</f>
        <v>#REF!</v>
      </c>
      <c r="AR105" s="3" t="e">
        <f>#REF!*#REF!+#REF!*#REF!</f>
        <v>#REF!</v>
      </c>
      <c r="AS105" s="39" t="e">
        <f ca="1">MIN(SUM(OFFSET(#REF!,-1,0))+SUM(#REF!)+IF(#REF!&gt;12,SUM(OFFSET(#REF!,-12,0)),0),SUM(#REF!))</f>
        <v>#REF!</v>
      </c>
      <c r="AT105" s="3" t="e">
        <f ca="1">IF(#REF!&lt;&gt;0,MAX(0, MIN(20, 20 + SUM(#REF!) - SUM(#REF!) - SUM(OFFSET(#REF!,-1,0)) - IF(#REF!&gt;12,SUM(OFFSET(#REF!,-12,0)),0) - 20*#REF!)),0)</f>
        <v>#REF!</v>
      </c>
      <c r="AU105" s="134"/>
      <c r="AV105" s="39" t="e">
        <f>ROUND((#REF!-250 - IF(#REF!&lt;&gt;0,20,0))*1.25 + 850 + 0,0)</f>
        <v>#REF!</v>
      </c>
      <c r="AW105" s="39" t="e">
        <f>ROUND((#REF!-250 - IF(#REF!&lt;&gt;0,20,0))*0.285 + 87.5 + 0/4.25,0)</f>
        <v>#REF!</v>
      </c>
      <c r="AX105" s="133"/>
      <c r="AY105" s="172" t="e">
        <f t="array" aca="1" ref="AY105" ca="1">IF(#REF!&gt;12,OFFSET(#REF!,-12,0),0)+OFFSET(#REF!,-1,0)-#REF!</f>
        <v>#REF!</v>
      </c>
      <c r="AZ105" s="173" t="e">
        <f t="array" aca="1" ref="AZ105" ca="1">IF(#REF!&gt;12,OFFSET(#REF!,-12,0),0)+OFFSET(#REF!,-1,0)-#REF!</f>
        <v>#REF!</v>
      </c>
      <c r="BA105" s="173" t="e">
        <f t="array" aca="1" ref="BA105" ca="1">IF(#REF!&gt;12,OFFSET(#REF!,-12,0),0)+OFFSET(#REF!,-1,0)-#REF!</f>
        <v>#REF!</v>
      </c>
      <c r="BB105" s="173" t="e">
        <f t="array" aca="1" ref="BB105" ca="1">IF(#REF!&gt;12,OFFSET(#REF!,-12,0),0)+OFFSET(#REF!,-1,0)-#REF!</f>
        <v>#REF!</v>
      </c>
      <c r="BC105" s="173" t="e">
        <f t="array" aca="1" ref="BC105" ca="1">IF(#REF!&gt;12,OFFSET(#REF!,-12,0),0)+OFFSET(#REF!,-1,0)-#REF!</f>
        <v>#REF!</v>
      </c>
      <c r="BD105" s="174" t="e">
        <f t="array" aca="1" ref="BD105" ca="1">IF(#REF!&gt;12,OFFSET(#REF!,-12,0),0)+OFFSET(#REF!,-1,0)-#REF!</f>
        <v>#REF!</v>
      </c>
      <c r="BE105" s="174" t="e">
        <f t="array" aca="1" ref="BE105" ca="1">IF(#REF!&gt;12,OFFSET(#REF!,-12,0),0)+OFFSET(#REF!,-1,0)-#REF!</f>
        <v>#REF!</v>
      </c>
      <c r="BF105" s="343" t="e">
        <f t="array" aca="1" ref="BF105" ca="1">IF(#REF!&gt;12,OFFSET(#REF!,-12,0),0)+OFFSET(#REF!,-1,0)-#REF!</f>
        <v>#REF!</v>
      </c>
      <c r="BG105" s="343" t="e">
        <f t="array" aca="1" ref="BG105" ca="1">IF(#REF!&gt;12,OFFSET(#REF!,-12,0),0)+OFFSET(#REF!,-1,0)-#REF!</f>
        <v>#REF!</v>
      </c>
      <c r="BH105" s="347" t="e">
        <f t="array" aca="1" ref="BH105" ca="1">IF(#REF!&gt;12,OFFSET(#REF!,-12,0),0)+OFFSET(#REF!,-1,0)-#REF!</f>
        <v>#REF!</v>
      </c>
      <c r="BI105" s="347" t="e">
        <f t="array" aca="1" ref="BI105" ca="1">IF(#REF!&gt;12,OFFSET(#REF!,-12,0),0)+OFFSET(#REF!,-1,0)-#REF!</f>
        <v>#REF!</v>
      </c>
      <c r="BJ105" s="347" t="e">
        <f t="array" aca="1" ref="BJ105" ca="1">IF(#REF!&gt;12,OFFSET(#REF!,-12,0),0)+OFFSET(#REF!,-1,0)-#REF!</f>
        <v>#REF!</v>
      </c>
      <c r="BK105" s="347" t="e">
        <f t="array" aca="1" ref="BK105" ca="1">IF(#REF!&gt;12,OFFSET(#REF!,-12,0),0)+OFFSET(#REF!,-1,0)-#REF!</f>
        <v>#REF!</v>
      </c>
      <c r="BL105" s="351" t="e">
        <f t="array" aca="1" ref="BL105" ca="1">IF(#REF!&gt;12,OFFSET(#REF!,-12,0),0)+OFFSET(#REF!,-1,0)-#REF!</f>
        <v>#REF!</v>
      </c>
      <c r="BM105" s="351" t="e">
        <f t="array" aca="1" ref="BM105" ca="1">IF(#REF!&gt;12,OFFSET(#REF!,-12,0),0)+OFFSET(#REF!,-1,0)-#REF!</f>
        <v>#REF!</v>
      </c>
      <c r="BN105" s="351" t="e">
        <f t="array" aca="1" ref="BN105" ca="1">IF(#REF!&gt;12,OFFSET(#REF!,-12,0),0)+OFFSET(#REF!,-1,0)-#REF!</f>
        <v>#REF!</v>
      </c>
      <c r="BO105" s="175" t="e">
        <f t="array" aca="1" ref="BO105" ca="1">IF(#REF!&gt;12,OFFSET(#REF!,-12,0),0)+OFFSET(#REF!,-1,0)-#REF!</f>
        <v>#REF!</v>
      </c>
      <c r="BP105" s="175" t="e">
        <f t="array" aca="1" ref="BP105" ca="1">IF(#REF!&gt;12,OFFSET(#REF!,-12,0),0)+OFFSET(#REF!,-1,0)-#REF!</f>
        <v>#REF!</v>
      </c>
      <c r="BQ105" s="176" t="e">
        <f t="array" aca="1" ref="BQ105" ca="1">IF(#REF!&gt;12,OFFSET(#REF!,-12,0),0)+OFFSET(#REF!,-1,0)-#REF!</f>
        <v>#REF!</v>
      </c>
      <c r="BR105" s="134"/>
      <c r="BS105" s="133"/>
      <c r="BT105" s="39" t="e">
        <f>#REF!</f>
        <v>#REF!</v>
      </c>
      <c r="BU105" s="147" t="e">
        <f>#REF!</f>
        <v>#REF!</v>
      </c>
      <c r="BV105" s="134"/>
      <c r="BW105" s="164"/>
      <c r="BX105" s="164"/>
      <c r="BY105" s="164"/>
      <c r="BZ105" s="164"/>
      <c r="CA105" s="164"/>
      <c r="CB105" s="164"/>
      <c r="CC105" s="164"/>
      <c r="CD105" s="164"/>
      <c r="CE105" s="164"/>
      <c r="CF105" s="164"/>
      <c r="CG105" s="164"/>
      <c r="CH105" s="164"/>
      <c r="CI105" s="164"/>
      <c r="CJ105" s="164"/>
      <c r="CK105" s="164"/>
      <c r="CL105" s="164"/>
      <c r="CM105" s="164"/>
      <c r="CN105" s="164"/>
      <c r="CO105" s="164"/>
      <c r="CP105" s="134"/>
      <c r="CQ105" s="165" t="e">
        <f ca="1">-SUM(#REF!)+SUM(#REF!)+Rezone!L105+IF("Ch_"&amp; home_land=#REF!,#REF!)+IF(#REF!&gt;12,OFFSET(#REF!,-12,0),0)</f>
        <v>#REF!</v>
      </c>
      <c r="CR105" s="166" t="e">
        <f ca="1">-SUM(#REF!)+SUM(#REF!) +Rezone!M105 + IF("Ch_"&amp; home_land=#REF!,#REF!)+IF(#REF!&gt;12,OFFSET(#REF!,-12,0),0)</f>
        <v>#REF!</v>
      </c>
      <c r="CS105" s="341" t="e">
        <f ca="1">-SUM(#REF!)+SUM(#REF!) +Rezone!N105 + IF("Ch_"&amp; home_land=#REF!,#REF!)+IF(#REF!&gt;12,OFFSET(#REF!,-12,0),0)</f>
        <v>#REF!</v>
      </c>
      <c r="CT105" s="167" t="e">
        <f ca="1">-SUM(#REF!)+SUM(#REF!) +Rezone!O105 + IF("Ch_" &amp; home_land=#REF!,#REF!)+IF(#REF!&gt;12,OFFSET(#REF!,-12,0),0)</f>
        <v>#REF!</v>
      </c>
      <c r="CU105" s="168" t="e">
        <f ca="1">-SUM(#REF!)+SUM(#REF!) +Rezone!P105 + IF("Ch_" &amp; home_land=#REF!,#REF!)+IF(#REF!&gt;12,OFFSET(#REF!,-12,0),0)</f>
        <v>#REF!</v>
      </c>
      <c r="CV105" s="169" t="e">
        <f ca="1">- SUM(#REF!)+SUM(#REF!) +Rezone!Q105 + IF("Ch_" &amp; home_land=#REF!,#REF!)+IF(#REF!&gt;12,OFFSET(#REF!,-12,0),0)</f>
        <v>#REF!</v>
      </c>
      <c r="CW105" s="170" t="e">
        <f ca="1">-#REF!+#REF! +Rezone!R105 + IF("Ch_" &amp; home_land=#REF!,#REF!)+IF(#REF!&gt;12,OFFSET(#REF!,-12,0),0)</f>
        <v>#REF!</v>
      </c>
      <c r="CX105" s="3" t="e">
        <f>IF(Explore!S105=1,20) -#REF! +#REF!</f>
        <v>#REF!</v>
      </c>
      <c r="CY105" s="134"/>
      <c r="CZ105" s="39" t="e">
        <f t="shared" ca="1" si="23"/>
        <v>#REF!</v>
      </c>
      <c r="DA105" s="39" t="e">
        <f t="shared" ca="1" si="24"/>
        <v>#REF!</v>
      </c>
      <c r="DB105" s="3" t="e">
        <f t="shared" ca="1" si="25"/>
        <v>#REF!</v>
      </c>
      <c r="DC105" s="39" t="e">
        <f t="shared" ca="1" si="26"/>
        <v>#REF!</v>
      </c>
      <c r="DD105" s="39" t="e">
        <f t="shared" ca="1" si="27"/>
        <v>#REF!</v>
      </c>
      <c r="DE105" s="3" t="e">
        <f t="shared" ca="1" si="28"/>
        <v>#REF!</v>
      </c>
      <c r="DF105" s="39" t="e">
        <f t="shared" ca="1" si="29"/>
        <v>#REF!</v>
      </c>
      <c r="DG105" s="39" t="e">
        <f t="array" ref="DG105">INDEX(#REF!,ROW()-ROW(#REF!),MATCH("Total "&amp;home_land,#REF!,0))+#REF!</f>
        <v>#REF!</v>
      </c>
      <c r="DH105" s="3" t="e">
        <f t="shared" ca="1" si="22"/>
        <v>#REF!</v>
      </c>
      <c r="DI105" s="3" t="e">
        <f t="shared" ca="1" si="19"/>
        <v>#REF!</v>
      </c>
      <c r="DJ105" s="3" t="e">
        <f t="shared" ca="1" si="20"/>
        <v>#REF!</v>
      </c>
    </row>
    <row r="106" spans="1:114" x14ac:dyDescent="0.25">
      <c r="A106" s="160" t="e">
        <f>#REF!</f>
        <v>#REF!</v>
      </c>
      <c r="B106" s="161" t="e">
        <f>SUM(#REF!)</f>
        <v>#REF!</v>
      </c>
      <c r="C106" s="162" t="e">
        <f>SUM(#REF!)</f>
        <v>#REF!</v>
      </c>
      <c r="D106" s="162">
        <f t="shared" si="21"/>
        <v>0</v>
      </c>
      <c r="E106" s="163"/>
      <c r="F106" s="61" t="e">
        <f>#REF!+#REF!+#REF!</f>
        <v>#REF!</v>
      </c>
      <c r="G106" s="171" t="e">
        <f ca="1">OFFSET(#REF!,-1,0)+#REF!</f>
        <v>#REF!</v>
      </c>
      <c r="H106" s="166" t="e">
        <f ca="1">OFFSET(#REF!,-1,0)+#REF!</f>
        <v>#REF!</v>
      </c>
      <c r="I106" s="341" t="e">
        <f ca="1">OFFSET(#REF!,-1,0)+#REF!</f>
        <v>#REF!</v>
      </c>
      <c r="J106" s="345" t="e">
        <f ca="1">OFFSET(#REF!,-1,0)+#REF!</f>
        <v>#REF!</v>
      </c>
      <c r="K106" s="349" t="e">
        <f ca="1">OFFSET(#REF!,-1,0)+#REF!</f>
        <v>#REF!</v>
      </c>
      <c r="L106" s="169" t="e">
        <f ca="1">OFFSET(#REF!,-1,0)+#REF!</f>
        <v>#REF!</v>
      </c>
      <c r="M106" s="170" t="e">
        <f ca="1">OFFSET(#REF!,-1,0)+#REF!</f>
        <v>#REF!</v>
      </c>
      <c r="N106" s="339" t="e">
        <f>#REF!</f>
        <v>#REF!</v>
      </c>
      <c r="O106" s="164"/>
      <c r="P106" s="164"/>
      <c r="Q106" s="164"/>
      <c r="R106" s="164"/>
      <c r="S106" s="164"/>
      <c r="T106" s="164"/>
      <c r="U106" s="164"/>
      <c r="V106" s="164"/>
      <c r="W106" s="164"/>
      <c r="X106" s="164"/>
      <c r="Y106" s="164"/>
      <c r="Z106" s="164"/>
      <c r="AA106" s="164"/>
      <c r="AB106" s="164"/>
      <c r="AC106" s="164"/>
      <c r="AD106" s="164"/>
      <c r="AE106" s="164"/>
      <c r="AF106" s="164"/>
      <c r="AG106" s="164"/>
      <c r="AH106" s="53" t="e">
        <f>#REF!</f>
        <v>#REF!</v>
      </c>
      <c r="AI106" s="132" t="e">
        <f>MIN(25%,(#REF!+#REF!)/(#REF!-#REF!*20))</f>
        <v>#REF!</v>
      </c>
      <c r="AJ106" s="132" t="e">
        <f>MIN(25%,(#REF!+#REF!)/#REF!)</f>
        <v>#REF!</v>
      </c>
      <c r="AK106" s="39" t="e">
        <f>#REF!</f>
        <v>#REF!</v>
      </c>
      <c r="AL106" s="39" t="e">
        <f>#REF!</f>
        <v>#REF!</v>
      </c>
      <c r="AM106" s="39" t="e">
        <f>ROUNDDOWN( MAX((1 - MIN(facs_constr_factor*#REF!,facs_constr_max) + tech_2_3*#REF! + tech_2_6_2*#REF! + tech_2_10*#REF! + tech_4_6*#REF! + tech_6_3*#REF! + tech_9_2*#REF! + race_construction_cost), 1-global_constr_cap) *#REF!,0)</f>
        <v>#REF!</v>
      </c>
      <c r="AN106" s="39" t="e">
        <f>ROUNDDOWN( MAX(1 - MIN(facs_constr_factor*#REF!,facs_constr_max) + tech_1_11*#REF! + tech_6_3_2*#REF! + tech_5_2_3*#REF!, 1-global_constr_cap) *#REF!,0)</f>
        <v>#REF!</v>
      </c>
      <c r="AO106" s="39" t="e">
        <f>ROUNDDOWN( MAX((1 - MIN(facs_constr_factor*#REF!,facs_constr_max) + tech_2_3*#REF! + tech_2_6_2*#REF! + tech_2_10*#REF! + tech_4_6*#REF! + tech_6_3*#REF! + tech_9_2*#REF! + race_construction_cost), 1-global_constr_cap) * (ROUND((#REF!-250)*1.25 + 850 + 0,0)),0)</f>
        <v>#REF!</v>
      </c>
      <c r="AP106" s="39" t="e">
        <f>ROUNDDOWN( MAX(1 - MIN(facs_constr_factor*#REF!,facs_constr_max) + tech_1_11*#REF! + tech_6_3_2*#REF! + tech_5_2_3*#REF!, 1-global_constr_cap) * ROUND((#REF!-250)*0.285 + 87.5 + 0/4.25,0),0)</f>
        <v>#REF!</v>
      </c>
      <c r="AQ106" s="3" t="e">
        <f>#REF!*#REF! +#REF! *#REF!</f>
        <v>#REF!</v>
      </c>
      <c r="AR106" s="3" t="e">
        <f>#REF!*#REF!+#REF!*#REF!</f>
        <v>#REF!</v>
      </c>
      <c r="AS106" s="39" t="e">
        <f ca="1">MIN(SUM(OFFSET(#REF!,-1,0))+SUM(#REF!)+IF(#REF!&gt;12,SUM(OFFSET(#REF!,-12,0)),0),SUM(#REF!))</f>
        <v>#REF!</v>
      </c>
      <c r="AT106" s="3" t="e">
        <f ca="1">IF(#REF!&lt;&gt;0,MAX(0, MIN(20, 20 + SUM(#REF!) - SUM(#REF!) - SUM(OFFSET(#REF!,-1,0)) - IF(#REF!&gt;12,SUM(OFFSET(#REF!,-12,0)),0) - 20*#REF!)),0)</f>
        <v>#REF!</v>
      </c>
      <c r="AU106" s="134"/>
      <c r="AV106" s="39" t="e">
        <f>ROUND((#REF!-250 - IF(#REF!&lt;&gt;0,20,0))*1.25 + 850 + 0,0)</f>
        <v>#REF!</v>
      </c>
      <c r="AW106" s="39" t="e">
        <f>ROUND((#REF!-250 - IF(#REF!&lt;&gt;0,20,0))*0.285 + 87.5 + 0/4.25,0)</f>
        <v>#REF!</v>
      </c>
      <c r="AX106" s="133"/>
      <c r="AY106" s="172" t="e">
        <f t="array" aca="1" ref="AY106" ca="1">IF(#REF!&gt;12,OFFSET(#REF!,-12,0),0)+OFFSET(#REF!,-1,0)-#REF!</f>
        <v>#REF!</v>
      </c>
      <c r="AZ106" s="173" t="e">
        <f t="array" aca="1" ref="AZ106" ca="1">IF(#REF!&gt;12,OFFSET(#REF!,-12,0),0)+OFFSET(#REF!,-1,0)-#REF!</f>
        <v>#REF!</v>
      </c>
      <c r="BA106" s="173" t="e">
        <f t="array" aca="1" ref="BA106" ca="1">IF(#REF!&gt;12,OFFSET(#REF!,-12,0),0)+OFFSET(#REF!,-1,0)-#REF!</f>
        <v>#REF!</v>
      </c>
      <c r="BB106" s="173" t="e">
        <f t="array" aca="1" ref="BB106" ca="1">IF(#REF!&gt;12,OFFSET(#REF!,-12,0),0)+OFFSET(#REF!,-1,0)-#REF!</f>
        <v>#REF!</v>
      </c>
      <c r="BC106" s="173" t="e">
        <f t="array" aca="1" ref="BC106" ca="1">IF(#REF!&gt;12,OFFSET(#REF!,-12,0),0)+OFFSET(#REF!,-1,0)-#REF!</f>
        <v>#REF!</v>
      </c>
      <c r="BD106" s="174" t="e">
        <f t="array" aca="1" ref="BD106" ca="1">IF(#REF!&gt;12,OFFSET(#REF!,-12,0),0)+OFFSET(#REF!,-1,0)-#REF!</f>
        <v>#REF!</v>
      </c>
      <c r="BE106" s="174" t="e">
        <f t="array" aca="1" ref="BE106" ca="1">IF(#REF!&gt;12,OFFSET(#REF!,-12,0),0)+OFFSET(#REF!,-1,0)-#REF!</f>
        <v>#REF!</v>
      </c>
      <c r="BF106" s="343" t="e">
        <f t="array" aca="1" ref="BF106" ca="1">IF(#REF!&gt;12,OFFSET(#REF!,-12,0),0)+OFFSET(#REF!,-1,0)-#REF!</f>
        <v>#REF!</v>
      </c>
      <c r="BG106" s="343" t="e">
        <f t="array" aca="1" ref="BG106" ca="1">IF(#REF!&gt;12,OFFSET(#REF!,-12,0),0)+OFFSET(#REF!,-1,0)-#REF!</f>
        <v>#REF!</v>
      </c>
      <c r="BH106" s="347" t="e">
        <f t="array" aca="1" ref="BH106" ca="1">IF(#REF!&gt;12,OFFSET(#REF!,-12,0),0)+OFFSET(#REF!,-1,0)-#REF!</f>
        <v>#REF!</v>
      </c>
      <c r="BI106" s="347" t="e">
        <f t="array" aca="1" ref="BI106" ca="1">IF(#REF!&gt;12,OFFSET(#REF!,-12,0),0)+OFFSET(#REF!,-1,0)-#REF!</f>
        <v>#REF!</v>
      </c>
      <c r="BJ106" s="347" t="e">
        <f t="array" aca="1" ref="BJ106" ca="1">IF(#REF!&gt;12,OFFSET(#REF!,-12,0),0)+OFFSET(#REF!,-1,0)-#REF!</f>
        <v>#REF!</v>
      </c>
      <c r="BK106" s="347" t="e">
        <f t="array" aca="1" ref="BK106" ca="1">IF(#REF!&gt;12,OFFSET(#REF!,-12,0),0)+OFFSET(#REF!,-1,0)-#REF!</f>
        <v>#REF!</v>
      </c>
      <c r="BL106" s="351" t="e">
        <f t="array" aca="1" ref="BL106" ca="1">IF(#REF!&gt;12,OFFSET(#REF!,-12,0),0)+OFFSET(#REF!,-1,0)-#REF!</f>
        <v>#REF!</v>
      </c>
      <c r="BM106" s="351" t="e">
        <f t="array" aca="1" ref="BM106" ca="1">IF(#REF!&gt;12,OFFSET(#REF!,-12,0),0)+OFFSET(#REF!,-1,0)-#REF!</f>
        <v>#REF!</v>
      </c>
      <c r="BN106" s="351" t="e">
        <f t="array" aca="1" ref="BN106" ca="1">IF(#REF!&gt;12,OFFSET(#REF!,-12,0),0)+OFFSET(#REF!,-1,0)-#REF!</f>
        <v>#REF!</v>
      </c>
      <c r="BO106" s="175" t="e">
        <f t="array" aca="1" ref="BO106" ca="1">IF(#REF!&gt;12,OFFSET(#REF!,-12,0),0)+OFFSET(#REF!,-1,0)-#REF!</f>
        <v>#REF!</v>
      </c>
      <c r="BP106" s="175" t="e">
        <f t="array" aca="1" ref="BP106" ca="1">IF(#REF!&gt;12,OFFSET(#REF!,-12,0),0)+OFFSET(#REF!,-1,0)-#REF!</f>
        <v>#REF!</v>
      </c>
      <c r="BQ106" s="176" t="e">
        <f t="array" aca="1" ref="BQ106" ca="1">IF(#REF!&gt;12,OFFSET(#REF!,-12,0),0)+OFFSET(#REF!,-1,0)-#REF!</f>
        <v>#REF!</v>
      </c>
      <c r="BR106" s="134"/>
      <c r="BS106" s="133"/>
      <c r="BT106" s="39" t="e">
        <f>#REF!</f>
        <v>#REF!</v>
      </c>
      <c r="BU106" s="147" t="e">
        <f>#REF!</f>
        <v>#REF!</v>
      </c>
      <c r="BV106" s="134"/>
      <c r="BW106" s="164"/>
      <c r="BX106" s="164"/>
      <c r="BY106" s="164"/>
      <c r="BZ106" s="164"/>
      <c r="CA106" s="164"/>
      <c r="CB106" s="164"/>
      <c r="CC106" s="164"/>
      <c r="CD106" s="164"/>
      <c r="CE106" s="164"/>
      <c r="CF106" s="164"/>
      <c r="CG106" s="164"/>
      <c r="CH106" s="164"/>
      <c r="CI106" s="164"/>
      <c r="CJ106" s="164"/>
      <c r="CK106" s="164"/>
      <c r="CL106" s="164"/>
      <c r="CM106" s="164"/>
      <c r="CN106" s="164"/>
      <c r="CO106" s="164"/>
      <c r="CP106" s="134"/>
      <c r="CQ106" s="165" t="e">
        <f ca="1">-SUM(#REF!)+SUM(#REF!)+Rezone!L106+IF("Ch_"&amp; home_land=#REF!,#REF!)+IF(#REF!&gt;12,OFFSET(#REF!,-12,0),0)</f>
        <v>#REF!</v>
      </c>
      <c r="CR106" s="166" t="e">
        <f ca="1">-SUM(#REF!)+SUM(#REF!) +Rezone!M106 + IF("Ch_"&amp; home_land=#REF!,#REF!)+IF(#REF!&gt;12,OFFSET(#REF!,-12,0),0)</f>
        <v>#REF!</v>
      </c>
      <c r="CS106" s="341" t="e">
        <f ca="1">-SUM(#REF!)+SUM(#REF!) +Rezone!N106 + IF("Ch_"&amp; home_land=#REF!,#REF!)+IF(#REF!&gt;12,OFFSET(#REF!,-12,0),0)</f>
        <v>#REF!</v>
      </c>
      <c r="CT106" s="167" t="e">
        <f ca="1">-SUM(#REF!)+SUM(#REF!) +Rezone!O106 + IF("Ch_" &amp; home_land=#REF!,#REF!)+IF(#REF!&gt;12,OFFSET(#REF!,-12,0),0)</f>
        <v>#REF!</v>
      </c>
      <c r="CU106" s="168" t="e">
        <f ca="1">-SUM(#REF!)+SUM(#REF!) +Rezone!P106 + IF("Ch_" &amp; home_land=#REF!,#REF!)+IF(#REF!&gt;12,OFFSET(#REF!,-12,0),0)</f>
        <v>#REF!</v>
      </c>
      <c r="CV106" s="169" t="e">
        <f ca="1">- SUM(#REF!)+SUM(#REF!) +Rezone!Q106 + IF("Ch_" &amp; home_land=#REF!,#REF!)+IF(#REF!&gt;12,OFFSET(#REF!,-12,0),0)</f>
        <v>#REF!</v>
      </c>
      <c r="CW106" s="170" t="e">
        <f ca="1">-#REF!+#REF! +Rezone!R106 + IF("Ch_" &amp; home_land=#REF!,#REF!)+IF(#REF!&gt;12,OFFSET(#REF!,-12,0),0)</f>
        <v>#REF!</v>
      </c>
      <c r="CX106" s="3" t="e">
        <f>IF(Explore!S106=1,20) -#REF! +#REF!</f>
        <v>#REF!</v>
      </c>
      <c r="CY106" s="134"/>
      <c r="CZ106" s="39" t="e">
        <f t="shared" ca="1" si="23"/>
        <v>#REF!</v>
      </c>
      <c r="DA106" s="39" t="e">
        <f t="shared" ca="1" si="24"/>
        <v>#REF!</v>
      </c>
      <c r="DB106" s="3" t="e">
        <f t="shared" ca="1" si="25"/>
        <v>#REF!</v>
      </c>
      <c r="DC106" s="39" t="e">
        <f t="shared" ca="1" si="26"/>
        <v>#REF!</v>
      </c>
      <c r="DD106" s="39" t="e">
        <f t="shared" ca="1" si="27"/>
        <v>#REF!</v>
      </c>
      <c r="DE106" s="3" t="e">
        <f t="shared" ca="1" si="28"/>
        <v>#REF!</v>
      </c>
      <c r="DF106" s="39" t="e">
        <f t="shared" ca="1" si="29"/>
        <v>#REF!</v>
      </c>
      <c r="DG106" s="39" t="e">
        <f t="array" ref="DG106">INDEX(#REF!,ROW()-ROW(#REF!),MATCH("Total "&amp;home_land,#REF!,0))+#REF!</f>
        <v>#REF!</v>
      </c>
      <c r="DH106" s="3" t="e">
        <f t="shared" ca="1" si="22"/>
        <v>#REF!</v>
      </c>
      <c r="DI106" s="3" t="e">
        <f t="shared" ca="1" si="19"/>
        <v>#REF!</v>
      </c>
      <c r="DJ106" s="3" t="e">
        <f t="shared" ca="1" si="20"/>
        <v>#REF!</v>
      </c>
    </row>
    <row r="107" spans="1:114" x14ac:dyDescent="0.25">
      <c r="A107" s="160" t="e">
        <f>#REF!</f>
        <v>#REF!</v>
      </c>
      <c r="B107" s="161" t="e">
        <f>SUM(#REF!)</f>
        <v>#REF!</v>
      </c>
      <c r="C107" s="162" t="e">
        <f>SUM(#REF!)</f>
        <v>#REF!</v>
      </c>
      <c r="D107" s="162">
        <f t="shared" si="21"/>
        <v>0</v>
      </c>
      <c r="E107" s="163"/>
      <c r="F107" s="61" t="e">
        <f>#REF!+#REF!+#REF!</f>
        <v>#REF!</v>
      </c>
      <c r="G107" s="171" t="e">
        <f ca="1">OFFSET(#REF!,-1,0)+#REF!</f>
        <v>#REF!</v>
      </c>
      <c r="H107" s="166" t="e">
        <f ca="1">OFFSET(#REF!,-1,0)+#REF!</f>
        <v>#REF!</v>
      </c>
      <c r="I107" s="341" t="e">
        <f ca="1">OFFSET(#REF!,-1,0)+#REF!</f>
        <v>#REF!</v>
      </c>
      <c r="J107" s="345" t="e">
        <f ca="1">OFFSET(#REF!,-1,0)+#REF!</f>
        <v>#REF!</v>
      </c>
      <c r="K107" s="349" t="e">
        <f ca="1">OFFSET(#REF!,-1,0)+#REF!</f>
        <v>#REF!</v>
      </c>
      <c r="L107" s="169" t="e">
        <f ca="1">OFFSET(#REF!,-1,0)+#REF!</f>
        <v>#REF!</v>
      </c>
      <c r="M107" s="170" t="e">
        <f ca="1">OFFSET(#REF!,-1,0)+#REF!</f>
        <v>#REF!</v>
      </c>
      <c r="N107" s="339" t="e">
        <f>#REF!</f>
        <v>#REF!</v>
      </c>
      <c r="O107" s="164"/>
      <c r="P107" s="164"/>
      <c r="Q107" s="164"/>
      <c r="R107" s="164"/>
      <c r="S107" s="164"/>
      <c r="T107" s="164"/>
      <c r="U107" s="164"/>
      <c r="V107" s="164"/>
      <c r="W107" s="164"/>
      <c r="X107" s="146"/>
      <c r="Y107" s="164"/>
      <c r="Z107" s="164"/>
      <c r="AA107" s="164"/>
      <c r="AB107" s="164"/>
      <c r="AC107" s="164"/>
      <c r="AD107" s="164"/>
      <c r="AE107" s="164"/>
      <c r="AF107" s="164"/>
      <c r="AG107" s="164"/>
      <c r="AH107" s="53" t="e">
        <f>#REF!</f>
        <v>#REF!</v>
      </c>
      <c r="AI107" s="132" t="e">
        <f>MIN(25%,(#REF!+#REF!)/(#REF!-#REF!*20))</f>
        <v>#REF!</v>
      </c>
      <c r="AJ107" s="132" t="e">
        <f>MIN(25%,(#REF!+#REF!)/#REF!)</f>
        <v>#REF!</v>
      </c>
      <c r="AK107" s="39" t="e">
        <f>#REF!</f>
        <v>#REF!</v>
      </c>
      <c r="AL107" s="39" t="e">
        <f>#REF!</f>
        <v>#REF!</v>
      </c>
      <c r="AM107" s="39" t="e">
        <f>ROUNDDOWN( MAX((1 - MIN(facs_constr_factor*#REF!,facs_constr_max) + tech_2_3*#REF! + tech_2_6_2*#REF! + tech_2_10*#REF! + tech_4_6*#REF! + tech_6_3*#REF! + tech_9_2*#REF! + race_construction_cost), 1-global_constr_cap) *#REF!,0)</f>
        <v>#REF!</v>
      </c>
      <c r="AN107" s="39" t="e">
        <f>ROUNDDOWN( MAX(1 - MIN(facs_constr_factor*#REF!,facs_constr_max) + tech_1_11*#REF! + tech_6_3_2*#REF! + tech_5_2_3*#REF!, 1-global_constr_cap) *#REF!,0)</f>
        <v>#REF!</v>
      </c>
      <c r="AO107" s="39" t="e">
        <f>ROUNDDOWN( MAX((1 - MIN(facs_constr_factor*#REF!,facs_constr_max) + tech_2_3*#REF! + tech_2_6_2*#REF! + tech_2_10*#REF! + tech_4_6*#REF! + tech_6_3*#REF! + tech_9_2*#REF! + race_construction_cost), 1-global_constr_cap) * (ROUND((#REF!-250)*1.25 + 850 + 0,0)),0)</f>
        <v>#REF!</v>
      </c>
      <c r="AP107" s="39" t="e">
        <f>ROUNDDOWN( MAX(1 - MIN(facs_constr_factor*#REF!,facs_constr_max) + tech_1_11*#REF! + tech_6_3_2*#REF! + tech_5_2_3*#REF!, 1-global_constr_cap) * ROUND((#REF!-250)*0.285 + 87.5 + 0/4.25,0),0)</f>
        <v>#REF!</v>
      </c>
      <c r="AQ107" s="3" t="e">
        <f>#REF!*#REF! +#REF! *#REF!</f>
        <v>#REF!</v>
      </c>
      <c r="AR107" s="3" t="e">
        <f>#REF!*#REF!+#REF!*#REF!</f>
        <v>#REF!</v>
      </c>
      <c r="AS107" s="39" t="e">
        <f ca="1">MIN(SUM(OFFSET(#REF!,-1,0))+SUM(#REF!)+IF(#REF!&gt;12,SUM(OFFSET(#REF!,-12,0)),0),SUM(#REF!))</f>
        <v>#REF!</v>
      </c>
      <c r="AT107" s="3" t="e">
        <f ca="1">IF(#REF!&lt;&gt;0,MAX(0, MIN(20, 20 + SUM(#REF!) - SUM(#REF!) - SUM(OFFSET(#REF!,-1,0)) - IF(#REF!&gt;12,SUM(OFFSET(#REF!,-12,0)),0) - 20*#REF!)),0)</f>
        <v>#REF!</v>
      </c>
      <c r="AU107" s="134"/>
      <c r="AV107" s="39" t="e">
        <f>ROUND((#REF!-250 - IF(#REF!&lt;&gt;0,20,0))*1.25 + 850 + 0,0)</f>
        <v>#REF!</v>
      </c>
      <c r="AW107" s="39" t="e">
        <f>ROUND((#REF!-250 - IF(#REF!&lt;&gt;0,20,0))*0.285 + 87.5 + 0/4.25,0)</f>
        <v>#REF!</v>
      </c>
      <c r="AX107" s="133"/>
      <c r="AY107" s="172" t="e">
        <f t="array" aca="1" ref="AY107" ca="1">IF(#REF!&gt;12,OFFSET(#REF!,-12,0),0)+OFFSET(#REF!,-1,0)-#REF!</f>
        <v>#REF!</v>
      </c>
      <c r="AZ107" s="173" t="e">
        <f t="array" aca="1" ref="AZ107" ca="1">IF(#REF!&gt;12,OFFSET(#REF!,-12,0),0)+OFFSET(#REF!,-1,0)-#REF!</f>
        <v>#REF!</v>
      </c>
      <c r="BA107" s="173" t="e">
        <f t="array" aca="1" ref="BA107" ca="1">IF(#REF!&gt;12,OFFSET(#REF!,-12,0),0)+OFFSET(#REF!,-1,0)-#REF!</f>
        <v>#REF!</v>
      </c>
      <c r="BB107" s="173" t="e">
        <f t="array" aca="1" ref="BB107" ca="1">IF(#REF!&gt;12,OFFSET(#REF!,-12,0),0)+OFFSET(#REF!,-1,0)-#REF!</f>
        <v>#REF!</v>
      </c>
      <c r="BC107" s="173" t="e">
        <f t="array" aca="1" ref="BC107" ca="1">IF(#REF!&gt;12,OFFSET(#REF!,-12,0),0)+OFFSET(#REF!,-1,0)-#REF!</f>
        <v>#REF!</v>
      </c>
      <c r="BD107" s="174" t="e">
        <f t="array" aca="1" ref="BD107" ca="1">IF(#REF!&gt;12,OFFSET(#REF!,-12,0),0)+OFFSET(#REF!,-1,0)-#REF!</f>
        <v>#REF!</v>
      </c>
      <c r="BE107" s="174" t="e">
        <f t="array" aca="1" ref="BE107" ca="1">IF(#REF!&gt;12,OFFSET(#REF!,-12,0),0)+OFFSET(#REF!,-1,0)-#REF!</f>
        <v>#REF!</v>
      </c>
      <c r="BF107" s="343" t="e">
        <f t="array" aca="1" ref="BF107" ca="1">IF(#REF!&gt;12,OFFSET(#REF!,-12,0),0)+OFFSET(#REF!,-1,0)-#REF!</f>
        <v>#REF!</v>
      </c>
      <c r="BG107" s="343" t="e">
        <f t="array" aca="1" ref="BG107" ca="1">IF(#REF!&gt;12,OFFSET(#REF!,-12,0),0)+OFFSET(#REF!,-1,0)-#REF!</f>
        <v>#REF!</v>
      </c>
      <c r="BH107" s="347" t="e">
        <f t="array" aca="1" ref="BH107" ca="1">IF(#REF!&gt;12,OFFSET(#REF!,-12,0),0)+OFFSET(#REF!,-1,0)-#REF!</f>
        <v>#REF!</v>
      </c>
      <c r="BI107" s="347" t="e">
        <f t="array" aca="1" ref="BI107" ca="1">IF(#REF!&gt;12,OFFSET(#REF!,-12,0),0)+OFFSET(#REF!,-1,0)-#REF!</f>
        <v>#REF!</v>
      </c>
      <c r="BJ107" s="347" t="e">
        <f t="array" aca="1" ref="BJ107" ca="1">IF(#REF!&gt;12,OFFSET(#REF!,-12,0),0)+OFFSET(#REF!,-1,0)-#REF!</f>
        <v>#REF!</v>
      </c>
      <c r="BK107" s="347" t="e">
        <f t="array" aca="1" ref="BK107" ca="1">IF(#REF!&gt;12,OFFSET(#REF!,-12,0),0)+OFFSET(#REF!,-1,0)-#REF!</f>
        <v>#REF!</v>
      </c>
      <c r="BL107" s="351" t="e">
        <f t="array" aca="1" ref="BL107" ca="1">IF(#REF!&gt;12,OFFSET(#REF!,-12,0),0)+OFFSET(#REF!,-1,0)-#REF!</f>
        <v>#REF!</v>
      </c>
      <c r="BM107" s="351" t="e">
        <f t="array" aca="1" ref="BM107" ca="1">IF(#REF!&gt;12,OFFSET(#REF!,-12,0),0)+OFFSET(#REF!,-1,0)-#REF!</f>
        <v>#REF!</v>
      </c>
      <c r="BN107" s="351" t="e">
        <f t="array" aca="1" ref="BN107" ca="1">IF(#REF!&gt;12,OFFSET(#REF!,-12,0),0)+OFFSET(#REF!,-1,0)-#REF!</f>
        <v>#REF!</v>
      </c>
      <c r="BO107" s="175" t="e">
        <f t="array" aca="1" ref="BO107" ca="1">IF(#REF!&gt;12,OFFSET(#REF!,-12,0),0)+OFFSET(#REF!,-1,0)-#REF!</f>
        <v>#REF!</v>
      </c>
      <c r="BP107" s="175" t="e">
        <f t="array" aca="1" ref="BP107" ca="1">IF(#REF!&gt;12,OFFSET(#REF!,-12,0),0)+OFFSET(#REF!,-1,0)-#REF!</f>
        <v>#REF!</v>
      </c>
      <c r="BQ107" s="176" t="e">
        <f t="array" aca="1" ref="BQ107" ca="1">IF(#REF!&gt;12,OFFSET(#REF!,-12,0),0)+OFFSET(#REF!,-1,0)-#REF!</f>
        <v>#REF!</v>
      </c>
      <c r="BR107" s="134"/>
      <c r="BS107" s="133"/>
      <c r="BT107" s="39" t="e">
        <f>#REF!</f>
        <v>#REF!</v>
      </c>
      <c r="BU107" s="147" t="e">
        <f>#REF!</f>
        <v>#REF!</v>
      </c>
      <c r="BV107" s="134"/>
      <c r="BW107" s="164"/>
      <c r="BX107" s="164"/>
      <c r="BY107" s="164"/>
      <c r="BZ107" s="164"/>
      <c r="CA107" s="164"/>
      <c r="CB107" s="164"/>
      <c r="CC107" s="164"/>
      <c r="CD107" s="164"/>
      <c r="CE107" s="164"/>
      <c r="CF107" s="164"/>
      <c r="CG107" s="164"/>
      <c r="CH107" s="164"/>
      <c r="CI107" s="164"/>
      <c r="CJ107" s="164"/>
      <c r="CK107" s="164"/>
      <c r="CL107" s="164"/>
      <c r="CM107" s="164"/>
      <c r="CN107" s="164"/>
      <c r="CO107" s="164"/>
      <c r="CP107" s="134"/>
      <c r="CQ107" s="165" t="e">
        <f ca="1">-SUM(#REF!)+SUM(#REF!)+Rezone!L107+IF("Ch_"&amp; home_land=#REF!,#REF!)+IF(#REF!&gt;12,OFFSET(#REF!,-12,0),0)</f>
        <v>#REF!</v>
      </c>
      <c r="CR107" s="166" t="e">
        <f ca="1">-SUM(#REF!)+SUM(#REF!) +Rezone!M107 + IF("Ch_"&amp; home_land=#REF!,#REF!)+IF(#REF!&gt;12,OFFSET(#REF!,-12,0),0)</f>
        <v>#REF!</v>
      </c>
      <c r="CS107" s="341" t="e">
        <f ca="1">-SUM(#REF!)+SUM(#REF!) +Rezone!N107 + IF("Ch_"&amp; home_land=#REF!,#REF!)+IF(#REF!&gt;12,OFFSET(#REF!,-12,0),0)</f>
        <v>#REF!</v>
      </c>
      <c r="CT107" s="167" t="e">
        <f ca="1">-SUM(#REF!)+SUM(#REF!) +Rezone!O107 + IF("Ch_" &amp; home_land=#REF!,#REF!)+IF(#REF!&gt;12,OFFSET(#REF!,-12,0),0)</f>
        <v>#REF!</v>
      </c>
      <c r="CU107" s="168" t="e">
        <f ca="1">-SUM(#REF!)+SUM(#REF!) +Rezone!P107 + IF("Ch_" &amp; home_land=#REF!,#REF!)+IF(#REF!&gt;12,OFFSET(#REF!,-12,0),0)</f>
        <v>#REF!</v>
      </c>
      <c r="CV107" s="169" t="e">
        <f ca="1">- SUM(#REF!)+SUM(#REF!) +Rezone!Q107 + IF("Ch_" &amp; home_land=#REF!,#REF!)+IF(#REF!&gt;12,OFFSET(#REF!,-12,0),0)</f>
        <v>#REF!</v>
      </c>
      <c r="CW107" s="170" t="e">
        <f ca="1">-#REF!+#REF! +Rezone!R107 + IF("Ch_" &amp; home_land=#REF!,#REF!)+IF(#REF!&gt;12,OFFSET(#REF!,-12,0),0)</f>
        <v>#REF!</v>
      </c>
      <c r="CX107" s="3" t="e">
        <f>IF(Explore!S107=1,20) -#REF! +#REF!</f>
        <v>#REF!</v>
      </c>
      <c r="CY107" s="134"/>
      <c r="CZ107" s="39" t="e">
        <f t="shared" ca="1" si="23"/>
        <v>#REF!</v>
      </c>
      <c r="DA107" s="39" t="e">
        <f t="shared" ca="1" si="24"/>
        <v>#REF!</v>
      </c>
      <c r="DB107" s="3" t="e">
        <f t="shared" ca="1" si="25"/>
        <v>#REF!</v>
      </c>
      <c r="DC107" s="39" t="e">
        <f t="shared" ca="1" si="26"/>
        <v>#REF!</v>
      </c>
      <c r="DD107" s="39" t="e">
        <f t="shared" ca="1" si="27"/>
        <v>#REF!</v>
      </c>
      <c r="DE107" s="3" t="e">
        <f t="shared" ca="1" si="28"/>
        <v>#REF!</v>
      </c>
      <c r="DF107" s="39" t="e">
        <f t="shared" ca="1" si="29"/>
        <v>#REF!</v>
      </c>
      <c r="DG107" s="39" t="e">
        <f t="array" ref="DG107">INDEX(#REF!,ROW()-ROW(#REF!),MATCH("Total "&amp;home_land,#REF!,0))+#REF!</f>
        <v>#REF!</v>
      </c>
      <c r="DH107" s="3" t="e">
        <f t="shared" ca="1" si="22"/>
        <v>#REF!</v>
      </c>
      <c r="DI107" s="3" t="e">
        <f t="shared" ca="1" si="19"/>
        <v>#REF!</v>
      </c>
      <c r="DJ107" s="3" t="e">
        <f t="shared" ca="1" si="20"/>
        <v>#REF!</v>
      </c>
    </row>
    <row r="108" spans="1:114" x14ac:dyDescent="0.25">
      <c r="A108" s="160" t="e">
        <f>#REF!</f>
        <v>#REF!</v>
      </c>
      <c r="B108" s="161" t="e">
        <f>SUM(#REF!)</f>
        <v>#REF!</v>
      </c>
      <c r="C108" s="162" t="e">
        <f>SUM(#REF!)</f>
        <v>#REF!</v>
      </c>
      <c r="D108" s="162">
        <f t="shared" si="21"/>
        <v>0</v>
      </c>
      <c r="E108" s="163"/>
      <c r="F108" s="61" t="e">
        <f>#REF!+#REF!+#REF!</f>
        <v>#REF!</v>
      </c>
      <c r="G108" s="171" t="e">
        <f ca="1">OFFSET(#REF!,-1,0)+#REF!</f>
        <v>#REF!</v>
      </c>
      <c r="H108" s="166" t="e">
        <f ca="1">OFFSET(#REF!,-1,0)+#REF!</f>
        <v>#REF!</v>
      </c>
      <c r="I108" s="341" t="e">
        <f ca="1">OFFSET(#REF!,-1,0)+#REF!</f>
        <v>#REF!</v>
      </c>
      <c r="J108" s="345" t="e">
        <f ca="1">OFFSET(#REF!,-1,0)+#REF!</f>
        <v>#REF!</v>
      </c>
      <c r="K108" s="349" t="e">
        <f ca="1">OFFSET(#REF!,-1,0)+#REF!</f>
        <v>#REF!</v>
      </c>
      <c r="L108" s="169" t="e">
        <f ca="1">OFFSET(#REF!,-1,0)+#REF!</f>
        <v>#REF!</v>
      </c>
      <c r="M108" s="170" t="e">
        <f ca="1">OFFSET(#REF!,-1,0)+#REF!</f>
        <v>#REF!</v>
      </c>
      <c r="N108" s="339" t="e">
        <f>#REF!</f>
        <v>#REF!</v>
      </c>
      <c r="O108" s="164"/>
      <c r="P108" s="164"/>
      <c r="Q108" s="164"/>
      <c r="R108" s="146"/>
      <c r="S108" s="164"/>
      <c r="T108" s="164"/>
      <c r="U108" s="164"/>
      <c r="V108" s="164"/>
      <c r="W108" s="164"/>
      <c r="X108" s="164"/>
      <c r="Y108" s="164"/>
      <c r="Z108" s="164"/>
      <c r="AA108" s="164"/>
      <c r="AB108" s="164"/>
      <c r="AC108" s="164"/>
      <c r="AD108" s="164"/>
      <c r="AE108" s="164"/>
      <c r="AF108" s="164"/>
      <c r="AG108" s="164"/>
      <c r="AH108" s="53" t="e">
        <f>#REF!</f>
        <v>#REF!</v>
      </c>
      <c r="AI108" s="132" t="e">
        <f>MIN(25%,(#REF!+#REF!)/(#REF!-#REF!*20))</f>
        <v>#REF!</v>
      </c>
      <c r="AJ108" s="132" t="e">
        <f>MIN(25%,(#REF!+#REF!)/#REF!)</f>
        <v>#REF!</v>
      </c>
      <c r="AK108" s="39" t="e">
        <f>#REF!</f>
        <v>#REF!</v>
      </c>
      <c r="AL108" s="39" t="e">
        <f>#REF!</f>
        <v>#REF!</v>
      </c>
      <c r="AM108" s="39" t="e">
        <f>ROUNDDOWN( MAX((1 - MIN(facs_constr_factor*#REF!,facs_constr_max) + tech_2_3*#REF! + tech_2_6_2*#REF! + tech_2_10*#REF! + tech_4_6*#REF! + tech_6_3*#REF! + tech_9_2*#REF! + race_construction_cost), 1-global_constr_cap) *#REF!,0)</f>
        <v>#REF!</v>
      </c>
      <c r="AN108" s="39" t="e">
        <f>ROUNDDOWN( MAX(1 - MIN(facs_constr_factor*#REF!,facs_constr_max) + tech_1_11*#REF! + tech_6_3_2*#REF! + tech_5_2_3*#REF!, 1-global_constr_cap) *#REF!,0)</f>
        <v>#REF!</v>
      </c>
      <c r="AO108" s="39" t="e">
        <f>ROUNDDOWN( MAX((1 - MIN(facs_constr_factor*#REF!,facs_constr_max) + tech_2_3*#REF! + tech_2_6_2*#REF! + tech_2_10*#REF! + tech_4_6*#REF! + tech_6_3*#REF! + tech_9_2*#REF! + race_construction_cost), 1-global_constr_cap) * (ROUND((#REF!-250)*1.25 + 850 + 0,0)),0)</f>
        <v>#REF!</v>
      </c>
      <c r="AP108" s="39" t="e">
        <f>ROUNDDOWN( MAX(1 - MIN(facs_constr_factor*#REF!,facs_constr_max) + tech_1_11*#REF! + tech_6_3_2*#REF! + tech_5_2_3*#REF!, 1-global_constr_cap) * ROUND((#REF!-250)*0.285 + 87.5 + 0/4.25,0),0)</f>
        <v>#REF!</v>
      </c>
      <c r="AQ108" s="3" t="e">
        <f>#REF!*#REF! +#REF! *#REF!</f>
        <v>#REF!</v>
      </c>
      <c r="AR108" s="3" t="e">
        <f>#REF!*#REF!+#REF!*#REF!</f>
        <v>#REF!</v>
      </c>
      <c r="AS108" s="39" t="e">
        <f ca="1">MIN(SUM(OFFSET(#REF!,-1,0))+SUM(#REF!)+IF(#REF!&gt;12,SUM(OFFSET(#REF!,-12,0)),0),SUM(#REF!))</f>
        <v>#REF!</v>
      </c>
      <c r="AT108" s="3" t="e">
        <f ca="1">IF(#REF!&lt;&gt;0,MAX(0, MIN(20, 20 + SUM(#REF!) - SUM(#REF!) - SUM(OFFSET(#REF!,-1,0)) - IF(#REF!&gt;12,SUM(OFFSET(#REF!,-12,0)),0) - 20*#REF!)),0)</f>
        <v>#REF!</v>
      </c>
      <c r="AU108" s="134"/>
      <c r="AV108" s="39" t="e">
        <f>ROUND((#REF!-250 - IF(#REF!&lt;&gt;0,20,0))*1.25 + 850 + 0,0)</f>
        <v>#REF!</v>
      </c>
      <c r="AW108" s="39" t="e">
        <f>ROUND((#REF!-250 - IF(#REF!&lt;&gt;0,20,0))*0.285 + 87.5 + 0/4.25,0)</f>
        <v>#REF!</v>
      </c>
      <c r="AX108" s="133"/>
      <c r="AY108" s="172" t="e">
        <f t="array" aca="1" ref="AY108" ca="1">IF(#REF!&gt;12,OFFSET(#REF!,-12,0),0)+OFFSET(#REF!,-1,0)-#REF!</f>
        <v>#REF!</v>
      </c>
      <c r="AZ108" s="173" t="e">
        <f t="array" aca="1" ref="AZ108" ca="1">IF(#REF!&gt;12,OFFSET(#REF!,-12,0),0)+OFFSET(#REF!,-1,0)-#REF!</f>
        <v>#REF!</v>
      </c>
      <c r="BA108" s="173" t="e">
        <f t="array" aca="1" ref="BA108" ca="1">IF(#REF!&gt;12,OFFSET(#REF!,-12,0),0)+OFFSET(#REF!,-1,0)-#REF!</f>
        <v>#REF!</v>
      </c>
      <c r="BB108" s="173" t="e">
        <f t="array" aca="1" ref="BB108" ca="1">IF(#REF!&gt;12,OFFSET(#REF!,-12,0),0)+OFFSET(#REF!,-1,0)-#REF!</f>
        <v>#REF!</v>
      </c>
      <c r="BC108" s="173" t="e">
        <f t="array" aca="1" ref="BC108" ca="1">IF(#REF!&gt;12,OFFSET(#REF!,-12,0),0)+OFFSET(#REF!,-1,0)-#REF!</f>
        <v>#REF!</v>
      </c>
      <c r="BD108" s="174" t="e">
        <f t="array" aca="1" ref="BD108" ca="1">IF(#REF!&gt;12,OFFSET(#REF!,-12,0),0)+OFFSET(#REF!,-1,0)-#REF!</f>
        <v>#REF!</v>
      </c>
      <c r="BE108" s="174" t="e">
        <f t="array" aca="1" ref="BE108" ca="1">IF(#REF!&gt;12,OFFSET(#REF!,-12,0),0)+OFFSET(#REF!,-1,0)-#REF!</f>
        <v>#REF!</v>
      </c>
      <c r="BF108" s="343" t="e">
        <f t="array" aca="1" ref="BF108" ca="1">IF(#REF!&gt;12,OFFSET(#REF!,-12,0),0)+OFFSET(#REF!,-1,0)-#REF!</f>
        <v>#REF!</v>
      </c>
      <c r="BG108" s="343" t="e">
        <f t="array" aca="1" ref="BG108" ca="1">IF(#REF!&gt;12,OFFSET(#REF!,-12,0),0)+OFFSET(#REF!,-1,0)-#REF!</f>
        <v>#REF!</v>
      </c>
      <c r="BH108" s="347" t="e">
        <f t="array" aca="1" ref="BH108" ca="1">IF(#REF!&gt;12,OFFSET(#REF!,-12,0),0)+OFFSET(#REF!,-1,0)-#REF!</f>
        <v>#REF!</v>
      </c>
      <c r="BI108" s="347" t="e">
        <f t="array" aca="1" ref="BI108" ca="1">IF(#REF!&gt;12,OFFSET(#REF!,-12,0),0)+OFFSET(#REF!,-1,0)-#REF!</f>
        <v>#REF!</v>
      </c>
      <c r="BJ108" s="347" t="e">
        <f t="array" aca="1" ref="BJ108" ca="1">IF(#REF!&gt;12,OFFSET(#REF!,-12,0),0)+OFFSET(#REF!,-1,0)-#REF!</f>
        <v>#REF!</v>
      </c>
      <c r="BK108" s="347" t="e">
        <f t="array" aca="1" ref="BK108" ca="1">IF(#REF!&gt;12,OFFSET(#REF!,-12,0),0)+OFFSET(#REF!,-1,0)-#REF!</f>
        <v>#REF!</v>
      </c>
      <c r="BL108" s="351" t="e">
        <f t="array" aca="1" ref="BL108" ca="1">IF(#REF!&gt;12,OFFSET(#REF!,-12,0),0)+OFFSET(#REF!,-1,0)-#REF!</f>
        <v>#REF!</v>
      </c>
      <c r="BM108" s="351" t="e">
        <f t="array" aca="1" ref="BM108" ca="1">IF(#REF!&gt;12,OFFSET(#REF!,-12,0),0)+OFFSET(#REF!,-1,0)-#REF!</f>
        <v>#REF!</v>
      </c>
      <c r="BN108" s="351" t="e">
        <f t="array" aca="1" ref="BN108" ca="1">IF(#REF!&gt;12,OFFSET(#REF!,-12,0),0)+OFFSET(#REF!,-1,0)-#REF!</f>
        <v>#REF!</v>
      </c>
      <c r="BO108" s="175" t="e">
        <f t="array" aca="1" ref="BO108" ca="1">IF(#REF!&gt;12,OFFSET(#REF!,-12,0),0)+OFFSET(#REF!,-1,0)-#REF!</f>
        <v>#REF!</v>
      </c>
      <c r="BP108" s="175" t="e">
        <f t="array" aca="1" ref="BP108" ca="1">IF(#REF!&gt;12,OFFSET(#REF!,-12,0),0)+OFFSET(#REF!,-1,0)-#REF!</f>
        <v>#REF!</v>
      </c>
      <c r="BQ108" s="176" t="e">
        <f t="array" aca="1" ref="BQ108" ca="1">IF(#REF!&gt;12,OFFSET(#REF!,-12,0),0)+OFFSET(#REF!,-1,0)-#REF!</f>
        <v>#REF!</v>
      </c>
      <c r="BR108" s="134"/>
      <c r="BS108" s="133"/>
      <c r="BT108" s="39" t="e">
        <f>#REF!</f>
        <v>#REF!</v>
      </c>
      <c r="BU108" s="147" t="e">
        <f>#REF!</f>
        <v>#REF!</v>
      </c>
      <c r="BV108" s="134"/>
      <c r="BW108" s="164"/>
      <c r="BX108" s="164"/>
      <c r="BY108" s="164"/>
      <c r="BZ108" s="164"/>
      <c r="CA108" s="164"/>
      <c r="CB108" s="164"/>
      <c r="CC108" s="164"/>
      <c r="CD108" s="164"/>
      <c r="CE108" s="164"/>
      <c r="CF108" s="164"/>
      <c r="CG108" s="164"/>
      <c r="CH108" s="164"/>
      <c r="CI108" s="164"/>
      <c r="CJ108" s="164"/>
      <c r="CK108" s="164"/>
      <c r="CL108" s="164"/>
      <c r="CM108" s="164"/>
      <c r="CN108" s="164"/>
      <c r="CO108" s="164"/>
      <c r="CP108" s="134"/>
      <c r="CQ108" s="165" t="e">
        <f ca="1">-SUM(#REF!)+SUM(#REF!)+Rezone!L108+IF("Ch_"&amp; home_land=#REF!,#REF!)+IF(#REF!&gt;12,OFFSET(#REF!,-12,0),0)</f>
        <v>#REF!</v>
      </c>
      <c r="CR108" s="166" t="e">
        <f ca="1">-SUM(#REF!)+SUM(#REF!) +Rezone!M108 + IF("Ch_"&amp; home_land=#REF!,#REF!)+IF(#REF!&gt;12,OFFSET(#REF!,-12,0),0)</f>
        <v>#REF!</v>
      </c>
      <c r="CS108" s="341" t="e">
        <f ca="1">-SUM(#REF!)+SUM(#REF!) +Rezone!N108 + IF("Ch_"&amp; home_land=#REF!,#REF!)+IF(#REF!&gt;12,OFFSET(#REF!,-12,0),0)</f>
        <v>#REF!</v>
      </c>
      <c r="CT108" s="167" t="e">
        <f ca="1">-SUM(#REF!)+SUM(#REF!) +Rezone!O108 + IF("Ch_" &amp; home_land=#REF!,#REF!)+IF(#REF!&gt;12,OFFSET(#REF!,-12,0),0)</f>
        <v>#REF!</v>
      </c>
      <c r="CU108" s="168" t="e">
        <f ca="1">-SUM(#REF!)+SUM(#REF!) +Rezone!P108 + IF("Ch_" &amp; home_land=#REF!,#REF!)+IF(#REF!&gt;12,OFFSET(#REF!,-12,0),0)</f>
        <v>#REF!</v>
      </c>
      <c r="CV108" s="169" t="e">
        <f ca="1">- SUM(#REF!)+SUM(#REF!) +Rezone!Q108 + IF("Ch_" &amp; home_land=#REF!,#REF!)+IF(#REF!&gt;12,OFFSET(#REF!,-12,0),0)</f>
        <v>#REF!</v>
      </c>
      <c r="CW108" s="170" t="e">
        <f ca="1">-#REF!+#REF! +Rezone!R108 + IF("Ch_" &amp; home_land=#REF!,#REF!)+IF(#REF!&gt;12,OFFSET(#REF!,-12,0),0)</f>
        <v>#REF!</v>
      </c>
      <c r="CX108" s="3" t="e">
        <f>IF(Explore!S108=1,20) -#REF! +#REF!</f>
        <v>#REF!</v>
      </c>
      <c r="CY108" s="134"/>
      <c r="CZ108" s="39" t="e">
        <f t="shared" ca="1" si="23"/>
        <v>#REF!</v>
      </c>
      <c r="DA108" s="39" t="e">
        <f t="shared" ca="1" si="24"/>
        <v>#REF!</v>
      </c>
      <c r="DB108" s="3" t="e">
        <f t="shared" ca="1" si="25"/>
        <v>#REF!</v>
      </c>
      <c r="DC108" s="39" t="e">
        <f t="shared" ca="1" si="26"/>
        <v>#REF!</v>
      </c>
      <c r="DD108" s="39" t="e">
        <f t="shared" ca="1" si="27"/>
        <v>#REF!</v>
      </c>
      <c r="DE108" s="3" t="e">
        <f t="shared" ca="1" si="28"/>
        <v>#REF!</v>
      </c>
      <c r="DF108" s="39" t="e">
        <f t="shared" ca="1" si="29"/>
        <v>#REF!</v>
      </c>
      <c r="DG108" s="39" t="e">
        <f t="array" ref="DG108">INDEX(#REF!,ROW()-ROW(#REF!),MATCH("Total "&amp;home_land,#REF!,0))+#REF!</f>
        <v>#REF!</v>
      </c>
      <c r="DH108" s="3" t="e">
        <f t="shared" ca="1" si="22"/>
        <v>#REF!</v>
      </c>
      <c r="DI108" s="3" t="e">
        <f t="shared" ca="1" si="19"/>
        <v>#REF!</v>
      </c>
      <c r="DJ108" s="3" t="e">
        <f t="shared" ca="1" si="20"/>
        <v>#REF!</v>
      </c>
    </row>
    <row r="109" spans="1:114" x14ac:dyDescent="0.25">
      <c r="A109" s="160" t="e">
        <f>#REF!</f>
        <v>#REF!</v>
      </c>
      <c r="B109" s="161" t="e">
        <f>SUM(#REF!)</f>
        <v>#REF!</v>
      </c>
      <c r="C109" s="162" t="e">
        <f>SUM(#REF!)</f>
        <v>#REF!</v>
      </c>
      <c r="D109" s="162">
        <f t="shared" si="21"/>
        <v>0</v>
      </c>
      <c r="E109" s="163"/>
      <c r="F109" s="61" t="e">
        <f>#REF!+#REF!+#REF!</f>
        <v>#REF!</v>
      </c>
      <c r="G109" s="171" t="e">
        <f ca="1">OFFSET(#REF!,-1,0)+#REF!</f>
        <v>#REF!</v>
      </c>
      <c r="H109" s="166" t="e">
        <f ca="1">OFFSET(#REF!,-1,0)+#REF!</f>
        <v>#REF!</v>
      </c>
      <c r="I109" s="341" t="e">
        <f ca="1">OFFSET(#REF!,-1,0)+#REF!</f>
        <v>#REF!</v>
      </c>
      <c r="J109" s="345" t="e">
        <f ca="1">OFFSET(#REF!,-1,0)+#REF!</f>
        <v>#REF!</v>
      </c>
      <c r="K109" s="349" t="e">
        <f ca="1">OFFSET(#REF!,-1,0)+#REF!</f>
        <v>#REF!</v>
      </c>
      <c r="L109" s="169" t="e">
        <f ca="1">OFFSET(#REF!,-1,0)+#REF!</f>
        <v>#REF!</v>
      </c>
      <c r="M109" s="170" t="e">
        <f ca="1">OFFSET(#REF!,-1,0)+#REF!</f>
        <v>#REF!</v>
      </c>
      <c r="N109" s="339" t="e">
        <f>#REF!</f>
        <v>#REF!</v>
      </c>
      <c r="O109" s="164"/>
      <c r="P109" s="164"/>
      <c r="Q109" s="164"/>
      <c r="R109" s="146"/>
      <c r="S109" s="164"/>
      <c r="T109" s="164"/>
      <c r="U109" s="164"/>
      <c r="V109" s="164"/>
      <c r="W109" s="164"/>
      <c r="X109" s="164"/>
      <c r="Y109" s="164"/>
      <c r="Z109" s="164"/>
      <c r="AA109" s="164"/>
      <c r="AB109" s="164"/>
      <c r="AC109" s="164"/>
      <c r="AD109" s="164"/>
      <c r="AE109" s="164"/>
      <c r="AF109" s="164"/>
      <c r="AG109" s="164"/>
      <c r="AH109" s="53" t="e">
        <f>#REF!</f>
        <v>#REF!</v>
      </c>
      <c r="AI109" s="132" t="e">
        <f>MIN(25%,(#REF!+#REF!)/(#REF!-#REF!*20))</f>
        <v>#REF!</v>
      </c>
      <c r="AJ109" s="132" t="e">
        <f>MIN(25%,(#REF!+#REF!)/#REF!)</f>
        <v>#REF!</v>
      </c>
      <c r="AK109" s="39" t="e">
        <f>#REF!</f>
        <v>#REF!</v>
      </c>
      <c r="AL109" s="39" t="e">
        <f>#REF!</f>
        <v>#REF!</v>
      </c>
      <c r="AM109" s="39" t="e">
        <f>ROUNDDOWN( MAX((1 - MIN(facs_constr_factor*#REF!,facs_constr_max) + tech_2_3*#REF! + tech_2_6_2*#REF! + tech_2_10*#REF! + tech_4_6*#REF! + tech_6_3*#REF! + tech_9_2*#REF! + race_construction_cost), 1-global_constr_cap) *#REF!,0)</f>
        <v>#REF!</v>
      </c>
      <c r="AN109" s="39" t="e">
        <f>ROUNDDOWN( MAX(1 - MIN(facs_constr_factor*#REF!,facs_constr_max) + tech_1_11*#REF! + tech_6_3_2*#REF! + tech_5_2_3*#REF!, 1-global_constr_cap) *#REF!,0)</f>
        <v>#REF!</v>
      </c>
      <c r="AO109" s="39" t="e">
        <f>ROUNDDOWN( MAX((1 - MIN(facs_constr_factor*#REF!,facs_constr_max) + tech_2_3*#REF! + tech_2_6_2*#REF! + tech_2_10*#REF! + tech_4_6*#REF! + tech_6_3*#REF! + tech_9_2*#REF! + race_construction_cost), 1-global_constr_cap) * (ROUND((#REF!-250)*1.25 + 850 + 0,0)),0)</f>
        <v>#REF!</v>
      </c>
      <c r="AP109" s="39" t="e">
        <f>ROUNDDOWN( MAX(1 - MIN(facs_constr_factor*#REF!,facs_constr_max) + tech_1_11*#REF! + tech_6_3_2*#REF! + tech_5_2_3*#REF!, 1-global_constr_cap) * ROUND((#REF!-250)*0.285 + 87.5 + 0/4.25,0),0)</f>
        <v>#REF!</v>
      </c>
      <c r="AQ109" s="3" t="e">
        <f>#REF!*#REF! +#REF! *#REF!</f>
        <v>#REF!</v>
      </c>
      <c r="AR109" s="3" t="e">
        <f>#REF!*#REF!+#REF!*#REF!</f>
        <v>#REF!</v>
      </c>
      <c r="AS109" s="39" t="e">
        <f ca="1">MIN(SUM(OFFSET(#REF!,-1,0))+SUM(#REF!)+IF(#REF!&gt;12,SUM(OFFSET(#REF!,-12,0)),0),SUM(#REF!))</f>
        <v>#REF!</v>
      </c>
      <c r="AT109" s="3" t="e">
        <f ca="1">IF(#REF!&lt;&gt;0,MAX(0, MIN(20, 20 + SUM(#REF!) - SUM(#REF!) - SUM(OFFSET(#REF!,-1,0)) - IF(#REF!&gt;12,SUM(OFFSET(#REF!,-12,0)),0) - 20*#REF!)),0)</f>
        <v>#REF!</v>
      </c>
      <c r="AU109" s="134"/>
      <c r="AV109" s="39" t="e">
        <f>ROUND((#REF!-250 - IF(#REF!&lt;&gt;0,20,0))*1.25 + 850 + 0,0)</f>
        <v>#REF!</v>
      </c>
      <c r="AW109" s="39" t="e">
        <f>ROUND((#REF!-250 - IF(#REF!&lt;&gt;0,20,0))*0.285 + 87.5 + 0/4.25,0)</f>
        <v>#REF!</v>
      </c>
      <c r="AX109" s="133"/>
      <c r="AY109" s="172" t="e">
        <f t="array" aca="1" ref="AY109" ca="1">IF(#REF!&gt;12,OFFSET(#REF!,-12,0),0)+OFFSET(#REF!,-1,0)-#REF!</f>
        <v>#REF!</v>
      </c>
      <c r="AZ109" s="173" t="e">
        <f t="array" aca="1" ref="AZ109" ca="1">IF(#REF!&gt;12,OFFSET(#REF!,-12,0),0)+OFFSET(#REF!,-1,0)-#REF!</f>
        <v>#REF!</v>
      </c>
      <c r="BA109" s="173" t="e">
        <f t="array" aca="1" ref="BA109" ca="1">IF(#REF!&gt;12,OFFSET(#REF!,-12,0),0)+OFFSET(#REF!,-1,0)-#REF!</f>
        <v>#REF!</v>
      </c>
      <c r="BB109" s="173" t="e">
        <f t="array" aca="1" ref="BB109" ca="1">IF(#REF!&gt;12,OFFSET(#REF!,-12,0),0)+OFFSET(#REF!,-1,0)-#REF!</f>
        <v>#REF!</v>
      </c>
      <c r="BC109" s="173" t="e">
        <f t="array" aca="1" ref="BC109" ca="1">IF(#REF!&gt;12,OFFSET(#REF!,-12,0),0)+OFFSET(#REF!,-1,0)-#REF!</f>
        <v>#REF!</v>
      </c>
      <c r="BD109" s="174" t="e">
        <f t="array" aca="1" ref="BD109" ca="1">IF(#REF!&gt;12,OFFSET(#REF!,-12,0),0)+OFFSET(#REF!,-1,0)-#REF!</f>
        <v>#REF!</v>
      </c>
      <c r="BE109" s="174" t="e">
        <f t="array" aca="1" ref="BE109" ca="1">IF(#REF!&gt;12,OFFSET(#REF!,-12,0),0)+OFFSET(#REF!,-1,0)-#REF!</f>
        <v>#REF!</v>
      </c>
      <c r="BF109" s="343" t="e">
        <f t="array" aca="1" ref="BF109" ca="1">IF(#REF!&gt;12,OFFSET(#REF!,-12,0),0)+OFFSET(#REF!,-1,0)-#REF!</f>
        <v>#REF!</v>
      </c>
      <c r="BG109" s="343" t="e">
        <f t="array" aca="1" ref="BG109" ca="1">IF(#REF!&gt;12,OFFSET(#REF!,-12,0),0)+OFFSET(#REF!,-1,0)-#REF!</f>
        <v>#REF!</v>
      </c>
      <c r="BH109" s="347" t="e">
        <f t="array" aca="1" ref="BH109" ca="1">IF(#REF!&gt;12,OFFSET(#REF!,-12,0),0)+OFFSET(#REF!,-1,0)-#REF!</f>
        <v>#REF!</v>
      </c>
      <c r="BI109" s="347" t="e">
        <f t="array" aca="1" ref="BI109" ca="1">IF(#REF!&gt;12,OFFSET(#REF!,-12,0),0)+OFFSET(#REF!,-1,0)-#REF!</f>
        <v>#REF!</v>
      </c>
      <c r="BJ109" s="347" t="e">
        <f t="array" aca="1" ref="BJ109" ca="1">IF(#REF!&gt;12,OFFSET(#REF!,-12,0),0)+OFFSET(#REF!,-1,0)-#REF!</f>
        <v>#REF!</v>
      </c>
      <c r="BK109" s="347" t="e">
        <f t="array" aca="1" ref="BK109" ca="1">IF(#REF!&gt;12,OFFSET(#REF!,-12,0),0)+OFFSET(#REF!,-1,0)-#REF!</f>
        <v>#REF!</v>
      </c>
      <c r="BL109" s="351" t="e">
        <f t="array" aca="1" ref="BL109" ca="1">IF(#REF!&gt;12,OFFSET(#REF!,-12,0),0)+OFFSET(#REF!,-1,0)-#REF!</f>
        <v>#REF!</v>
      </c>
      <c r="BM109" s="351" t="e">
        <f t="array" aca="1" ref="BM109" ca="1">IF(#REF!&gt;12,OFFSET(#REF!,-12,0),0)+OFFSET(#REF!,-1,0)-#REF!</f>
        <v>#REF!</v>
      </c>
      <c r="BN109" s="351" t="e">
        <f t="array" aca="1" ref="BN109" ca="1">IF(#REF!&gt;12,OFFSET(#REF!,-12,0),0)+OFFSET(#REF!,-1,0)-#REF!</f>
        <v>#REF!</v>
      </c>
      <c r="BO109" s="175" t="e">
        <f t="array" aca="1" ref="BO109" ca="1">IF(#REF!&gt;12,OFFSET(#REF!,-12,0),0)+OFFSET(#REF!,-1,0)-#REF!</f>
        <v>#REF!</v>
      </c>
      <c r="BP109" s="175" t="e">
        <f t="array" aca="1" ref="BP109" ca="1">IF(#REF!&gt;12,OFFSET(#REF!,-12,0),0)+OFFSET(#REF!,-1,0)-#REF!</f>
        <v>#REF!</v>
      </c>
      <c r="BQ109" s="176" t="e">
        <f t="array" aca="1" ref="BQ109" ca="1">IF(#REF!&gt;12,OFFSET(#REF!,-12,0),0)+OFFSET(#REF!,-1,0)-#REF!</f>
        <v>#REF!</v>
      </c>
      <c r="BR109" s="134"/>
      <c r="BS109" s="133"/>
      <c r="BT109" s="39" t="e">
        <f>#REF!</f>
        <v>#REF!</v>
      </c>
      <c r="BU109" s="147" t="e">
        <f>#REF!</f>
        <v>#REF!</v>
      </c>
      <c r="BV109" s="134"/>
      <c r="BW109" s="164"/>
      <c r="BX109" s="164"/>
      <c r="BY109" s="164"/>
      <c r="BZ109" s="164"/>
      <c r="CA109" s="164"/>
      <c r="CB109" s="164"/>
      <c r="CC109" s="164"/>
      <c r="CD109" s="164"/>
      <c r="CE109" s="164"/>
      <c r="CF109" s="164"/>
      <c r="CG109" s="164"/>
      <c r="CH109" s="164"/>
      <c r="CI109" s="164"/>
      <c r="CJ109" s="164"/>
      <c r="CK109" s="164"/>
      <c r="CL109" s="164"/>
      <c r="CM109" s="164"/>
      <c r="CN109" s="164"/>
      <c r="CO109" s="164"/>
      <c r="CP109" s="134"/>
      <c r="CQ109" s="165" t="e">
        <f ca="1">-SUM(#REF!)+SUM(#REF!)+Rezone!L109+IF("Ch_"&amp; home_land=#REF!,#REF!)+IF(#REF!&gt;12,OFFSET(#REF!,-12,0),0)</f>
        <v>#REF!</v>
      </c>
      <c r="CR109" s="166" t="e">
        <f ca="1">-SUM(#REF!)+SUM(#REF!) +Rezone!M109 + IF("Ch_"&amp; home_land=#REF!,#REF!)+IF(#REF!&gt;12,OFFSET(#REF!,-12,0),0)</f>
        <v>#REF!</v>
      </c>
      <c r="CS109" s="341" t="e">
        <f ca="1">-SUM(#REF!)+SUM(#REF!) +Rezone!N109 + IF("Ch_"&amp; home_land=#REF!,#REF!)+IF(#REF!&gt;12,OFFSET(#REF!,-12,0),0)</f>
        <v>#REF!</v>
      </c>
      <c r="CT109" s="167" t="e">
        <f ca="1">-SUM(#REF!)+SUM(#REF!) +Rezone!O109 + IF("Ch_" &amp; home_land=#REF!,#REF!)+IF(#REF!&gt;12,OFFSET(#REF!,-12,0),0)</f>
        <v>#REF!</v>
      </c>
      <c r="CU109" s="168" t="e">
        <f ca="1">-SUM(#REF!)+SUM(#REF!) +Rezone!P109 + IF("Ch_" &amp; home_land=#REF!,#REF!)+IF(#REF!&gt;12,OFFSET(#REF!,-12,0),0)</f>
        <v>#REF!</v>
      </c>
      <c r="CV109" s="169" t="e">
        <f ca="1">- SUM(#REF!)+SUM(#REF!) +Rezone!Q109 + IF("Ch_" &amp; home_land=#REF!,#REF!)+IF(#REF!&gt;12,OFFSET(#REF!,-12,0),0)</f>
        <v>#REF!</v>
      </c>
      <c r="CW109" s="170" t="e">
        <f ca="1">-#REF!+#REF! +Rezone!R109 + IF("Ch_" &amp; home_land=#REF!,#REF!)+IF(#REF!&gt;12,OFFSET(#REF!,-12,0),0)</f>
        <v>#REF!</v>
      </c>
      <c r="CX109" s="3" t="e">
        <f>IF(Explore!S109=1,20) -#REF! +#REF!</f>
        <v>#REF!</v>
      </c>
      <c r="CY109" s="134"/>
      <c r="CZ109" s="39" t="e">
        <f t="shared" ca="1" si="23"/>
        <v>#REF!</v>
      </c>
      <c r="DA109" s="39" t="e">
        <f t="shared" ca="1" si="24"/>
        <v>#REF!</v>
      </c>
      <c r="DB109" s="3" t="e">
        <f t="shared" ca="1" si="25"/>
        <v>#REF!</v>
      </c>
      <c r="DC109" s="39" t="e">
        <f t="shared" ca="1" si="26"/>
        <v>#REF!</v>
      </c>
      <c r="DD109" s="39" t="e">
        <f t="shared" ca="1" si="27"/>
        <v>#REF!</v>
      </c>
      <c r="DE109" s="3" t="e">
        <f t="shared" ca="1" si="28"/>
        <v>#REF!</v>
      </c>
      <c r="DF109" s="39" t="e">
        <f t="shared" ca="1" si="29"/>
        <v>#REF!</v>
      </c>
      <c r="DG109" s="39" t="e">
        <f t="array" ref="DG109">INDEX(#REF!,ROW()-ROW(#REF!),MATCH("Total "&amp;home_land,#REF!,0))+#REF!</f>
        <v>#REF!</v>
      </c>
      <c r="DH109" s="3" t="e">
        <f t="shared" ca="1" si="22"/>
        <v>#REF!</v>
      </c>
      <c r="DI109" s="3" t="e">
        <f t="shared" ca="1" si="19"/>
        <v>#REF!</v>
      </c>
      <c r="DJ109" s="3" t="e">
        <f t="shared" ca="1" si="20"/>
        <v>#REF!</v>
      </c>
    </row>
    <row r="110" spans="1:114" x14ac:dyDescent="0.25">
      <c r="A110" s="160" t="e">
        <f>#REF!</f>
        <v>#REF!</v>
      </c>
      <c r="B110" s="161" t="e">
        <f>SUM(#REF!)</f>
        <v>#REF!</v>
      </c>
      <c r="C110" s="162" t="e">
        <f>SUM(#REF!)</f>
        <v>#REF!</v>
      </c>
      <c r="D110" s="162">
        <f t="shared" si="21"/>
        <v>0</v>
      </c>
      <c r="E110" s="163"/>
      <c r="F110" s="61" t="e">
        <f>#REF!+#REF!+#REF!</f>
        <v>#REF!</v>
      </c>
      <c r="G110" s="171" t="e">
        <f ca="1">OFFSET(#REF!,-1,0)+#REF!</f>
        <v>#REF!</v>
      </c>
      <c r="H110" s="166" t="e">
        <f ca="1">OFFSET(#REF!,-1,0)+#REF!</f>
        <v>#REF!</v>
      </c>
      <c r="I110" s="341" t="e">
        <f ca="1">OFFSET(#REF!,-1,0)+#REF!</f>
        <v>#REF!</v>
      </c>
      <c r="J110" s="345" t="e">
        <f ca="1">OFFSET(#REF!,-1,0)+#REF!</f>
        <v>#REF!</v>
      </c>
      <c r="K110" s="349" t="e">
        <f ca="1">OFFSET(#REF!,-1,0)+#REF!</f>
        <v>#REF!</v>
      </c>
      <c r="L110" s="169" t="e">
        <f ca="1">OFFSET(#REF!,-1,0)+#REF!</f>
        <v>#REF!</v>
      </c>
      <c r="M110" s="170" t="e">
        <f ca="1">OFFSET(#REF!,-1,0)+#REF!</f>
        <v>#REF!</v>
      </c>
      <c r="N110" s="339" t="e">
        <f>#REF!</f>
        <v>#REF!</v>
      </c>
      <c r="O110" s="164"/>
      <c r="P110" s="164"/>
      <c r="Q110" s="164"/>
      <c r="R110" s="146"/>
      <c r="S110" s="164"/>
      <c r="T110" s="164"/>
      <c r="U110" s="164"/>
      <c r="V110" s="164"/>
      <c r="W110" s="164"/>
      <c r="X110" s="164"/>
      <c r="Y110" s="164"/>
      <c r="Z110" s="164"/>
      <c r="AA110" s="164"/>
      <c r="AB110" s="164"/>
      <c r="AC110" s="164"/>
      <c r="AD110" s="164"/>
      <c r="AE110" s="164"/>
      <c r="AF110" s="164"/>
      <c r="AG110" s="164"/>
      <c r="AH110" s="53" t="e">
        <f>#REF!</f>
        <v>#REF!</v>
      </c>
      <c r="AI110" s="132" t="e">
        <f>MIN(25%,(#REF!+#REF!)/(#REF!-#REF!*20))</f>
        <v>#REF!</v>
      </c>
      <c r="AJ110" s="132" t="e">
        <f>MIN(25%,(#REF!+#REF!)/#REF!)</f>
        <v>#REF!</v>
      </c>
      <c r="AK110" s="39" t="e">
        <f>#REF!</f>
        <v>#REF!</v>
      </c>
      <c r="AL110" s="39" t="e">
        <f>#REF!</f>
        <v>#REF!</v>
      </c>
      <c r="AM110" s="39" t="e">
        <f>ROUNDDOWN( MAX((1 - MIN(facs_constr_factor*#REF!,facs_constr_max) + tech_2_3*#REF! + tech_2_6_2*#REF! + tech_2_10*#REF! + tech_4_6*#REF! + tech_6_3*#REF! + tech_9_2*#REF! + race_construction_cost), 1-global_constr_cap) *#REF!,0)</f>
        <v>#REF!</v>
      </c>
      <c r="AN110" s="39" t="e">
        <f>ROUNDDOWN( MAX(1 - MIN(facs_constr_factor*#REF!,facs_constr_max) + tech_1_11*#REF! + tech_6_3_2*#REF! + tech_5_2_3*#REF!, 1-global_constr_cap) *#REF!,0)</f>
        <v>#REF!</v>
      </c>
      <c r="AO110" s="39" t="e">
        <f>ROUNDDOWN( MAX((1 - MIN(facs_constr_factor*#REF!,facs_constr_max) + tech_2_3*#REF! + tech_2_6_2*#REF! + tech_2_10*#REF! + tech_4_6*#REF! + tech_6_3*#REF! + tech_9_2*#REF! + race_construction_cost), 1-global_constr_cap) * (ROUND((#REF!-250)*1.25 + 850 + 0,0)),0)</f>
        <v>#REF!</v>
      </c>
      <c r="AP110" s="39" t="e">
        <f>ROUNDDOWN( MAX(1 - MIN(facs_constr_factor*#REF!,facs_constr_max) + tech_1_11*#REF! + tech_6_3_2*#REF! + tech_5_2_3*#REF!, 1-global_constr_cap) * ROUND((#REF!-250)*0.285 + 87.5 + 0/4.25,0),0)</f>
        <v>#REF!</v>
      </c>
      <c r="AQ110" s="3" t="e">
        <f>#REF!*#REF! +#REF! *#REF!</f>
        <v>#REF!</v>
      </c>
      <c r="AR110" s="3" t="e">
        <f>#REF!*#REF!+#REF!*#REF!</f>
        <v>#REF!</v>
      </c>
      <c r="AS110" s="39" t="e">
        <f ca="1">MIN(SUM(OFFSET(#REF!,-1,0))+SUM(#REF!)+IF(#REF!&gt;12,SUM(OFFSET(#REF!,-12,0)),0),SUM(#REF!))</f>
        <v>#REF!</v>
      </c>
      <c r="AT110" s="3" t="e">
        <f ca="1">IF(#REF!&lt;&gt;0,MAX(0, MIN(20, 20 + SUM(#REF!) - SUM(#REF!) - SUM(OFFSET(#REF!,-1,0)) - IF(#REF!&gt;12,SUM(OFFSET(#REF!,-12,0)),0) - 20*#REF!)),0)</f>
        <v>#REF!</v>
      </c>
      <c r="AU110" s="134"/>
      <c r="AV110" s="39" t="e">
        <f>ROUND((#REF!-250 - IF(#REF!&lt;&gt;0,20,0))*1.25 + 850 + 0,0)</f>
        <v>#REF!</v>
      </c>
      <c r="AW110" s="39" t="e">
        <f>ROUND((#REF!-250 - IF(#REF!&lt;&gt;0,20,0))*0.285 + 87.5 + 0/4.25,0)</f>
        <v>#REF!</v>
      </c>
      <c r="AX110" s="133"/>
      <c r="AY110" s="172" t="e">
        <f t="array" aca="1" ref="AY110" ca="1">IF(#REF!&gt;12,OFFSET(#REF!,-12,0),0)+OFFSET(#REF!,-1,0)-#REF!</f>
        <v>#REF!</v>
      </c>
      <c r="AZ110" s="173" t="e">
        <f t="array" aca="1" ref="AZ110" ca="1">IF(#REF!&gt;12,OFFSET(#REF!,-12,0),0)+OFFSET(#REF!,-1,0)-#REF!</f>
        <v>#REF!</v>
      </c>
      <c r="BA110" s="173" t="e">
        <f t="array" aca="1" ref="BA110" ca="1">IF(#REF!&gt;12,OFFSET(#REF!,-12,0),0)+OFFSET(#REF!,-1,0)-#REF!</f>
        <v>#REF!</v>
      </c>
      <c r="BB110" s="173" t="e">
        <f t="array" aca="1" ref="BB110" ca="1">IF(#REF!&gt;12,OFFSET(#REF!,-12,0),0)+OFFSET(#REF!,-1,0)-#REF!</f>
        <v>#REF!</v>
      </c>
      <c r="BC110" s="173" t="e">
        <f t="array" aca="1" ref="BC110" ca="1">IF(#REF!&gt;12,OFFSET(#REF!,-12,0),0)+OFFSET(#REF!,-1,0)-#REF!</f>
        <v>#REF!</v>
      </c>
      <c r="BD110" s="174" t="e">
        <f t="array" aca="1" ref="BD110" ca="1">IF(#REF!&gt;12,OFFSET(#REF!,-12,0),0)+OFFSET(#REF!,-1,0)-#REF!</f>
        <v>#REF!</v>
      </c>
      <c r="BE110" s="174" t="e">
        <f t="array" aca="1" ref="BE110" ca="1">IF(#REF!&gt;12,OFFSET(#REF!,-12,0),0)+OFFSET(#REF!,-1,0)-#REF!</f>
        <v>#REF!</v>
      </c>
      <c r="BF110" s="343" t="e">
        <f t="array" aca="1" ref="BF110" ca="1">IF(#REF!&gt;12,OFFSET(#REF!,-12,0),0)+OFFSET(#REF!,-1,0)-#REF!</f>
        <v>#REF!</v>
      </c>
      <c r="BG110" s="343" t="e">
        <f t="array" aca="1" ref="BG110" ca="1">IF(#REF!&gt;12,OFFSET(#REF!,-12,0),0)+OFFSET(#REF!,-1,0)-#REF!</f>
        <v>#REF!</v>
      </c>
      <c r="BH110" s="347" t="e">
        <f t="array" aca="1" ref="BH110" ca="1">IF(#REF!&gt;12,OFFSET(#REF!,-12,0),0)+OFFSET(#REF!,-1,0)-#REF!</f>
        <v>#REF!</v>
      </c>
      <c r="BI110" s="347" t="e">
        <f t="array" aca="1" ref="BI110" ca="1">IF(#REF!&gt;12,OFFSET(#REF!,-12,0),0)+OFFSET(#REF!,-1,0)-#REF!</f>
        <v>#REF!</v>
      </c>
      <c r="BJ110" s="347" t="e">
        <f t="array" aca="1" ref="BJ110" ca="1">IF(#REF!&gt;12,OFFSET(#REF!,-12,0),0)+OFFSET(#REF!,-1,0)-#REF!</f>
        <v>#REF!</v>
      </c>
      <c r="BK110" s="347" t="e">
        <f t="array" aca="1" ref="BK110" ca="1">IF(#REF!&gt;12,OFFSET(#REF!,-12,0),0)+OFFSET(#REF!,-1,0)-#REF!</f>
        <v>#REF!</v>
      </c>
      <c r="BL110" s="351" t="e">
        <f t="array" aca="1" ref="BL110" ca="1">IF(#REF!&gt;12,OFFSET(#REF!,-12,0),0)+OFFSET(#REF!,-1,0)-#REF!</f>
        <v>#REF!</v>
      </c>
      <c r="BM110" s="351" t="e">
        <f t="array" aca="1" ref="BM110" ca="1">IF(#REF!&gt;12,OFFSET(#REF!,-12,0),0)+OFFSET(#REF!,-1,0)-#REF!</f>
        <v>#REF!</v>
      </c>
      <c r="BN110" s="351" t="e">
        <f t="array" aca="1" ref="BN110" ca="1">IF(#REF!&gt;12,OFFSET(#REF!,-12,0),0)+OFFSET(#REF!,-1,0)-#REF!</f>
        <v>#REF!</v>
      </c>
      <c r="BO110" s="175" t="e">
        <f t="array" aca="1" ref="BO110" ca="1">IF(#REF!&gt;12,OFFSET(#REF!,-12,0),0)+OFFSET(#REF!,-1,0)-#REF!</f>
        <v>#REF!</v>
      </c>
      <c r="BP110" s="175" t="e">
        <f t="array" aca="1" ref="BP110" ca="1">IF(#REF!&gt;12,OFFSET(#REF!,-12,0),0)+OFFSET(#REF!,-1,0)-#REF!</f>
        <v>#REF!</v>
      </c>
      <c r="BQ110" s="176" t="e">
        <f t="array" aca="1" ref="BQ110" ca="1">IF(#REF!&gt;12,OFFSET(#REF!,-12,0),0)+OFFSET(#REF!,-1,0)-#REF!</f>
        <v>#REF!</v>
      </c>
      <c r="BR110" s="134"/>
      <c r="BS110" s="133"/>
      <c r="BT110" s="39" t="e">
        <f>#REF!</f>
        <v>#REF!</v>
      </c>
      <c r="BU110" s="147" t="e">
        <f>#REF!</f>
        <v>#REF!</v>
      </c>
      <c r="BV110" s="134"/>
      <c r="BW110" s="164"/>
      <c r="BX110" s="164"/>
      <c r="BY110" s="164"/>
      <c r="BZ110" s="164"/>
      <c r="CA110" s="164"/>
      <c r="CB110" s="164"/>
      <c r="CC110" s="164"/>
      <c r="CD110" s="164"/>
      <c r="CE110" s="164"/>
      <c r="CF110" s="164"/>
      <c r="CG110" s="164"/>
      <c r="CH110" s="164"/>
      <c r="CI110" s="164"/>
      <c r="CJ110" s="164"/>
      <c r="CK110" s="164"/>
      <c r="CL110" s="164"/>
      <c r="CM110" s="164"/>
      <c r="CN110" s="164"/>
      <c r="CO110" s="164"/>
      <c r="CP110" s="134"/>
      <c r="CQ110" s="165" t="e">
        <f ca="1">-SUM(#REF!)+SUM(#REF!)+Rezone!L110+IF("Ch_"&amp; home_land=#REF!,#REF!)+IF(#REF!&gt;12,OFFSET(#REF!,-12,0),0)</f>
        <v>#REF!</v>
      </c>
      <c r="CR110" s="166" t="e">
        <f ca="1">-SUM(#REF!)+SUM(#REF!) +Rezone!M110 + IF("Ch_"&amp; home_land=#REF!,#REF!)+IF(#REF!&gt;12,OFFSET(#REF!,-12,0),0)</f>
        <v>#REF!</v>
      </c>
      <c r="CS110" s="341" t="e">
        <f ca="1">-SUM(#REF!)+SUM(#REF!) +Rezone!N110 + IF("Ch_"&amp; home_land=#REF!,#REF!)+IF(#REF!&gt;12,OFFSET(#REF!,-12,0),0)</f>
        <v>#REF!</v>
      </c>
      <c r="CT110" s="167" t="e">
        <f ca="1">-SUM(#REF!)+SUM(#REF!) +Rezone!O110 + IF("Ch_" &amp; home_land=#REF!,#REF!)+IF(#REF!&gt;12,OFFSET(#REF!,-12,0),0)</f>
        <v>#REF!</v>
      </c>
      <c r="CU110" s="168" t="e">
        <f ca="1">-SUM(#REF!)+SUM(#REF!) +Rezone!P110 + IF("Ch_" &amp; home_land=#REF!,#REF!)+IF(#REF!&gt;12,OFFSET(#REF!,-12,0),0)</f>
        <v>#REF!</v>
      </c>
      <c r="CV110" s="169" t="e">
        <f ca="1">- SUM(#REF!)+SUM(#REF!) +Rezone!Q110 + IF("Ch_" &amp; home_land=#REF!,#REF!)+IF(#REF!&gt;12,OFFSET(#REF!,-12,0),0)</f>
        <v>#REF!</v>
      </c>
      <c r="CW110" s="170" t="e">
        <f ca="1">-#REF!+#REF! +Rezone!R110 + IF("Ch_" &amp; home_land=#REF!,#REF!)+IF(#REF!&gt;12,OFFSET(#REF!,-12,0),0)</f>
        <v>#REF!</v>
      </c>
      <c r="CX110" s="3" t="e">
        <f>IF(Explore!S110=1,20) -#REF! +#REF!</f>
        <v>#REF!</v>
      </c>
      <c r="CY110" s="134"/>
      <c r="CZ110" s="39" t="e">
        <f t="shared" ca="1" si="23"/>
        <v>#REF!</v>
      </c>
      <c r="DA110" s="39" t="e">
        <f t="shared" ca="1" si="24"/>
        <v>#REF!</v>
      </c>
      <c r="DB110" s="3" t="e">
        <f t="shared" ca="1" si="25"/>
        <v>#REF!</v>
      </c>
      <c r="DC110" s="39" t="e">
        <f t="shared" ca="1" si="26"/>
        <v>#REF!</v>
      </c>
      <c r="DD110" s="39" t="e">
        <f t="shared" ca="1" si="27"/>
        <v>#REF!</v>
      </c>
      <c r="DE110" s="3" t="e">
        <f t="shared" ca="1" si="28"/>
        <v>#REF!</v>
      </c>
      <c r="DF110" s="39" t="e">
        <f t="shared" ca="1" si="29"/>
        <v>#REF!</v>
      </c>
      <c r="DG110" s="39" t="e">
        <f t="array" ref="DG110">INDEX(#REF!,ROW()-ROW(#REF!),MATCH("Total "&amp;home_land,#REF!,0))+#REF!</f>
        <v>#REF!</v>
      </c>
      <c r="DH110" s="3" t="e">
        <f t="shared" ca="1" si="22"/>
        <v>#REF!</v>
      </c>
      <c r="DI110" s="3" t="e">
        <f t="shared" ca="1" si="19"/>
        <v>#REF!</v>
      </c>
      <c r="DJ110" s="3" t="e">
        <f t="shared" ca="1" si="20"/>
        <v>#REF!</v>
      </c>
    </row>
    <row r="111" spans="1:114" x14ac:dyDescent="0.25">
      <c r="A111" s="160" t="e">
        <f>#REF!</f>
        <v>#REF!</v>
      </c>
      <c r="B111" s="161" t="e">
        <f>SUM(#REF!)</f>
        <v>#REF!</v>
      </c>
      <c r="C111" s="162" t="e">
        <f>SUM(#REF!)</f>
        <v>#REF!</v>
      </c>
      <c r="D111" s="162">
        <f t="shared" si="21"/>
        <v>0</v>
      </c>
      <c r="E111" s="163"/>
      <c r="F111" s="61" t="e">
        <f>#REF!+#REF!+#REF!</f>
        <v>#REF!</v>
      </c>
      <c r="G111" s="171" t="e">
        <f ca="1">OFFSET(#REF!,-1,0)+#REF!</f>
        <v>#REF!</v>
      </c>
      <c r="H111" s="166" t="e">
        <f ca="1">OFFSET(#REF!,-1,0)+#REF!</f>
        <v>#REF!</v>
      </c>
      <c r="I111" s="341" t="e">
        <f ca="1">OFFSET(#REF!,-1,0)+#REF!</f>
        <v>#REF!</v>
      </c>
      <c r="J111" s="345" t="e">
        <f ca="1">OFFSET(#REF!,-1,0)+#REF!</f>
        <v>#REF!</v>
      </c>
      <c r="K111" s="349" t="e">
        <f ca="1">OFFSET(#REF!,-1,0)+#REF!</f>
        <v>#REF!</v>
      </c>
      <c r="L111" s="169" t="e">
        <f ca="1">OFFSET(#REF!,-1,0)+#REF!</f>
        <v>#REF!</v>
      </c>
      <c r="M111" s="170" t="e">
        <f ca="1">OFFSET(#REF!,-1,0)+#REF!</f>
        <v>#REF!</v>
      </c>
      <c r="N111" s="339" t="e">
        <f>#REF!</f>
        <v>#REF!</v>
      </c>
      <c r="O111" s="164"/>
      <c r="P111" s="164"/>
      <c r="Q111" s="164"/>
      <c r="R111" s="146"/>
      <c r="S111" s="164"/>
      <c r="T111" s="164"/>
      <c r="U111" s="164"/>
      <c r="V111" s="164"/>
      <c r="W111" s="164"/>
      <c r="X111" s="164"/>
      <c r="Y111" s="164"/>
      <c r="Z111" s="164"/>
      <c r="AA111" s="164"/>
      <c r="AB111" s="164"/>
      <c r="AC111" s="164"/>
      <c r="AD111" s="164"/>
      <c r="AE111" s="164"/>
      <c r="AF111" s="164"/>
      <c r="AG111" s="164"/>
      <c r="AH111" s="53" t="e">
        <f>#REF!</f>
        <v>#REF!</v>
      </c>
      <c r="AI111" s="132" t="e">
        <f>MIN(25%,(#REF!+#REF!)/(#REF!-#REF!*20))</f>
        <v>#REF!</v>
      </c>
      <c r="AJ111" s="132" t="e">
        <f>MIN(25%,(#REF!+#REF!)/#REF!)</f>
        <v>#REF!</v>
      </c>
      <c r="AK111" s="39" t="e">
        <f>#REF!</f>
        <v>#REF!</v>
      </c>
      <c r="AL111" s="39" t="e">
        <f>#REF!</f>
        <v>#REF!</v>
      </c>
      <c r="AM111" s="39" t="e">
        <f>ROUNDDOWN( MAX((1 - MIN(facs_constr_factor*#REF!,facs_constr_max) + tech_2_3*#REF! + tech_2_6_2*#REF! + tech_2_10*#REF! + tech_4_6*#REF! + tech_6_3*#REF! + tech_9_2*#REF! + race_construction_cost), 1-global_constr_cap) *#REF!,0)</f>
        <v>#REF!</v>
      </c>
      <c r="AN111" s="39" t="e">
        <f>ROUNDDOWN( MAX(1 - MIN(facs_constr_factor*#REF!,facs_constr_max) + tech_1_11*#REF! + tech_6_3_2*#REF! + tech_5_2_3*#REF!, 1-global_constr_cap) *#REF!,0)</f>
        <v>#REF!</v>
      </c>
      <c r="AO111" s="39" t="e">
        <f>ROUNDDOWN( MAX((1 - MIN(facs_constr_factor*#REF!,facs_constr_max) + tech_2_3*#REF! + tech_2_6_2*#REF! + tech_2_10*#REF! + tech_4_6*#REF! + tech_6_3*#REF! + tech_9_2*#REF! + race_construction_cost), 1-global_constr_cap) * (ROUND((#REF!-250)*1.25 + 850 + 0,0)),0)</f>
        <v>#REF!</v>
      </c>
      <c r="AP111" s="39" t="e">
        <f>ROUNDDOWN( MAX(1 - MIN(facs_constr_factor*#REF!,facs_constr_max) + tech_1_11*#REF! + tech_6_3_2*#REF! + tech_5_2_3*#REF!, 1-global_constr_cap) * ROUND((#REF!-250)*0.285 + 87.5 + 0/4.25,0),0)</f>
        <v>#REF!</v>
      </c>
      <c r="AQ111" s="3" t="e">
        <f>#REF!*#REF! +#REF! *#REF!</f>
        <v>#REF!</v>
      </c>
      <c r="AR111" s="3" t="e">
        <f>#REF!*#REF!+#REF!*#REF!</f>
        <v>#REF!</v>
      </c>
      <c r="AS111" s="39" t="e">
        <f ca="1">MIN(SUM(OFFSET(#REF!,-1,0))+SUM(#REF!)+IF(#REF!&gt;12,SUM(OFFSET(#REF!,-12,0)),0),SUM(#REF!))</f>
        <v>#REF!</v>
      </c>
      <c r="AT111" s="3" t="e">
        <f ca="1">IF(#REF!&lt;&gt;0,MAX(0, MIN(20, 20 + SUM(#REF!) - SUM(#REF!) - SUM(OFFSET(#REF!,-1,0)) - IF(#REF!&gt;12,SUM(OFFSET(#REF!,-12,0)),0) - 20*#REF!)),0)</f>
        <v>#REF!</v>
      </c>
      <c r="AU111" s="134"/>
      <c r="AV111" s="39" t="e">
        <f>ROUND((#REF!-250 - IF(#REF!&lt;&gt;0,20,0))*1.25 + 850 + 0,0)</f>
        <v>#REF!</v>
      </c>
      <c r="AW111" s="39" t="e">
        <f>ROUND((#REF!-250 - IF(#REF!&lt;&gt;0,20,0))*0.285 + 87.5 + 0/4.25,0)</f>
        <v>#REF!</v>
      </c>
      <c r="AX111" s="133"/>
      <c r="AY111" s="172" t="e">
        <f t="array" aca="1" ref="AY111" ca="1">IF(#REF!&gt;12,OFFSET(#REF!,-12,0),0)+OFFSET(#REF!,-1,0)-#REF!</f>
        <v>#REF!</v>
      </c>
      <c r="AZ111" s="173" t="e">
        <f t="array" aca="1" ref="AZ111" ca="1">IF(#REF!&gt;12,OFFSET(#REF!,-12,0),0)+OFFSET(#REF!,-1,0)-#REF!</f>
        <v>#REF!</v>
      </c>
      <c r="BA111" s="173" t="e">
        <f t="array" aca="1" ref="BA111" ca="1">IF(#REF!&gt;12,OFFSET(#REF!,-12,0),0)+OFFSET(#REF!,-1,0)-#REF!</f>
        <v>#REF!</v>
      </c>
      <c r="BB111" s="173" t="e">
        <f t="array" aca="1" ref="BB111" ca="1">IF(#REF!&gt;12,OFFSET(#REF!,-12,0),0)+OFFSET(#REF!,-1,0)-#REF!</f>
        <v>#REF!</v>
      </c>
      <c r="BC111" s="173" t="e">
        <f t="array" aca="1" ref="BC111" ca="1">IF(#REF!&gt;12,OFFSET(#REF!,-12,0),0)+OFFSET(#REF!,-1,0)-#REF!</f>
        <v>#REF!</v>
      </c>
      <c r="BD111" s="174" t="e">
        <f t="array" aca="1" ref="BD111" ca="1">IF(#REF!&gt;12,OFFSET(#REF!,-12,0),0)+OFFSET(#REF!,-1,0)-#REF!</f>
        <v>#REF!</v>
      </c>
      <c r="BE111" s="174" t="e">
        <f t="array" aca="1" ref="BE111" ca="1">IF(#REF!&gt;12,OFFSET(#REF!,-12,0),0)+OFFSET(#REF!,-1,0)-#REF!</f>
        <v>#REF!</v>
      </c>
      <c r="BF111" s="343" t="e">
        <f t="array" aca="1" ref="BF111" ca="1">IF(#REF!&gt;12,OFFSET(#REF!,-12,0),0)+OFFSET(#REF!,-1,0)-#REF!</f>
        <v>#REF!</v>
      </c>
      <c r="BG111" s="343" t="e">
        <f t="array" aca="1" ref="BG111" ca="1">IF(#REF!&gt;12,OFFSET(#REF!,-12,0),0)+OFFSET(#REF!,-1,0)-#REF!</f>
        <v>#REF!</v>
      </c>
      <c r="BH111" s="347" t="e">
        <f t="array" aca="1" ref="BH111" ca="1">IF(#REF!&gt;12,OFFSET(#REF!,-12,0),0)+OFFSET(#REF!,-1,0)-#REF!</f>
        <v>#REF!</v>
      </c>
      <c r="BI111" s="347" t="e">
        <f t="array" aca="1" ref="BI111" ca="1">IF(#REF!&gt;12,OFFSET(#REF!,-12,0),0)+OFFSET(#REF!,-1,0)-#REF!</f>
        <v>#REF!</v>
      </c>
      <c r="BJ111" s="347" t="e">
        <f t="array" aca="1" ref="BJ111" ca="1">IF(#REF!&gt;12,OFFSET(#REF!,-12,0),0)+OFFSET(#REF!,-1,0)-#REF!</f>
        <v>#REF!</v>
      </c>
      <c r="BK111" s="347" t="e">
        <f t="array" aca="1" ref="BK111" ca="1">IF(#REF!&gt;12,OFFSET(#REF!,-12,0),0)+OFFSET(#REF!,-1,0)-#REF!</f>
        <v>#REF!</v>
      </c>
      <c r="BL111" s="351" t="e">
        <f t="array" aca="1" ref="BL111" ca="1">IF(#REF!&gt;12,OFFSET(#REF!,-12,0),0)+OFFSET(#REF!,-1,0)-#REF!</f>
        <v>#REF!</v>
      </c>
      <c r="BM111" s="351" t="e">
        <f t="array" aca="1" ref="BM111" ca="1">IF(#REF!&gt;12,OFFSET(#REF!,-12,0),0)+OFFSET(#REF!,-1,0)-#REF!</f>
        <v>#REF!</v>
      </c>
      <c r="BN111" s="351" t="e">
        <f t="array" aca="1" ref="BN111" ca="1">IF(#REF!&gt;12,OFFSET(#REF!,-12,0),0)+OFFSET(#REF!,-1,0)-#REF!</f>
        <v>#REF!</v>
      </c>
      <c r="BO111" s="175" t="e">
        <f t="array" aca="1" ref="BO111" ca="1">IF(#REF!&gt;12,OFFSET(#REF!,-12,0),0)+OFFSET(#REF!,-1,0)-#REF!</f>
        <v>#REF!</v>
      </c>
      <c r="BP111" s="175" t="e">
        <f t="array" aca="1" ref="BP111" ca="1">IF(#REF!&gt;12,OFFSET(#REF!,-12,0),0)+OFFSET(#REF!,-1,0)-#REF!</f>
        <v>#REF!</v>
      </c>
      <c r="BQ111" s="176" t="e">
        <f t="array" aca="1" ref="BQ111" ca="1">IF(#REF!&gt;12,OFFSET(#REF!,-12,0),0)+OFFSET(#REF!,-1,0)-#REF!</f>
        <v>#REF!</v>
      </c>
      <c r="BR111" s="134"/>
      <c r="BS111" s="133"/>
      <c r="BT111" s="39" t="e">
        <f>#REF!</f>
        <v>#REF!</v>
      </c>
      <c r="BU111" s="147" t="e">
        <f>#REF!</f>
        <v>#REF!</v>
      </c>
      <c r="BV111" s="134"/>
      <c r="BW111" s="164"/>
      <c r="BX111" s="164"/>
      <c r="BY111" s="164"/>
      <c r="BZ111" s="164"/>
      <c r="CA111" s="164"/>
      <c r="CB111" s="164"/>
      <c r="CC111" s="164"/>
      <c r="CD111" s="164"/>
      <c r="CE111" s="164"/>
      <c r="CF111" s="164"/>
      <c r="CG111" s="164"/>
      <c r="CH111" s="164"/>
      <c r="CI111" s="164"/>
      <c r="CJ111" s="164"/>
      <c r="CK111" s="164"/>
      <c r="CL111" s="164"/>
      <c r="CM111" s="164"/>
      <c r="CN111" s="164"/>
      <c r="CO111" s="164"/>
      <c r="CP111" s="134"/>
      <c r="CQ111" s="165" t="e">
        <f ca="1">-SUM(#REF!)+SUM(#REF!)+Rezone!L111+IF("Ch_"&amp; home_land=#REF!,#REF!)+IF(#REF!&gt;12,OFFSET(#REF!,-12,0),0)</f>
        <v>#REF!</v>
      </c>
      <c r="CR111" s="166" t="e">
        <f ca="1">-SUM(#REF!)+SUM(#REF!) +Rezone!M111 + IF("Ch_"&amp; home_land=#REF!,#REF!)+IF(#REF!&gt;12,OFFSET(#REF!,-12,0),0)</f>
        <v>#REF!</v>
      </c>
      <c r="CS111" s="341" t="e">
        <f ca="1">-SUM(#REF!)+SUM(#REF!) +Rezone!N111 + IF("Ch_"&amp; home_land=#REF!,#REF!)+IF(#REF!&gt;12,OFFSET(#REF!,-12,0),0)</f>
        <v>#REF!</v>
      </c>
      <c r="CT111" s="167" t="e">
        <f ca="1">-SUM(#REF!)+SUM(#REF!) +Rezone!O111 + IF("Ch_" &amp; home_land=#REF!,#REF!)+IF(#REF!&gt;12,OFFSET(#REF!,-12,0),0)</f>
        <v>#REF!</v>
      </c>
      <c r="CU111" s="168" t="e">
        <f ca="1">-SUM(#REF!)+SUM(#REF!) +Rezone!P111 + IF("Ch_" &amp; home_land=#REF!,#REF!)+IF(#REF!&gt;12,OFFSET(#REF!,-12,0),0)</f>
        <v>#REF!</v>
      </c>
      <c r="CV111" s="169" t="e">
        <f ca="1">- SUM(#REF!)+SUM(#REF!) +Rezone!Q111 + IF("Ch_" &amp; home_land=#REF!,#REF!)+IF(#REF!&gt;12,OFFSET(#REF!,-12,0),0)</f>
        <v>#REF!</v>
      </c>
      <c r="CW111" s="170" t="e">
        <f ca="1">-#REF!+#REF! +Rezone!R111 + IF("Ch_" &amp; home_land=#REF!,#REF!)+IF(#REF!&gt;12,OFFSET(#REF!,-12,0),0)</f>
        <v>#REF!</v>
      </c>
      <c r="CX111" s="3" t="e">
        <f>IF(Explore!S111=1,20) -#REF! +#REF!</f>
        <v>#REF!</v>
      </c>
      <c r="CY111" s="134"/>
      <c r="CZ111" s="39" t="e">
        <f t="shared" ca="1" si="23"/>
        <v>#REF!</v>
      </c>
      <c r="DA111" s="39" t="e">
        <f t="shared" ca="1" si="24"/>
        <v>#REF!</v>
      </c>
      <c r="DB111" s="3" t="e">
        <f t="shared" ca="1" si="25"/>
        <v>#REF!</v>
      </c>
      <c r="DC111" s="39" t="e">
        <f t="shared" ca="1" si="26"/>
        <v>#REF!</v>
      </c>
      <c r="DD111" s="39" t="e">
        <f t="shared" ca="1" si="27"/>
        <v>#REF!</v>
      </c>
      <c r="DE111" s="3" t="e">
        <f t="shared" ca="1" si="28"/>
        <v>#REF!</v>
      </c>
      <c r="DF111" s="39" t="e">
        <f t="shared" ca="1" si="29"/>
        <v>#REF!</v>
      </c>
      <c r="DG111" s="39" t="e">
        <f t="array" ref="DG111">INDEX(#REF!,ROW()-ROW(#REF!),MATCH("Total "&amp;home_land,#REF!,0))+#REF!</f>
        <v>#REF!</v>
      </c>
      <c r="DH111" s="3" t="e">
        <f t="shared" ca="1" si="22"/>
        <v>#REF!</v>
      </c>
      <c r="DI111" s="3" t="e">
        <f t="shared" ca="1" si="19"/>
        <v>#REF!</v>
      </c>
      <c r="DJ111" s="3" t="e">
        <f t="shared" ca="1" si="20"/>
        <v>#REF!</v>
      </c>
    </row>
    <row r="112" spans="1:114" x14ac:dyDescent="0.25">
      <c r="A112" s="160" t="e">
        <f>#REF!</f>
        <v>#REF!</v>
      </c>
      <c r="B112" s="161" t="e">
        <f>SUM(#REF!)</f>
        <v>#REF!</v>
      </c>
      <c r="C112" s="162" t="e">
        <f>SUM(#REF!)</f>
        <v>#REF!</v>
      </c>
      <c r="D112" s="162">
        <f t="shared" si="21"/>
        <v>0</v>
      </c>
      <c r="E112" s="163"/>
      <c r="F112" s="61" t="e">
        <f>#REF!+#REF!+#REF!</f>
        <v>#REF!</v>
      </c>
      <c r="G112" s="171" t="e">
        <f ca="1">OFFSET(#REF!,-1,0)+#REF!</f>
        <v>#REF!</v>
      </c>
      <c r="H112" s="166" t="e">
        <f ca="1">OFFSET(#REF!,-1,0)+#REF!</f>
        <v>#REF!</v>
      </c>
      <c r="I112" s="341" t="e">
        <f ca="1">OFFSET(#REF!,-1,0)+#REF!</f>
        <v>#REF!</v>
      </c>
      <c r="J112" s="345" t="e">
        <f ca="1">OFFSET(#REF!,-1,0)+#REF!</f>
        <v>#REF!</v>
      </c>
      <c r="K112" s="349" t="e">
        <f ca="1">OFFSET(#REF!,-1,0)+#REF!</f>
        <v>#REF!</v>
      </c>
      <c r="L112" s="169" t="e">
        <f ca="1">OFFSET(#REF!,-1,0)+#REF!</f>
        <v>#REF!</v>
      </c>
      <c r="M112" s="170" t="e">
        <f ca="1">OFFSET(#REF!,-1,0)+#REF!</f>
        <v>#REF!</v>
      </c>
      <c r="N112" s="339" t="e">
        <f>#REF!</f>
        <v>#REF!</v>
      </c>
      <c r="O112" s="164"/>
      <c r="P112" s="164"/>
      <c r="Q112" s="164"/>
      <c r="R112" s="164"/>
      <c r="S112" s="164"/>
      <c r="T112" s="164"/>
      <c r="U112" s="164"/>
      <c r="V112" s="164"/>
      <c r="W112" s="164"/>
      <c r="X112" s="164"/>
      <c r="Y112" s="164"/>
      <c r="Z112" s="164"/>
      <c r="AA112" s="164"/>
      <c r="AB112" s="164"/>
      <c r="AC112" s="164"/>
      <c r="AD112" s="164"/>
      <c r="AE112" s="164"/>
      <c r="AF112" s="164"/>
      <c r="AG112" s="164"/>
      <c r="AH112" s="53" t="e">
        <f>#REF!</f>
        <v>#REF!</v>
      </c>
      <c r="AI112" s="132" t="e">
        <f>MIN(25%,(#REF!+#REF!)/(#REF!-#REF!*20))</f>
        <v>#REF!</v>
      </c>
      <c r="AJ112" s="132" t="e">
        <f>MIN(25%,(#REF!+#REF!)/#REF!)</f>
        <v>#REF!</v>
      </c>
      <c r="AK112" s="39" t="e">
        <f>#REF!</f>
        <v>#REF!</v>
      </c>
      <c r="AL112" s="39" t="e">
        <f>#REF!</f>
        <v>#REF!</v>
      </c>
      <c r="AM112" s="39" t="e">
        <f>ROUNDDOWN( MAX((1 - MIN(facs_constr_factor*#REF!,facs_constr_max) + tech_2_3*#REF! + tech_2_6_2*#REF! + tech_2_10*#REF! + tech_4_6*#REF! + tech_6_3*#REF! + tech_9_2*#REF! + race_construction_cost), 1-global_constr_cap) *#REF!,0)</f>
        <v>#REF!</v>
      </c>
      <c r="AN112" s="39" t="e">
        <f>ROUNDDOWN( MAX(1 - MIN(facs_constr_factor*#REF!,facs_constr_max) + tech_1_11*#REF! + tech_6_3_2*#REF! + tech_5_2_3*#REF!, 1-global_constr_cap) *#REF!,0)</f>
        <v>#REF!</v>
      </c>
      <c r="AO112" s="39" t="e">
        <f>ROUNDDOWN( MAX((1 - MIN(facs_constr_factor*#REF!,facs_constr_max) + tech_2_3*#REF! + tech_2_6_2*#REF! + tech_2_10*#REF! + tech_4_6*#REF! + tech_6_3*#REF! + tech_9_2*#REF! + race_construction_cost), 1-global_constr_cap) * (ROUND((#REF!-250)*1.25 + 850 + 0,0)),0)</f>
        <v>#REF!</v>
      </c>
      <c r="AP112" s="39" t="e">
        <f>ROUNDDOWN( MAX(1 - MIN(facs_constr_factor*#REF!,facs_constr_max) + tech_1_11*#REF! + tech_6_3_2*#REF! + tech_5_2_3*#REF!, 1-global_constr_cap) * ROUND((#REF!-250)*0.285 + 87.5 + 0/4.25,0),0)</f>
        <v>#REF!</v>
      </c>
      <c r="AQ112" s="3" t="e">
        <f>#REF!*#REF! +#REF! *#REF!</f>
        <v>#REF!</v>
      </c>
      <c r="AR112" s="3" t="e">
        <f>#REF!*#REF!+#REF!*#REF!</f>
        <v>#REF!</v>
      </c>
      <c r="AS112" s="39" t="e">
        <f ca="1">MIN(SUM(OFFSET(#REF!,-1,0))+SUM(#REF!)+IF(#REF!&gt;12,SUM(OFFSET(#REF!,-12,0)),0),SUM(#REF!))</f>
        <v>#REF!</v>
      </c>
      <c r="AT112" s="3" t="e">
        <f ca="1">IF(#REF!&lt;&gt;0,MAX(0, MIN(20, 20 + SUM(#REF!) - SUM(#REF!) - SUM(OFFSET(#REF!,-1,0)) - IF(#REF!&gt;12,SUM(OFFSET(#REF!,-12,0)),0) - 20*#REF!)),0)</f>
        <v>#REF!</v>
      </c>
      <c r="AU112" s="134"/>
      <c r="AV112" s="39" t="e">
        <f>ROUND((#REF!-250 - IF(#REF!&lt;&gt;0,20,0))*1.25 + 850 + 0,0)</f>
        <v>#REF!</v>
      </c>
      <c r="AW112" s="39" t="e">
        <f>ROUND((#REF!-250 - IF(#REF!&lt;&gt;0,20,0))*0.285 + 87.5 + 0/4.25,0)</f>
        <v>#REF!</v>
      </c>
      <c r="AX112" s="133"/>
      <c r="AY112" s="172" t="e">
        <f t="array" aca="1" ref="AY112" ca="1">IF(#REF!&gt;12,OFFSET(#REF!,-12,0),0)+OFFSET(#REF!,-1,0)-#REF!</f>
        <v>#REF!</v>
      </c>
      <c r="AZ112" s="173" t="e">
        <f t="array" aca="1" ref="AZ112" ca="1">IF(#REF!&gt;12,OFFSET(#REF!,-12,0),0)+OFFSET(#REF!,-1,0)-#REF!</f>
        <v>#REF!</v>
      </c>
      <c r="BA112" s="173" t="e">
        <f t="array" aca="1" ref="BA112" ca="1">IF(#REF!&gt;12,OFFSET(#REF!,-12,0),0)+OFFSET(#REF!,-1,0)-#REF!</f>
        <v>#REF!</v>
      </c>
      <c r="BB112" s="173" t="e">
        <f t="array" aca="1" ref="BB112" ca="1">IF(#REF!&gt;12,OFFSET(#REF!,-12,0),0)+OFFSET(#REF!,-1,0)-#REF!</f>
        <v>#REF!</v>
      </c>
      <c r="BC112" s="173" t="e">
        <f t="array" aca="1" ref="BC112" ca="1">IF(#REF!&gt;12,OFFSET(#REF!,-12,0),0)+OFFSET(#REF!,-1,0)-#REF!</f>
        <v>#REF!</v>
      </c>
      <c r="BD112" s="174" t="e">
        <f t="array" aca="1" ref="BD112" ca="1">IF(#REF!&gt;12,OFFSET(#REF!,-12,0),0)+OFFSET(#REF!,-1,0)-#REF!</f>
        <v>#REF!</v>
      </c>
      <c r="BE112" s="174" t="e">
        <f t="array" aca="1" ref="BE112" ca="1">IF(#REF!&gt;12,OFFSET(#REF!,-12,0),0)+OFFSET(#REF!,-1,0)-#REF!</f>
        <v>#REF!</v>
      </c>
      <c r="BF112" s="343" t="e">
        <f t="array" aca="1" ref="BF112" ca="1">IF(#REF!&gt;12,OFFSET(#REF!,-12,0),0)+OFFSET(#REF!,-1,0)-#REF!</f>
        <v>#REF!</v>
      </c>
      <c r="BG112" s="343" t="e">
        <f t="array" aca="1" ref="BG112" ca="1">IF(#REF!&gt;12,OFFSET(#REF!,-12,0),0)+OFFSET(#REF!,-1,0)-#REF!</f>
        <v>#REF!</v>
      </c>
      <c r="BH112" s="347" t="e">
        <f t="array" aca="1" ref="BH112" ca="1">IF(#REF!&gt;12,OFFSET(#REF!,-12,0),0)+OFFSET(#REF!,-1,0)-#REF!</f>
        <v>#REF!</v>
      </c>
      <c r="BI112" s="347" t="e">
        <f t="array" aca="1" ref="BI112" ca="1">IF(#REF!&gt;12,OFFSET(#REF!,-12,0),0)+OFFSET(#REF!,-1,0)-#REF!</f>
        <v>#REF!</v>
      </c>
      <c r="BJ112" s="347" t="e">
        <f t="array" aca="1" ref="BJ112" ca="1">IF(#REF!&gt;12,OFFSET(#REF!,-12,0),0)+OFFSET(#REF!,-1,0)-#REF!</f>
        <v>#REF!</v>
      </c>
      <c r="BK112" s="347" t="e">
        <f t="array" aca="1" ref="BK112" ca="1">IF(#REF!&gt;12,OFFSET(#REF!,-12,0),0)+OFFSET(#REF!,-1,0)-#REF!</f>
        <v>#REF!</v>
      </c>
      <c r="BL112" s="351" t="e">
        <f t="array" aca="1" ref="BL112" ca="1">IF(#REF!&gt;12,OFFSET(#REF!,-12,0),0)+OFFSET(#REF!,-1,0)-#REF!</f>
        <v>#REF!</v>
      </c>
      <c r="BM112" s="351" t="e">
        <f t="array" aca="1" ref="BM112" ca="1">IF(#REF!&gt;12,OFFSET(#REF!,-12,0),0)+OFFSET(#REF!,-1,0)-#REF!</f>
        <v>#REF!</v>
      </c>
      <c r="BN112" s="351" t="e">
        <f t="array" aca="1" ref="BN112" ca="1">IF(#REF!&gt;12,OFFSET(#REF!,-12,0),0)+OFFSET(#REF!,-1,0)-#REF!</f>
        <v>#REF!</v>
      </c>
      <c r="BO112" s="175" t="e">
        <f t="array" aca="1" ref="BO112" ca="1">IF(#REF!&gt;12,OFFSET(#REF!,-12,0),0)+OFFSET(#REF!,-1,0)-#REF!</f>
        <v>#REF!</v>
      </c>
      <c r="BP112" s="175" t="e">
        <f t="array" aca="1" ref="BP112" ca="1">IF(#REF!&gt;12,OFFSET(#REF!,-12,0),0)+OFFSET(#REF!,-1,0)-#REF!</f>
        <v>#REF!</v>
      </c>
      <c r="BQ112" s="176" t="e">
        <f t="array" aca="1" ref="BQ112" ca="1">IF(#REF!&gt;12,OFFSET(#REF!,-12,0),0)+OFFSET(#REF!,-1,0)-#REF!</f>
        <v>#REF!</v>
      </c>
      <c r="BR112" s="134"/>
      <c r="BS112" s="133"/>
      <c r="BT112" s="39" t="e">
        <f>#REF!</f>
        <v>#REF!</v>
      </c>
      <c r="BU112" s="147" t="e">
        <f>#REF!</f>
        <v>#REF!</v>
      </c>
      <c r="BV112" s="134"/>
      <c r="BW112" s="164"/>
      <c r="BX112" s="164"/>
      <c r="BY112" s="164"/>
      <c r="BZ112" s="164"/>
      <c r="CA112" s="164"/>
      <c r="CB112" s="164"/>
      <c r="CC112" s="164"/>
      <c r="CD112" s="164"/>
      <c r="CE112" s="164"/>
      <c r="CF112" s="164"/>
      <c r="CG112" s="164"/>
      <c r="CH112" s="164"/>
      <c r="CI112" s="164"/>
      <c r="CJ112" s="164"/>
      <c r="CK112" s="164"/>
      <c r="CL112" s="164"/>
      <c r="CM112" s="164"/>
      <c r="CN112" s="164"/>
      <c r="CO112" s="164"/>
      <c r="CP112" s="134"/>
      <c r="CQ112" s="165" t="e">
        <f ca="1">-SUM(#REF!)+SUM(#REF!)+Rezone!L112+IF("Ch_"&amp; home_land=#REF!,#REF!)+IF(#REF!&gt;12,OFFSET(#REF!,-12,0),0)</f>
        <v>#REF!</v>
      </c>
      <c r="CR112" s="166" t="e">
        <f ca="1">-SUM(#REF!)+SUM(#REF!) +Rezone!M112 + IF("Ch_"&amp; home_land=#REF!,#REF!)+IF(#REF!&gt;12,OFFSET(#REF!,-12,0),0)</f>
        <v>#REF!</v>
      </c>
      <c r="CS112" s="341" t="e">
        <f ca="1">-SUM(#REF!)+SUM(#REF!) +Rezone!N112 + IF("Ch_"&amp; home_land=#REF!,#REF!)+IF(#REF!&gt;12,OFFSET(#REF!,-12,0),0)</f>
        <v>#REF!</v>
      </c>
      <c r="CT112" s="167" t="e">
        <f ca="1">-SUM(#REF!)+SUM(#REF!) +Rezone!O112 + IF("Ch_" &amp; home_land=#REF!,#REF!)+IF(#REF!&gt;12,OFFSET(#REF!,-12,0),0)</f>
        <v>#REF!</v>
      </c>
      <c r="CU112" s="168" t="e">
        <f ca="1">-SUM(#REF!)+SUM(#REF!) +Rezone!P112 + IF("Ch_" &amp; home_land=#REF!,#REF!)+IF(#REF!&gt;12,OFFSET(#REF!,-12,0),0)</f>
        <v>#REF!</v>
      </c>
      <c r="CV112" s="169" t="e">
        <f ca="1">- SUM(#REF!)+SUM(#REF!) +Rezone!Q112 + IF("Ch_" &amp; home_land=#REF!,#REF!)+IF(#REF!&gt;12,OFFSET(#REF!,-12,0),0)</f>
        <v>#REF!</v>
      </c>
      <c r="CW112" s="170" t="e">
        <f ca="1">-#REF!+#REF! +Rezone!R112 + IF("Ch_" &amp; home_land=#REF!,#REF!)+IF(#REF!&gt;12,OFFSET(#REF!,-12,0),0)</f>
        <v>#REF!</v>
      </c>
      <c r="CX112" s="3" t="e">
        <f>IF(Explore!S112=1,20) -#REF! +#REF!</f>
        <v>#REF!</v>
      </c>
      <c r="CY112" s="134"/>
      <c r="CZ112" s="39" t="e">
        <f t="shared" ref="CZ112:CZ131" ca="1" si="30">G112+SUM(P101:S112)+SUM(AZ112:BC112)</f>
        <v>#REF!</v>
      </c>
      <c r="DA112" s="39" t="e">
        <f t="shared" ref="DA112:DA131" ca="1" si="31">H112+SUM(T101:U112)+SUM(BD112:BE112)</f>
        <v>#REF!</v>
      </c>
      <c r="DB112" s="3" t="e">
        <f t="shared" ref="DB112:DB131" ca="1" si="32">I112+SUM(V101:W112)+SUM(BF112:BG112)</f>
        <v>#REF!</v>
      </c>
      <c r="DC112" s="39" t="e">
        <f t="shared" ref="DC112:DC131" ca="1" si="33">J112+SUM(X101:Y112)+SUM(BH112:BI112)</f>
        <v>#REF!</v>
      </c>
      <c r="DD112" s="39" t="e">
        <f t="shared" ref="DD112:DD131" ca="1" si="34">K112+SUM(AB101:AD112)+SUM(BL112:BN112)</f>
        <v>#REF!</v>
      </c>
      <c r="DE112" s="3" t="e">
        <f t="shared" ref="DE112:DE131" ca="1" si="35">L112+SUM(AE101:AE112)+BO112</f>
        <v>#REF!</v>
      </c>
      <c r="DF112" s="39" t="e">
        <f t="shared" ref="DF112:DF131" ca="1" si="36">M112+SUM(AG101:AG112)+BQ112</f>
        <v>#REF!</v>
      </c>
      <c r="DG112" s="39" t="e">
        <f t="array" ref="DG112">INDEX(#REF!,ROW()-ROW(#REF!),MATCH("Total "&amp;home_land,#REF!,0))+#REF!</f>
        <v>#REF!</v>
      </c>
      <c r="DH112" s="3" t="e">
        <f t="shared" ca="1" si="22"/>
        <v>#REF!</v>
      </c>
      <c r="DI112" s="3" t="e">
        <f t="shared" ca="1" si="19"/>
        <v>#REF!</v>
      </c>
      <c r="DJ112" s="3" t="e">
        <f t="shared" ca="1" si="20"/>
        <v>#REF!</v>
      </c>
    </row>
    <row r="113" spans="1:114" x14ac:dyDescent="0.25">
      <c r="A113" s="160" t="e">
        <f>#REF!</f>
        <v>#REF!</v>
      </c>
      <c r="B113" s="161" t="e">
        <f>SUM(#REF!)</f>
        <v>#REF!</v>
      </c>
      <c r="C113" s="162" t="e">
        <f>SUM(#REF!)</f>
        <v>#REF!</v>
      </c>
      <c r="D113" s="162">
        <f t="shared" si="21"/>
        <v>0</v>
      </c>
      <c r="E113" s="163"/>
      <c r="F113" s="61" t="e">
        <f>#REF!+#REF!+#REF!</f>
        <v>#REF!</v>
      </c>
      <c r="G113" s="171" t="e">
        <f ca="1">OFFSET(#REF!,-1,0)+#REF!</f>
        <v>#REF!</v>
      </c>
      <c r="H113" s="166" t="e">
        <f ca="1">OFFSET(#REF!,-1,0)+#REF!</f>
        <v>#REF!</v>
      </c>
      <c r="I113" s="341" t="e">
        <f ca="1">OFFSET(#REF!,-1,0)+#REF!</f>
        <v>#REF!</v>
      </c>
      <c r="J113" s="345" t="e">
        <f ca="1">OFFSET(#REF!,-1,0)+#REF!</f>
        <v>#REF!</v>
      </c>
      <c r="K113" s="349" t="e">
        <f ca="1">OFFSET(#REF!,-1,0)+#REF!</f>
        <v>#REF!</v>
      </c>
      <c r="L113" s="169" t="e">
        <f ca="1">OFFSET(#REF!,-1,0)+#REF!</f>
        <v>#REF!</v>
      </c>
      <c r="M113" s="170" t="e">
        <f ca="1">OFFSET(#REF!,-1,0)+#REF!</f>
        <v>#REF!</v>
      </c>
      <c r="N113" s="339" t="e">
        <f>#REF!</f>
        <v>#REF!</v>
      </c>
      <c r="O113" s="164"/>
      <c r="P113" s="164"/>
      <c r="Q113" s="164"/>
      <c r="R113" s="164"/>
      <c r="S113" s="164"/>
      <c r="T113" s="164"/>
      <c r="U113" s="164"/>
      <c r="V113" s="164"/>
      <c r="W113" s="164"/>
      <c r="X113" s="164"/>
      <c r="Y113" s="164"/>
      <c r="Z113" s="164"/>
      <c r="AA113" s="164"/>
      <c r="AB113" s="164"/>
      <c r="AC113" s="164"/>
      <c r="AD113" s="164"/>
      <c r="AE113" s="164"/>
      <c r="AF113" s="164"/>
      <c r="AG113" s="164"/>
      <c r="AH113" s="53" t="e">
        <f>#REF!</f>
        <v>#REF!</v>
      </c>
      <c r="AI113" s="132" t="e">
        <f>MIN(25%,(#REF!+#REF!)/(#REF!-#REF!*20))</f>
        <v>#REF!</v>
      </c>
      <c r="AJ113" s="132" t="e">
        <f>MIN(25%,(#REF!+#REF!)/#REF!)</f>
        <v>#REF!</v>
      </c>
      <c r="AK113" s="39" t="e">
        <f>#REF!</f>
        <v>#REF!</v>
      </c>
      <c r="AL113" s="39" t="e">
        <f>#REF!</f>
        <v>#REF!</v>
      </c>
      <c r="AM113" s="39" t="e">
        <f>ROUNDDOWN( MAX((1 - MIN(facs_constr_factor*#REF!,facs_constr_max) + tech_2_3*#REF! + tech_2_6_2*#REF! + tech_2_10*#REF! + tech_4_6*#REF! + tech_6_3*#REF! + tech_9_2*#REF! + race_construction_cost), 1-global_constr_cap) *#REF!,0)</f>
        <v>#REF!</v>
      </c>
      <c r="AN113" s="39" t="e">
        <f>ROUNDDOWN( MAX(1 - MIN(facs_constr_factor*#REF!,facs_constr_max) + tech_1_11*#REF! + tech_6_3_2*#REF! + tech_5_2_3*#REF!, 1-global_constr_cap) *#REF!,0)</f>
        <v>#REF!</v>
      </c>
      <c r="AO113" s="39" t="e">
        <f>ROUNDDOWN( MAX((1 - MIN(facs_constr_factor*#REF!,facs_constr_max) + tech_2_3*#REF! + tech_2_6_2*#REF! + tech_2_10*#REF! + tech_4_6*#REF! + tech_6_3*#REF! + tech_9_2*#REF! + race_construction_cost), 1-global_constr_cap) * (ROUND((#REF!-250)*1.25 + 850 + 0,0)),0)</f>
        <v>#REF!</v>
      </c>
      <c r="AP113" s="39" t="e">
        <f>ROUNDDOWN( MAX(1 - MIN(facs_constr_factor*#REF!,facs_constr_max) + tech_1_11*#REF! + tech_6_3_2*#REF! + tech_5_2_3*#REF!, 1-global_constr_cap) * ROUND((#REF!-250)*0.285 + 87.5 + 0/4.25,0),0)</f>
        <v>#REF!</v>
      </c>
      <c r="AQ113" s="3" t="e">
        <f>#REF!*#REF! +#REF! *#REF!</f>
        <v>#REF!</v>
      </c>
      <c r="AR113" s="3" t="e">
        <f>#REF!*#REF!+#REF!*#REF!</f>
        <v>#REF!</v>
      </c>
      <c r="AS113" s="39" t="e">
        <f ca="1">MIN(SUM(OFFSET(#REF!,-1,0))+SUM(#REF!)+IF(#REF!&gt;12,SUM(OFFSET(#REF!,-12,0)),0),SUM(#REF!))</f>
        <v>#REF!</v>
      </c>
      <c r="AT113" s="3" t="e">
        <f ca="1">IF(#REF!&lt;&gt;0,MAX(0, MIN(20, 20 + SUM(#REF!) - SUM(#REF!) - SUM(OFFSET(#REF!,-1,0)) - IF(#REF!&gt;12,SUM(OFFSET(#REF!,-12,0)),0) - 20*#REF!)),0)</f>
        <v>#REF!</v>
      </c>
      <c r="AU113" s="134"/>
      <c r="AV113" s="39" t="e">
        <f>ROUND((#REF!-250 - IF(#REF!&lt;&gt;0,20,0))*1.25 + 850 + 0,0)</f>
        <v>#REF!</v>
      </c>
      <c r="AW113" s="39" t="e">
        <f>ROUND((#REF!-250 - IF(#REF!&lt;&gt;0,20,0))*0.285 + 87.5 + 0/4.25,0)</f>
        <v>#REF!</v>
      </c>
      <c r="AX113" s="133"/>
      <c r="AY113" s="172" t="e">
        <f t="array" aca="1" ref="AY113" ca="1">IF(#REF!&gt;12,OFFSET(#REF!,-12,0),0)+OFFSET(#REF!,-1,0)-#REF!</f>
        <v>#REF!</v>
      </c>
      <c r="AZ113" s="173" t="e">
        <f t="array" aca="1" ref="AZ113" ca="1">IF(#REF!&gt;12,OFFSET(#REF!,-12,0),0)+OFFSET(#REF!,-1,0)-#REF!</f>
        <v>#REF!</v>
      </c>
      <c r="BA113" s="173" t="e">
        <f t="array" aca="1" ref="BA113" ca="1">IF(#REF!&gt;12,OFFSET(#REF!,-12,0),0)+OFFSET(#REF!,-1,0)-#REF!</f>
        <v>#REF!</v>
      </c>
      <c r="BB113" s="173" t="e">
        <f t="array" aca="1" ref="BB113" ca="1">IF(#REF!&gt;12,OFFSET(#REF!,-12,0),0)+OFFSET(#REF!,-1,0)-#REF!</f>
        <v>#REF!</v>
      </c>
      <c r="BC113" s="173" t="e">
        <f t="array" aca="1" ref="BC113" ca="1">IF(#REF!&gt;12,OFFSET(#REF!,-12,0),0)+OFFSET(#REF!,-1,0)-#REF!</f>
        <v>#REF!</v>
      </c>
      <c r="BD113" s="174" t="e">
        <f t="array" aca="1" ref="BD113" ca="1">IF(#REF!&gt;12,OFFSET(#REF!,-12,0),0)+OFFSET(#REF!,-1,0)-#REF!</f>
        <v>#REF!</v>
      </c>
      <c r="BE113" s="174" t="e">
        <f t="array" aca="1" ref="BE113" ca="1">IF(#REF!&gt;12,OFFSET(#REF!,-12,0),0)+OFFSET(#REF!,-1,0)-#REF!</f>
        <v>#REF!</v>
      </c>
      <c r="BF113" s="343" t="e">
        <f t="array" aca="1" ref="BF113" ca="1">IF(#REF!&gt;12,OFFSET(#REF!,-12,0),0)+OFFSET(#REF!,-1,0)-#REF!</f>
        <v>#REF!</v>
      </c>
      <c r="BG113" s="343" t="e">
        <f t="array" aca="1" ref="BG113" ca="1">IF(#REF!&gt;12,OFFSET(#REF!,-12,0),0)+OFFSET(#REF!,-1,0)-#REF!</f>
        <v>#REF!</v>
      </c>
      <c r="BH113" s="347" t="e">
        <f t="array" aca="1" ref="BH113" ca="1">IF(#REF!&gt;12,OFFSET(#REF!,-12,0),0)+OFFSET(#REF!,-1,0)-#REF!</f>
        <v>#REF!</v>
      </c>
      <c r="BI113" s="347" t="e">
        <f t="array" aca="1" ref="BI113" ca="1">IF(#REF!&gt;12,OFFSET(#REF!,-12,0),0)+OFFSET(#REF!,-1,0)-#REF!</f>
        <v>#REF!</v>
      </c>
      <c r="BJ113" s="347" t="e">
        <f t="array" aca="1" ref="BJ113" ca="1">IF(#REF!&gt;12,OFFSET(#REF!,-12,0),0)+OFFSET(#REF!,-1,0)-#REF!</f>
        <v>#REF!</v>
      </c>
      <c r="BK113" s="347" t="e">
        <f t="array" aca="1" ref="BK113" ca="1">IF(#REF!&gt;12,OFFSET(#REF!,-12,0),0)+OFFSET(#REF!,-1,0)-#REF!</f>
        <v>#REF!</v>
      </c>
      <c r="BL113" s="351" t="e">
        <f t="array" aca="1" ref="BL113" ca="1">IF(#REF!&gt;12,OFFSET(#REF!,-12,0),0)+OFFSET(#REF!,-1,0)-#REF!</f>
        <v>#REF!</v>
      </c>
      <c r="BM113" s="351" t="e">
        <f t="array" aca="1" ref="BM113" ca="1">IF(#REF!&gt;12,OFFSET(#REF!,-12,0),0)+OFFSET(#REF!,-1,0)-#REF!</f>
        <v>#REF!</v>
      </c>
      <c r="BN113" s="351" t="e">
        <f t="array" aca="1" ref="BN113" ca="1">IF(#REF!&gt;12,OFFSET(#REF!,-12,0),0)+OFFSET(#REF!,-1,0)-#REF!</f>
        <v>#REF!</v>
      </c>
      <c r="BO113" s="175" t="e">
        <f t="array" aca="1" ref="BO113" ca="1">IF(#REF!&gt;12,OFFSET(#REF!,-12,0),0)+OFFSET(#REF!,-1,0)-#REF!</f>
        <v>#REF!</v>
      </c>
      <c r="BP113" s="175" t="e">
        <f t="array" aca="1" ref="BP113" ca="1">IF(#REF!&gt;12,OFFSET(#REF!,-12,0),0)+OFFSET(#REF!,-1,0)-#REF!</f>
        <v>#REF!</v>
      </c>
      <c r="BQ113" s="176" t="e">
        <f t="array" aca="1" ref="BQ113" ca="1">IF(#REF!&gt;12,OFFSET(#REF!,-12,0),0)+OFFSET(#REF!,-1,0)-#REF!</f>
        <v>#REF!</v>
      </c>
      <c r="BR113" s="134"/>
      <c r="BS113" s="133"/>
      <c r="BT113" s="39" t="e">
        <f>#REF!</f>
        <v>#REF!</v>
      </c>
      <c r="BU113" s="147" t="e">
        <f>#REF!</f>
        <v>#REF!</v>
      </c>
      <c r="BV113" s="134"/>
      <c r="BW113" s="164"/>
      <c r="BX113" s="164"/>
      <c r="BY113" s="164"/>
      <c r="BZ113" s="164"/>
      <c r="CA113" s="164"/>
      <c r="CB113" s="164"/>
      <c r="CC113" s="164"/>
      <c r="CD113" s="164"/>
      <c r="CE113" s="164"/>
      <c r="CF113" s="164"/>
      <c r="CG113" s="164"/>
      <c r="CH113" s="164"/>
      <c r="CI113" s="164"/>
      <c r="CJ113" s="164"/>
      <c r="CK113" s="164"/>
      <c r="CL113" s="164"/>
      <c r="CM113" s="164"/>
      <c r="CN113" s="164"/>
      <c r="CO113" s="164"/>
      <c r="CP113" s="134"/>
      <c r="CQ113" s="165" t="e">
        <f ca="1">-SUM(#REF!)+SUM(#REF!)+Rezone!L113+IF("Ch_"&amp; home_land=#REF!,#REF!)+IF(#REF!&gt;12,OFFSET(#REF!,-12,0),0)</f>
        <v>#REF!</v>
      </c>
      <c r="CR113" s="166" t="e">
        <f ca="1">-SUM(#REF!)+SUM(#REF!) +Rezone!M113 + IF("Ch_"&amp; home_land=#REF!,#REF!)+IF(#REF!&gt;12,OFFSET(#REF!,-12,0),0)</f>
        <v>#REF!</v>
      </c>
      <c r="CS113" s="341" t="e">
        <f ca="1">-SUM(#REF!)+SUM(#REF!) +Rezone!N113 + IF("Ch_"&amp; home_land=#REF!,#REF!)+IF(#REF!&gt;12,OFFSET(#REF!,-12,0),0)</f>
        <v>#REF!</v>
      </c>
      <c r="CT113" s="167" t="e">
        <f ca="1">-SUM(#REF!)+SUM(#REF!) +Rezone!O113 + IF("Ch_" &amp; home_land=#REF!,#REF!)+IF(#REF!&gt;12,OFFSET(#REF!,-12,0),0)</f>
        <v>#REF!</v>
      </c>
      <c r="CU113" s="168" t="e">
        <f ca="1">-SUM(#REF!)+SUM(#REF!) +Rezone!P113 + IF("Ch_" &amp; home_land=#REF!,#REF!)+IF(#REF!&gt;12,OFFSET(#REF!,-12,0),0)</f>
        <v>#REF!</v>
      </c>
      <c r="CV113" s="169" t="e">
        <f ca="1">- SUM(#REF!)+SUM(#REF!) +Rezone!Q113 + IF("Ch_" &amp; home_land=#REF!,#REF!)+IF(#REF!&gt;12,OFFSET(#REF!,-12,0),0)</f>
        <v>#REF!</v>
      </c>
      <c r="CW113" s="170" t="e">
        <f ca="1">-#REF!+#REF! +Rezone!R113 + IF("Ch_" &amp; home_land=#REF!,#REF!)+IF(#REF!&gt;12,OFFSET(#REF!,-12,0),0)</f>
        <v>#REF!</v>
      </c>
      <c r="CX113" s="3" t="e">
        <f>IF(Explore!S113=1,20) -#REF! +#REF!</f>
        <v>#REF!</v>
      </c>
      <c r="CY113" s="134"/>
      <c r="CZ113" s="39" t="e">
        <f t="shared" ca="1" si="30"/>
        <v>#REF!</v>
      </c>
      <c r="DA113" s="39" t="e">
        <f t="shared" ca="1" si="31"/>
        <v>#REF!</v>
      </c>
      <c r="DB113" s="3" t="e">
        <f t="shared" ca="1" si="32"/>
        <v>#REF!</v>
      </c>
      <c r="DC113" s="39" t="e">
        <f t="shared" ca="1" si="33"/>
        <v>#REF!</v>
      </c>
      <c r="DD113" s="39" t="e">
        <f t="shared" ca="1" si="34"/>
        <v>#REF!</v>
      </c>
      <c r="DE113" s="3" t="e">
        <f t="shared" ca="1" si="35"/>
        <v>#REF!</v>
      </c>
      <c r="DF113" s="39" t="e">
        <f t="shared" ca="1" si="36"/>
        <v>#REF!</v>
      </c>
      <c r="DG113" s="39" t="e">
        <f t="array" ref="DG113">INDEX(#REF!,ROW()-ROW(#REF!),MATCH("Total "&amp;home_land,#REF!,0))+#REF!</f>
        <v>#REF!</v>
      </c>
      <c r="DH113" s="3" t="e">
        <f t="shared" ca="1" si="22"/>
        <v>#REF!</v>
      </c>
      <c r="DI113" s="3" t="e">
        <f t="shared" ca="1" si="19"/>
        <v>#REF!</v>
      </c>
      <c r="DJ113" s="3" t="e">
        <f t="shared" ca="1" si="20"/>
        <v>#REF!</v>
      </c>
    </row>
    <row r="114" spans="1:114" x14ac:dyDescent="0.25">
      <c r="A114" s="160" t="e">
        <f>#REF!</f>
        <v>#REF!</v>
      </c>
      <c r="B114" s="161" t="e">
        <f>SUM(#REF!)</f>
        <v>#REF!</v>
      </c>
      <c r="C114" s="162" t="e">
        <f>SUM(#REF!)</f>
        <v>#REF!</v>
      </c>
      <c r="D114" s="162">
        <f t="shared" si="21"/>
        <v>0</v>
      </c>
      <c r="E114" s="163"/>
      <c r="F114" s="61" t="e">
        <f>#REF!+#REF!+#REF!</f>
        <v>#REF!</v>
      </c>
      <c r="G114" s="171" t="e">
        <f ca="1">OFFSET(#REF!,-1,0)+#REF!</f>
        <v>#REF!</v>
      </c>
      <c r="H114" s="166" t="e">
        <f ca="1">OFFSET(#REF!,-1,0)+#REF!</f>
        <v>#REF!</v>
      </c>
      <c r="I114" s="341" t="e">
        <f ca="1">OFFSET(#REF!,-1,0)+#REF!</f>
        <v>#REF!</v>
      </c>
      <c r="J114" s="345" t="e">
        <f ca="1">OFFSET(#REF!,-1,0)+#REF!</f>
        <v>#REF!</v>
      </c>
      <c r="K114" s="349" t="e">
        <f ca="1">OFFSET(#REF!,-1,0)+#REF!</f>
        <v>#REF!</v>
      </c>
      <c r="L114" s="169" t="e">
        <f ca="1">OFFSET(#REF!,-1,0)+#REF!</f>
        <v>#REF!</v>
      </c>
      <c r="M114" s="170" t="e">
        <f ca="1">OFFSET(#REF!,-1,0)+#REF!</f>
        <v>#REF!</v>
      </c>
      <c r="N114" s="339" t="e">
        <f>#REF!</f>
        <v>#REF!</v>
      </c>
      <c r="O114" s="164"/>
      <c r="P114" s="164"/>
      <c r="Q114" s="164"/>
      <c r="R114" s="164"/>
      <c r="S114" s="164"/>
      <c r="T114" s="164"/>
      <c r="U114" s="164"/>
      <c r="V114" s="164"/>
      <c r="W114" s="164"/>
      <c r="X114" s="164"/>
      <c r="Y114" s="164"/>
      <c r="Z114" s="164"/>
      <c r="AA114" s="164"/>
      <c r="AB114" s="164"/>
      <c r="AC114" s="164"/>
      <c r="AD114" s="164"/>
      <c r="AE114" s="164"/>
      <c r="AF114" s="164"/>
      <c r="AG114" s="164"/>
      <c r="AH114" s="53" t="e">
        <f>#REF!</f>
        <v>#REF!</v>
      </c>
      <c r="AI114" s="132" t="e">
        <f>MIN(25%,(#REF!+#REF!)/(#REF!-#REF!*20))</f>
        <v>#REF!</v>
      </c>
      <c r="AJ114" s="132" t="e">
        <f>MIN(25%,(#REF!+#REF!)/#REF!)</f>
        <v>#REF!</v>
      </c>
      <c r="AK114" s="39" t="e">
        <f>#REF!</f>
        <v>#REF!</v>
      </c>
      <c r="AL114" s="39" t="e">
        <f>#REF!</f>
        <v>#REF!</v>
      </c>
      <c r="AM114" s="39" t="e">
        <f>ROUNDDOWN( MAX((1 - MIN(facs_constr_factor*#REF!,facs_constr_max) + tech_2_3*#REF! + tech_2_6_2*#REF! + tech_2_10*#REF! + tech_4_6*#REF! + tech_6_3*#REF! + tech_9_2*#REF! + race_construction_cost), 1-global_constr_cap) *#REF!,0)</f>
        <v>#REF!</v>
      </c>
      <c r="AN114" s="39" t="e">
        <f>ROUNDDOWN( MAX(1 - MIN(facs_constr_factor*#REF!,facs_constr_max) + tech_1_11*#REF! + tech_6_3_2*#REF! + tech_5_2_3*#REF!, 1-global_constr_cap) *#REF!,0)</f>
        <v>#REF!</v>
      </c>
      <c r="AO114" s="39" t="e">
        <f>ROUNDDOWN( MAX((1 - MIN(facs_constr_factor*#REF!,facs_constr_max) + tech_2_3*#REF! + tech_2_6_2*#REF! + tech_2_10*#REF! + tech_4_6*#REF! + tech_6_3*#REF! + tech_9_2*#REF! + race_construction_cost), 1-global_constr_cap) * (ROUND((#REF!-250)*1.25 + 850 + 0,0)),0)</f>
        <v>#REF!</v>
      </c>
      <c r="AP114" s="39" t="e">
        <f>ROUNDDOWN( MAX(1 - MIN(facs_constr_factor*#REF!,facs_constr_max) + tech_1_11*#REF! + tech_6_3_2*#REF! + tech_5_2_3*#REF!, 1-global_constr_cap) * ROUND((#REF!-250)*0.285 + 87.5 + 0/4.25,0),0)</f>
        <v>#REF!</v>
      </c>
      <c r="AQ114" s="3" t="e">
        <f>#REF!*#REF! +#REF! *#REF!</f>
        <v>#REF!</v>
      </c>
      <c r="AR114" s="3" t="e">
        <f>#REF!*#REF!+#REF!*#REF!</f>
        <v>#REF!</v>
      </c>
      <c r="AS114" s="39" t="e">
        <f ca="1">MIN(SUM(OFFSET(#REF!,-1,0))+SUM(#REF!)+IF(#REF!&gt;12,SUM(OFFSET(#REF!,-12,0)),0),SUM(#REF!))</f>
        <v>#REF!</v>
      </c>
      <c r="AT114" s="3" t="e">
        <f ca="1">IF(#REF!&lt;&gt;0,MAX(0, MIN(20, 20 + SUM(#REF!) - SUM(#REF!) - SUM(OFFSET(#REF!,-1,0)) - IF(#REF!&gt;12,SUM(OFFSET(#REF!,-12,0)),0) - 20*#REF!)),0)</f>
        <v>#REF!</v>
      </c>
      <c r="AU114" s="134"/>
      <c r="AV114" s="39" t="e">
        <f>ROUND((#REF!-250 - IF(#REF!&lt;&gt;0,20,0))*1.25 + 850 + 0,0)</f>
        <v>#REF!</v>
      </c>
      <c r="AW114" s="39" t="e">
        <f>ROUND((#REF!-250 - IF(#REF!&lt;&gt;0,20,0))*0.285 + 87.5 + 0/4.25,0)</f>
        <v>#REF!</v>
      </c>
      <c r="AX114" s="133"/>
      <c r="AY114" s="172" t="e">
        <f t="array" aca="1" ref="AY114" ca="1">IF(#REF!&gt;12,OFFSET(#REF!,-12,0),0)+OFFSET(#REF!,-1,0)-#REF!</f>
        <v>#REF!</v>
      </c>
      <c r="AZ114" s="173" t="e">
        <f t="array" aca="1" ref="AZ114" ca="1">IF(#REF!&gt;12,OFFSET(#REF!,-12,0),0)+OFFSET(#REF!,-1,0)-#REF!</f>
        <v>#REF!</v>
      </c>
      <c r="BA114" s="173" t="e">
        <f t="array" aca="1" ref="BA114" ca="1">IF(#REF!&gt;12,OFFSET(#REF!,-12,0),0)+OFFSET(#REF!,-1,0)-#REF!</f>
        <v>#REF!</v>
      </c>
      <c r="BB114" s="173" t="e">
        <f t="array" aca="1" ref="BB114" ca="1">IF(#REF!&gt;12,OFFSET(#REF!,-12,0),0)+OFFSET(#REF!,-1,0)-#REF!</f>
        <v>#REF!</v>
      </c>
      <c r="BC114" s="173" t="e">
        <f t="array" aca="1" ref="BC114" ca="1">IF(#REF!&gt;12,OFFSET(#REF!,-12,0),0)+OFFSET(#REF!,-1,0)-#REF!</f>
        <v>#REF!</v>
      </c>
      <c r="BD114" s="174" t="e">
        <f t="array" aca="1" ref="BD114" ca="1">IF(#REF!&gt;12,OFFSET(#REF!,-12,0),0)+OFFSET(#REF!,-1,0)-#REF!</f>
        <v>#REF!</v>
      </c>
      <c r="BE114" s="174" t="e">
        <f t="array" aca="1" ref="BE114" ca="1">IF(#REF!&gt;12,OFFSET(#REF!,-12,0),0)+OFFSET(#REF!,-1,0)-#REF!</f>
        <v>#REF!</v>
      </c>
      <c r="BF114" s="343" t="e">
        <f t="array" aca="1" ref="BF114" ca="1">IF(#REF!&gt;12,OFFSET(#REF!,-12,0),0)+OFFSET(#REF!,-1,0)-#REF!</f>
        <v>#REF!</v>
      </c>
      <c r="BG114" s="343" t="e">
        <f t="array" aca="1" ref="BG114" ca="1">IF(#REF!&gt;12,OFFSET(#REF!,-12,0),0)+OFFSET(#REF!,-1,0)-#REF!</f>
        <v>#REF!</v>
      </c>
      <c r="BH114" s="347" t="e">
        <f t="array" aca="1" ref="BH114" ca="1">IF(#REF!&gt;12,OFFSET(#REF!,-12,0),0)+OFFSET(#REF!,-1,0)-#REF!</f>
        <v>#REF!</v>
      </c>
      <c r="BI114" s="347" t="e">
        <f t="array" aca="1" ref="BI114" ca="1">IF(#REF!&gt;12,OFFSET(#REF!,-12,0),0)+OFFSET(#REF!,-1,0)-#REF!</f>
        <v>#REF!</v>
      </c>
      <c r="BJ114" s="347" t="e">
        <f t="array" aca="1" ref="BJ114" ca="1">IF(#REF!&gt;12,OFFSET(#REF!,-12,0),0)+OFFSET(#REF!,-1,0)-#REF!</f>
        <v>#REF!</v>
      </c>
      <c r="BK114" s="347" t="e">
        <f t="array" aca="1" ref="BK114" ca="1">IF(#REF!&gt;12,OFFSET(#REF!,-12,0),0)+OFFSET(#REF!,-1,0)-#REF!</f>
        <v>#REF!</v>
      </c>
      <c r="BL114" s="351" t="e">
        <f t="array" aca="1" ref="BL114" ca="1">IF(#REF!&gt;12,OFFSET(#REF!,-12,0),0)+OFFSET(#REF!,-1,0)-#REF!</f>
        <v>#REF!</v>
      </c>
      <c r="BM114" s="351" t="e">
        <f t="array" aca="1" ref="BM114" ca="1">IF(#REF!&gt;12,OFFSET(#REF!,-12,0),0)+OFFSET(#REF!,-1,0)-#REF!</f>
        <v>#REF!</v>
      </c>
      <c r="BN114" s="351" t="e">
        <f t="array" aca="1" ref="BN114" ca="1">IF(#REF!&gt;12,OFFSET(#REF!,-12,0),0)+OFFSET(#REF!,-1,0)-#REF!</f>
        <v>#REF!</v>
      </c>
      <c r="BO114" s="175" t="e">
        <f t="array" aca="1" ref="BO114" ca="1">IF(#REF!&gt;12,OFFSET(#REF!,-12,0),0)+OFFSET(#REF!,-1,0)-#REF!</f>
        <v>#REF!</v>
      </c>
      <c r="BP114" s="175" t="e">
        <f t="array" aca="1" ref="BP114" ca="1">IF(#REF!&gt;12,OFFSET(#REF!,-12,0),0)+OFFSET(#REF!,-1,0)-#REF!</f>
        <v>#REF!</v>
      </c>
      <c r="BQ114" s="176" t="e">
        <f t="array" aca="1" ref="BQ114" ca="1">IF(#REF!&gt;12,OFFSET(#REF!,-12,0),0)+OFFSET(#REF!,-1,0)-#REF!</f>
        <v>#REF!</v>
      </c>
      <c r="BR114" s="134"/>
      <c r="BS114" s="133"/>
      <c r="BT114" s="39" t="e">
        <f>#REF!</f>
        <v>#REF!</v>
      </c>
      <c r="BU114" s="147" t="e">
        <f>#REF!</f>
        <v>#REF!</v>
      </c>
      <c r="BV114" s="134"/>
      <c r="BW114" s="164"/>
      <c r="BX114" s="146"/>
      <c r="BY114" s="164"/>
      <c r="BZ114" s="164"/>
      <c r="CA114" s="164"/>
      <c r="CB114" s="164"/>
      <c r="CC114" s="164"/>
      <c r="CD114" s="164"/>
      <c r="CE114" s="164"/>
      <c r="CF114" s="164"/>
      <c r="CG114" s="164"/>
      <c r="CH114" s="164"/>
      <c r="CI114" s="164"/>
      <c r="CJ114" s="164"/>
      <c r="CK114" s="164"/>
      <c r="CL114" s="164"/>
      <c r="CM114" s="164"/>
      <c r="CN114" s="164"/>
      <c r="CO114" s="164"/>
      <c r="CP114" s="134"/>
      <c r="CQ114" s="165" t="e">
        <f ca="1">-SUM(#REF!)+SUM(#REF!)+Rezone!L114+IF("Ch_"&amp; home_land=#REF!,#REF!)+IF(#REF!&gt;12,OFFSET(#REF!,-12,0),0)</f>
        <v>#REF!</v>
      </c>
      <c r="CR114" s="166" t="e">
        <f ca="1">-SUM(#REF!)+SUM(#REF!) +Rezone!M114 + IF("Ch_"&amp; home_land=#REF!,#REF!)+IF(#REF!&gt;12,OFFSET(#REF!,-12,0),0)</f>
        <v>#REF!</v>
      </c>
      <c r="CS114" s="341" t="e">
        <f ca="1">-SUM(#REF!)+SUM(#REF!) +Rezone!N114 + IF("Ch_"&amp; home_land=#REF!,#REF!)+IF(#REF!&gt;12,OFFSET(#REF!,-12,0),0)</f>
        <v>#REF!</v>
      </c>
      <c r="CT114" s="167" t="e">
        <f ca="1">-SUM(#REF!)+SUM(#REF!) +Rezone!O114 + IF("Ch_" &amp; home_land=#REF!,#REF!)+IF(#REF!&gt;12,OFFSET(#REF!,-12,0),0)</f>
        <v>#REF!</v>
      </c>
      <c r="CU114" s="168" t="e">
        <f ca="1">-SUM(#REF!)+SUM(#REF!) +Rezone!P114 + IF("Ch_" &amp; home_land=#REF!,#REF!)+IF(#REF!&gt;12,OFFSET(#REF!,-12,0),0)</f>
        <v>#REF!</v>
      </c>
      <c r="CV114" s="169" t="e">
        <f ca="1">- SUM(#REF!)+SUM(#REF!) +Rezone!Q114 + IF("Ch_" &amp; home_land=#REF!,#REF!)+IF(#REF!&gt;12,OFFSET(#REF!,-12,0),0)</f>
        <v>#REF!</v>
      </c>
      <c r="CW114" s="170" t="e">
        <f ca="1">-#REF!+#REF! +Rezone!R114 + IF("Ch_" &amp; home_land=#REF!,#REF!)+IF(#REF!&gt;12,OFFSET(#REF!,-12,0),0)</f>
        <v>#REF!</v>
      </c>
      <c r="CX114" s="3" t="e">
        <f>IF(Explore!S114=1,20) -#REF! +#REF!</f>
        <v>#REF!</v>
      </c>
      <c r="CY114" s="134"/>
      <c r="CZ114" s="39" t="e">
        <f t="shared" ca="1" si="30"/>
        <v>#REF!</v>
      </c>
      <c r="DA114" s="39" t="e">
        <f t="shared" ca="1" si="31"/>
        <v>#REF!</v>
      </c>
      <c r="DB114" s="3" t="e">
        <f t="shared" ca="1" si="32"/>
        <v>#REF!</v>
      </c>
      <c r="DC114" s="39" t="e">
        <f t="shared" ca="1" si="33"/>
        <v>#REF!</v>
      </c>
      <c r="DD114" s="39" t="e">
        <f t="shared" ca="1" si="34"/>
        <v>#REF!</v>
      </c>
      <c r="DE114" s="3" t="e">
        <f t="shared" ca="1" si="35"/>
        <v>#REF!</v>
      </c>
      <c r="DF114" s="39" t="e">
        <f t="shared" ca="1" si="36"/>
        <v>#REF!</v>
      </c>
      <c r="DG114" s="39" t="e">
        <f t="array" ref="DG114">INDEX(#REF!,ROW()-ROW(#REF!),MATCH("Total "&amp;home_land,#REF!,0))+#REF!</f>
        <v>#REF!</v>
      </c>
      <c r="DH114" s="3" t="e">
        <f t="shared" ca="1" si="22"/>
        <v>#REF!</v>
      </c>
      <c r="DI114" s="3" t="e">
        <f t="shared" ca="1" si="19"/>
        <v>#REF!</v>
      </c>
      <c r="DJ114" s="3" t="e">
        <f t="shared" ca="1" si="20"/>
        <v>#REF!</v>
      </c>
    </row>
    <row r="115" spans="1:114" x14ac:dyDescent="0.25">
      <c r="A115" s="160" t="e">
        <f>#REF!</f>
        <v>#REF!</v>
      </c>
      <c r="B115" s="161" t="e">
        <f>SUM(#REF!)</f>
        <v>#REF!</v>
      </c>
      <c r="C115" s="162" t="e">
        <f>SUM(#REF!)</f>
        <v>#REF!</v>
      </c>
      <c r="D115" s="162">
        <f t="shared" si="21"/>
        <v>0</v>
      </c>
      <c r="E115" s="163"/>
      <c r="F115" s="61" t="e">
        <f>#REF!+#REF!+#REF!</f>
        <v>#REF!</v>
      </c>
      <c r="G115" s="171" t="e">
        <f ca="1">OFFSET(#REF!,-1,0)+#REF!</f>
        <v>#REF!</v>
      </c>
      <c r="H115" s="166" t="e">
        <f ca="1">OFFSET(#REF!,-1,0)+#REF!</f>
        <v>#REF!</v>
      </c>
      <c r="I115" s="341" t="e">
        <f ca="1">OFFSET(#REF!,-1,0)+#REF!</f>
        <v>#REF!</v>
      </c>
      <c r="J115" s="345" t="e">
        <f ca="1">OFFSET(#REF!,-1,0)+#REF!</f>
        <v>#REF!</v>
      </c>
      <c r="K115" s="349" t="e">
        <f ca="1">OFFSET(#REF!,-1,0)+#REF!</f>
        <v>#REF!</v>
      </c>
      <c r="L115" s="169" t="e">
        <f ca="1">OFFSET(#REF!,-1,0)+#REF!</f>
        <v>#REF!</v>
      </c>
      <c r="M115" s="170" t="e">
        <f ca="1">OFFSET(#REF!,-1,0)+#REF!</f>
        <v>#REF!</v>
      </c>
      <c r="N115" s="339" t="e">
        <f>#REF!</f>
        <v>#REF!</v>
      </c>
      <c r="O115" s="164"/>
      <c r="P115" s="164"/>
      <c r="Q115" s="164"/>
      <c r="R115" s="164"/>
      <c r="S115" s="164"/>
      <c r="T115" s="164"/>
      <c r="U115" s="164"/>
      <c r="V115" s="164"/>
      <c r="W115" s="164"/>
      <c r="X115" s="164"/>
      <c r="Y115" s="164"/>
      <c r="Z115" s="164"/>
      <c r="AA115" s="164"/>
      <c r="AB115" s="164"/>
      <c r="AC115" s="164"/>
      <c r="AD115" s="164"/>
      <c r="AE115" s="164"/>
      <c r="AF115" s="164"/>
      <c r="AG115" s="164"/>
      <c r="AH115" s="53" t="e">
        <f>#REF!</f>
        <v>#REF!</v>
      </c>
      <c r="AI115" s="132" t="e">
        <f>MIN(25%,(#REF!+#REF!)/(#REF!-#REF!*20))</f>
        <v>#REF!</v>
      </c>
      <c r="AJ115" s="132" t="e">
        <f>MIN(25%,(#REF!+#REF!)/#REF!)</f>
        <v>#REF!</v>
      </c>
      <c r="AK115" s="39" t="e">
        <f>#REF!</f>
        <v>#REF!</v>
      </c>
      <c r="AL115" s="39" t="e">
        <f>#REF!</f>
        <v>#REF!</v>
      </c>
      <c r="AM115" s="39" t="e">
        <f>ROUNDDOWN( MAX((1 - MIN(facs_constr_factor*#REF!,facs_constr_max) + tech_2_3*#REF! + tech_2_6_2*#REF! + tech_2_10*#REF! + tech_4_6*#REF! + tech_6_3*#REF! + tech_9_2*#REF! + race_construction_cost), 1-global_constr_cap) *#REF!,0)</f>
        <v>#REF!</v>
      </c>
      <c r="AN115" s="39" t="e">
        <f>ROUNDDOWN( MAX(1 - MIN(facs_constr_factor*#REF!,facs_constr_max) + tech_1_11*#REF! + tech_6_3_2*#REF! + tech_5_2_3*#REF!, 1-global_constr_cap) *#REF!,0)</f>
        <v>#REF!</v>
      </c>
      <c r="AO115" s="39" t="e">
        <f>ROUNDDOWN( MAX((1 - MIN(facs_constr_factor*#REF!,facs_constr_max) + tech_2_3*#REF! + tech_2_6_2*#REF! + tech_2_10*#REF! + tech_4_6*#REF! + tech_6_3*#REF! + tech_9_2*#REF! + race_construction_cost), 1-global_constr_cap) * (ROUND((#REF!-250)*1.25 + 850 + 0,0)),0)</f>
        <v>#REF!</v>
      </c>
      <c r="AP115" s="39" t="e">
        <f>ROUNDDOWN( MAX(1 - MIN(facs_constr_factor*#REF!,facs_constr_max) + tech_1_11*#REF! + tech_6_3_2*#REF! + tech_5_2_3*#REF!, 1-global_constr_cap) * ROUND((#REF!-250)*0.285 + 87.5 + 0/4.25,0),0)</f>
        <v>#REF!</v>
      </c>
      <c r="AQ115" s="3" t="e">
        <f>#REF!*#REF! +#REF! *#REF!</f>
        <v>#REF!</v>
      </c>
      <c r="AR115" s="3" t="e">
        <f>#REF!*#REF!+#REF!*#REF!</f>
        <v>#REF!</v>
      </c>
      <c r="AS115" s="39" t="e">
        <f ca="1">MIN(SUM(OFFSET(#REF!,-1,0))+SUM(#REF!)+IF(#REF!&gt;12,SUM(OFFSET(#REF!,-12,0)),0),SUM(#REF!))</f>
        <v>#REF!</v>
      </c>
      <c r="AT115" s="3" t="e">
        <f ca="1">IF(#REF!&lt;&gt;0,MAX(0, MIN(20, 20 + SUM(#REF!) - SUM(#REF!) - SUM(OFFSET(#REF!,-1,0)) - IF(#REF!&gt;12,SUM(OFFSET(#REF!,-12,0)),0) - 20*#REF!)),0)</f>
        <v>#REF!</v>
      </c>
      <c r="AU115" s="134"/>
      <c r="AV115" s="39" t="e">
        <f>ROUND((#REF!-250 - IF(#REF!&lt;&gt;0,20,0))*1.25 + 850 + 0,0)</f>
        <v>#REF!</v>
      </c>
      <c r="AW115" s="39" t="e">
        <f>ROUND((#REF!-250 - IF(#REF!&lt;&gt;0,20,0))*0.285 + 87.5 + 0/4.25,0)</f>
        <v>#REF!</v>
      </c>
      <c r="AX115" s="133"/>
      <c r="AY115" s="172" t="e">
        <f t="array" aca="1" ref="AY115" ca="1">IF(#REF!&gt;12,OFFSET(#REF!,-12,0),0)+OFFSET(#REF!,-1,0)-#REF!</f>
        <v>#REF!</v>
      </c>
      <c r="AZ115" s="173" t="e">
        <f t="array" aca="1" ref="AZ115" ca="1">IF(#REF!&gt;12,OFFSET(#REF!,-12,0),0)+OFFSET(#REF!,-1,0)-#REF!</f>
        <v>#REF!</v>
      </c>
      <c r="BA115" s="173" t="e">
        <f t="array" aca="1" ref="BA115" ca="1">IF(#REF!&gt;12,OFFSET(#REF!,-12,0),0)+OFFSET(#REF!,-1,0)-#REF!</f>
        <v>#REF!</v>
      </c>
      <c r="BB115" s="173" t="e">
        <f t="array" aca="1" ref="BB115" ca="1">IF(#REF!&gt;12,OFFSET(#REF!,-12,0),0)+OFFSET(#REF!,-1,0)-#REF!</f>
        <v>#REF!</v>
      </c>
      <c r="BC115" s="173" t="e">
        <f t="array" aca="1" ref="BC115" ca="1">IF(#REF!&gt;12,OFFSET(#REF!,-12,0),0)+OFFSET(#REF!,-1,0)-#REF!</f>
        <v>#REF!</v>
      </c>
      <c r="BD115" s="174" t="e">
        <f t="array" aca="1" ref="BD115" ca="1">IF(#REF!&gt;12,OFFSET(#REF!,-12,0),0)+OFFSET(#REF!,-1,0)-#REF!</f>
        <v>#REF!</v>
      </c>
      <c r="BE115" s="174" t="e">
        <f t="array" aca="1" ref="BE115" ca="1">IF(#REF!&gt;12,OFFSET(#REF!,-12,0),0)+OFFSET(#REF!,-1,0)-#REF!</f>
        <v>#REF!</v>
      </c>
      <c r="BF115" s="343" t="e">
        <f t="array" aca="1" ref="BF115" ca="1">IF(#REF!&gt;12,OFFSET(#REF!,-12,0),0)+OFFSET(#REF!,-1,0)-#REF!</f>
        <v>#REF!</v>
      </c>
      <c r="BG115" s="343" t="e">
        <f t="array" aca="1" ref="BG115" ca="1">IF(#REF!&gt;12,OFFSET(#REF!,-12,0),0)+OFFSET(#REF!,-1,0)-#REF!</f>
        <v>#REF!</v>
      </c>
      <c r="BH115" s="347" t="e">
        <f t="array" aca="1" ref="BH115" ca="1">IF(#REF!&gt;12,OFFSET(#REF!,-12,0),0)+OFFSET(#REF!,-1,0)-#REF!</f>
        <v>#REF!</v>
      </c>
      <c r="BI115" s="347" t="e">
        <f t="array" aca="1" ref="BI115" ca="1">IF(#REF!&gt;12,OFFSET(#REF!,-12,0),0)+OFFSET(#REF!,-1,0)-#REF!</f>
        <v>#REF!</v>
      </c>
      <c r="BJ115" s="347" t="e">
        <f t="array" aca="1" ref="BJ115" ca="1">IF(#REF!&gt;12,OFFSET(#REF!,-12,0),0)+OFFSET(#REF!,-1,0)-#REF!</f>
        <v>#REF!</v>
      </c>
      <c r="BK115" s="347" t="e">
        <f t="array" aca="1" ref="BK115" ca="1">IF(#REF!&gt;12,OFFSET(#REF!,-12,0),0)+OFFSET(#REF!,-1,0)-#REF!</f>
        <v>#REF!</v>
      </c>
      <c r="BL115" s="351" t="e">
        <f t="array" aca="1" ref="BL115" ca="1">IF(#REF!&gt;12,OFFSET(#REF!,-12,0),0)+OFFSET(#REF!,-1,0)-#REF!</f>
        <v>#REF!</v>
      </c>
      <c r="BM115" s="351" t="e">
        <f t="array" aca="1" ref="BM115" ca="1">IF(#REF!&gt;12,OFFSET(#REF!,-12,0),0)+OFFSET(#REF!,-1,0)-#REF!</f>
        <v>#REF!</v>
      </c>
      <c r="BN115" s="351" t="e">
        <f t="array" aca="1" ref="BN115" ca="1">IF(#REF!&gt;12,OFFSET(#REF!,-12,0),0)+OFFSET(#REF!,-1,0)-#REF!</f>
        <v>#REF!</v>
      </c>
      <c r="BO115" s="175" t="e">
        <f t="array" aca="1" ref="BO115" ca="1">IF(#REF!&gt;12,OFFSET(#REF!,-12,0),0)+OFFSET(#REF!,-1,0)-#REF!</f>
        <v>#REF!</v>
      </c>
      <c r="BP115" s="175" t="e">
        <f t="array" aca="1" ref="BP115" ca="1">IF(#REF!&gt;12,OFFSET(#REF!,-12,0),0)+OFFSET(#REF!,-1,0)-#REF!</f>
        <v>#REF!</v>
      </c>
      <c r="BQ115" s="176" t="e">
        <f t="array" aca="1" ref="BQ115" ca="1">IF(#REF!&gt;12,OFFSET(#REF!,-12,0),0)+OFFSET(#REF!,-1,0)-#REF!</f>
        <v>#REF!</v>
      </c>
      <c r="BR115" s="134"/>
      <c r="BS115" s="133"/>
      <c r="BT115" s="39" t="e">
        <f>#REF!</f>
        <v>#REF!</v>
      </c>
      <c r="BU115" s="147" t="e">
        <f>#REF!</f>
        <v>#REF!</v>
      </c>
      <c r="BV115" s="134"/>
      <c r="BW115" s="164"/>
      <c r="BX115" s="164"/>
      <c r="BY115" s="164"/>
      <c r="BZ115" s="164"/>
      <c r="CA115" s="164"/>
      <c r="CB115" s="164"/>
      <c r="CC115" s="164"/>
      <c r="CD115" s="164"/>
      <c r="CE115" s="164"/>
      <c r="CF115" s="164"/>
      <c r="CG115" s="164"/>
      <c r="CH115" s="164"/>
      <c r="CI115" s="164"/>
      <c r="CJ115" s="164"/>
      <c r="CK115" s="164"/>
      <c r="CL115" s="164"/>
      <c r="CM115" s="164"/>
      <c r="CN115" s="164"/>
      <c r="CO115" s="164"/>
      <c r="CP115" s="134"/>
      <c r="CQ115" s="165" t="e">
        <f ca="1">-SUM(#REF!)+SUM(#REF!)+Rezone!L115+IF("Ch_"&amp; home_land=#REF!,#REF!)+IF(#REF!&gt;12,OFFSET(#REF!,-12,0),0)</f>
        <v>#REF!</v>
      </c>
      <c r="CR115" s="166" t="e">
        <f ca="1">-SUM(#REF!)+SUM(#REF!) +Rezone!M115 + IF("Ch_"&amp; home_land=#REF!,#REF!)+IF(#REF!&gt;12,OFFSET(#REF!,-12,0),0)</f>
        <v>#REF!</v>
      </c>
      <c r="CS115" s="341" t="e">
        <f ca="1">-SUM(#REF!)+SUM(#REF!) +Rezone!N115 + IF("Ch_"&amp; home_land=#REF!,#REF!)+IF(#REF!&gt;12,OFFSET(#REF!,-12,0),0)</f>
        <v>#REF!</v>
      </c>
      <c r="CT115" s="167" t="e">
        <f ca="1">-SUM(#REF!)+SUM(#REF!) +Rezone!O115 + IF("Ch_" &amp; home_land=#REF!,#REF!)+IF(#REF!&gt;12,OFFSET(#REF!,-12,0),0)</f>
        <v>#REF!</v>
      </c>
      <c r="CU115" s="168" t="e">
        <f ca="1">-SUM(#REF!)+SUM(#REF!) +Rezone!P115 + IF("Ch_" &amp; home_land=#REF!,#REF!)+IF(#REF!&gt;12,OFFSET(#REF!,-12,0),0)</f>
        <v>#REF!</v>
      </c>
      <c r="CV115" s="169" t="e">
        <f ca="1">- SUM(#REF!)+SUM(#REF!) +Rezone!Q115 + IF("Ch_" &amp; home_land=#REF!,#REF!)+IF(#REF!&gt;12,OFFSET(#REF!,-12,0),0)</f>
        <v>#REF!</v>
      </c>
      <c r="CW115" s="170" t="e">
        <f ca="1">-#REF!+#REF! +Rezone!R115 + IF("Ch_" &amp; home_land=#REF!,#REF!)+IF(#REF!&gt;12,OFFSET(#REF!,-12,0),0)</f>
        <v>#REF!</v>
      </c>
      <c r="CX115" s="3" t="e">
        <f>IF(Explore!S115=1,20) -#REF! +#REF!</f>
        <v>#REF!</v>
      </c>
      <c r="CY115" s="134"/>
      <c r="CZ115" s="39" t="e">
        <f t="shared" ca="1" si="30"/>
        <v>#REF!</v>
      </c>
      <c r="DA115" s="39" t="e">
        <f t="shared" ca="1" si="31"/>
        <v>#REF!</v>
      </c>
      <c r="DB115" s="3" t="e">
        <f t="shared" ca="1" si="32"/>
        <v>#REF!</v>
      </c>
      <c r="DC115" s="39" t="e">
        <f t="shared" ca="1" si="33"/>
        <v>#REF!</v>
      </c>
      <c r="DD115" s="39" t="e">
        <f t="shared" ca="1" si="34"/>
        <v>#REF!</v>
      </c>
      <c r="DE115" s="3" t="e">
        <f t="shared" ca="1" si="35"/>
        <v>#REF!</v>
      </c>
      <c r="DF115" s="39" t="e">
        <f t="shared" ca="1" si="36"/>
        <v>#REF!</v>
      </c>
      <c r="DG115" s="39" t="e">
        <f t="array" ref="DG115">INDEX(#REF!,ROW()-ROW(#REF!),MATCH("Total "&amp;home_land,#REF!,0))+#REF!</f>
        <v>#REF!</v>
      </c>
      <c r="DH115" s="3" t="e">
        <f t="shared" ca="1" si="22"/>
        <v>#REF!</v>
      </c>
      <c r="DI115" s="3" t="e">
        <f t="shared" ca="1" si="19"/>
        <v>#REF!</v>
      </c>
      <c r="DJ115" s="3" t="e">
        <f t="shared" ca="1" si="20"/>
        <v>#REF!</v>
      </c>
    </row>
    <row r="116" spans="1:114" x14ac:dyDescent="0.25">
      <c r="A116" s="160" t="e">
        <f>#REF!</f>
        <v>#REF!</v>
      </c>
      <c r="B116" s="161" t="e">
        <f>SUM(#REF!)</f>
        <v>#REF!</v>
      </c>
      <c r="C116" s="162" t="e">
        <f>SUM(#REF!)</f>
        <v>#REF!</v>
      </c>
      <c r="D116" s="162">
        <f t="shared" si="21"/>
        <v>0</v>
      </c>
      <c r="E116" s="163"/>
      <c r="F116" s="61" t="e">
        <f>#REF!+#REF!+#REF!</f>
        <v>#REF!</v>
      </c>
      <c r="G116" s="171" t="e">
        <f ca="1">OFFSET(#REF!,-1,0)+#REF!</f>
        <v>#REF!</v>
      </c>
      <c r="H116" s="166" t="e">
        <f ca="1">OFFSET(#REF!,-1,0)+#REF!</f>
        <v>#REF!</v>
      </c>
      <c r="I116" s="341" t="e">
        <f ca="1">OFFSET(#REF!,-1,0)+#REF!</f>
        <v>#REF!</v>
      </c>
      <c r="J116" s="345" t="e">
        <f ca="1">OFFSET(#REF!,-1,0)+#REF!</f>
        <v>#REF!</v>
      </c>
      <c r="K116" s="349" t="e">
        <f ca="1">OFFSET(#REF!,-1,0)+#REF!</f>
        <v>#REF!</v>
      </c>
      <c r="L116" s="169" t="e">
        <f ca="1">OFFSET(#REF!,-1,0)+#REF!</f>
        <v>#REF!</v>
      </c>
      <c r="M116" s="170" t="e">
        <f ca="1">OFFSET(#REF!,-1,0)+#REF!</f>
        <v>#REF!</v>
      </c>
      <c r="N116" s="339" t="e">
        <f>#REF!</f>
        <v>#REF!</v>
      </c>
      <c r="O116" s="164"/>
      <c r="P116" s="164"/>
      <c r="Q116" s="164"/>
      <c r="R116" s="164"/>
      <c r="S116" s="164"/>
      <c r="T116" s="164"/>
      <c r="U116" s="164"/>
      <c r="V116" s="164"/>
      <c r="W116" s="164"/>
      <c r="X116" s="164"/>
      <c r="Y116" s="164"/>
      <c r="Z116" s="164"/>
      <c r="AA116" s="164"/>
      <c r="AB116" s="164"/>
      <c r="AC116" s="164"/>
      <c r="AD116" s="164"/>
      <c r="AE116" s="164"/>
      <c r="AF116" s="164"/>
      <c r="AG116" s="164"/>
      <c r="AH116" s="53" t="e">
        <f>#REF!</f>
        <v>#REF!</v>
      </c>
      <c r="AI116" s="132" t="e">
        <f>MIN(25%,(#REF!+#REF!)/(#REF!-#REF!*20))</f>
        <v>#REF!</v>
      </c>
      <c r="AJ116" s="132" t="e">
        <f>MIN(25%,(#REF!+#REF!)/#REF!)</f>
        <v>#REF!</v>
      </c>
      <c r="AK116" s="39" t="e">
        <f>#REF!</f>
        <v>#REF!</v>
      </c>
      <c r="AL116" s="39" t="e">
        <f>#REF!</f>
        <v>#REF!</v>
      </c>
      <c r="AM116" s="39" t="e">
        <f>ROUNDDOWN( MAX((1 - MIN(facs_constr_factor*#REF!,facs_constr_max) + tech_2_3*#REF! + tech_2_6_2*#REF! + tech_2_10*#REF! + tech_4_6*#REF! + tech_6_3*#REF! + tech_9_2*#REF! + race_construction_cost), 1-global_constr_cap) *#REF!,0)</f>
        <v>#REF!</v>
      </c>
      <c r="AN116" s="39" t="e">
        <f>ROUNDDOWN( MAX(1 - MIN(facs_constr_factor*#REF!,facs_constr_max) + tech_1_11*#REF! + tech_6_3_2*#REF! + tech_5_2_3*#REF!, 1-global_constr_cap) *#REF!,0)</f>
        <v>#REF!</v>
      </c>
      <c r="AO116" s="39" t="e">
        <f>ROUNDDOWN( MAX((1 - MIN(facs_constr_factor*#REF!,facs_constr_max) + tech_2_3*#REF! + tech_2_6_2*#REF! + tech_2_10*#REF! + tech_4_6*#REF! + tech_6_3*#REF! + tech_9_2*#REF! + race_construction_cost), 1-global_constr_cap) * (ROUND((#REF!-250)*1.25 + 850 + 0,0)),0)</f>
        <v>#REF!</v>
      </c>
      <c r="AP116" s="39" t="e">
        <f>ROUNDDOWN( MAX(1 - MIN(facs_constr_factor*#REF!,facs_constr_max) + tech_1_11*#REF! + tech_6_3_2*#REF! + tech_5_2_3*#REF!, 1-global_constr_cap) * ROUND((#REF!-250)*0.285 + 87.5 + 0/4.25,0),0)</f>
        <v>#REF!</v>
      </c>
      <c r="AQ116" s="3" t="e">
        <f>#REF!*#REF! +#REF! *#REF!</f>
        <v>#REF!</v>
      </c>
      <c r="AR116" s="3" t="e">
        <f>#REF!*#REF!+#REF!*#REF!</f>
        <v>#REF!</v>
      </c>
      <c r="AS116" s="39" t="e">
        <f ca="1">MIN(SUM(OFFSET(#REF!,-1,0))+SUM(#REF!)+IF(#REF!&gt;12,SUM(OFFSET(#REF!,-12,0)),0),SUM(#REF!))</f>
        <v>#REF!</v>
      </c>
      <c r="AT116" s="3" t="e">
        <f ca="1">IF(#REF!&lt;&gt;0,MAX(0, MIN(20, 20 + SUM(#REF!) - SUM(#REF!) - SUM(OFFSET(#REF!,-1,0)) - IF(#REF!&gt;12,SUM(OFFSET(#REF!,-12,0)),0) - 20*#REF!)),0)</f>
        <v>#REF!</v>
      </c>
      <c r="AU116" s="134"/>
      <c r="AV116" s="39" t="e">
        <f>ROUND((#REF!-250 - IF(#REF!&lt;&gt;0,20,0))*1.25 + 850 + 0,0)</f>
        <v>#REF!</v>
      </c>
      <c r="AW116" s="39" t="e">
        <f>ROUND((#REF!-250 - IF(#REF!&lt;&gt;0,20,0))*0.285 + 87.5 + 0/4.25,0)</f>
        <v>#REF!</v>
      </c>
      <c r="AX116" s="133"/>
      <c r="AY116" s="172" t="e">
        <f t="array" aca="1" ref="AY116" ca="1">IF(#REF!&gt;12,OFFSET(#REF!,-12,0),0)+OFFSET(#REF!,-1,0)-#REF!</f>
        <v>#REF!</v>
      </c>
      <c r="AZ116" s="173" t="e">
        <f t="array" aca="1" ref="AZ116" ca="1">IF(#REF!&gt;12,OFFSET(#REF!,-12,0),0)+OFFSET(#REF!,-1,0)-#REF!</f>
        <v>#REF!</v>
      </c>
      <c r="BA116" s="173" t="e">
        <f t="array" aca="1" ref="BA116" ca="1">IF(#REF!&gt;12,OFFSET(#REF!,-12,0),0)+OFFSET(#REF!,-1,0)-#REF!</f>
        <v>#REF!</v>
      </c>
      <c r="BB116" s="173" t="e">
        <f t="array" aca="1" ref="BB116" ca="1">IF(#REF!&gt;12,OFFSET(#REF!,-12,0),0)+OFFSET(#REF!,-1,0)-#REF!</f>
        <v>#REF!</v>
      </c>
      <c r="BC116" s="173" t="e">
        <f t="array" aca="1" ref="BC116" ca="1">IF(#REF!&gt;12,OFFSET(#REF!,-12,0),0)+OFFSET(#REF!,-1,0)-#REF!</f>
        <v>#REF!</v>
      </c>
      <c r="BD116" s="174" t="e">
        <f t="array" aca="1" ref="BD116" ca="1">IF(#REF!&gt;12,OFFSET(#REF!,-12,0),0)+OFFSET(#REF!,-1,0)-#REF!</f>
        <v>#REF!</v>
      </c>
      <c r="BE116" s="174" t="e">
        <f t="array" aca="1" ref="BE116" ca="1">IF(#REF!&gt;12,OFFSET(#REF!,-12,0),0)+OFFSET(#REF!,-1,0)-#REF!</f>
        <v>#REF!</v>
      </c>
      <c r="BF116" s="343" t="e">
        <f t="array" aca="1" ref="BF116" ca="1">IF(#REF!&gt;12,OFFSET(#REF!,-12,0),0)+OFFSET(#REF!,-1,0)-#REF!</f>
        <v>#REF!</v>
      </c>
      <c r="BG116" s="343" t="e">
        <f t="array" aca="1" ref="BG116" ca="1">IF(#REF!&gt;12,OFFSET(#REF!,-12,0),0)+OFFSET(#REF!,-1,0)-#REF!</f>
        <v>#REF!</v>
      </c>
      <c r="BH116" s="347" t="e">
        <f t="array" aca="1" ref="BH116" ca="1">IF(#REF!&gt;12,OFFSET(#REF!,-12,0),0)+OFFSET(#REF!,-1,0)-#REF!</f>
        <v>#REF!</v>
      </c>
      <c r="BI116" s="347" t="e">
        <f t="array" aca="1" ref="BI116" ca="1">IF(#REF!&gt;12,OFFSET(#REF!,-12,0),0)+OFFSET(#REF!,-1,0)-#REF!</f>
        <v>#REF!</v>
      </c>
      <c r="BJ116" s="347" t="e">
        <f t="array" aca="1" ref="BJ116" ca="1">IF(#REF!&gt;12,OFFSET(#REF!,-12,0),0)+OFFSET(#REF!,-1,0)-#REF!</f>
        <v>#REF!</v>
      </c>
      <c r="BK116" s="347" t="e">
        <f t="array" aca="1" ref="BK116" ca="1">IF(#REF!&gt;12,OFFSET(#REF!,-12,0),0)+OFFSET(#REF!,-1,0)-#REF!</f>
        <v>#REF!</v>
      </c>
      <c r="BL116" s="351" t="e">
        <f t="array" aca="1" ref="BL116" ca="1">IF(#REF!&gt;12,OFFSET(#REF!,-12,0),0)+OFFSET(#REF!,-1,0)-#REF!</f>
        <v>#REF!</v>
      </c>
      <c r="BM116" s="351" t="e">
        <f t="array" aca="1" ref="BM116" ca="1">IF(#REF!&gt;12,OFFSET(#REF!,-12,0),0)+OFFSET(#REF!,-1,0)-#REF!</f>
        <v>#REF!</v>
      </c>
      <c r="BN116" s="351" t="e">
        <f t="array" aca="1" ref="BN116" ca="1">IF(#REF!&gt;12,OFFSET(#REF!,-12,0),0)+OFFSET(#REF!,-1,0)-#REF!</f>
        <v>#REF!</v>
      </c>
      <c r="BO116" s="175" t="e">
        <f t="array" aca="1" ref="BO116" ca="1">IF(#REF!&gt;12,OFFSET(#REF!,-12,0),0)+OFFSET(#REF!,-1,0)-#REF!</f>
        <v>#REF!</v>
      </c>
      <c r="BP116" s="175" t="e">
        <f t="array" aca="1" ref="BP116" ca="1">IF(#REF!&gt;12,OFFSET(#REF!,-12,0),0)+OFFSET(#REF!,-1,0)-#REF!</f>
        <v>#REF!</v>
      </c>
      <c r="BQ116" s="176" t="e">
        <f t="array" aca="1" ref="BQ116" ca="1">IF(#REF!&gt;12,OFFSET(#REF!,-12,0),0)+OFFSET(#REF!,-1,0)-#REF!</f>
        <v>#REF!</v>
      </c>
      <c r="BR116" s="134"/>
      <c r="BS116" s="133"/>
      <c r="BT116" s="39" t="e">
        <f>#REF!</f>
        <v>#REF!</v>
      </c>
      <c r="BU116" s="147" t="e">
        <f>#REF!</f>
        <v>#REF!</v>
      </c>
      <c r="BV116" s="134"/>
      <c r="BW116" s="164"/>
      <c r="BX116" s="164"/>
      <c r="BY116" s="164"/>
      <c r="BZ116" s="164"/>
      <c r="CA116" s="164"/>
      <c r="CB116" s="164"/>
      <c r="CC116" s="164"/>
      <c r="CD116" s="164"/>
      <c r="CE116" s="164"/>
      <c r="CF116" s="164"/>
      <c r="CG116" s="164"/>
      <c r="CH116" s="164"/>
      <c r="CI116" s="164"/>
      <c r="CJ116" s="164"/>
      <c r="CK116" s="164"/>
      <c r="CL116" s="164"/>
      <c r="CM116" s="164"/>
      <c r="CN116" s="164"/>
      <c r="CO116" s="164"/>
      <c r="CP116" s="134"/>
      <c r="CQ116" s="165" t="e">
        <f ca="1">-SUM(#REF!)+SUM(#REF!)+Rezone!L116+IF("Ch_"&amp; home_land=#REF!,#REF!)+IF(#REF!&gt;12,OFFSET(#REF!,-12,0),0)</f>
        <v>#REF!</v>
      </c>
      <c r="CR116" s="166" t="e">
        <f ca="1">-SUM(#REF!)+SUM(#REF!) +Rezone!M116 + IF("Ch_"&amp; home_land=#REF!,#REF!)+IF(#REF!&gt;12,OFFSET(#REF!,-12,0),0)</f>
        <v>#REF!</v>
      </c>
      <c r="CS116" s="341" t="e">
        <f ca="1">-SUM(#REF!)+SUM(#REF!) +Rezone!N116 + IF("Ch_"&amp; home_land=#REF!,#REF!)+IF(#REF!&gt;12,OFFSET(#REF!,-12,0),0)</f>
        <v>#REF!</v>
      </c>
      <c r="CT116" s="167" t="e">
        <f ca="1">-SUM(#REF!)+SUM(#REF!) +Rezone!O116 + IF("Ch_" &amp; home_land=#REF!,#REF!)+IF(#REF!&gt;12,OFFSET(#REF!,-12,0),0)</f>
        <v>#REF!</v>
      </c>
      <c r="CU116" s="168" t="e">
        <f ca="1">-SUM(#REF!)+SUM(#REF!) +Rezone!P116 + IF("Ch_" &amp; home_land=#REF!,#REF!)+IF(#REF!&gt;12,OFFSET(#REF!,-12,0),0)</f>
        <v>#REF!</v>
      </c>
      <c r="CV116" s="169" t="e">
        <f ca="1">- SUM(#REF!)+SUM(#REF!) +Rezone!Q116 + IF("Ch_" &amp; home_land=#REF!,#REF!)+IF(#REF!&gt;12,OFFSET(#REF!,-12,0),0)</f>
        <v>#REF!</v>
      </c>
      <c r="CW116" s="170" t="e">
        <f ca="1">-#REF!+#REF! +Rezone!R116 + IF("Ch_" &amp; home_land=#REF!,#REF!)+IF(#REF!&gt;12,OFFSET(#REF!,-12,0),0)</f>
        <v>#REF!</v>
      </c>
      <c r="CX116" s="3" t="e">
        <f>IF(Explore!S116=1,20) -#REF! +#REF!</f>
        <v>#REF!</v>
      </c>
      <c r="CY116" s="134"/>
      <c r="CZ116" s="39" t="e">
        <f t="shared" ca="1" si="30"/>
        <v>#REF!</v>
      </c>
      <c r="DA116" s="39" t="e">
        <f t="shared" ca="1" si="31"/>
        <v>#REF!</v>
      </c>
      <c r="DB116" s="3" t="e">
        <f t="shared" ca="1" si="32"/>
        <v>#REF!</v>
      </c>
      <c r="DC116" s="39" t="e">
        <f t="shared" ca="1" si="33"/>
        <v>#REF!</v>
      </c>
      <c r="DD116" s="39" t="e">
        <f t="shared" ca="1" si="34"/>
        <v>#REF!</v>
      </c>
      <c r="DE116" s="3" t="e">
        <f t="shared" ca="1" si="35"/>
        <v>#REF!</v>
      </c>
      <c r="DF116" s="39" t="e">
        <f t="shared" ca="1" si="36"/>
        <v>#REF!</v>
      </c>
      <c r="DG116" s="39" t="e">
        <f t="array" ref="DG116">INDEX(#REF!,ROW()-ROW(#REF!),MATCH("Total "&amp;home_land,#REF!,0))+#REF!</f>
        <v>#REF!</v>
      </c>
      <c r="DH116" s="3" t="e">
        <f t="shared" ca="1" si="22"/>
        <v>#REF!</v>
      </c>
      <c r="DI116" s="3" t="e">
        <f t="shared" ca="1" si="19"/>
        <v>#REF!</v>
      </c>
      <c r="DJ116" s="3" t="e">
        <f t="shared" ca="1" si="20"/>
        <v>#REF!</v>
      </c>
    </row>
    <row r="117" spans="1:114" x14ac:dyDescent="0.25">
      <c r="A117" s="160" t="e">
        <f>#REF!</f>
        <v>#REF!</v>
      </c>
      <c r="B117" s="161" t="e">
        <f>SUM(#REF!)</f>
        <v>#REF!</v>
      </c>
      <c r="C117" s="162" t="e">
        <f>SUM(#REF!)</f>
        <v>#REF!</v>
      </c>
      <c r="D117" s="162">
        <f t="shared" si="21"/>
        <v>0</v>
      </c>
      <c r="E117" s="163"/>
      <c r="F117" s="61" t="e">
        <f>#REF!+#REF!+#REF!</f>
        <v>#REF!</v>
      </c>
      <c r="G117" s="171" t="e">
        <f ca="1">OFFSET(#REF!,-1,0)+#REF!</f>
        <v>#REF!</v>
      </c>
      <c r="H117" s="166" t="e">
        <f ca="1">OFFSET(#REF!,-1,0)+#REF!</f>
        <v>#REF!</v>
      </c>
      <c r="I117" s="341" t="e">
        <f ca="1">OFFSET(#REF!,-1,0)+#REF!</f>
        <v>#REF!</v>
      </c>
      <c r="J117" s="345" t="e">
        <f ca="1">OFFSET(#REF!,-1,0)+#REF!</f>
        <v>#REF!</v>
      </c>
      <c r="K117" s="349" t="e">
        <f ca="1">OFFSET(#REF!,-1,0)+#REF!</f>
        <v>#REF!</v>
      </c>
      <c r="L117" s="169" t="e">
        <f ca="1">OFFSET(#REF!,-1,0)+#REF!</f>
        <v>#REF!</v>
      </c>
      <c r="M117" s="170" t="e">
        <f ca="1">OFFSET(#REF!,-1,0)+#REF!</f>
        <v>#REF!</v>
      </c>
      <c r="N117" s="339" t="e">
        <f>#REF!</f>
        <v>#REF!</v>
      </c>
      <c r="O117" s="164"/>
      <c r="P117" s="164"/>
      <c r="Q117" s="164"/>
      <c r="R117" s="164"/>
      <c r="S117" s="164"/>
      <c r="T117" s="164"/>
      <c r="U117" s="164"/>
      <c r="V117" s="164"/>
      <c r="W117" s="164"/>
      <c r="X117" s="164"/>
      <c r="Y117" s="164"/>
      <c r="Z117" s="164"/>
      <c r="AA117" s="164"/>
      <c r="AB117" s="164"/>
      <c r="AC117" s="164"/>
      <c r="AD117" s="164"/>
      <c r="AE117" s="164"/>
      <c r="AF117" s="164"/>
      <c r="AG117" s="164"/>
      <c r="AH117" s="53" t="e">
        <f>#REF!</f>
        <v>#REF!</v>
      </c>
      <c r="AI117" s="132" t="e">
        <f>MIN(25%,(#REF!+#REF!)/(#REF!-#REF!*20))</f>
        <v>#REF!</v>
      </c>
      <c r="AJ117" s="132" t="e">
        <f>MIN(25%,(#REF!+#REF!)/#REF!)</f>
        <v>#REF!</v>
      </c>
      <c r="AK117" s="39" t="e">
        <f>#REF!</f>
        <v>#REF!</v>
      </c>
      <c r="AL117" s="39" t="e">
        <f>#REF!</f>
        <v>#REF!</v>
      </c>
      <c r="AM117" s="39" t="e">
        <f>ROUNDDOWN( MAX((1 - MIN(facs_constr_factor*#REF!,facs_constr_max) + tech_2_3*#REF! + tech_2_6_2*#REF! + tech_2_10*#REF! + tech_4_6*#REF! + tech_6_3*#REF! + tech_9_2*#REF! + race_construction_cost), 1-global_constr_cap) *#REF!,0)</f>
        <v>#REF!</v>
      </c>
      <c r="AN117" s="39" t="e">
        <f>ROUNDDOWN( MAX(1 - MIN(facs_constr_factor*#REF!,facs_constr_max) + tech_1_11*#REF! + tech_6_3_2*#REF! + tech_5_2_3*#REF!, 1-global_constr_cap) *#REF!,0)</f>
        <v>#REF!</v>
      </c>
      <c r="AO117" s="39" t="e">
        <f>ROUNDDOWN( MAX((1 - MIN(facs_constr_factor*#REF!,facs_constr_max) + tech_2_3*#REF! + tech_2_6_2*#REF! + tech_2_10*#REF! + tech_4_6*#REF! + tech_6_3*#REF! + tech_9_2*#REF! + race_construction_cost), 1-global_constr_cap) * (ROUND((#REF!-250)*1.25 + 850 + 0,0)),0)</f>
        <v>#REF!</v>
      </c>
      <c r="AP117" s="39" t="e">
        <f>ROUNDDOWN( MAX(1 - MIN(facs_constr_factor*#REF!,facs_constr_max) + tech_1_11*#REF! + tech_6_3_2*#REF! + tech_5_2_3*#REF!, 1-global_constr_cap) * ROUND((#REF!-250)*0.285 + 87.5 + 0/4.25,0),0)</f>
        <v>#REF!</v>
      </c>
      <c r="AQ117" s="3" t="e">
        <f>#REF!*#REF! +#REF! *#REF!</f>
        <v>#REF!</v>
      </c>
      <c r="AR117" s="3" t="e">
        <f>#REF!*#REF!+#REF!*#REF!</f>
        <v>#REF!</v>
      </c>
      <c r="AS117" s="39" t="e">
        <f ca="1">MIN(SUM(OFFSET(#REF!,-1,0))+SUM(#REF!)+IF(#REF!&gt;12,SUM(OFFSET(#REF!,-12,0)),0),SUM(#REF!))</f>
        <v>#REF!</v>
      </c>
      <c r="AT117" s="3" t="e">
        <f ca="1">IF(#REF!&lt;&gt;0,MAX(0, MIN(20, 20 + SUM(#REF!) - SUM(#REF!) - SUM(OFFSET(#REF!,-1,0)) - IF(#REF!&gt;12,SUM(OFFSET(#REF!,-12,0)),0) - 20*#REF!)),0)</f>
        <v>#REF!</v>
      </c>
      <c r="AU117" s="134"/>
      <c r="AV117" s="39" t="e">
        <f>ROUND((#REF!-250 - IF(#REF!&lt;&gt;0,20,0))*1.25 + 850 + 0,0)</f>
        <v>#REF!</v>
      </c>
      <c r="AW117" s="39" t="e">
        <f>ROUND((#REF!-250 - IF(#REF!&lt;&gt;0,20,0))*0.285 + 87.5 + 0/4.25,0)</f>
        <v>#REF!</v>
      </c>
      <c r="AX117" s="133"/>
      <c r="AY117" s="172" t="e">
        <f t="array" aca="1" ref="AY117" ca="1">IF(#REF!&gt;12,OFFSET(#REF!,-12,0),0)+OFFSET(#REF!,-1,0)-#REF!</f>
        <v>#REF!</v>
      </c>
      <c r="AZ117" s="173" t="e">
        <f t="array" aca="1" ref="AZ117" ca="1">IF(#REF!&gt;12,OFFSET(#REF!,-12,0),0)+OFFSET(#REF!,-1,0)-#REF!</f>
        <v>#REF!</v>
      </c>
      <c r="BA117" s="173" t="e">
        <f t="array" aca="1" ref="BA117" ca="1">IF(#REF!&gt;12,OFFSET(#REF!,-12,0),0)+OFFSET(#REF!,-1,0)-#REF!</f>
        <v>#REF!</v>
      </c>
      <c r="BB117" s="173" t="e">
        <f t="array" aca="1" ref="BB117" ca="1">IF(#REF!&gt;12,OFFSET(#REF!,-12,0),0)+OFFSET(#REF!,-1,0)-#REF!</f>
        <v>#REF!</v>
      </c>
      <c r="BC117" s="173" t="e">
        <f t="array" aca="1" ref="BC117" ca="1">IF(#REF!&gt;12,OFFSET(#REF!,-12,0),0)+OFFSET(#REF!,-1,0)-#REF!</f>
        <v>#REF!</v>
      </c>
      <c r="BD117" s="174" t="e">
        <f t="array" aca="1" ref="BD117" ca="1">IF(#REF!&gt;12,OFFSET(#REF!,-12,0),0)+OFFSET(#REF!,-1,0)-#REF!</f>
        <v>#REF!</v>
      </c>
      <c r="BE117" s="174" t="e">
        <f t="array" aca="1" ref="BE117" ca="1">IF(#REF!&gt;12,OFFSET(#REF!,-12,0),0)+OFFSET(#REF!,-1,0)-#REF!</f>
        <v>#REF!</v>
      </c>
      <c r="BF117" s="343" t="e">
        <f t="array" aca="1" ref="BF117" ca="1">IF(#REF!&gt;12,OFFSET(#REF!,-12,0),0)+OFFSET(#REF!,-1,0)-#REF!</f>
        <v>#REF!</v>
      </c>
      <c r="BG117" s="343" t="e">
        <f t="array" aca="1" ref="BG117" ca="1">IF(#REF!&gt;12,OFFSET(#REF!,-12,0),0)+OFFSET(#REF!,-1,0)-#REF!</f>
        <v>#REF!</v>
      </c>
      <c r="BH117" s="347" t="e">
        <f t="array" aca="1" ref="BH117" ca="1">IF(#REF!&gt;12,OFFSET(#REF!,-12,0),0)+OFFSET(#REF!,-1,0)-#REF!</f>
        <v>#REF!</v>
      </c>
      <c r="BI117" s="347" t="e">
        <f t="array" aca="1" ref="BI117" ca="1">IF(#REF!&gt;12,OFFSET(#REF!,-12,0),0)+OFFSET(#REF!,-1,0)-#REF!</f>
        <v>#REF!</v>
      </c>
      <c r="BJ117" s="347" t="e">
        <f t="array" aca="1" ref="BJ117" ca="1">IF(#REF!&gt;12,OFFSET(#REF!,-12,0),0)+OFFSET(#REF!,-1,0)-#REF!</f>
        <v>#REF!</v>
      </c>
      <c r="BK117" s="347" t="e">
        <f t="array" aca="1" ref="BK117" ca="1">IF(#REF!&gt;12,OFFSET(#REF!,-12,0),0)+OFFSET(#REF!,-1,0)-#REF!</f>
        <v>#REF!</v>
      </c>
      <c r="BL117" s="351" t="e">
        <f t="array" aca="1" ref="BL117" ca="1">IF(#REF!&gt;12,OFFSET(#REF!,-12,0),0)+OFFSET(#REF!,-1,0)-#REF!</f>
        <v>#REF!</v>
      </c>
      <c r="BM117" s="351" t="e">
        <f t="array" aca="1" ref="BM117" ca="1">IF(#REF!&gt;12,OFFSET(#REF!,-12,0),0)+OFFSET(#REF!,-1,0)-#REF!</f>
        <v>#REF!</v>
      </c>
      <c r="BN117" s="351" t="e">
        <f t="array" aca="1" ref="BN117" ca="1">IF(#REF!&gt;12,OFFSET(#REF!,-12,0),0)+OFFSET(#REF!,-1,0)-#REF!</f>
        <v>#REF!</v>
      </c>
      <c r="BO117" s="175" t="e">
        <f t="array" aca="1" ref="BO117" ca="1">IF(#REF!&gt;12,OFFSET(#REF!,-12,0),0)+OFFSET(#REF!,-1,0)-#REF!</f>
        <v>#REF!</v>
      </c>
      <c r="BP117" s="175" t="e">
        <f t="array" aca="1" ref="BP117" ca="1">IF(#REF!&gt;12,OFFSET(#REF!,-12,0),0)+OFFSET(#REF!,-1,0)-#REF!</f>
        <v>#REF!</v>
      </c>
      <c r="BQ117" s="176" t="e">
        <f t="array" aca="1" ref="BQ117" ca="1">IF(#REF!&gt;12,OFFSET(#REF!,-12,0),0)+OFFSET(#REF!,-1,0)-#REF!</f>
        <v>#REF!</v>
      </c>
      <c r="BR117" s="134"/>
      <c r="BS117" s="133"/>
      <c r="BT117" s="39" t="e">
        <f>#REF!</f>
        <v>#REF!</v>
      </c>
      <c r="BU117" s="147" t="e">
        <f>#REF!</f>
        <v>#REF!</v>
      </c>
      <c r="BV117" s="134"/>
      <c r="BW117" s="164"/>
      <c r="BX117" s="164"/>
      <c r="BY117" s="164"/>
      <c r="BZ117" s="164"/>
      <c r="CA117" s="164"/>
      <c r="CB117" s="164"/>
      <c r="CC117" s="164"/>
      <c r="CD117" s="164"/>
      <c r="CE117" s="164"/>
      <c r="CF117" s="164"/>
      <c r="CG117" s="164"/>
      <c r="CH117" s="164"/>
      <c r="CI117" s="164"/>
      <c r="CJ117" s="164"/>
      <c r="CK117" s="164"/>
      <c r="CL117" s="164"/>
      <c r="CM117" s="164"/>
      <c r="CN117" s="164"/>
      <c r="CO117" s="164"/>
      <c r="CP117" s="134"/>
      <c r="CQ117" s="165" t="e">
        <f ca="1">-SUM(#REF!)+SUM(#REF!)+Rezone!L117+IF("Ch_"&amp; home_land=#REF!,#REF!)+IF(#REF!&gt;12,OFFSET(#REF!,-12,0),0)</f>
        <v>#REF!</v>
      </c>
      <c r="CR117" s="166" t="e">
        <f ca="1">-SUM(#REF!)+SUM(#REF!) +Rezone!M117 + IF("Ch_"&amp; home_land=#REF!,#REF!)+IF(#REF!&gt;12,OFFSET(#REF!,-12,0),0)</f>
        <v>#REF!</v>
      </c>
      <c r="CS117" s="341" t="e">
        <f ca="1">-SUM(#REF!)+SUM(#REF!) +Rezone!N117 + IF("Ch_"&amp; home_land=#REF!,#REF!)+IF(#REF!&gt;12,OFFSET(#REF!,-12,0),0)</f>
        <v>#REF!</v>
      </c>
      <c r="CT117" s="167" t="e">
        <f ca="1">-SUM(#REF!)+SUM(#REF!) +Rezone!O117 + IF("Ch_" &amp; home_land=#REF!,#REF!)+IF(#REF!&gt;12,OFFSET(#REF!,-12,0),0)</f>
        <v>#REF!</v>
      </c>
      <c r="CU117" s="168" t="e">
        <f ca="1">-SUM(#REF!)+SUM(#REF!) +Rezone!P117 + IF("Ch_" &amp; home_land=#REF!,#REF!)+IF(#REF!&gt;12,OFFSET(#REF!,-12,0),0)</f>
        <v>#REF!</v>
      </c>
      <c r="CV117" s="169" t="e">
        <f ca="1">- SUM(#REF!)+SUM(#REF!) +Rezone!Q117 + IF("Ch_" &amp; home_land=#REF!,#REF!)+IF(#REF!&gt;12,OFFSET(#REF!,-12,0),0)</f>
        <v>#REF!</v>
      </c>
      <c r="CW117" s="170" t="e">
        <f ca="1">-#REF!+#REF! +Rezone!R117 + IF("Ch_" &amp; home_land=#REF!,#REF!)+IF(#REF!&gt;12,OFFSET(#REF!,-12,0),0)</f>
        <v>#REF!</v>
      </c>
      <c r="CX117" s="3" t="e">
        <f>IF(Explore!S117=1,20) -#REF! +#REF!</f>
        <v>#REF!</v>
      </c>
      <c r="CY117" s="134"/>
      <c r="CZ117" s="39" t="e">
        <f t="shared" ca="1" si="30"/>
        <v>#REF!</v>
      </c>
      <c r="DA117" s="39" t="e">
        <f t="shared" ca="1" si="31"/>
        <v>#REF!</v>
      </c>
      <c r="DB117" s="3" t="e">
        <f t="shared" ca="1" si="32"/>
        <v>#REF!</v>
      </c>
      <c r="DC117" s="39" t="e">
        <f t="shared" ca="1" si="33"/>
        <v>#REF!</v>
      </c>
      <c r="DD117" s="39" t="e">
        <f t="shared" ca="1" si="34"/>
        <v>#REF!</v>
      </c>
      <c r="DE117" s="3" t="e">
        <f t="shared" ca="1" si="35"/>
        <v>#REF!</v>
      </c>
      <c r="DF117" s="39" t="e">
        <f t="shared" ca="1" si="36"/>
        <v>#REF!</v>
      </c>
      <c r="DG117" s="39" t="e">
        <f t="array" ref="DG117">INDEX(#REF!,ROW()-ROW(#REF!),MATCH("Total "&amp;home_land,#REF!,0))+#REF!</f>
        <v>#REF!</v>
      </c>
      <c r="DH117" s="3" t="e">
        <f t="shared" ca="1" si="22"/>
        <v>#REF!</v>
      </c>
      <c r="DI117" s="3" t="e">
        <f t="shared" ca="1" si="19"/>
        <v>#REF!</v>
      </c>
      <c r="DJ117" s="3" t="e">
        <f t="shared" ca="1" si="20"/>
        <v>#REF!</v>
      </c>
    </row>
    <row r="118" spans="1:114" x14ac:dyDescent="0.25">
      <c r="A118" s="160" t="e">
        <f>#REF!</f>
        <v>#REF!</v>
      </c>
      <c r="B118" s="161" t="e">
        <f>SUM(#REF!)</f>
        <v>#REF!</v>
      </c>
      <c r="C118" s="162" t="e">
        <f>SUM(#REF!)</f>
        <v>#REF!</v>
      </c>
      <c r="D118" s="162">
        <f t="shared" si="21"/>
        <v>0</v>
      </c>
      <c r="E118" s="163"/>
      <c r="F118" s="61" t="e">
        <f>#REF!+#REF!+#REF!</f>
        <v>#REF!</v>
      </c>
      <c r="G118" s="171" t="e">
        <f ca="1">OFFSET(#REF!,-1,0)+#REF!</f>
        <v>#REF!</v>
      </c>
      <c r="H118" s="166" t="e">
        <f ca="1">OFFSET(#REF!,-1,0)+#REF!</f>
        <v>#REF!</v>
      </c>
      <c r="I118" s="341" t="e">
        <f ca="1">OFFSET(#REF!,-1,0)+#REF!</f>
        <v>#REF!</v>
      </c>
      <c r="J118" s="345" t="e">
        <f ca="1">OFFSET(#REF!,-1,0)+#REF!</f>
        <v>#REF!</v>
      </c>
      <c r="K118" s="349" t="e">
        <f ca="1">OFFSET(#REF!,-1,0)+#REF!</f>
        <v>#REF!</v>
      </c>
      <c r="L118" s="169" t="e">
        <f ca="1">OFFSET(#REF!,-1,0)+#REF!</f>
        <v>#REF!</v>
      </c>
      <c r="M118" s="170" t="e">
        <f ca="1">OFFSET(#REF!,-1,0)+#REF!</f>
        <v>#REF!</v>
      </c>
      <c r="N118" s="339" t="e">
        <f>#REF!</f>
        <v>#REF!</v>
      </c>
      <c r="O118" s="164"/>
      <c r="P118" s="164"/>
      <c r="Q118" s="164"/>
      <c r="R118" s="164"/>
      <c r="S118" s="164"/>
      <c r="T118" s="164"/>
      <c r="U118" s="164"/>
      <c r="V118" s="164"/>
      <c r="W118" s="164"/>
      <c r="X118" s="164"/>
      <c r="Y118" s="164"/>
      <c r="Z118" s="164"/>
      <c r="AA118" s="164"/>
      <c r="AB118" s="164"/>
      <c r="AC118" s="164"/>
      <c r="AD118" s="164"/>
      <c r="AE118" s="164"/>
      <c r="AF118" s="164"/>
      <c r="AG118" s="164"/>
      <c r="AH118" s="53" t="e">
        <f>#REF!</f>
        <v>#REF!</v>
      </c>
      <c r="AI118" s="132" t="e">
        <f>MIN(25%,(#REF!+#REF!)/(#REF!-#REF!*20))</f>
        <v>#REF!</v>
      </c>
      <c r="AJ118" s="132" t="e">
        <f>MIN(25%,(#REF!+#REF!)/#REF!)</f>
        <v>#REF!</v>
      </c>
      <c r="AK118" s="39" t="e">
        <f>#REF!</f>
        <v>#REF!</v>
      </c>
      <c r="AL118" s="39" t="e">
        <f>#REF!</f>
        <v>#REF!</v>
      </c>
      <c r="AM118" s="39" t="e">
        <f>ROUNDDOWN( MAX((1 - MIN(facs_constr_factor*#REF!,facs_constr_max) + tech_2_3*#REF! + tech_2_6_2*#REF! + tech_2_10*#REF! + tech_4_6*#REF! + tech_6_3*#REF! + tech_9_2*#REF! + race_construction_cost), 1-global_constr_cap) *#REF!,0)</f>
        <v>#REF!</v>
      </c>
      <c r="AN118" s="39" t="e">
        <f>ROUNDDOWN( MAX(1 - MIN(facs_constr_factor*#REF!,facs_constr_max) + tech_1_11*#REF! + tech_6_3_2*#REF! + tech_5_2_3*#REF!, 1-global_constr_cap) *#REF!,0)</f>
        <v>#REF!</v>
      </c>
      <c r="AO118" s="39" t="e">
        <f>ROUNDDOWN( MAX((1 - MIN(facs_constr_factor*#REF!,facs_constr_max) + tech_2_3*#REF! + tech_2_6_2*#REF! + tech_2_10*#REF! + tech_4_6*#REF! + tech_6_3*#REF! + tech_9_2*#REF! + race_construction_cost), 1-global_constr_cap) * (ROUND((#REF!-250)*1.25 + 850 + 0,0)),0)</f>
        <v>#REF!</v>
      </c>
      <c r="AP118" s="39" t="e">
        <f>ROUNDDOWN( MAX(1 - MIN(facs_constr_factor*#REF!,facs_constr_max) + tech_1_11*#REF! + tech_6_3_2*#REF! + tech_5_2_3*#REF!, 1-global_constr_cap) * ROUND((#REF!-250)*0.285 + 87.5 + 0/4.25,0),0)</f>
        <v>#REF!</v>
      </c>
      <c r="AQ118" s="3" t="e">
        <f>#REF!*#REF! +#REF! *#REF!</f>
        <v>#REF!</v>
      </c>
      <c r="AR118" s="3" t="e">
        <f>#REF!*#REF!+#REF!*#REF!</f>
        <v>#REF!</v>
      </c>
      <c r="AS118" s="39" t="e">
        <f ca="1">MIN(SUM(OFFSET(#REF!,-1,0))+SUM(#REF!)+IF(#REF!&gt;12,SUM(OFFSET(#REF!,-12,0)),0),SUM(#REF!))</f>
        <v>#REF!</v>
      </c>
      <c r="AT118" s="3" t="e">
        <f ca="1">IF(#REF!&lt;&gt;0,MAX(0, MIN(20, 20 + SUM(#REF!) - SUM(#REF!) - SUM(OFFSET(#REF!,-1,0)) - IF(#REF!&gt;12,SUM(OFFSET(#REF!,-12,0)),0) - 20*#REF!)),0)</f>
        <v>#REF!</v>
      </c>
      <c r="AU118" s="134"/>
      <c r="AV118" s="39" t="e">
        <f>ROUND((#REF!-250 - IF(#REF!&lt;&gt;0,20,0))*1.25 + 850 + 0,0)</f>
        <v>#REF!</v>
      </c>
      <c r="AW118" s="39" t="e">
        <f>ROUND((#REF!-250 - IF(#REF!&lt;&gt;0,20,0))*0.285 + 87.5 + 0/4.25,0)</f>
        <v>#REF!</v>
      </c>
      <c r="AX118" s="133"/>
      <c r="AY118" s="172" t="e">
        <f t="array" aca="1" ref="AY118" ca="1">IF(#REF!&gt;12,OFFSET(#REF!,-12,0),0)+OFFSET(#REF!,-1,0)-#REF!</f>
        <v>#REF!</v>
      </c>
      <c r="AZ118" s="173" t="e">
        <f t="array" aca="1" ref="AZ118" ca="1">IF(#REF!&gt;12,OFFSET(#REF!,-12,0),0)+OFFSET(#REF!,-1,0)-#REF!</f>
        <v>#REF!</v>
      </c>
      <c r="BA118" s="173" t="e">
        <f t="array" aca="1" ref="BA118" ca="1">IF(#REF!&gt;12,OFFSET(#REF!,-12,0),0)+OFFSET(#REF!,-1,0)-#REF!</f>
        <v>#REF!</v>
      </c>
      <c r="BB118" s="173" t="e">
        <f t="array" aca="1" ref="BB118" ca="1">IF(#REF!&gt;12,OFFSET(#REF!,-12,0),0)+OFFSET(#REF!,-1,0)-#REF!</f>
        <v>#REF!</v>
      </c>
      <c r="BC118" s="173" t="e">
        <f t="array" aca="1" ref="BC118" ca="1">IF(#REF!&gt;12,OFFSET(#REF!,-12,0),0)+OFFSET(#REF!,-1,0)-#REF!</f>
        <v>#REF!</v>
      </c>
      <c r="BD118" s="174" t="e">
        <f t="array" aca="1" ref="BD118" ca="1">IF(#REF!&gt;12,OFFSET(#REF!,-12,0),0)+OFFSET(#REF!,-1,0)-#REF!</f>
        <v>#REF!</v>
      </c>
      <c r="BE118" s="174" t="e">
        <f t="array" aca="1" ref="BE118" ca="1">IF(#REF!&gt;12,OFFSET(#REF!,-12,0),0)+OFFSET(#REF!,-1,0)-#REF!</f>
        <v>#REF!</v>
      </c>
      <c r="BF118" s="343" t="e">
        <f t="array" aca="1" ref="BF118" ca="1">IF(#REF!&gt;12,OFFSET(#REF!,-12,0),0)+OFFSET(#REF!,-1,0)-#REF!</f>
        <v>#REF!</v>
      </c>
      <c r="BG118" s="343" t="e">
        <f t="array" aca="1" ref="BG118" ca="1">IF(#REF!&gt;12,OFFSET(#REF!,-12,0),0)+OFFSET(#REF!,-1,0)-#REF!</f>
        <v>#REF!</v>
      </c>
      <c r="BH118" s="347" t="e">
        <f t="array" aca="1" ref="BH118" ca="1">IF(#REF!&gt;12,OFFSET(#REF!,-12,0),0)+OFFSET(#REF!,-1,0)-#REF!</f>
        <v>#REF!</v>
      </c>
      <c r="BI118" s="347" t="e">
        <f t="array" aca="1" ref="BI118" ca="1">IF(#REF!&gt;12,OFFSET(#REF!,-12,0),0)+OFFSET(#REF!,-1,0)-#REF!</f>
        <v>#REF!</v>
      </c>
      <c r="BJ118" s="347" t="e">
        <f t="array" aca="1" ref="BJ118" ca="1">IF(#REF!&gt;12,OFFSET(#REF!,-12,0),0)+OFFSET(#REF!,-1,0)-#REF!</f>
        <v>#REF!</v>
      </c>
      <c r="BK118" s="347" t="e">
        <f t="array" aca="1" ref="BK118" ca="1">IF(#REF!&gt;12,OFFSET(#REF!,-12,0),0)+OFFSET(#REF!,-1,0)-#REF!</f>
        <v>#REF!</v>
      </c>
      <c r="BL118" s="351" t="e">
        <f t="array" aca="1" ref="BL118" ca="1">IF(#REF!&gt;12,OFFSET(#REF!,-12,0),0)+OFFSET(#REF!,-1,0)-#REF!</f>
        <v>#REF!</v>
      </c>
      <c r="BM118" s="351" t="e">
        <f t="array" aca="1" ref="BM118" ca="1">IF(#REF!&gt;12,OFFSET(#REF!,-12,0),0)+OFFSET(#REF!,-1,0)-#REF!</f>
        <v>#REF!</v>
      </c>
      <c r="BN118" s="351" t="e">
        <f t="array" aca="1" ref="BN118" ca="1">IF(#REF!&gt;12,OFFSET(#REF!,-12,0),0)+OFFSET(#REF!,-1,0)-#REF!</f>
        <v>#REF!</v>
      </c>
      <c r="BO118" s="175" t="e">
        <f t="array" aca="1" ref="BO118" ca="1">IF(#REF!&gt;12,OFFSET(#REF!,-12,0),0)+OFFSET(#REF!,-1,0)-#REF!</f>
        <v>#REF!</v>
      </c>
      <c r="BP118" s="175" t="e">
        <f t="array" aca="1" ref="BP118" ca="1">IF(#REF!&gt;12,OFFSET(#REF!,-12,0),0)+OFFSET(#REF!,-1,0)-#REF!</f>
        <v>#REF!</v>
      </c>
      <c r="BQ118" s="176" t="e">
        <f t="array" aca="1" ref="BQ118" ca="1">IF(#REF!&gt;12,OFFSET(#REF!,-12,0),0)+OFFSET(#REF!,-1,0)-#REF!</f>
        <v>#REF!</v>
      </c>
      <c r="BR118" s="134"/>
      <c r="BS118" s="133"/>
      <c r="BT118" s="39" t="e">
        <f>#REF!</f>
        <v>#REF!</v>
      </c>
      <c r="BU118" s="147" t="e">
        <f>#REF!</f>
        <v>#REF!</v>
      </c>
      <c r="BV118" s="134"/>
      <c r="BW118" s="164"/>
      <c r="BX118" s="164"/>
      <c r="BY118" s="164"/>
      <c r="BZ118" s="164"/>
      <c r="CA118" s="164"/>
      <c r="CB118" s="164"/>
      <c r="CC118" s="164"/>
      <c r="CD118" s="164"/>
      <c r="CE118" s="164"/>
      <c r="CF118" s="164"/>
      <c r="CG118" s="164"/>
      <c r="CH118" s="164"/>
      <c r="CI118" s="164"/>
      <c r="CJ118" s="164"/>
      <c r="CK118" s="164"/>
      <c r="CL118" s="164"/>
      <c r="CM118" s="164"/>
      <c r="CN118" s="164"/>
      <c r="CO118" s="164"/>
      <c r="CP118" s="134"/>
      <c r="CQ118" s="165" t="e">
        <f ca="1">-SUM(#REF!)+SUM(#REF!)+Rezone!L118+IF("Ch_"&amp; home_land=#REF!,#REF!)+IF(#REF!&gt;12,OFFSET(#REF!,-12,0),0)</f>
        <v>#REF!</v>
      </c>
      <c r="CR118" s="166" t="e">
        <f ca="1">-SUM(#REF!)+SUM(#REF!) +Rezone!M118 + IF("Ch_"&amp; home_land=#REF!,#REF!)+IF(#REF!&gt;12,OFFSET(#REF!,-12,0),0)</f>
        <v>#REF!</v>
      </c>
      <c r="CS118" s="341" t="e">
        <f ca="1">-SUM(#REF!)+SUM(#REF!) +Rezone!N118 + IF("Ch_"&amp; home_land=#REF!,#REF!)+IF(#REF!&gt;12,OFFSET(#REF!,-12,0),0)</f>
        <v>#REF!</v>
      </c>
      <c r="CT118" s="167" t="e">
        <f ca="1">-SUM(#REF!)+SUM(#REF!) +Rezone!O118 + IF("Ch_" &amp; home_land=#REF!,#REF!)+IF(#REF!&gt;12,OFFSET(#REF!,-12,0),0)</f>
        <v>#REF!</v>
      </c>
      <c r="CU118" s="168" t="e">
        <f ca="1">-SUM(#REF!)+SUM(#REF!) +Rezone!P118 + IF("Ch_" &amp; home_land=#REF!,#REF!)+IF(#REF!&gt;12,OFFSET(#REF!,-12,0),0)</f>
        <v>#REF!</v>
      </c>
      <c r="CV118" s="169" t="e">
        <f ca="1">- SUM(#REF!)+SUM(#REF!) +Rezone!Q118 + IF("Ch_" &amp; home_land=#REF!,#REF!)+IF(#REF!&gt;12,OFFSET(#REF!,-12,0),0)</f>
        <v>#REF!</v>
      </c>
      <c r="CW118" s="170" t="e">
        <f ca="1">-#REF!+#REF! +Rezone!R118 + IF("Ch_" &amp; home_land=#REF!,#REF!)+IF(#REF!&gt;12,OFFSET(#REF!,-12,0),0)</f>
        <v>#REF!</v>
      </c>
      <c r="CX118" s="3" t="e">
        <f>IF(Explore!S118=1,20) -#REF! +#REF!</f>
        <v>#REF!</v>
      </c>
      <c r="CY118" s="134"/>
      <c r="CZ118" s="39" t="e">
        <f t="shared" ca="1" si="30"/>
        <v>#REF!</v>
      </c>
      <c r="DA118" s="39" t="e">
        <f t="shared" ca="1" si="31"/>
        <v>#REF!</v>
      </c>
      <c r="DB118" s="3" t="e">
        <f t="shared" ca="1" si="32"/>
        <v>#REF!</v>
      </c>
      <c r="DC118" s="39" t="e">
        <f t="shared" ca="1" si="33"/>
        <v>#REF!</v>
      </c>
      <c r="DD118" s="39" t="e">
        <f t="shared" ca="1" si="34"/>
        <v>#REF!</v>
      </c>
      <c r="DE118" s="3" t="e">
        <f t="shared" ca="1" si="35"/>
        <v>#REF!</v>
      </c>
      <c r="DF118" s="39" t="e">
        <f t="shared" ca="1" si="36"/>
        <v>#REF!</v>
      </c>
      <c r="DG118" s="39" t="e">
        <f t="array" ref="DG118">INDEX(#REF!,ROW()-ROW(#REF!),MATCH("Total "&amp;home_land,#REF!,0))+#REF!</f>
        <v>#REF!</v>
      </c>
      <c r="DH118" s="3" t="e">
        <f t="shared" ca="1" si="22"/>
        <v>#REF!</v>
      </c>
      <c r="DI118" s="3" t="e">
        <f t="shared" ca="1" si="19"/>
        <v>#REF!</v>
      </c>
      <c r="DJ118" s="3" t="e">
        <f t="shared" ca="1" si="20"/>
        <v>#REF!</v>
      </c>
    </row>
    <row r="119" spans="1:114" x14ac:dyDescent="0.25">
      <c r="A119" s="160" t="e">
        <f>#REF!</f>
        <v>#REF!</v>
      </c>
      <c r="B119" s="161" t="e">
        <f>SUM(#REF!)</f>
        <v>#REF!</v>
      </c>
      <c r="C119" s="162" t="e">
        <f>SUM(#REF!)</f>
        <v>#REF!</v>
      </c>
      <c r="D119" s="162">
        <f t="shared" si="21"/>
        <v>0</v>
      </c>
      <c r="E119" s="163"/>
      <c r="F119" s="61" t="e">
        <f>#REF!+#REF!+#REF!</f>
        <v>#REF!</v>
      </c>
      <c r="G119" s="171" t="e">
        <f ca="1">OFFSET(#REF!,-1,0)+#REF!</f>
        <v>#REF!</v>
      </c>
      <c r="H119" s="166" t="e">
        <f ca="1">OFFSET(#REF!,-1,0)+#REF!</f>
        <v>#REF!</v>
      </c>
      <c r="I119" s="341" t="e">
        <f ca="1">OFFSET(#REF!,-1,0)+#REF!</f>
        <v>#REF!</v>
      </c>
      <c r="J119" s="345" t="e">
        <f ca="1">OFFSET(#REF!,-1,0)+#REF!</f>
        <v>#REF!</v>
      </c>
      <c r="K119" s="349" t="e">
        <f ca="1">OFFSET(#REF!,-1,0)+#REF!</f>
        <v>#REF!</v>
      </c>
      <c r="L119" s="169" t="e">
        <f ca="1">OFFSET(#REF!,-1,0)+#REF!</f>
        <v>#REF!</v>
      </c>
      <c r="M119" s="170" t="e">
        <f ca="1">OFFSET(#REF!,-1,0)+#REF!</f>
        <v>#REF!</v>
      </c>
      <c r="N119" s="339" t="e">
        <f>#REF!</f>
        <v>#REF!</v>
      </c>
      <c r="O119" s="164"/>
      <c r="P119" s="164"/>
      <c r="Q119" s="164"/>
      <c r="R119" s="164"/>
      <c r="S119" s="164"/>
      <c r="T119" s="164"/>
      <c r="U119" s="164"/>
      <c r="V119" s="164"/>
      <c r="W119" s="164"/>
      <c r="X119" s="164"/>
      <c r="Y119" s="164"/>
      <c r="Z119" s="164"/>
      <c r="AA119" s="164"/>
      <c r="AB119" s="164"/>
      <c r="AC119" s="164"/>
      <c r="AD119" s="164"/>
      <c r="AE119" s="164"/>
      <c r="AF119" s="164"/>
      <c r="AG119" s="164"/>
      <c r="AH119" s="53" t="e">
        <f>#REF!</f>
        <v>#REF!</v>
      </c>
      <c r="AI119" s="132" t="e">
        <f>MIN(25%,(#REF!+#REF!)/(#REF!-#REF!*20))</f>
        <v>#REF!</v>
      </c>
      <c r="AJ119" s="132" t="e">
        <f>MIN(25%,(#REF!+#REF!)/#REF!)</f>
        <v>#REF!</v>
      </c>
      <c r="AK119" s="39" t="e">
        <f>#REF!</f>
        <v>#REF!</v>
      </c>
      <c r="AL119" s="39" t="e">
        <f>#REF!</f>
        <v>#REF!</v>
      </c>
      <c r="AM119" s="39" t="e">
        <f>ROUNDDOWN( MAX((1 - MIN(facs_constr_factor*#REF!,facs_constr_max) + tech_2_3*#REF! + tech_2_6_2*#REF! + tech_2_10*#REF! + tech_4_6*#REF! + tech_6_3*#REF! + tech_9_2*#REF! + race_construction_cost), 1-global_constr_cap) *#REF!,0)</f>
        <v>#REF!</v>
      </c>
      <c r="AN119" s="39" t="e">
        <f>ROUNDDOWN( MAX(1 - MIN(facs_constr_factor*#REF!,facs_constr_max) + tech_1_11*#REF! + tech_6_3_2*#REF! + tech_5_2_3*#REF!, 1-global_constr_cap) *#REF!,0)</f>
        <v>#REF!</v>
      </c>
      <c r="AO119" s="39" t="e">
        <f>ROUNDDOWN( MAX((1 - MIN(facs_constr_factor*#REF!,facs_constr_max) + tech_2_3*#REF! + tech_2_6_2*#REF! + tech_2_10*#REF! + tech_4_6*#REF! + tech_6_3*#REF! + tech_9_2*#REF! + race_construction_cost), 1-global_constr_cap) * (ROUND((#REF!-250)*1.25 + 850 + 0,0)),0)</f>
        <v>#REF!</v>
      </c>
      <c r="AP119" s="39" t="e">
        <f>ROUNDDOWN( MAX(1 - MIN(facs_constr_factor*#REF!,facs_constr_max) + tech_1_11*#REF! + tech_6_3_2*#REF! + tech_5_2_3*#REF!, 1-global_constr_cap) * ROUND((#REF!-250)*0.285 + 87.5 + 0/4.25,0),0)</f>
        <v>#REF!</v>
      </c>
      <c r="AQ119" s="3" t="e">
        <f>#REF!*#REF! +#REF! *#REF!</f>
        <v>#REF!</v>
      </c>
      <c r="AR119" s="3" t="e">
        <f>#REF!*#REF!+#REF!*#REF!</f>
        <v>#REF!</v>
      </c>
      <c r="AS119" s="39" t="e">
        <f ca="1">MIN(SUM(OFFSET(#REF!,-1,0))+SUM(#REF!)+IF(#REF!&gt;12,SUM(OFFSET(#REF!,-12,0)),0),SUM(#REF!))</f>
        <v>#REF!</v>
      </c>
      <c r="AT119" s="3" t="e">
        <f ca="1">IF(#REF!&lt;&gt;0,MAX(0, MIN(20, 20 + SUM(#REF!) - SUM(#REF!) - SUM(OFFSET(#REF!,-1,0)) - IF(#REF!&gt;12,SUM(OFFSET(#REF!,-12,0)),0) - 20*#REF!)),0)</f>
        <v>#REF!</v>
      </c>
      <c r="AU119" s="134"/>
      <c r="AV119" s="39" t="e">
        <f>ROUND((#REF!-250 - IF(#REF!&lt;&gt;0,20,0))*1.25 + 850 + 0,0)</f>
        <v>#REF!</v>
      </c>
      <c r="AW119" s="39" t="e">
        <f>ROUND((#REF!-250 - IF(#REF!&lt;&gt;0,20,0))*0.285 + 87.5 + 0/4.25,0)</f>
        <v>#REF!</v>
      </c>
      <c r="AX119" s="133"/>
      <c r="AY119" s="172" t="e">
        <f t="array" aca="1" ref="AY119" ca="1">IF(#REF!&gt;12,OFFSET(#REF!,-12,0),0)+OFFSET(#REF!,-1,0)-#REF!</f>
        <v>#REF!</v>
      </c>
      <c r="AZ119" s="173" t="e">
        <f t="array" aca="1" ref="AZ119" ca="1">IF(#REF!&gt;12,OFFSET(#REF!,-12,0),0)+OFFSET(#REF!,-1,0)-#REF!</f>
        <v>#REF!</v>
      </c>
      <c r="BA119" s="173" t="e">
        <f t="array" aca="1" ref="BA119" ca="1">IF(#REF!&gt;12,OFFSET(#REF!,-12,0),0)+OFFSET(#REF!,-1,0)-#REF!</f>
        <v>#REF!</v>
      </c>
      <c r="BB119" s="173" t="e">
        <f t="array" aca="1" ref="BB119" ca="1">IF(#REF!&gt;12,OFFSET(#REF!,-12,0),0)+OFFSET(#REF!,-1,0)-#REF!</f>
        <v>#REF!</v>
      </c>
      <c r="BC119" s="173" t="e">
        <f t="array" aca="1" ref="BC119" ca="1">IF(#REF!&gt;12,OFFSET(#REF!,-12,0),0)+OFFSET(#REF!,-1,0)-#REF!</f>
        <v>#REF!</v>
      </c>
      <c r="BD119" s="174" t="e">
        <f t="array" aca="1" ref="BD119" ca="1">IF(#REF!&gt;12,OFFSET(#REF!,-12,0),0)+OFFSET(#REF!,-1,0)-#REF!</f>
        <v>#REF!</v>
      </c>
      <c r="BE119" s="174" t="e">
        <f t="array" aca="1" ref="BE119" ca="1">IF(#REF!&gt;12,OFFSET(#REF!,-12,0),0)+OFFSET(#REF!,-1,0)-#REF!</f>
        <v>#REF!</v>
      </c>
      <c r="BF119" s="343" t="e">
        <f t="array" aca="1" ref="BF119" ca="1">IF(#REF!&gt;12,OFFSET(#REF!,-12,0),0)+OFFSET(#REF!,-1,0)-#REF!</f>
        <v>#REF!</v>
      </c>
      <c r="BG119" s="343" t="e">
        <f t="array" aca="1" ref="BG119" ca="1">IF(#REF!&gt;12,OFFSET(#REF!,-12,0),0)+OFFSET(#REF!,-1,0)-#REF!</f>
        <v>#REF!</v>
      </c>
      <c r="BH119" s="347" t="e">
        <f t="array" aca="1" ref="BH119" ca="1">IF(#REF!&gt;12,OFFSET(#REF!,-12,0),0)+OFFSET(#REF!,-1,0)-#REF!</f>
        <v>#REF!</v>
      </c>
      <c r="BI119" s="347" t="e">
        <f t="array" aca="1" ref="BI119" ca="1">IF(#REF!&gt;12,OFFSET(#REF!,-12,0),0)+OFFSET(#REF!,-1,0)-#REF!</f>
        <v>#REF!</v>
      </c>
      <c r="BJ119" s="347" t="e">
        <f t="array" aca="1" ref="BJ119" ca="1">IF(#REF!&gt;12,OFFSET(#REF!,-12,0),0)+OFFSET(#REF!,-1,0)-#REF!</f>
        <v>#REF!</v>
      </c>
      <c r="BK119" s="347" t="e">
        <f t="array" aca="1" ref="BK119" ca="1">IF(#REF!&gt;12,OFFSET(#REF!,-12,0),0)+OFFSET(#REF!,-1,0)-#REF!</f>
        <v>#REF!</v>
      </c>
      <c r="BL119" s="351" t="e">
        <f t="array" aca="1" ref="BL119" ca="1">IF(#REF!&gt;12,OFFSET(#REF!,-12,0),0)+OFFSET(#REF!,-1,0)-#REF!</f>
        <v>#REF!</v>
      </c>
      <c r="BM119" s="351" t="e">
        <f t="array" aca="1" ref="BM119" ca="1">IF(#REF!&gt;12,OFFSET(#REF!,-12,0),0)+OFFSET(#REF!,-1,0)-#REF!</f>
        <v>#REF!</v>
      </c>
      <c r="BN119" s="351" t="e">
        <f t="array" aca="1" ref="BN119" ca="1">IF(#REF!&gt;12,OFFSET(#REF!,-12,0),0)+OFFSET(#REF!,-1,0)-#REF!</f>
        <v>#REF!</v>
      </c>
      <c r="BO119" s="175" t="e">
        <f t="array" aca="1" ref="BO119" ca="1">IF(#REF!&gt;12,OFFSET(#REF!,-12,0),0)+OFFSET(#REF!,-1,0)-#REF!</f>
        <v>#REF!</v>
      </c>
      <c r="BP119" s="175" t="e">
        <f t="array" aca="1" ref="BP119" ca="1">IF(#REF!&gt;12,OFFSET(#REF!,-12,0),0)+OFFSET(#REF!,-1,0)-#REF!</f>
        <v>#REF!</v>
      </c>
      <c r="BQ119" s="176" t="e">
        <f t="array" aca="1" ref="BQ119" ca="1">IF(#REF!&gt;12,OFFSET(#REF!,-12,0),0)+OFFSET(#REF!,-1,0)-#REF!</f>
        <v>#REF!</v>
      </c>
      <c r="BR119" s="134"/>
      <c r="BS119" s="133"/>
      <c r="BT119" s="39" t="e">
        <f>#REF!</f>
        <v>#REF!</v>
      </c>
      <c r="BU119" s="147" t="e">
        <f>#REF!</f>
        <v>#REF!</v>
      </c>
      <c r="BV119" s="134"/>
      <c r="BW119" s="164"/>
      <c r="BX119" s="164"/>
      <c r="BY119" s="164"/>
      <c r="BZ119" s="164"/>
      <c r="CA119" s="164"/>
      <c r="CB119" s="164"/>
      <c r="CC119" s="164"/>
      <c r="CD119" s="164"/>
      <c r="CE119" s="164"/>
      <c r="CF119" s="164"/>
      <c r="CG119" s="164"/>
      <c r="CH119" s="164"/>
      <c r="CI119" s="164"/>
      <c r="CJ119" s="164"/>
      <c r="CK119" s="164"/>
      <c r="CL119" s="164"/>
      <c r="CM119" s="164"/>
      <c r="CN119" s="164"/>
      <c r="CO119" s="164"/>
      <c r="CP119" s="134"/>
      <c r="CQ119" s="165" t="e">
        <f ca="1">-SUM(#REF!)+SUM(#REF!)+Rezone!L119+IF("Ch_"&amp; home_land=#REF!,#REF!)+IF(#REF!&gt;12,OFFSET(#REF!,-12,0),0)</f>
        <v>#REF!</v>
      </c>
      <c r="CR119" s="166" t="e">
        <f ca="1">-SUM(#REF!)+SUM(#REF!) +Rezone!M119 + IF("Ch_"&amp; home_land=#REF!,#REF!)+IF(#REF!&gt;12,OFFSET(#REF!,-12,0),0)</f>
        <v>#REF!</v>
      </c>
      <c r="CS119" s="341" t="e">
        <f ca="1">-SUM(#REF!)+SUM(#REF!) +Rezone!N119 + IF("Ch_"&amp; home_land=#REF!,#REF!)+IF(#REF!&gt;12,OFFSET(#REF!,-12,0),0)</f>
        <v>#REF!</v>
      </c>
      <c r="CT119" s="167" t="e">
        <f ca="1">-SUM(#REF!)+SUM(#REF!) +Rezone!O119 + IF("Ch_" &amp; home_land=#REF!,#REF!)+IF(#REF!&gt;12,OFFSET(#REF!,-12,0),0)</f>
        <v>#REF!</v>
      </c>
      <c r="CU119" s="168" t="e">
        <f ca="1">-SUM(#REF!)+SUM(#REF!) +Rezone!P119 + IF("Ch_" &amp; home_land=#REF!,#REF!)+IF(#REF!&gt;12,OFFSET(#REF!,-12,0),0)</f>
        <v>#REF!</v>
      </c>
      <c r="CV119" s="169" t="e">
        <f ca="1">- SUM(#REF!)+SUM(#REF!) +Rezone!Q119 + IF("Ch_" &amp; home_land=#REF!,#REF!)+IF(#REF!&gt;12,OFFSET(#REF!,-12,0),0)</f>
        <v>#REF!</v>
      </c>
      <c r="CW119" s="170" t="e">
        <f ca="1">-#REF!+#REF! +Rezone!R119 + IF("Ch_" &amp; home_land=#REF!,#REF!)+IF(#REF!&gt;12,OFFSET(#REF!,-12,0),0)</f>
        <v>#REF!</v>
      </c>
      <c r="CX119" s="3" t="e">
        <f>IF(Explore!S119=1,20) -#REF! +#REF!</f>
        <v>#REF!</v>
      </c>
      <c r="CY119" s="134"/>
      <c r="CZ119" s="39" t="e">
        <f t="shared" ca="1" si="30"/>
        <v>#REF!</v>
      </c>
      <c r="DA119" s="39" t="e">
        <f t="shared" ca="1" si="31"/>
        <v>#REF!</v>
      </c>
      <c r="DB119" s="3" t="e">
        <f t="shared" ca="1" si="32"/>
        <v>#REF!</v>
      </c>
      <c r="DC119" s="39" t="e">
        <f t="shared" ca="1" si="33"/>
        <v>#REF!</v>
      </c>
      <c r="DD119" s="39" t="e">
        <f t="shared" ca="1" si="34"/>
        <v>#REF!</v>
      </c>
      <c r="DE119" s="3" t="e">
        <f t="shared" ca="1" si="35"/>
        <v>#REF!</v>
      </c>
      <c r="DF119" s="39" t="e">
        <f t="shared" ca="1" si="36"/>
        <v>#REF!</v>
      </c>
      <c r="DG119" s="39" t="e">
        <f t="array" ref="DG119">INDEX(#REF!,ROW()-ROW(#REF!),MATCH("Total "&amp;home_land,#REF!,0))+#REF!</f>
        <v>#REF!</v>
      </c>
      <c r="DH119" s="3" t="e">
        <f t="shared" ca="1" si="22"/>
        <v>#REF!</v>
      </c>
      <c r="DI119" s="3" t="e">
        <f t="shared" ca="1" si="19"/>
        <v>#REF!</v>
      </c>
      <c r="DJ119" s="3" t="e">
        <f t="shared" ca="1" si="20"/>
        <v>#REF!</v>
      </c>
    </row>
    <row r="120" spans="1:114" x14ac:dyDescent="0.25">
      <c r="A120" s="160" t="e">
        <f>#REF!</f>
        <v>#REF!</v>
      </c>
      <c r="B120" s="161" t="e">
        <f>SUM(#REF!)</f>
        <v>#REF!</v>
      </c>
      <c r="C120" s="162" t="e">
        <f>SUM(#REF!)</f>
        <v>#REF!</v>
      </c>
      <c r="D120" s="162">
        <f t="shared" si="21"/>
        <v>0</v>
      </c>
      <c r="E120" s="163"/>
      <c r="F120" s="61" t="e">
        <f>#REF!+#REF!+#REF!</f>
        <v>#REF!</v>
      </c>
      <c r="G120" s="171" t="e">
        <f ca="1">OFFSET(#REF!,-1,0)+#REF!</f>
        <v>#REF!</v>
      </c>
      <c r="H120" s="166" t="e">
        <f ca="1">OFFSET(#REF!,-1,0)+#REF!</f>
        <v>#REF!</v>
      </c>
      <c r="I120" s="341" t="e">
        <f ca="1">OFFSET(#REF!,-1,0)+#REF!</f>
        <v>#REF!</v>
      </c>
      <c r="J120" s="345" t="e">
        <f ca="1">OFFSET(#REF!,-1,0)+#REF!</f>
        <v>#REF!</v>
      </c>
      <c r="K120" s="349" t="e">
        <f ca="1">OFFSET(#REF!,-1,0)+#REF!</f>
        <v>#REF!</v>
      </c>
      <c r="L120" s="169" t="e">
        <f ca="1">OFFSET(#REF!,-1,0)+#REF!</f>
        <v>#REF!</v>
      </c>
      <c r="M120" s="170" t="e">
        <f ca="1">OFFSET(#REF!,-1,0)+#REF!</f>
        <v>#REF!</v>
      </c>
      <c r="N120" s="339" t="e">
        <f>#REF!</f>
        <v>#REF!</v>
      </c>
      <c r="O120" s="164"/>
      <c r="P120" s="164"/>
      <c r="Q120" s="164"/>
      <c r="R120" s="164"/>
      <c r="S120" s="164"/>
      <c r="T120" s="164"/>
      <c r="U120" s="164"/>
      <c r="V120" s="164"/>
      <c r="W120" s="164"/>
      <c r="X120" s="164"/>
      <c r="Y120" s="164"/>
      <c r="Z120" s="164"/>
      <c r="AA120" s="164"/>
      <c r="AB120" s="164"/>
      <c r="AC120" s="164"/>
      <c r="AD120" s="164"/>
      <c r="AE120" s="164"/>
      <c r="AF120" s="164"/>
      <c r="AG120" s="164"/>
      <c r="AH120" s="53" t="e">
        <f>#REF!</f>
        <v>#REF!</v>
      </c>
      <c r="AI120" s="132" t="e">
        <f>MIN(25%,(#REF!+#REF!)/(#REF!-#REF!*20))</f>
        <v>#REF!</v>
      </c>
      <c r="AJ120" s="132" t="e">
        <f>MIN(25%,(#REF!+#REF!)/#REF!)</f>
        <v>#REF!</v>
      </c>
      <c r="AK120" s="39" t="e">
        <f>#REF!</f>
        <v>#REF!</v>
      </c>
      <c r="AL120" s="39" t="e">
        <f>#REF!</f>
        <v>#REF!</v>
      </c>
      <c r="AM120" s="39" t="e">
        <f>ROUNDDOWN( MAX((1 - MIN(facs_constr_factor*#REF!,facs_constr_max) + tech_2_3*#REF! + tech_2_6_2*#REF! + tech_2_10*#REF! + tech_4_6*#REF! + tech_6_3*#REF! + tech_9_2*#REF! + race_construction_cost), 1-global_constr_cap) *#REF!,0)</f>
        <v>#REF!</v>
      </c>
      <c r="AN120" s="39" t="e">
        <f>ROUNDDOWN( MAX(1 - MIN(facs_constr_factor*#REF!,facs_constr_max) + tech_1_11*#REF! + tech_6_3_2*#REF! + tech_5_2_3*#REF!, 1-global_constr_cap) *#REF!,0)</f>
        <v>#REF!</v>
      </c>
      <c r="AO120" s="39" t="e">
        <f>ROUNDDOWN( MAX((1 - MIN(facs_constr_factor*#REF!,facs_constr_max) + tech_2_3*#REF! + tech_2_6_2*#REF! + tech_2_10*#REF! + tech_4_6*#REF! + tech_6_3*#REF! + tech_9_2*#REF! + race_construction_cost), 1-global_constr_cap) * (ROUND((#REF!-250)*1.25 + 850 + 0,0)),0)</f>
        <v>#REF!</v>
      </c>
      <c r="AP120" s="39" t="e">
        <f>ROUNDDOWN( MAX(1 - MIN(facs_constr_factor*#REF!,facs_constr_max) + tech_1_11*#REF! + tech_6_3_2*#REF! + tech_5_2_3*#REF!, 1-global_constr_cap) * ROUND((#REF!-250)*0.285 + 87.5 + 0/4.25,0),0)</f>
        <v>#REF!</v>
      </c>
      <c r="AQ120" s="3" t="e">
        <f>#REF!*#REF! +#REF! *#REF!</f>
        <v>#REF!</v>
      </c>
      <c r="AR120" s="3" t="e">
        <f>#REF!*#REF!+#REF!*#REF!</f>
        <v>#REF!</v>
      </c>
      <c r="AS120" s="39" t="e">
        <f ca="1">MIN(SUM(OFFSET(#REF!,-1,0))+SUM(#REF!)+IF(#REF!&gt;12,SUM(OFFSET(#REF!,-12,0)),0),SUM(#REF!))</f>
        <v>#REF!</v>
      </c>
      <c r="AT120" s="3" t="e">
        <f ca="1">IF(#REF!&lt;&gt;0,MAX(0, MIN(20, 20 + SUM(#REF!) - SUM(#REF!) - SUM(OFFSET(#REF!,-1,0)) - IF(#REF!&gt;12,SUM(OFFSET(#REF!,-12,0)),0) - 20*#REF!)),0)</f>
        <v>#REF!</v>
      </c>
      <c r="AU120" s="134"/>
      <c r="AV120" s="39" t="e">
        <f>ROUND((#REF!-250 - IF(#REF!&lt;&gt;0,20,0))*1.25 + 850 + 0,0)</f>
        <v>#REF!</v>
      </c>
      <c r="AW120" s="39" t="e">
        <f>ROUND((#REF!-250 - IF(#REF!&lt;&gt;0,20,0))*0.285 + 87.5 + 0/4.25,0)</f>
        <v>#REF!</v>
      </c>
      <c r="AX120" s="133"/>
      <c r="AY120" s="172" t="e">
        <f t="array" aca="1" ref="AY120" ca="1">IF(#REF!&gt;12,OFFSET(#REF!,-12,0),0)+OFFSET(#REF!,-1,0)-#REF!</f>
        <v>#REF!</v>
      </c>
      <c r="AZ120" s="173" t="e">
        <f t="array" aca="1" ref="AZ120" ca="1">IF(#REF!&gt;12,OFFSET(#REF!,-12,0),0)+OFFSET(#REF!,-1,0)-#REF!</f>
        <v>#REF!</v>
      </c>
      <c r="BA120" s="173" t="e">
        <f t="array" aca="1" ref="BA120" ca="1">IF(#REF!&gt;12,OFFSET(#REF!,-12,0),0)+OFFSET(#REF!,-1,0)-#REF!</f>
        <v>#REF!</v>
      </c>
      <c r="BB120" s="173" t="e">
        <f t="array" aca="1" ref="BB120" ca="1">IF(#REF!&gt;12,OFFSET(#REF!,-12,0),0)+OFFSET(#REF!,-1,0)-#REF!</f>
        <v>#REF!</v>
      </c>
      <c r="BC120" s="173" t="e">
        <f t="array" aca="1" ref="BC120" ca="1">IF(#REF!&gt;12,OFFSET(#REF!,-12,0),0)+OFFSET(#REF!,-1,0)-#REF!</f>
        <v>#REF!</v>
      </c>
      <c r="BD120" s="174" t="e">
        <f t="array" aca="1" ref="BD120" ca="1">IF(#REF!&gt;12,OFFSET(#REF!,-12,0),0)+OFFSET(#REF!,-1,0)-#REF!</f>
        <v>#REF!</v>
      </c>
      <c r="BE120" s="174" t="e">
        <f t="array" aca="1" ref="BE120" ca="1">IF(#REF!&gt;12,OFFSET(#REF!,-12,0),0)+OFFSET(#REF!,-1,0)-#REF!</f>
        <v>#REF!</v>
      </c>
      <c r="BF120" s="343" t="e">
        <f t="array" aca="1" ref="BF120" ca="1">IF(#REF!&gt;12,OFFSET(#REF!,-12,0),0)+OFFSET(#REF!,-1,0)-#REF!</f>
        <v>#REF!</v>
      </c>
      <c r="BG120" s="343" t="e">
        <f t="array" aca="1" ref="BG120" ca="1">IF(#REF!&gt;12,OFFSET(#REF!,-12,0),0)+OFFSET(#REF!,-1,0)-#REF!</f>
        <v>#REF!</v>
      </c>
      <c r="BH120" s="347" t="e">
        <f t="array" aca="1" ref="BH120" ca="1">IF(#REF!&gt;12,OFFSET(#REF!,-12,0),0)+OFFSET(#REF!,-1,0)-#REF!</f>
        <v>#REF!</v>
      </c>
      <c r="BI120" s="347" t="e">
        <f t="array" aca="1" ref="BI120" ca="1">IF(#REF!&gt;12,OFFSET(#REF!,-12,0),0)+OFFSET(#REF!,-1,0)-#REF!</f>
        <v>#REF!</v>
      </c>
      <c r="BJ120" s="347" t="e">
        <f t="array" aca="1" ref="BJ120" ca="1">IF(#REF!&gt;12,OFFSET(#REF!,-12,0),0)+OFFSET(#REF!,-1,0)-#REF!</f>
        <v>#REF!</v>
      </c>
      <c r="BK120" s="347" t="e">
        <f t="array" aca="1" ref="BK120" ca="1">IF(#REF!&gt;12,OFFSET(#REF!,-12,0),0)+OFFSET(#REF!,-1,0)-#REF!</f>
        <v>#REF!</v>
      </c>
      <c r="BL120" s="351" t="e">
        <f t="array" aca="1" ref="BL120" ca="1">IF(#REF!&gt;12,OFFSET(#REF!,-12,0),0)+OFFSET(#REF!,-1,0)-#REF!</f>
        <v>#REF!</v>
      </c>
      <c r="BM120" s="351" t="e">
        <f t="array" aca="1" ref="BM120" ca="1">IF(#REF!&gt;12,OFFSET(#REF!,-12,0),0)+OFFSET(#REF!,-1,0)-#REF!</f>
        <v>#REF!</v>
      </c>
      <c r="BN120" s="351" t="e">
        <f t="array" aca="1" ref="BN120" ca="1">IF(#REF!&gt;12,OFFSET(#REF!,-12,0),0)+OFFSET(#REF!,-1,0)-#REF!</f>
        <v>#REF!</v>
      </c>
      <c r="BO120" s="175" t="e">
        <f t="array" aca="1" ref="BO120" ca="1">IF(#REF!&gt;12,OFFSET(#REF!,-12,0),0)+OFFSET(#REF!,-1,0)-#REF!</f>
        <v>#REF!</v>
      </c>
      <c r="BP120" s="175" t="e">
        <f t="array" aca="1" ref="BP120" ca="1">IF(#REF!&gt;12,OFFSET(#REF!,-12,0),0)+OFFSET(#REF!,-1,0)-#REF!</f>
        <v>#REF!</v>
      </c>
      <c r="BQ120" s="176" t="e">
        <f t="array" aca="1" ref="BQ120" ca="1">IF(#REF!&gt;12,OFFSET(#REF!,-12,0),0)+OFFSET(#REF!,-1,0)-#REF!</f>
        <v>#REF!</v>
      </c>
      <c r="BR120" s="134"/>
      <c r="BS120" s="133"/>
      <c r="BT120" s="39" t="e">
        <f>#REF!</f>
        <v>#REF!</v>
      </c>
      <c r="BU120" s="147" t="e">
        <f>#REF!</f>
        <v>#REF!</v>
      </c>
      <c r="BV120" s="134"/>
      <c r="BW120" s="164"/>
      <c r="BX120" s="164"/>
      <c r="BY120" s="164"/>
      <c r="BZ120" s="164"/>
      <c r="CA120" s="164"/>
      <c r="CB120" s="164"/>
      <c r="CC120" s="164"/>
      <c r="CD120" s="164"/>
      <c r="CE120" s="164"/>
      <c r="CF120" s="164"/>
      <c r="CG120" s="164"/>
      <c r="CH120" s="164"/>
      <c r="CI120" s="164"/>
      <c r="CJ120" s="164"/>
      <c r="CK120" s="164"/>
      <c r="CL120" s="164"/>
      <c r="CM120" s="164"/>
      <c r="CN120" s="164"/>
      <c r="CO120" s="164"/>
      <c r="CP120" s="134"/>
      <c r="CQ120" s="165" t="e">
        <f ca="1">-SUM(#REF!)+SUM(#REF!)+Rezone!L120+IF("Ch_"&amp; home_land=#REF!,#REF!)+IF(#REF!&gt;12,OFFSET(#REF!,-12,0),0)</f>
        <v>#REF!</v>
      </c>
      <c r="CR120" s="166" t="e">
        <f ca="1">-SUM(#REF!)+SUM(#REF!) +Rezone!M120 + IF("Ch_"&amp; home_land=#REF!,#REF!)+IF(#REF!&gt;12,OFFSET(#REF!,-12,0),0)</f>
        <v>#REF!</v>
      </c>
      <c r="CS120" s="341" t="e">
        <f ca="1">-SUM(#REF!)+SUM(#REF!) +Rezone!N120 + IF("Ch_"&amp; home_land=#REF!,#REF!)+IF(#REF!&gt;12,OFFSET(#REF!,-12,0),0)</f>
        <v>#REF!</v>
      </c>
      <c r="CT120" s="167" t="e">
        <f ca="1">-SUM(#REF!)+SUM(#REF!) +Rezone!O120 + IF("Ch_" &amp; home_land=#REF!,#REF!)+IF(#REF!&gt;12,OFFSET(#REF!,-12,0),0)</f>
        <v>#REF!</v>
      </c>
      <c r="CU120" s="168" t="e">
        <f ca="1">-SUM(#REF!)+SUM(#REF!) +Rezone!P120 + IF("Ch_" &amp; home_land=#REF!,#REF!)+IF(#REF!&gt;12,OFFSET(#REF!,-12,0),0)</f>
        <v>#REF!</v>
      </c>
      <c r="CV120" s="169" t="e">
        <f ca="1">- SUM(#REF!)+SUM(#REF!) +Rezone!Q120 + IF("Ch_" &amp; home_land=#REF!,#REF!)+IF(#REF!&gt;12,OFFSET(#REF!,-12,0),0)</f>
        <v>#REF!</v>
      </c>
      <c r="CW120" s="170" t="e">
        <f ca="1">-#REF!+#REF! +Rezone!R120 + IF("Ch_" &amp; home_land=#REF!,#REF!)+IF(#REF!&gt;12,OFFSET(#REF!,-12,0),0)</f>
        <v>#REF!</v>
      </c>
      <c r="CX120" s="3" t="e">
        <f>IF(Explore!S120=1,20) -#REF! +#REF!</f>
        <v>#REF!</v>
      </c>
      <c r="CY120" s="134"/>
      <c r="CZ120" s="39" t="e">
        <f t="shared" ca="1" si="30"/>
        <v>#REF!</v>
      </c>
      <c r="DA120" s="39" t="e">
        <f t="shared" ca="1" si="31"/>
        <v>#REF!</v>
      </c>
      <c r="DB120" s="3" t="e">
        <f t="shared" ca="1" si="32"/>
        <v>#REF!</v>
      </c>
      <c r="DC120" s="39" t="e">
        <f t="shared" ca="1" si="33"/>
        <v>#REF!</v>
      </c>
      <c r="DD120" s="39" t="e">
        <f t="shared" ca="1" si="34"/>
        <v>#REF!</v>
      </c>
      <c r="DE120" s="3" t="e">
        <f t="shared" ca="1" si="35"/>
        <v>#REF!</v>
      </c>
      <c r="DF120" s="39" t="e">
        <f t="shared" ca="1" si="36"/>
        <v>#REF!</v>
      </c>
      <c r="DG120" s="39" t="e">
        <f t="array" ref="DG120">INDEX(#REF!,ROW()-ROW(#REF!),MATCH("Total "&amp;home_land,#REF!,0))+#REF!</f>
        <v>#REF!</v>
      </c>
      <c r="DH120" s="3" t="e">
        <f t="shared" ca="1" si="22"/>
        <v>#REF!</v>
      </c>
      <c r="DI120" s="3" t="e">
        <f t="shared" ca="1" si="19"/>
        <v>#REF!</v>
      </c>
      <c r="DJ120" s="3" t="e">
        <f t="shared" ca="1" si="20"/>
        <v>#REF!</v>
      </c>
    </row>
    <row r="121" spans="1:114" x14ac:dyDescent="0.25">
      <c r="A121" s="160" t="e">
        <f>#REF!</f>
        <v>#REF!</v>
      </c>
      <c r="B121" s="161" t="e">
        <f>SUM(#REF!)</f>
        <v>#REF!</v>
      </c>
      <c r="C121" s="162" t="e">
        <f>SUM(#REF!)</f>
        <v>#REF!</v>
      </c>
      <c r="D121" s="162">
        <f t="shared" si="21"/>
        <v>0</v>
      </c>
      <c r="E121" s="163"/>
      <c r="F121" s="61" t="e">
        <f>#REF!+#REF!+#REF!</f>
        <v>#REF!</v>
      </c>
      <c r="G121" s="171" t="e">
        <f ca="1">OFFSET(#REF!,-1,0)+#REF!</f>
        <v>#REF!</v>
      </c>
      <c r="H121" s="166" t="e">
        <f ca="1">OFFSET(#REF!,-1,0)+#REF!</f>
        <v>#REF!</v>
      </c>
      <c r="I121" s="341" t="e">
        <f ca="1">OFFSET(#REF!,-1,0)+#REF!</f>
        <v>#REF!</v>
      </c>
      <c r="J121" s="345" t="e">
        <f ca="1">OFFSET(#REF!,-1,0)+#REF!</f>
        <v>#REF!</v>
      </c>
      <c r="K121" s="349" t="e">
        <f ca="1">OFFSET(#REF!,-1,0)+#REF!</f>
        <v>#REF!</v>
      </c>
      <c r="L121" s="169" t="e">
        <f ca="1">OFFSET(#REF!,-1,0)+#REF!</f>
        <v>#REF!</v>
      </c>
      <c r="M121" s="170" t="e">
        <f ca="1">OFFSET(#REF!,-1,0)+#REF!</f>
        <v>#REF!</v>
      </c>
      <c r="N121" s="339" t="e">
        <f>#REF!</f>
        <v>#REF!</v>
      </c>
      <c r="O121" s="164"/>
      <c r="P121" s="164"/>
      <c r="Q121" s="164"/>
      <c r="R121" s="164"/>
      <c r="S121" s="164"/>
      <c r="T121" s="164"/>
      <c r="U121" s="164"/>
      <c r="V121" s="164"/>
      <c r="W121" s="164"/>
      <c r="X121" s="164"/>
      <c r="Y121" s="164"/>
      <c r="Z121" s="164"/>
      <c r="AA121" s="164"/>
      <c r="AB121" s="164"/>
      <c r="AC121" s="164"/>
      <c r="AD121" s="164"/>
      <c r="AE121" s="164"/>
      <c r="AF121" s="164"/>
      <c r="AG121" s="164"/>
      <c r="AH121" s="53" t="e">
        <f>#REF!</f>
        <v>#REF!</v>
      </c>
      <c r="AI121" s="132" t="e">
        <f>MIN(25%,(#REF!+#REF!)/(#REF!-#REF!*20))</f>
        <v>#REF!</v>
      </c>
      <c r="AJ121" s="132" t="e">
        <f>MIN(25%,(#REF!+#REF!)/#REF!)</f>
        <v>#REF!</v>
      </c>
      <c r="AK121" s="39" t="e">
        <f>#REF!</f>
        <v>#REF!</v>
      </c>
      <c r="AL121" s="39" t="e">
        <f>#REF!</f>
        <v>#REF!</v>
      </c>
      <c r="AM121" s="39" t="e">
        <f>ROUNDDOWN( MAX((1 - MIN(facs_constr_factor*#REF!,facs_constr_max) + tech_2_3*#REF! + tech_2_6_2*#REF! + tech_2_10*#REF! + tech_4_6*#REF! + tech_6_3*#REF! + tech_9_2*#REF! + race_construction_cost), 1-global_constr_cap) *#REF!,0)</f>
        <v>#REF!</v>
      </c>
      <c r="AN121" s="39" t="e">
        <f>ROUNDDOWN( MAX(1 - MIN(facs_constr_factor*#REF!,facs_constr_max) + tech_1_11*#REF! + tech_6_3_2*#REF! + tech_5_2_3*#REF!, 1-global_constr_cap) *#REF!,0)</f>
        <v>#REF!</v>
      </c>
      <c r="AO121" s="39" t="e">
        <f>ROUNDDOWN( MAX((1 - MIN(facs_constr_factor*#REF!,facs_constr_max) + tech_2_3*#REF! + tech_2_6_2*#REF! + tech_2_10*#REF! + tech_4_6*#REF! + tech_6_3*#REF! + tech_9_2*#REF! + race_construction_cost), 1-global_constr_cap) * (ROUND((#REF!-250)*1.25 + 850 + 0,0)),0)</f>
        <v>#REF!</v>
      </c>
      <c r="AP121" s="39" t="e">
        <f>ROUNDDOWN( MAX(1 - MIN(facs_constr_factor*#REF!,facs_constr_max) + tech_1_11*#REF! + tech_6_3_2*#REF! + tech_5_2_3*#REF!, 1-global_constr_cap) * ROUND((#REF!-250)*0.285 + 87.5 + 0/4.25,0),0)</f>
        <v>#REF!</v>
      </c>
      <c r="AQ121" s="3" t="e">
        <f>#REF!*#REF! +#REF! *#REF!</f>
        <v>#REF!</v>
      </c>
      <c r="AR121" s="3" t="e">
        <f>#REF!*#REF!+#REF!*#REF!</f>
        <v>#REF!</v>
      </c>
      <c r="AS121" s="39" t="e">
        <f ca="1">MIN(SUM(OFFSET(#REF!,-1,0))+SUM(#REF!)+IF(#REF!&gt;12,SUM(OFFSET(#REF!,-12,0)),0),SUM(#REF!))</f>
        <v>#REF!</v>
      </c>
      <c r="AT121" s="3" t="e">
        <f ca="1">IF(#REF!&lt;&gt;0,MAX(0, MIN(20, 20 + SUM(#REF!) - SUM(#REF!) - SUM(OFFSET(#REF!,-1,0)) - IF(#REF!&gt;12,SUM(OFFSET(#REF!,-12,0)),0) - 20*#REF!)),0)</f>
        <v>#REF!</v>
      </c>
      <c r="AU121" s="134"/>
      <c r="AV121" s="39" t="e">
        <f>ROUND((#REF!-250 - IF(#REF!&lt;&gt;0,20,0))*1.25 + 850 + 0,0)</f>
        <v>#REF!</v>
      </c>
      <c r="AW121" s="39" t="e">
        <f>ROUND((#REF!-250 - IF(#REF!&lt;&gt;0,20,0))*0.285 + 87.5 + 0/4.25,0)</f>
        <v>#REF!</v>
      </c>
      <c r="AX121" s="133"/>
      <c r="AY121" s="172" t="e">
        <f t="array" aca="1" ref="AY121" ca="1">IF(#REF!&gt;12,OFFSET(#REF!,-12,0),0)+OFFSET(#REF!,-1,0)-#REF!</f>
        <v>#REF!</v>
      </c>
      <c r="AZ121" s="173" t="e">
        <f t="array" aca="1" ref="AZ121" ca="1">IF(#REF!&gt;12,OFFSET(#REF!,-12,0),0)+OFFSET(#REF!,-1,0)-#REF!</f>
        <v>#REF!</v>
      </c>
      <c r="BA121" s="173" t="e">
        <f t="array" aca="1" ref="BA121" ca="1">IF(#REF!&gt;12,OFFSET(#REF!,-12,0),0)+OFFSET(#REF!,-1,0)-#REF!</f>
        <v>#REF!</v>
      </c>
      <c r="BB121" s="173" t="e">
        <f t="array" aca="1" ref="BB121" ca="1">IF(#REF!&gt;12,OFFSET(#REF!,-12,0),0)+OFFSET(#REF!,-1,0)-#REF!</f>
        <v>#REF!</v>
      </c>
      <c r="BC121" s="173" t="e">
        <f t="array" aca="1" ref="BC121" ca="1">IF(#REF!&gt;12,OFFSET(#REF!,-12,0),0)+OFFSET(#REF!,-1,0)-#REF!</f>
        <v>#REF!</v>
      </c>
      <c r="BD121" s="174" t="e">
        <f t="array" aca="1" ref="BD121" ca="1">IF(#REF!&gt;12,OFFSET(#REF!,-12,0),0)+OFFSET(#REF!,-1,0)-#REF!</f>
        <v>#REF!</v>
      </c>
      <c r="BE121" s="174" t="e">
        <f t="array" aca="1" ref="BE121" ca="1">IF(#REF!&gt;12,OFFSET(#REF!,-12,0),0)+OFFSET(#REF!,-1,0)-#REF!</f>
        <v>#REF!</v>
      </c>
      <c r="BF121" s="343" t="e">
        <f t="array" aca="1" ref="BF121" ca="1">IF(#REF!&gt;12,OFFSET(#REF!,-12,0),0)+OFFSET(#REF!,-1,0)-#REF!</f>
        <v>#REF!</v>
      </c>
      <c r="BG121" s="343" t="e">
        <f t="array" aca="1" ref="BG121" ca="1">IF(#REF!&gt;12,OFFSET(#REF!,-12,0),0)+OFFSET(#REF!,-1,0)-#REF!</f>
        <v>#REF!</v>
      </c>
      <c r="BH121" s="347" t="e">
        <f t="array" aca="1" ref="BH121" ca="1">IF(#REF!&gt;12,OFFSET(#REF!,-12,0),0)+OFFSET(#REF!,-1,0)-#REF!</f>
        <v>#REF!</v>
      </c>
      <c r="BI121" s="347" t="e">
        <f t="array" aca="1" ref="BI121" ca="1">IF(#REF!&gt;12,OFFSET(#REF!,-12,0),0)+OFFSET(#REF!,-1,0)-#REF!</f>
        <v>#REF!</v>
      </c>
      <c r="BJ121" s="347" t="e">
        <f t="array" aca="1" ref="BJ121" ca="1">IF(#REF!&gt;12,OFFSET(#REF!,-12,0),0)+OFFSET(#REF!,-1,0)-#REF!</f>
        <v>#REF!</v>
      </c>
      <c r="BK121" s="347" t="e">
        <f t="array" aca="1" ref="BK121" ca="1">IF(#REF!&gt;12,OFFSET(#REF!,-12,0),0)+OFFSET(#REF!,-1,0)-#REF!</f>
        <v>#REF!</v>
      </c>
      <c r="BL121" s="351" t="e">
        <f t="array" aca="1" ref="BL121" ca="1">IF(#REF!&gt;12,OFFSET(#REF!,-12,0),0)+OFFSET(#REF!,-1,0)-#REF!</f>
        <v>#REF!</v>
      </c>
      <c r="BM121" s="351" t="e">
        <f t="array" aca="1" ref="BM121" ca="1">IF(#REF!&gt;12,OFFSET(#REF!,-12,0),0)+OFFSET(#REF!,-1,0)-#REF!</f>
        <v>#REF!</v>
      </c>
      <c r="BN121" s="351" t="e">
        <f t="array" aca="1" ref="BN121" ca="1">IF(#REF!&gt;12,OFFSET(#REF!,-12,0),0)+OFFSET(#REF!,-1,0)-#REF!</f>
        <v>#REF!</v>
      </c>
      <c r="BO121" s="175" t="e">
        <f t="array" aca="1" ref="BO121" ca="1">IF(#REF!&gt;12,OFFSET(#REF!,-12,0),0)+OFFSET(#REF!,-1,0)-#REF!</f>
        <v>#REF!</v>
      </c>
      <c r="BP121" s="175" t="e">
        <f t="array" aca="1" ref="BP121" ca="1">IF(#REF!&gt;12,OFFSET(#REF!,-12,0),0)+OFFSET(#REF!,-1,0)-#REF!</f>
        <v>#REF!</v>
      </c>
      <c r="BQ121" s="176" t="e">
        <f t="array" aca="1" ref="BQ121" ca="1">IF(#REF!&gt;12,OFFSET(#REF!,-12,0),0)+OFFSET(#REF!,-1,0)-#REF!</f>
        <v>#REF!</v>
      </c>
      <c r="BR121" s="134"/>
      <c r="BS121" s="133"/>
      <c r="BT121" s="39" t="e">
        <f>#REF!</f>
        <v>#REF!</v>
      </c>
      <c r="BU121" s="147" t="e">
        <f>#REF!</f>
        <v>#REF!</v>
      </c>
      <c r="BV121" s="134"/>
      <c r="BW121" s="164"/>
      <c r="BX121" s="164"/>
      <c r="BY121" s="164"/>
      <c r="BZ121" s="164"/>
      <c r="CA121" s="164"/>
      <c r="CB121" s="164"/>
      <c r="CC121" s="164"/>
      <c r="CD121" s="164"/>
      <c r="CE121" s="164"/>
      <c r="CF121" s="164"/>
      <c r="CG121" s="164"/>
      <c r="CH121" s="164"/>
      <c r="CI121" s="164"/>
      <c r="CJ121" s="164"/>
      <c r="CK121" s="164"/>
      <c r="CL121" s="164"/>
      <c r="CM121" s="164"/>
      <c r="CN121" s="164"/>
      <c r="CO121" s="164"/>
      <c r="CP121" s="134"/>
      <c r="CQ121" s="165" t="e">
        <f ca="1">-SUM(#REF!)+SUM(#REF!)+Rezone!L121+IF("Ch_"&amp; home_land=#REF!,#REF!)+IF(#REF!&gt;12,OFFSET(#REF!,-12,0),0)</f>
        <v>#REF!</v>
      </c>
      <c r="CR121" s="166" t="e">
        <f ca="1">-SUM(#REF!)+SUM(#REF!) +Rezone!M121 + IF("Ch_"&amp; home_land=#REF!,#REF!)+IF(#REF!&gt;12,OFFSET(#REF!,-12,0),0)</f>
        <v>#REF!</v>
      </c>
      <c r="CS121" s="341" t="e">
        <f ca="1">-SUM(#REF!)+SUM(#REF!) +Rezone!N121 + IF("Ch_"&amp; home_land=#REF!,#REF!)+IF(#REF!&gt;12,OFFSET(#REF!,-12,0),0)</f>
        <v>#REF!</v>
      </c>
      <c r="CT121" s="167" t="e">
        <f ca="1">-SUM(#REF!)+SUM(#REF!) +Rezone!O121 + IF("Ch_" &amp; home_land=#REF!,#REF!)+IF(#REF!&gt;12,OFFSET(#REF!,-12,0),0)</f>
        <v>#REF!</v>
      </c>
      <c r="CU121" s="168" t="e">
        <f ca="1">-SUM(#REF!)+SUM(#REF!) +Rezone!P121 + IF("Ch_" &amp; home_land=#REF!,#REF!)+IF(#REF!&gt;12,OFFSET(#REF!,-12,0),0)</f>
        <v>#REF!</v>
      </c>
      <c r="CV121" s="169" t="e">
        <f ca="1">- SUM(#REF!)+SUM(#REF!) +Rezone!Q121 + IF("Ch_" &amp; home_land=#REF!,#REF!)+IF(#REF!&gt;12,OFFSET(#REF!,-12,0),0)</f>
        <v>#REF!</v>
      </c>
      <c r="CW121" s="170" t="e">
        <f ca="1">-#REF!+#REF! +Rezone!R121 + IF("Ch_" &amp; home_land=#REF!,#REF!)+IF(#REF!&gt;12,OFFSET(#REF!,-12,0),0)</f>
        <v>#REF!</v>
      </c>
      <c r="CX121" s="3" t="e">
        <f>IF(Explore!S121=1,20) -#REF! +#REF!</f>
        <v>#REF!</v>
      </c>
      <c r="CY121" s="134"/>
      <c r="CZ121" s="39" t="e">
        <f t="shared" ca="1" si="30"/>
        <v>#REF!</v>
      </c>
      <c r="DA121" s="39" t="e">
        <f t="shared" ca="1" si="31"/>
        <v>#REF!</v>
      </c>
      <c r="DB121" s="3" t="e">
        <f t="shared" ca="1" si="32"/>
        <v>#REF!</v>
      </c>
      <c r="DC121" s="39" t="e">
        <f t="shared" ca="1" si="33"/>
        <v>#REF!</v>
      </c>
      <c r="DD121" s="39" t="e">
        <f t="shared" ca="1" si="34"/>
        <v>#REF!</v>
      </c>
      <c r="DE121" s="3" t="e">
        <f t="shared" ca="1" si="35"/>
        <v>#REF!</v>
      </c>
      <c r="DF121" s="39" t="e">
        <f t="shared" ca="1" si="36"/>
        <v>#REF!</v>
      </c>
      <c r="DG121" s="39" t="e">
        <f t="array" ref="DG121">INDEX(#REF!,ROW()-ROW(#REF!),MATCH("Total "&amp;home_land,#REF!,0))+#REF!</f>
        <v>#REF!</v>
      </c>
      <c r="DH121" s="3" t="e">
        <f t="shared" ca="1" si="22"/>
        <v>#REF!</v>
      </c>
      <c r="DI121" s="3" t="e">
        <f t="shared" ca="1" si="19"/>
        <v>#REF!</v>
      </c>
      <c r="DJ121" s="3" t="e">
        <f t="shared" ca="1" si="20"/>
        <v>#REF!</v>
      </c>
    </row>
    <row r="122" spans="1:114" x14ac:dyDescent="0.25">
      <c r="A122" s="160" t="e">
        <f>#REF!</f>
        <v>#REF!</v>
      </c>
      <c r="B122" s="161" t="e">
        <f>SUM(#REF!)</f>
        <v>#REF!</v>
      </c>
      <c r="C122" s="162" t="e">
        <f>SUM(#REF!)</f>
        <v>#REF!</v>
      </c>
      <c r="D122" s="162">
        <f t="shared" si="21"/>
        <v>0</v>
      </c>
      <c r="E122" s="163"/>
      <c r="F122" s="61" t="e">
        <f>#REF!+#REF!+#REF!</f>
        <v>#REF!</v>
      </c>
      <c r="G122" s="171" t="e">
        <f ca="1">OFFSET(#REF!,-1,0)+#REF!</f>
        <v>#REF!</v>
      </c>
      <c r="H122" s="166" t="e">
        <f ca="1">OFFSET(#REF!,-1,0)+#REF!</f>
        <v>#REF!</v>
      </c>
      <c r="I122" s="341" t="e">
        <f ca="1">OFFSET(#REF!,-1,0)+#REF!</f>
        <v>#REF!</v>
      </c>
      <c r="J122" s="345" t="e">
        <f ca="1">OFFSET(#REF!,-1,0)+#REF!</f>
        <v>#REF!</v>
      </c>
      <c r="K122" s="349" t="e">
        <f ca="1">OFFSET(#REF!,-1,0)+#REF!</f>
        <v>#REF!</v>
      </c>
      <c r="L122" s="169" t="e">
        <f ca="1">OFFSET(#REF!,-1,0)+#REF!</f>
        <v>#REF!</v>
      </c>
      <c r="M122" s="170" t="e">
        <f ca="1">OFFSET(#REF!,-1,0)+#REF!</f>
        <v>#REF!</v>
      </c>
      <c r="N122" s="339" t="e">
        <f>#REF!</f>
        <v>#REF!</v>
      </c>
      <c r="O122" s="164"/>
      <c r="P122" s="164"/>
      <c r="Q122" s="164"/>
      <c r="R122" s="164"/>
      <c r="S122" s="164"/>
      <c r="T122" s="164"/>
      <c r="U122" s="164"/>
      <c r="V122" s="164"/>
      <c r="W122" s="164"/>
      <c r="X122" s="164"/>
      <c r="Y122" s="164"/>
      <c r="Z122" s="164"/>
      <c r="AA122" s="164"/>
      <c r="AB122" s="164"/>
      <c r="AC122" s="164"/>
      <c r="AD122" s="164"/>
      <c r="AE122" s="164"/>
      <c r="AF122" s="164"/>
      <c r="AG122" s="164"/>
      <c r="AH122" s="53" t="e">
        <f>#REF!</f>
        <v>#REF!</v>
      </c>
      <c r="AI122" s="132" t="e">
        <f>MIN(25%,(#REF!+#REF!)/(#REF!-#REF!*20))</f>
        <v>#REF!</v>
      </c>
      <c r="AJ122" s="132" t="e">
        <f>MIN(25%,(#REF!+#REF!)/#REF!)</f>
        <v>#REF!</v>
      </c>
      <c r="AK122" s="39" t="e">
        <f>#REF!</f>
        <v>#REF!</v>
      </c>
      <c r="AL122" s="39" t="e">
        <f>#REF!</f>
        <v>#REF!</v>
      </c>
      <c r="AM122" s="39" t="e">
        <f>ROUNDDOWN( MAX((1 - MIN(facs_constr_factor*#REF!,facs_constr_max) + tech_2_3*#REF! + tech_2_6_2*#REF! + tech_2_10*#REF! + tech_4_6*#REF! + tech_6_3*#REF! + tech_9_2*#REF! + race_construction_cost), 1-global_constr_cap) *#REF!,0)</f>
        <v>#REF!</v>
      </c>
      <c r="AN122" s="39" t="e">
        <f>ROUNDDOWN( MAX(1 - MIN(facs_constr_factor*#REF!,facs_constr_max) + tech_1_11*#REF! + tech_6_3_2*#REF! + tech_5_2_3*#REF!, 1-global_constr_cap) *#REF!,0)</f>
        <v>#REF!</v>
      </c>
      <c r="AO122" s="39" t="e">
        <f>ROUNDDOWN( MAX((1 - MIN(facs_constr_factor*#REF!,facs_constr_max) + tech_2_3*#REF! + tech_2_6_2*#REF! + tech_2_10*#REF! + tech_4_6*#REF! + tech_6_3*#REF! + tech_9_2*#REF! + race_construction_cost), 1-global_constr_cap) * (ROUND((#REF!-250)*1.25 + 850 + 0,0)),0)</f>
        <v>#REF!</v>
      </c>
      <c r="AP122" s="39" t="e">
        <f>ROUNDDOWN( MAX(1 - MIN(facs_constr_factor*#REF!,facs_constr_max) + tech_1_11*#REF! + tech_6_3_2*#REF! + tech_5_2_3*#REF!, 1-global_constr_cap) * ROUND((#REF!-250)*0.285 + 87.5 + 0/4.25,0),0)</f>
        <v>#REF!</v>
      </c>
      <c r="AQ122" s="3" t="e">
        <f>#REF!*#REF! +#REF! *#REF!</f>
        <v>#REF!</v>
      </c>
      <c r="AR122" s="3" t="e">
        <f>#REF!*#REF!+#REF!*#REF!</f>
        <v>#REF!</v>
      </c>
      <c r="AS122" s="39" t="e">
        <f ca="1">MIN(SUM(OFFSET(#REF!,-1,0))+SUM(#REF!)+IF(#REF!&gt;12,SUM(OFFSET(#REF!,-12,0)),0),SUM(#REF!))</f>
        <v>#REF!</v>
      </c>
      <c r="AT122" s="3" t="e">
        <f ca="1">IF(#REF!&lt;&gt;0,MAX(0, MIN(20, 20 + SUM(#REF!) - SUM(#REF!) - SUM(OFFSET(#REF!,-1,0)) - IF(#REF!&gt;12,SUM(OFFSET(#REF!,-12,0)),0) - 20*#REF!)),0)</f>
        <v>#REF!</v>
      </c>
      <c r="AU122" s="134"/>
      <c r="AV122" s="39" t="e">
        <f>ROUND((#REF!-250 - IF(#REF!&lt;&gt;0,20,0))*1.25 + 850 + 0,0)</f>
        <v>#REF!</v>
      </c>
      <c r="AW122" s="39" t="e">
        <f>ROUND((#REF!-250 - IF(#REF!&lt;&gt;0,20,0))*0.285 + 87.5 + 0/4.25,0)</f>
        <v>#REF!</v>
      </c>
      <c r="AX122" s="133"/>
      <c r="AY122" s="172" t="e">
        <f t="array" aca="1" ref="AY122" ca="1">IF(#REF!&gt;12,OFFSET(#REF!,-12,0),0)+OFFSET(#REF!,-1,0)-#REF!</f>
        <v>#REF!</v>
      </c>
      <c r="AZ122" s="173" t="e">
        <f t="array" aca="1" ref="AZ122" ca="1">IF(#REF!&gt;12,OFFSET(#REF!,-12,0),0)+OFFSET(#REF!,-1,0)-#REF!</f>
        <v>#REF!</v>
      </c>
      <c r="BA122" s="173" t="e">
        <f t="array" aca="1" ref="BA122" ca="1">IF(#REF!&gt;12,OFFSET(#REF!,-12,0),0)+OFFSET(#REF!,-1,0)-#REF!</f>
        <v>#REF!</v>
      </c>
      <c r="BB122" s="173" t="e">
        <f t="array" aca="1" ref="BB122" ca="1">IF(#REF!&gt;12,OFFSET(#REF!,-12,0),0)+OFFSET(#REF!,-1,0)-#REF!</f>
        <v>#REF!</v>
      </c>
      <c r="BC122" s="173" t="e">
        <f t="array" aca="1" ref="BC122" ca="1">IF(#REF!&gt;12,OFFSET(#REF!,-12,0),0)+OFFSET(#REF!,-1,0)-#REF!</f>
        <v>#REF!</v>
      </c>
      <c r="BD122" s="174" t="e">
        <f t="array" aca="1" ref="BD122" ca="1">IF(#REF!&gt;12,OFFSET(#REF!,-12,0),0)+OFFSET(#REF!,-1,0)-#REF!</f>
        <v>#REF!</v>
      </c>
      <c r="BE122" s="174" t="e">
        <f t="array" aca="1" ref="BE122" ca="1">IF(#REF!&gt;12,OFFSET(#REF!,-12,0),0)+OFFSET(#REF!,-1,0)-#REF!</f>
        <v>#REF!</v>
      </c>
      <c r="BF122" s="343" t="e">
        <f t="array" aca="1" ref="BF122" ca="1">IF(#REF!&gt;12,OFFSET(#REF!,-12,0),0)+OFFSET(#REF!,-1,0)-#REF!</f>
        <v>#REF!</v>
      </c>
      <c r="BG122" s="343" t="e">
        <f t="array" aca="1" ref="BG122" ca="1">IF(#REF!&gt;12,OFFSET(#REF!,-12,0),0)+OFFSET(#REF!,-1,0)-#REF!</f>
        <v>#REF!</v>
      </c>
      <c r="BH122" s="347" t="e">
        <f t="array" aca="1" ref="BH122" ca="1">IF(#REF!&gt;12,OFFSET(#REF!,-12,0),0)+OFFSET(#REF!,-1,0)-#REF!</f>
        <v>#REF!</v>
      </c>
      <c r="BI122" s="347" t="e">
        <f t="array" aca="1" ref="BI122" ca="1">IF(#REF!&gt;12,OFFSET(#REF!,-12,0),0)+OFFSET(#REF!,-1,0)-#REF!</f>
        <v>#REF!</v>
      </c>
      <c r="BJ122" s="347" t="e">
        <f t="array" aca="1" ref="BJ122" ca="1">IF(#REF!&gt;12,OFFSET(#REF!,-12,0),0)+OFFSET(#REF!,-1,0)-#REF!</f>
        <v>#REF!</v>
      </c>
      <c r="BK122" s="347" t="e">
        <f t="array" aca="1" ref="BK122" ca="1">IF(#REF!&gt;12,OFFSET(#REF!,-12,0),0)+OFFSET(#REF!,-1,0)-#REF!</f>
        <v>#REF!</v>
      </c>
      <c r="BL122" s="351" t="e">
        <f t="array" aca="1" ref="BL122" ca="1">IF(#REF!&gt;12,OFFSET(#REF!,-12,0),0)+OFFSET(#REF!,-1,0)-#REF!</f>
        <v>#REF!</v>
      </c>
      <c r="BM122" s="351" t="e">
        <f t="array" aca="1" ref="BM122" ca="1">IF(#REF!&gt;12,OFFSET(#REF!,-12,0),0)+OFFSET(#REF!,-1,0)-#REF!</f>
        <v>#REF!</v>
      </c>
      <c r="BN122" s="351" t="e">
        <f t="array" aca="1" ref="BN122" ca="1">IF(#REF!&gt;12,OFFSET(#REF!,-12,0),0)+OFFSET(#REF!,-1,0)-#REF!</f>
        <v>#REF!</v>
      </c>
      <c r="BO122" s="175" t="e">
        <f t="array" aca="1" ref="BO122" ca="1">IF(#REF!&gt;12,OFFSET(#REF!,-12,0),0)+OFFSET(#REF!,-1,0)-#REF!</f>
        <v>#REF!</v>
      </c>
      <c r="BP122" s="175" t="e">
        <f t="array" aca="1" ref="BP122" ca="1">IF(#REF!&gt;12,OFFSET(#REF!,-12,0),0)+OFFSET(#REF!,-1,0)-#REF!</f>
        <v>#REF!</v>
      </c>
      <c r="BQ122" s="176" t="e">
        <f t="array" aca="1" ref="BQ122" ca="1">IF(#REF!&gt;12,OFFSET(#REF!,-12,0),0)+OFFSET(#REF!,-1,0)-#REF!</f>
        <v>#REF!</v>
      </c>
      <c r="BR122" s="134"/>
      <c r="BS122" s="133"/>
      <c r="BT122" s="39" t="e">
        <f>#REF!</f>
        <v>#REF!</v>
      </c>
      <c r="BU122" s="147" t="e">
        <f>#REF!</f>
        <v>#REF!</v>
      </c>
      <c r="BV122" s="134"/>
      <c r="BW122" s="164"/>
      <c r="BX122" s="164"/>
      <c r="BY122" s="164"/>
      <c r="BZ122" s="164"/>
      <c r="CA122" s="164"/>
      <c r="CB122" s="164"/>
      <c r="CC122" s="164"/>
      <c r="CD122" s="164"/>
      <c r="CE122" s="164"/>
      <c r="CF122" s="164"/>
      <c r="CG122" s="164"/>
      <c r="CH122" s="164"/>
      <c r="CI122" s="164"/>
      <c r="CJ122" s="164"/>
      <c r="CK122" s="164"/>
      <c r="CL122" s="164"/>
      <c r="CM122" s="164"/>
      <c r="CN122" s="164"/>
      <c r="CO122" s="164"/>
      <c r="CP122" s="134"/>
      <c r="CQ122" s="165" t="e">
        <f ca="1">-SUM(#REF!)+SUM(#REF!)+Rezone!L122+IF("Ch_"&amp; home_land=#REF!,#REF!)+IF(#REF!&gt;12,OFFSET(#REF!,-12,0),0)</f>
        <v>#REF!</v>
      </c>
      <c r="CR122" s="166" t="e">
        <f ca="1">-SUM(#REF!)+SUM(#REF!) +Rezone!M122 + IF("Ch_"&amp; home_land=#REF!,#REF!)+IF(#REF!&gt;12,OFFSET(#REF!,-12,0),0)</f>
        <v>#REF!</v>
      </c>
      <c r="CS122" s="341" t="e">
        <f ca="1">-SUM(#REF!)+SUM(#REF!) +Rezone!N122 + IF("Ch_"&amp; home_land=#REF!,#REF!)+IF(#REF!&gt;12,OFFSET(#REF!,-12,0),0)</f>
        <v>#REF!</v>
      </c>
      <c r="CT122" s="167" t="e">
        <f ca="1">-SUM(#REF!)+SUM(#REF!) +Rezone!O122 + IF("Ch_" &amp; home_land=#REF!,#REF!)+IF(#REF!&gt;12,OFFSET(#REF!,-12,0),0)</f>
        <v>#REF!</v>
      </c>
      <c r="CU122" s="168" t="e">
        <f ca="1">-SUM(#REF!)+SUM(#REF!) +Rezone!P122 + IF("Ch_" &amp; home_land=#REF!,#REF!)+IF(#REF!&gt;12,OFFSET(#REF!,-12,0),0)</f>
        <v>#REF!</v>
      </c>
      <c r="CV122" s="169" t="e">
        <f ca="1">- SUM(#REF!)+SUM(#REF!) +Rezone!Q122 + IF("Ch_" &amp; home_land=#REF!,#REF!)+IF(#REF!&gt;12,OFFSET(#REF!,-12,0),0)</f>
        <v>#REF!</v>
      </c>
      <c r="CW122" s="170" t="e">
        <f ca="1">-#REF!+#REF! +Rezone!R122 + IF("Ch_" &amp; home_land=#REF!,#REF!)+IF(#REF!&gt;12,OFFSET(#REF!,-12,0),0)</f>
        <v>#REF!</v>
      </c>
      <c r="CX122" s="3" t="e">
        <f>IF(Explore!S122=1,20) -#REF! +#REF!</f>
        <v>#REF!</v>
      </c>
      <c r="CY122" s="134"/>
      <c r="CZ122" s="39" t="e">
        <f t="shared" ca="1" si="30"/>
        <v>#REF!</v>
      </c>
      <c r="DA122" s="39" t="e">
        <f t="shared" ca="1" si="31"/>
        <v>#REF!</v>
      </c>
      <c r="DB122" s="3" t="e">
        <f t="shared" ca="1" si="32"/>
        <v>#REF!</v>
      </c>
      <c r="DC122" s="39" t="e">
        <f t="shared" ca="1" si="33"/>
        <v>#REF!</v>
      </c>
      <c r="DD122" s="39" t="e">
        <f t="shared" ca="1" si="34"/>
        <v>#REF!</v>
      </c>
      <c r="DE122" s="3" t="e">
        <f t="shared" ca="1" si="35"/>
        <v>#REF!</v>
      </c>
      <c r="DF122" s="39" t="e">
        <f t="shared" ca="1" si="36"/>
        <v>#REF!</v>
      </c>
      <c r="DG122" s="39" t="e">
        <f t="array" ref="DG122">INDEX(#REF!,ROW()-ROW(#REF!),MATCH("Total "&amp;home_land,#REF!,0))+#REF!</f>
        <v>#REF!</v>
      </c>
      <c r="DH122" s="3" t="e">
        <f t="shared" ca="1" si="22"/>
        <v>#REF!</v>
      </c>
      <c r="DI122" s="3" t="e">
        <f t="shared" ca="1" si="19"/>
        <v>#REF!</v>
      </c>
      <c r="DJ122" s="3" t="e">
        <f t="shared" ca="1" si="20"/>
        <v>#REF!</v>
      </c>
    </row>
    <row r="123" spans="1:114" x14ac:dyDescent="0.25">
      <c r="A123" s="160" t="e">
        <f>#REF!</f>
        <v>#REF!</v>
      </c>
      <c r="B123" s="161" t="e">
        <f>SUM(#REF!)</f>
        <v>#REF!</v>
      </c>
      <c r="C123" s="162" t="e">
        <f>SUM(#REF!)</f>
        <v>#REF!</v>
      </c>
      <c r="D123" s="162">
        <f t="shared" si="21"/>
        <v>0</v>
      </c>
      <c r="E123" s="163"/>
      <c r="F123" s="61" t="e">
        <f>#REF!+#REF!+#REF!</f>
        <v>#REF!</v>
      </c>
      <c r="G123" s="171" t="e">
        <f ca="1">OFFSET(#REF!,-1,0)+#REF!</f>
        <v>#REF!</v>
      </c>
      <c r="H123" s="166" t="e">
        <f ca="1">OFFSET(#REF!,-1,0)+#REF!</f>
        <v>#REF!</v>
      </c>
      <c r="I123" s="341" t="e">
        <f ca="1">OFFSET(#REF!,-1,0)+#REF!</f>
        <v>#REF!</v>
      </c>
      <c r="J123" s="345" t="e">
        <f ca="1">OFFSET(#REF!,-1,0)+#REF!</f>
        <v>#REF!</v>
      </c>
      <c r="K123" s="349" t="e">
        <f ca="1">OFFSET(#REF!,-1,0)+#REF!</f>
        <v>#REF!</v>
      </c>
      <c r="L123" s="169" t="e">
        <f ca="1">OFFSET(#REF!,-1,0)+#REF!</f>
        <v>#REF!</v>
      </c>
      <c r="M123" s="170" t="e">
        <f ca="1">OFFSET(#REF!,-1,0)+#REF!</f>
        <v>#REF!</v>
      </c>
      <c r="N123" s="339" t="e">
        <f>#REF!</f>
        <v>#REF!</v>
      </c>
      <c r="O123" s="164"/>
      <c r="P123" s="164"/>
      <c r="Q123" s="164"/>
      <c r="R123" s="164"/>
      <c r="S123" s="164"/>
      <c r="T123" s="164"/>
      <c r="U123" s="164"/>
      <c r="V123" s="164"/>
      <c r="W123" s="164"/>
      <c r="X123" s="164"/>
      <c r="Y123" s="164"/>
      <c r="Z123" s="164"/>
      <c r="AA123" s="164"/>
      <c r="AB123" s="164"/>
      <c r="AC123" s="164"/>
      <c r="AD123" s="164"/>
      <c r="AE123" s="164"/>
      <c r="AF123" s="164"/>
      <c r="AG123" s="164"/>
      <c r="AH123" s="53" t="e">
        <f>#REF!</f>
        <v>#REF!</v>
      </c>
      <c r="AI123" s="132" t="e">
        <f>MIN(25%,(#REF!+#REF!)/(#REF!-#REF!*20))</f>
        <v>#REF!</v>
      </c>
      <c r="AJ123" s="132" t="e">
        <f>MIN(25%,(#REF!+#REF!)/#REF!)</f>
        <v>#REF!</v>
      </c>
      <c r="AK123" s="39" t="e">
        <f>#REF!</f>
        <v>#REF!</v>
      </c>
      <c r="AL123" s="39" t="e">
        <f>#REF!</f>
        <v>#REF!</v>
      </c>
      <c r="AM123" s="39" t="e">
        <f>ROUNDDOWN( MAX((1 - MIN(facs_constr_factor*#REF!,facs_constr_max) + tech_2_3*#REF! + tech_2_6_2*#REF! + tech_2_10*#REF! + tech_4_6*#REF! + tech_6_3*#REF! + tech_9_2*#REF! + race_construction_cost), 1-global_constr_cap) *#REF!,0)</f>
        <v>#REF!</v>
      </c>
      <c r="AN123" s="39" t="e">
        <f>ROUNDDOWN( MAX(1 - MIN(facs_constr_factor*#REF!,facs_constr_max) + tech_1_11*#REF! + tech_6_3_2*#REF! + tech_5_2_3*#REF!, 1-global_constr_cap) *#REF!,0)</f>
        <v>#REF!</v>
      </c>
      <c r="AO123" s="39" t="e">
        <f>ROUNDDOWN( MAX((1 - MIN(facs_constr_factor*#REF!,facs_constr_max) + tech_2_3*#REF! + tech_2_6_2*#REF! + tech_2_10*#REF! + tech_4_6*#REF! + tech_6_3*#REF! + tech_9_2*#REF! + race_construction_cost), 1-global_constr_cap) * (ROUND((#REF!-250)*1.25 + 850 + 0,0)),0)</f>
        <v>#REF!</v>
      </c>
      <c r="AP123" s="39" t="e">
        <f>ROUNDDOWN( MAX(1 - MIN(facs_constr_factor*#REF!,facs_constr_max) + tech_1_11*#REF! + tech_6_3_2*#REF! + tech_5_2_3*#REF!, 1-global_constr_cap) * ROUND((#REF!-250)*0.285 + 87.5 + 0/4.25,0),0)</f>
        <v>#REF!</v>
      </c>
      <c r="AQ123" s="3" t="e">
        <f>#REF!*#REF! +#REF! *#REF!</f>
        <v>#REF!</v>
      </c>
      <c r="AR123" s="3" t="e">
        <f>#REF!*#REF!+#REF!*#REF!</f>
        <v>#REF!</v>
      </c>
      <c r="AS123" s="39" t="e">
        <f ca="1">MIN(SUM(OFFSET(#REF!,-1,0))+SUM(#REF!)+IF(#REF!&gt;12,SUM(OFFSET(#REF!,-12,0)),0),SUM(#REF!))</f>
        <v>#REF!</v>
      </c>
      <c r="AT123" s="3" t="e">
        <f ca="1">IF(#REF!&lt;&gt;0,MAX(0, MIN(20, 20 + SUM(#REF!) - SUM(#REF!) - SUM(OFFSET(#REF!,-1,0)) - IF(#REF!&gt;12,SUM(OFFSET(#REF!,-12,0)),0) - 20*#REF!)),0)</f>
        <v>#REF!</v>
      </c>
      <c r="AU123" s="134"/>
      <c r="AV123" s="39" t="e">
        <f>ROUND((#REF!-250 - IF(#REF!&lt;&gt;0,20,0))*1.25 + 850 + 0,0)</f>
        <v>#REF!</v>
      </c>
      <c r="AW123" s="39" t="e">
        <f>ROUND((#REF!-250 - IF(#REF!&lt;&gt;0,20,0))*0.285 + 87.5 + 0/4.25,0)</f>
        <v>#REF!</v>
      </c>
      <c r="AX123" s="133"/>
      <c r="AY123" s="172" t="e">
        <f t="array" aca="1" ref="AY123" ca="1">IF(#REF!&gt;12,OFFSET(#REF!,-12,0),0)+OFFSET(#REF!,-1,0)-#REF!</f>
        <v>#REF!</v>
      </c>
      <c r="AZ123" s="173" t="e">
        <f t="array" aca="1" ref="AZ123" ca="1">IF(#REF!&gt;12,OFFSET(#REF!,-12,0),0)+OFFSET(#REF!,-1,0)-#REF!</f>
        <v>#REF!</v>
      </c>
      <c r="BA123" s="173" t="e">
        <f t="array" aca="1" ref="BA123" ca="1">IF(#REF!&gt;12,OFFSET(#REF!,-12,0),0)+OFFSET(#REF!,-1,0)-#REF!</f>
        <v>#REF!</v>
      </c>
      <c r="BB123" s="173" t="e">
        <f t="array" aca="1" ref="BB123" ca="1">IF(#REF!&gt;12,OFFSET(#REF!,-12,0),0)+OFFSET(#REF!,-1,0)-#REF!</f>
        <v>#REF!</v>
      </c>
      <c r="BC123" s="173" t="e">
        <f t="array" aca="1" ref="BC123" ca="1">IF(#REF!&gt;12,OFFSET(#REF!,-12,0),0)+OFFSET(#REF!,-1,0)-#REF!</f>
        <v>#REF!</v>
      </c>
      <c r="BD123" s="174" t="e">
        <f t="array" aca="1" ref="BD123" ca="1">IF(#REF!&gt;12,OFFSET(#REF!,-12,0),0)+OFFSET(#REF!,-1,0)-#REF!</f>
        <v>#REF!</v>
      </c>
      <c r="BE123" s="174" t="e">
        <f t="array" aca="1" ref="BE123" ca="1">IF(#REF!&gt;12,OFFSET(#REF!,-12,0),0)+OFFSET(#REF!,-1,0)-#REF!</f>
        <v>#REF!</v>
      </c>
      <c r="BF123" s="343" t="e">
        <f t="array" aca="1" ref="BF123" ca="1">IF(#REF!&gt;12,OFFSET(#REF!,-12,0),0)+OFFSET(#REF!,-1,0)-#REF!</f>
        <v>#REF!</v>
      </c>
      <c r="BG123" s="343" t="e">
        <f t="array" aca="1" ref="BG123" ca="1">IF(#REF!&gt;12,OFFSET(#REF!,-12,0),0)+OFFSET(#REF!,-1,0)-#REF!</f>
        <v>#REF!</v>
      </c>
      <c r="BH123" s="347" t="e">
        <f t="array" aca="1" ref="BH123" ca="1">IF(#REF!&gt;12,OFFSET(#REF!,-12,0),0)+OFFSET(#REF!,-1,0)-#REF!</f>
        <v>#REF!</v>
      </c>
      <c r="BI123" s="347" t="e">
        <f t="array" aca="1" ref="BI123" ca="1">IF(#REF!&gt;12,OFFSET(#REF!,-12,0),0)+OFFSET(#REF!,-1,0)-#REF!</f>
        <v>#REF!</v>
      </c>
      <c r="BJ123" s="347" t="e">
        <f t="array" aca="1" ref="BJ123" ca="1">IF(#REF!&gt;12,OFFSET(#REF!,-12,0),0)+OFFSET(#REF!,-1,0)-#REF!</f>
        <v>#REF!</v>
      </c>
      <c r="BK123" s="347" t="e">
        <f t="array" aca="1" ref="BK123" ca="1">IF(#REF!&gt;12,OFFSET(#REF!,-12,0),0)+OFFSET(#REF!,-1,0)-#REF!</f>
        <v>#REF!</v>
      </c>
      <c r="BL123" s="351" t="e">
        <f t="array" aca="1" ref="BL123" ca="1">IF(#REF!&gt;12,OFFSET(#REF!,-12,0),0)+OFFSET(#REF!,-1,0)-#REF!</f>
        <v>#REF!</v>
      </c>
      <c r="BM123" s="351" t="e">
        <f t="array" aca="1" ref="BM123" ca="1">IF(#REF!&gt;12,OFFSET(#REF!,-12,0),0)+OFFSET(#REF!,-1,0)-#REF!</f>
        <v>#REF!</v>
      </c>
      <c r="BN123" s="351" t="e">
        <f t="array" aca="1" ref="BN123" ca="1">IF(#REF!&gt;12,OFFSET(#REF!,-12,0),0)+OFFSET(#REF!,-1,0)-#REF!</f>
        <v>#REF!</v>
      </c>
      <c r="BO123" s="175" t="e">
        <f t="array" aca="1" ref="BO123" ca="1">IF(#REF!&gt;12,OFFSET(#REF!,-12,0),0)+OFFSET(#REF!,-1,0)-#REF!</f>
        <v>#REF!</v>
      </c>
      <c r="BP123" s="175" t="e">
        <f t="array" aca="1" ref="BP123" ca="1">IF(#REF!&gt;12,OFFSET(#REF!,-12,0),0)+OFFSET(#REF!,-1,0)-#REF!</f>
        <v>#REF!</v>
      </c>
      <c r="BQ123" s="176" t="e">
        <f t="array" aca="1" ref="BQ123" ca="1">IF(#REF!&gt;12,OFFSET(#REF!,-12,0),0)+OFFSET(#REF!,-1,0)-#REF!</f>
        <v>#REF!</v>
      </c>
      <c r="BR123" s="134"/>
      <c r="BS123" s="133"/>
      <c r="BT123" s="39" t="e">
        <f>#REF!</f>
        <v>#REF!</v>
      </c>
      <c r="BU123" s="147" t="e">
        <f>#REF!</f>
        <v>#REF!</v>
      </c>
      <c r="BV123" s="134"/>
      <c r="BW123" s="164"/>
      <c r="BX123" s="164"/>
      <c r="BY123" s="164"/>
      <c r="BZ123" s="164"/>
      <c r="CA123" s="164"/>
      <c r="CB123" s="164"/>
      <c r="CC123" s="164"/>
      <c r="CD123" s="164"/>
      <c r="CE123" s="164"/>
      <c r="CF123" s="164"/>
      <c r="CG123" s="164"/>
      <c r="CH123" s="164"/>
      <c r="CI123" s="164"/>
      <c r="CJ123" s="164"/>
      <c r="CK123" s="164"/>
      <c r="CL123" s="164"/>
      <c r="CM123" s="164"/>
      <c r="CN123" s="164"/>
      <c r="CO123" s="164"/>
      <c r="CP123" s="134"/>
      <c r="CQ123" s="165" t="e">
        <f ca="1">-SUM(#REF!)+SUM(#REF!)+Rezone!L123+IF("Ch_"&amp; home_land=#REF!,#REF!)+IF(#REF!&gt;12,OFFSET(#REF!,-12,0),0)</f>
        <v>#REF!</v>
      </c>
      <c r="CR123" s="166" t="e">
        <f ca="1">-SUM(#REF!)+SUM(#REF!) +Rezone!M123 + IF("Ch_"&amp; home_land=#REF!,#REF!)+IF(#REF!&gt;12,OFFSET(#REF!,-12,0),0)</f>
        <v>#REF!</v>
      </c>
      <c r="CS123" s="341" t="e">
        <f ca="1">-SUM(#REF!)+SUM(#REF!) +Rezone!N123 + IF("Ch_"&amp; home_land=#REF!,#REF!)+IF(#REF!&gt;12,OFFSET(#REF!,-12,0),0)</f>
        <v>#REF!</v>
      </c>
      <c r="CT123" s="167" t="e">
        <f ca="1">-SUM(#REF!)+SUM(#REF!) +Rezone!O123 + IF("Ch_" &amp; home_land=#REF!,#REF!)+IF(#REF!&gt;12,OFFSET(#REF!,-12,0),0)</f>
        <v>#REF!</v>
      </c>
      <c r="CU123" s="168" t="e">
        <f ca="1">-SUM(#REF!)+SUM(#REF!) +Rezone!P123 + IF("Ch_" &amp; home_land=#REF!,#REF!)+IF(#REF!&gt;12,OFFSET(#REF!,-12,0),0)</f>
        <v>#REF!</v>
      </c>
      <c r="CV123" s="169" t="e">
        <f ca="1">- SUM(#REF!)+SUM(#REF!) +Rezone!Q123 + IF("Ch_" &amp; home_land=#REF!,#REF!)+IF(#REF!&gt;12,OFFSET(#REF!,-12,0),0)</f>
        <v>#REF!</v>
      </c>
      <c r="CW123" s="170" t="e">
        <f ca="1">-#REF!+#REF! +Rezone!R123 + IF("Ch_" &amp; home_land=#REF!,#REF!)+IF(#REF!&gt;12,OFFSET(#REF!,-12,0),0)</f>
        <v>#REF!</v>
      </c>
      <c r="CX123" s="3" t="e">
        <f>IF(Explore!S123=1,20) -#REF! +#REF!</f>
        <v>#REF!</v>
      </c>
      <c r="CY123" s="134"/>
      <c r="CZ123" s="39" t="e">
        <f t="shared" ca="1" si="30"/>
        <v>#REF!</v>
      </c>
      <c r="DA123" s="39" t="e">
        <f t="shared" ca="1" si="31"/>
        <v>#REF!</v>
      </c>
      <c r="DB123" s="3" t="e">
        <f t="shared" ca="1" si="32"/>
        <v>#REF!</v>
      </c>
      <c r="DC123" s="39" t="e">
        <f t="shared" ca="1" si="33"/>
        <v>#REF!</v>
      </c>
      <c r="DD123" s="39" t="e">
        <f t="shared" ca="1" si="34"/>
        <v>#REF!</v>
      </c>
      <c r="DE123" s="3" t="e">
        <f t="shared" ca="1" si="35"/>
        <v>#REF!</v>
      </c>
      <c r="DF123" s="39" t="e">
        <f t="shared" ca="1" si="36"/>
        <v>#REF!</v>
      </c>
      <c r="DG123" s="39" t="e">
        <f t="array" ref="DG123">INDEX(#REF!,ROW()-ROW(#REF!),MATCH("Total "&amp;home_land,#REF!,0))+#REF!</f>
        <v>#REF!</v>
      </c>
      <c r="DH123" s="3" t="e">
        <f t="shared" ca="1" si="22"/>
        <v>#REF!</v>
      </c>
      <c r="DI123" s="3" t="e">
        <f t="shared" ca="1" si="19"/>
        <v>#REF!</v>
      </c>
      <c r="DJ123" s="3" t="e">
        <f t="shared" ca="1" si="20"/>
        <v>#REF!</v>
      </c>
    </row>
    <row r="124" spans="1:114" x14ac:dyDescent="0.25">
      <c r="A124" s="160" t="e">
        <f>#REF!</f>
        <v>#REF!</v>
      </c>
      <c r="B124" s="161" t="e">
        <f>SUM(#REF!)</f>
        <v>#REF!</v>
      </c>
      <c r="C124" s="162" t="e">
        <f>SUM(#REF!)</f>
        <v>#REF!</v>
      </c>
      <c r="D124" s="162">
        <f t="shared" si="21"/>
        <v>0</v>
      </c>
      <c r="E124" s="163"/>
      <c r="F124" s="61" t="e">
        <f>#REF!+#REF!+#REF!</f>
        <v>#REF!</v>
      </c>
      <c r="G124" s="171" t="e">
        <f ca="1">OFFSET(#REF!,-1,0)+#REF!</f>
        <v>#REF!</v>
      </c>
      <c r="H124" s="166" t="e">
        <f ca="1">OFFSET(#REF!,-1,0)+#REF!</f>
        <v>#REF!</v>
      </c>
      <c r="I124" s="341" t="e">
        <f ca="1">OFFSET(#REF!,-1,0)+#REF!</f>
        <v>#REF!</v>
      </c>
      <c r="J124" s="345" t="e">
        <f ca="1">OFFSET(#REF!,-1,0)+#REF!</f>
        <v>#REF!</v>
      </c>
      <c r="K124" s="349" t="e">
        <f ca="1">OFFSET(#REF!,-1,0)+#REF!</f>
        <v>#REF!</v>
      </c>
      <c r="L124" s="169" t="e">
        <f ca="1">OFFSET(#REF!,-1,0)+#REF!</f>
        <v>#REF!</v>
      </c>
      <c r="M124" s="170" t="e">
        <f ca="1">OFFSET(#REF!,-1,0)+#REF!</f>
        <v>#REF!</v>
      </c>
      <c r="N124" s="339" t="e">
        <f>#REF!</f>
        <v>#REF!</v>
      </c>
      <c r="O124" s="164"/>
      <c r="P124" s="164"/>
      <c r="Q124" s="164"/>
      <c r="R124" s="164"/>
      <c r="S124" s="164"/>
      <c r="T124" s="164"/>
      <c r="U124" s="164"/>
      <c r="V124" s="164"/>
      <c r="W124" s="164"/>
      <c r="X124" s="164"/>
      <c r="Y124" s="164"/>
      <c r="Z124" s="164"/>
      <c r="AA124" s="164"/>
      <c r="AB124" s="164"/>
      <c r="AC124" s="164"/>
      <c r="AD124" s="164"/>
      <c r="AE124" s="164"/>
      <c r="AF124" s="164"/>
      <c r="AG124" s="164"/>
      <c r="AH124" s="53" t="e">
        <f>#REF!</f>
        <v>#REF!</v>
      </c>
      <c r="AI124" s="132" t="e">
        <f>MIN(25%,(#REF!+#REF!)/(#REF!-#REF!*20))</f>
        <v>#REF!</v>
      </c>
      <c r="AJ124" s="132" t="e">
        <f>MIN(25%,(#REF!+#REF!)/#REF!)</f>
        <v>#REF!</v>
      </c>
      <c r="AK124" s="39" t="e">
        <f>#REF!</f>
        <v>#REF!</v>
      </c>
      <c r="AL124" s="39" t="e">
        <f>#REF!</f>
        <v>#REF!</v>
      </c>
      <c r="AM124" s="39" t="e">
        <f>ROUNDDOWN( MAX((1 - MIN(facs_constr_factor*#REF!,facs_constr_max) + tech_2_3*#REF! + tech_2_6_2*#REF! + tech_2_10*#REF! + tech_4_6*#REF! + tech_6_3*#REF! + tech_9_2*#REF! + race_construction_cost), 1-global_constr_cap) *#REF!,0)</f>
        <v>#REF!</v>
      </c>
      <c r="AN124" s="39" t="e">
        <f>ROUNDDOWN( MAX(1 - MIN(facs_constr_factor*#REF!,facs_constr_max) + tech_1_11*#REF! + tech_6_3_2*#REF! + tech_5_2_3*#REF!, 1-global_constr_cap) *#REF!,0)</f>
        <v>#REF!</v>
      </c>
      <c r="AO124" s="39" t="e">
        <f>ROUNDDOWN( MAX((1 - MIN(facs_constr_factor*#REF!,facs_constr_max) + tech_2_3*#REF! + tech_2_6_2*#REF! + tech_2_10*#REF! + tech_4_6*#REF! + tech_6_3*#REF! + tech_9_2*#REF! + race_construction_cost), 1-global_constr_cap) * (ROUND((#REF!-250)*1.25 + 850 + 0,0)),0)</f>
        <v>#REF!</v>
      </c>
      <c r="AP124" s="39" t="e">
        <f>ROUNDDOWN( MAX(1 - MIN(facs_constr_factor*#REF!,facs_constr_max) + tech_1_11*#REF! + tech_6_3_2*#REF! + tech_5_2_3*#REF!, 1-global_constr_cap) * ROUND((#REF!-250)*0.285 + 87.5 + 0/4.25,0),0)</f>
        <v>#REF!</v>
      </c>
      <c r="AQ124" s="3" t="e">
        <f>#REF!*#REF! +#REF! *#REF!</f>
        <v>#REF!</v>
      </c>
      <c r="AR124" s="3" t="e">
        <f>#REF!*#REF!+#REF!*#REF!</f>
        <v>#REF!</v>
      </c>
      <c r="AS124" s="39" t="e">
        <f ca="1">MIN(SUM(OFFSET(#REF!,-1,0))+SUM(#REF!)+IF(#REF!&gt;12,SUM(OFFSET(#REF!,-12,0)),0),SUM(#REF!))</f>
        <v>#REF!</v>
      </c>
      <c r="AT124" s="3" t="e">
        <f ca="1">IF(#REF!&lt;&gt;0,MAX(0, MIN(20, 20 + SUM(#REF!) - SUM(#REF!) - SUM(OFFSET(#REF!,-1,0)) - IF(#REF!&gt;12,SUM(OFFSET(#REF!,-12,0)),0) - 20*#REF!)),0)</f>
        <v>#REF!</v>
      </c>
      <c r="AU124" s="134"/>
      <c r="AV124" s="39" t="e">
        <f>ROUND((#REF!-250 - IF(#REF!&lt;&gt;0,20,0))*1.25 + 850 + 0,0)</f>
        <v>#REF!</v>
      </c>
      <c r="AW124" s="39" t="e">
        <f>ROUND((#REF!-250 - IF(#REF!&lt;&gt;0,20,0))*0.285 + 87.5 + 0/4.25,0)</f>
        <v>#REF!</v>
      </c>
      <c r="AX124" s="133"/>
      <c r="AY124" s="172" t="e">
        <f t="array" aca="1" ref="AY124" ca="1">IF(#REF!&gt;12,OFFSET(#REF!,-12,0),0)+OFFSET(#REF!,-1,0)-#REF!</f>
        <v>#REF!</v>
      </c>
      <c r="AZ124" s="173" t="e">
        <f t="array" aca="1" ref="AZ124" ca="1">IF(#REF!&gt;12,OFFSET(#REF!,-12,0),0)+OFFSET(#REF!,-1,0)-#REF!</f>
        <v>#REF!</v>
      </c>
      <c r="BA124" s="173" t="e">
        <f t="array" aca="1" ref="BA124" ca="1">IF(#REF!&gt;12,OFFSET(#REF!,-12,0),0)+OFFSET(#REF!,-1,0)-#REF!</f>
        <v>#REF!</v>
      </c>
      <c r="BB124" s="173" t="e">
        <f t="array" aca="1" ref="BB124" ca="1">IF(#REF!&gt;12,OFFSET(#REF!,-12,0),0)+OFFSET(#REF!,-1,0)-#REF!</f>
        <v>#REF!</v>
      </c>
      <c r="BC124" s="173" t="e">
        <f t="array" aca="1" ref="BC124" ca="1">IF(#REF!&gt;12,OFFSET(#REF!,-12,0),0)+OFFSET(#REF!,-1,0)-#REF!</f>
        <v>#REF!</v>
      </c>
      <c r="BD124" s="174" t="e">
        <f t="array" aca="1" ref="BD124" ca="1">IF(#REF!&gt;12,OFFSET(#REF!,-12,0),0)+OFFSET(#REF!,-1,0)-#REF!</f>
        <v>#REF!</v>
      </c>
      <c r="BE124" s="174" t="e">
        <f t="array" aca="1" ref="BE124" ca="1">IF(#REF!&gt;12,OFFSET(#REF!,-12,0),0)+OFFSET(#REF!,-1,0)-#REF!</f>
        <v>#REF!</v>
      </c>
      <c r="BF124" s="343" t="e">
        <f t="array" aca="1" ref="BF124" ca="1">IF(#REF!&gt;12,OFFSET(#REF!,-12,0),0)+OFFSET(#REF!,-1,0)-#REF!</f>
        <v>#REF!</v>
      </c>
      <c r="BG124" s="343" t="e">
        <f t="array" aca="1" ref="BG124" ca="1">IF(#REF!&gt;12,OFFSET(#REF!,-12,0),0)+OFFSET(#REF!,-1,0)-#REF!</f>
        <v>#REF!</v>
      </c>
      <c r="BH124" s="347" t="e">
        <f t="array" aca="1" ref="BH124" ca="1">IF(#REF!&gt;12,OFFSET(#REF!,-12,0),0)+OFFSET(#REF!,-1,0)-#REF!</f>
        <v>#REF!</v>
      </c>
      <c r="BI124" s="347" t="e">
        <f t="array" aca="1" ref="BI124" ca="1">IF(#REF!&gt;12,OFFSET(#REF!,-12,0),0)+OFFSET(#REF!,-1,0)-#REF!</f>
        <v>#REF!</v>
      </c>
      <c r="BJ124" s="347" t="e">
        <f t="array" aca="1" ref="BJ124" ca="1">IF(#REF!&gt;12,OFFSET(#REF!,-12,0),0)+OFFSET(#REF!,-1,0)-#REF!</f>
        <v>#REF!</v>
      </c>
      <c r="BK124" s="347" t="e">
        <f t="array" aca="1" ref="BK124" ca="1">IF(#REF!&gt;12,OFFSET(#REF!,-12,0),0)+OFFSET(#REF!,-1,0)-#REF!</f>
        <v>#REF!</v>
      </c>
      <c r="BL124" s="351" t="e">
        <f t="array" aca="1" ref="BL124" ca="1">IF(#REF!&gt;12,OFFSET(#REF!,-12,0),0)+OFFSET(#REF!,-1,0)-#REF!</f>
        <v>#REF!</v>
      </c>
      <c r="BM124" s="351" t="e">
        <f t="array" aca="1" ref="BM124" ca="1">IF(#REF!&gt;12,OFFSET(#REF!,-12,0),0)+OFFSET(#REF!,-1,0)-#REF!</f>
        <v>#REF!</v>
      </c>
      <c r="BN124" s="351" t="e">
        <f t="array" aca="1" ref="BN124" ca="1">IF(#REF!&gt;12,OFFSET(#REF!,-12,0),0)+OFFSET(#REF!,-1,0)-#REF!</f>
        <v>#REF!</v>
      </c>
      <c r="BO124" s="175" t="e">
        <f t="array" aca="1" ref="BO124" ca="1">IF(#REF!&gt;12,OFFSET(#REF!,-12,0),0)+OFFSET(#REF!,-1,0)-#REF!</f>
        <v>#REF!</v>
      </c>
      <c r="BP124" s="175" t="e">
        <f t="array" aca="1" ref="BP124" ca="1">IF(#REF!&gt;12,OFFSET(#REF!,-12,0),0)+OFFSET(#REF!,-1,0)-#REF!</f>
        <v>#REF!</v>
      </c>
      <c r="BQ124" s="176" t="e">
        <f t="array" aca="1" ref="BQ124" ca="1">IF(#REF!&gt;12,OFFSET(#REF!,-12,0),0)+OFFSET(#REF!,-1,0)-#REF!</f>
        <v>#REF!</v>
      </c>
      <c r="BR124" s="134"/>
      <c r="BS124" s="133"/>
      <c r="BT124" s="39" t="e">
        <f>#REF!</f>
        <v>#REF!</v>
      </c>
      <c r="BU124" s="147" t="e">
        <f>#REF!</f>
        <v>#REF!</v>
      </c>
      <c r="BV124" s="134"/>
      <c r="BW124" s="164"/>
      <c r="BX124" s="164"/>
      <c r="BY124" s="164"/>
      <c r="BZ124" s="164"/>
      <c r="CA124" s="164"/>
      <c r="CB124" s="164"/>
      <c r="CC124" s="164"/>
      <c r="CD124" s="164"/>
      <c r="CE124" s="164"/>
      <c r="CF124" s="164"/>
      <c r="CG124" s="164"/>
      <c r="CH124" s="164"/>
      <c r="CI124" s="164"/>
      <c r="CJ124" s="164"/>
      <c r="CK124" s="164"/>
      <c r="CL124" s="164"/>
      <c r="CM124" s="164"/>
      <c r="CN124" s="164"/>
      <c r="CO124" s="164"/>
      <c r="CP124" s="134"/>
      <c r="CQ124" s="165" t="e">
        <f ca="1">-SUM(#REF!)+SUM(#REF!)+Rezone!L124+IF("Ch_"&amp; home_land=#REF!,#REF!)+IF(#REF!&gt;12,OFFSET(#REF!,-12,0),0)</f>
        <v>#REF!</v>
      </c>
      <c r="CR124" s="166" t="e">
        <f ca="1">-SUM(#REF!)+SUM(#REF!) +Rezone!M124 + IF("Ch_"&amp; home_land=#REF!,#REF!)+IF(#REF!&gt;12,OFFSET(#REF!,-12,0),0)</f>
        <v>#REF!</v>
      </c>
      <c r="CS124" s="341" t="e">
        <f ca="1">-SUM(#REF!)+SUM(#REF!) +Rezone!N124 + IF("Ch_"&amp; home_land=#REF!,#REF!)+IF(#REF!&gt;12,OFFSET(#REF!,-12,0),0)</f>
        <v>#REF!</v>
      </c>
      <c r="CT124" s="167" t="e">
        <f ca="1">-SUM(#REF!)+SUM(#REF!) +Rezone!O124 + IF("Ch_" &amp; home_land=#REF!,#REF!)+IF(#REF!&gt;12,OFFSET(#REF!,-12,0),0)</f>
        <v>#REF!</v>
      </c>
      <c r="CU124" s="168" t="e">
        <f ca="1">-SUM(#REF!)+SUM(#REF!) +Rezone!P124 + IF("Ch_" &amp; home_land=#REF!,#REF!)+IF(#REF!&gt;12,OFFSET(#REF!,-12,0),0)</f>
        <v>#REF!</v>
      </c>
      <c r="CV124" s="169" t="e">
        <f ca="1">- SUM(#REF!)+SUM(#REF!) +Rezone!Q124 + IF("Ch_" &amp; home_land=#REF!,#REF!)+IF(#REF!&gt;12,OFFSET(#REF!,-12,0),0)</f>
        <v>#REF!</v>
      </c>
      <c r="CW124" s="170" t="e">
        <f ca="1">-#REF!+#REF! +Rezone!R124 + IF("Ch_" &amp; home_land=#REF!,#REF!)+IF(#REF!&gt;12,OFFSET(#REF!,-12,0),0)</f>
        <v>#REF!</v>
      </c>
      <c r="CX124" s="3" t="e">
        <f>IF(Explore!S124=1,20) -#REF! +#REF!</f>
        <v>#REF!</v>
      </c>
      <c r="CY124" s="134"/>
      <c r="CZ124" s="39" t="e">
        <f t="shared" ca="1" si="30"/>
        <v>#REF!</v>
      </c>
      <c r="DA124" s="39" t="e">
        <f t="shared" ca="1" si="31"/>
        <v>#REF!</v>
      </c>
      <c r="DB124" s="3" t="e">
        <f t="shared" ca="1" si="32"/>
        <v>#REF!</v>
      </c>
      <c r="DC124" s="39" t="e">
        <f t="shared" ca="1" si="33"/>
        <v>#REF!</v>
      </c>
      <c r="DD124" s="39" t="e">
        <f t="shared" ca="1" si="34"/>
        <v>#REF!</v>
      </c>
      <c r="DE124" s="3" t="e">
        <f t="shared" ca="1" si="35"/>
        <v>#REF!</v>
      </c>
      <c r="DF124" s="39" t="e">
        <f t="shared" ca="1" si="36"/>
        <v>#REF!</v>
      </c>
      <c r="DG124" s="39" t="e">
        <f t="array" ref="DG124">INDEX(#REF!,ROW()-ROW(#REF!),MATCH("Total "&amp;home_land,#REF!,0))+#REF!</f>
        <v>#REF!</v>
      </c>
      <c r="DH124" s="3" t="e">
        <f t="shared" ca="1" si="22"/>
        <v>#REF!</v>
      </c>
      <c r="DI124" s="3" t="e">
        <f t="shared" ca="1" si="19"/>
        <v>#REF!</v>
      </c>
      <c r="DJ124" s="3" t="e">
        <f t="shared" ca="1" si="20"/>
        <v>#REF!</v>
      </c>
    </row>
    <row r="125" spans="1:114" x14ac:dyDescent="0.25">
      <c r="A125" s="160" t="e">
        <f>#REF!</f>
        <v>#REF!</v>
      </c>
      <c r="B125" s="161" t="e">
        <f>SUM(#REF!)</f>
        <v>#REF!</v>
      </c>
      <c r="C125" s="162" t="e">
        <f>SUM(#REF!)</f>
        <v>#REF!</v>
      </c>
      <c r="D125" s="162">
        <f t="shared" si="21"/>
        <v>0</v>
      </c>
      <c r="E125" s="163"/>
      <c r="F125" s="61" t="e">
        <f>#REF!+#REF!+#REF!</f>
        <v>#REF!</v>
      </c>
      <c r="G125" s="171" t="e">
        <f ca="1">OFFSET(#REF!,-1,0)+#REF!</f>
        <v>#REF!</v>
      </c>
      <c r="H125" s="166" t="e">
        <f ca="1">OFFSET(#REF!,-1,0)+#REF!</f>
        <v>#REF!</v>
      </c>
      <c r="I125" s="341" t="e">
        <f ca="1">OFFSET(#REF!,-1,0)+#REF!</f>
        <v>#REF!</v>
      </c>
      <c r="J125" s="345" t="e">
        <f ca="1">OFFSET(#REF!,-1,0)+#REF!</f>
        <v>#REF!</v>
      </c>
      <c r="K125" s="349" t="e">
        <f ca="1">OFFSET(#REF!,-1,0)+#REF!</f>
        <v>#REF!</v>
      </c>
      <c r="L125" s="169" t="e">
        <f ca="1">OFFSET(#REF!,-1,0)+#REF!</f>
        <v>#REF!</v>
      </c>
      <c r="M125" s="170" t="e">
        <f ca="1">OFFSET(#REF!,-1,0)+#REF!</f>
        <v>#REF!</v>
      </c>
      <c r="N125" s="339" t="e">
        <f>#REF!</f>
        <v>#REF!</v>
      </c>
      <c r="O125" s="164"/>
      <c r="P125" s="164"/>
      <c r="Q125" s="164"/>
      <c r="R125" s="164"/>
      <c r="S125" s="164"/>
      <c r="T125" s="164"/>
      <c r="U125" s="164"/>
      <c r="V125" s="164"/>
      <c r="W125" s="164"/>
      <c r="X125" s="164"/>
      <c r="Y125" s="164"/>
      <c r="Z125" s="164"/>
      <c r="AA125" s="164"/>
      <c r="AB125" s="164"/>
      <c r="AC125" s="164"/>
      <c r="AD125" s="164"/>
      <c r="AE125" s="164"/>
      <c r="AF125" s="164"/>
      <c r="AG125" s="164"/>
      <c r="AH125" s="53" t="e">
        <f>#REF!</f>
        <v>#REF!</v>
      </c>
      <c r="AI125" s="132" t="e">
        <f>MIN(25%,(#REF!+#REF!)/(#REF!-#REF!*20))</f>
        <v>#REF!</v>
      </c>
      <c r="AJ125" s="132" t="e">
        <f>MIN(25%,(#REF!+#REF!)/#REF!)</f>
        <v>#REF!</v>
      </c>
      <c r="AK125" s="39" t="e">
        <f>#REF!</f>
        <v>#REF!</v>
      </c>
      <c r="AL125" s="39" t="e">
        <f>#REF!</f>
        <v>#REF!</v>
      </c>
      <c r="AM125" s="39" t="e">
        <f>ROUNDDOWN( MAX((1 - MIN(facs_constr_factor*#REF!,facs_constr_max) + tech_2_3*#REF! + tech_2_6_2*#REF! + tech_2_10*#REF! + tech_4_6*#REF! + tech_6_3*#REF! + tech_9_2*#REF! + race_construction_cost), 1-global_constr_cap) *#REF!,0)</f>
        <v>#REF!</v>
      </c>
      <c r="AN125" s="39" t="e">
        <f>ROUNDDOWN( MAX(1 - MIN(facs_constr_factor*#REF!,facs_constr_max) + tech_1_11*#REF! + tech_6_3_2*#REF! + tech_5_2_3*#REF!, 1-global_constr_cap) *#REF!,0)</f>
        <v>#REF!</v>
      </c>
      <c r="AO125" s="39" t="e">
        <f>ROUNDDOWN( MAX((1 - MIN(facs_constr_factor*#REF!,facs_constr_max) + tech_2_3*#REF! + tech_2_6_2*#REF! + tech_2_10*#REF! + tech_4_6*#REF! + tech_6_3*#REF! + tech_9_2*#REF! + race_construction_cost), 1-global_constr_cap) * (ROUND((#REF!-250)*1.25 + 850 + 0,0)),0)</f>
        <v>#REF!</v>
      </c>
      <c r="AP125" s="39" t="e">
        <f>ROUNDDOWN( MAX(1 - MIN(facs_constr_factor*#REF!,facs_constr_max) + tech_1_11*#REF! + tech_6_3_2*#REF! + tech_5_2_3*#REF!, 1-global_constr_cap) * ROUND((#REF!-250)*0.285 + 87.5 + 0/4.25,0),0)</f>
        <v>#REF!</v>
      </c>
      <c r="AQ125" s="3" t="e">
        <f>#REF!*#REF! +#REF! *#REF!</f>
        <v>#REF!</v>
      </c>
      <c r="AR125" s="3" t="e">
        <f>#REF!*#REF!+#REF!*#REF!</f>
        <v>#REF!</v>
      </c>
      <c r="AS125" s="39" t="e">
        <f ca="1">MIN(SUM(OFFSET(#REF!,-1,0))+SUM(#REF!)+IF(#REF!&gt;12,SUM(OFFSET(#REF!,-12,0)),0),SUM(#REF!))</f>
        <v>#REF!</v>
      </c>
      <c r="AT125" s="3" t="e">
        <f ca="1">IF(#REF!&lt;&gt;0,MAX(0, MIN(20, 20 + SUM(#REF!) - SUM(#REF!) - SUM(OFFSET(#REF!,-1,0)) - IF(#REF!&gt;12,SUM(OFFSET(#REF!,-12,0)),0) - 20*#REF!)),0)</f>
        <v>#REF!</v>
      </c>
      <c r="AU125" s="134"/>
      <c r="AV125" s="39" t="e">
        <f>ROUND((#REF!-250 - IF(#REF!&lt;&gt;0,20,0))*1.25 + 850 + 0,0)</f>
        <v>#REF!</v>
      </c>
      <c r="AW125" s="39" t="e">
        <f>ROUND((#REF!-250 - IF(#REF!&lt;&gt;0,20,0))*0.285 + 87.5 + 0/4.25,0)</f>
        <v>#REF!</v>
      </c>
      <c r="AX125" s="133"/>
      <c r="AY125" s="172" t="e">
        <f t="array" aca="1" ref="AY125" ca="1">IF(#REF!&gt;12,OFFSET(#REF!,-12,0),0)+OFFSET(#REF!,-1,0)-#REF!</f>
        <v>#REF!</v>
      </c>
      <c r="AZ125" s="173" t="e">
        <f t="array" aca="1" ref="AZ125" ca="1">IF(#REF!&gt;12,OFFSET(#REF!,-12,0),0)+OFFSET(#REF!,-1,0)-#REF!</f>
        <v>#REF!</v>
      </c>
      <c r="BA125" s="173" t="e">
        <f t="array" aca="1" ref="BA125" ca="1">IF(#REF!&gt;12,OFFSET(#REF!,-12,0),0)+OFFSET(#REF!,-1,0)-#REF!</f>
        <v>#REF!</v>
      </c>
      <c r="BB125" s="173" t="e">
        <f t="array" aca="1" ref="BB125" ca="1">IF(#REF!&gt;12,OFFSET(#REF!,-12,0),0)+OFFSET(#REF!,-1,0)-#REF!</f>
        <v>#REF!</v>
      </c>
      <c r="BC125" s="173" t="e">
        <f t="array" aca="1" ref="BC125" ca="1">IF(#REF!&gt;12,OFFSET(#REF!,-12,0),0)+OFFSET(#REF!,-1,0)-#REF!</f>
        <v>#REF!</v>
      </c>
      <c r="BD125" s="174" t="e">
        <f t="array" aca="1" ref="BD125" ca="1">IF(#REF!&gt;12,OFFSET(#REF!,-12,0),0)+OFFSET(#REF!,-1,0)-#REF!</f>
        <v>#REF!</v>
      </c>
      <c r="BE125" s="174" t="e">
        <f t="array" aca="1" ref="BE125" ca="1">IF(#REF!&gt;12,OFFSET(#REF!,-12,0),0)+OFFSET(#REF!,-1,0)-#REF!</f>
        <v>#REF!</v>
      </c>
      <c r="BF125" s="343" t="e">
        <f t="array" aca="1" ref="BF125" ca="1">IF(#REF!&gt;12,OFFSET(#REF!,-12,0),0)+OFFSET(#REF!,-1,0)-#REF!</f>
        <v>#REF!</v>
      </c>
      <c r="BG125" s="343" t="e">
        <f t="array" aca="1" ref="BG125" ca="1">IF(#REF!&gt;12,OFFSET(#REF!,-12,0),0)+OFFSET(#REF!,-1,0)-#REF!</f>
        <v>#REF!</v>
      </c>
      <c r="BH125" s="347" t="e">
        <f t="array" aca="1" ref="BH125" ca="1">IF(#REF!&gt;12,OFFSET(#REF!,-12,0),0)+OFFSET(#REF!,-1,0)-#REF!</f>
        <v>#REF!</v>
      </c>
      <c r="BI125" s="347" t="e">
        <f t="array" aca="1" ref="BI125" ca="1">IF(#REF!&gt;12,OFFSET(#REF!,-12,0),0)+OFFSET(#REF!,-1,0)-#REF!</f>
        <v>#REF!</v>
      </c>
      <c r="BJ125" s="347" t="e">
        <f t="array" aca="1" ref="BJ125" ca="1">IF(#REF!&gt;12,OFFSET(#REF!,-12,0),0)+OFFSET(#REF!,-1,0)-#REF!</f>
        <v>#REF!</v>
      </c>
      <c r="BK125" s="347" t="e">
        <f t="array" aca="1" ref="BK125" ca="1">IF(#REF!&gt;12,OFFSET(#REF!,-12,0),0)+OFFSET(#REF!,-1,0)-#REF!</f>
        <v>#REF!</v>
      </c>
      <c r="BL125" s="351" t="e">
        <f t="array" aca="1" ref="BL125" ca="1">IF(#REF!&gt;12,OFFSET(#REF!,-12,0),0)+OFFSET(#REF!,-1,0)-#REF!</f>
        <v>#REF!</v>
      </c>
      <c r="BM125" s="351" t="e">
        <f t="array" aca="1" ref="BM125" ca="1">IF(#REF!&gt;12,OFFSET(#REF!,-12,0),0)+OFFSET(#REF!,-1,0)-#REF!</f>
        <v>#REF!</v>
      </c>
      <c r="BN125" s="351" t="e">
        <f t="array" aca="1" ref="BN125" ca="1">IF(#REF!&gt;12,OFFSET(#REF!,-12,0),0)+OFFSET(#REF!,-1,0)-#REF!</f>
        <v>#REF!</v>
      </c>
      <c r="BO125" s="175" t="e">
        <f t="array" aca="1" ref="BO125" ca="1">IF(#REF!&gt;12,OFFSET(#REF!,-12,0),0)+OFFSET(#REF!,-1,0)-#REF!</f>
        <v>#REF!</v>
      </c>
      <c r="BP125" s="175" t="e">
        <f t="array" aca="1" ref="BP125" ca="1">IF(#REF!&gt;12,OFFSET(#REF!,-12,0),0)+OFFSET(#REF!,-1,0)-#REF!</f>
        <v>#REF!</v>
      </c>
      <c r="BQ125" s="176" t="e">
        <f t="array" aca="1" ref="BQ125" ca="1">IF(#REF!&gt;12,OFFSET(#REF!,-12,0),0)+OFFSET(#REF!,-1,0)-#REF!</f>
        <v>#REF!</v>
      </c>
      <c r="BR125" s="134"/>
      <c r="BS125" s="133"/>
      <c r="BT125" s="39" t="e">
        <f>#REF!</f>
        <v>#REF!</v>
      </c>
      <c r="BU125" s="147" t="e">
        <f>#REF!</f>
        <v>#REF!</v>
      </c>
      <c r="BV125" s="134"/>
      <c r="BW125" s="164"/>
      <c r="BX125" s="164"/>
      <c r="BY125" s="164"/>
      <c r="BZ125" s="164"/>
      <c r="CA125" s="164"/>
      <c r="CB125" s="164"/>
      <c r="CC125" s="164"/>
      <c r="CD125" s="164"/>
      <c r="CE125" s="164"/>
      <c r="CF125" s="164"/>
      <c r="CG125" s="164"/>
      <c r="CH125" s="164"/>
      <c r="CI125" s="164"/>
      <c r="CJ125" s="164"/>
      <c r="CK125" s="164"/>
      <c r="CL125" s="164"/>
      <c r="CM125" s="164"/>
      <c r="CN125" s="164"/>
      <c r="CO125" s="164"/>
      <c r="CP125" s="134"/>
      <c r="CQ125" s="165" t="e">
        <f ca="1">-SUM(#REF!)+SUM(#REF!)+Rezone!L125+IF("Ch_"&amp; home_land=#REF!,#REF!)+IF(#REF!&gt;12,OFFSET(#REF!,-12,0),0)</f>
        <v>#REF!</v>
      </c>
      <c r="CR125" s="166" t="e">
        <f ca="1">-SUM(#REF!)+SUM(#REF!) +Rezone!M125 + IF("Ch_"&amp; home_land=#REF!,#REF!)+IF(#REF!&gt;12,OFFSET(#REF!,-12,0),0)</f>
        <v>#REF!</v>
      </c>
      <c r="CS125" s="341" t="e">
        <f ca="1">-SUM(#REF!)+SUM(#REF!) +Rezone!N125 + IF("Ch_"&amp; home_land=#REF!,#REF!)+IF(#REF!&gt;12,OFFSET(#REF!,-12,0),0)</f>
        <v>#REF!</v>
      </c>
      <c r="CT125" s="167" t="e">
        <f ca="1">-SUM(#REF!)+SUM(#REF!) +Rezone!O125 + IF("Ch_" &amp; home_land=#REF!,#REF!)+IF(#REF!&gt;12,OFFSET(#REF!,-12,0),0)</f>
        <v>#REF!</v>
      </c>
      <c r="CU125" s="168" t="e">
        <f ca="1">-SUM(#REF!)+SUM(#REF!) +Rezone!P125 + IF("Ch_" &amp; home_land=#REF!,#REF!)+IF(#REF!&gt;12,OFFSET(#REF!,-12,0),0)</f>
        <v>#REF!</v>
      </c>
      <c r="CV125" s="169" t="e">
        <f ca="1">- SUM(#REF!)+SUM(#REF!) +Rezone!Q125 + IF("Ch_" &amp; home_land=#REF!,#REF!)+IF(#REF!&gt;12,OFFSET(#REF!,-12,0),0)</f>
        <v>#REF!</v>
      </c>
      <c r="CW125" s="170" t="e">
        <f ca="1">-#REF!+#REF! +Rezone!R125 + IF("Ch_" &amp; home_land=#REF!,#REF!)+IF(#REF!&gt;12,OFFSET(#REF!,-12,0),0)</f>
        <v>#REF!</v>
      </c>
      <c r="CX125" s="3" t="e">
        <f>IF(Explore!S125=1,20) -#REF! +#REF!</f>
        <v>#REF!</v>
      </c>
      <c r="CY125" s="134"/>
      <c r="CZ125" s="39" t="e">
        <f t="shared" ca="1" si="30"/>
        <v>#REF!</v>
      </c>
      <c r="DA125" s="39" t="e">
        <f t="shared" ca="1" si="31"/>
        <v>#REF!</v>
      </c>
      <c r="DB125" s="3" t="e">
        <f t="shared" ca="1" si="32"/>
        <v>#REF!</v>
      </c>
      <c r="DC125" s="39" t="e">
        <f t="shared" ca="1" si="33"/>
        <v>#REF!</v>
      </c>
      <c r="DD125" s="39" t="e">
        <f t="shared" ca="1" si="34"/>
        <v>#REF!</v>
      </c>
      <c r="DE125" s="3" t="e">
        <f t="shared" ca="1" si="35"/>
        <v>#REF!</v>
      </c>
      <c r="DF125" s="39" t="e">
        <f t="shared" ca="1" si="36"/>
        <v>#REF!</v>
      </c>
      <c r="DG125" s="39" t="e">
        <f t="array" ref="DG125">INDEX(#REF!,ROW()-ROW(#REF!),MATCH("Total "&amp;home_land,#REF!,0))+#REF!</f>
        <v>#REF!</v>
      </c>
      <c r="DH125" s="3" t="e">
        <f t="shared" ca="1" si="22"/>
        <v>#REF!</v>
      </c>
      <c r="DI125" s="3" t="e">
        <f t="shared" ca="1" si="19"/>
        <v>#REF!</v>
      </c>
      <c r="DJ125" s="3" t="e">
        <f t="shared" ca="1" si="20"/>
        <v>#REF!</v>
      </c>
    </row>
    <row r="126" spans="1:114" x14ac:dyDescent="0.25">
      <c r="A126" s="160" t="e">
        <f>#REF!</f>
        <v>#REF!</v>
      </c>
      <c r="B126" s="161" t="e">
        <f>SUM(#REF!)</f>
        <v>#REF!</v>
      </c>
      <c r="C126" s="162" t="e">
        <f>SUM(#REF!)</f>
        <v>#REF!</v>
      </c>
      <c r="D126" s="162">
        <f t="shared" si="21"/>
        <v>0</v>
      </c>
      <c r="E126" s="163"/>
      <c r="F126" s="61" t="e">
        <f>#REF!+#REF!+#REF!</f>
        <v>#REF!</v>
      </c>
      <c r="G126" s="171" t="e">
        <f ca="1">OFFSET(#REF!,-1,0)+#REF!</f>
        <v>#REF!</v>
      </c>
      <c r="H126" s="166" t="e">
        <f ca="1">OFFSET(#REF!,-1,0)+#REF!</f>
        <v>#REF!</v>
      </c>
      <c r="I126" s="341" t="e">
        <f ca="1">OFFSET(#REF!,-1,0)+#REF!</f>
        <v>#REF!</v>
      </c>
      <c r="J126" s="345" t="e">
        <f ca="1">OFFSET(#REF!,-1,0)+#REF!</f>
        <v>#REF!</v>
      </c>
      <c r="K126" s="349" t="e">
        <f ca="1">OFFSET(#REF!,-1,0)+#REF!</f>
        <v>#REF!</v>
      </c>
      <c r="L126" s="169" t="e">
        <f ca="1">OFFSET(#REF!,-1,0)+#REF!</f>
        <v>#REF!</v>
      </c>
      <c r="M126" s="170" t="e">
        <f ca="1">OFFSET(#REF!,-1,0)+#REF!</f>
        <v>#REF!</v>
      </c>
      <c r="N126" s="339" t="e">
        <f>#REF!</f>
        <v>#REF!</v>
      </c>
      <c r="O126" s="164"/>
      <c r="P126" s="164"/>
      <c r="Q126" s="164"/>
      <c r="R126" s="164"/>
      <c r="S126" s="164"/>
      <c r="T126" s="164"/>
      <c r="U126" s="164"/>
      <c r="V126" s="164"/>
      <c r="W126" s="164"/>
      <c r="X126" s="164"/>
      <c r="Y126" s="164"/>
      <c r="Z126" s="164"/>
      <c r="AA126" s="164"/>
      <c r="AB126" s="164"/>
      <c r="AC126" s="164"/>
      <c r="AD126" s="164"/>
      <c r="AE126" s="164"/>
      <c r="AF126" s="164"/>
      <c r="AG126" s="164"/>
      <c r="AH126" s="53" t="e">
        <f>#REF!</f>
        <v>#REF!</v>
      </c>
      <c r="AI126" s="132" t="e">
        <f>MIN(25%,(#REF!+#REF!)/(#REF!-#REF!*20))</f>
        <v>#REF!</v>
      </c>
      <c r="AJ126" s="132" t="e">
        <f>MIN(25%,(#REF!+#REF!)/#REF!)</f>
        <v>#REF!</v>
      </c>
      <c r="AK126" s="39" t="e">
        <f>#REF!</f>
        <v>#REF!</v>
      </c>
      <c r="AL126" s="39" t="e">
        <f>#REF!</f>
        <v>#REF!</v>
      </c>
      <c r="AM126" s="39" t="e">
        <f>ROUNDDOWN( MAX((1 - MIN(facs_constr_factor*#REF!,facs_constr_max) + tech_2_3*#REF! + tech_2_6_2*#REF! + tech_2_10*#REF! + tech_4_6*#REF! + tech_6_3*#REF! + tech_9_2*#REF! + race_construction_cost), 1-global_constr_cap) *#REF!,0)</f>
        <v>#REF!</v>
      </c>
      <c r="AN126" s="39" t="e">
        <f>ROUNDDOWN( MAX(1 - MIN(facs_constr_factor*#REF!,facs_constr_max) + tech_1_11*#REF! + tech_6_3_2*#REF! + tech_5_2_3*#REF!, 1-global_constr_cap) *#REF!,0)</f>
        <v>#REF!</v>
      </c>
      <c r="AO126" s="39" t="e">
        <f>ROUNDDOWN( MAX((1 - MIN(facs_constr_factor*#REF!,facs_constr_max) + tech_2_3*#REF! + tech_2_6_2*#REF! + tech_2_10*#REF! + tech_4_6*#REF! + tech_6_3*#REF! + tech_9_2*#REF! + race_construction_cost), 1-global_constr_cap) * (ROUND((#REF!-250)*1.25 + 850 + 0,0)),0)</f>
        <v>#REF!</v>
      </c>
      <c r="AP126" s="39" t="e">
        <f>ROUNDDOWN( MAX(1 - MIN(facs_constr_factor*#REF!,facs_constr_max) + tech_1_11*#REF! + tech_6_3_2*#REF! + tech_5_2_3*#REF!, 1-global_constr_cap) * ROUND((#REF!-250)*0.285 + 87.5 + 0/4.25,0),0)</f>
        <v>#REF!</v>
      </c>
      <c r="AQ126" s="3" t="e">
        <f>#REF!*#REF! +#REF! *#REF!</f>
        <v>#REF!</v>
      </c>
      <c r="AR126" s="3" t="e">
        <f>#REF!*#REF!+#REF!*#REF!</f>
        <v>#REF!</v>
      </c>
      <c r="AS126" s="39" t="e">
        <f ca="1">MIN(SUM(OFFSET(#REF!,-1,0))+SUM(#REF!)+IF(#REF!&gt;12,SUM(OFFSET(#REF!,-12,0)),0),SUM(#REF!))</f>
        <v>#REF!</v>
      </c>
      <c r="AT126" s="3" t="e">
        <f ca="1">IF(#REF!&lt;&gt;0,MAX(0, MIN(20, 20 + SUM(#REF!) - SUM(#REF!) - SUM(OFFSET(#REF!,-1,0)) - IF(#REF!&gt;12,SUM(OFFSET(#REF!,-12,0)),0) - 20*#REF!)),0)</f>
        <v>#REF!</v>
      </c>
      <c r="AU126" s="134"/>
      <c r="AV126" s="39" t="e">
        <f>ROUND((#REF!-250 - IF(#REF!&lt;&gt;0,20,0))*1.25 + 850 + 0,0)</f>
        <v>#REF!</v>
      </c>
      <c r="AW126" s="39" t="e">
        <f>ROUND((#REF!-250 - IF(#REF!&lt;&gt;0,20,0))*0.285 + 87.5 + 0/4.25,0)</f>
        <v>#REF!</v>
      </c>
      <c r="AX126" s="133"/>
      <c r="AY126" s="172" t="e">
        <f t="array" aca="1" ref="AY126" ca="1">IF(#REF!&gt;12,OFFSET(#REF!,-12,0),0)+OFFSET(#REF!,-1,0)-#REF!</f>
        <v>#REF!</v>
      </c>
      <c r="AZ126" s="173" t="e">
        <f t="array" aca="1" ref="AZ126" ca="1">IF(#REF!&gt;12,OFFSET(#REF!,-12,0),0)+OFFSET(#REF!,-1,0)-#REF!</f>
        <v>#REF!</v>
      </c>
      <c r="BA126" s="173" t="e">
        <f t="array" aca="1" ref="BA126" ca="1">IF(#REF!&gt;12,OFFSET(#REF!,-12,0),0)+OFFSET(#REF!,-1,0)-#REF!</f>
        <v>#REF!</v>
      </c>
      <c r="BB126" s="173" t="e">
        <f t="array" aca="1" ref="BB126" ca="1">IF(#REF!&gt;12,OFFSET(#REF!,-12,0),0)+OFFSET(#REF!,-1,0)-#REF!</f>
        <v>#REF!</v>
      </c>
      <c r="BC126" s="173" t="e">
        <f t="array" aca="1" ref="BC126" ca="1">IF(#REF!&gt;12,OFFSET(#REF!,-12,0),0)+OFFSET(#REF!,-1,0)-#REF!</f>
        <v>#REF!</v>
      </c>
      <c r="BD126" s="174" t="e">
        <f t="array" aca="1" ref="BD126" ca="1">IF(#REF!&gt;12,OFFSET(#REF!,-12,0),0)+OFFSET(#REF!,-1,0)-#REF!</f>
        <v>#REF!</v>
      </c>
      <c r="BE126" s="174" t="e">
        <f t="array" aca="1" ref="BE126" ca="1">IF(#REF!&gt;12,OFFSET(#REF!,-12,0),0)+OFFSET(#REF!,-1,0)-#REF!</f>
        <v>#REF!</v>
      </c>
      <c r="BF126" s="343" t="e">
        <f t="array" aca="1" ref="BF126" ca="1">IF(#REF!&gt;12,OFFSET(#REF!,-12,0),0)+OFFSET(#REF!,-1,0)-#REF!</f>
        <v>#REF!</v>
      </c>
      <c r="BG126" s="343" t="e">
        <f t="array" aca="1" ref="BG126" ca="1">IF(#REF!&gt;12,OFFSET(#REF!,-12,0),0)+OFFSET(#REF!,-1,0)-#REF!</f>
        <v>#REF!</v>
      </c>
      <c r="BH126" s="347" t="e">
        <f t="array" aca="1" ref="BH126" ca="1">IF(#REF!&gt;12,OFFSET(#REF!,-12,0),0)+OFFSET(#REF!,-1,0)-#REF!</f>
        <v>#REF!</v>
      </c>
      <c r="BI126" s="347" t="e">
        <f t="array" aca="1" ref="BI126" ca="1">IF(#REF!&gt;12,OFFSET(#REF!,-12,0),0)+OFFSET(#REF!,-1,0)-#REF!</f>
        <v>#REF!</v>
      </c>
      <c r="BJ126" s="347" t="e">
        <f t="array" aca="1" ref="BJ126" ca="1">IF(#REF!&gt;12,OFFSET(#REF!,-12,0),0)+OFFSET(#REF!,-1,0)-#REF!</f>
        <v>#REF!</v>
      </c>
      <c r="BK126" s="347" t="e">
        <f t="array" aca="1" ref="BK126" ca="1">IF(#REF!&gt;12,OFFSET(#REF!,-12,0),0)+OFFSET(#REF!,-1,0)-#REF!</f>
        <v>#REF!</v>
      </c>
      <c r="BL126" s="351" t="e">
        <f t="array" aca="1" ref="BL126" ca="1">IF(#REF!&gt;12,OFFSET(#REF!,-12,0),0)+OFFSET(#REF!,-1,0)-#REF!</f>
        <v>#REF!</v>
      </c>
      <c r="BM126" s="351" t="e">
        <f t="array" aca="1" ref="BM126" ca="1">IF(#REF!&gt;12,OFFSET(#REF!,-12,0),0)+OFFSET(#REF!,-1,0)-#REF!</f>
        <v>#REF!</v>
      </c>
      <c r="BN126" s="351" t="e">
        <f t="array" aca="1" ref="BN126" ca="1">IF(#REF!&gt;12,OFFSET(#REF!,-12,0),0)+OFFSET(#REF!,-1,0)-#REF!</f>
        <v>#REF!</v>
      </c>
      <c r="BO126" s="175" t="e">
        <f t="array" aca="1" ref="BO126" ca="1">IF(#REF!&gt;12,OFFSET(#REF!,-12,0),0)+OFFSET(#REF!,-1,0)-#REF!</f>
        <v>#REF!</v>
      </c>
      <c r="BP126" s="175" t="e">
        <f t="array" aca="1" ref="BP126" ca="1">IF(#REF!&gt;12,OFFSET(#REF!,-12,0),0)+OFFSET(#REF!,-1,0)-#REF!</f>
        <v>#REF!</v>
      </c>
      <c r="BQ126" s="176" t="e">
        <f t="array" aca="1" ref="BQ126" ca="1">IF(#REF!&gt;12,OFFSET(#REF!,-12,0),0)+OFFSET(#REF!,-1,0)-#REF!</f>
        <v>#REF!</v>
      </c>
      <c r="BR126" s="134"/>
      <c r="BS126" s="133"/>
      <c r="BT126" s="39" t="e">
        <f>#REF!</f>
        <v>#REF!</v>
      </c>
      <c r="BU126" s="147" t="e">
        <f>#REF!</f>
        <v>#REF!</v>
      </c>
      <c r="BV126" s="134"/>
      <c r="BW126" s="164"/>
      <c r="BX126" s="164"/>
      <c r="BY126" s="164"/>
      <c r="BZ126" s="164"/>
      <c r="CA126" s="164"/>
      <c r="CB126" s="164"/>
      <c r="CC126" s="164"/>
      <c r="CD126" s="164"/>
      <c r="CE126" s="164"/>
      <c r="CF126" s="164"/>
      <c r="CG126" s="164"/>
      <c r="CH126" s="164"/>
      <c r="CI126" s="164"/>
      <c r="CJ126" s="164"/>
      <c r="CK126" s="164"/>
      <c r="CL126" s="164"/>
      <c r="CM126" s="164"/>
      <c r="CN126" s="164"/>
      <c r="CO126" s="164"/>
      <c r="CP126" s="134"/>
      <c r="CQ126" s="165" t="e">
        <f ca="1">-SUM(#REF!)+SUM(#REF!)+Rezone!L126+IF("Ch_"&amp; home_land=#REF!,#REF!)+IF(#REF!&gt;12,OFFSET(#REF!,-12,0),0)</f>
        <v>#REF!</v>
      </c>
      <c r="CR126" s="166" t="e">
        <f ca="1">-SUM(#REF!)+SUM(#REF!) +Rezone!M126 + IF("Ch_"&amp; home_land=#REF!,#REF!)+IF(#REF!&gt;12,OFFSET(#REF!,-12,0),0)</f>
        <v>#REF!</v>
      </c>
      <c r="CS126" s="341" t="e">
        <f ca="1">-SUM(#REF!)+SUM(#REF!) +Rezone!N126 + IF("Ch_"&amp; home_land=#REF!,#REF!)+IF(#REF!&gt;12,OFFSET(#REF!,-12,0),0)</f>
        <v>#REF!</v>
      </c>
      <c r="CT126" s="167" t="e">
        <f ca="1">-SUM(#REF!)+SUM(#REF!) +Rezone!O126 + IF("Ch_" &amp; home_land=#REF!,#REF!)+IF(#REF!&gt;12,OFFSET(#REF!,-12,0),0)</f>
        <v>#REF!</v>
      </c>
      <c r="CU126" s="168" t="e">
        <f ca="1">-SUM(#REF!)+SUM(#REF!) +Rezone!P126 + IF("Ch_" &amp; home_land=#REF!,#REF!)+IF(#REF!&gt;12,OFFSET(#REF!,-12,0),0)</f>
        <v>#REF!</v>
      </c>
      <c r="CV126" s="169" t="e">
        <f ca="1">- SUM(#REF!)+SUM(#REF!) +Rezone!Q126 + IF("Ch_" &amp; home_land=#REF!,#REF!)+IF(#REF!&gt;12,OFFSET(#REF!,-12,0),0)</f>
        <v>#REF!</v>
      </c>
      <c r="CW126" s="170" t="e">
        <f ca="1">-#REF!+#REF! +Rezone!R126 + IF("Ch_" &amp; home_land=#REF!,#REF!)+IF(#REF!&gt;12,OFFSET(#REF!,-12,0),0)</f>
        <v>#REF!</v>
      </c>
      <c r="CX126" s="3" t="e">
        <f>IF(Explore!S126=1,20) -#REF! +#REF!</f>
        <v>#REF!</v>
      </c>
      <c r="CY126" s="134"/>
      <c r="CZ126" s="39" t="e">
        <f t="shared" ca="1" si="30"/>
        <v>#REF!</v>
      </c>
      <c r="DA126" s="39" t="e">
        <f t="shared" ca="1" si="31"/>
        <v>#REF!</v>
      </c>
      <c r="DB126" s="3" t="e">
        <f t="shared" ca="1" si="32"/>
        <v>#REF!</v>
      </c>
      <c r="DC126" s="39" t="e">
        <f t="shared" ca="1" si="33"/>
        <v>#REF!</v>
      </c>
      <c r="DD126" s="39" t="e">
        <f t="shared" ca="1" si="34"/>
        <v>#REF!</v>
      </c>
      <c r="DE126" s="3" t="e">
        <f t="shared" ca="1" si="35"/>
        <v>#REF!</v>
      </c>
      <c r="DF126" s="39" t="e">
        <f t="shared" ca="1" si="36"/>
        <v>#REF!</v>
      </c>
      <c r="DG126" s="39" t="e">
        <f t="array" ref="DG126">INDEX(#REF!,ROW()-ROW(#REF!),MATCH("Total "&amp;home_land,#REF!,0))+#REF!</f>
        <v>#REF!</v>
      </c>
      <c r="DH126" s="3" t="e">
        <f t="shared" ca="1" si="22"/>
        <v>#REF!</v>
      </c>
      <c r="DI126" s="3" t="e">
        <f t="shared" ca="1" si="19"/>
        <v>#REF!</v>
      </c>
      <c r="DJ126" s="3" t="e">
        <f t="shared" ca="1" si="20"/>
        <v>#REF!</v>
      </c>
    </row>
    <row r="127" spans="1:114" x14ac:dyDescent="0.25">
      <c r="A127" s="160" t="e">
        <f>#REF!</f>
        <v>#REF!</v>
      </c>
      <c r="B127" s="161" t="e">
        <f>SUM(#REF!)</f>
        <v>#REF!</v>
      </c>
      <c r="C127" s="162" t="e">
        <f>SUM(#REF!)</f>
        <v>#REF!</v>
      </c>
      <c r="D127" s="162">
        <f t="shared" si="21"/>
        <v>0</v>
      </c>
      <c r="E127" s="163"/>
      <c r="F127" s="61" t="e">
        <f>#REF!+#REF!+#REF!</f>
        <v>#REF!</v>
      </c>
      <c r="G127" s="171" t="e">
        <f ca="1">OFFSET(#REF!,-1,0)+#REF!</f>
        <v>#REF!</v>
      </c>
      <c r="H127" s="166" t="e">
        <f ca="1">OFFSET(#REF!,-1,0)+#REF!</f>
        <v>#REF!</v>
      </c>
      <c r="I127" s="341" t="e">
        <f ca="1">OFFSET(#REF!,-1,0)+#REF!</f>
        <v>#REF!</v>
      </c>
      <c r="J127" s="345" t="e">
        <f ca="1">OFFSET(#REF!,-1,0)+#REF!</f>
        <v>#REF!</v>
      </c>
      <c r="K127" s="349" t="e">
        <f ca="1">OFFSET(#REF!,-1,0)+#REF!</f>
        <v>#REF!</v>
      </c>
      <c r="L127" s="169" t="e">
        <f ca="1">OFFSET(#REF!,-1,0)+#REF!</f>
        <v>#REF!</v>
      </c>
      <c r="M127" s="170" t="e">
        <f ca="1">OFFSET(#REF!,-1,0)+#REF!</f>
        <v>#REF!</v>
      </c>
      <c r="N127" s="339" t="e">
        <f>#REF!</f>
        <v>#REF!</v>
      </c>
      <c r="O127" s="164"/>
      <c r="P127" s="164"/>
      <c r="Q127" s="164"/>
      <c r="R127" s="164"/>
      <c r="S127" s="164"/>
      <c r="T127" s="164"/>
      <c r="U127" s="164"/>
      <c r="V127" s="164"/>
      <c r="W127" s="164"/>
      <c r="X127" s="164"/>
      <c r="Y127" s="164"/>
      <c r="Z127" s="164"/>
      <c r="AA127" s="164"/>
      <c r="AB127" s="164"/>
      <c r="AC127" s="164"/>
      <c r="AD127" s="164"/>
      <c r="AE127" s="164"/>
      <c r="AF127" s="164"/>
      <c r="AG127" s="164"/>
      <c r="AH127" s="53" t="e">
        <f>#REF!</f>
        <v>#REF!</v>
      </c>
      <c r="AI127" s="132" t="e">
        <f>MIN(25%,(#REF!+#REF!)/(#REF!-#REF!*20))</f>
        <v>#REF!</v>
      </c>
      <c r="AJ127" s="132" t="e">
        <f>MIN(25%,(#REF!+#REF!)/#REF!)</f>
        <v>#REF!</v>
      </c>
      <c r="AK127" s="39" t="e">
        <f>#REF!</f>
        <v>#REF!</v>
      </c>
      <c r="AL127" s="39" t="e">
        <f>#REF!</f>
        <v>#REF!</v>
      </c>
      <c r="AM127" s="39" t="e">
        <f>ROUNDDOWN( MAX((1 - MIN(facs_constr_factor*#REF!,facs_constr_max) + tech_2_3*#REF! + tech_2_6_2*#REF! + tech_2_10*#REF! + tech_4_6*#REF! + tech_6_3*#REF! + tech_9_2*#REF! + race_construction_cost), 1-global_constr_cap) *#REF!,0)</f>
        <v>#REF!</v>
      </c>
      <c r="AN127" s="39" t="e">
        <f>ROUNDDOWN( MAX(1 - MIN(facs_constr_factor*#REF!,facs_constr_max) + tech_1_11*#REF! + tech_6_3_2*#REF! + tech_5_2_3*#REF!, 1-global_constr_cap) *#REF!,0)</f>
        <v>#REF!</v>
      </c>
      <c r="AO127" s="39" t="e">
        <f>ROUNDDOWN( MAX((1 - MIN(facs_constr_factor*#REF!,facs_constr_max) + tech_2_3*#REF! + tech_2_6_2*#REF! + tech_2_10*#REF! + tech_4_6*#REF! + tech_6_3*#REF! + tech_9_2*#REF! + race_construction_cost), 1-global_constr_cap) * (ROUND((#REF!-250)*1.25 + 850 + 0,0)),0)</f>
        <v>#REF!</v>
      </c>
      <c r="AP127" s="39" t="e">
        <f>ROUNDDOWN( MAX(1 - MIN(facs_constr_factor*#REF!,facs_constr_max) + tech_1_11*#REF! + tech_6_3_2*#REF! + tech_5_2_3*#REF!, 1-global_constr_cap) * ROUND((#REF!-250)*0.285 + 87.5 + 0/4.25,0),0)</f>
        <v>#REF!</v>
      </c>
      <c r="AQ127" s="3" t="e">
        <f>#REF!*#REF! +#REF! *#REF!</f>
        <v>#REF!</v>
      </c>
      <c r="AR127" s="3" t="e">
        <f>#REF!*#REF!+#REF!*#REF!</f>
        <v>#REF!</v>
      </c>
      <c r="AS127" s="39" t="e">
        <f ca="1">MIN(SUM(OFFSET(#REF!,-1,0))+SUM(#REF!)+IF(#REF!&gt;12,SUM(OFFSET(#REF!,-12,0)),0),SUM(#REF!))</f>
        <v>#REF!</v>
      </c>
      <c r="AT127" s="3" t="e">
        <f ca="1">IF(#REF!&lt;&gt;0,MAX(0, MIN(20, 20 + SUM(#REF!) - SUM(#REF!) - SUM(OFFSET(#REF!,-1,0)) - IF(#REF!&gt;12,SUM(OFFSET(#REF!,-12,0)),0) - 20*#REF!)),0)</f>
        <v>#REF!</v>
      </c>
      <c r="AU127" s="134"/>
      <c r="AV127" s="39" t="e">
        <f>ROUND((#REF!-250 - IF(#REF!&lt;&gt;0,20,0))*1.25 + 850 + 0,0)</f>
        <v>#REF!</v>
      </c>
      <c r="AW127" s="39" t="e">
        <f>ROUND((#REF!-250 - IF(#REF!&lt;&gt;0,20,0))*0.285 + 87.5 + 0/4.25,0)</f>
        <v>#REF!</v>
      </c>
      <c r="AX127" s="133"/>
      <c r="AY127" s="172" t="e">
        <f t="array" aca="1" ref="AY127" ca="1">IF(#REF!&gt;12,OFFSET(#REF!,-12,0),0)+OFFSET(#REF!,-1,0)-#REF!</f>
        <v>#REF!</v>
      </c>
      <c r="AZ127" s="173" t="e">
        <f t="array" aca="1" ref="AZ127" ca="1">IF(#REF!&gt;12,OFFSET(#REF!,-12,0),0)+OFFSET(#REF!,-1,0)-#REF!</f>
        <v>#REF!</v>
      </c>
      <c r="BA127" s="173" t="e">
        <f t="array" aca="1" ref="BA127" ca="1">IF(#REF!&gt;12,OFFSET(#REF!,-12,0),0)+OFFSET(#REF!,-1,0)-#REF!</f>
        <v>#REF!</v>
      </c>
      <c r="BB127" s="173" t="e">
        <f t="array" aca="1" ref="BB127" ca="1">IF(#REF!&gt;12,OFFSET(#REF!,-12,0),0)+OFFSET(#REF!,-1,0)-#REF!</f>
        <v>#REF!</v>
      </c>
      <c r="BC127" s="173" t="e">
        <f t="array" aca="1" ref="BC127" ca="1">IF(#REF!&gt;12,OFFSET(#REF!,-12,0),0)+OFFSET(#REF!,-1,0)-#REF!</f>
        <v>#REF!</v>
      </c>
      <c r="BD127" s="174" t="e">
        <f t="array" aca="1" ref="BD127" ca="1">IF(#REF!&gt;12,OFFSET(#REF!,-12,0),0)+OFFSET(#REF!,-1,0)-#REF!</f>
        <v>#REF!</v>
      </c>
      <c r="BE127" s="174" t="e">
        <f t="array" aca="1" ref="BE127" ca="1">IF(#REF!&gt;12,OFFSET(#REF!,-12,0),0)+OFFSET(#REF!,-1,0)-#REF!</f>
        <v>#REF!</v>
      </c>
      <c r="BF127" s="343" t="e">
        <f t="array" aca="1" ref="BF127" ca="1">IF(#REF!&gt;12,OFFSET(#REF!,-12,0),0)+OFFSET(#REF!,-1,0)-#REF!</f>
        <v>#REF!</v>
      </c>
      <c r="BG127" s="343" t="e">
        <f t="array" aca="1" ref="BG127" ca="1">IF(#REF!&gt;12,OFFSET(#REF!,-12,0),0)+OFFSET(#REF!,-1,0)-#REF!</f>
        <v>#REF!</v>
      </c>
      <c r="BH127" s="347" t="e">
        <f t="array" aca="1" ref="BH127" ca="1">IF(#REF!&gt;12,OFFSET(#REF!,-12,0),0)+OFFSET(#REF!,-1,0)-#REF!</f>
        <v>#REF!</v>
      </c>
      <c r="BI127" s="347" t="e">
        <f t="array" aca="1" ref="BI127" ca="1">IF(#REF!&gt;12,OFFSET(#REF!,-12,0),0)+OFFSET(#REF!,-1,0)-#REF!</f>
        <v>#REF!</v>
      </c>
      <c r="BJ127" s="347" t="e">
        <f t="array" aca="1" ref="BJ127" ca="1">IF(#REF!&gt;12,OFFSET(#REF!,-12,0),0)+OFFSET(#REF!,-1,0)-#REF!</f>
        <v>#REF!</v>
      </c>
      <c r="BK127" s="347" t="e">
        <f t="array" aca="1" ref="BK127" ca="1">IF(#REF!&gt;12,OFFSET(#REF!,-12,0),0)+OFFSET(#REF!,-1,0)-#REF!</f>
        <v>#REF!</v>
      </c>
      <c r="BL127" s="351" t="e">
        <f t="array" aca="1" ref="BL127" ca="1">IF(#REF!&gt;12,OFFSET(#REF!,-12,0),0)+OFFSET(#REF!,-1,0)-#REF!</f>
        <v>#REF!</v>
      </c>
      <c r="BM127" s="351" t="e">
        <f t="array" aca="1" ref="BM127" ca="1">IF(#REF!&gt;12,OFFSET(#REF!,-12,0),0)+OFFSET(#REF!,-1,0)-#REF!</f>
        <v>#REF!</v>
      </c>
      <c r="BN127" s="351" t="e">
        <f t="array" aca="1" ref="BN127" ca="1">IF(#REF!&gt;12,OFFSET(#REF!,-12,0),0)+OFFSET(#REF!,-1,0)-#REF!</f>
        <v>#REF!</v>
      </c>
      <c r="BO127" s="175" t="e">
        <f t="array" aca="1" ref="BO127" ca="1">IF(#REF!&gt;12,OFFSET(#REF!,-12,0),0)+OFFSET(#REF!,-1,0)-#REF!</f>
        <v>#REF!</v>
      </c>
      <c r="BP127" s="175" t="e">
        <f t="array" aca="1" ref="BP127" ca="1">IF(#REF!&gt;12,OFFSET(#REF!,-12,0),0)+OFFSET(#REF!,-1,0)-#REF!</f>
        <v>#REF!</v>
      </c>
      <c r="BQ127" s="176" t="e">
        <f t="array" aca="1" ref="BQ127" ca="1">IF(#REF!&gt;12,OFFSET(#REF!,-12,0),0)+OFFSET(#REF!,-1,0)-#REF!</f>
        <v>#REF!</v>
      </c>
      <c r="BR127" s="134"/>
      <c r="BS127" s="133"/>
      <c r="BT127" s="39" t="e">
        <f>#REF!</f>
        <v>#REF!</v>
      </c>
      <c r="BU127" s="147" t="e">
        <f>#REF!</f>
        <v>#REF!</v>
      </c>
      <c r="BV127" s="134"/>
      <c r="BW127" s="164"/>
      <c r="BX127" s="164"/>
      <c r="BY127" s="164"/>
      <c r="BZ127" s="164"/>
      <c r="CA127" s="164"/>
      <c r="CB127" s="164"/>
      <c r="CC127" s="164"/>
      <c r="CD127" s="164"/>
      <c r="CE127" s="164"/>
      <c r="CF127" s="164"/>
      <c r="CG127" s="164"/>
      <c r="CH127" s="164"/>
      <c r="CI127" s="164"/>
      <c r="CJ127" s="164"/>
      <c r="CK127" s="164"/>
      <c r="CL127" s="164"/>
      <c r="CM127" s="164"/>
      <c r="CN127" s="164"/>
      <c r="CO127" s="164"/>
      <c r="CP127" s="134"/>
      <c r="CQ127" s="165" t="e">
        <f ca="1">-SUM(#REF!)+SUM(#REF!)+Rezone!L127+IF("Ch_"&amp; home_land=#REF!,#REF!)+IF(#REF!&gt;12,OFFSET(#REF!,-12,0),0)</f>
        <v>#REF!</v>
      </c>
      <c r="CR127" s="166" t="e">
        <f ca="1">-SUM(#REF!)+SUM(#REF!) +Rezone!M127 + IF("Ch_"&amp; home_land=#REF!,#REF!)+IF(#REF!&gt;12,OFFSET(#REF!,-12,0),0)</f>
        <v>#REF!</v>
      </c>
      <c r="CS127" s="341" t="e">
        <f ca="1">-SUM(#REF!)+SUM(#REF!) +Rezone!N127 + IF("Ch_"&amp; home_land=#REF!,#REF!)+IF(#REF!&gt;12,OFFSET(#REF!,-12,0),0)</f>
        <v>#REF!</v>
      </c>
      <c r="CT127" s="167" t="e">
        <f ca="1">-SUM(#REF!)+SUM(#REF!) +Rezone!O127 + IF("Ch_" &amp; home_land=#REF!,#REF!)+IF(#REF!&gt;12,OFFSET(#REF!,-12,0),0)</f>
        <v>#REF!</v>
      </c>
      <c r="CU127" s="168" t="e">
        <f ca="1">-SUM(#REF!)+SUM(#REF!) +Rezone!P127 + IF("Ch_" &amp; home_land=#REF!,#REF!)+IF(#REF!&gt;12,OFFSET(#REF!,-12,0),0)</f>
        <v>#REF!</v>
      </c>
      <c r="CV127" s="169" t="e">
        <f ca="1">- SUM(#REF!)+SUM(#REF!) +Rezone!Q127 + IF("Ch_" &amp; home_land=#REF!,#REF!)+IF(#REF!&gt;12,OFFSET(#REF!,-12,0),0)</f>
        <v>#REF!</v>
      </c>
      <c r="CW127" s="170" t="e">
        <f ca="1">-#REF!+#REF! +Rezone!R127 + IF("Ch_" &amp; home_land=#REF!,#REF!)+IF(#REF!&gt;12,OFFSET(#REF!,-12,0),0)</f>
        <v>#REF!</v>
      </c>
      <c r="CX127" s="3" t="e">
        <f>IF(Explore!S127=1,20) -#REF! +#REF!</f>
        <v>#REF!</v>
      </c>
      <c r="CY127" s="134"/>
      <c r="CZ127" s="39" t="e">
        <f t="shared" ca="1" si="30"/>
        <v>#REF!</v>
      </c>
      <c r="DA127" s="39" t="e">
        <f t="shared" ca="1" si="31"/>
        <v>#REF!</v>
      </c>
      <c r="DB127" s="3" t="e">
        <f t="shared" ca="1" si="32"/>
        <v>#REF!</v>
      </c>
      <c r="DC127" s="39" t="e">
        <f t="shared" ca="1" si="33"/>
        <v>#REF!</v>
      </c>
      <c r="DD127" s="39" t="e">
        <f t="shared" ca="1" si="34"/>
        <v>#REF!</v>
      </c>
      <c r="DE127" s="3" t="e">
        <f t="shared" ca="1" si="35"/>
        <v>#REF!</v>
      </c>
      <c r="DF127" s="39" t="e">
        <f t="shared" ca="1" si="36"/>
        <v>#REF!</v>
      </c>
      <c r="DG127" s="39" t="e">
        <f t="array" ref="DG127">INDEX(#REF!,ROW()-ROW(#REF!),MATCH("Total "&amp;home_land,#REF!,0))+#REF!</f>
        <v>#REF!</v>
      </c>
      <c r="DH127" s="3" t="e">
        <f t="shared" ca="1" si="22"/>
        <v>#REF!</v>
      </c>
      <c r="DI127" s="3" t="e">
        <f t="shared" ca="1" si="19"/>
        <v>#REF!</v>
      </c>
      <c r="DJ127" s="3" t="e">
        <f t="shared" ca="1" si="20"/>
        <v>#REF!</v>
      </c>
    </row>
    <row r="128" spans="1:114" x14ac:dyDescent="0.25">
      <c r="A128" s="160" t="e">
        <f>#REF!</f>
        <v>#REF!</v>
      </c>
      <c r="B128" s="161" t="e">
        <f>SUM(#REF!)</f>
        <v>#REF!</v>
      </c>
      <c r="C128" s="162" t="e">
        <f>SUM(#REF!)</f>
        <v>#REF!</v>
      </c>
      <c r="D128" s="162">
        <f t="shared" si="21"/>
        <v>0</v>
      </c>
      <c r="E128" s="163"/>
      <c r="F128" s="61" t="e">
        <f>#REF!+#REF!+#REF!</f>
        <v>#REF!</v>
      </c>
      <c r="G128" s="171" t="e">
        <f ca="1">OFFSET(#REF!,-1,0)+#REF!</f>
        <v>#REF!</v>
      </c>
      <c r="H128" s="166" t="e">
        <f ca="1">OFFSET(#REF!,-1,0)+#REF!</f>
        <v>#REF!</v>
      </c>
      <c r="I128" s="341" t="e">
        <f ca="1">OFFSET(#REF!,-1,0)+#REF!</f>
        <v>#REF!</v>
      </c>
      <c r="J128" s="345" t="e">
        <f ca="1">OFFSET(#REF!,-1,0)+#REF!</f>
        <v>#REF!</v>
      </c>
      <c r="K128" s="349" t="e">
        <f ca="1">OFFSET(#REF!,-1,0)+#REF!</f>
        <v>#REF!</v>
      </c>
      <c r="L128" s="169" t="e">
        <f ca="1">OFFSET(#REF!,-1,0)+#REF!</f>
        <v>#REF!</v>
      </c>
      <c r="M128" s="170" t="e">
        <f ca="1">OFFSET(#REF!,-1,0)+#REF!</f>
        <v>#REF!</v>
      </c>
      <c r="N128" s="339" t="e">
        <f>#REF!</f>
        <v>#REF!</v>
      </c>
      <c r="O128" s="164"/>
      <c r="P128" s="164"/>
      <c r="Q128" s="164"/>
      <c r="R128" s="164"/>
      <c r="S128" s="164"/>
      <c r="T128" s="164"/>
      <c r="U128" s="164"/>
      <c r="V128" s="164"/>
      <c r="W128" s="164"/>
      <c r="X128" s="164"/>
      <c r="Y128" s="164"/>
      <c r="Z128" s="164"/>
      <c r="AA128" s="164"/>
      <c r="AB128" s="164"/>
      <c r="AC128" s="164"/>
      <c r="AD128" s="164"/>
      <c r="AE128" s="164"/>
      <c r="AF128" s="164"/>
      <c r="AG128" s="164"/>
      <c r="AH128" s="53" t="e">
        <f>#REF!</f>
        <v>#REF!</v>
      </c>
      <c r="AI128" s="132" t="e">
        <f>MIN(25%,(#REF!+#REF!)/(#REF!-#REF!*20))</f>
        <v>#REF!</v>
      </c>
      <c r="AJ128" s="132" t="e">
        <f>MIN(25%,(#REF!+#REF!)/#REF!)</f>
        <v>#REF!</v>
      </c>
      <c r="AK128" s="39" t="e">
        <f>#REF!</f>
        <v>#REF!</v>
      </c>
      <c r="AL128" s="39" t="e">
        <f>#REF!</f>
        <v>#REF!</v>
      </c>
      <c r="AM128" s="39" t="e">
        <f>ROUNDDOWN( MAX((1 - MIN(facs_constr_factor*#REF!,facs_constr_max) + tech_2_3*#REF! + tech_2_6_2*#REF! + tech_2_10*#REF! + tech_4_6*#REF! + tech_6_3*#REF! + tech_9_2*#REF! + race_construction_cost), 1-global_constr_cap) *#REF!,0)</f>
        <v>#REF!</v>
      </c>
      <c r="AN128" s="39" t="e">
        <f>ROUNDDOWN( MAX(1 - MIN(facs_constr_factor*#REF!,facs_constr_max) + tech_1_11*#REF! + tech_6_3_2*#REF! + tech_5_2_3*#REF!, 1-global_constr_cap) *#REF!,0)</f>
        <v>#REF!</v>
      </c>
      <c r="AO128" s="39" t="e">
        <f>ROUNDDOWN( MAX((1 - MIN(facs_constr_factor*#REF!,facs_constr_max) + tech_2_3*#REF! + tech_2_6_2*#REF! + tech_2_10*#REF! + tech_4_6*#REF! + tech_6_3*#REF! + tech_9_2*#REF! + race_construction_cost), 1-global_constr_cap) * (ROUND((#REF!-250)*1.25 + 850 + 0,0)),0)</f>
        <v>#REF!</v>
      </c>
      <c r="AP128" s="39" t="e">
        <f>ROUNDDOWN( MAX(1 - MIN(facs_constr_factor*#REF!,facs_constr_max) + tech_1_11*#REF! + tech_6_3_2*#REF! + tech_5_2_3*#REF!, 1-global_constr_cap) * ROUND((#REF!-250)*0.285 + 87.5 + 0/4.25,0),0)</f>
        <v>#REF!</v>
      </c>
      <c r="AQ128" s="3" t="e">
        <f>#REF!*#REF! +#REF! *#REF!</f>
        <v>#REF!</v>
      </c>
      <c r="AR128" s="3" t="e">
        <f>#REF!*#REF!+#REF!*#REF!</f>
        <v>#REF!</v>
      </c>
      <c r="AS128" s="39" t="e">
        <f ca="1">MIN(SUM(OFFSET(#REF!,-1,0))+SUM(#REF!)+IF(#REF!&gt;12,SUM(OFFSET(#REF!,-12,0)),0),SUM(#REF!))</f>
        <v>#REF!</v>
      </c>
      <c r="AT128" s="3" t="e">
        <f ca="1">IF(#REF!&lt;&gt;0,MAX(0, MIN(20, 20 + SUM(#REF!) - SUM(#REF!) - SUM(OFFSET(#REF!,-1,0)) - IF(#REF!&gt;12,SUM(OFFSET(#REF!,-12,0)),0) - 20*#REF!)),0)</f>
        <v>#REF!</v>
      </c>
      <c r="AU128" s="134"/>
      <c r="AV128" s="39" t="e">
        <f>ROUND((#REF!-250 - IF(#REF!&lt;&gt;0,20,0))*1.25 + 850 + 0,0)</f>
        <v>#REF!</v>
      </c>
      <c r="AW128" s="39" t="e">
        <f>ROUND((#REF!-250 - IF(#REF!&lt;&gt;0,20,0))*0.285 + 87.5 + 0/4.25,0)</f>
        <v>#REF!</v>
      </c>
      <c r="AX128" s="133"/>
      <c r="AY128" s="172" t="e">
        <f t="array" aca="1" ref="AY128" ca="1">IF(#REF!&gt;12,OFFSET(#REF!,-12,0),0)+OFFSET(#REF!,-1,0)-#REF!</f>
        <v>#REF!</v>
      </c>
      <c r="AZ128" s="173" t="e">
        <f t="array" aca="1" ref="AZ128" ca="1">IF(#REF!&gt;12,OFFSET(#REF!,-12,0),0)+OFFSET(#REF!,-1,0)-#REF!</f>
        <v>#REF!</v>
      </c>
      <c r="BA128" s="173" t="e">
        <f t="array" aca="1" ref="BA128" ca="1">IF(#REF!&gt;12,OFFSET(#REF!,-12,0),0)+OFFSET(#REF!,-1,0)-#REF!</f>
        <v>#REF!</v>
      </c>
      <c r="BB128" s="173" t="e">
        <f t="array" aca="1" ref="BB128" ca="1">IF(#REF!&gt;12,OFFSET(#REF!,-12,0),0)+OFFSET(#REF!,-1,0)-#REF!</f>
        <v>#REF!</v>
      </c>
      <c r="BC128" s="173" t="e">
        <f t="array" aca="1" ref="BC128" ca="1">IF(#REF!&gt;12,OFFSET(#REF!,-12,0),0)+OFFSET(#REF!,-1,0)-#REF!</f>
        <v>#REF!</v>
      </c>
      <c r="BD128" s="174" t="e">
        <f t="array" aca="1" ref="BD128" ca="1">IF(#REF!&gt;12,OFFSET(#REF!,-12,0),0)+OFFSET(#REF!,-1,0)-#REF!</f>
        <v>#REF!</v>
      </c>
      <c r="BE128" s="174" t="e">
        <f t="array" aca="1" ref="BE128" ca="1">IF(#REF!&gt;12,OFFSET(#REF!,-12,0),0)+OFFSET(#REF!,-1,0)-#REF!</f>
        <v>#REF!</v>
      </c>
      <c r="BF128" s="343" t="e">
        <f t="array" aca="1" ref="BF128" ca="1">IF(#REF!&gt;12,OFFSET(#REF!,-12,0),0)+OFFSET(#REF!,-1,0)-#REF!</f>
        <v>#REF!</v>
      </c>
      <c r="BG128" s="343" t="e">
        <f t="array" aca="1" ref="BG128" ca="1">IF(#REF!&gt;12,OFFSET(#REF!,-12,0),0)+OFFSET(#REF!,-1,0)-#REF!</f>
        <v>#REF!</v>
      </c>
      <c r="BH128" s="347" t="e">
        <f t="array" aca="1" ref="BH128" ca="1">IF(#REF!&gt;12,OFFSET(#REF!,-12,0),0)+OFFSET(#REF!,-1,0)-#REF!</f>
        <v>#REF!</v>
      </c>
      <c r="BI128" s="347" t="e">
        <f t="array" aca="1" ref="BI128" ca="1">IF(#REF!&gt;12,OFFSET(#REF!,-12,0),0)+OFFSET(#REF!,-1,0)-#REF!</f>
        <v>#REF!</v>
      </c>
      <c r="BJ128" s="347" t="e">
        <f t="array" aca="1" ref="BJ128" ca="1">IF(#REF!&gt;12,OFFSET(#REF!,-12,0),0)+OFFSET(#REF!,-1,0)-#REF!</f>
        <v>#REF!</v>
      </c>
      <c r="BK128" s="347" t="e">
        <f t="array" aca="1" ref="BK128" ca="1">IF(#REF!&gt;12,OFFSET(#REF!,-12,0),0)+OFFSET(#REF!,-1,0)-#REF!</f>
        <v>#REF!</v>
      </c>
      <c r="BL128" s="351" t="e">
        <f t="array" aca="1" ref="BL128" ca="1">IF(#REF!&gt;12,OFFSET(#REF!,-12,0),0)+OFFSET(#REF!,-1,0)-#REF!</f>
        <v>#REF!</v>
      </c>
      <c r="BM128" s="351" t="e">
        <f t="array" aca="1" ref="BM128" ca="1">IF(#REF!&gt;12,OFFSET(#REF!,-12,0),0)+OFFSET(#REF!,-1,0)-#REF!</f>
        <v>#REF!</v>
      </c>
      <c r="BN128" s="351" t="e">
        <f t="array" aca="1" ref="BN128" ca="1">IF(#REF!&gt;12,OFFSET(#REF!,-12,0),0)+OFFSET(#REF!,-1,0)-#REF!</f>
        <v>#REF!</v>
      </c>
      <c r="BO128" s="175" t="e">
        <f t="array" aca="1" ref="BO128" ca="1">IF(#REF!&gt;12,OFFSET(#REF!,-12,0),0)+OFFSET(#REF!,-1,0)-#REF!</f>
        <v>#REF!</v>
      </c>
      <c r="BP128" s="175" t="e">
        <f t="array" aca="1" ref="BP128" ca="1">IF(#REF!&gt;12,OFFSET(#REF!,-12,0),0)+OFFSET(#REF!,-1,0)-#REF!</f>
        <v>#REF!</v>
      </c>
      <c r="BQ128" s="176" t="e">
        <f t="array" aca="1" ref="BQ128" ca="1">IF(#REF!&gt;12,OFFSET(#REF!,-12,0),0)+OFFSET(#REF!,-1,0)-#REF!</f>
        <v>#REF!</v>
      </c>
      <c r="BR128" s="134"/>
      <c r="BS128" s="133"/>
      <c r="BT128" s="39" t="e">
        <f>#REF!</f>
        <v>#REF!</v>
      </c>
      <c r="BU128" s="147" t="e">
        <f>#REF!</f>
        <v>#REF!</v>
      </c>
      <c r="BV128" s="134"/>
      <c r="BW128" s="164"/>
      <c r="BX128" s="164"/>
      <c r="BY128" s="164"/>
      <c r="BZ128" s="164"/>
      <c r="CA128" s="164"/>
      <c r="CB128" s="164"/>
      <c r="CC128" s="164"/>
      <c r="CD128" s="164"/>
      <c r="CE128" s="164"/>
      <c r="CF128" s="164"/>
      <c r="CG128" s="164"/>
      <c r="CH128" s="164"/>
      <c r="CI128" s="164"/>
      <c r="CJ128" s="164"/>
      <c r="CK128" s="164"/>
      <c r="CL128" s="164"/>
      <c r="CM128" s="164"/>
      <c r="CN128" s="164"/>
      <c r="CO128" s="164"/>
      <c r="CP128" s="134"/>
      <c r="CQ128" s="165" t="e">
        <f ca="1">-SUM(#REF!)+SUM(#REF!)+Rezone!L128+IF("Ch_"&amp; home_land=#REF!,#REF!)+IF(#REF!&gt;12,OFFSET(#REF!,-12,0),0)</f>
        <v>#REF!</v>
      </c>
      <c r="CR128" s="166" t="e">
        <f ca="1">-SUM(#REF!)+SUM(#REF!) +Rezone!M128 + IF("Ch_"&amp; home_land=#REF!,#REF!)+IF(#REF!&gt;12,OFFSET(#REF!,-12,0),0)</f>
        <v>#REF!</v>
      </c>
      <c r="CS128" s="341" t="e">
        <f ca="1">-SUM(#REF!)+SUM(#REF!) +Rezone!N128 + IF("Ch_"&amp; home_land=#REF!,#REF!)+IF(#REF!&gt;12,OFFSET(#REF!,-12,0),0)</f>
        <v>#REF!</v>
      </c>
      <c r="CT128" s="167" t="e">
        <f ca="1">-SUM(#REF!)+SUM(#REF!) +Rezone!O128 + IF("Ch_" &amp; home_land=#REF!,#REF!)+IF(#REF!&gt;12,OFFSET(#REF!,-12,0),0)</f>
        <v>#REF!</v>
      </c>
      <c r="CU128" s="168" t="e">
        <f ca="1">-SUM(#REF!)+SUM(#REF!) +Rezone!P128 + IF("Ch_" &amp; home_land=#REF!,#REF!)+IF(#REF!&gt;12,OFFSET(#REF!,-12,0),0)</f>
        <v>#REF!</v>
      </c>
      <c r="CV128" s="169" t="e">
        <f ca="1">- SUM(#REF!)+SUM(#REF!) +Rezone!Q128 + IF("Ch_" &amp; home_land=#REF!,#REF!)+IF(#REF!&gt;12,OFFSET(#REF!,-12,0),0)</f>
        <v>#REF!</v>
      </c>
      <c r="CW128" s="170" t="e">
        <f ca="1">-#REF!+#REF! +Rezone!R128 + IF("Ch_" &amp; home_land=#REF!,#REF!)+IF(#REF!&gt;12,OFFSET(#REF!,-12,0),0)</f>
        <v>#REF!</v>
      </c>
      <c r="CX128" s="3" t="e">
        <f>IF(Explore!S128=1,20) -#REF! +#REF!</f>
        <v>#REF!</v>
      </c>
      <c r="CY128" s="134"/>
      <c r="CZ128" s="39" t="e">
        <f t="shared" ca="1" si="30"/>
        <v>#REF!</v>
      </c>
      <c r="DA128" s="39" t="e">
        <f t="shared" ca="1" si="31"/>
        <v>#REF!</v>
      </c>
      <c r="DB128" s="3" t="e">
        <f t="shared" ca="1" si="32"/>
        <v>#REF!</v>
      </c>
      <c r="DC128" s="39" t="e">
        <f t="shared" ca="1" si="33"/>
        <v>#REF!</v>
      </c>
      <c r="DD128" s="39" t="e">
        <f t="shared" ca="1" si="34"/>
        <v>#REF!</v>
      </c>
      <c r="DE128" s="3" t="e">
        <f t="shared" ca="1" si="35"/>
        <v>#REF!</v>
      </c>
      <c r="DF128" s="39" t="e">
        <f t="shared" ca="1" si="36"/>
        <v>#REF!</v>
      </c>
      <c r="DG128" s="39" t="e">
        <f t="array" ref="DG128">INDEX(#REF!,ROW()-ROW(#REF!),MATCH("Total "&amp;home_land,#REF!,0))+#REF!</f>
        <v>#REF!</v>
      </c>
      <c r="DH128" s="3" t="e">
        <f t="shared" ca="1" si="22"/>
        <v>#REF!</v>
      </c>
      <c r="DI128" s="3" t="e">
        <f t="shared" ca="1" si="19"/>
        <v>#REF!</v>
      </c>
      <c r="DJ128" s="3" t="e">
        <f t="shared" ca="1" si="20"/>
        <v>#REF!</v>
      </c>
    </row>
    <row r="129" spans="1:114" x14ac:dyDescent="0.25">
      <c r="A129" s="160" t="e">
        <f>#REF!</f>
        <v>#REF!</v>
      </c>
      <c r="B129" s="161" t="e">
        <f>SUM(#REF!)</f>
        <v>#REF!</v>
      </c>
      <c r="C129" s="162" t="e">
        <f>SUM(#REF!)</f>
        <v>#REF!</v>
      </c>
      <c r="D129" s="162">
        <f t="shared" si="21"/>
        <v>0</v>
      </c>
      <c r="E129" s="163"/>
      <c r="F129" s="61" t="e">
        <f>#REF!+#REF!+#REF!</f>
        <v>#REF!</v>
      </c>
      <c r="G129" s="171" t="e">
        <f ca="1">OFFSET(#REF!,-1,0)+#REF!</f>
        <v>#REF!</v>
      </c>
      <c r="H129" s="166" t="e">
        <f ca="1">OFFSET(#REF!,-1,0)+#REF!</f>
        <v>#REF!</v>
      </c>
      <c r="I129" s="341" t="e">
        <f ca="1">OFFSET(#REF!,-1,0)+#REF!</f>
        <v>#REF!</v>
      </c>
      <c r="J129" s="345" t="e">
        <f ca="1">OFFSET(#REF!,-1,0)+#REF!</f>
        <v>#REF!</v>
      </c>
      <c r="K129" s="349" t="e">
        <f ca="1">OFFSET(#REF!,-1,0)+#REF!</f>
        <v>#REF!</v>
      </c>
      <c r="L129" s="169" t="e">
        <f ca="1">OFFSET(#REF!,-1,0)+#REF!</f>
        <v>#REF!</v>
      </c>
      <c r="M129" s="170" t="e">
        <f ca="1">OFFSET(#REF!,-1,0)+#REF!</f>
        <v>#REF!</v>
      </c>
      <c r="N129" s="339" t="e">
        <f>#REF!</f>
        <v>#REF!</v>
      </c>
      <c r="O129" s="164"/>
      <c r="P129" s="164"/>
      <c r="Q129" s="164"/>
      <c r="R129" s="164"/>
      <c r="S129" s="164"/>
      <c r="T129" s="164"/>
      <c r="U129" s="164"/>
      <c r="V129" s="164"/>
      <c r="W129" s="164"/>
      <c r="X129" s="164"/>
      <c r="Y129" s="164"/>
      <c r="Z129" s="164"/>
      <c r="AA129" s="164"/>
      <c r="AB129" s="164"/>
      <c r="AC129" s="164"/>
      <c r="AD129" s="164"/>
      <c r="AE129" s="164"/>
      <c r="AF129" s="164"/>
      <c r="AG129" s="164"/>
      <c r="AH129" s="53" t="e">
        <f>#REF!</f>
        <v>#REF!</v>
      </c>
      <c r="AI129" s="132" t="e">
        <f>MIN(25%,(#REF!+#REF!)/(#REF!-#REF!*20))</f>
        <v>#REF!</v>
      </c>
      <c r="AJ129" s="132" t="e">
        <f>MIN(25%,(#REF!+#REF!)/#REF!)</f>
        <v>#REF!</v>
      </c>
      <c r="AK129" s="39" t="e">
        <f>#REF!</f>
        <v>#REF!</v>
      </c>
      <c r="AL129" s="39" t="e">
        <f>#REF!</f>
        <v>#REF!</v>
      </c>
      <c r="AM129" s="39" t="e">
        <f>ROUNDDOWN( MAX((1 - MIN(facs_constr_factor*#REF!,facs_constr_max) + tech_2_3*#REF! + tech_2_6_2*#REF! + tech_2_10*#REF! + tech_4_6*#REF! + tech_6_3*#REF! + tech_9_2*#REF! + race_construction_cost), 1-global_constr_cap) *#REF!,0)</f>
        <v>#REF!</v>
      </c>
      <c r="AN129" s="39" t="e">
        <f>ROUNDDOWN( MAX(1 - MIN(facs_constr_factor*#REF!,facs_constr_max) + tech_1_11*#REF! + tech_6_3_2*#REF! + tech_5_2_3*#REF!, 1-global_constr_cap) *#REF!,0)</f>
        <v>#REF!</v>
      </c>
      <c r="AO129" s="39" t="e">
        <f>ROUNDDOWN( MAX((1 - MIN(facs_constr_factor*#REF!,facs_constr_max) + tech_2_3*#REF! + tech_2_6_2*#REF! + tech_2_10*#REF! + tech_4_6*#REF! + tech_6_3*#REF! + tech_9_2*#REF! + race_construction_cost), 1-global_constr_cap) * (ROUND((#REF!-250)*1.25 + 850 + 0,0)),0)</f>
        <v>#REF!</v>
      </c>
      <c r="AP129" s="39" t="e">
        <f>ROUNDDOWN( MAX(1 - MIN(facs_constr_factor*#REF!,facs_constr_max) + tech_1_11*#REF! + tech_6_3_2*#REF! + tech_5_2_3*#REF!, 1-global_constr_cap) * ROUND((#REF!-250)*0.285 + 87.5 + 0/4.25,0),0)</f>
        <v>#REF!</v>
      </c>
      <c r="AQ129" s="3" t="e">
        <f>#REF!*#REF! +#REF! *#REF!</f>
        <v>#REF!</v>
      </c>
      <c r="AR129" s="3" t="e">
        <f>#REF!*#REF!+#REF!*#REF!</f>
        <v>#REF!</v>
      </c>
      <c r="AS129" s="39" t="e">
        <f ca="1">MIN(SUM(OFFSET(#REF!,-1,0))+SUM(#REF!)+IF(#REF!&gt;12,SUM(OFFSET(#REF!,-12,0)),0),SUM(#REF!))</f>
        <v>#REF!</v>
      </c>
      <c r="AT129" s="3" t="e">
        <f ca="1">IF(#REF!&lt;&gt;0,MAX(0, MIN(20, 20 + SUM(#REF!) - SUM(#REF!) - SUM(OFFSET(#REF!,-1,0)) - IF(#REF!&gt;12,SUM(OFFSET(#REF!,-12,0)),0) - 20*#REF!)),0)</f>
        <v>#REF!</v>
      </c>
      <c r="AU129" s="134"/>
      <c r="AV129" s="39" t="e">
        <f>ROUND((#REF!-250 - IF(#REF!&lt;&gt;0,20,0))*1.25 + 850 + 0,0)</f>
        <v>#REF!</v>
      </c>
      <c r="AW129" s="39" t="e">
        <f>ROUND((#REF!-250 - IF(#REF!&lt;&gt;0,20,0))*0.285 + 87.5 + 0/4.25,0)</f>
        <v>#REF!</v>
      </c>
      <c r="AX129" s="133"/>
      <c r="AY129" s="172" t="e">
        <f t="array" aca="1" ref="AY129" ca="1">IF(#REF!&gt;12,OFFSET(#REF!,-12,0),0)+OFFSET(#REF!,-1,0)-#REF!</f>
        <v>#REF!</v>
      </c>
      <c r="AZ129" s="173" t="e">
        <f t="array" aca="1" ref="AZ129" ca="1">IF(#REF!&gt;12,OFFSET(#REF!,-12,0),0)+OFFSET(#REF!,-1,0)-#REF!</f>
        <v>#REF!</v>
      </c>
      <c r="BA129" s="173" t="e">
        <f t="array" aca="1" ref="BA129" ca="1">IF(#REF!&gt;12,OFFSET(#REF!,-12,0),0)+OFFSET(#REF!,-1,0)-#REF!</f>
        <v>#REF!</v>
      </c>
      <c r="BB129" s="173" t="e">
        <f t="array" aca="1" ref="BB129" ca="1">IF(#REF!&gt;12,OFFSET(#REF!,-12,0),0)+OFFSET(#REF!,-1,0)-#REF!</f>
        <v>#REF!</v>
      </c>
      <c r="BC129" s="173" t="e">
        <f t="array" aca="1" ref="BC129" ca="1">IF(#REF!&gt;12,OFFSET(#REF!,-12,0),0)+OFFSET(#REF!,-1,0)-#REF!</f>
        <v>#REF!</v>
      </c>
      <c r="BD129" s="174" t="e">
        <f t="array" aca="1" ref="BD129" ca="1">IF(#REF!&gt;12,OFFSET(#REF!,-12,0),0)+OFFSET(#REF!,-1,0)-#REF!</f>
        <v>#REF!</v>
      </c>
      <c r="BE129" s="174" t="e">
        <f t="array" aca="1" ref="BE129" ca="1">IF(#REF!&gt;12,OFFSET(#REF!,-12,0),0)+OFFSET(#REF!,-1,0)-#REF!</f>
        <v>#REF!</v>
      </c>
      <c r="BF129" s="343" t="e">
        <f t="array" aca="1" ref="BF129" ca="1">IF(#REF!&gt;12,OFFSET(#REF!,-12,0),0)+OFFSET(#REF!,-1,0)-#REF!</f>
        <v>#REF!</v>
      </c>
      <c r="BG129" s="343" t="e">
        <f t="array" aca="1" ref="BG129" ca="1">IF(#REF!&gt;12,OFFSET(#REF!,-12,0),0)+OFFSET(#REF!,-1,0)-#REF!</f>
        <v>#REF!</v>
      </c>
      <c r="BH129" s="347" t="e">
        <f t="array" aca="1" ref="BH129" ca="1">IF(#REF!&gt;12,OFFSET(#REF!,-12,0),0)+OFFSET(#REF!,-1,0)-#REF!</f>
        <v>#REF!</v>
      </c>
      <c r="BI129" s="347" t="e">
        <f t="array" aca="1" ref="BI129" ca="1">IF(#REF!&gt;12,OFFSET(#REF!,-12,0),0)+OFFSET(#REF!,-1,0)-#REF!</f>
        <v>#REF!</v>
      </c>
      <c r="BJ129" s="347" t="e">
        <f t="array" aca="1" ref="BJ129" ca="1">IF(#REF!&gt;12,OFFSET(#REF!,-12,0),0)+OFFSET(#REF!,-1,0)-#REF!</f>
        <v>#REF!</v>
      </c>
      <c r="BK129" s="347" t="e">
        <f t="array" aca="1" ref="BK129" ca="1">IF(#REF!&gt;12,OFFSET(#REF!,-12,0),0)+OFFSET(#REF!,-1,0)-#REF!</f>
        <v>#REF!</v>
      </c>
      <c r="BL129" s="351" t="e">
        <f t="array" aca="1" ref="BL129" ca="1">IF(#REF!&gt;12,OFFSET(#REF!,-12,0),0)+OFFSET(#REF!,-1,0)-#REF!</f>
        <v>#REF!</v>
      </c>
      <c r="BM129" s="351" t="e">
        <f t="array" aca="1" ref="BM129" ca="1">IF(#REF!&gt;12,OFFSET(#REF!,-12,0),0)+OFFSET(#REF!,-1,0)-#REF!</f>
        <v>#REF!</v>
      </c>
      <c r="BN129" s="351" t="e">
        <f t="array" aca="1" ref="BN129" ca="1">IF(#REF!&gt;12,OFFSET(#REF!,-12,0),0)+OFFSET(#REF!,-1,0)-#REF!</f>
        <v>#REF!</v>
      </c>
      <c r="BO129" s="175" t="e">
        <f t="array" aca="1" ref="BO129" ca="1">IF(#REF!&gt;12,OFFSET(#REF!,-12,0),0)+OFFSET(#REF!,-1,0)-#REF!</f>
        <v>#REF!</v>
      </c>
      <c r="BP129" s="175" t="e">
        <f t="array" aca="1" ref="BP129" ca="1">IF(#REF!&gt;12,OFFSET(#REF!,-12,0),0)+OFFSET(#REF!,-1,0)-#REF!</f>
        <v>#REF!</v>
      </c>
      <c r="BQ129" s="176" t="e">
        <f t="array" aca="1" ref="BQ129" ca="1">IF(#REF!&gt;12,OFFSET(#REF!,-12,0),0)+OFFSET(#REF!,-1,0)-#REF!</f>
        <v>#REF!</v>
      </c>
      <c r="BR129" s="134"/>
      <c r="BS129" s="133"/>
      <c r="BT129" s="39" t="e">
        <f>#REF!</f>
        <v>#REF!</v>
      </c>
      <c r="BU129" s="147" t="e">
        <f>#REF!</f>
        <v>#REF!</v>
      </c>
      <c r="BV129" s="134"/>
      <c r="BW129" s="164"/>
      <c r="BX129" s="164"/>
      <c r="BY129" s="164"/>
      <c r="BZ129" s="164"/>
      <c r="CA129" s="164"/>
      <c r="CB129" s="164"/>
      <c r="CC129" s="164"/>
      <c r="CD129" s="164"/>
      <c r="CE129" s="164"/>
      <c r="CF129" s="164"/>
      <c r="CG129" s="164"/>
      <c r="CH129" s="164"/>
      <c r="CI129" s="164"/>
      <c r="CJ129" s="164"/>
      <c r="CK129" s="164"/>
      <c r="CL129" s="164"/>
      <c r="CM129" s="164"/>
      <c r="CN129" s="164"/>
      <c r="CO129" s="164"/>
      <c r="CP129" s="134"/>
      <c r="CQ129" s="165" t="e">
        <f ca="1">-SUM(#REF!)+SUM(#REF!)+Rezone!L129+IF("Ch_"&amp; home_land=#REF!,#REF!)+IF(#REF!&gt;12,OFFSET(#REF!,-12,0),0)</f>
        <v>#REF!</v>
      </c>
      <c r="CR129" s="166" t="e">
        <f ca="1">-SUM(#REF!)+SUM(#REF!) +Rezone!M129 + IF("Ch_"&amp; home_land=#REF!,#REF!)+IF(#REF!&gt;12,OFFSET(#REF!,-12,0),0)</f>
        <v>#REF!</v>
      </c>
      <c r="CS129" s="341" t="e">
        <f ca="1">-SUM(#REF!)+SUM(#REF!) +Rezone!N129 + IF("Ch_"&amp; home_land=#REF!,#REF!)+IF(#REF!&gt;12,OFFSET(#REF!,-12,0),0)</f>
        <v>#REF!</v>
      </c>
      <c r="CT129" s="167" t="e">
        <f ca="1">-SUM(#REF!)+SUM(#REF!) +Rezone!O129 + IF("Ch_" &amp; home_land=#REF!,#REF!)+IF(#REF!&gt;12,OFFSET(#REF!,-12,0),0)</f>
        <v>#REF!</v>
      </c>
      <c r="CU129" s="168" t="e">
        <f ca="1">-SUM(#REF!)+SUM(#REF!) +Rezone!P129 + IF("Ch_" &amp; home_land=#REF!,#REF!)+IF(#REF!&gt;12,OFFSET(#REF!,-12,0),0)</f>
        <v>#REF!</v>
      </c>
      <c r="CV129" s="169" t="e">
        <f ca="1">- SUM(#REF!)+SUM(#REF!) +Rezone!Q129 + IF("Ch_" &amp; home_land=#REF!,#REF!)+IF(#REF!&gt;12,OFFSET(#REF!,-12,0),0)</f>
        <v>#REF!</v>
      </c>
      <c r="CW129" s="170" t="e">
        <f ca="1">-#REF!+#REF! +Rezone!R129 + IF("Ch_" &amp; home_land=#REF!,#REF!)+IF(#REF!&gt;12,OFFSET(#REF!,-12,0),0)</f>
        <v>#REF!</v>
      </c>
      <c r="CX129" s="3" t="e">
        <f>IF(Explore!S129=1,20) -#REF! +#REF!</f>
        <v>#REF!</v>
      </c>
      <c r="CY129" s="134"/>
      <c r="CZ129" s="39" t="e">
        <f t="shared" ca="1" si="30"/>
        <v>#REF!</v>
      </c>
      <c r="DA129" s="39" t="e">
        <f t="shared" ca="1" si="31"/>
        <v>#REF!</v>
      </c>
      <c r="DB129" s="3" t="e">
        <f t="shared" ca="1" si="32"/>
        <v>#REF!</v>
      </c>
      <c r="DC129" s="39" t="e">
        <f t="shared" ca="1" si="33"/>
        <v>#REF!</v>
      </c>
      <c r="DD129" s="39" t="e">
        <f t="shared" ca="1" si="34"/>
        <v>#REF!</v>
      </c>
      <c r="DE129" s="3" t="e">
        <f t="shared" ca="1" si="35"/>
        <v>#REF!</v>
      </c>
      <c r="DF129" s="39" t="e">
        <f t="shared" ca="1" si="36"/>
        <v>#REF!</v>
      </c>
      <c r="DG129" s="39" t="e">
        <f t="array" ref="DG129">INDEX(#REF!,ROW()-ROW(#REF!),MATCH("Total "&amp;home_land,#REF!,0))+#REF!</f>
        <v>#REF!</v>
      </c>
      <c r="DH129" s="3" t="e">
        <f t="shared" ca="1" si="22"/>
        <v>#REF!</v>
      </c>
      <c r="DI129" s="3" t="e">
        <f t="shared" ca="1" si="19"/>
        <v>#REF!</v>
      </c>
      <c r="DJ129" s="3" t="e">
        <f t="shared" ca="1" si="20"/>
        <v>#REF!</v>
      </c>
    </row>
    <row r="130" spans="1:114" x14ac:dyDescent="0.25">
      <c r="A130" s="160" t="e">
        <f>#REF!</f>
        <v>#REF!</v>
      </c>
      <c r="B130" s="161" t="e">
        <f>SUM(#REF!)</f>
        <v>#REF!</v>
      </c>
      <c r="C130" s="162" t="e">
        <f>SUM(#REF!)</f>
        <v>#REF!</v>
      </c>
      <c r="D130" s="162">
        <f t="shared" si="21"/>
        <v>0</v>
      </c>
      <c r="E130" s="163"/>
      <c r="F130" s="61" t="e">
        <f>#REF!+#REF!+#REF!</f>
        <v>#REF!</v>
      </c>
      <c r="G130" s="171" t="e">
        <f ca="1">OFFSET(#REF!,-1,0)+#REF!</f>
        <v>#REF!</v>
      </c>
      <c r="H130" s="166" t="e">
        <f ca="1">OFFSET(#REF!,-1,0)+#REF!</f>
        <v>#REF!</v>
      </c>
      <c r="I130" s="341" t="e">
        <f ca="1">OFFSET(#REF!,-1,0)+#REF!</f>
        <v>#REF!</v>
      </c>
      <c r="J130" s="345" t="e">
        <f ca="1">OFFSET(#REF!,-1,0)+#REF!</f>
        <v>#REF!</v>
      </c>
      <c r="K130" s="349" t="e">
        <f ca="1">OFFSET(#REF!,-1,0)+#REF!</f>
        <v>#REF!</v>
      </c>
      <c r="L130" s="169" t="e">
        <f ca="1">OFFSET(#REF!,-1,0)+#REF!</f>
        <v>#REF!</v>
      </c>
      <c r="M130" s="170" t="e">
        <f ca="1">OFFSET(#REF!,-1,0)+#REF!</f>
        <v>#REF!</v>
      </c>
      <c r="N130" s="339" t="e">
        <f>#REF!</f>
        <v>#REF!</v>
      </c>
      <c r="O130" s="164"/>
      <c r="P130" s="164"/>
      <c r="Q130" s="164"/>
      <c r="R130" s="164"/>
      <c r="S130" s="164"/>
      <c r="T130" s="164"/>
      <c r="U130" s="164"/>
      <c r="V130" s="164"/>
      <c r="W130" s="164"/>
      <c r="X130" s="164"/>
      <c r="Y130" s="164"/>
      <c r="Z130" s="164"/>
      <c r="AA130" s="164"/>
      <c r="AB130" s="164"/>
      <c r="AC130" s="164"/>
      <c r="AD130" s="164"/>
      <c r="AE130" s="164"/>
      <c r="AF130" s="164"/>
      <c r="AG130" s="164"/>
      <c r="AH130" s="53" t="e">
        <f>#REF!</f>
        <v>#REF!</v>
      </c>
      <c r="AI130" s="132" t="e">
        <f>MIN(25%,(#REF!+#REF!)/(#REF!-#REF!*20))</f>
        <v>#REF!</v>
      </c>
      <c r="AJ130" s="132" t="e">
        <f>MIN(25%,(#REF!+#REF!)/#REF!)</f>
        <v>#REF!</v>
      </c>
      <c r="AK130" s="39" t="e">
        <f>#REF!</f>
        <v>#REF!</v>
      </c>
      <c r="AL130" s="39" t="e">
        <f>#REF!</f>
        <v>#REF!</v>
      </c>
      <c r="AM130" s="39" t="e">
        <f>ROUNDDOWN( MAX((1 - MIN(facs_constr_factor*#REF!,facs_constr_max) + tech_2_3*#REF! + tech_2_6_2*#REF! + tech_2_10*#REF! + tech_4_6*#REF! + tech_6_3*#REF! + tech_9_2*#REF! + race_construction_cost), 1-global_constr_cap) *#REF!,0)</f>
        <v>#REF!</v>
      </c>
      <c r="AN130" s="39" t="e">
        <f>ROUNDDOWN( MAX(1 - MIN(facs_constr_factor*#REF!,facs_constr_max) + tech_1_11*#REF! + tech_6_3_2*#REF! + tech_5_2_3*#REF!, 1-global_constr_cap) *#REF!,0)</f>
        <v>#REF!</v>
      </c>
      <c r="AO130" s="39" t="e">
        <f>ROUNDDOWN( MAX((1 - MIN(facs_constr_factor*#REF!,facs_constr_max) + tech_2_3*#REF! + tech_2_6_2*#REF! + tech_2_10*#REF! + tech_4_6*#REF! + tech_6_3*#REF! + tech_9_2*#REF! + race_construction_cost), 1-global_constr_cap) * (ROUND((#REF!-250)*1.25 + 850 + 0,0)),0)</f>
        <v>#REF!</v>
      </c>
      <c r="AP130" s="39" t="e">
        <f>ROUNDDOWN( MAX(1 - MIN(facs_constr_factor*#REF!,facs_constr_max) + tech_1_11*#REF! + tech_6_3_2*#REF! + tech_5_2_3*#REF!, 1-global_constr_cap) * ROUND((#REF!-250)*0.285 + 87.5 + 0/4.25,0),0)</f>
        <v>#REF!</v>
      </c>
      <c r="AQ130" s="3" t="e">
        <f>#REF!*#REF! +#REF! *#REF!</f>
        <v>#REF!</v>
      </c>
      <c r="AR130" s="3" t="e">
        <f>#REF!*#REF!+#REF!*#REF!</f>
        <v>#REF!</v>
      </c>
      <c r="AS130" s="39" t="e">
        <f ca="1">MIN(SUM(OFFSET(#REF!,-1,0))+SUM(#REF!)+IF(#REF!&gt;12,SUM(OFFSET(#REF!,-12,0)),0),SUM(#REF!))</f>
        <v>#REF!</v>
      </c>
      <c r="AT130" s="3" t="e">
        <f ca="1">IF(#REF!&lt;&gt;0,MAX(0, MIN(20, 20 + SUM(#REF!) - SUM(#REF!) - SUM(OFFSET(#REF!,-1,0)) - IF(#REF!&gt;12,SUM(OFFSET(#REF!,-12,0)),0) - 20*#REF!)),0)</f>
        <v>#REF!</v>
      </c>
      <c r="AU130" s="134"/>
      <c r="AV130" s="39" t="e">
        <f>ROUND((#REF!-250 - IF(#REF!&lt;&gt;0,20,0))*1.25 + 850 + 0,0)</f>
        <v>#REF!</v>
      </c>
      <c r="AW130" s="39" t="e">
        <f>ROUND((#REF!-250 - IF(#REF!&lt;&gt;0,20,0))*0.285 + 87.5 + 0/4.25,0)</f>
        <v>#REF!</v>
      </c>
      <c r="AX130" s="133"/>
      <c r="AY130" s="172" t="e">
        <f t="array" aca="1" ref="AY130" ca="1">IF(#REF!&gt;12,OFFSET(#REF!,-12,0),0)+OFFSET(#REF!,-1,0)-#REF!</f>
        <v>#REF!</v>
      </c>
      <c r="AZ130" s="173" t="e">
        <f t="array" aca="1" ref="AZ130" ca="1">IF(#REF!&gt;12,OFFSET(#REF!,-12,0),0)+OFFSET(#REF!,-1,0)-#REF!</f>
        <v>#REF!</v>
      </c>
      <c r="BA130" s="173" t="e">
        <f t="array" aca="1" ref="BA130" ca="1">IF(#REF!&gt;12,OFFSET(#REF!,-12,0),0)+OFFSET(#REF!,-1,0)-#REF!</f>
        <v>#REF!</v>
      </c>
      <c r="BB130" s="173" t="e">
        <f t="array" aca="1" ref="BB130" ca="1">IF(#REF!&gt;12,OFFSET(#REF!,-12,0),0)+OFFSET(#REF!,-1,0)-#REF!</f>
        <v>#REF!</v>
      </c>
      <c r="BC130" s="173" t="e">
        <f t="array" aca="1" ref="BC130" ca="1">IF(#REF!&gt;12,OFFSET(#REF!,-12,0),0)+OFFSET(#REF!,-1,0)-#REF!</f>
        <v>#REF!</v>
      </c>
      <c r="BD130" s="174" t="e">
        <f t="array" aca="1" ref="BD130" ca="1">IF(#REF!&gt;12,OFFSET(#REF!,-12,0),0)+OFFSET(#REF!,-1,0)-#REF!</f>
        <v>#REF!</v>
      </c>
      <c r="BE130" s="174" t="e">
        <f t="array" aca="1" ref="BE130" ca="1">IF(#REF!&gt;12,OFFSET(#REF!,-12,0),0)+OFFSET(#REF!,-1,0)-#REF!</f>
        <v>#REF!</v>
      </c>
      <c r="BF130" s="343" t="e">
        <f t="array" aca="1" ref="BF130" ca="1">IF(#REF!&gt;12,OFFSET(#REF!,-12,0),0)+OFFSET(#REF!,-1,0)-#REF!</f>
        <v>#REF!</v>
      </c>
      <c r="BG130" s="343" t="e">
        <f t="array" aca="1" ref="BG130" ca="1">IF(#REF!&gt;12,OFFSET(#REF!,-12,0),0)+OFFSET(#REF!,-1,0)-#REF!</f>
        <v>#REF!</v>
      </c>
      <c r="BH130" s="347" t="e">
        <f t="array" aca="1" ref="BH130" ca="1">IF(#REF!&gt;12,OFFSET(#REF!,-12,0),0)+OFFSET(#REF!,-1,0)-#REF!</f>
        <v>#REF!</v>
      </c>
      <c r="BI130" s="347" t="e">
        <f t="array" aca="1" ref="BI130" ca="1">IF(#REF!&gt;12,OFFSET(#REF!,-12,0),0)+OFFSET(#REF!,-1,0)-#REF!</f>
        <v>#REF!</v>
      </c>
      <c r="BJ130" s="347" t="e">
        <f t="array" aca="1" ref="BJ130" ca="1">IF(#REF!&gt;12,OFFSET(#REF!,-12,0),0)+OFFSET(#REF!,-1,0)-#REF!</f>
        <v>#REF!</v>
      </c>
      <c r="BK130" s="347" t="e">
        <f t="array" aca="1" ref="BK130" ca="1">IF(#REF!&gt;12,OFFSET(#REF!,-12,0),0)+OFFSET(#REF!,-1,0)-#REF!</f>
        <v>#REF!</v>
      </c>
      <c r="BL130" s="351" t="e">
        <f t="array" aca="1" ref="BL130" ca="1">IF(#REF!&gt;12,OFFSET(#REF!,-12,0),0)+OFFSET(#REF!,-1,0)-#REF!</f>
        <v>#REF!</v>
      </c>
      <c r="BM130" s="351" t="e">
        <f t="array" aca="1" ref="BM130" ca="1">IF(#REF!&gt;12,OFFSET(#REF!,-12,0),0)+OFFSET(#REF!,-1,0)-#REF!</f>
        <v>#REF!</v>
      </c>
      <c r="BN130" s="351" t="e">
        <f t="array" aca="1" ref="BN130" ca="1">IF(#REF!&gt;12,OFFSET(#REF!,-12,0),0)+OFFSET(#REF!,-1,0)-#REF!</f>
        <v>#REF!</v>
      </c>
      <c r="BO130" s="175" t="e">
        <f t="array" aca="1" ref="BO130" ca="1">IF(#REF!&gt;12,OFFSET(#REF!,-12,0),0)+OFFSET(#REF!,-1,0)-#REF!</f>
        <v>#REF!</v>
      </c>
      <c r="BP130" s="175" t="e">
        <f t="array" aca="1" ref="BP130" ca="1">IF(#REF!&gt;12,OFFSET(#REF!,-12,0),0)+OFFSET(#REF!,-1,0)-#REF!</f>
        <v>#REF!</v>
      </c>
      <c r="BQ130" s="176" t="e">
        <f t="array" aca="1" ref="BQ130" ca="1">IF(#REF!&gt;12,OFFSET(#REF!,-12,0),0)+OFFSET(#REF!,-1,0)-#REF!</f>
        <v>#REF!</v>
      </c>
      <c r="BR130" s="134"/>
      <c r="BS130" s="133"/>
      <c r="BT130" s="39" t="e">
        <f>#REF!</f>
        <v>#REF!</v>
      </c>
      <c r="BU130" s="147" t="e">
        <f>#REF!</f>
        <v>#REF!</v>
      </c>
      <c r="BV130" s="134"/>
      <c r="BW130" s="164"/>
      <c r="BX130" s="164"/>
      <c r="BY130" s="164"/>
      <c r="BZ130" s="164"/>
      <c r="CA130" s="164"/>
      <c r="CB130" s="164"/>
      <c r="CC130" s="164"/>
      <c r="CD130" s="164"/>
      <c r="CE130" s="164"/>
      <c r="CF130" s="164"/>
      <c r="CG130" s="164"/>
      <c r="CH130" s="164"/>
      <c r="CI130" s="164"/>
      <c r="CJ130" s="164"/>
      <c r="CK130" s="164"/>
      <c r="CL130" s="164"/>
      <c r="CM130" s="164"/>
      <c r="CN130" s="164"/>
      <c r="CO130" s="164"/>
      <c r="CP130" s="134"/>
      <c r="CQ130" s="165" t="e">
        <f ca="1">-SUM(#REF!)+SUM(#REF!)+Rezone!L130+IF("Ch_"&amp; home_land=#REF!,#REF!)+IF(#REF!&gt;12,OFFSET(#REF!,-12,0),0)</f>
        <v>#REF!</v>
      </c>
      <c r="CR130" s="166" t="e">
        <f ca="1">-SUM(#REF!)+SUM(#REF!) +Rezone!M130 + IF("Ch_"&amp; home_land=#REF!,#REF!)+IF(#REF!&gt;12,OFFSET(#REF!,-12,0),0)</f>
        <v>#REF!</v>
      </c>
      <c r="CS130" s="341" t="e">
        <f ca="1">-SUM(#REF!)+SUM(#REF!) +Rezone!N130 + IF("Ch_"&amp; home_land=#REF!,#REF!)+IF(#REF!&gt;12,OFFSET(#REF!,-12,0),0)</f>
        <v>#REF!</v>
      </c>
      <c r="CT130" s="167" t="e">
        <f ca="1">-SUM(#REF!)+SUM(#REF!) +Rezone!O130 + IF("Ch_" &amp; home_land=#REF!,#REF!)+IF(#REF!&gt;12,OFFSET(#REF!,-12,0),0)</f>
        <v>#REF!</v>
      </c>
      <c r="CU130" s="168" t="e">
        <f ca="1">-SUM(#REF!)+SUM(#REF!) +Rezone!P130 + IF("Ch_" &amp; home_land=#REF!,#REF!)+IF(#REF!&gt;12,OFFSET(#REF!,-12,0),0)</f>
        <v>#REF!</v>
      </c>
      <c r="CV130" s="169" t="e">
        <f ca="1">- SUM(#REF!)+SUM(#REF!) +Rezone!Q130 + IF("Ch_" &amp; home_land=#REF!,#REF!)+IF(#REF!&gt;12,OFFSET(#REF!,-12,0),0)</f>
        <v>#REF!</v>
      </c>
      <c r="CW130" s="170" t="e">
        <f ca="1">-#REF!+#REF! +Rezone!R130 + IF("Ch_" &amp; home_land=#REF!,#REF!)+IF(#REF!&gt;12,OFFSET(#REF!,-12,0),0)</f>
        <v>#REF!</v>
      </c>
      <c r="CX130" s="3" t="e">
        <f>IF(Explore!S130=1,20) -#REF! +#REF!</f>
        <v>#REF!</v>
      </c>
      <c r="CY130" s="134"/>
      <c r="CZ130" s="39" t="e">
        <f t="shared" ca="1" si="30"/>
        <v>#REF!</v>
      </c>
      <c r="DA130" s="39" t="e">
        <f t="shared" ca="1" si="31"/>
        <v>#REF!</v>
      </c>
      <c r="DB130" s="3" t="e">
        <f t="shared" ca="1" si="32"/>
        <v>#REF!</v>
      </c>
      <c r="DC130" s="39" t="e">
        <f t="shared" ca="1" si="33"/>
        <v>#REF!</v>
      </c>
      <c r="DD130" s="39" t="e">
        <f t="shared" ca="1" si="34"/>
        <v>#REF!</v>
      </c>
      <c r="DE130" s="3" t="e">
        <f t="shared" ca="1" si="35"/>
        <v>#REF!</v>
      </c>
      <c r="DF130" s="39" t="e">
        <f t="shared" ca="1" si="36"/>
        <v>#REF!</v>
      </c>
      <c r="DG130" s="39" t="e">
        <f t="array" ref="DG130">INDEX(#REF!,ROW()-ROW(#REF!),MATCH("Total "&amp;home_land,#REF!,0))+#REF!</f>
        <v>#REF!</v>
      </c>
      <c r="DH130" s="3" t="e">
        <f t="shared" ca="1" si="22"/>
        <v>#REF!</v>
      </c>
      <c r="DI130" s="3" t="e">
        <f t="shared" ca="1" si="19"/>
        <v>#REF!</v>
      </c>
      <c r="DJ130" s="3" t="e">
        <f t="shared" ca="1" si="20"/>
        <v>#REF!</v>
      </c>
    </row>
    <row r="131" spans="1:114" x14ac:dyDescent="0.25">
      <c r="A131" s="160" t="e">
        <f>#REF!</f>
        <v>#REF!</v>
      </c>
      <c r="B131" s="161" t="e">
        <f>SUM(#REF!)</f>
        <v>#REF!</v>
      </c>
      <c r="C131" s="162" t="e">
        <f>SUM(#REF!)</f>
        <v>#REF!</v>
      </c>
      <c r="D131" s="162">
        <f t="shared" si="21"/>
        <v>0</v>
      </c>
      <c r="E131" s="163"/>
      <c r="F131" s="61" t="e">
        <f>#REF!+#REF!+#REF!</f>
        <v>#REF!</v>
      </c>
      <c r="G131" s="171" t="e">
        <f ca="1">OFFSET(#REF!,-1,0)+#REF!</f>
        <v>#REF!</v>
      </c>
      <c r="H131" s="166" t="e">
        <f ca="1">OFFSET(#REF!,-1,0)+#REF!</f>
        <v>#REF!</v>
      </c>
      <c r="I131" s="341" t="e">
        <f ca="1">OFFSET(#REF!,-1,0)+#REF!</f>
        <v>#REF!</v>
      </c>
      <c r="J131" s="345" t="e">
        <f ca="1">OFFSET(#REF!,-1,0)+#REF!</f>
        <v>#REF!</v>
      </c>
      <c r="K131" s="349" t="e">
        <f ca="1">OFFSET(#REF!,-1,0)+#REF!</f>
        <v>#REF!</v>
      </c>
      <c r="L131" s="169" t="e">
        <f ca="1">OFFSET(#REF!,-1,0)+#REF!</f>
        <v>#REF!</v>
      </c>
      <c r="M131" s="170" t="e">
        <f ca="1">OFFSET(#REF!,-1,0)+#REF!</f>
        <v>#REF!</v>
      </c>
      <c r="N131" s="339" t="e">
        <f>#REF!</f>
        <v>#REF!</v>
      </c>
      <c r="O131" s="164"/>
      <c r="P131" s="164"/>
      <c r="Q131" s="164"/>
      <c r="R131" s="164"/>
      <c r="S131" s="164"/>
      <c r="T131" s="164"/>
      <c r="U131" s="164"/>
      <c r="V131" s="164"/>
      <c r="W131" s="164"/>
      <c r="X131" s="164"/>
      <c r="Y131" s="164"/>
      <c r="Z131" s="164"/>
      <c r="AA131" s="164"/>
      <c r="AB131" s="164"/>
      <c r="AC131" s="164"/>
      <c r="AD131" s="164"/>
      <c r="AE131" s="164"/>
      <c r="AF131" s="164"/>
      <c r="AG131" s="164"/>
      <c r="AH131" s="53" t="e">
        <f>#REF!</f>
        <v>#REF!</v>
      </c>
      <c r="AI131" s="132" t="e">
        <f>MIN(25%,(#REF!+#REF!)/(#REF!-#REF!*20))</f>
        <v>#REF!</v>
      </c>
      <c r="AJ131" s="132" t="e">
        <f>MIN(25%,(#REF!+#REF!)/#REF!)</f>
        <v>#REF!</v>
      </c>
      <c r="AK131" s="39" t="e">
        <f>#REF!</f>
        <v>#REF!</v>
      </c>
      <c r="AL131" s="39" t="e">
        <f>#REF!</f>
        <v>#REF!</v>
      </c>
      <c r="AM131" s="39" t="e">
        <f>ROUNDDOWN( MAX((1 - MIN(facs_constr_factor*#REF!,facs_constr_max) + tech_2_3*#REF! + tech_2_6_2*#REF! + tech_2_10*#REF! + tech_4_6*#REF! + tech_6_3*#REF! + tech_9_2*#REF! + race_construction_cost), 1-global_constr_cap) *#REF!,0)</f>
        <v>#REF!</v>
      </c>
      <c r="AN131" s="39" t="e">
        <f>ROUNDDOWN( MAX(1 - MIN(facs_constr_factor*#REF!,facs_constr_max) + tech_1_11*#REF! + tech_6_3_2*#REF! + tech_5_2_3*#REF!, 1-global_constr_cap) *#REF!,0)</f>
        <v>#REF!</v>
      </c>
      <c r="AO131" s="39" t="e">
        <f>ROUNDDOWN( MAX((1 - MIN(facs_constr_factor*#REF!,facs_constr_max) + tech_2_3*#REF! + tech_2_6_2*#REF! + tech_2_10*#REF! + tech_4_6*#REF! + tech_6_3*#REF! + tech_9_2*#REF! + race_construction_cost), 1-global_constr_cap) * (ROUND((#REF!-250)*1.25 + 850 + 0,0)),0)</f>
        <v>#REF!</v>
      </c>
      <c r="AP131" s="39" t="e">
        <f>ROUNDDOWN( MAX(1 - MIN(facs_constr_factor*#REF!,facs_constr_max) + tech_1_11*#REF! + tech_6_3_2*#REF! + tech_5_2_3*#REF!, 1-global_constr_cap) * ROUND((#REF!-250)*0.285 + 87.5 + 0/4.25,0),0)</f>
        <v>#REF!</v>
      </c>
      <c r="AQ131" s="3" t="e">
        <f>#REF!*#REF! +#REF! *#REF!</f>
        <v>#REF!</v>
      </c>
      <c r="AR131" s="3" t="e">
        <f>#REF!*#REF!+#REF!*#REF!</f>
        <v>#REF!</v>
      </c>
      <c r="AS131" s="39" t="e">
        <f ca="1">MIN(SUM(OFFSET(#REF!,-1,0))+SUM(#REF!)+IF(#REF!&gt;12,SUM(OFFSET(#REF!,-12,0)),0),SUM(#REF!))</f>
        <v>#REF!</v>
      </c>
      <c r="AT131" s="3" t="e">
        <f ca="1">IF(#REF!&lt;&gt;0,MAX(0, MIN(20, 20 + SUM(#REF!) - SUM(#REF!) - SUM(OFFSET(#REF!,-1,0)) - IF(#REF!&gt;12,SUM(OFFSET(#REF!,-12,0)),0) - 20*#REF!)),0)</f>
        <v>#REF!</v>
      </c>
      <c r="AU131" s="134"/>
      <c r="AV131" s="39" t="e">
        <f>ROUND((#REF!-250 - IF(#REF!&lt;&gt;0,20,0))*1.25 + 850 + 0,0)</f>
        <v>#REF!</v>
      </c>
      <c r="AW131" s="39" t="e">
        <f>ROUND((#REF!-250 - IF(#REF!&lt;&gt;0,20,0))*0.285 + 87.5 + 0/4.25,0)</f>
        <v>#REF!</v>
      </c>
      <c r="AX131" s="133"/>
      <c r="AY131" s="172" t="e">
        <f t="array" aca="1" ref="AY131" ca="1">IF(#REF!&gt;12,OFFSET(#REF!,-12,0),0)+OFFSET(#REF!,-1,0)-#REF!</f>
        <v>#REF!</v>
      </c>
      <c r="AZ131" s="173" t="e">
        <f t="array" aca="1" ref="AZ131" ca="1">IF(#REF!&gt;12,OFFSET(#REF!,-12,0),0)+OFFSET(#REF!,-1,0)-#REF!</f>
        <v>#REF!</v>
      </c>
      <c r="BA131" s="173" t="e">
        <f t="array" aca="1" ref="BA131" ca="1">IF(#REF!&gt;12,OFFSET(#REF!,-12,0),0)+OFFSET(#REF!,-1,0)-#REF!</f>
        <v>#REF!</v>
      </c>
      <c r="BB131" s="173" t="e">
        <f t="array" aca="1" ref="BB131" ca="1">IF(#REF!&gt;12,OFFSET(#REF!,-12,0),0)+OFFSET(#REF!,-1,0)-#REF!</f>
        <v>#REF!</v>
      </c>
      <c r="BC131" s="173" t="e">
        <f t="array" aca="1" ref="BC131" ca="1">IF(#REF!&gt;12,OFFSET(#REF!,-12,0),0)+OFFSET(#REF!,-1,0)-#REF!</f>
        <v>#REF!</v>
      </c>
      <c r="BD131" s="174" t="e">
        <f t="array" aca="1" ref="BD131" ca="1">IF(#REF!&gt;12,OFFSET(#REF!,-12,0),0)+OFFSET(#REF!,-1,0)-#REF!</f>
        <v>#REF!</v>
      </c>
      <c r="BE131" s="174" t="e">
        <f t="array" aca="1" ref="BE131" ca="1">IF(#REF!&gt;12,OFFSET(#REF!,-12,0),0)+OFFSET(#REF!,-1,0)-#REF!</f>
        <v>#REF!</v>
      </c>
      <c r="BF131" s="343" t="e">
        <f t="array" aca="1" ref="BF131" ca="1">IF(#REF!&gt;12,OFFSET(#REF!,-12,0),0)+OFFSET(#REF!,-1,0)-#REF!</f>
        <v>#REF!</v>
      </c>
      <c r="BG131" s="343" t="e">
        <f t="array" aca="1" ref="BG131" ca="1">IF(#REF!&gt;12,OFFSET(#REF!,-12,0),0)+OFFSET(#REF!,-1,0)-#REF!</f>
        <v>#REF!</v>
      </c>
      <c r="BH131" s="347" t="e">
        <f t="array" aca="1" ref="BH131" ca="1">IF(#REF!&gt;12,OFFSET(#REF!,-12,0),0)+OFFSET(#REF!,-1,0)-#REF!</f>
        <v>#REF!</v>
      </c>
      <c r="BI131" s="347" t="e">
        <f t="array" aca="1" ref="BI131" ca="1">IF(#REF!&gt;12,OFFSET(#REF!,-12,0),0)+OFFSET(#REF!,-1,0)-#REF!</f>
        <v>#REF!</v>
      </c>
      <c r="BJ131" s="347" t="e">
        <f t="array" aca="1" ref="BJ131" ca="1">IF(#REF!&gt;12,OFFSET(#REF!,-12,0),0)+OFFSET(#REF!,-1,0)-#REF!</f>
        <v>#REF!</v>
      </c>
      <c r="BK131" s="347" t="e">
        <f t="array" aca="1" ref="BK131" ca="1">IF(#REF!&gt;12,OFFSET(#REF!,-12,0),0)+OFFSET(#REF!,-1,0)-#REF!</f>
        <v>#REF!</v>
      </c>
      <c r="BL131" s="351" t="e">
        <f t="array" aca="1" ref="BL131" ca="1">IF(#REF!&gt;12,OFFSET(#REF!,-12,0),0)+OFFSET(#REF!,-1,0)-#REF!</f>
        <v>#REF!</v>
      </c>
      <c r="BM131" s="351" t="e">
        <f t="array" aca="1" ref="BM131" ca="1">IF(#REF!&gt;12,OFFSET(#REF!,-12,0),0)+OFFSET(#REF!,-1,0)-#REF!</f>
        <v>#REF!</v>
      </c>
      <c r="BN131" s="351" t="e">
        <f t="array" aca="1" ref="BN131" ca="1">IF(#REF!&gt;12,OFFSET(#REF!,-12,0),0)+OFFSET(#REF!,-1,0)-#REF!</f>
        <v>#REF!</v>
      </c>
      <c r="BO131" s="175" t="e">
        <f t="array" aca="1" ref="BO131" ca="1">IF(#REF!&gt;12,OFFSET(#REF!,-12,0),0)+OFFSET(#REF!,-1,0)-#REF!</f>
        <v>#REF!</v>
      </c>
      <c r="BP131" s="175" t="e">
        <f t="array" aca="1" ref="BP131" ca="1">IF(#REF!&gt;12,OFFSET(#REF!,-12,0),0)+OFFSET(#REF!,-1,0)-#REF!</f>
        <v>#REF!</v>
      </c>
      <c r="BQ131" s="176" t="e">
        <f t="array" aca="1" ref="BQ131" ca="1">IF(#REF!&gt;12,OFFSET(#REF!,-12,0),0)+OFFSET(#REF!,-1,0)-#REF!</f>
        <v>#REF!</v>
      </c>
      <c r="BR131" s="134"/>
      <c r="BS131" s="133"/>
      <c r="BT131" s="39" t="e">
        <f>#REF!</f>
        <v>#REF!</v>
      </c>
      <c r="BU131" s="147" t="e">
        <f>#REF!</f>
        <v>#REF!</v>
      </c>
      <c r="BV131" s="134"/>
      <c r="BW131" s="164"/>
      <c r="BX131" s="164"/>
      <c r="BY131" s="164"/>
      <c r="BZ131" s="164"/>
      <c r="CA131" s="164"/>
      <c r="CB131" s="164"/>
      <c r="CC131" s="164"/>
      <c r="CD131" s="164"/>
      <c r="CE131" s="164"/>
      <c r="CF131" s="164"/>
      <c r="CG131" s="164"/>
      <c r="CH131" s="164"/>
      <c r="CI131" s="164"/>
      <c r="CJ131" s="164"/>
      <c r="CK131" s="164"/>
      <c r="CL131" s="164"/>
      <c r="CM131" s="164"/>
      <c r="CN131" s="164"/>
      <c r="CO131" s="164"/>
      <c r="CP131" s="134"/>
      <c r="CQ131" s="165" t="e">
        <f ca="1">-SUM(#REF!)+SUM(#REF!)+Rezone!L131+IF("Ch_"&amp; home_land=#REF!,#REF!)+IF(#REF!&gt;12,OFFSET(#REF!,-12,0),0)</f>
        <v>#REF!</v>
      </c>
      <c r="CR131" s="166" t="e">
        <f ca="1">-SUM(#REF!)+SUM(#REF!) +Rezone!M131 + IF("Ch_"&amp; home_land=#REF!,#REF!)+IF(#REF!&gt;12,OFFSET(#REF!,-12,0),0)</f>
        <v>#REF!</v>
      </c>
      <c r="CS131" s="341" t="e">
        <f ca="1">-SUM(#REF!)+SUM(#REF!) +Rezone!N131 + IF("Ch_"&amp; home_land=#REF!,#REF!)+IF(#REF!&gt;12,OFFSET(#REF!,-12,0),0)</f>
        <v>#REF!</v>
      </c>
      <c r="CT131" s="167" t="e">
        <f ca="1">-SUM(#REF!)+SUM(#REF!) +Rezone!O131 + IF("Ch_" &amp; home_land=#REF!,#REF!)+IF(#REF!&gt;12,OFFSET(#REF!,-12,0),0)</f>
        <v>#REF!</v>
      </c>
      <c r="CU131" s="168" t="e">
        <f ca="1">-SUM(#REF!)+SUM(#REF!) +Rezone!P131 + IF("Ch_" &amp; home_land=#REF!,#REF!)+IF(#REF!&gt;12,OFFSET(#REF!,-12,0),0)</f>
        <v>#REF!</v>
      </c>
      <c r="CV131" s="169" t="e">
        <f ca="1">- SUM(#REF!)+SUM(#REF!) +Rezone!Q131 + IF("Ch_" &amp; home_land=#REF!,#REF!)+IF(#REF!&gt;12,OFFSET(#REF!,-12,0),0)</f>
        <v>#REF!</v>
      </c>
      <c r="CW131" s="170" t="e">
        <f ca="1">-#REF!+#REF! +Rezone!R131 + IF("Ch_" &amp; home_land=#REF!,#REF!)+IF(#REF!&gt;12,OFFSET(#REF!,-12,0),0)</f>
        <v>#REF!</v>
      </c>
      <c r="CX131" s="3" t="e">
        <f>IF(Explore!S131=1,20) -#REF! +#REF!</f>
        <v>#REF!</v>
      </c>
      <c r="CY131" s="134"/>
      <c r="CZ131" s="39" t="e">
        <f t="shared" ca="1" si="30"/>
        <v>#REF!</v>
      </c>
      <c r="DA131" s="39" t="e">
        <f t="shared" ca="1" si="31"/>
        <v>#REF!</v>
      </c>
      <c r="DB131" s="3" t="e">
        <f t="shared" ca="1" si="32"/>
        <v>#REF!</v>
      </c>
      <c r="DC131" s="39" t="e">
        <f t="shared" ca="1" si="33"/>
        <v>#REF!</v>
      </c>
      <c r="DD131" s="39" t="e">
        <f t="shared" ca="1" si="34"/>
        <v>#REF!</v>
      </c>
      <c r="DE131" s="3" t="e">
        <f t="shared" ca="1" si="35"/>
        <v>#REF!</v>
      </c>
      <c r="DF131" s="39" t="e">
        <f t="shared" ca="1" si="36"/>
        <v>#REF!</v>
      </c>
      <c r="DG131" s="39" t="e">
        <f t="array" ref="DG131">INDEX(#REF!,ROW()-ROW(#REF!),MATCH("Total "&amp;home_land,#REF!,0))+#REF!</f>
        <v>#REF!</v>
      </c>
      <c r="DH131" s="3" t="e">
        <f t="shared" ca="1" si="22"/>
        <v>#REF!</v>
      </c>
      <c r="DI131" s="3" t="e">
        <f t="shared" ca="1" si="19"/>
        <v>#REF!</v>
      </c>
      <c r="DJ131" s="3" t="e">
        <f t="shared" ca="1" si="20"/>
        <v>#REF!</v>
      </c>
    </row>
    <row r="132" spans="1:114" x14ac:dyDescent="0.25">
      <c r="A132" s="160" t="e">
        <f>#REF!</f>
        <v>#REF!</v>
      </c>
      <c r="B132" s="161" t="e">
        <f>SUM(#REF!)</f>
        <v>#REF!</v>
      </c>
      <c r="C132" s="162" t="e">
        <f>SUM(#REF!)</f>
        <v>#REF!</v>
      </c>
      <c r="D132" s="162">
        <f>SUM(O121:AG132)</f>
        <v>0</v>
      </c>
      <c r="E132" s="163"/>
      <c r="F132" s="61" t="e">
        <f>#REF!+#REF!+#REF!</f>
        <v>#REF!</v>
      </c>
      <c r="G132" s="171" t="e">
        <f ca="1">OFFSET(#REF!,-1,0)+#REF!</f>
        <v>#REF!</v>
      </c>
      <c r="H132" s="166" t="e">
        <f ca="1">OFFSET(#REF!,-1,0)+#REF!</f>
        <v>#REF!</v>
      </c>
      <c r="I132" s="341" t="e">
        <f ca="1">OFFSET(#REF!,-1,0)+#REF!</f>
        <v>#REF!</v>
      </c>
      <c r="J132" s="345" t="e">
        <f ca="1">OFFSET(#REF!,-1,0)+#REF!</f>
        <v>#REF!</v>
      </c>
      <c r="K132" s="349" t="e">
        <f ca="1">OFFSET(#REF!,-1,0)+#REF!</f>
        <v>#REF!</v>
      </c>
      <c r="L132" s="169" t="e">
        <f ca="1">OFFSET(#REF!,-1,0)+#REF!</f>
        <v>#REF!</v>
      </c>
      <c r="M132" s="170" t="e">
        <f ca="1">OFFSET(#REF!,-1,0)+#REF!</f>
        <v>#REF!</v>
      </c>
      <c r="N132" s="339" t="e">
        <f>#REF!</f>
        <v>#REF!</v>
      </c>
      <c r="O132" s="164"/>
      <c r="P132" s="164"/>
      <c r="Q132" s="164"/>
      <c r="R132" s="164"/>
      <c r="S132" s="164"/>
      <c r="T132" s="164"/>
      <c r="U132" s="164"/>
      <c r="V132" s="164"/>
      <c r="W132" s="164"/>
      <c r="X132" s="164"/>
      <c r="Y132" s="164"/>
      <c r="Z132" s="164"/>
      <c r="AA132" s="164"/>
      <c r="AB132" s="164"/>
      <c r="AC132" s="164"/>
      <c r="AD132" s="164"/>
      <c r="AE132" s="164"/>
      <c r="AF132" s="164"/>
      <c r="AG132" s="164"/>
      <c r="AH132" s="53" t="e">
        <f>#REF!</f>
        <v>#REF!</v>
      </c>
      <c r="AI132" s="132" t="e">
        <f>MIN(25%,(#REF!+#REF!)/(#REF!-#REF!*20))</f>
        <v>#REF!</v>
      </c>
      <c r="AJ132" s="132" t="e">
        <f>MIN(25%,(#REF!+#REF!)/#REF!)</f>
        <v>#REF!</v>
      </c>
      <c r="AK132" s="39" t="e">
        <f>#REF!</f>
        <v>#REF!</v>
      </c>
      <c r="AL132" s="39" t="e">
        <f>#REF!</f>
        <v>#REF!</v>
      </c>
      <c r="AM132" s="39" t="e">
        <f>ROUNDDOWN( MAX((1 - MIN(facs_constr_factor*#REF!,facs_constr_max) + tech_2_3*#REF! + tech_2_6_2*#REF! + tech_2_10*#REF! + tech_4_6*#REF! + tech_6_3*#REF! + tech_9_2*#REF! + race_construction_cost), 1-global_constr_cap) *#REF!,0)</f>
        <v>#REF!</v>
      </c>
      <c r="AN132" s="39" t="e">
        <f>ROUNDDOWN( MAX(1 - MIN(facs_constr_factor*#REF!,facs_constr_max) + tech_1_11*#REF! + tech_6_3_2*#REF! + tech_5_2_3*#REF!, 1-global_constr_cap) *#REF!,0)</f>
        <v>#REF!</v>
      </c>
      <c r="AO132" s="39" t="e">
        <f>ROUNDDOWN( MAX((1 - MIN(facs_constr_factor*#REF!,facs_constr_max) + tech_2_3*#REF! + tech_2_6_2*#REF! + tech_2_10*#REF! + tech_4_6*#REF! + tech_6_3*#REF! + tech_9_2*#REF! + race_construction_cost), 1-global_constr_cap) * (ROUND((#REF!-250)*1.25 + 850 + 0,0)),0)</f>
        <v>#REF!</v>
      </c>
      <c r="AP132" s="39" t="e">
        <f>ROUNDDOWN( MAX(1 - MIN(facs_constr_factor*#REF!,facs_constr_max) + tech_1_11*#REF! + tech_6_3_2*#REF! + tech_5_2_3*#REF!, 1-global_constr_cap) * ROUND((#REF!-250)*0.285 + 87.5 + 0/4.25,0),0)</f>
        <v>#REF!</v>
      </c>
      <c r="AQ132" s="3" t="e">
        <f>#REF!*#REF! +#REF! *#REF!</f>
        <v>#REF!</v>
      </c>
      <c r="AR132" s="3" t="e">
        <f>#REF!*#REF!+#REF!*#REF!</f>
        <v>#REF!</v>
      </c>
      <c r="AS132" s="39" t="e">
        <f ca="1">MIN(SUM(OFFSET(#REF!,-1,0))+SUM(#REF!)+IF(#REF!&gt;12,SUM(OFFSET(#REF!,-12,0)),0),SUM(#REF!))</f>
        <v>#REF!</v>
      </c>
      <c r="AT132" s="3" t="e">
        <f ca="1">IF(#REF!&lt;&gt;0,MAX(0, MIN(20, 20 + SUM(#REF!) - SUM(#REF!) - SUM(OFFSET(#REF!,-1,0)) - IF(#REF!&gt;12,SUM(OFFSET(#REF!,-12,0)),0) - 20*#REF!)),0)</f>
        <v>#REF!</v>
      </c>
      <c r="AU132" s="134"/>
      <c r="AV132" s="39" t="e">
        <f>ROUND((#REF!-250 - IF(#REF!&lt;&gt;0,20,0))*1.25 + 850 + 0,0)</f>
        <v>#REF!</v>
      </c>
      <c r="AW132" s="39" t="e">
        <f>ROUND((#REF!-250 - IF(#REF!&lt;&gt;0,20,0))*0.285 + 87.5 + 0/4.25,0)</f>
        <v>#REF!</v>
      </c>
      <c r="AX132" s="133"/>
      <c r="AY132" s="172" t="e">
        <f t="array" aca="1" ref="AY132" ca="1">IF(#REF!&gt;12,OFFSET(#REF!,-12,0),0)+OFFSET(#REF!,-1,0)-#REF!</f>
        <v>#REF!</v>
      </c>
      <c r="AZ132" s="173" t="e">
        <f t="array" aca="1" ref="AZ132" ca="1">IF(#REF!&gt;12,OFFSET(#REF!,-12,0),0)+OFFSET(#REF!,-1,0)-#REF!</f>
        <v>#REF!</v>
      </c>
      <c r="BA132" s="173" t="e">
        <f t="array" aca="1" ref="BA132" ca="1">IF(#REF!&gt;12,OFFSET(#REF!,-12,0),0)+OFFSET(#REF!,-1,0)-#REF!</f>
        <v>#REF!</v>
      </c>
      <c r="BB132" s="173" t="e">
        <f t="array" aca="1" ref="BB132" ca="1">IF(#REF!&gt;12,OFFSET(#REF!,-12,0),0)+OFFSET(#REF!,-1,0)-#REF!</f>
        <v>#REF!</v>
      </c>
      <c r="BC132" s="173" t="e">
        <f t="array" aca="1" ref="BC132" ca="1">IF(#REF!&gt;12,OFFSET(#REF!,-12,0),0)+OFFSET(#REF!,-1,0)-#REF!</f>
        <v>#REF!</v>
      </c>
      <c r="BD132" s="174" t="e">
        <f t="array" aca="1" ref="BD132" ca="1">IF(#REF!&gt;12,OFFSET(#REF!,-12,0),0)+OFFSET(#REF!,-1,0)-#REF!</f>
        <v>#REF!</v>
      </c>
      <c r="BE132" s="174" t="e">
        <f t="array" aca="1" ref="BE132" ca="1">IF(#REF!&gt;12,OFFSET(#REF!,-12,0),0)+OFFSET(#REF!,-1,0)-#REF!</f>
        <v>#REF!</v>
      </c>
      <c r="BF132" s="343" t="e">
        <f t="array" aca="1" ref="BF132" ca="1">IF(#REF!&gt;12,OFFSET(#REF!,-12,0),0)+OFFSET(#REF!,-1,0)-#REF!</f>
        <v>#REF!</v>
      </c>
      <c r="BG132" s="343" t="e">
        <f t="array" aca="1" ref="BG132" ca="1">IF(#REF!&gt;12,OFFSET(#REF!,-12,0),0)+OFFSET(#REF!,-1,0)-#REF!</f>
        <v>#REF!</v>
      </c>
      <c r="BH132" s="347" t="e">
        <f t="array" aca="1" ref="BH132" ca="1">IF(#REF!&gt;12,OFFSET(#REF!,-12,0),0)+OFFSET(#REF!,-1,0)-#REF!</f>
        <v>#REF!</v>
      </c>
      <c r="BI132" s="347" t="e">
        <f t="array" aca="1" ref="BI132" ca="1">IF(#REF!&gt;12,OFFSET(#REF!,-12,0),0)+OFFSET(#REF!,-1,0)-#REF!</f>
        <v>#REF!</v>
      </c>
      <c r="BJ132" s="347" t="e">
        <f t="array" aca="1" ref="BJ132" ca="1">IF(#REF!&gt;12,OFFSET(#REF!,-12,0),0)+OFFSET(#REF!,-1,0)-#REF!</f>
        <v>#REF!</v>
      </c>
      <c r="BK132" s="347" t="e">
        <f t="array" aca="1" ref="BK132" ca="1">IF(#REF!&gt;12,OFFSET(#REF!,-12,0),0)+OFFSET(#REF!,-1,0)-#REF!</f>
        <v>#REF!</v>
      </c>
      <c r="BL132" s="351" t="e">
        <f t="array" aca="1" ref="BL132" ca="1">IF(#REF!&gt;12,OFFSET(#REF!,-12,0),0)+OFFSET(#REF!,-1,0)-#REF!</f>
        <v>#REF!</v>
      </c>
      <c r="BM132" s="351" t="e">
        <f t="array" aca="1" ref="BM132" ca="1">IF(#REF!&gt;12,OFFSET(#REF!,-12,0),0)+OFFSET(#REF!,-1,0)-#REF!</f>
        <v>#REF!</v>
      </c>
      <c r="BN132" s="351" t="e">
        <f t="array" aca="1" ref="BN132" ca="1">IF(#REF!&gt;12,OFFSET(#REF!,-12,0),0)+OFFSET(#REF!,-1,0)-#REF!</f>
        <v>#REF!</v>
      </c>
      <c r="BO132" s="175" t="e">
        <f t="array" aca="1" ref="BO132" ca="1">IF(#REF!&gt;12,OFFSET(#REF!,-12,0),0)+OFFSET(#REF!,-1,0)-#REF!</f>
        <v>#REF!</v>
      </c>
      <c r="BP132" s="175" t="e">
        <f t="array" aca="1" ref="BP132" ca="1">IF(#REF!&gt;12,OFFSET(#REF!,-12,0),0)+OFFSET(#REF!,-1,0)-#REF!</f>
        <v>#REF!</v>
      </c>
      <c r="BQ132" s="176" t="e">
        <f t="array" aca="1" ref="BQ132" ca="1">IF(#REF!&gt;12,OFFSET(#REF!,-12,0),0)+OFFSET(#REF!,-1,0)-#REF!</f>
        <v>#REF!</v>
      </c>
      <c r="BR132" s="134"/>
      <c r="BS132" s="133"/>
      <c r="BT132" s="39" t="e">
        <f>#REF!</f>
        <v>#REF!</v>
      </c>
      <c r="BU132" s="147" t="e">
        <f>#REF!</f>
        <v>#REF!</v>
      </c>
      <c r="BV132" s="134"/>
      <c r="BW132" s="164"/>
      <c r="BX132" s="164"/>
      <c r="BY132" s="164"/>
      <c r="BZ132" s="164"/>
      <c r="CA132" s="164"/>
      <c r="CB132" s="164"/>
      <c r="CC132" s="164"/>
      <c r="CD132" s="164"/>
      <c r="CE132" s="164"/>
      <c r="CF132" s="164"/>
      <c r="CG132" s="164"/>
      <c r="CH132" s="164"/>
      <c r="CI132" s="164"/>
      <c r="CJ132" s="164"/>
      <c r="CK132" s="164"/>
      <c r="CL132" s="164"/>
      <c r="CM132" s="164"/>
      <c r="CN132" s="164"/>
      <c r="CO132" s="164"/>
      <c r="CP132" s="134"/>
      <c r="CQ132" s="165" t="e">
        <f ca="1">-SUM(#REF!)+SUM(#REF!)+Rezone!L132+IF("Ch_"&amp; home_land=#REF!,#REF!)+IF(#REF!&gt;12,OFFSET(#REF!,-12,0),0)</f>
        <v>#REF!</v>
      </c>
      <c r="CR132" s="166" t="e">
        <f ca="1">-SUM(#REF!)+SUM(#REF!) +Rezone!M132 + IF("Ch_"&amp; home_land=#REF!,#REF!)+IF(#REF!&gt;12,OFFSET(#REF!,-12,0),0)</f>
        <v>#REF!</v>
      </c>
      <c r="CS132" s="341" t="e">
        <f ca="1">-SUM(#REF!)+SUM(#REF!) +Rezone!N132 + IF("Ch_"&amp; home_land=#REF!,#REF!)+IF(#REF!&gt;12,OFFSET(#REF!,-12,0),0)</f>
        <v>#REF!</v>
      </c>
      <c r="CT132" s="167" t="e">
        <f ca="1">-SUM(#REF!)+SUM(#REF!) +Rezone!O132 + IF("Ch_" &amp; home_land=#REF!,#REF!)+IF(#REF!&gt;12,OFFSET(#REF!,-12,0),0)</f>
        <v>#REF!</v>
      </c>
      <c r="CU132" s="168" t="e">
        <f ca="1">-SUM(#REF!)+SUM(#REF!) +Rezone!P132 + IF("Ch_" &amp; home_land=#REF!,#REF!)+IF(#REF!&gt;12,OFFSET(#REF!,-12,0),0)</f>
        <v>#REF!</v>
      </c>
      <c r="CV132" s="169" t="e">
        <f ca="1">- SUM(#REF!)+SUM(#REF!) +Rezone!Q132 + IF("Ch_" &amp; home_land=#REF!,#REF!)+IF(#REF!&gt;12,OFFSET(#REF!,-12,0),0)</f>
        <v>#REF!</v>
      </c>
      <c r="CW132" s="170" t="e">
        <f ca="1">-#REF!+#REF! +Rezone!R132 + IF("Ch_" &amp; home_land=#REF!,#REF!)+IF(#REF!&gt;12,OFFSET(#REF!,-12,0),0)</f>
        <v>#REF!</v>
      </c>
      <c r="CX132" s="3" t="e">
        <f>IF(Explore!S132=1,20) -#REF! +#REF!</f>
        <v>#REF!</v>
      </c>
      <c r="CY132" s="134"/>
      <c r="CZ132" s="39" t="e">
        <f ca="1">G132+SUM(P121:S132)+SUM(AZ132:BC132)</f>
        <v>#REF!</v>
      </c>
      <c r="DA132" s="39" t="e">
        <f ca="1">H132+SUM(T121:U132)+SUM(BD132:BE132)</f>
        <v>#REF!</v>
      </c>
      <c r="DB132" s="3" t="e">
        <f ca="1">I132+SUM(V121:W132)+SUM(BF132:BG132)</f>
        <v>#REF!</v>
      </c>
      <c r="DC132" s="39" t="e">
        <f ca="1">J132+SUM(X121:Y132)+SUM(BH132:BI132)</f>
        <v>#REF!</v>
      </c>
      <c r="DD132" s="39" t="e">
        <f ca="1">K132+SUM(AB121:AD132)+SUM(BL132:BN132)</f>
        <v>#REF!</v>
      </c>
      <c r="DE132" s="3" t="e">
        <f ca="1">L132+SUM(AE121:AE132)+BO132</f>
        <v>#REF!</v>
      </c>
      <c r="DF132" s="39" t="e">
        <f ca="1">M132+SUM(AG121:AG132)+BQ132</f>
        <v>#REF!</v>
      </c>
      <c r="DG132" s="39" t="e">
        <f t="array" ref="DG132">INDEX(#REF!,ROW()-ROW(#REF!),MATCH("Total "&amp;home_land,#REF!,0))+#REF!</f>
        <v>#REF!</v>
      </c>
      <c r="DH132" s="3" t="e">
        <f ca="1">SUM(O121:O132)+AY132</f>
        <v>#REF!</v>
      </c>
      <c r="DI132" s="3" t="e">
        <f ca="1">MAX(BA132-BA131,0)</f>
        <v>#REF!</v>
      </c>
      <c r="DJ132" s="3" t="e">
        <f ca="1">MAX(BQ132-BQ131,0)</f>
        <v>#REF!</v>
      </c>
    </row>
    <row r="133" spans="1:114" x14ac:dyDescent="0.25">
      <c r="A133" s="160" t="e">
        <f>#REF!</f>
        <v>#REF!</v>
      </c>
      <c r="B133" s="161" t="e">
        <f>SUM(#REF!)</f>
        <v>#REF!</v>
      </c>
      <c r="C133" s="162" t="e">
        <f>SUM(#REF!)</f>
        <v>#REF!</v>
      </c>
      <c r="D133" s="162">
        <f>SUM(O122:AG133)</f>
        <v>0</v>
      </c>
      <c r="E133" s="163"/>
      <c r="F133" s="61" t="e">
        <f>#REF!+#REF!+#REF!</f>
        <v>#REF!</v>
      </c>
      <c r="G133" s="171" t="e">
        <f ca="1">OFFSET(#REF!,-1,0)+#REF!</f>
        <v>#REF!</v>
      </c>
      <c r="H133" s="166" t="e">
        <f ca="1">OFFSET(#REF!,-1,0)+#REF!</f>
        <v>#REF!</v>
      </c>
      <c r="I133" s="341" t="e">
        <f ca="1">OFFSET(#REF!,-1,0)+#REF!</f>
        <v>#REF!</v>
      </c>
      <c r="J133" s="345" t="e">
        <f ca="1">OFFSET(#REF!,-1,0)+#REF!</f>
        <v>#REF!</v>
      </c>
      <c r="K133" s="349" t="e">
        <f ca="1">OFFSET(#REF!,-1,0)+#REF!</f>
        <v>#REF!</v>
      </c>
      <c r="L133" s="169" t="e">
        <f ca="1">OFFSET(#REF!,-1,0)+#REF!</f>
        <v>#REF!</v>
      </c>
      <c r="M133" s="170" t="e">
        <f ca="1">OFFSET(#REF!,-1,0)+#REF!</f>
        <v>#REF!</v>
      </c>
      <c r="N133" s="339" t="e">
        <f>#REF!</f>
        <v>#REF!</v>
      </c>
      <c r="O133" s="164"/>
      <c r="P133" s="164"/>
      <c r="Q133" s="164"/>
      <c r="R133" s="164"/>
      <c r="S133" s="164"/>
      <c r="T133" s="164"/>
      <c r="U133" s="164"/>
      <c r="V133" s="164"/>
      <c r="W133" s="164"/>
      <c r="X133" s="164"/>
      <c r="Y133" s="164"/>
      <c r="Z133" s="164"/>
      <c r="AA133" s="164"/>
      <c r="AB133" s="164"/>
      <c r="AC133" s="164"/>
      <c r="AD133" s="164"/>
      <c r="AE133" s="164"/>
      <c r="AF133" s="164"/>
      <c r="AG133" s="164"/>
      <c r="AH133" s="53" t="e">
        <f>#REF!</f>
        <v>#REF!</v>
      </c>
      <c r="AI133" s="132" t="e">
        <f>MIN(25%,(#REF!+#REF!)/(#REF!-#REF!*20))</f>
        <v>#REF!</v>
      </c>
      <c r="AJ133" s="132" t="e">
        <f>MIN(25%,(#REF!+#REF!)/#REF!)</f>
        <v>#REF!</v>
      </c>
      <c r="AK133" s="39" t="e">
        <f>#REF!</f>
        <v>#REF!</v>
      </c>
      <c r="AL133" s="39" t="e">
        <f>#REF!</f>
        <v>#REF!</v>
      </c>
      <c r="AM133" s="39" t="e">
        <f>ROUNDDOWN( MAX((1 - MIN(facs_constr_factor*#REF!,facs_constr_max) + tech_2_3*#REF! + tech_2_6_2*#REF! + tech_2_10*#REF! + tech_4_6*#REF! + tech_6_3*#REF! + tech_9_2*#REF! + race_construction_cost), 1-global_constr_cap) *#REF!,0)</f>
        <v>#REF!</v>
      </c>
      <c r="AN133" s="39" t="e">
        <f>ROUNDDOWN( MAX(1 - MIN(facs_constr_factor*#REF!,facs_constr_max) + tech_1_11*#REF! + tech_6_3_2*#REF! + tech_5_2_3*#REF!, 1-global_constr_cap) *#REF!,0)</f>
        <v>#REF!</v>
      </c>
      <c r="AO133" s="39" t="e">
        <f>ROUNDDOWN( MAX((1 - MIN(facs_constr_factor*#REF!,facs_constr_max) + tech_2_3*#REF! + tech_2_6_2*#REF! + tech_2_10*#REF! + tech_4_6*#REF! + tech_6_3*#REF! + tech_9_2*#REF! + race_construction_cost), 1-global_constr_cap) * (ROUND((#REF!-250)*1.25 + 850 + 0,0)),0)</f>
        <v>#REF!</v>
      </c>
      <c r="AP133" s="39" t="e">
        <f>ROUNDDOWN( MAX(1 - MIN(facs_constr_factor*#REF!,facs_constr_max) + tech_1_11*#REF! + tech_6_3_2*#REF! + tech_5_2_3*#REF!, 1-global_constr_cap) * ROUND((#REF!-250)*0.285 + 87.5 + 0/4.25,0),0)</f>
        <v>#REF!</v>
      </c>
      <c r="AQ133" s="3" t="e">
        <f>#REF!*#REF! +#REF! *#REF!</f>
        <v>#REF!</v>
      </c>
      <c r="AR133" s="3" t="e">
        <f>#REF!*#REF!+#REF!*#REF!</f>
        <v>#REF!</v>
      </c>
      <c r="AS133" s="39" t="e">
        <f ca="1">MIN(SUM(OFFSET(#REF!,-1,0))+SUM(#REF!)+IF(#REF!&gt;12,SUM(OFFSET(#REF!,-12,0)),0),SUM(#REF!))</f>
        <v>#REF!</v>
      </c>
      <c r="AT133" s="3" t="e">
        <f ca="1">IF(#REF!&lt;&gt;0,MAX(0, MIN(20, 20 + SUM(#REF!) - SUM(#REF!) - SUM(OFFSET(#REF!,-1,0)) - IF(#REF!&gt;12,SUM(OFFSET(#REF!,-12,0)),0) - 20*#REF!)),0)</f>
        <v>#REF!</v>
      </c>
      <c r="AU133" s="134"/>
      <c r="AV133" s="39" t="e">
        <f>ROUND((#REF!-250 - IF(#REF!&lt;&gt;0,20,0))*1.25 + 850 + 0,0)</f>
        <v>#REF!</v>
      </c>
      <c r="AW133" s="39" t="e">
        <f>ROUND((#REF!-250 - IF(#REF!&lt;&gt;0,20,0))*0.285 + 87.5 + 0/4.25,0)</f>
        <v>#REF!</v>
      </c>
      <c r="AX133" s="133"/>
      <c r="AY133" s="172" t="e">
        <f t="array" aca="1" ref="AY133" ca="1">IF(#REF!&gt;12,OFFSET(#REF!,-12,0),0)+OFFSET(#REF!,-1,0)-#REF!</f>
        <v>#REF!</v>
      </c>
      <c r="AZ133" s="173" t="e">
        <f t="array" aca="1" ref="AZ133" ca="1">IF(#REF!&gt;12,OFFSET(#REF!,-12,0),0)+OFFSET(#REF!,-1,0)-#REF!</f>
        <v>#REF!</v>
      </c>
      <c r="BA133" s="173" t="e">
        <f t="array" aca="1" ref="BA133" ca="1">IF(#REF!&gt;12,OFFSET(#REF!,-12,0),0)+OFFSET(#REF!,-1,0)-#REF!</f>
        <v>#REF!</v>
      </c>
      <c r="BB133" s="173" t="e">
        <f t="array" aca="1" ref="BB133" ca="1">IF(#REF!&gt;12,OFFSET(#REF!,-12,0),0)+OFFSET(#REF!,-1,0)-#REF!</f>
        <v>#REF!</v>
      </c>
      <c r="BC133" s="173" t="e">
        <f t="array" aca="1" ref="BC133" ca="1">IF(#REF!&gt;12,OFFSET(#REF!,-12,0),0)+OFFSET(#REF!,-1,0)-#REF!</f>
        <v>#REF!</v>
      </c>
      <c r="BD133" s="174" t="e">
        <f t="array" aca="1" ref="BD133" ca="1">IF(#REF!&gt;12,OFFSET(#REF!,-12,0),0)+OFFSET(#REF!,-1,0)-#REF!</f>
        <v>#REF!</v>
      </c>
      <c r="BE133" s="174" t="e">
        <f t="array" aca="1" ref="BE133" ca="1">IF(#REF!&gt;12,OFFSET(#REF!,-12,0),0)+OFFSET(#REF!,-1,0)-#REF!</f>
        <v>#REF!</v>
      </c>
      <c r="BF133" s="343" t="e">
        <f t="array" aca="1" ref="BF133" ca="1">IF(#REF!&gt;12,OFFSET(#REF!,-12,0),0)+OFFSET(#REF!,-1,0)-#REF!</f>
        <v>#REF!</v>
      </c>
      <c r="BG133" s="343" t="e">
        <f t="array" aca="1" ref="BG133" ca="1">IF(#REF!&gt;12,OFFSET(#REF!,-12,0),0)+OFFSET(#REF!,-1,0)-#REF!</f>
        <v>#REF!</v>
      </c>
      <c r="BH133" s="347" t="e">
        <f t="array" aca="1" ref="BH133" ca="1">IF(#REF!&gt;12,OFFSET(#REF!,-12,0),0)+OFFSET(#REF!,-1,0)-#REF!</f>
        <v>#REF!</v>
      </c>
      <c r="BI133" s="347" t="e">
        <f t="array" aca="1" ref="BI133" ca="1">IF(#REF!&gt;12,OFFSET(#REF!,-12,0),0)+OFFSET(#REF!,-1,0)-#REF!</f>
        <v>#REF!</v>
      </c>
      <c r="BJ133" s="347" t="e">
        <f t="array" aca="1" ref="BJ133" ca="1">IF(#REF!&gt;12,OFFSET(#REF!,-12,0),0)+OFFSET(#REF!,-1,0)-#REF!</f>
        <v>#REF!</v>
      </c>
      <c r="BK133" s="347" t="e">
        <f t="array" aca="1" ref="BK133" ca="1">IF(#REF!&gt;12,OFFSET(#REF!,-12,0),0)+OFFSET(#REF!,-1,0)-#REF!</f>
        <v>#REF!</v>
      </c>
      <c r="BL133" s="351" t="e">
        <f t="array" aca="1" ref="BL133" ca="1">IF(#REF!&gt;12,OFFSET(#REF!,-12,0),0)+OFFSET(#REF!,-1,0)-#REF!</f>
        <v>#REF!</v>
      </c>
      <c r="BM133" s="351" t="e">
        <f t="array" aca="1" ref="BM133" ca="1">IF(#REF!&gt;12,OFFSET(#REF!,-12,0),0)+OFFSET(#REF!,-1,0)-#REF!</f>
        <v>#REF!</v>
      </c>
      <c r="BN133" s="351" t="e">
        <f t="array" aca="1" ref="BN133" ca="1">IF(#REF!&gt;12,OFFSET(#REF!,-12,0),0)+OFFSET(#REF!,-1,0)-#REF!</f>
        <v>#REF!</v>
      </c>
      <c r="BO133" s="175" t="e">
        <f t="array" aca="1" ref="BO133" ca="1">IF(#REF!&gt;12,OFFSET(#REF!,-12,0),0)+OFFSET(#REF!,-1,0)-#REF!</f>
        <v>#REF!</v>
      </c>
      <c r="BP133" s="175" t="e">
        <f t="array" aca="1" ref="BP133" ca="1">IF(#REF!&gt;12,OFFSET(#REF!,-12,0),0)+OFFSET(#REF!,-1,0)-#REF!</f>
        <v>#REF!</v>
      </c>
      <c r="BQ133" s="176" t="e">
        <f t="array" aca="1" ref="BQ133" ca="1">IF(#REF!&gt;12,OFFSET(#REF!,-12,0),0)+OFFSET(#REF!,-1,0)-#REF!</f>
        <v>#REF!</v>
      </c>
      <c r="BR133" s="134"/>
      <c r="BS133" s="133"/>
      <c r="BT133" s="39" t="e">
        <f>#REF!</f>
        <v>#REF!</v>
      </c>
      <c r="BU133" s="147" t="e">
        <f>#REF!</f>
        <v>#REF!</v>
      </c>
      <c r="BV133" s="134"/>
      <c r="BW133" s="164"/>
      <c r="BX133" s="164"/>
      <c r="BY133" s="164"/>
      <c r="BZ133" s="164"/>
      <c r="CA133" s="164"/>
      <c r="CB133" s="164"/>
      <c r="CC133" s="164"/>
      <c r="CD133" s="164"/>
      <c r="CE133" s="164"/>
      <c r="CF133" s="164"/>
      <c r="CG133" s="164"/>
      <c r="CH133" s="164"/>
      <c r="CI133" s="164"/>
      <c r="CJ133" s="164"/>
      <c r="CK133" s="164"/>
      <c r="CL133" s="164"/>
      <c r="CM133" s="164"/>
      <c r="CN133" s="164"/>
      <c r="CO133" s="164"/>
      <c r="CP133" s="134"/>
      <c r="CQ133" s="165" t="e">
        <f ca="1">-SUM(#REF!)+SUM(#REF!)+Rezone!L133+IF("Ch_"&amp; home_land=#REF!,#REF!)+IF(#REF!&gt;12,OFFSET(#REF!,-12,0),0)</f>
        <v>#REF!</v>
      </c>
      <c r="CR133" s="166" t="e">
        <f ca="1">-SUM(#REF!)+SUM(#REF!) +Rezone!M133 + IF("Ch_"&amp; home_land=#REF!,#REF!)+IF(#REF!&gt;12,OFFSET(#REF!,-12,0),0)</f>
        <v>#REF!</v>
      </c>
      <c r="CS133" s="341" t="e">
        <f ca="1">-SUM(#REF!)+SUM(#REF!) +Rezone!N133 + IF("Ch_"&amp; home_land=#REF!,#REF!)+IF(#REF!&gt;12,OFFSET(#REF!,-12,0),0)</f>
        <v>#REF!</v>
      </c>
      <c r="CT133" s="167" t="e">
        <f ca="1">-SUM(#REF!)+SUM(#REF!) +Rezone!O133 + IF("Ch_" &amp; home_land=#REF!,#REF!)+IF(#REF!&gt;12,OFFSET(#REF!,-12,0),0)</f>
        <v>#REF!</v>
      </c>
      <c r="CU133" s="168" t="e">
        <f ca="1">-SUM(#REF!)+SUM(#REF!) +Rezone!P133 + IF("Ch_" &amp; home_land=#REF!,#REF!)+IF(#REF!&gt;12,OFFSET(#REF!,-12,0),0)</f>
        <v>#REF!</v>
      </c>
      <c r="CV133" s="169" t="e">
        <f ca="1">- SUM(#REF!)+SUM(#REF!) +Rezone!Q133 + IF("Ch_" &amp; home_land=#REF!,#REF!)+IF(#REF!&gt;12,OFFSET(#REF!,-12,0),0)</f>
        <v>#REF!</v>
      </c>
      <c r="CW133" s="170" t="e">
        <f ca="1">-#REF!+#REF! +Rezone!R133 + IF("Ch_" &amp; home_land=#REF!,#REF!)+IF(#REF!&gt;12,OFFSET(#REF!,-12,0),0)</f>
        <v>#REF!</v>
      </c>
      <c r="CX133" s="3" t="e">
        <f>IF(Explore!S133=1,20) -#REF! +#REF!</f>
        <v>#REF!</v>
      </c>
      <c r="CY133" s="134"/>
      <c r="CZ133" s="39" t="e">
        <f ca="1">G133+SUM(P122:S133)+SUM(AZ133:BC133)</f>
        <v>#REF!</v>
      </c>
      <c r="DA133" s="39" t="e">
        <f ca="1">H133+SUM(T122:U133)+SUM(BD133:BE133)</f>
        <v>#REF!</v>
      </c>
      <c r="DB133" s="3" t="e">
        <f ca="1">I133+SUM(V122:W133)+SUM(BF133:BG133)</f>
        <v>#REF!</v>
      </c>
      <c r="DC133" s="39" t="e">
        <f ca="1">J133+SUM(X122:Y133)+SUM(BH133:BI133)</f>
        <v>#REF!</v>
      </c>
      <c r="DD133" s="39" t="e">
        <f ca="1">K133+SUM(AB122:AD133)+SUM(BL133:BN133)</f>
        <v>#REF!</v>
      </c>
      <c r="DE133" s="3" t="e">
        <f ca="1">L133+SUM(AE122:AE133)+BO133</f>
        <v>#REF!</v>
      </c>
      <c r="DF133" s="39" t="e">
        <f ca="1">M133+SUM(AG122:AG133)+BQ133</f>
        <v>#REF!</v>
      </c>
      <c r="DG133" s="39" t="e">
        <f t="array" ref="DG133">INDEX(#REF!,ROW()-ROW(#REF!),MATCH("Total "&amp;home_land,#REF!,0))+#REF!</f>
        <v>#REF!</v>
      </c>
      <c r="DH133" s="3" t="e">
        <f ca="1">SUM(O122:O133)+AY133</f>
        <v>#REF!</v>
      </c>
      <c r="DI133" s="3" t="e">
        <f t="shared" ca="1" si="19"/>
        <v>#REF!</v>
      </c>
      <c r="DJ133" s="3" t="e">
        <f t="shared" ca="1" si="20"/>
        <v>#REF!</v>
      </c>
    </row>
    <row r="134" spans="1:114" x14ac:dyDescent="0.25">
      <c r="A134" s="160" t="e">
        <f>#REF!</f>
        <v>#REF!</v>
      </c>
      <c r="B134" s="161" t="e">
        <f>SUM(#REF!)</f>
        <v>#REF!</v>
      </c>
      <c r="C134" s="162" t="e">
        <f>SUM(#REF!)</f>
        <v>#REF!</v>
      </c>
      <c r="D134" s="162">
        <f>SUM(O123:AG134)</f>
        <v>0</v>
      </c>
      <c r="E134" s="163"/>
      <c r="F134" s="61" t="e">
        <f>#REF!+#REF!+#REF!</f>
        <v>#REF!</v>
      </c>
      <c r="G134" s="171" t="e">
        <f ca="1">OFFSET(#REF!,-1,0)+#REF!</f>
        <v>#REF!</v>
      </c>
      <c r="H134" s="166" t="e">
        <f ca="1">OFFSET(#REF!,-1,0)+#REF!</f>
        <v>#REF!</v>
      </c>
      <c r="I134" s="341" t="e">
        <f ca="1">OFFSET(#REF!,-1,0)+#REF!</f>
        <v>#REF!</v>
      </c>
      <c r="J134" s="345" t="e">
        <f ca="1">OFFSET(#REF!,-1,0)+#REF!</f>
        <v>#REF!</v>
      </c>
      <c r="K134" s="349" t="e">
        <f ca="1">OFFSET(#REF!,-1,0)+#REF!</f>
        <v>#REF!</v>
      </c>
      <c r="L134" s="169" t="e">
        <f ca="1">OFFSET(#REF!,-1,0)+#REF!</f>
        <v>#REF!</v>
      </c>
      <c r="M134" s="170" t="e">
        <f ca="1">OFFSET(#REF!,-1,0)+#REF!</f>
        <v>#REF!</v>
      </c>
      <c r="N134" s="339" t="e">
        <f>#REF!</f>
        <v>#REF!</v>
      </c>
      <c r="O134" s="164"/>
      <c r="P134" s="164"/>
      <c r="Q134" s="164"/>
      <c r="R134" s="164"/>
      <c r="S134" s="164"/>
      <c r="T134" s="164"/>
      <c r="U134" s="164"/>
      <c r="V134" s="164"/>
      <c r="W134" s="164"/>
      <c r="X134" s="164"/>
      <c r="Y134" s="164"/>
      <c r="Z134" s="164"/>
      <c r="AA134" s="164"/>
      <c r="AB134" s="164"/>
      <c r="AC134" s="164"/>
      <c r="AD134" s="164"/>
      <c r="AE134" s="164"/>
      <c r="AF134" s="164"/>
      <c r="AG134" s="164"/>
      <c r="AH134" s="53" t="e">
        <f>#REF!</f>
        <v>#REF!</v>
      </c>
      <c r="AI134" s="132" t="e">
        <f>MIN(25%,(#REF!+#REF!)/(#REF!-#REF!*20))</f>
        <v>#REF!</v>
      </c>
      <c r="AJ134" s="132" t="e">
        <f>MIN(25%,(#REF!+#REF!)/#REF!)</f>
        <v>#REF!</v>
      </c>
      <c r="AK134" s="39" t="e">
        <f>#REF!</f>
        <v>#REF!</v>
      </c>
      <c r="AL134" s="39" t="e">
        <f>#REF!</f>
        <v>#REF!</v>
      </c>
      <c r="AM134" s="39" t="e">
        <f>ROUNDDOWN( MAX((1 - MIN(facs_constr_factor*#REF!,facs_constr_max) + tech_2_3*#REF! + tech_2_6_2*#REF! + tech_2_10*#REF! + tech_4_6*#REF! + tech_6_3*#REF! + tech_9_2*#REF! + race_construction_cost), 1-global_constr_cap) *#REF!,0)</f>
        <v>#REF!</v>
      </c>
      <c r="AN134" s="39" t="e">
        <f>ROUNDDOWN( MAX(1 - MIN(facs_constr_factor*#REF!,facs_constr_max) + tech_1_11*#REF! + tech_6_3_2*#REF! + tech_5_2_3*#REF!, 1-global_constr_cap) *#REF!,0)</f>
        <v>#REF!</v>
      </c>
      <c r="AO134" s="39" t="e">
        <f>ROUNDDOWN( MAX((1 - MIN(facs_constr_factor*#REF!,facs_constr_max) + tech_2_3*#REF! + tech_2_6_2*#REF! + tech_2_10*#REF! + tech_4_6*#REF! + tech_6_3*#REF! + tech_9_2*#REF! + race_construction_cost), 1-global_constr_cap) * (ROUND((#REF!-250)*1.25 + 850 + 0,0)),0)</f>
        <v>#REF!</v>
      </c>
      <c r="AP134" s="39" t="e">
        <f>ROUNDDOWN( MAX(1 - MIN(facs_constr_factor*#REF!,facs_constr_max) + tech_1_11*#REF! + tech_6_3_2*#REF! + tech_5_2_3*#REF!, 1-global_constr_cap) * ROUND((#REF!-250)*0.285 + 87.5 + 0/4.25,0),0)</f>
        <v>#REF!</v>
      </c>
      <c r="AQ134" s="3" t="e">
        <f>#REF!*#REF! +#REF! *#REF!</f>
        <v>#REF!</v>
      </c>
      <c r="AR134" s="3" t="e">
        <f>#REF!*#REF!+#REF!*#REF!</f>
        <v>#REF!</v>
      </c>
      <c r="AS134" s="39" t="e">
        <f ca="1">MIN(SUM(OFFSET(#REF!,-1,0))+SUM(#REF!)+IF(#REF!&gt;12,SUM(OFFSET(#REF!,-12,0)),0),SUM(#REF!))</f>
        <v>#REF!</v>
      </c>
      <c r="AT134" s="3" t="e">
        <f ca="1">IF(#REF!&lt;&gt;0,MAX(0, MIN(20, 20 + SUM(#REF!) - SUM(#REF!) - SUM(OFFSET(#REF!,-1,0)) - IF(#REF!&gt;12,SUM(OFFSET(#REF!,-12,0)),0) - 20*#REF!)),0)</f>
        <v>#REF!</v>
      </c>
      <c r="AU134" s="134"/>
      <c r="AV134" s="39" t="e">
        <f>ROUND((#REF!-250 - IF(#REF!&lt;&gt;0,20,0))*1.25 + 850 + 0,0)</f>
        <v>#REF!</v>
      </c>
      <c r="AW134" s="39" t="e">
        <f>ROUND((#REF!-250 - IF(#REF!&lt;&gt;0,20,0))*0.285 + 87.5 + 0/4.25,0)</f>
        <v>#REF!</v>
      </c>
      <c r="AX134" s="133"/>
      <c r="AY134" s="172" t="e">
        <f t="array" aca="1" ref="AY134" ca="1">IF(#REF!&gt;12,OFFSET(#REF!,-12,0),0)+OFFSET(#REF!,-1,0)-#REF!</f>
        <v>#REF!</v>
      </c>
      <c r="AZ134" s="173" t="e">
        <f t="array" aca="1" ref="AZ134" ca="1">IF(#REF!&gt;12,OFFSET(#REF!,-12,0),0)+OFFSET(#REF!,-1,0)-#REF!</f>
        <v>#REF!</v>
      </c>
      <c r="BA134" s="173" t="e">
        <f t="array" aca="1" ref="BA134" ca="1">IF(#REF!&gt;12,OFFSET(#REF!,-12,0),0)+OFFSET(#REF!,-1,0)-#REF!</f>
        <v>#REF!</v>
      </c>
      <c r="BB134" s="173" t="e">
        <f t="array" aca="1" ref="BB134" ca="1">IF(#REF!&gt;12,OFFSET(#REF!,-12,0),0)+OFFSET(#REF!,-1,0)-#REF!</f>
        <v>#REF!</v>
      </c>
      <c r="BC134" s="173" t="e">
        <f t="array" aca="1" ref="BC134" ca="1">IF(#REF!&gt;12,OFFSET(#REF!,-12,0),0)+OFFSET(#REF!,-1,0)-#REF!</f>
        <v>#REF!</v>
      </c>
      <c r="BD134" s="174" t="e">
        <f t="array" aca="1" ref="BD134" ca="1">IF(#REF!&gt;12,OFFSET(#REF!,-12,0),0)+OFFSET(#REF!,-1,0)-#REF!</f>
        <v>#REF!</v>
      </c>
      <c r="BE134" s="174" t="e">
        <f t="array" aca="1" ref="BE134" ca="1">IF(#REF!&gt;12,OFFSET(#REF!,-12,0),0)+OFFSET(#REF!,-1,0)-#REF!</f>
        <v>#REF!</v>
      </c>
      <c r="BF134" s="343" t="e">
        <f t="array" aca="1" ref="BF134" ca="1">IF(#REF!&gt;12,OFFSET(#REF!,-12,0),0)+OFFSET(#REF!,-1,0)-#REF!</f>
        <v>#REF!</v>
      </c>
      <c r="BG134" s="343" t="e">
        <f t="array" aca="1" ref="BG134" ca="1">IF(#REF!&gt;12,OFFSET(#REF!,-12,0),0)+OFFSET(#REF!,-1,0)-#REF!</f>
        <v>#REF!</v>
      </c>
      <c r="BH134" s="347" t="e">
        <f t="array" aca="1" ref="BH134" ca="1">IF(#REF!&gt;12,OFFSET(#REF!,-12,0),0)+OFFSET(#REF!,-1,0)-#REF!</f>
        <v>#REF!</v>
      </c>
      <c r="BI134" s="347" t="e">
        <f t="array" aca="1" ref="BI134" ca="1">IF(#REF!&gt;12,OFFSET(#REF!,-12,0),0)+OFFSET(#REF!,-1,0)-#REF!</f>
        <v>#REF!</v>
      </c>
      <c r="BJ134" s="347" t="e">
        <f t="array" aca="1" ref="BJ134" ca="1">IF(#REF!&gt;12,OFFSET(#REF!,-12,0),0)+OFFSET(#REF!,-1,0)-#REF!</f>
        <v>#REF!</v>
      </c>
      <c r="BK134" s="347" t="e">
        <f t="array" aca="1" ref="BK134" ca="1">IF(#REF!&gt;12,OFFSET(#REF!,-12,0),0)+OFFSET(#REF!,-1,0)-#REF!</f>
        <v>#REF!</v>
      </c>
      <c r="BL134" s="351" t="e">
        <f t="array" aca="1" ref="BL134" ca="1">IF(#REF!&gt;12,OFFSET(#REF!,-12,0),0)+OFFSET(#REF!,-1,0)-#REF!</f>
        <v>#REF!</v>
      </c>
      <c r="BM134" s="351" t="e">
        <f t="array" aca="1" ref="BM134" ca="1">IF(#REF!&gt;12,OFFSET(#REF!,-12,0),0)+OFFSET(#REF!,-1,0)-#REF!</f>
        <v>#REF!</v>
      </c>
      <c r="BN134" s="351" t="e">
        <f t="array" aca="1" ref="BN134" ca="1">IF(#REF!&gt;12,OFFSET(#REF!,-12,0),0)+OFFSET(#REF!,-1,0)-#REF!</f>
        <v>#REF!</v>
      </c>
      <c r="BO134" s="175" t="e">
        <f t="array" aca="1" ref="BO134" ca="1">IF(#REF!&gt;12,OFFSET(#REF!,-12,0),0)+OFFSET(#REF!,-1,0)-#REF!</f>
        <v>#REF!</v>
      </c>
      <c r="BP134" s="175" t="e">
        <f t="array" aca="1" ref="BP134" ca="1">IF(#REF!&gt;12,OFFSET(#REF!,-12,0),0)+OFFSET(#REF!,-1,0)-#REF!</f>
        <v>#REF!</v>
      </c>
      <c r="BQ134" s="176" t="e">
        <f t="array" aca="1" ref="BQ134" ca="1">IF(#REF!&gt;12,OFFSET(#REF!,-12,0),0)+OFFSET(#REF!,-1,0)-#REF!</f>
        <v>#REF!</v>
      </c>
      <c r="BR134" s="134"/>
      <c r="BS134" s="133"/>
      <c r="BT134" s="39" t="e">
        <f>#REF!</f>
        <v>#REF!</v>
      </c>
      <c r="BU134" s="147" t="e">
        <f>#REF!</f>
        <v>#REF!</v>
      </c>
      <c r="BV134" s="134"/>
      <c r="BW134" s="164"/>
      <c r="BX134" s="164"/>
      <c r="BY134" s="164"/>
      <c r="BZ134" s="164"/>
      <c r="CA134" s="164"/>
      <c r="CB134" s="164"/>
      <c r="CC134" s="164"/>
      <c r="CD134" s="164"/>
      <c r="CE134" s="164"/>
      <c r="CF134" s="164"/>
      <c r="CG134" s="164"/>
      <c r="CH134" s="164"/>
      <c r="CI134" s="164"/>
      <c r="CJ134" s="164"/>
      <c r="CK134" s="164"/>
      <c r="CL134" s="164"/>
      <c r="CM134" s="164"/>
      <c r="CN134" s="164"/>
      <c r="CO134" s="164"/>
      <c r="CP134" s="134"/>
      <c r="CQ134" s="165" t="e">
        <f ca="1">-SUM(#REF!)+SUM(#REF!)+Rezone!L134+IF("Ch_"&amp; home_land=#REF!,#REF!)+IF(#REF!&gt;12,OFFSET(#REF!,-12,0),0)</f>
        <v>#REF!</v>
      </c>
      <c r="CR134" s="166" t="e">
        <f ca="1">-SUM(#REF!)+SUM(#REF!) +Rezone!M134 + IF("Ch_"&amp; home_land=#REF!,#REF!)+IF(#REF!&gt;12,OFFSET(#REF!,-12,0),0)</f>
        <v>#REF!</v>
      </c>
      <c r="CS134" s="341" t="e">
        <f ca="1">-SUM(#REF!)+SUM(#REF!) +Rezone!N134 + IF("Ch_"&amp; home_land=#REF!,#REF!)+IF(#REF!&gt;12,OFFSET(#REF!,-12,0),0)</f>
        <v>#REF!</v>
      </c>
      <c r="CT134" s="167" t="e">
        <f ca="1">-SUM(#REF!)+SUM(#REF!) +Rezone!O134 + IF("Ch_" &amp; home_land=#REF!,#REF!)+IF(#REF!&gt;12,OFFSET(#REF!,-12,0),0)</f>
        <v>#REF!</v>
      </c>
      <c r="CU134" s="168" t="e">
        <f ca="1">-SUM(#REF!)+SUM(#REF!) +Rezone!P134 + IF("Ch_" &amp; home_land=#REF!,#REF!)+IF(#REF!&gt;12,OFFSET(#REF!,-12,0),0)</f>
        <v>#REF!</v>
      </c>
      <c r="CV134" s="169" t="e">
        <f ca="1">- SUM(#REF!)+SUM(#REF!) +Rezone!Q134 + IF("Ch_" &amp; home_land=#REF!,#REF!)+IF(#REF!&gt;12,OFFSET(#REF!,-12,0),0)</f>
        <v>#REF!</v>
      </c>
      <c r="CW134" s="170" t="e">
        <f ca="1">-#REF!+#REF! +Rezone!R134 + IF("Ch_" &amp; home_land=#REF!,#REF!)+IF(#REF!&gt;12,OFFSET(#REF!,-12,0),0)</f>
        <v>#REF!</v>
      </c>
      <c r="CX134" s="3" t="e">
        <f>IF(Explore!S134=1,20) -#REF! +#REF!</f>
        <v>#REF!</v>
      </c>
      <c r="CY134" s="134"/>
      <c r="CZ134" s="39" t="e">
        <f ca="1">G134+SUM(P123:S134)+SUM(AZ134:BC134)</f>
        <v>#REF!</v>
      </c>
      <c r="DA134" s="39" t="e">
        <f ca="1">H134+SUM(T123:U134)+SUM(BD134:BE134)</f>
        <v>#REF!</v>
      </c>
      <c r="DB134" s="3" t="e">
        <f ca="1">I134+SUM(V123:W134)+SUM(BF134:BG134)</f>
        <v>#REF!</v>
      </c>
      <c r="DC134" s="39" t="e">
        <f ca="1">J134+SUM(X123:Y134)+SUM(BH134:BI134)</f>
        <v>#REF!</v>
      </c>
      <c r="DD134" s="39" t="e">
        <f ca="1">K134+SUM(AB123:AD134)+SUM(BL134:BN134)</f>
        <v>#REF!</v>
      </c>
      <c r="DE134" s="3" t="e">
        <f ca="1">L134+SUM(AE123:AE134)+BO134</f>
        <v>#REF!</v>
      </c>
      <c r="DF134" s="39" t="e">
        <f ca="1">M134+SUM(AG123:AG134)+BQ134</f>
        <v>#REF!</v>
      </c>
      <c r="DG134" s="39" t="e">
        <f t="array" ref="DG134">INDEX(#REF!,ROW()-ROW(#REF!),MATCH("Total "&amp;home_land,#REF!,0))+#REF!</f>
        <v>#REF!</v>
      </c>
      <c r="DH134" s="3" t="e">
        <f ca="1">SUM(O123:O134)+AY134</f>
        <v>#REF!</v>
      </c>
      <c r="DI134" s="3" t="e">
        <f ca="1">MAX(BA134-BA133,0)</f>
        <v>#REF!</v>
      </c>
      <c r="DJ134" s="3" t="e">
        <f ca="1">MAX(BQ134-BQ133,0)</f>
        <v>#REF!</v>
      </c>
    </row>
    <row r="135" spans="1:114" x14ac:dyDescent="0.25">
      <c r="A135" s="160" t="e">
        <f>#REF!</f>
        <v>#REF!</v>
      </c>
      <c r="B135" s="161" t="e">
        <f>SUM(#REF!)</f>
        <v>#REF!</v>
      </c>
      <c r="C135" s="162" t="e">
        <f>SUM(#REF!)</f>
        <v>#REF!</v>
      </c>
      <c r="D135" s="162">
        <f>SUM(O124:AG135)</f>
        <v>0</v>
      </c>
      <c r="E135" s="163"/>
      <c r="F135" s="61" t="e">
        <f>#REF!+#REF!+#REF!</f>
        <v>#REF!</v>
      </c>
      <c r="G135" s="171" t="e">
        <f ca="1">OFFSET(#REF!,-1,0)+#REF!</f>
        <v>#REF!</v>
      </c>
      <c r="H135" s="166" t="e">
        <f ca="1">OFFSET(#REF!,-1,0)+#REF!</f>
        <v>#REF!</v>
      </c>
      <c r="I135" s="341" t="e">
        <f ca="1">OFFSET(#REF!,-1,0)+#REF!</f>
        <v>#REF!</v>
      </c>
      <c r="J135" s="345" t="e">
        <f ca="1">OFFSET(#REF!,-1,0)+#REF!</f>
        <v>#REF!</v>
      </c>
      <c r="K135" s="349" t="e">
        <f ca="1">OFFSET(#REF!,-1,0)+#REF!</f>
        <v>#REF!</v>
      </c>
      <c r="L135" s="169" t="e">
        <f ca="1">OFFSET(#REF!,-1,0)+#REF!</f>
        <v>#REF!</v>
      </c>
      <c r="M135" s="170" t="e">
        <f ca="1">OFFSET(#REF!,-1,0)+#REF!</f>
        <v>#REF!</v>
      </c>
      <c r="N135" s="339" t="e">
        <f>#REF!</f>
        <v>#REF!</v>
      </c>
      <c r="O135" s="164"/>
      <c r="P135" s="164"/>
      <c r="Q135" s="164"/>
      <c r="R135" s="164"/>
      <c r="S135" s="164"/>
      <c r="T135" s="164"/>
      <c r="U135" s="164"/>
      <c r="V135" s="164"/>
      <c r="W135" s="164"/>
      <c r="X135" s="164"/>
      <c r="Y135" s="164"/>
      <c r="Z135" s="164"/>
      <c r="AA135" s="164"/>
      <c r="AB135" s="164"/>
      <c r="AC135" s="164"/>
      <c r="AD135" s="164"/>
      <c r="AE135" s="164"/>
      <c r="AF135" s="164"/>
      <c r="AG135" s="164"/>
      <c r="AH135" s="53" t="e">
        <f>#REF!</f>
        <v>#REF!</v>
      </c>
      <c r="AI135" s="132" t="e">
        <f>MIN(25%,(#REF!+#REF!)/(#REF!-#REF!*20))</f>
        <v>#REF!</v>
      </c>
      <c r="AJ135" s="132" t="e">
        <f>MIN(25%,(#REF!+#REF!)/#REF!)</f>
        <v>#REF!</v>
      </c>
      <c r="AK135" s="39" t="e">
        <f>#REF!</f>
        <v>#REF!</v>
      </c>
      <c r="AL135" s="39" t="e">
        <f>#REF!</f>
        <v>#REF!</v>
      </c>
      <c r="AM135" s="39" t="e">
        <f>ROUNDDOWN( MAX((1 - MIN(facs_constr_factor*#REF!,facs_constr_max) + tech_2_3*#REF! + tech_2_6_2*#REF! + tech_2_10*#REF! + tech_4_6*#REF! + tech_6_3*#REF! + tech_9_2*#REF! + race_construction_cost), 1-global_constr_cap) *#REF!,0)</f>
        <v>#REF!</v>
      </c>
      <c r="AN135" s="39" t="e">
        <f>ROUNDDOWN( MAX(1 - MIN(facs_constr_factor*#REF!,facs_constr_max) + tech_1_11*#REF! + tech_6_3_2*#REF! + tech_5_2_3*#REF!, 1-global_constr_cap) *#REF!,0)</f>
        <v>#REF!</v>
      </c>
      <c r="AO135" s="39" t="e">
        <f>ROUNDDOWN( MAX((1 - MIN(facs_constr_factor*#REF!,facs_constr_max) + tech_2_3*#REF! + tech_2_6_2*#REF! + tech_2_10*#REF! + tech_4_6*#REF! + tech_6_3*#REF! + tech_9_2*#REF! + race_construction_cost), 1-global_constr_cap) * (ROUND((#REF!-250)*1.25 + 850 + 0,0)),0)</f>
        <v>#REF!</v>
      </c>
      <c r="AP135" s="39" t="e">
        <f>ROUNDDOWN( MAX(1 - MIN(facs_constr_factor*#REF!,facs_constr_max) + tech_1_11*#REF! + tech_6_3_2*#REF! + tech_5_2_3*#REF!, 1-global_constr_cap) * ROUND((#REF!-250)*0.285 + 87.5 + 0/4.25,0),0)</f>
        <v>#REF!</v>
      </c>
      <c r="AQ135" s="3" t="e">
        <f>#REF!*#REF! +#REF! *#REF!</f>
        <v>#REF!</v>
      </c>
      <c r="AR135" s="3" t="e">
        <f>#REF!*#REF!+#REF!*#REF!</f>
        <v>#REF!</v>
      </c>
      <c r="AS135" s="39" t="e">
        <f ca="1">MIN(SUM(OFFSET(#REF!,-1,0))+SUM(#REF!)+IF(#REF!&gt;12,SUM(OFFSET(#REF!,-12,0)),0),SUM(#REF!))</f>
        <v>#REF!</v>
      </c>
      <c r="AT135" s="3" t="e">
        <f ca="1">IF(#REF!&lt;&gt;0,MAX(0, MIN(20, 20 + SUM(#REF!) - SUM(#REF!) - SUM(OFFSET(#REF!,-1,0)) - IF(#REF!&gt;12,SUM(OFFSET(#REF!,-12,0)),0) - 20*#REF!)),0)</f>
        <v>#REF!</v>
      </c>
      <c r="AU135" s="134"/>
      <c r="AV135" s="39" t="e">
        <f>ROUND((#REF!-250 - IF(#REF!&lt;&gt;0,20,0))*1.25 + 850 + 0,0)</f>
        <v>#REF!</v>
      </c>
      <c r="AW135" s="39" t="e">
        <f>ROUND((#REF!-250 - IF(#REF!&lt;&gt;0,20,0))*0.285 + 87.5 + 0/4.25,0)</f>
        <v>#REF!</v>
      </c>
      <c r="AX135" s="133"/>
      <c r="AY135" s="172" t="e">
        <f t="array" aca="1" ref="AY135" ca="1">IF(#REF!&gt;12,OFFSET(#REF!,-12,0),0)+OFFSET(#REF!,-1,0)-#REF!</f>
        <v>#REF!</v>
      </c>
      <c r="AZ135" s="173" t="e">
        <f t="array" aca="1" ref="AZ135" ca="1">IF(#REF!&gt;12,OFFSET(#REF!,-12,0),0)+OFFSET(#REF!,-1,0)-#REF!</f>
        <v>#REF!</v>
      </c>
      <c r="BA135" s="173" t="e">
        <f t="array" aca="1" ref="BA135" ca="1">IF(#REF!&gt;12,OFFSET(#REF!,-12,0),0)+OFFSET(#REF!,-1,0)-#REF!</f>
        <v>#REF!</v>
      </c>
      <c r="BB135" s="173" t="e">
        <f t="array" aca="1" ref="BB135" ca="1">IF(#REF!&gt;12,OFFSET(#REF!,-12,0),0)+OFFSET(#REF!,-1,0)-#REF!</f>
        <v>#REF!</v>
      </c>
      <c r="BC135" s="173" t="e">
        <f t="array" aca="1" ref="BC135" ca="1">IF(#REF!&gt;12,OFFSET(#REF!,-12,0),0)+OFFSET(#REF!,-1,0)-#REF!</f>
        <v>#REF!</v>
      </c>
      <c r="BD135" s="174" t="e">
        <f t="array" aca="1" ref="BD135" ca="1">IF(#REF!&gt;12,OFFSET(#REF!,-12,0),0)+OFFSET(#REF!,-1,0)-#REF!</f>
        <v>#REF!</v>
      </c>
      <c r="BE135" s="174" t="e">
        <f t="array" aca="1" ref="BE135" ca="1">IF(#REF!&gt;12,OFFSET(#REF!,-12,0),0)+OFFSET(#REF!,-1,0)-#REF!</f>
        <v>#REF!</v>
      </c>
      <c r="BF135" s="343" t="e">
        <f t="array" aca="1" ref="BF135" ca="1">IF(#REF!&gt;12,OFFSET(#REF!,-12,0),0)+OFFSET(#REF!,-1,0)-#REF!</f>
        <v>#REF!</v>
      </c>
      <c r="BG135" s="343" t="e">
        <f t="array" aca="1" ref="BG135" ca="1">IF(#REF!&gt;12,OFFSET(#REF!,-12,0),0)+OFFSET(#REF!,-1,0)-#REF!</f>
        <v>#REF!</v>
      </c>
      <c r="BH135" s="347" t="e">
        <f t="array" aca="1" ref="BH135" ca="1">IF(#REF!&gt;12,OFFSET(#REF!,-12,0),0)+OFFSET(#REF!,-1,0)-#REF!</f>
        <v>#REF!</v>
      </c>
      <c r="BI135" s="347" t="e">
        <f t="array" aca="1" ref="BI135" ca="1">IF(#REF!&gt;12,OFFSET(#REF!,-12,0),0)+OFFSET(#REF!,-1,0)-#REF!</f>
        <v>#REF!</v>
      </c>
      <c r="BJ135" s="347" t="e">
        <f t="array" aca="1" ref="BJ135" ca="1">IF(#REF!&gt;12,OFFSET(#REF!,-12,0),0)+OFFSET(#REF!,-1,0)-#REF!</f>
        <v>#REF!</v>
      </c>
      <c r="BK135" s="347" t="e">
        <f t="array" aca="1" ref="BK135" ca="1">IF(#REF!&gt;12,OFFSET(#REF!,-12,0),0)+OFFSET(#REF!,-1,0)-#REF!</f>
        <v>#REF!</v>
      </c>
      <c r="BL135" s="351" t="e">
        <f t="array" aca="1" ref="BL135" ca="1">IF(#REF!&gt;12,OFFSET(#REF!,-12,0),0)+OFFSET(#REF!,-1,0)-#REF!</f>
        <v>#REF!</v>
      </c>
      <c r="BM135" s="351" t="e">
        <f t="array" aca="1" ref="BM135" ca="1">IF(#REF!&gt;12,OFFSET(#REF!,-12,0),0)+OFFSET(#REF!,-1,0)-#REF!</f>
        <v>#REF!</v>
      </c>
      <c r="BN135" s="351" t="e">
        <f t="array" aca="1" ref="BN135" ca="1">IF(#REF!&gt;12,OFFSET(#REF!,-12,0),0)+OFFSET(#REF!,-1,0)-#REF!</f>
        <v>#REF!</v>
      </c>
      <c r="BO135" s="175" t="e">
        <f t="array" aca="1" ref="BO135" ca="1">IF(#REF!&gt;12,OFFSET(#REF!,-12,0),0)+OFFSET(#REF!,-1,0)-#REF!</f>
        <v>#REF!</v>
      </c>
      <c r="BP135" s="175" t="e">
        <f t="array" aca="1" ref="BP135" ca="1">IF(#REF!&gt;12,OFFSET(#REF!,-12,0),0)+OFFSET(#REF!,-1,0)-#REF!</f>
        <v>#REF!</v>
      </c>
      <c r="BQ135" s="176" t="e">
        <f t="array" aca="1" ref="BQ135" ca="1">IF(#REF!&gt;12,OFFSET(#REF!,-12,0),0)+OFFSET(#REF!,-1,0)-#REF!</f>
        <v>#REF!</v>
      </c>
      <c r="BR135" s="134"/>
      <c r="BS135" s="133"/>
      <c r="BT135" s="39" t="e">
        <f>#REF!</f>
        <v>#REF!</v>
      </c>
      <c r="BU135" s="147" t="e">
        <f>#REF!</f>
        <v>#REF!</v>
      </c>
      <c r="BV135" s="134"/>
      <c r="BW135" s="164"/>
      <c r="BX135" s="164"/>
      <c r="BY135" s="164"/>
      <c r="BZ135" s="164"/>
      <c r="CA135" s="164"/>
      <c r="CB135" s="164"/>
      <c r="CC135" s="164"/>
      <c r="CD135" s="164"/>
      <c r="CE135" s="164"/>
      <c r="CF135" s="164"/>
      <c r="CG135" s="164"/>
      <c r="CH135" s="164"/>
      <c r="CI135" s="164"/>
      <c r="CJ135" s="164"/>
      <c r="CK135" s="164"/>
      <c r="CL135" s="164"/>
      <c r="CM135" s="164"/>
      <c r="CN135" s="164"/>
      <c r="CO135" s="164"/>
      <c r="CP135" s="134"/>
      <c r="CQ135" s="165" t="e">
        <f ca="1">-SUM(#REF!)+SUM(#REF!)+Rezone!L135+IF("Ch_"&amp; home_land=#REF!,#REF!)+IF(#REF!&gt;12,OFFSET(#REF!,-12,0),0)</f>
        <v>#REF!</v>
      </c>
      <c r="CR135" s="166" t="e">
        <f ca="1">-SUM(#REF!)+SUM(#REF!) +Rezone!M135 + IF("Ch_"&amp; home_land=#REF!,#REF!)+IF(#REF!&gt;12,OFFSET(#REF!,-12,0),0)</f>
        <v>#REF!</v>
      </c>
      <c r="CS135" s="341" t="e">
        <f ca="1">-SUM(#REF!)+SUM(#REF!) +Rezone!N135 + IF("Ch_"&amp; home_land=#REF!,#REF!)+IF(#REF!&gt;12,OFFSET(#REF!,-12,0),0)</f>
        <v>#REF!</v>
      </c>
      <c r="CT135" s="167" t="e">
        <f ca="1">-SUM(#REF!)+SUM(#REF!) +Rezone!O135 + IF("Ch_" &amp; home_land=#REF!,#REF!)+IF(#REF!&gt;12,OFFSET(#REF!,-12,0),0)</f>
        <v>#REF!</v>
      </c>
      <c r="CU135" s="168" t="e">
        <f ca="1">-SUM(#REF!)+SUM(#REF!) +Rezone!P135 + IF("Ch_" &amp; home_land=#REF!,#REF!)+IF(#REF!&gt;12,OFFSET(#REF!,-12,0),0)</f>
        <v>#REF!</v>
      </c>
      <c r="CV135" s="169" t="e">
        <f ca="1">- SUM(#REF!)+SUM(#REF!) +Rezone!Q135 + IF("Ch_" &amp; home_land=#REF!,#REF!)+IF(#REF!&gt;12,OFFSET(#REF!,-12,0),0)</f>
        <v>#REF!</v>
      </c>
      <c r="CW135" s="170" t="e">
        <f ca="1">-#REF!+#REF! +Rezone!R135 + IF("Ch_" &amp; home_land=#REF!,#REF!)+IF(#REF!&gt;12,OFFSET(#REF!,-12,0),0)</f>
        <v>#REF!</v>
      </c>
      <c r="CX135" s="3" t="e">
        <f>IF(Explore!S135=1,20) -#REF! +#REF!</f>
        <v>#REF!</v>
      </c>
      <c r="CY135" s="134"/>
      <c r="CZ135" s="39" t="e">
        <f ca="1">G135+SUM(P124:S135)+SUM(AZ135:BC135)</f>
        <v>#REF!</v>
      </c>
      <c r="DA135" s="39" t="e">
        <f ca="1">H135+SUM(T124:U135)+SUM(BD135:BE135)</f>
        <v>#REF!</v>
      </c>
      <c r="DB135" s="3" t="e">
        <f ca="1">I135+SUM(V124:W135)+SUM(BF135:BG135)</f>
        <v>#REF!</v>
      </c>
      <c r="DC135" s="39" t="e">
        <f ca="1">J135+SUM(X124:Y135)+SUM(BH135:BI135)</f>
        <v>#REF!</v>
      </c>
      <c r="DD135" s="39" t="e">
        <f ca="1">K135+SUM(AB124:AD135)+SUM(BL135:BN135)</f>
        <v>#REF!</v>
      </c>
      <c r="DE135" s="3" t="e">
        <f ca="1">L135+SUM(AE124:AE135)+BO135</f>
        <v>#REF!</v>
      </c>
      <c r="DF135" s="39" t="e">
        <f ca="1">M135+SUM(AG124:AG135)+BQ135</f>
        <v>#REF!</v>
      </c>
      <c r="DG135" s="39" t="e">
        <f t="array" ref="DG135">INDEX(#REF!,ROW()-ROW(#REF!),MATCH("Total "&amp;home_land,#REF!,0))+#REF!</f>
        <v>#REF!</v>
      </c>
      <c r="DH135" s="3" t="e">
        <f ca="1">SUM(O124:O135)+AY135</f>
        <v>#REF!</v>
      </c>
      <c r="DI135" s="3" t="e">
        <f ca="1">MAX(BA135-BA134,0)</f>
        <v>#REF!</v>
      </c>
      <c r="DJ135" s="3" t="e">
        <f ca="1">MAX(BQ135-BQ134,0)</f>
        <v>#REF!</v>
      </c>
    </row>
    <row r="136" spans="1:114" x14ac:dyDescent="0.25">
      <c r="A136" s="160" t="e">
        <f>#REF!</f>
        <v>#REF!</v>
      </c>
      <c r="B136" s="161" t="e">
        <f>SUM(#REF!)</f>
        <v>#REF!</v>
      </c>
      <c r="C136" s="162" t="e">
        <f>SUM(#REF!)</f>
        <v>#REF!</v>
      </c>
      <c r="D136" s="162">
        <f>SUM(O125:AG136)</f>
        <v>0</v>
      </c>
      <c r="E136" s="163"/>
      <c r="F136" s="61" t="e">
        <f>#REF!+#REF!+#REF!</f>
        <v>#REF!</v>
      </c>
      <c r="G136" s="171" t="e">
        <f ca="1">OFFSET(#REF!,-1,0)+#REF!</f>
        <v>#REF!</v>
      </c>
      <c r="H136" s="166" t="e">
        <f ca="1">OFFSET(#REF!,-1,0)+#REF!</f>
        <v>#REF!</v>
      </c>
      <c r="I136" s="341" t="e">
        <f ca="1">OFFSET(#REF!,-1,0)+#REF!</f>
        <v>#REF!</v>
      </c>
      <c r="J136" s="345" t="e">
        <f ca="1">OFFSET(#REF!,-1,0)+#REF!</f>
        <v>#REF!</v>
      </c>
      <c r="K136" s="349" t="e">
        <f ca="1">OFFSET(#REF!,-1,0)+#REF!</f>
        <v>#REF!</v>
      </c>
      <c r="L136" s="169" t="e">
        <f ca="1">OFFSET(#REF!,-1,0)+#REF!</f>
        <v>#REF!</v>
      </c>
      <c r="M136" s="170" t="e">
        <f ca="1">OFFSET(#REF!,-1,0)+#REF!</f>
        <v>#REF!</v>
      </c>
      <c r="N136" s="339" t="e">
        <f>#REF!</f>
        <v>#REF!</v>
      </c>
      <c r="O136" s="164"/>
      <c r="P136" s="164"/>
      <c r="Q136" s="164"/>
      <c r="R136" s="164"/>
      <c r="S136" s="164"/>
      <c r="T136" s="164"/>
      <c r="U136" s="164"/>
      <c r="V136" s="164"/>
      <c r="W136" s="164"/>
      <c r="X136" s="164"/>
      <c r="Y136" s="164"/>
      <c r="Z136" s="164"/>
      <c r="AA136" s="164"/>
      <c r="AB136" s="164"/>
      <c r="AC136" s="164"/>
      <c r="AD136" s="164"/>
      <c r="AE136" s="164"/>
      <c r="AF136" s="164"/>
      <c r="AG136" s="164"/>
      <c r="AH136" s="53" t="e">
        <f>#REF!</f>
        <v>#REF!</v>
      </c>
      <c r="AI136" s="132" t="e">
        <f>MIN(25%,(#REF!+#REF!)/(#REF!-#REF!*20))</f>
        <v>#REF!</v>
      </c>
      <c r="AJ136" s="132" t="e">
        <f>MIN(25%,(#REF!+#REF!)/#REF!)</f>
        <v>#REF!</v>
      </c>
      <c r="AK136" s="39" t="e">
        <f>#REF!</f>
        <v>#REF!</v>
      </c>
      <c r="AL136" s="39" t="e">
        <f>#REF!</f>
        <v>#REF!</v>
      </c>
      <c r="AM136" s="39" t="e">
        <f>ROUNDDOWN( MAX((1 - MIN(facs_constr_factor*#REF!,facs_constr_max) + tech_2_3*#REF! + tech_2_6_2*#REF! + tech_2_10*#REF! + tech_4_6*#REF! + tech_6_3*#REF! + tech_9_2*#REF! + race_construction_cost), 1-global_constr_cap) *#REF!,0)</f>
        <v>#REF!</v>
      </c>
      <c r="AN136" s="39" t="e">
        <f>ROUNDDOWN( MAX(1 - MIN(facs_constr_factor*#REF!,facs_constr_max) + tech_1_11*#REF! + tech_6_3_2*#REF! + tech_5_2_3*#REF!, 1-global_constr_cap) *#REF!,0)</f>
        <v>#REF!</v>
      </c>
      <c r="AO136" s="39" t="e">
        <f>ROUNDDOWN( MAX((1 - MIN(facs_constr_factor*#REF!,facs_constr_max) + tech_2_3*#REF! + tech_2_6_2*#REF! + tech_2_10*#REF! + tech_4_6*#REF! + tech_6_3*#REF! + tech_9_2*#REF! + race_construction_cost), 1-global_constr_cap) * (ROUND((#REF!-250)*1.25 + 850 + 0,0)),0)</f>
        <v>#REF!</v>
      </c>
      <c r="AP136" s="39" t="e">
        <f>ROUNDDOWN( MAX(1 - MIN(facs_constr_factor*#REF!,facs_constr_max) + tech_1_11*#REF! + tech_6_3_2*#REF! + tech_5_2_3*#REF!, 1-global_constr_cap) * ROUND((#REF!-250)*0.285 + 87.5 + 0/4.25,0),0)</f>
        <v>#REF!</v>
      </c>
      <c r="AQ136" s="3" t="e">
        <f>#REF!*#REF! +#REF! *#REF!</f>
        <v>#REF!</v>
      </c>
      <c r="AR136" s="3" t="e">
        <f>#REF!*#REF!+#REF!*#REF!</f>
        <v>#REF!</v>
      </c>
      <c r="AS136" s="39" t="e">
        <f ca="1">MIN(SUM(OFFSET(#REF!,-1,0))+SUM(#REF!)+IF(#REF!&gt;12,SUM(OFFSET(#REF!,-12,0)),0),SUM(#REF!))</f>
        <v>#REF!</v>
      </c>
      <c r="AT136" s="3" t="e">
        <f ca="1">IF(#REF!&lt;&gt;0,MAX(0, MIN(20, 20 + SUM(#REF!) - SUM(#REF!) - SUM(OFFSET(#REF!,-1,0)) - IF(#REF!&gt;12,SUM(OFFSET(#REF!,-12,0)),0) - 20*#REF!)),0)</f>
        <v>#REF!</v>
      </c>
      <c r="AU136" s="134"/>
      <c r="AV136" s="39" t="e">
        <f>ROUND((#REF!-250 - IF(#REF!&lt;&gt;0,20,0))*1.25 + 850 + 0,0)</f>
        <v>#REF!</v>
      </c>
      <c r="AW136" s="39" t="e">
        <f>ROUND((#REF!-250 - IF(#REF!&lt;&gt;0,20,0))*0.285 + 87.5 + 0/4.25,0)</f>
        <v>#REF!</v>
      </c>
      <c r="AX136" s="133"/>
      <c r="AY136" s="172" t="e">
        <f t="array" aca="1" ref="AY136" ca="1">IF(#REF!&gt;12,OFFSET(#REF!,-12,0),0)+OFFSET(#REF!,-1,0)-#REF!</f>
        <v>#REF!</v>
      </c>
      <c r="AZ136" s="173" t="e">
        <f t="array" aca="1" ref="AZ136" ca="1">IF(#REF!&gt;12,OFFSET(#REF!,-12,0),0)+OFFSET(#REF!,-1,0)-#REF!</f>
        <v>#REF!</v>
      </c>
      <c r="BA136" s="173" t="e">
        <f t="array" aca="1" ref="BA136" ca="1">IF(#REF!&gt;12,OFFSET(#REF!,-12,0),0)+OFFSET(#REF!,-1,0)-#REF!</f>
        <v>#REF!</v>
      </c>
      <c r="BB136" s="173" t="e">
        <f t="array" aca="1" ref="BB136" ca="1">IF(#REF!&gt;12,OFFSET(#REF!,-12,0),0)+OFFSET(#REF!,-1,0)-#REF!</f>
        <v>#REF!</v>
      </c>
      <c r="BC136" s="173" t="e">
        <f t="array" aca="1" ref="BC136" ca="1">IF(#REF!&gt;12,OFFSET(#REF!,-12,0),0)+OFFSET(#REF!,-1,0)-#REF!</f>
        <v>#REF!</v>
      </c>
      <c r="BD136" s="174" t="e">
        <f t="array" aca="1" ref="BD136" ca="1">IF(#REF!&gt;12,OFFSET(#REF!,-12,0),0)+OFFSET(#REF!,-1,0)-#REF!</f>
        <v>#REF!</v>
      </c>
      <c r="BE136" s="174" t="e">
        <f t="array" aca="1" ref="BE136" ca="1">IF(#REF!&gt;12,OFFSET(#REF!,-12,0),0)+OFFSET(#REF!,-1,0)-#REF!</f>
        <v>#REF!</v>
      </c>
      <c r="BF136" s="343" t="e">
        <f t="array" aca="1" ref="BF136" ca="1">IF(#REF!&gt;12,OFFSET(#REF!,-12,0),0)+OFFSET(#REF!,-1,0)-#REF!</f>
        <v>#REF!</v>
      </c>
      <c r="BG136" s="343" t="e">
        <f t="array" aca="1" ref="BG136" ca="1">IF(#REF!&gt;12,OFFSET(#REF!,-12,0),0)+OFFSET(#REF!,-1,0)-#REF!</f>
        <v>#REF!</v>
      </c>
      <c r="BH136" s="347" t="e">
        <f t="array" aca="1" ref="BH136" ca="1">IF(#REF!&gt;12,OFFSET(#REF!,-12,0),0)+OFFSET(#REF!,-1,0)-#REF!</f>
        <v>#REF!</v>
      </c>
      <c r="BI136" s="347" t="e">
        <f t="array" aca="1" ref="BI136" ca="1">IF(#REF!&gt;12,OFFSET(#REF!,-12,0),0)+OFFSET(#REF!,-1,0)-#REF!</f>
        <v>#REF!</v>
      </c>
      <c r="BJ136" s="347" t="e">
        <f t="array" aca="1" ref="BJ136" ca="1">IF(#REF!&gt;12,OFFSET(#REF!,-12,0),0)+OFFSET(#REF!,-1,0)-#REF!</f>
        <v>#REF!</v>
      </c>
      <c r="BK136" s="347" t="e">
        <f t="array" aca="1" ref="BK136" ca="1">IF(#REF!&gt;12,OFFSET(#REF!,-12,0),0)+OFFSET(#REF!,-1,0)-#REF!</f>
        <v>#REF!</v>
      </c>
      <c r="BL136" s="351" t="e">
        <f t="array" aca="1" ref="BL136" ca="1">IF(#REF!&gt;12,OFFSET(#REF!,-12,0),0)+OFFSET(#REF!,-1,0)-#REF!</f>
        <v>#REF!</v>
      </c>
      <c r="BM136" s="351" t="e">
        <f t="array" aca="1" ref="BM136" ca="1">IF(#REF!&gt;12,OFFSET(#REF!,-12,0),0)+OFFSET(#REF!,-1,0)-#REF!</f>
        <v>#REF!</v>
      </c>
      <c r="BN136" s="351" t="e">
        <f t="array" aca="1" ref="BN136" ca="1">IF(#REF!&gt;12,OFFSET(#REF!,-12,0),0)+OFFSET(#REF!,-1,0)-#REF!</f>
        <v>#REF!</v>
      </c>
      <c r="BO136" s="175" t="e">
        <f t="array" aca="1" ref="BO136" ca="1">IF(#REF!&gt;12,OFFSET(#REF!,-12,0),0)+OFFSET(#REF!,-1,0)-#REF!</f>
        <v>#REF!</v>
      </c>
      <c r="BP136" s="175" t="e">
        <f t="array" aca="1" ref="BP136" ca="1">IF(#REF!&gt;12,OFFSET(#REF!,-12,0),0)+OFFSET(#REF!,-1,0)-#REF!</f>
        <v>#REF!</v>
      </c>
      <c r="BQ136" s="176" t="e">
        <f t="array" aca="1" ref="BQ136" ca="1">IF(#REF!&gt;12,OFFSET(#REF!,-12,0),0)+OFFSET(#REF!,-1,0)-#REF!</f>
        <v>#REF!</v>
      </c>
      <c r="BR136" s="134"/>
      <c r="BS136" s="133"/>
      <c r="BT136" s="39" t="e">
        <f>#REF!</f>
        <v>#REF!</v>
      </c>
      <c r="BU136" s="147" t="e">
        <f>#REF!</f>
        <v>#REF!</v>
      </c>
      <c r="BV136" s="134"/>
      <c r="BW136" s="164"/>
      <c r="BX136" s="164"/>
      <c r="BY136" s="164"/>
      <c r="BZ136" s="164"/>
      <c r="CA136" s="164"/>
      <c r="CB136" s="164"/>
      <c r="CC136" s="164"/>
      <c r="CD136" s="164"/>
      <c r="CE136" s="164"/>
      <c r="CF136" s="164"/>
      <c r="CG136" s="164"/>
      <c r="CH136" s="164"/>
      <c r="CI136" s="164"/>
      <c r="CJ136" s="164"/>
      <c r="CK136" s="164"/>
      <c r="CL136" s="164"/>
      <c r="CM136" s="164"/>
      <c r="CN136" s="164"/>
      <c r="CO136" s="164"/>
      <c r="CP136" s="134"/>
      <c r="CQ136" s="165" t="e">
        <f ca="1">-SUM(#REF!)+SUM(#REF!)+Rezone!L136+IF("Ch_"&amp; home_land=#REF!,#REF!)+IF(#REF!&gt;12,OFFSET(#REF!,-12,0),0)</f>
        <v>#REF!</v>
      </c>
      <c r="CR136" s="166" t="e">
        <f ca="1">-SUM(#REF!)+SUM(#REF!) +Rezone!M136 + IF("Ch_"&amp; home_land=#REF!,#REF!)+IF(#REF!&gt;12,OFFSET(#REF!,-12,0),0)</f>
        <v>#REF!</v>
      </c>
      <c r="CS136" s="341" t="e">
        <f ca="1">-SUM(#REF!)+SUM(#REF!) +Rezone!N136 + IF("Ch_"&amp; home_land=#REF!,#REF!)+IF(#REF!&gt;12,OFFSET(#REF!,-12,0),0)</f>
        <v>#REF!</v>
      </c>
      <c r="CT136" s="167" t="e">
        <f ca="1">-SUM(#REF!)+SUM(#REF!) +Rezone!O136 + IF("Ch_" &amp; home_land=#REF!,#REF!)+IF(#REF!&gt;12,OFFSET(#REF!,-12,0),0)</f>
        <v>#REF!</v>
      </c>
      <c r="CU136" s="168" t="e">
        <f ca="1">-SUM(#REF!)+SUM(#REF!) +Rezone!P136 + IF("Ch_" &amp; home_land=#REF!,#REF!)+IF(#REF!&gt;12,OFFSET(#REF!,-12,0),0)</f>
        <v>#REF!</v>
      </c>
      <c r="CV136" s="169" t="e">
        <f ca="1">- SUM(#REF!)+SUM(#REF!) +Rezone!Q136 + IF("Ch_" &amp; home_land=#REF!,#REF!)+IF(#REF!&gt;12,OFFSET(#REF!,-12,0),0)</f>
        <v>#REF!</v>
      </c>
      <c r="CW136" s="170" t="e">
        <f ca="1">-#REF!+#REF! +Rezone!R136 + IF("Ch_" &amp; home_land=#REF!,#REF!)+IF(#REF!&gt;12,OFFSET(#REF!,-12,0),0)</f>
        <v>#REF!</v>
      </c>
      <c r="CX136" s="3" t="e">
        <f>IF(Explore!S136=1,20) -#REF! +#REF!</f>
        <v>#REF!</v>
      </c>
      <c r="CY136" s="134"/>
      <c r="CZ136" s="39" t="e">
        <f ca="1">G136+SUM(P125:S136)+SUM(AZ136:BC136)</f>
        <v>#REF!</v>
      </c>
      <c r="DA136" s="39" t="e">
        <f ca="1">H136+SUM(T125:U136)+SUM(BD136:BE136)</f>
        <v>#REF!</v>
      </c>
      <c r="DB136" s="3" t="e">
        <f ca="1">I136+SUM(V125:W136)+SUM(BF136:BG136)</f>
        <v>#REF!</v>
      </c>
      <c r="DC136" s="39" t="e">
        <f ca="1">J136+SUM(X125:Y136)+SUM(BH136:BI136)</f>
        <v>#REF!</v>
      </c>
      <c r="DD136" s="39" t="e">
        <f ca="1">K136+SUM(AB125:AD136)+SUM(BL136:BN136)</f>
        <v>#REF!</v>
      </c>
      <c r="DE136" s="3" t="e">
        <f ca="1">L136+SUM(AE125:AE136)+BO136</f>
        <v>#REF!</v>
      </c>
      <c r="DF136" s="39" t="e">
        <f ca="1">M136+SUM(AG125:AG136)+BQ136</f>
        <v>#REF!</v>
      </c>
      <c r="DG136" s="39" t="e">
        <f t="array" ref="DG136">INDEX(#REF!,ROW()-ROW(#REF!),MATCH("Total "&amp;home_land,#REF!,0))+#REF!</f>
        <v>#REF!</v>
      </c>
      <c r="DH136" s="3" t="e">
        <f ca="1">SUM(O125:O136)+AY136</f>
        <v>#REF!</v>
      </c>
      <c r="DI136" s="3" t="e">
        <f ca="1">MAX(BA136-BA135,0)</f>
        <v>#REF!</v>
      </c>
      <c r="DJ136" s="3" t="e">
        <f ca="1">MAX(BQ136-BQ135,0)</f>
        <v>#REF!</v>
      </c>
    </row>
    <row r="1269" spans="1:2" ht="13" x14ac:dyDescent="0.3">
      <c r="A1269" s="448" t="s">
        <v>316</v>
      </c>
      <c r="B1269" s="405"/>
    </row>
    <row r="1270" spans="1:2" ht="13" x14ac:dyDescent="0.3">
      <c r="A1270" s="31" t="e">
        <f>Overview!E17</f>
        <v>#REF!</v>
      </c>
      <c r="B1270" s="31"/>
    </row>
  </sheetData>
  <mergeCells count="11">
    <mergeCell ref="AO1:AP1"/>
    <mergeCell ref="CZ1:DD1"/>
    <mergeCell ref="DG1:DH1"/>
    <mergeCell ref="A1269:B1269"/>
    <mergeCell ref="O1:Q1"/>
    <mergeCell ref="BW1:BX1"/>
    <mergeCell ref="CQ1:CR1"/>
    <mergeCell ref="AK1:AL1"/>
    <mergeCell ref="AY1:BA1"/>
    <mergeCell ref="AQ1:AR1"/>
    <mergeCell ref="AM1:AN1"/>
  </mergeCells>
  <phoneticPr fontId="1"/>
  <conditionalFormatting sqref="A137:D1268 F137:H1268 A1271:D65537 F1271:H65537">
    <cfRule type="expression" dxfId="68" priority="74" stopIfTrue="1">
      <formula>XEV137&lt;0</formula>
    </cfRule>
  </conditionalFormatting>
  <conditionalFormatting sqref="A1269:AG1270 BV1269:DJ1270">
    <cfRule type="expression" dxfId="67" priority="77" stopIfTrue="1">
      <formula>$A$1270&gt;144</formula>
    </cfRule>
  </conditionalFormatting>
  <conditionalFormatting sqref="A4:DJ35 A36:O38 Q36:W38 Y36:DJ39 A39:W39 A40:DJ52 A53:Q59 S53:X59 Z53:DJ59 A60:DJ136">
    <cfRule type="expression" dxfId="66" priority="136">
      <formula>$A4=73</formula>
    </cfRule>
    <cfRule type="expression" dxfId="65" priority="137">
      <formula>ROUND(($A4-1)/12,0)=INT($A4-1)/12</formula>
    </cfRule>
  </conditionalFormatting>
  <conditionalFormatting sqref="A4:DJ35 Y36:DJ39 A40:DJ52 Z53:DJ59 A60:DJ136 A36:O38 Q36:W38 A39:W39 A53:Q59 S53:X59">
    <cfRule type="expression" dxfId="64" priority="13" stopIfTrue="1">
      <formula>ROW()-3=$A$1270</formula>
    </cfRule>
  </conditionalFormatting>
  <conditionalFormatting sqref="A1:XFD3">
    <cfRule type="expression" dxfId="63" priority="138">
      <formula>$A$1270&lt;0</formula>
    </cfRule>
  </conditionalFormatting>
  <conditionalFormatting sqref="E137:E1268 E1271:E65537">
    <cfRule type="expression" dxfId="62" priority="75" stopIfTrue="1">
      <formula>XEU137&lt;0</formula>
    </cfRule>
  </conditionalFormatting>
  <conditionalFormatting sqref="I137:J1268 I1271:J65537">
    <cfRule type="expression" dxfId="61" priority="98" stopIfTrue="1">
      <formula>A137&lt;0</formula>
    </cfRule>
  </conditionalFormatting>
  <conditionalFormatting sqref="K137:L1268 K1271:L65537">
    <cfRule type="expression" dxfId="60" priority="95" stopIfTrue="1">
      <formula>A137&lt;0</formula>
    </cfRule>
  </conditionalFormatting>
  <conditionalFormatting sqref="M137:N1268 M1271:N65537">
    <cfRule type="expression" dxfId="59" priority="73" stopIfTrue="1">
      <formula>XEZ137&lt;0</formula>
    </cfRule>
  </conditionalFormatting>
  <conditionalFormatting sqref="O137:AG1268 BV137:DJ1268 DI1271:DJ52023 O1271:AG52052 BV1271:DH52052">
    <cfRule type="expression" dxfId="58" priority="76" stopIfTrue="1">
      <formula>ROW()-2=#REF!</formula>
    </cfRule>
  </conditionalFormatting>
  <conditionalFormatting sqref="P36:P38">
    <cfRule type="expression" dxfId="57" priority="4" stopIfTrue="1">
      <formula>ROW()-3=$B$1270</formula>
    </cfRule>
    <cfRule type="expression" dxfId="56" priority="5">
      <formula>$A36=73</formula>
    </cfRule>
    <cfRule type="expression" dxfId="55" priority="6">
      <formula>ROUND(($A36-1)/12,0)=INT($A36-1)/12</formula>
    </cfRule>
  </conditionalFormatting>
  <conditionalFormatting sqref="X36:X39">
    <cfRule type="expression" dxfId="54" priority="1" stopIfTrue="1">
      <formula>ROW()-3=$B$1270</formula>
    </cfRule>
    <cfRule type="expression" dxfId="53" priority="2">
      <formula>$A36=73</formula>
    </cfRule>
    <cfRule type="expression" dxfId="52" priority="3">
      <formula>ROUND(($A36-1)/12,0)=INT($A36-1)/12</formula>
    </cfRule>
  </conditionalFormatting>
  <conditionalFormatting sqref="AY4:BQ136">
    <cfRule type="expression" dxfId="51" priority="7" stopIfTrue="1">
      <formula>OR(AY4&lt;0,ROW()-3=$A$1270)</formula>
    </cfRule>
  </conditionalFormatting>
  <pageMargins left="0.75" right="0.75" top="1" bottom="1" header="0.5" footer="0.5"/>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sheetPr>
  <dimension ref="A1:AK1270"/>
  <sheetViews>
    <sheetView topLeftCell="K1" zoomScale="85" zoomScaleNormal="85" workbookViewId="0">
      <pane ySplit="3" topLeftCell="A4" activePane="bottomLeft" state="frozenSplit"/>
      <selection activeCell="A3" sqref="A3"/>
      <selection pane="bottomLeft" activeCell="S4" sqref="S4"/>
    </sheetView>
  </sheetViews>
  <sheetFormatPr defaultColWidth="3.453125" defaultRowHeight="13" x14ac:dyDescent="0.3"/>
  <cols>
    <col min="1" max="2" width="7.1796875" style="57" customWidth="1"/>
    <col min="3" max="3" width="3" style="3" customWidth="1"/>
    <col min="4" max="10" width="8.54296875" style="3" customWidth="1"/>
    <col min="11" max="11" width="11.453125" style="3" customWidth="1"/>
    <col min="12" max="12" width="12.81640625" style="3" customWidth="1"/>
    <col min="13" max="16" width="11.453125" style="3" customWidth="1"/>
    <col min="17" max="17" width="7.1796875" style="57" customWidth="1"/>
    <col min="18" max="18" width="7.1796875" style="31" customWidth="1"/>
    <col min="19" max="19" width="5.7265625" style="3" customWidth="1"/>
    <col min="20" max="20" width="6.81640625" style="3" customWidth="1"/>
    <col min="21" max="21" width="7" style="3" customWidth="1"/>
    <col min="22" max="22" width="9.54296875" style="3" customWidth="1"/>
    <col min="23" max="23" width="4.453125" style="3" customWidth="1"/>
    <col min="24" max="24" width="8.453125" style="3" customWidth="1"/>
    <col min="25" max="25" width="7.453125" style="3" customWidth="1"/>
    <col min="26" max="26" width="6.54296875" style="3" customWidth="1"/>
    <col min="27" max="29" width="11.453125" style="3" customWidth="1"/>
    <col min="30" max="30" width="3.26953125" style="3" customWidth="1"/>
    <col min="31" max="32" width="11.453125" style="3" customWidth="1"/>
    <col min="33" max="33" width="13.7265625" style="3" bestFit="1" customWidth="1"/>
    <col min="34" max="36" width="11.453125" style="3" customWidth="1"/>
    <col min="37" max="37" width="3.453125" style="3" customWidth="1"/>
    <col min="38" max="38" width="8.453125" style="3" bestFit="1" customWidth="1"/>
    <col min="39" max="39" width="3.453125" style="3" customWidth="1"/>
    <col min="40" max="16384" width="3.453125" style="3"/>
  </cols>
  <sheetData>
    <row r="1" spans="1:36" s="8" customFormat="1" x14ac:dyDescent="0.3">
      <c r="A1" s="31"/>
      <c r="B1" s="31"/>
      <c r="D1" s="8" t="s">
        <v>54</v>
      </c>
      <c r="K1" s="200"/>
      <c r="L1" s="452" t="s">
        <v>301</v>
      </c>
      <c r="M1" s="405"/>
      <c r="N1" s="405"/>
      <c r="O1" s="405"/>
      <c r="P1" s="405"/>
      <c r="Q1" s="405"/>
      <c r="R1" s="31"/>
      <c r="S1" s="8" t="s">
        <v>355</v>
      </c>
      <c r="T1" s="8" t="s">
        <v>176</v>
      </c>
      <c r="AB1" s="451" t="s">
        <v>77</v>
      </c>
      <c r="AC1" s="451"/>
      <c r="AF1" s="8" t="s">
        <v>33</v>
      </c>
    </row>
    <row r="2" spans="1:36" s="8" customFormat="1" x14ac:dyDescent="0.3">
      <c r="A2" s="31"/>
      <c r="B2" s="31"/>
      <c r="K2" s="200"/>
      <c r="L2" s="201"/>
      <c r="M2" s="202"/>
      <c r="N2" s="3"/>
      <c r="O2" s="3"/>
      <c r="P2" s="3"/>
      <c r="Q2" s="57"/>
      <c r="R2" s="31"/>
    </row>
    <row r="3" spans="1:36" s="128" customFormat="1" ht="15" customHeight="1" x14ac:dyDescent="0.25">
      <c r="A3" s="128" t="s">
        <v>0</v>
      </c>
      <c r="B3" s="128" t="s">
        <v>1</v>
      </c>
      <c r="C3" s="128" t="s">
        <v>773</v>
      </c>
      <c r="D3" s="128" t="s">
        <v>55</v>
      </c>
      <c r="E3" s="128" t="s">
        <v>58</v>
      </c>
      <c r="F3" s="128" t="s">
        <v>1027</v>
      </c>
      <c r="G3" s="128" t="s">
        <v>59</v>
      </c>
      <c r="H3" s="128" t="s">
        <v>60</v>
      </c>
      <c r="I3" s="128" t="s">
        <v>61</v>
      </c>
      <c r="J3" s="128" t="s">
        <v>62</v>
      </c>
      <c r="K3" s="203" t="s">
        <v>878</v>
      </c>
      <c r="L3" s="203" t="s">
        <v>879</v>
      </c>
      <c r="M3" s="203" t="s">
        <v>880</v>
      </c>
      <c r="N3" s="204" t="s">
        <v>184</v>
      </c>
      <c r="O3" s="204" t="s">
        <v>365</v>
      </c>
      <c r="P3" s="204" t="s">
        <v>364</v>
      </c>
      <c r="Q3" s="128" t="s">
        <v>882</v>
      </c>
      <c r="R3" s="128" t="s">
        <v>855</v>
      </c>
      <c r="S3" s="128" t="s">
        <v>883</v>
      </c>
      <c r="T3" s="128" t="s">
        <v>1020</v>
      </c>
      <c r="U3" s="128" t="s">
        <v>1021</v>
      </c>
      <c r="V3" s="128" t="s">
        <v>1022</v>
      </c>
      <c r="W3" s="128" t="s">
        <v>1023</v>
      </c>
      <c r="X3" s="128" t="s">
        <v>1024</v>
      </c>
      <c r="Y3" s="128" t="s">
        <v>1025</v>
      </c>
      <c r="Z3" s="128" t="s">
        <v>1026</v>
      </c>
      <c r="AA3" s="128" t="s">
        <v>311</v>
      </c>
      <c r="AB3" s="128" t="s">
        <v>24</v>
      </c>
      <c r="AC3" s="128" t="s">
        <v>2</v>
      </c>
      <c r="AD3" s="128" t="s">
        <v>774</v>
      </c>
      <c r="AE3" s="128" t="s">
        <v>509</v>
      </c>
      <c r="AF3" s="128" t="s">
        <v>57</v>
      </c>
      <c r="AG3" s="128" t="s">
        <v>178</v>
      </c>
      <c r="AH3" s="128" t="s">
        <v>881</v>
      </c>
      <c r="AI3" s="128" t="s">
        <v>868</v>
      </c>
      <c r="AJ3" s="205" t="s">
        <v>761</v>
      </c>
    </row>
    <row r="4" spans="1:36" ht="12.5" x14ac:dyDescent="0.25">
      <c r="A4" s="160" t="e">
        <f>#REF!</f>
        <v>#REF!</v>
      </c>
      <c r="B4" s="206" t="e">
        <f>#REF!</f>
        <v>#REF!</v>
      </c>
      <c r="C4" s="207"/>
      <c r="D4" s="208" t="e">
        <f>#REF!</f>
        <v>#REF!</v>
      </c>
      <c r="E4" s="166" t="e">
        <f>#REF!</f>
        <v>#REF!</v>
      </c>
      <c r="F4" s="341" t="e">
        <f>#REF!</f>
        <v>#REF!</v>
      </c>
      <c r="G4" s="345" t="e">
        <f>#REF!</f>
        <v>#REF!</v>
      </c>
      <c r="H4" s="349" t="e">
        <f>#REF!</f>
        <v>#REF!</v>
      </c>
      <c r="I4" s="169" t="e">
        <f>#REF!</f>
        <v>#REF!</v>
      </c>
      <c r="J4" s="170" t="e">
        <f>#REF!</f>
        <v>#REF!</v>
      </c>
      <c r="K4" s="202"/>
      <c r="L4" s="202"/>
      <c r="M4" s="202"/>
      <c r="N4" s="209" t="e">
        <f>#REF!</f>
        <v>#REF!</v>
      </c>
      <c r="O4" s="209" t="e">
        <f>#REF!</f>
        <v>#REF!</v>
      </c>
      <c r="P4" s="209" t="e">
        <f>#REF!</f>
        <v>#REF!</v>
      </c>
      <c r="Q4" s="160" t="e">
        <f>#REF!</f>
        <v>#REF!</v>
      </c>
      <c r="R4" s="160" t="e">
        <f>#REF!</f>
        <v>#REF!</v>
      </c>
      <c r="S4" s="210"/>
      <c r="T4" s="164"/>
      <c r="U4" s="164"/>
      <c r="V4" s="164"/>
      <c r="W4" s="164"/>
      <c r="X4" s="164"/>
      <c r="Y4" s="164"/>
      <c r="Z4" s="164"/>
      <c r="AA4" s="147" t="e">
        <f>#REF!</f>
        <v>#REF!</v>
      </c>
      <c r="AB4" s="39" t="e">
        <f>#REF!</f>
        <v>#REF!</v>
      </c>
      <c r="AC4" s="39" t="e">
        <f>#REF!</f>
        <v>#REF!</v>
      </c>
      <c r="AD4" s="207"/>
      <c r="AE4" s="3" t="e">
        <f>#REF!-#REF!*20</f>
        <v>#REF!</v>
      </c>
      <c r="AF4" s="39" t="e">
        <f>ROUND(MAX(0.6*#REF!^1.299,850)*(1+ tech_2_6*Techs!AC4 + tech_2_9*Techs!AF4 + tech_3_7*Techs!AN4 + Overview!$I$32),0)</f>
        <v>#REF!</v>
      </c>
      <c r="AG4" s="39" t="e">
        <f>IF(ROUND(MAX(IF(#REF!&gt;=300,5+0.003*(#REF!-300)^1.07,5-300/#REF!)+0,3),0)&lt;=6,ROUND(MAX(IF(#REF!&gt;=300,5+0.003*(#REF!-300)^1.07,5-300/#REF!)+0,3),0),ROUND(MAX(IF(#REF!&gt;=300,5+0.003*(#REF!-300)^1.07,5-300/#REF!)+tech_2_9_2*#REF!+tech_3_7_2*#REF!,6),0))</f>
        <v>#REF!</v>
      </c>
      <c r="AH4" s="39" t="e">
        <f>SUM(#REF!)*#REF!</f>
        <v>#REF!</v>
      </c>
      <c r="AI4" s="39" t="e">
        <f>SUM(#REF!)*#REF!</f>
        <v>#REF!</v>
      </c>
      <c r="AJ4" s="3" t="e">
        <f>_xlfn.FLOOR.MATH(MIN(#REF!/#REF!,#REF!/#REF!))</f>
        <v>#REF!</v>
      </c>
    </row>
    <row r="5" spans="1:36" ht="12.5" x14ac:dyDescent="0.25">
      <c r="A5" s="160" t="e">
        <f>#REF!</f>
        <v>#REF!</v>
      </c>
      <c r="B5" s="206" t="e">
        <f>#REF!</f>
        <v>#REF!</v>
      </c>
      <c r="C5" s="207"/>
      <c r="D5" s="208" t="e">
        <f>#REF!</f>
        <v>#REF!</v>
      </c>
      <c r="E5" s="166" t="e">
        <f>#REF!</f>
        <v>#REF!</v>
      </c>
      <c r="F5" s="341" t="e">
        <f>#REF!</f>
        <v>#REF!</v>
      </c>
      <c r="G5" s="345" t="e">
        <f>#REF!</f>
        <v>#REF!</v>
      </c>
      <c r="H5" s="349" t="e">
        <f>#REF!</f>
        <v>#REF!</v>
      </c>
      <c r="I5" s="169" t="e">
        <f>#REF!</f>
        <v>#REF!</v>
      </c>
      <c r="J5" s="170" t="e">
        <f>#REF!</f>
        <v>#REF!</v>
      </c>
      <c r="K5" s="202"/>
      <c r="L5" s="202"/>
      <c r="M5" s="202"/>
      <c r="N5" s="209" t="e">
        <f>#REF!</f>
        <v>#REF!</v>
      </c>
      <c r="O5" s="209" t="e">
        <f>#REF!</f>
        <v>#REF!</v>
      </c>
      <c r="P5" s="209" t="e">
        <f>#REF!</f>
        <v>#REF!</v>
      </c>
      <c r="Q5" s="160" t="e">
        <f>#REF!</f>
        <v>#REF!</v>
      </c>
      <c r="R5" s="160" t="e">
        <f>#REF!</f>
        <v>#REF!</v>
      </c>
      <c r="S5" s="210"/>
      <c r="T5" s="164"/>
      <c r="U5" s="164"/>
      <c r="V5" s="164"/>
      <c r="W5" s="164"/>
      <c r="X5" s="164"/>
      <c r="Y5" s="164"/>
      <c r="Z5" s="164"/>
      <c r="AA5" s="147" t="e">
        <f>#REF!</f>
        <v>#REF!</v>
      </c>
      <c r="AB5" s="39" t="e">
        <f>#REF!</f>
        <v>#REF!</v>
      </c>
      <c r="AC5" s="39" t="e">
        <f>#REF!</f>
        <v>#REF!</v>
      </c>
      <c r="AD5" s="207"/>
      <c r="AE5" s="3" t="e">
        <f>#REF!-#REF!*20</f>
        <v>#REF!</v>
      </c>
      <c r="AF5" s="39" t="e">
        <f>ROUND(MAX(0.6*#REF!^1.299,850)*(1+ tech_2_6*Techs!AC5 + tech_2_9*Techs!AF5 + tech_3_7*Techs!AN5 + Overview!$I$32),0)</f>
        <v>#REF!</v>
      </c>
      <c r="AG5" s="39" t="e">
        <f>IF(ROUND(MAX(IF(#REF!&gt;=300,5+0.003*(#REF!-300)^1.07,5-300/#REF!)+0,3),0)&lt;=6,ROUND(MAX(IF(#REF!&gt;=300,5+0.003*(#REF!-300)^1.07,5-300/#REF!)+0,3),0),ROUND(MAX(IF(#REF!&gt;=300,5+0.003*(#REF!-300)^1.07,5-300/#REF!)+tech_2_9_2*#REF!+tech_3_7_2*#REF!,6),0))</f>
        <v>#REF!</v>
      </c>
      <c r="AH5" s="39" t="e">
        <f>SUM(#REF!)*#REF!</f>
        <v>#REF!</v>
      </c>
      <c r="AI5" s="39" t="e">
        <f>SUM(#REF!)*#REF!</f>
        <v>#REF!</v>
      </c>
      <c r="AJ5" s="3" t="e">
        <f>_xlfn.FLOOR.MATH(MIN(#REF!/#REF!,#REF!/#REF!))</f>
        <v>#REF!</v>
      </c>
    </row>
    <row r="6" spans="1:36" ht="12.5" x14ac:dyDescent="0.25">
      <c r="A6" s="160" t="e">
        <f>#REF!</f>
        <v>#REF!</v>
      </c>
      <c r="B6" s="206" t="e">
        <f>#REF!</f>
        <v>#REF!</v>
      </c>
      <c r="C6" s="207"/>
      <c r="D6" s="208" t="e">
        <f>#REF!</f>
        <v>#REF!</v>
      </c>
      <c r="E6" s="166" t="e">
        <f>#REF!</f>
        <v>#REF!</v>
      </c>
      <c r="F6" s="341" t="e">
        <f>#REF!</f>
        <v>#REF!</v>
      </c>
      <c r="G6" s="345" t="e">
        <f>#REF!</f>
        <v>#REF!</v>
      </c>
      <c r="H6" s="349" t="e">
        <f>#REF!</f>
        <v>#REF!</v>
      </c>
      <c r="I6" s="169" t="e">
        <f>#REF!</f>
        <v>#REF!</v>
      </c>
      <c r="J6" s="170" t="e">
        <f>#REF!</f>
        <v>#REF!</v>
      </c>
      <c r="K6" s="202"/>
      <c r="L6" s="202"/>
      <c r="M6" s="202"/>
      <c r="N6" s="209" t="e">
        <f>#REF!</f>
        <v>#REF!</v>
      </c>
      <c r="O6" s="209" t="e">
        <f>#REF!</f>
        <v>#REF!</v>
      </c>
      <c r="P6" s="209" t="e">
        <f>#REF!</f>
        <v>#REF!</v>
      </c>
      <c r="Q6" s="160" t="e">
        <f>#REF!</f>
        <v>#REF!</v>
      </c>
      <c r="R6" s="160" t="e">
        <f>#REF!</f>
        <v>#REF!</v>
      </c>
      <c r="S6" s="210"/>
      <c r="T6" s="164"/>
      <c r="U6" s="164"/>
      <c r="V6" s="164"/>
      <c r="W6" s="164"/>
      <c r="X6" s="164"/>
      <c r="Y6" s="164"/>
      <c r="Z6" s="164"/>
      <c r="AA6" s="147" t="e">
        <f>#REF!</f>
        <v>#REF!</v>
      </c>
      <c r="AB6" s="39" t="e">
        <f>#REF!</f>
        <v>#REF!</v>
      </c>
      <c r="AC6" s="39" t="e">
        <f>#REF!</f>
        <v>#REF!</v>
      </c>
      <c r="AD6" s="207"/>
      <c r="AE6" s="3" t="e">
        <f>#REF!-#REF!*20</f>
        <v>#REF!</v>
      </c>
      <c r="AF6" s="39" t="e">
        <f>ROUND(MAX(0.6*#REF!^1.299,850)*(1+ tech_2_6*Techs!AC6 + tech_2_9*Techs!AF6 + tech_3_7*Techs!AN6 + Overview!$I$32),0)</f>
        <v>#REF!</v>
      </c>
      <c r="AG6" s="39" t="e">
        <f>IF(ROUND(MAX(IF(#REF!&gt;=300,5+0.003*(#REF!-300)^1.07,5-300/#REF!)+0,3),0)&lt;=6,ROUND(MAX(IF(#REF!&gt;=300,5+0.003*(#REF!-300)^1.07,5-300/#REF!)+0,3),0),ROUND(MAX(IF(#REF!&gt;=300,5+0.003*(#REF!-300)^1.07,5-300/#REF!)+tech_2_9_2*#REF!+tech_3_7_2*#REF!,6),0))</f>
        <v>#REF!</v>
      </c>
      <c r="AH6" s="39" t="e">
        <f>SUM(#REF!)*#REF!</f>
        <v>#REF!</v>
      </c>
      <c r="AI6" s="39" t="e">
        <f>SUM(#REF!)*#REF!</f>
        <v>#REF!</v>
      </c>
      <c r="AJ6" s="3" t="e">
        <f>_xlfn.FLOOR.MATH(MIN(#REF!/#REF!,#REF!/#REF!))</f>
        <v>#REF!</v>
      </c>
    </row>
    <row r="7" spans="1:36" ht="12.5" x14ac:dyDescent="0.25">
      <c r="A7" s="160" t="e">
        <f>#REF!</f>
        <v>#REF!</v>
      </c>
      <c r="B7" s="206" t="e">
        <f>#REF!</f>
        <v>#REF!</v>
      </c>
      <c r="C7" s="207"/>
      <c r="D7" s="208" t="e">
        <f>#REF!</f>
        <v>#REF!</v>
      </c>
      <c r="E7" s="166" t="e">
        <f>#REF!</f>
        <v>#REF!</v>
      </c>
      <c r="F7" s="341" t="e">
        <f>#REF!</f>
        <v>#REF!</v>
      </c>
      <c r="G7" s="345" t="e">
        <f>#REF!</f>
        <v>#REF!</v>
      </c>
      <c r="H7" s="349" t="e">
        <f>#REF!</f>
        <v>#REF!</v>
      </c>
      <c r="I7" s="169" t="e">
        <f>#REF!</f>
        <v>#REF!</v>
      </c>
      <c r="J7" s="170" t="e">
        <f>#REF!</f>
        <v>#REF!</v>
      </c>
      <c r="K7" s="202"/>
      <c r="L7" s="202"/>
      <c r="M7" s="202"/>
      <c r="N7" s="209" t="e">
        <f>#REF!</f>
        <v>#REF!</v>
      </c>
      <c r="O7" s="209" t="e">
        <f>#REF!</f>
        <v>#REF!</v>
      </c>
      <c r="P7" s="209" t="e">
        <f>#REF!</f>
        <v>#REF!</v>
      </c>
      <c r="Q7" s="160" t="e">
        <f>#REF!</f>
        <v>#REF!</v>
      </c>
      <c r="R7" s="160" t="e">
        <f>#REF!</f>
        <v>#REF!</v>
      </c>
      <c r="S7" s="210"/>
      <c r="T7" s="146"/>
      <c r="U7" s="164"/>
      <c r="V7" s="164"/>
      <c r="W7" s="164"/>
      <c r="X7" s="164"/>
      <c r="Y7" s="164"/>
      <c r="Z7" s="164"/>
      <c r="AA7" s="147" t="e">
        <f>#REF!</f>
        <v>#REF!</v>
      </c>
      <c r="AB7" s="39" t="e">
        <f>#REF!</f>
        <v>#REF!</v>
      </c>
      <c r="AC7" s="39" t="e">
        <f>#REF!</f>
        <v>#REF!</v>
      </c>
      <c r="AD7" s="207"/>
      <c r="AE7" s="3" t="e">
        <f>#REF!-#REF!*20</f>
        <v>#REF!</v>
      </c>
      <c r="AF7" s="39" t="e">
        <f>ROUND(MAX(0.6*#REF!^1.299,850)*(1+ tech_2_6*Techs!AC7 + tech_2_9*Techs!AF7 + tech_3_7*Techs!AN7 + Overview!$I$32),0)</f>
        <v>#REF!</v>
      </c>
      <c r="AG7" s="39" t="e">
        <f>IF(ROUND(MAX(IF(#REF!&gt;=300,5+0.003*(#REF!-300)^1.07,5-300/#REF!)+0,3),0)&lt;=6,ROUND(MAX(IF(#REF!&gt;=300,5+0.003*(#REF!-300)^1.07,5-300/#REF!)+0,3),0),ROUND(MAX(IF(#REF!&gt;=300,5+0.003*(#REF!-300)^1.07,5-300/#REF!)+tech_2_9_2*#REF!+tech_3_7_2*#REF!,6),0))</f>
        <v>#REF!</v>
      </c>
      <c r="AH7" s="39" t="e">
        <f>SUM(#REF!)*#REF!</f>
        <v>#REF!</v>
      </c>
      <c r="AI7" s="39" t="e">
        <f>SUM(#REF!)*#REF!</f>
        <v>#REF!</v>
      </c>
      <c r="AJ7" s="3" t="e">
        <f>_xlfn.FLOOR.MATH(MIN(#REF!/#REF!,#REF!/#REF!))</f>
        <v>#REF!</v>
      </c>
    </row>
    <row r="8" spans="1:36" ht="12.5" x14ac:dyDescent="0.25">
      <c r="A8" s="160" t="e">
        <f>#REF!</f>
        <v>#REF!</v>
      </c>
      <c r="B8" s="206" t="e">
        <f>#REF!</f>
        <v>#REF!</v>
      </c>
      <c r="C8" s="207"/>
      <c r="D8" s="208" t="e">
        <f>#REF!</f>
        <v>#REF!</v>
      </c>
      <c r="E8" s="166" t="e">
        <f>#REF!</f>
        <v>#REF!</v>
      </c>
      <c r="F8" s="341" t="e">
        <f>#REF!</f>
        <v>#REF!</v>
      </c>
      <c r="G8" s="345" t="e">
        <f>#REF!</f>
        <v>#REF!</v>
      </c>
      <c r="H8" s="349" t="e">
        <f>#REF!</f>
        <v>#REF!</v>
      </c>
      <c r="I8" s="169" t="e">
        <f>#REF!</f>
        <v>#REF!</v>
      </c>
      <c r="J8" s="170" t="e">
        <f>#REF!</f>
        <v>#REF!</v>
      </c>
      <c r="K8" s="202"/>
      <c r="L8" s="202"/>
      <c r="M8" s="202"/>
      <c r="N8" s="209" t="e">
        <f>#REF!</f>
        <v>#REF!</v>
      </c>
      <c r="O8" s="209" t="e">
        <f>#REF!</f>
        <v>#REF!</v>
      </c>
      <c r="P8" s="209" t="e">
        <f>#REF!</f>
        <v>#REF!</v>
      </c>
      <c r="Q8" s="160" t="e">
        <f>#REF!</f>
        <v>#REF!</v>
      </c>
      <c r="R8" s="160" t="e">
        <f>#REF!</f>
        <v>#REF!</v>
      </c>
      <c r="S8" s="210"/>
      <c r="T8" s="146"/>
      <c r="U8" s="164"/>
      <c r="V8" s="164"/>
      <c r="W8" s="164"/>
      <c r="X8" s="164"/>
      <c r="Y8" s="164"/>
      <c r="Z8" s="164"/>
      <c r="AA8" s="147" t="e">
        <f>#REF!</f>
        <v>#REF!</v>
      </c>
      <c r="AB8" s="39" t="e">
        <f>#REF!</f>
        <v>#REF!</v>
      </c>
      <c r="AC8" s="39" t="e">
        <f>#REF!</f>
        <v>#REF!</v>
      </c>
      <c r="AD8" s="207"/>
      <c r="AE8" s="3" t="e">
        <f>#REF!-#REF!*20</f>
        <v>#REF!</v>
      </c>
      <c r="AF8" s="39" t="e">
        <f>ROUND(MAX(0.6*#REF!^1.299,850)*(1+ tech_2_6*Techs!AC8 + tech_2_9*Techs!AF8 + tech_3_7*Techs!AN8 + Overview!$I$32),0)</f>
        <v>#REF!</v>
      </c>
      <c r="AG8" s="39" t="e">
        <f>IF(ROUND(MAX(IF(#REF!&gt;=300,5+0.003*(#REF!-300)^1.07,5-300/#REF!)+0,3),0)&lt;=6,ROUND(MAX(IF(#REF!&gt;=300,5+0.003*(#REF!-300)^1.07,5-300/#REF!)+0,3),0),ROUND(MAX(IF(#REF!&gt;=300,5+0.003*(#REF!-300)^1.07,5-300/#REF!)+tech_2_9_2*#REF!+tech_3_7_2*#REF!,6),0))</f>
        <v>#REF!</v>
      </c>
      <c r="AH8" s="39" t="e">
        <f>SUM(#REF!)*#REF!</f>
        <v>#REF!</v>
      </c>
      <c r="AI8" s="39" t="e">
        <f>SUM(#REF!)*#REF!</f>
        <v>#REF!</v>
      </c>
      <c r="AJ8" s="3" t="e">
        <f>_xlfn.FLOOR.MATH(MIN(#REF!/#REF!,#REF!/#REF!))</f>
        <v>#REF!</v>
      </c>
    </row>
    <row r="9" spans="1:36" ht="12.5" x14ac:dyDescent="0.25">
      <c r="A9" s="160" t="e">
        <f>#REF!</f>
        <v>#REF!</v>
      </c>
      <c r="B9" s="206" t="e">
        <f>#REF!</f>
        <v>#REF!</v>
      </c>
      <c r="C9" s="207"/>
      <c r="D9" s="208" t="e">
        <f>#REF!</f>
        <v>#REF!</v>
      </c>
      <c r="E9" s="166" t="e">
        <f>#REF!</f>
        <v>#REF!</v>
      </c>
      <c r="F9" s="341" t="e">
        <f>#REF!</f>
        <v>#REF!</v>
      </c>
      <c r="G9" s="345" t="e">
        <f>#REF!</f>
        <v>#REF!</v>
      </c>
      <c r="H9" s="349" t="e">
        <f>#REF!</f>
        <v>#REF!</v>
      </c>
      <c r="I9" s="169" t="e">
        <f>#REF!</f>
        <v>#REF!</v>
      </c>
      <c r="J9" s="170" t="e">
        <f>#REF!</f>
        <v>#REF!</v>
      </c>
      <c r="K9" s="202"/>
      <c r="L9" s="202"/>
      <c r="M9" s="202"/>
      <c r="N9" s="209" t="e">
        <f>#REF!</f>
        <v>#REF!</v>
      </c>
      <c r="O9" s="209" t="e">
        <f>#REF!</f>
        <v>#REF!</v>
      </c>
      <c r="P9" s="209" t="e">
        <f>#REF!</f>
        <v>#REF!</v>
      </c>
      <c r="Q9" s="160" t="e">
        <f>#REF!</f>
        <v>#REF!</v>
      </c>
      <c r="R9" s="160" t="e">
        <f>#REF!</f>
        <v>#REF!</v>
      </c>
      <c r="S9" s="210"/>
      <c r="T9" s="164"/>
      <c r="U9" s="164"/>
      <c r="V9" s="164"/>
      <c r="W9" s="164"/>
      <c r="X9" s="164"/>
      <c r="Y9" s="164"/>
      <c r="Z9" s="164"/>
      <c r="AA9" s="147" t="e">
        <f>#REF!</f>
        <v>#REF!</v>
      </c>
      <c r="AB9" s="39" t="e">
        <f>#REF!</f>
        <v>#REF!</v>
      </c>
      <c r="AC9" s="39" t="e">
        <f>#REF!</f>
        <v>#REF!</v>
      </c>
      <c r="AD9" s="207"/>
      <c r="AE9" s="3" t="e">
        <f>#REF!-#REF!*20</f>
        <v>#REF!</v>
      </c>
      <c r="AF9" s="39" t="e">
        <f>ROUND(MAX(0.6*#REF!^1.299,850)*(1+ tech_2_6*Techs!AC9 + tech_2_9*Techs!AF9 + tech_3_7*Techs!AN9 + Overview!$I$32),0)</f>
        <v>#REF!</v>
      </c>
      <c r="AG9" s="39" t="e">
        <f>IF(ROUND(MAX(IF(#REF!&gt;=300,5+0.003*(#REF!-300)^1.07,5-300/#REF!)+0,3),0)&lt;=6,ROUND(MAX(IF(#REF!&gt;=300,5+0.003*(#REF!-300)^1.07,5-300/#REF!)+0,3),0),ROUND(MAX(IF(#REF!&gt;=300,5+0.003*(#REF!-300)^1.07,5-300/#REF!)+tech_2_9_2*#REF!+tech_3_7_2*#REF!,6),0))</f>
        <v>#REF!</v>
      </c>
      <c r="AH9" s="39" t="e">
        <f>SUM(#REF!)*#REF!</f>
        <v>#REF!</v>
      </c>
      <c r="AI9" s="39" t="e">
        <f>SUM(#REF!)*#REF!</f>
        <v>#REF!</v>
      </c>
      <c r="AJ9" s="3" t="e">
        <f>_xlfn.FLOOR.MATH(MIN(#REF!/#REF!,#REF!/#REF!))</f>
        <v>#REF!</v>
      </c>
    </row>
    <row r="10" spans="1:36" ht="12.5" x14ac:dyDescent="0.25">
      <c r="A10" s="160" t="e">
        <f>#REF!</f>
        <v>#REF!</v>
      </c>
      <c r="B10" s="206" t="e">
        <f>#REF!</f>
        <v>#REF!</v>
      </c>
      <c r="C10" s="207"/>
      <c r="D10" s="208" t="e">
        <f>#REF!</f>
        <v>#REF!</v>
      </c>
      <c r="E10" s="166" t="e">
        <f>#REF!</f>
        <v>#REF!</v>
      </c>
      <c r="F10" s="341" t="e">
        <f>#REF!</f>
        <v>#REF!</v>
      </c>
      <c r="G10" s="345" t="e">
        <f>#REF!</f>
        <v>#REF!</v>
      </c>
      <c r="H10" s="349" t="e">
        <f>#REF!</f>
        <v>#REF!</v>
      </c>
      <c r="I10" s="169" t="e">
        <f>#REF!</f>
        <v>#REF!</v>
      </c>
      <c r="J10" s="170" t="e">
        <f>#REF!</f>
        <v>#REF!</v>
      </c>
      <c r="K10" s="202"/>
      <c r="L10" s="202"/>
      <c r="M10" s="202"/>
      <c r="N10" s="209" t="e">
        <f>#REF!</f>
        <v>#REF!</v>
      </c>
      <c r="O10" s="209" t="e">
        <f>#REF!</f>
        <v>#REF!</v>
      </c>
      <c r="P10" s="209" t="e">
        <f>#REF!</f>
        <v>#REF!</v>
      </c>
      <c r="Q10" s="160" t="e">
        <f>#REF!</f>
        <v>#REF!</v>
      </c>
      <c r="R10" s="160" t="e">
        <f>#REF!</f>
        <v>#REF!</v>
      </c>
      <c r="S10" s="210"/>
      <c r="T10" s="164"/>
      <c r="U10" s="164"/>
      <c r="V10" s="164"/>
      <c r="W10" s="164"/>
      <c r="X10" s="164"/>
      <c r="Y10" s="164"/>
      <c r="Z10" s="164"/>
      <c r="AA10" s="147" t="e">
        <f>#REF!</f>
        <v>#REF!</v>
      </c>
      <c r="AB10" s="39" t="e">
        <f>#REF!</f>
        <v>#REF!</v>
      </c>
      <c r="AC10" s="39" t="e">
        <f>#REF!</f>
        <v>#REF!</v>
      </c>
      <c r="AD10" s="207"/>
      <c r="AE10" s="3" t="e">
        <f>#REF!-#REF!*20</f>
        <v>#REF!</v>
      </c>
      <c r="AF10" s="39" t="e">
        <f>ROUND(MAX(0.6*#REF!^1.299,850)*(1+ tech_2_6*Techs!AC10 + tech_2_9*Techs!AF10 + tech_3_7*Techs!AN10 + Overview!$I$32),0)</f>
        <v>#REF!</v>
      </c>
      <c r="AG10" s="39" t="e">
        <f>IF(ROUND(MAX(IF(#REF!&gt;=300,5+0.003*(#REF!-300)^1.07,5-300/#REF!)+0,3),0)&lt;=6,ROUND(MAX(IF(#REF!&gt;=300,5+0.003*(#REF!-300)^1.07,5-300/#REF!)+0,3),0),ROUND(MAX(IF(#REF!&gt;=300,5+0.003*(#REF!-300)^1.07,5-300/#REF!)+tech_2_9_2*#REF!+tech_3_7_2*#REF!,6),0))</f>
        <v>#REF!</v>
      </c>
      <c r="AH10" s="39" t="e">
        <f>SUM(#REF!)*#REF!</f>
        <v>#REF!</v>
      </c>
      <c r="AI10" s="39" t="e">
        <f>SUM(#REF!)*#REF!</f>
        <v>#REF!</v>
      </c>
      <c r="AJ10" s="3" t="e">
        <f>_xlfn.FLOOR.MATH(MIN(#REF!/#REF!,#REF!/#REF!))</f>
        <v>#REF!</v>
      </c>
    </row>
    <row r="11" spans="1:36" ht="12.5" x14ac:dyDescent="0.25">
      <c r="A11" s="160" t="e">
        <f>#REF!</f>
        <v>#REF!</v>
      </c>
      <c r="B11" s="206" t="e">
        <f>#REF!</f>
        <v>#REF!</v>
      </c>
      <c r="C11" s="207"/>
      <c r="D11" s="208" t="e">
        <f>#REF!</f>
        <v>#REF!</v>
      </c>
      <c r="E11" s="166" t="e">
        <f>#REF!</f>
        <v>#REF!</v>
      </c>
      <c r="F11" s="341" t="e">
        <f>#REF!</f>
        <v>#REF!</v>
      </c>
      <c r="G11" s="345" t="e">
        <f>#REF!</f>
        <v>#REF!</v>
      </c>
      <c r="H11" s="349" t="e">
        <f>#REF!</f>
        <v>#REF!</v>
      </c>
      <c r="I11" s="169" t="e">
        <f>#REF!</f>
        <v>#REF!</v>
      </c>
      <c r="J11" s="170" t="e">
        <f>#REF!</f>
        <v>#REF!</v>
      </c>
      <c r="K11" s="202"/>
      <c r="L11" s="202"/>
      <c r="M11" s="202"/>
      <c r="N11" s="209" t="e">
        <f>#REF!</f>
        <v>#REF!</v>
      </c>
      <c r="O11" s="209" t="e">
        <f>#REF!</f>
        <v>#REF!</v>
      </c>
      <c r="P11" s="209" t="e">
        <f>#REF!</f>
        <v>#REF!</v>
      </c>
      <c r="Q11" s="160" t="e">
        <f>#REF!</f>
        <v>#REF!</v>
      </c>
      <c r="R11" s="160" t="e">
        <f>#REF!</f>
        <v>#REF!</v>
      </c>
      <c r="S11" s="210"/>
      <c r="T11" s="164"/>
      <c r="U11" s="164"/>
      <c r="V11" s="164"/>
      <c r="W11" s="164"/>
      <c r="X11" s="164"/>
      <c r="Y11" s="164"/>
      <c r="Z11" s="164"/>
      <c r="AA11" s="147" t="e">
        <f>#REF!</f>
        <v>#REF!</v>
      </c>
      <c r="AB11" s="39" t="e">
        <f>#REF!</f>
        <v>#REF!</v>
      </c>
      <c r="AC11" s="39" t="e">
        <f>#REF!</f>
        <v>#REF!</v>
      </c>
      <c r="AD11" s="207"/>
      <c r="AE11" s="3" t="e">
        <f>#REF!-#REF!*20</f>
        <v>#REF!</v>
      </c>
      <c r="AF11" s="39" t="e">
        <f>ROUND(MAX(0.6*#REF!^1.299,850)*(1+ tech_2_6*Techs!AC11 + tech_2_9*Techs!AF11 + tech_3_7*Techs!AN11 + Overview!$I$32),0)</f>
        <v>#REF!</v>
      </c>
      <c r="AG11" s="39" t="e">
        <f>IF(ROUND(MAX(IF(#REF!&gt;=300,5+0.003*(#REF!-300)^1.07,5-300/#REF!)+0,3),0)&lt;=6,ROUND(MAX(IF(#REF!&gt;=300,5+0.003*(#REF!-300)^1.07,5-300/#REF!)+0,3),0),ROUND(MAX(IF(#REF!&gt;=300,5+0.003*(#REF!-300)^1.07,5-300/#REF!)+tech_2_9_2*#REF!+tech_3_7_2*#REF!,6),0))</f>
        <v>#REF!</v>
      </c>
      <c r="AH11" s="39" t="e">
        <f>SUM(#REF!)*#REF!</f>
        <v>#REF!</v>
      </c>
      <c r="AI11" s="39" t="e">
        <f>SUM(#REF!)*#REF!</f>
        <v>#REF!</v>
      </c>
      <c r="AJ11" s="3" t="e">
        <f>_xlfn.FLOOR.MATH(MIN(#REF!/#REF!,#REF!/#REF!))</f>
        <v>#REF!</v>
      </c>
    </row>
    <row r="12" spans="1:36" ht="12.5" x14ac:dyDescent="0.25">
      <c r="A12" s="160" t="e">
        <f>#REF!</f>
        <v>#REF!</v>
      </c>
      <c r="B12" s="206" t="e">
        <f>#REF!</f>
        <v>#REF!</v>
      </c>
      <c r="C12" s="207"/>
      <c r="D12" s="208" t="e">
        <f>#REF!</f>
        <v>#REF!</v>
      </c>
      <c r="E12" s="166" t="e">
        <f>#REF!</f>
        <v>#REF!</v>
      </c>
      <c r="F12" s="341" t="e">
        <f>#REF!</f>
        <v>#REF!</v>
      </c>
      <c r="G12" s="345" t="e">
        <f>#REF!</f>
        <v>#REF!</v>
      </c>
      <c r="H12" s="349" t="e">
        <f>#REF!</f>
        <v>#REF!</v>
      </c>
      <c r="I12" s="169" t="e">
        <f>#REF!</f>
        <v>#REF!</v>
      </c>
      <c r="J12" s="170" t="e">
        <f>#REF!</f>
        <v>#REF!</v>
      </c>
      <c r="K12" s="202"/>
      <c r="L12" s="202"/>
      <c r="M12" s="202"/>
      <c r="N12" s="209" t="e">
        <f>#REF!</f>
        <v>#REF!</v>
      </c>
      <c r="O12" s="209" t="e">
        <f>#REF!</f>
        <v>#REF!</v>
      </c>
      <c r="P12" s="209" t="e">
        <f>#REF!</f>
        <v>#REF!</v>
      </c>
      <c r="Q12" s="160" t="e">
        <f>#REF!</f>
        <v>#REF!</v>
      </c>
      <c r="R12" s="160" t="e">
        <f>#REF!</f>
        <v>#REF!</v>
      </c>
      <c r="S12" s="210"/>
      <c r="T12" s="164"/>
      <c r="U12" s="164"/>
      <c r="V12" s="164"/>
      <c r="W12" s="164"/>
      <c r="X12" s="164"/>
      <c r="Y12" s="164"/>
      <c r="Z12" s="164"/>
      <c r="AA12" s="147" t="e">
        <f>#REF!</f>
        <v>#REF!</v>
      </c>
      <c r="AB12" s="39" t="e">
        <f>#REF!</f>
        <v>#REF!</v>
      </c>
      <c r="AC12" s="39" t="e">
        <f>#REF!</f>
        <v>#REF!</v>
      </c>
      <c r="AD12" s="207"/>
      <c r="AE12" s="3" t="e">
        <f>#REF!-#REF!*20</f>
        <v>#REF!</v>
      </c>
      <c r="AF12" s="39" t="e">
        <f>ROUND(MAX(0.6*#REF!^1.299,850)*(1+ tech_2_6*Techs!AC12 + tech_2_9*Techs!AF12 + tech_3_7*Techs!AN12 + Overview!$I$32),0)</f>
        <v>#REF!</v>
      </c>
      <c r="AG12" s="39" t="e">
        <f>IF(ROUND(MAX(IF(#REF!&gt;=300,5+0.003*(#REF!-300)^1.07,5-300/#REF!)+0,3),0)&lt;=6,ROUND(MAX(IF(#REF!&gt;=300,5+0.003*(#REF!-300)^1.07,5-300/#REF!)+0,3),0),ROUND(MAX(IF(#REF!&gt;=300,5+0.003*(#REF!-300)^1.07,5-300/#REF!)+tech_2_9_2*#REF!+tech_3_7_2*#REF!,6),0))</f>
        <v>#REF!</v>
      </c>
      <c r="AH12" s="39" t="e">
        <f>SUM(#REF!)*#REF!</f>
        <v>#REF!</v>
      </c>
      <c r="AI12" s="39" t="e">
        <f>SUM(#REF!)*#REF!</f>
        <v>#REF!</v>
      </c>
      <c r="AJ12" s="3" t="e">
        <f>_xlfn.FLOOR.MATH(MIN(#REF!/#REF!,#REF!/#REF!))</f>
        <v>#REF!</v>
      </c>
    </row>
    <row r="13" spans="1:36" ht="12.5" x14ac:dyDescent="0.25">
      <c r="A13" s="160" t="e">
        <f>#REF!</f>
        <v>#REF!</v>
      </c>
      <c r="B13" s="206" t="e">
        <f>#REF!</f>
        <v>#REF!</v>
      </c>
      <c r="C13" s="207"/>
      <c r="D13" s="208" t="e">
        <f>#REF!</f>
        <v>#REF!</v>
      </c>
      <c r="E13" s="166" t="e">
        <f>#REF!</f>
        <v>#REF!</v>
      </c>
      <c r="F13" s="341" t="e">
        <f>#REF!</f>
        <v>#REF!</v>
      </c>
      <c r="G13" s="345" t="e">
        <f>#REF!</f>
        <v>#REF!</v>
      </c>
      <c r="H13" s="349" t="e">
        <f>#REF!</f>
        <v>#REF!</v>
      </c>
      <c r="I13" s="169" t="e">
        <f>#REF!</f>
        <v>#REF!</v>
      </c>
      <c r="J13" s="170" t="e">
        <f>#REF!</f>
        <v>#REF!</v>
      </c>
      <c r="K13" s="202"/>
      <c r="L13" s="202"/>
      <c r="M13" s="202"/>
      <c r="N13" s="209" t="e">
        <f>#REF!</f>
        <v>#REF!</v>
      </c>
      <c r="O13" s="209" t="e">
        <f>#REF!</f>
        <v>#REF!</v>
      </c>
      <c r="P13" s="209" t="e">
        <f>#REF!</f>
        <v>#REF!</v>
      </c>
      <c r="Q13" s="160" t="e">
        <f>#REF!</f>
        <v>#REF!</v>
      </c>
      <c r="R13" s="160" t="e">
        <f>#REF!</f>
        <v>#REF!</v>
      </c>
      <c r="S13" s="210"/>
      <c r="T13" s="164"/>
      <c r="U13" s="164"/>
      <c r="V13" s="164"/>
      <c r="W13" s="164"/>
      <c r="X13" s="164"/>
      <c r="Y13" s="164"/>
      <c r="Z13" s="164"/>
      <c r="AA13" s="147" t="e">
        <f>#REF!</f>
        <v>#REF!</v>
      </c>
      <c r="AB13" s="39" t="e">
        <f>#REF!</f>
        <v>#REF!</v>
      </c>
      <c r="AC13" s="39" t="e">
        <f>#REF!</f>
        <v>#REF!</v>
      </c>
      <c r="AD13" s="207"/>
      <c r="AE13" s="3" t="e">
        <f>#REF!-#REF!*20</f>
        <v>#REF!</v>
      </c>
      <c r="AF13" s="39" t="e">
        <f>ROUND(MAX(0.6*#REF!^1.299,850)*(1+ tech_2_6*Techs!AC13 + tech_2_9*Techs!AF13 + tech_3_7*Techs!AN13 + Overview!$I$32),0)</f>
        <v>#REF!</v>
      </c>
      <c r="AG13" s="39" t="e">
        <f>IF(ROUND(MAX(IF(#REF!&gt;=300,5+0.003*(#REF!-300)^1.07,5-300/#REF!)+0,3),0)&lt;=6,ROUND(MAX(IF(#REF!&gt;=300,5+0.003*(#REF!-300)^1.07,5-300/#REF!)+0,3),0),ROUND(MAX(IF(#REF!&gt;=300,5+0.003*(#REF!-300)^1.07,5-300/#REF!)+tech_2_9_2*#REF!+tech_3_7_2*#REF!,6),0))</f>
        <v>#REF!</v>
      </c>
      <c r="AH13" s="39" t="e">
        <f>SUM(#REF!)*#REF!</f>
        <v>#REF!</v>
      </c>
      <c r="AI13" s="39" t="e">
        <f>SUM(#REF!)*#REF!</f>
        <v>#REF!</v>
      </c>
      <c r="AJ13" s="3" t="e">
        <f>_xlfn.FLOOR.MATH(MIN(#REF!/#REF!,#REF!/#REF!))</f>
        <v>#REF!</v>
      </c>
    </row>
    <row r="14" spans="1:36" ht="12.5" x14ac:dyDescent="0.25">
      <c r="A14" s="160" t="e">
        <f>#REF!</f>
        <v>#REF!</v>
      </c>
      <c r="B14" s="206" t="e">
        <f>#REF!</f>
        <v>#REF!</v>
      </c>
      <c r="C14" s="207"/>
      <c r="D14" s="208" t="e">
        <f>#REF!</f>
        <v>#REF!</v>
      </c>
      <c r="E14" s="166" t="e">
        <f>#REF!</f>
        <v>#REF!</v>
      </c>
      <c r="F14" s="341" t="e">
        <f>#REF!</f>
        <v>#REF!</v>
      </c>
      <c r="G14" s="345" t="e">
        <f>#REF!</f>
        <v>#REF!</v>
      </c>
      <c r="H14" s="349" t="e">
        <f>#REF!</f>
        <v>#REF!</v>
      </c>
      <c r="I14" s="169" t="e">
        <f>#REF!</f>
        <v>#REF!</v>
      </c>
      <c r="J14" s="170" t="e">
        <f>#REF!</f>
        <v>#REF!</v>
      </c>
      <c r="K14" s="202"/>
      <c r="L14" s="202"/>
      <c r="M14" s="202"/>
      <c r="N14" s="209" t="e">
        <f>#REF!</f>
        <v>#REF!</v>
      </c>
      <c r="O14" s="209" t="e">
        <f>#REF!</f>
        <v>#REF!</v>
      </c>
      <c r="P14" s="209" t="e">
        <f>#REF!</f>
        <v>#REF!</v>
      </c>
      <c r="Q14" s="160" t="e">
        <f>#REF!</f>
        <v>#REF!</v>
      </c>
      <c r="R14" s="160" t="e">
        <f>#REF!</f>
        <v>#REF!</v>
      </c>
      <c r="S14" s="210"/>
      <c r="T14" s="164"/>
      <c r="U14" s="164"/>
      <c r="V14" s="164"/>
      <c r="W14" s="164"/>
      <c r="X14" s="164"/>
      <c r="Y14" s="164"/>
      <c r="Z14" s="164"/>
      <c r="AA14" s="147" t="e">
        <f>#REF!</f>
        <v>#REF!</v>
      </c>
      <c r="AB14" s="39" t="e">
        <f>#REF!</f>
        <v>#REF!</v>
      </c>
      <c r="AC14" s="39" t="e">
        <f>#REF!</f>
        <v>#REF!</v>
      </c>
      <c r="AD14" s="207"/>
      <c r="AE14" s="3" t="e">
        <f>#REF!-#REF!*20</f>
        <v>#REF!</v>
      </c>
      <c r="AF14" s="39" t="e">
        <f>ROUND(MAX(0.6*#REF!^1.299,850)*(1+ tech_2_6*Techs!AC14 + tech_2_9*Techs!AF14 + tech_3_7*Techs!AN14 + Overview!$I$32),0)</f>
        <v>#REF!</v>
      </c>
      <c r="AG14" s="39" t="e">
        <f>IF(ROUND(MAX(IF(#REF!&gt;=300,5+0.003*(#REF!-300)^1.07,5-300/#REF!)+0,3),0)&lt;=6,ROUND(MAX(IF(#REF!&gt;=300,5+0.003*(#REF!-300)^1.07,5-300/#REF!)+0,3),0),ROUND(MAX(IF(#REF!&gt;=300,5+0.003*(#REF!-300)^1.07,5-300/#REF!)+tech_2_9_2*#REF!+tech_3_7_2*#REF!,6),0))</f>
        <v>#REF!</v>
      </c>
      <c r="AH14" s="39" t="e">
        <f>SUM(#REF!)*#REF!</f>
        <v>#REF!</v>
      </c>
      <c r="AI14" s="39" t="e">
        <f>SUM(#REF!)*#REF!</f>
        <v>#REF!</v>
      </c>
      <c r="AJ14" s="3" t="e">
        <f>_xlfn.FLOOR.MATH(MIN(#REF!/#REF!,#REF!/#REF!))</f>
        <v>#REF!</v>
      </c>
    </row>
    <row r="15" spans="1:36" ht="12.5" x14ac:dyDescent="0.25">
      <c r="A15" s="160" t="e">
        <f>#REF!</f>
        <v>#REF!</v>
      </c>
      <c r="B15" s="206" t="e">
        <f>#REF!</f>
        <v>#REF!</v>
      </c>
      <c r="C15" s="207"/>
      <c r="D15" s="208" t="e">
        <f>#REF!</f>
        <v>#REF!</v>
      </c>
      <c r="E15" s="166" t="e">
        <f>#REF!</f>
        <v>#REF!</v>
      </c>
      <c r="F15" s="341" t="e">
        <f>#REF!</f>
        <v>#REF!</v>
      </c>
      <c r="G15" s="345" t="e">
        <f>#REF!</f>
        <v>#REF!</v>
      </c>
      <c r="H15" s="349" t="e">
        <f>#REF!</f>
        <v>#REF!</v>
      </c>
      <c r="I15" s="169" t="e">
        <f>#REF!</f>
        <v>#REF!</v>
      </c>
      <c r="J15" s="170" t="e">
        <f>#REF!</f>
        <v>#REF!</v>
      </c>
      <c r="K15" s="202"/>
      <c r="L15" s="202"/>
      <c r="M15" s="211"/>
      <c r="N15" s="209" t="e">
        <f>#REF!</f>
        <v>#REF!</v>
      </c>
      <c r="O15" s="209" t="e">
        <f>#REF!</f>
        <v>#REF!</v>
      </c>
      <c r="P15" s="209" t="e">
        <f>#REF!</f>
        <v>#REF!</v>
      </c>
      <c r="Q15" s="160" t="e">
        <f>#REF!</f>
        <v>#REF!</v>
      </c>
      <c r="R15" s="160" t="e">
        <f>#REF!</f>
        <v>#REF!</v>
      </c>
      <c r="S15" s="210"/>
      <c r="T15" s="146"/>
      <c r="U15" s="164"/>
      <c r="V15" s="164"/>
      <c r="W15" s="164"/>
      <c r="X15" s="164"/>
      <c r="Y15" s="164"/>
      <c r="Z15" s="164"/>
      <c r="AA15" s="147" t="e">
        <f>#REF!</f>
        <v>#REF!</v>
      </c>
      <c r="AB15" s="39" t="e">
        <f>#REF!</f>
        <v>#REF!</v>
      </c>
      <c r="AC15" s="39" t="e">
        <f>#REF!</f>
        <v>#REF!</v>
      </c>
      <c r="AD15" s="207"/>
      <c r="AE15" s="3" t="e">
        <f>#REF!-#REF!*20</f>
        <v>#REF!</v>
      </c>
      <c r="AF15" s="39" t="e">
        <f>ROUND(MAX(0.6*#REF!^1.299,850)*(1+ tech_2_6*Techs!AC15 + tech_2_9*Techs!AF15 + tech_3_7*Techs!AN15 + Overview!$I$32),0)</f>
        <v>#REF!</v>
      </c>
      <c r="AG15" s="39" t="e">
        <f>IF(ROUND(MAX(IF(#REF!&gt;=300,5+0.003*(#REF!-300)^1.07,5-300/#REF!)+0,3),0)&lt;=6,ROUND(MAX(IF(#REF!&gt;=300,5+0.003*(#REF!-300)^1.07,5-300/#REF!)+0,3),0),ROUND(MAX(IF(#REF!&gt;=300,5+0.003*(#REF!-300)^1.07,5-300/#REF!)+tech_2_9_2*#REF!+tech_3_7_2*#REF!,6),0))</f>
        <v>#REF!</v>
      </c>
      <c r="AH15" s="39" t="e">
        <f>SUM(#REF!)*#REF!</f>
        <v>#REF!</v>
      </c>
      <c r="AI15" s="39" t="e">
        <f>SUM(#REF!)*#REF!</f>
        <v>#REF!</v>
      </c>
      <c r="AJ15" s="3" t="e">
        <f>_xlfn.FLOOR.MATH(MIN(#REF!/#REF!,#REF!/#REF!))</f>
        <v>#REF!</v>
      </c>
    </row>
    <row r="16" spans="1:36" ht="12.5" x14ac:dyDescent="0.25">
      <c r="A16" s="160" t="e">
        <f>#REF!</f>
        <v>#REF!</v>
      </c>
      <c r="B16" s="206" t="e">
        <f>#REF!</f>
        <v>#REF!</v>
      </c>
      <c r="C16" s="207"/>
      <c r="D16" s="208" t="e">
        <f>#REF!</f>
        <v>#REF!</v>
      </c>
      <c r="E16" s="166" t="e">
        <f>#REF!</f>
        <v>#REF!</v>
      </c>
      <c r="F16" s="341" t="e">
        <f>#REF!</f>
        <v>#REF!</v>
      </c>
      <c r="G16" s="345" t="e">
        <f>#REF!</f>
        <v>#REF!</v>
      </c>
      <c r="H16" s="349" t="e">
        <f>#REF!</f>
        <v>#REF!</v>
      </c>
      <c r="I16" s="169" t="e">
        <f>#REF!</f>
        <v>#REF!</v>
      </c>
      <c r="J16" s="170" t="e">
        <f>#REF!</f>
        <v>#REF!</v>
      </c>
      <c r="K16" s="202"/>
      <c r="L16" s="212" t="s">
        <v>381</v>
      </c>
      <c r="M16" s="212"/>
      <c r="N16" s="209" t="e">
        <f>#REF!</f>
        <v>#REF!</v>
      </c>
      <c r="O16" s="209" t="e">
        <f>#REF!</f>
        <v>#REF!</v>
      </c>
      <c r="P16" s="209" t="e">
        <f>#REF!</f>
        <v>#REF!</v>
      </c>
      <c r="Q16" s="160" t="e">
        <f>#REF!</f>
        <v>#REF!</v>
      </c>
      <c r="R16" s="160" t="e">
        <f>#REF!</f>
        <v>#REF!</v>
      </c>
      <c r="S16" s="210"/>
      <c r="T16" s="164"/>
      <c r="U16" s="164"/>
      <c r="V16" s="164"/>
      <c r="W16" s="164"/>
      <c r="X16" s="164"/>
      <c r="Y16" s="164"/>
      <c r="Z16" s="164"/>
      <c r="AA16" s="147" t="e">
        <f>#REF!</f>
        <v>#REF!</v>
      </c>
      <c r="AB16" s="39" t="e">
        <f>#REF!</f>
        <v>#REF!</v>
      </c>
      <c r="AC16" s="39" t="e">
        <f>#REF!</f>
        <v>#REF!</v>
      </c>
      <c r="AD16" s="207"/>
      <c r="AE16" s="3" t="e">
        <f>#REF!-#REF!*20</f>
        <v>#REF!</v>
      </c>
      <c r="AF16" s="39" t="e">
        <f>ROUND(MAX(0.6*#REF!^1.299,850)*(1+ tech_2_6*Techs!AC16 + tech_2_9*Techs!AF16 + tech_3_7*Techs!AN16 + Overview!$I$32),0)</f>
        <v>#REF!</v>
      </c>
      <c r="AG16" s="39" t="e">
        <f>IF(ROUND(MAX(IF(#REF!&gt;=300,5+0.003*(#REF!-300)^1.07,5-300/#REF!)+0,3),0)&lt;=6,ROUND(MAX(IF(#REF!&gt;=300,5+0.003*(#REF!-300)^1.07,5-300/#REF!)+0,3),0),ROUND(MAX(IF(#REF!&gt;=300,5+0.003*(#REF!-300)^1.07,5-300/#REF!)+tech_2_9_2*#REF!+tech_3_7_2*#REF!,6),0))</f>
        <v>#REF!</v>
      </c>
      <c r="AH16" s="39" t="e">
        <f>SUM(#REF!)*#REF!</f>
        <v>#REF!</v>
      </c>
      <c r="AI16" s="39" t="e">
        <f>SUM(#REF!)*#REF!</f>
        <v>#REF!</v>
      </c>
      <c r="AJ16" s="3" t="e">
        <f>_xlfn.FLOOR.MATH(MIN(#REF!/#REF!,#REF!/#REF!))</f>
        <v>#REF!</v>
      </c>
    </row>
    <row r="17" spans="1:36" ht="12.5" x14ac:dyDescent="0.25">
      <c r="A17" s="160" t="e">
        <f>#REF!</f>
        <v>#REF!</v>
      </c>
      <c r="B17" s="206" t="e">
        <f>#REF!</f>
        <v>#REF!</v>
      </c>
      <c r="C17" s="207"/>
      <c r="D17" s="208" t="e">
        <f>#REF!</f>
        <v>#REF!</v>
      </c>
      <c r="E17" s="166" t="e">
        <f>#REF!</f>
        <v>#REF!</v>
      </c>
      <c r="F17" s="341" t="e">
        <f>#REF!</f>
        <v>#REF!</v>
      </c>
      <c r="G17" s="345" t="e">
        <f>#REF!</f>
        <v>#REF!</v>
      </c>
      <c r="H17" s="349" t="e">
        <f>#REF!</f>
        <v>#REF!</v>
      </c>
      <c r="I17" s="169" t="e">
        <f>#REF!</f>
        <v>#REF!</v>
      </c>
      <c r="J17" s="170" t="e">
        <f>#REF!</f>
        <v>#REF!</v>
      </c>
      <c r="K17" s="202"/>
      <c r="L17" s="213" t="s">
        <v>369</v>
      </c>
      <c r="M17" s="214"/>
      <c r="N17" s="209" t="e">
        <f>#REF!</f>
        <v>#REF!</v>
      </c>
      <c r="O17" s="209" t="e">
        <f>#REF!</f>
        <v>#REF!</v>
      </c>
      <c r="P17" s="209" t="e">
        <f>#REF!</f>
        <v>#REF!</v>
      </c>
      <c r="Q17" s="160" t="e">
        <f>#REF!</f>
        <v>#REF!</v>
      </c>
      <c r="R17" s="160" t="e">
        <f>#REF!</f>
        <v>#REF!</v>
      </c>
      <c r="S17" s="210"/>
      <c r="T17" s="164"/>
      <c r="U17" s="164"/>
      <c r="V17" s="164"/>
      <c r="W17" s="164"/>
      <c r="X17" s="164"/>
      <c r="Y17" s="164"/>
      <c r="Z17" s="164"/>
      <c r="AA17" s="147" t="e">
        <f>#REF!</f>
        <v>#REF!</v>
      </c>
      <c r="AB17" s="39" t="e">
        <f>#REF!</f>
        <v>#REF!</v>
      </c>
      <c r="AC17" s="39" t="e">
        <f>#REF!</f>
        <v>#REF!</v>
      </c>
      <c r="AD17" s="207"/>
      <c r="AE17" s="3" t="e">
        <f>#REF!-#REF!*20</f>
        <v>#REF!</v>
      </c>
      <c r="AF17" s="39" t="e">
        <f>ROUND(MAX(0.6*#REF!^1.299,850)*(1+ tech_2_6*Techs!AC17 + tech_2_9*Techs!AF17 + tech_3_7*Techs!AN17 + Overview!$I$32),0)</f>
        <v>#REF!</v>
      </c>
      <c r="AG17" s="39" t="e">
        <f>IF(ROUND(MAX(IF(#REF!&gt;=300,5+0.003*(#REF!-300)^1.07,5-300/#REF!)+0,3),0)&lt;=6,ROUND(MAX(IF(#REF!&gt;=300,5+0.003*(#REF!-300)^1.07,5-300/#REF!)+0,3),0),ROUND(MAX(IF(#REF!&gt;=300,5+0.003*(#REF!-300)^1.07,5-300/#REF!)+tech_2_9_2*#REF!+tech_3_7_2*#REF!,6),0))</f>
        <v>#REF!</v>
      </c>
      <c r="AH17" s="39" t="e">
        <f>SUM(#REF!)*#REF!</f>
        <v>#REF!</v>
      </c>
      <c r="AI17" s="39" t="e">
        <f>SUM(#REF!)*#REF!</f>
        <v>#REF!</v>
      </c>
      <c r="AJ17" s="3" t="e">
        <f>_xlfn.FLOOR.MATH(MIN(#REF!/#REF!,#REF!/#REF!))</f>
        <v>#REF!</v>
      </c>
    </row>
    <row r="18" spans="1:36" ht="12.5" x14ac:dyDescent="0.25">
      <c r="A18" s="160" t="e">
        <f>#REF!</f>
        <v>#REF!</v>
      </c>
      <c r="B18" s="206" t="e">
        <f>#REF!</f>
        <v>#REF!</v>
      </c>
      <c r="C18" s="207"/>
      <c r="D18" s="208" t="e">
        <f>#REF!</f>
        <v>#REF!</v>
      </c>
      <c r="E18" s="166" t="e">
        <f>#REF!</f>
        <v>#REF!</v>
      </c>
      <c r="F18" s="341" t="e">
        <f>#REF!</f>
        <v>#REF!</v>
      </c>
      <c r="G18" s="345" t="e">
        <f>#REF!</f>
        <v>#REF!</v>
      </c>
      <c r="H18" s="349" t="e">
        <f>#REF!</f>
        <v>#REF!</v>
      </c>
      <c r="I18" s="169" t="e">
        <f>#REF!</f>
        <v>#REF!</v>
      </c>
      <c r="J18" s="170" t="e">
        <f>#REF!</f>
        <v>#REF!</v>
      </c>
      <c r="K18" s="202"/>
      <c r="L18" s="213" t="s">
        <v>368</v>
      </c>
      <c r="M18" s="214"/>
      <c r="N18" s="209" t="e">
        <f>#REF!</f>
        <v>#REF!</v>
      </c>
      <c r="O18" s="209" t="e">
        <f>#REF!</f>
        <v>#REF!</v>
      </c>
      <c r="P18" s="209" t="e">
        <f>#REF!</f>
        <v>#REF!</v>
      </c>
      <c r="Q18" s="160" t="e">
        <f>#REF!</f>
        <v>#REF!</v>
      </c>
      <c r="R18" s="160" t="e">
        <f>#REF!</f>
        <v>#REF!</v>
      </c>
      <c r="S18" s="210"/>
      <c r="T18" s="164"/>
      <c r="U18" s="164"/>
      <c r="V18" s="164"/>
      <c r="W18" s="164"/>
      <c r="X18" s="164"/>
      <c r="Y18" s="164"/>
      <c r="Z18" s="164"/>
      <c r="AA18" s="147" t="e">
        <f>#REF!</f>
        <v>#REF!</v>
      </c>
      <c r="AB18" s="39" t="e">
        <f>#REF!</f>
        <v>#REF!</v>
      </c>
      <c r="AC18" s="39" t="e">
        <f>#REF!</f>
        <v>#REF!</v>
      </c>
      <c r="AD18" s="207"/>
      <c r="AE18" s="3" t="e">
        <f>#REF!-#REF!*20</f>
        <v>#REF!</v>
      </c>
      <c r="AF18" s="39" t="e">
        <f>ROUND(MAX(0.6*#REF!^1.299,850)*(1+ tech_2_6*Techs!AC18 + tech_2_9*Techs!AF18 + tech_3_7*Techs!AN18 + Overview!$I$32),0)</f>
        <v>#REF!</v>
      </c>
      <c r="AG18" s="39" t="e">
        <f>IF(ROUND(MAX(IF(#REF!&gt;=300,5+0.003*(#REF!-300)^1.07,5-300/#REF!)+0,3),0)&lt;=6,ROUND(MAX(IF(#REF!&gt;=300,5+0.003*(#REF!-300)^1.07,5-300/#REF!)+0,3),0),ROUND(MAX(IF(#REF!&gt;=300,5+0.003*(#REF!-300)^1.07,5-300/#REF!)+tech_2_9_2*#REF!+tech_3_7_2*#REF!,6),0))</f>
        <v>#REF!</v>
      </c>
      <c r="AH18" s="39" t="e">
        <f>SUM(#REF!)*#REF!</f>
        <v>#REF!</v>
      </c>
      <c r="AI18" s="39" t="e">
        <f>SUM(#REF!)*#REF!</f>
        <v>#REF!</v>
      </c>
      <c r="AJ18" s="3" t="e">
        <f>_xlfn.FLOOR.MATH(MIN(#REF!/#REF!,#REF!/#REF!))</f>
        <v>#REF!</v>
      </c>
    </row>
    <row r="19" spans="1:36" ht="12.5" x14ac:dyDescent="0.25">
      <c r="A19" s="160" t="e">
        <f>#REF!</f>
        <v>#REF!</v>
      </c>
      <c r="B19" s="206" t="e">
        <f>#REF!</f>
        <v>#REF!</v>
      </c>
      <c r="C19" s="207"/>
      <c r="D19" s="208" t="e">
        <f>#REF!</f>
        <v>#REF!</v>
      </c>
      <c r="E19" s="166" t="e">
        <f>#REF!</f>
        <v>#REF!</v>
      </c>
      <c r="F19" s="341" t="e">
        <f>#REF!</f>
        <v>#REF!</v>
      </c>
      <c r="G19" s="345" t="e">
        <f>#REF!</f>
        <v>#REF!</v>
      </c>
      <c r="H19" s="349" t="e">
        <f>#REF!</f>
        <v>#REF!</v>
      </c>
      <c r="I19" s="169" t="e">
        <f>#REF!</f>
        <v>#REF!</v>
      </c>
      <c r="J19" s="170" t="e">
        <f>#REF!</f>
        <v>#REF!</v>
      </c>
      <c r="K19" s="202"/>
      <c r="L19" s="213" t="s">
        <v>366</v>
      </c>
      <c r="M19" s="214"/>
      <c r="N19" s="209" t="e">
        <f>#REF!</f>
        <v>#REF!</v>
      </c>
      <c r="O19" s="209" t="e">
        <f>#REF!</f>
        <v>#REF!</v>
      </c>
      <c r="P19" s="209" t="e">
        <f>#REF!</f>
        <v>#REF!</v>
      </c>
      <c r="Q19" s="160" t="e">
        <f>#REF!</f>
        <v>#REF!</v>
      </c>
      <c r="R19" s="160" t="e">
        <f>#REF!</f>
        <v>#REF!</v>
      </c>
      <c r="S19" s="210"/>
      <c r="T19" s="146"/>
      <c r="U19" s="164"/>
      <c r="V19" s="164"/>
      <c r="W19" s="164"/>
      <c r="X19" s="164"/>
      <c r="Y19" s="164"/>
      <c r="Z19" s="164"/>
      <c r="AA19" s="147" t="e">
        <f>#REF!</f>
        <v>#REF!</v>
      </c>
      <c r="AB19" s="39" t="e">
        <f>#REF!</f>
        <v>#REF!</v>
      </c>
      <c r="AC19" s="39" t="e">
        <f>#REF!</f>
        <v>#REF!</v>
      </c>
      <c r="AD19" s="207"/>
      <c r="AE19" s="3" t="e">
        <f>#REF!-#REF!*20</f>
        <v>#REF!</v>
      </c>
      <c r="AF19" s="39" t="e">
        <f>ROUND(MAX(0.6*#REF!^1.299,850)*(1+ tech_2_6*Techs!AC19 + tech_2_9*Techs!AF19 + tech_3_7*Techs!AN19 + Overview!$I$32),0)</f>
        <v>#REF!</v>
      </c>
      <c r="AG19" s="39" t="e">
        <f>IF(ROUND(MAX(IF(#REF!&gt;=300,5+0.003*(#REF!-300)^1.07,5-300/#REF!)+0,3),0)&lt;=6,ROUND(MAX(IF(#REF!&gt;=300,5+0.003*(#REF!-300)^1.07,5-300/#REF!)+0,3),0),ROUND(MAX(IF(#REF!&gt;=300,5+0.003*(#REF!-300)^1.07,5-300/#REF!)+tech_2_9_2*#REF!+tech_3_7_2*#REF!,6),0))</f>
        <v>#REF!</v>
      </c>
      <c r="AH19" s="39" t="e">
        <f>SUM(#REF!)*#REF!</f>
        <v>#REF!</v>
      </c>
      <c r="AI19" s="39" t="e">
        <f>SUM(#REF!)*#REF!</f>
        <v>#REF!</v>
      </c>
      <c r="AJ19" s="3" t="e">
        <f>_xlfn.FLOOR.MATH(MIN(#REF!/#REF!,#REF!/#REF!))</f>
        <v>#REF!</v>
      </c>
    </row>
    <row r="20" spans="1:36" ht="12.5" x14ac:dyDescent="0.25">
      <c r="A20" s="160" t="e">
        <f>#REF!</f>
        <v>#REF!</v>
      </c>
      <c r="B20" s="206" t="e">
        <f>#REF!</f>
        <v>#REF!</v>
      </c>
      <c r="C20" s="207"/>
      <c r="D20" s="208" t="e">
        <f>#REF!</f>
        <v>#REF!</v>
      </c>
      <c r="E20" s="166" t="e">
        <f>#REF!</f>
        <v>#REF!</v>
      </c>
      <c r="F20" s="341" t="e">
        <f>#REF!</f>
        <v>#REF!</v>
      </c>
      <c r="G20" s="345" t="e">
        <f>#REF!</f>
        <v>#REF!</v>
      </c>
      <c r="H20" s="349" t="e">
        <f>#REF!</f>
        <v>#REF!</v>
      </c>
      <c r="I20" s="169" t="e">
        <f>#REF!</f>
        <v>#REF!</v>
      </c>
      <c r="J20" s="170" t="e">
        <f>#REF!</f>
        <v>#REF!</v>
      </c>
      <c r="K20" s="202"/>
      <c r="L20" s="213" t="s">
        <v>367</v>
      </c>
      <c r="M20" s="214"/>
      <c r="N20" s="209" t="e">
        <f>#REF!</f>
        <v>#REF!</v>
      </c>
      <c r="O20" s="209" t="e">
        <f>#REF!</f>
        <v>#REF!</v>
      </c>
      <c r="P20" s="209" t="e">
        <f>#REF!</f>
        <v>#REF!</v>
      </c>
      <c r="Q20" s="160" t="e">
        <f>#REF!</f>
        <v>#REF!</v>
      </c>
      <c r="R20" s="160" t="e">
        <f>#REF!</f>
        <v>#REF!</v>
      </c>
      <c r="S20" s="210"/>
      <c r="T20" s="146"/>
      <c r="U20" s="164"/>
      <c r="V20" s="164"/>
      <c r="W20" s="164"/>
      <c r="X20" s="164"/>
      <c r="Y20" s="164"/>
      <c r="Z20" s="164"/>
      <c r="AA20" s="147" t="e">
        <f>#REF!</f>
        <v>#REF!</v>
      </c>
      <c r="AB20" s="39" t="e">
        <f>#REF!</f>
        <v>#REF!</v>
      </c>
      <c r="AC20" s="39" t="e">
        <f>#REF!</f>
        <v>#REF!</v>
      </c>
      <c r="AD20" s="207"/>
      <c r="AE20" s="3" t="e">
        <f>#REF!-#REF!*20</f>
        <v>#REF!</v>
      </c>
      <c r="AF20" s="39" t="e">
        <f>ROUND(MAX(0.6*#REF!^1.299,850)*(1+ tech_2_6*Techs!AC20 + tech_2_9*Techs!AF20 + tech_3_7*Techs!AN20 + Overview!$I$32),0)</f>
        <v>#REF!</v>
      </c>
      <c r="AG20" s="39" t="e">
        <f>IF(ROUND(MAX(IF(#REF!&gt;=300,5+0.003*(#REF!-300)^1.07,5-300/#REF!)+0,3),0)&lt;=6,ROUND(MAX(IF(#REF!&gt;=300,5+0.003*(#REF!-300)^1.07,5-300/#REF!)+0,3),0),ROUND(MAX(IF(#REF!&gt;=300,5+0.003*(#REF!-300)^1.07,5-300/#REF!)+tech_2_9_2*#REF!+tech_3_7_2*#REF!,6),0))</f>
        <v>#REF!</v>
      </c>
      <c r="AH20" s="39" t="e">
        <f>SUM(#REF!)*#REF!</f>
        <v>#REF!</v>
      </c>
      <c r="AI20" s="39" t="e">
        <f>SUM(#REF!)*#REF!</f>
        <v>#REF!</v>
      </c>
      <c r="AJ20" s="3" t="e">
        <f>_xlfn.FLOOR.MATH(MIN(#REF!/#REF!,#REF!/#REF!))</f>
        <v>#REF!</v>
      </c>
    </row>
    <row r="21" spans="1:36" ht="12.5" x14ac:dyDescent="0.25">
      <c r="A21" s="160" t="e">
        <f>#REF!</f>
        <v>#REF!</v>
      </c>
      <c r="B21" s="206" t="e">
        <f>#REF!</f>
        <v>#REF!</v>
      </c>
      <c r="C21" s="207"/>
      <c r="D21" s="208" t="e">
        <f>#REF!</f>
        <v>#REF!</v>
      </c>
      <c r="E21" s="166" t="e">
        <f>#REF!</f>
        <v>#REF!</v>
      </c>
      <c r="F21" s="341" t="e">
        <f>#REF!</f>
        <v>#REF!</v>
      </c>
      <c r="G21" s="345" t="e">
        <f>#REF!</f>
        <v>#REF!</v>
      </c>
      <c r="H21" s="349" t="e">
        <f>#REF!</f>
        <v>#REF!</v>
      </c>
      <c r="I21" s="169" t="e">
        <f>#REF!</f>
        <v>#REF!</v>
      </c>
      <c r="J21" s="170" t="e">
        <f>#REF!</f>
        <v>#REF!</v>
      </c>
      <c r="K21" s="202"/>
      <c r="L21" s="202"/>
      <c r="M21" s="211"/>
      <c r="N21" s="209" t="e">
        <f>#REF!</f>
        <v>#REF!</v>
      </c>
      <c r="O21" s="209" t="e">
        <f>#REF!</f>
        <v>#REF!</v>
      </c>
      <c r="P21" s="209" t="e">
        <f>#REF!</f>
        <v>#REF!</v>
      </c>
      <c r="Q21" s="160" t="e">
        <f>#REF!</f>
        <v>#REF!</v>
      </c>
      <c r="R21" s="160" t="e">
        <f>#REF!</f>
        <v>#REF!</v>
      </c>
      <c r="S21" s="210"/>
      <c r="T21" s="164"/>
      <c r="U21" s="164"/>
      <c r="V21" s="164"/>
      <c r="W21" s="164"/>
      <c r="X21" s="164"/>
      <c r="Y21" s="164"/>
      <c r="Z21" s="164"/>
      <c r="AA21" s="147" t="e">
        <f>#REF!</f>
        <v>#REF!</v>
      </c>
      <c r="AB21" s="39" t="e">
        <f>#REF!</f>
        <v>#REF!</v>
      </c>
      <c r="AC21" s="39" t="e">
        <f>#REF!</f>
        <v>#REF!</v>
      </c>
      <c r="AD21" s="207"/>
      <c r="AE21" s="3" t="e">
        <f>#REF!-#REF!*20</f>
        <v>#REF!</v>
      </c>
      <c r="AF21" s="39" t="e">
        <f>ROUND(MAX(0.6*#REF!^1.299,850)*(1+ tech_2_6*Techs!AC21 + tech_2_9*Techs!AF21 + tech_3_7*Techs!AN21 + Overview!$I$32),0)</f>
        <v>#REF!</v>
      </c>
      <c r="AG21" s="39" t="e">
        <f>IF(ROUND(MAX(IF(#REF!&gt;=300,5+0.003*(#REF!-300)^1.07,5-300/#REF!)+0,3),0)&lt;=6,ROUND(MAX(IF(#REF!&gt;=300,5+0.003*(#REF!-300)^1.07,5-300/#REF!)+0,3),0),ROUND(MAX(IF(#REF!&gt;=300,5+0.003*(#REF!-300)^1.07,5-300/#REF!)+tech_2_9_2*#REF!+tech_3_7_2*#REF!,6),0))</f>
        <v>#REF!</v>
      </c>
      <c r="AH21" s="39" t="e">
        <f>SUM(#REF!)*#REF!</f>
        <v>#REF!</v>
      </c>
      <c r="AI21" s="39" t="e">
        <f>SUM(#REF!)*#REF!</f>
        <v>#REF!</v>
      </c>
      <c r="AJ21" s="3" t="e">
        <f>_xlfn.FLOOR.MATH(MIN(#REF!/#REF!,#REF!/#REF!))</f>
        <v>#REF!</v>
      </c>
    </row>
    <row r="22" spans="1:36" ht="12.5" x14ac:dyDescent="0.25">
      <c r="A22" s="160" t="e">
        <f>#REF!</f>
        <v>#REF!</v>
      </c>
      <c r="B22" s="206" t="e">
        <f>#REF!</f>
        <v>#REF!</v>
      </c>
      <c r="C22" s="207"/>
      <c r="D22" s="208" t="e">
        <f>#REF!</f>
        <v>#REF!</v>
      </c>
      <c r="E22" s="166" t="e">
        <f>#REF!</f>
        <v>#REF!</v>
      </c>
      <c r="F22" s="341" t="e">
        <f>#REF!</f>
        <v>#REF!</v>
      </c>
      <c r="G22" s="345" t="e">
        <f>#REF!</f>
        <v>#REF!</v>
      </c>
      <c r="H22" s="349" t="e">
        <f>#REF!</f>
        <v>#REF!</v>
      </c>
      <c r="I22" s="169" t="e">
        <f>#REF!</f>
        <v>#REF!</v>
      </c>
      <c r="J22" s="170" t="e">
        <f>#REF!</f>
        <v>#REF!</v>
      </c>
      <c r="K22" s="202"/>
      <c r="L22" s="202"/>
      <c r="M22" s="211"/>
      <c r="N22" s="209" t="e">
        <f>#REF!</f>
        <v>#REF!</v>
      </c>
      <c r="O22" s="209" t="e">
        <f>#REF!</f>
        <v>#REF!</v>
      </c>
      <c r="P22" s="209" t="e">
        <f>#REF!</f>
        <v>#REF!</v>
      </c>
      <c r="Q22" s="160" t="e">
        <f>#REF!</f>
        <v>#REF!</v>
      </c>
      <c r="R22" s="160" t="e">
        <f>#REF!</f>
        <v>#REF!</v>
      </c>
      <c r="S22" s="210"/>
      <c r="T22" s="164"/>
      <c r="U22" s="164"/>
      <c r="V22" s="164"/>
      <c r="W22" s="164"/>
      <c r="X22" s="164"/>
      <c r="Y22" s="164"/>
      <c r="Z22" s="164"/>
      <c r="AA22" s="147" t="e">
        <f>#REF!</f>
        <v>#REF!</v>
      </c>
      <c r="AB22" s="39" t="e">
        <f>#REF!</f>
        <v>#REF!</v>
      </c>
      <c r="AC22" s="39" t="e">
        <f>#REF!</f>
        <v>#REF!</v>
      </c>
      <c r="AD22" s="207"/>
      <c r="AE22" s="3" t="e">
        <f>#REF!-#REF!*20</f>
        <v>#REF!</v>
      </c>
      <c r="AF22" s="39" t="e">
        <f>ROUND(MAX(0.6*#REF!^1.299,850)*(1+ tech_2_6*Techs!AC22 + tech_2_9*Techs!AF22 + tech_3_7*Techs!AN22 + Overview!$I$32),0)</f>
        <v>#REF!</v>
      </c>
      <c r="AG22" s="39" t="e">
        <f>IF(ROUND(MAX(IF(#REF!&gt;=300,5+0.003*(#REF!-300)^1.07,5-300/#REF!)+0,3),0)&lt;=6,ROUND(MAX(IF(#REF!&gt;=300,5+0.003*(#REF!-300)^1.07,5-300/#REF!)+0,3),0),ROUND(MAX(IF(#REF!&gt;=300,5+0.003*(#REF!-300)^1.07,5-300/#REF!)+tech_2_9_2*#REF!+tech_3_7_2*#REF!,6),0))</f>
        <v>#REF!</v>
      </c>
      <c r="AH22" s="39" t="e">
        <f>SUM(#REF!)*#REF!</f>
        <v>#REF!</v>
      </c>
      <c r="AI22" s="39" t="e">
        <f>SUM(#REF!)*#REF!</f>
        <v>#REF!</v>
      </c>
      <c r="AJ22" s="3" t="e">
        <f>_xlfn.FLOOR.MATH(MIN(#REF!/#REF!,#REF!/#REF!))</f>
        <v>#REF!</v>
      </c>
    </row>
    <row r="23" spans="1:36" ht="12.5" x14ac:dyDescent="0.25">
      <c r="A23" s="160" t="e">
        <f>#REF!</f>
        <v>#REF!</v>
      </c>
      <c r="B23" s="206" t="e">
        <f>#REF!</f>
        <v>#REF!</v>
      </c>
      <c r="C23" s="207"/>
      <c r="D23" s="208" t="e">
        <f>#REF!</f>
        <v>#REF!</v>
      </c>
      <c r="E23" s="166" t="e">
        <f>#REF!</f>
        <v>#REF!</v>
      </c>
      <c r="F23" s="341" t="e">
        <f>#REF!</f>
        <v>#REF!</v>
      </c>
      <c r="G23" s="345" t="e">
        <f>#REF!</f>
        <v>#REF!</v>
      </c>
      <c r="H23" s="349" t="e">
        <f>#REF!</f>
        <v>#REF!</v>
      </c>
      <c r="I23" s="169" t="e">
        <f>#REF!</f>
        <v>#REF!</v>
      </c>
      <c r="J23" s="170" t="e">
        <f>#REF!</f>
        <v>#REF!</v>
      </c>
      <c r="K23" s="202"/>
      <c r="L23" s="202"/>
      <c r="M23" s="211"/>
      <c r="N23" s="209" t="e">
        <f>#REF!</f>
        <v>#REF!</v>
      </c>
      <c r="O23" s="209" t="e">
        <f>#REF!</f>
        <v>#REF!</v>
      </c>
      <c r="P23" s="209" t="e">
        <f>#REF!</f>
        <v>#REF!</v>
      </c>
      <c r="Q23" s="160" t="e">
        <f>#REF!</f>
        <v>#REF!</v>
      </c>
      <c r="R23" s="160" t="e">
        <f>#REF!</f>
        <v>#REF!</v>
      </c>
      <c r="S23" s="210"/>
      <c r="T23" s="164"/>
      <c r="U23" s="164"/>
      <c r="V23" s="164"/>
      <c r="W23" s="164"/>
      <c r="X23" s="164"/>
      <c r="Y23" s="164"/>
      <c r="Z23" s="164"/>
      <c r="AA23" s="147" t="e">
        <f>#REF!</f>
        <v>#REF!</v>
      </c>
      <c r="AB23" s="39" t="e">
        <f>#REF!</f>
        <v>#REF!</v>
      </c>
      <c r="AC23" s="39" t="e">
        <f>#REF!</f>
        <v>#REF!</v>
      </c>
      <c r="AD23" s="207"/>
      <c r="AE23" s="3" t="e">
        <f>#REF!-#REF!*20</f>
        <v>#REF!</v>
      </c>
      <c r="AF23" s="39" t="e">
        <f>ROUND(MAX(0.6*#REF!^1.299,850)*(1+ tech_2_6*Techs!AC23 + tech_2_9*Techs!AF23 + tech_3_7*Techs!AN23 + Overview!$I$32),0)</f>
        <v>#REF!</v>
      </c>
      <c r="AG23" s="39" t="e">
        <f>IF(ROUND(MAX(IF(#REF!&gt;=300,5+0.003*(#REF!-300)^1.07,5-300/#REF!)+0,3),0)&lt;=6,ROUND(MAX(IF(#REF!&gt;=300,5+0.003*(#REF!-300)^1.07,5-300/#REF!)+0,3),0),ROUND(MAX(IF(#REF!&gt;=300,5+0.003*(#REF!-300)^1.07,5-300/#REF!)+tech_2_9_2*#REF!+tech_3_7_2*#REF!,6),0))</f>
        <v>#REF!</v>
      </c>
      <c r="AH23" s="39" t="e">
        <f>SUM(#REF!)*#REF!</f>
        <v>#REF!</v>
      </c>
      <c r="AI23" s="39" t="e">
        <f>SUM(#REF!)*#REF!</f>
        <v>#REF!</v>
      </c>
      <c r="AJ23" s="3" t="e">
        <f>_xlfn.FLOOR.MATH(MIN(#REF!/#REF!,#REF!/#REF!))</f>
        <v>#REF!</v>
      </c>
    </row>
    <row r="24" spans="1:36" ht="12.5" x14ac:dyDescent="0.25">
      <c r="A24" s="160" t="e">
        <f>#REF!</f>
        <v>#REF!</v>
      </c>
      <c r="B24" s="206" t="e">
        <f>#REF!</f>
        <v>#REF!</v>
      </c>
      <c r="C24" s="207"/>
      <c r="D24" s="208" t="e">
        <f>#REF!</f>
        <v>#REF!</v>
      </c>
      <c r="E24" s="166" t="e">
        <f>#REF!</f>
        <v>#REF!</v>
      </c>
      <c r="F24" s="341" t="e">
        <f>#REF!</f>
        <v>#REF!</v>
      </c>
      <c r="G24" s="345" t="e">
        <f>#REF!</f>
        <v>#REF!</v>
      </c>
      <c r="H24" s="349" t="e">
        <f>#REF!</f>
        <v>#REF!</v>
      </c>
      <c r="I24" s="169" t="e">
        <f>#REF!</f>
        <v>#REF!</v>
      </c>
      <c r="J24" s="170" t="e">
        <f>#REF!</f>
        <v>#REF!</v>
      </c>
      <c r="K24" s="202"/>
      <c r="L24" s="202"/>
      <c r="M24" s="202"/>
      <c r="N24" s="209" t="e">
        <f>#REF!</f>
        <v>#REF!</v>
      </c>
      <c r="O24" s="209" t="e">
        <f>#REF!</f>
        <v>#REF!</v>
      </c>
      <c r="P24" s="209" t="e">
        <f>#REF!</f>
        <v>#REF!</v>
      </c>
      <c r="Q24" s="160" t="e">
        <f>#REF!</f>
        <v>#REF!</v>
      </c>
      <c r="R24" s="206" t="e">
        <f>#REF!</f>
        <v>#REF!</v>
      </c>
      <c r="S24" s="210"/>
      <c r="T24" s="164"/>
      <c r="U24" s="164"/>
      <c r="V24" s="164"/>
      <c r="W24" s="164"/>
      <c r="X24" s="164"/>
      <c r="Y24" s="164"/>
      <c r="Z24" s="164"/>
      <c r="AA24" s="147" t="e">
        <f>#REF!</f>
        <v>#REF!</v>
      </c>
      <c r="AB24" s="39" t="e">
        <f>#REF!</f>
        <v>#REF!</v>
      </c>
      <c r="AC24" s="39" t="e">
        <f>#REF!</f>
        <v>#REF!</v>
      </c>
      <c r="AD24" s="207"/>
      <c r="AE24" s="3" t="e">
        <f>#REF!-#REF!*20</f>
        <v>#REF!</v>
      </c>
      <c r="AF24" s="39" t="e">
        <f>ROUND(MAX(0.6*#REF!^1.299,850)*(1+ tech_2_6*Techs!AC24 + tech_2_9*Techs!AF24 + tech_3_7*Techs!AN24 + Overview!$I$32),0)</f>
        <v>#REF!</v>
      </c>
      <c r="AG24" s="39" t="e">
        <f>IF(ROUND(MAX(IF(#REF!&gt;=300,5+0.003*(#REF!-300)^1.07,5-300/#REF!)+0,3),0)&lt;=6,ROUND(MAX(IF(#REF!&gt;=300,5+0.003*(#REF!-300)^1.07,5-300/#REF!)+0,3),0),ROUND(MAX(IF(#REF!&gt;=300,5+0.003*(#REF!-300)^1.07,5-300/#REF!)+tech_2_9_2*#REF!+tech_3_7_2*#REF!,6),0))</f>
        <v>#REF!</v>
      </c>
      <c r="AH24" s="39" t="e">
        <f>SUM(#REF!)*#REF!</f>
        <v>#REF!</v>
      </c>
      <c r="AI24" s="39" t="e">
        <f>SUM(#REF!)*#REF!</f>
        <v>#REF!</v>
      </c>
      <c r="AJ24" s="3" t="e">
        <f>_xlfn.FLOOR.MATH(MIN(#REF!/#REF!,#REF!/#REF!))</f>
        <v>#REF!</v>
      </c>
    </row>
    <row r="25" spans="1:36" ht="12.5" x14ac:dyDescent="0.25">
      <c r="A25" s="160" t="e">
        <f>#REF!</f>
        <v>#REF!</v>
      </c>
      <c r="B25" s="206" t="e">
        <f>#REF!</f>
        <v>#REF!</v>
      </c>
      <c r="C25" s="207"/>
      <c r="D25" s="208" t="e">
        <f>#REF!</f>
        <v>#REF!</v>
      </c>
      <c r="E25" s="166" t="e">
        <f>#REF!</f>
        <v>#REF!</v>
      </c>
      <c r="F25" s="341" t="e">
        <f>#REF!</f>
        <v>#REF!</v>
      </c>
      <c r="G25" s="345" t="e">
        <f>#REF!</f>
        <v>#REF!</v>
      </c>
      <c r="H25" s="349" t="e">
        <f>#REF!</f>
        <v>#REF!</v>
      </c>
      <c r="I25" s="169" t="e">
        <f>#REF!</f>
        <v>#REF!</v>
      </c>
      <c r="J25" s="170" t="e">
        <f>#REF!</f>
        <v>#REF!</v>
      </c>
      <c r="K25" s="202"/>
      <c r="L25" s="215" t="s">
        <v>382</v>
      </c>
      <c r="M25" s="215"/>
      <c r="N25" s="209" t="e">
        <f>#REF!</f>
        <v>#REF!</v>
      </c>
      <c r="O25" s="209" t="e">
        <f>#REF!</f>
        <v>#REF!</v>
      </c>
      <c r="P25" s="209" t="e">
        <f>#REF!</f>
        <v>#REF!</v>
      </c>
      <c r="Q25" s="160" t="e">
        <f>#REF!</f>
        <v>#REF!</v>
      </c>
      <c r="R25" s="206" t="e">
        <f>#REF!</f>
        <v>#REF!</v>
      </c>
      <c r="S25" s="210"/>
      <c r="T25" s="164"/>
      <c r="U25" s="164"/>
      <c r="V25" s="164"/>
      <c r="W25" s="164"/>
      <c r="X25" s="164"/>
      <c r="Y25" s="164"/>
      <c r="Z25" s="164"/>
      <c r="AA25" s="147" t="e">
        <f>#REF!</f>
        <v>#REF!</v>
      </c>
      <c r="AB25" s="39" t="e">
        <f>#REF!</f>
        <v>#REF!</v>
      </c>
      <c r="AC25" s="39" t="e">
        <f>#REF!</f>
        <v>#REF!</v>
      </c>
      <c r="AD25" s="207"/>
      <c r="AE25" s="3" t="e">
        <f>#REF!-#REF!*20</f>
        <v>#REF!</v>
      </c>
      <c r="AF25" s="39" t="e">
        <f>ROUND(MAX(0.6*#REF!^1.299,850)*(1+ tech_2_6*Techs!AC25 + tech_2_9*Techs!AF25 + tech_3_7*Techs!AN25 + Overview!$I$32),0)</f>
        <v>#REF!</v>
      </c>
      <c r="AG25" s="39" t="e">
        <f>IF(ROUND(MAX(IF(#REF!&gt;=300,5+0.003*(#REF!-300)^1.07,5-300/#REF!)+0,3),0)&lt;=6,ROUND(MAX(IF(#REF!&gt;=300,5+0.003*(#REF!-300)^1.07,5-300/#REF!)+0,3),0),ROUND(MAX(IF(#REF!&gt;=300,5+0.003*(#REF!-300)^1.07,5-300/#REF!)+tech_2_9_2*#REF!+tech_3_7_2*#REF!,6),0))</f>
        <v>#REF!</v>
      </c>
      <c r="AH25" s="39" t="e">
        <f>SUM(#REF!)*#REF!</f>
        <v>#REF!</v>
      </c>
      <c r="AI25" s="39" t="e">
        <f>SUM(#REF!)*#REF!</f>
        <v>#REF!</v>
      </c>
      <c r="AJ25" s="3" t="e">
        <f>_xlfn.FLOOR.MATH(MIN(#REF!/#REF!,#REF!/#REF!))</f>
        <v>#REF!</v>
      </c>
    </row>
    <row r="26" spans="1:36" ht="12.5" x14ac:dyDescent="0.25">
      <c r="A26" s="160" t="e">
        <f>#REF!</f>
        <v>#REF!</v>
      </c>
      <c r="B26" s="206" t="e">
        <f>#REF!</f>
        <v>#REF!</v>
      </c>
      <c r="C26" s="207"/>
      <c r="D26" s="208" t="e">
        <f>#REF!</f>
        <v>#REF!</v>
      </c>
      <c r="E26" s="166" t="e">
        <f>#REF!</f>
        <v>#REF!</v>
      </c>
      <c r="F26" s="341" t="e">
        <f>#REF!</f>
        <v>#REF!</v>
      </c>
      <c r="G26" s="345" t="e">
        <f>#REF!</f>
        <v>#REF!</v>
      </c>
      <c r="H26" s="349" t="e">
        <f>#REF!</f>
        <v>#REF!</v>
      </c>
      <c r="I26" s="169" t="e">
        <f>#REF!</f>
        <v>#REF!</v>
      </c>
      <c r="J26" s="170" t="e">
        <f>#REF!</f>
        <v>#REF!</v>
      </c>
      <c r="K26" s="202"/>
      <c r="L26" s="215" t="s">
        <v>369</v>
      </c>
      <c r="M26" s="216" t="e">
        <f>Military!AP67</f>
        <v>#REF!</v>
      </c>
      <c r="N26" s="209" t="e">
        <f>#REF!</f>
        <v>#REF!</v>
      </c>
      <c r="O26" s="209" t="e">
        <f>#REF!</f>
        <v>#REF!</v>
      </c>
      <c r="P26" s="209" t="e">
        <f>#REF!</f>
        <v>#REF!</v>
      </c>
      <c r="Q26" s="160" t="e">
        <f>#REF!</f>
        <v>#REF!</v>
      </c>
      <c r="R26" s="160" t="e">
        <f>#REF!</f>
        <v>#REF!</v>
      </c>
      <c r="S26" s="210"/>
      <c r="T26" s="164"/>
      <c r="U26" s="164"/>
      <c r="V26" s="164"/>
      <c r="W26" s="164"/>
      <c r="X26" s="164"/>
      <c r="Y26" s="164"/>
      <c r="Z26" s="164"/>
      <c r="AA26" s="147" t="e">
        <f>#REF!</f>
        <v>#REF!</v>
      </c>
      <c r="AB26" s="39" t="e">
        <f>#REF!</f>
        <v>#REF!</v>
      </c>
      <c r="AC26" s="39" t="e">
        <f>#REF!</f>
        <v>#REF!</v>
      </c>
      <c r="AD26" s="207"/>
      <c r="AE26" s="3" t="e">
        <f>#REF!-#REF!*20</f>
        <v>#REF!</v>
      </c>
      <c r="AF26" s="39" t="e">
        <f>ROUND(MAX(0.6*#REF!^1.299,850)*(1+ tech_2_6*Techs!AC26 + tech_2_9*Techs!AF26 + tech_3_7*Techs!AN26 + Overview!$I$32),0)</f>
        <v>#REF!</v>
      </c>
      <c r="AG26" s="39" t="e">
        <f>IF(ROUND(MAX(IF(#REF!&gt;=300,5+0.003*(#REF!-300)^1.07,5-300/#REF!)+0,3),0)&lt;=6,ROUND(MAX(IF(#REF!&gt;=300,5+0.003*(#REF!-300)^1.07,5-300/#REF!)+0,3),0),ROUND(MAX(IF(#REF!&gt;=300,5+0.003*(#REF!-300)^1.07,5-300/#REF!)+tech_2_9_2*#REF!+tech_3_7_2*#REF!,6),0))</f>
        <v>#REF!</v>
      </c>
      <c r="AH26" s="39" t="e">
        <f>SUM(#REF!)*#REF!</f>
        <v>#REF!</v>
      </c>
      <c r="AI26" s="39" t="e">
        <f>SUM(#REF!)*#REF!</f>
        <v>#REF!</v>
      </c>
      <c r="AJ26" s="3" t="e">
        <f>_xlfn.FLOOR.MATH(MIN(#REF!/#REF!,#REF!/#REF!))</f>
        <v>#REF!</v>
      </c>
    </row>
    <row r="27" spans="1:36" ht="12.5" x14ac:dyDescent="0.25">
      <c r="A27" s="160" t="e">
        <f>#REF!</f>
        <v>#REF!</v>
      </c>
      <c r="B27" s="206" t="e">
        <f>#REF!</f>
        <v>#REF!</v>
      </c>
      <c r="C27" s="207"/>
      <c r="D27" s="208" t="e">
        <f>#REF!</f>
        <v>#REF!</v>
      </c>
      <c r="E27" s="166" t="e">
        <f>#REF!</f>
        <v>#REF!</v>
      </c>
      <c r="F27" s="341" t="e">
        <f>#REF!</f>
        <v>#REF!</v>
      </c>
      <c r="G27" s="345" t="e">
        <f>#REF!</f>
        <v>#REF!</v>
      </c>
      <c r="H27" s="349" t="e">
        <f>#REF!</f>
        <v>#REF!</v>
      </c>
      <c r="I27" s="169" t="e">
        <f>#REF!</f>
        <v>#REF!</v>
      </c>
      <c r="J27" s="170" t="e">
        <f>#REF!</f>
        <v>#REF!</v>
      </c>
      <c r="K27" s="202"/>
      <c r="L27" s="215" t="s">
        <v>368</v>
      </c>
      <c r="M27" s="216" t="e">
        <f>Production!S76</f>
        <v>#REF!</v>
      </c>
      <c r="N27" s="209" t="e">
        <f>#REF!</f>
        <v>#REF!</v>
      </c>
      <c r="O27" s="209" t="e">
        <f>#REF!</f>
        <v>#REF!</v>
      </c>
      <c r="P27" s="209" t="e">
        <f>#REF!</f>
        <v>#REF!</v>
      </c>
      <c r="Q27" s="160" t="e">
        <f>#REF!</f>
        <v>#REF!</v>
      </c>
      <c r="R27" s="160" t="e">
        <f>#REF!</f>
        <v>#REF!</v>
      </c>
      <c r="S27" s="210"/>
      <c r="T27" s="146"/>
      <c r="U27" s="164"/>
      <c r="V27" s="164"/>
      <c r="W27" s="164"/>
      <c r="X27" s="164"/>
      <c r="Y27" s="164"/>
      <c r="Z27" s="164"/>
      <c r="AA27" s="147" t="e">
        <f>#REF!</f>
        <v>#REF!</v>
      </c>
      <c r="AB27" s="39" t="e">
        <f>#REF!</f>
        <v>#REF!</v>
      </c>
      <c r="AC27" s="39" t="e">
        <f>#REF!</f>
        <v>#REF!</v>
      </c>
      <c r="AD27" s="207"/>
      <c r="AE27" s="3" t="e">
        <f>#REF!-#REF!*20</f>
        <v>#REF!</v>
      </c>
      <c r="AF27" s="39" t="e">
        <f>ROUND(MAX(0.6*#REF!^1.299,850)*(1+ tech_2_6*Techs!AC27 + tech_2_9*Techs!AF27 + tech_3_7*Techs!AN27 + Overview!$I$32),0)</f>
        <v>#REF!</v>
      </c>
      <c r="AG27" s="39" t="e">
        <f>IF(ROUND(MAX(IF(#REF!&gt;=300,5+0.003*(#REF!-300)^1.07,5-300/#REF!)+0,3),0)&lt;=6,ROUND(MAX(IF(#REF!&gt;=300,5+0.003*(#REF!-300)^1.07,5-300/#REF!)+0,3),0),ROUND(MAX(IF(#REF!&gt;=300,5+0.003*(#REF!-300)^1.07,5-300/#REF!)+tech_2_9_2*#REF!+tech_3_7_2*#REF!,6),0))</f>
        <v>#REF!</v>
      </c>
      <c r="AH27" s="39" t="e">
        <f>SUM(#REF!)*#REF!</f>
        <v>#REF!</v>
      </c>
      <c r="AI27" s="39" t="e">
        <f>SUM(#REF!)*#REF!</f>
        <v>#REF!</v>
      </c>
      <c r="AJ27" s="3" t="e">
        <f>_xlfn.FLOOR.MATH(MIN(#REF!/#REF!,#REF!/#REF!))</f>
        <v>#REF!</v>
      </c>
    </row>
    <row r="28" spans="1:36" ht="12.5" x14ac:dyDescent="0.25">
      <c r="A28" s="160" t="e">
        <f>#REF!</f>
        <v>#REF!</v>
      </c>
      <c r="B28" s="206" t="e">
        <f>#REF!</f>
        <v>#REF!</v>
      </c>
      <c r="C28" s="207"/>
      <c r="D28" s="208" t="e">
        <f>#REF!</f>
        <v>#REF!</v>
      </c>
      <c r="E28" s="166" t="e">
        <f>#REF!</f>
        <v>#REF!</v>
      </c>
      <c r="F28" s="341" t="e">
        <f>#REF!</f>
        <v>#REF!</v>
      </c>
      <c r="G28" s="345" t="e">
        <f>#REF!</f>
        <v>#REF!</v>
      </c>
      <c r="H28" s="349" t="e">
        <f>#REF!</f>
        <v>#REF!</v>
      </c>
      <c r="I28" s="169" t="e">
        <f>#REF!</f>
        <v>#REF!</v>
      </c>
      <c r="J28" s="170" t="e">
        <f>#REF!</f>
        <v>#REF!</v>
      </c>
      <c r="K28" s="202"/>
      <c r="L28" s="215" t="s">
        <v>366</v>
      </c>
      <c r="M28" s="216" t="e">
        <f ca="1">Military!AA64</f>
        <v>#REF!</v>
      </c>
      <c r="N28" s="209" t="e">
        <f>#REF!</f>
        <v>#REF!</v>
      </c>
      <c r="O28" s="209" t="e">
        <f>#REF!</f>
        <v>#REF!</v>
      </c>
      <c r="P28" s="209" t="e">
        <f>#REF!</f>
        <v>#REF!</v>
      </c>
      <c r="Q28" s="160" t="e">
        <f>#REF!</f>
        <v>#REF!</v>
      </c>
      <c r="R28" s="160" t="e">
        <f>#REF!</f>
        <v>#REF!</v>
      </c>
      <c r="S28" s="210"/>
      <c r="T28" s="164"/>
      <c r="U28" s="164"/>
      <c r="V28" s="164"/>
      <c r="W28" s="164"/>
      <c r="X28" s="164"/>
      <c r="Y28" s="164"/>
      <c r="Z28" s="164"/>
      <c r="AA28" s="147" t="e">
        <f>#REF!</f>
        <v>#REF!</v>
      </c>
      <c r="AB28" s="39" t="e">
        <f>#REF!</f>
        <v>#REF!</v>
      </c>
      <c r="AC28" s="39" t="e">
        <f>#REF!</f>
        <v>#REF!</v>
      </c>
      <c r="AD28" s="207"/>
      <c r="AE28" s="3" t="e">
        <f>#REF!-#REF!*20</f>
        <v>#REF!</v>
      </c>
      <c r="AF28" s="39" t="e">
        <f>ROUND(MAX(0.6*#REF!^1.299,850)*(1+ tech_2_6*Techs!AC28 + tech_2_9*Techs!AF28 + tech_3_7*Techs!AN28 + Overview!$I$32),0)</f>
        <v>#REF!</v>
      </c>
      <c r="AG28" s="39" t="e">
        <f>IF(ROUND(MAX(IF(#REF!&gt;=300,5+0.003*(#REF!-300)^1.07,5-300/#REF!)+0,3),0)&lt;=6,ROUND(MAX(IF(#REF!&gt;=300,5+0.003*(#REF!-300)^1.07,5-300/#REF!)+0,3),0),ROUND(MAX(IF(#REF!&gt;=300,5+0.003*(#REF!-300)^1.07,5-300/#REF!)+tech_2_9_2*#REF!+tech_3_7_2*#REF!,6),0))</f>
        <v>#REF!</v>
      </c>
      <c r="AH28" s="39" t="e">
        <f>SUM(#REF!)*#REF!</f>
        <v>#REF!</v>
      </c>
      <c r="AI28" s="39" t="e">
        <f>SUM(#REF!)*#REF!</f>
        <v>#REF!</v>
      </c>
      <c r="AJ28" s="3" t="e">
        <f>_xlfn.FLOOR.MATH(MIN(#REF!/#REF!,#REF!/#REF!))</f>
        <v>#REF!</v>
      </c>
    </row>
    <row r="29" spans="1:36" ht="12.5" x14ac:dyDescent="0.25">
      <c r="A29" s="160" t="e">
        <f>#REF!</f>
        <v>#REF!</v>
      </c>
      <c r="B29" s="206" t="e">
        <f>#REF!</f>
        <v>#REF!</v>
      </c>
      <c r="C29" s="207"/>
      <c r="D29" s="208" t="e">
        <f>#REF!</f>
        <v>#REF!</v>
      </c>
      <c r="E29" s="166" t="e">
        <f>#REF!</f>
        <v>#REF!</v>
      </c>
      <c r="F29" s="341" t="e">
        <f>#REF!</f>
        <v>#REF!</v>
      </c>
      <c r="G29" s="345" t="e">
        <f>#REF!</f>
        <v>#REF!</v>
      </c>
      <c r="H29" s="349" t="e">
        <f>#REF!</f>
        <v>#REF!</v>
      </c>
      <c r="I29" s="169" t="e">
        <f>#REF!</f>
        <v>#REF!</v>
      </c>
      <c r="J29" s="170" t="e">
        <f>#REF!</f>
        <v>#REF!</v>
      </c>
      <c r="K29" s="202"/>
      <c r="L29" s="215" t="s">
        <v>367</v>
      </c>
      <c r="M29" s="216" t="e">
        <f>Q76</f>
        <v>#REF!</v>
      </c>
      <c r="N29" s="209" t="e">
        <f>#REF!</f>
        <v>#REF!</v>
      </c>
      <c r="O29" s="209" t="e">
        <f>#REF!</f>
        <v>#REF!</v>
      </c>
      <c r="P29" s="209" t="e">
        <f>#REF!</f>
        <v>#REF!</v>
      </c>
      <c r="Q29" s="160" t="e">
        <f>#REF!</f>
        <v>#REF!</v>
      </c>
      <c r="R29" s="160" t="e">
        <f>#REF!</f>
        <v>#REF!</v>
      </c>
      <c r="S29" s="210"/>
      <c r="T29" s="146"/>
      <c r="U29" s="164"/>
      <c r="V29" s="164"/>
      <c r="W29" s="164"/>
      <c r="X29" s="164"/>
      <c r="Y29" s="164"/>
      <c r="Z29" s="164"/>
      <c r="AA29" s="147" t="e">
        <f>#REF!</f>
        <v>#REF!</v>
      </c>
      <c r="AB29" s="39" t="e">
        <f>#REF!</f>
        <v>#REF!</v>
      </c>
      <c r="AC29" s="39" t="e">
        <f>#REF!</f>
        <v>#REF!</v>
      </c>
      <c r="AD29" s="207"/>
      <c r="AE29" s="3" t="e">
        <f>#REF!-#REF!*20</f>
        <v>#REF!</v>
      </c>
      <c r="AF29" s="39" t="e">
        <f>ROUND(MAX(0.6*#REF!^1.299,850)*(1+ tech_2_6*Techs!AC29 + tech_2_9*Techs!AF29 + tech_3_7*Techs!AN29 + Overview!$I$32),0)</f>
        <v>#REF!</v>
      </c>
      <c r="AG29" s="39" t="e">
        <f>IF(ROUND(MAX(IF(#REF!&gt;=300,5+0.003*(#REF!-300)^1.07,5-300/#REF!)+0,3),0)&lt;=6,ROUND(MAX(IF(#REF!&gt;=300,5+0.003*(#REF!-300)^1.07,5-300/#REF!)+0,3),0),ROUND(MAX(IF(#REF!&gt;=300,5+0.003*(#REF!-300)^1.07,5-300/#REF!)+tech_2_9_2*#REF!+tech_3_7_2*#REF!,6),0))</f>
        <v>#REF!</v>
      </c>
      <c r="AH29" s="39" t="e">
        <f>SUM(#REF!)*#REF!</f>
        <v>#REF!</v>
      </c>
      <c r="AI29" s="39" t="e">
        <f>SUM(#REF!)*#REF!</f>
        <v>#REF!</v>
      </c>
      <c r="AJ29" s="3" t="e">
        <f>_xlfn.FLOOR.MATH(MIN(#REF!/#REF!,#REF!/#REF!))</f>
        <v>#REF!</v>
      </c>
    </row>
    <row r="30" spans="1:36" ht="12.5" x14ac:dyDescent="0.25">
      <c r="A30" s="160" t="e">
        <f>#REF!</f>
        <v>#REF!</v>
      </c>
      <c r="B30" s="206" t="e">
        <f>#REF!</f>
        <v>#REF!</v>
      </c>
      <c r="C30" s="207"/>
      <c r="D30" s="208" t="e">
        <f>#REF!</f>
        <v>#REF!</v>
      </c>
      <c r="E30" s="166" t="e">
        <f>#REF!</f>
        <v>#REF!</v>
      </c>
      <c r="F30" s="341" t="e">
        <f>#REF!</f>
        <v>#REF!</v>
      </c>
      <c r="G30" s="345" t="e">
        <f>#REF!</f>
        <v>#REF!</v>
      </c>
      <c r="H30" s="349" t="e">
        <f>#REF!</f>
        <v>#REF!</v>
      </c>
      <c r="I30" s="169" t="e">
        <f>#REF!</f>
        <v>#REF!</v>
      </c>
      <c r="J30" s="170" t="e">
        <f>#REF!</f>
        <v>#REF!</v>
      </c>
      <c r="K30" s="202"/>
      <c r="L30" s="202"/>
      <c r="M30" s="211"/>
      <c r="N30" s="209" t="e">
        <f>#REF!</f>
        <v>#REF!</v>
      </c>
      <c r="O30" s="209" t="e">
        <f>#REF!</f>
        <v>#REF!</v>
      </c>
      <c r="P30" s="209" t="e">
        <f>#REF!</f>
        <v>#REF!</v>
      </c>
      <c r="Q30" s="160" t="e">
        <f>#REF!</f>
        <v>#REF!</v>
      </c>
      <c r="R30" s="160" t="e">
        <f>#REF!</f>
        <v>#REF!</v>
      </c>
      <c r="S30" s="210"/>
      <c r="T30" s="146"/>
      <c r="U30" s="164"/>
      <c r="V30" s="164"/>
      <c r="W30" s="164"/>
      <c r="X30" s="164"/>
      <c r="Y30" s="164"/>
      <c r="Z30" s="164"/>
      <c r="AA30" s="147" t="e">
        <f>#REF!</f>
        <v>#REF!</v>
      </c>
      <c r="AB30" s="39" t="e">
        <f>#REF!</f>
        <v>#REF!</v>
      </c>
      <c r="AC30" s="39" t="e">
        <f>#REF!</f>
        <v>#REF!</v>
      </c>
      <c r="AD30" s="207"/>
      <c r="AE30" s="3" t="e">
        <f>#REF!-#REF!*20</f>
        <v>#REF!</v>
      </c>
      <c r="AF30" s="39" t="e">
        <f>ROUND(MAX(0.6*#REF!^1.299,850)*(1+ tech_2_6*Techs!AC30 + tech_2_9*Techs!AF30 + tech_3_7*Techs!AN30 + Overview!$I$32),0)</f>
        <v>#REF!</v>
      </c>
      <c r="AG30" s="39" t="e">
        <f>IF(ROUND(MAX(IF(#REF!&gt;=300,5+0.003*(#REF!-300)^1.07,5-300/#REF!)+0,3),0)&lt;=6,ROUND(MAX(IF(#REF!&gt;=300,5+0.003*(#REF!-300)^1.07,5-300/#REF!)+0,3),0),ROUND(MAX(IF(#REF!&gt;=300,5+0.003*(#REF!-300)^1.07,5-300/#REF!)+tech_2_9_2*#REF!+tech_3_7_2*#REF!,6),0))</f>
        <v>#REF!</v>
      </c>
      <c r="AH30" s="39" t="e">
        <f>SUM(#REF!)*#REF!</f>
        <v>#REF!</v>
      </c>
      <c r="AI30" s="39" t="e">
        <f>SUM(#REF!)*#REF!</f>
        <v>#REF!</v>
      </c>
      <c r="AJ30" s="3" t="e">
        <f>_xlfn.FLOOR.MATH(MIN(#REF!/#REF!,#REF!/#REF!))</f>
        <v>#REF!</v>
      </c>
    </row>
    <row r="31" spans="1:36" ht="12.5" x14ac:dyDescent="0.25">
      <c r="A31" s="160" t="e">
        <f>#REF!</f>
        <v>#REF!</v>
      </c>
      <c r="B31" s="206" t="e">
        <f>#REF!</f>
        <v>#REF!</v>
      </c>
      <c r="C31" s="207"/>
      <c r="D31" s="208" t="e">
        <f>#REF!</f>
        <v>#REF!</v>
      </c>
      <c r="E31" s="166" t="e">
        <f>#REF!</f>
        <v>#REF!</v>
      </c>
      <c r="F31" s="341" t="e">
        <f>#REF!</f>
        <v>#REF!</v>
      </c>
      <c r="G31" s="345" t="e">
        <f>#REF!</f>
        <v>#REF!</v>
      </c>
      <c r="H31" s="349" t="e">
        <f>#REF!</f>
        <v>#REF!</v>
      </c>
      <c r="I31" s="169" t="e">
        <f>#REF!</f>
        <v>#REF!</v>
      </c>
      <c r="J31" s="170" t="e">
        <f>#REF!</f>
        <v>#REF!</v>
      </c>
      <c r="K31" s="202"/>
      <c r="L31" s="202"/>
      <c r="M31" s="211"/>
      <c r="N31" s="209" t="e">
        <f>#REF!</f>
        <v>#REF!</v>
      </c>
      <c r="O31" s="209" t="e">
        <f>#REF!</f>
        <v>#REF!</v>
      </c>
      <c r="P31" s="209" t="e">
        <f>#REF!</f>
        <v>#REF!</v>
      </c>
      <c r="Q31" s="160" t="e">
        <f>#REF!</f>
        <v>#REF!</v>
      </c>
      <c r="R31" s="160" t="e">
        <f>#REF!</f>
        <v>#REF!</v>
      </c>
      <c r="S31" s="210"/>
      <c r="T31" s="146"/>
      <c r="U31" s="164"/>
      <c r="V31" s="164"/>
      <c r="W31" s="164"/>
      <c r="X31" s="164"/>
      <c r="Y31" s="164"/>
      <c r="Z31" s="164"/>
      <c r="AA31" s="147" t="e">
        <f>#REF!</f>
        <v>#REF!</v>
      </c>
      <c r="AB31" s="39" t="e">
        <f>#REF!</f>
        <v>#REF!</v>
      </c>
      <c r="AC31" s="39" t="e">
        <f>#REF!</f>
        <v>#REF!</v>
      </c>
      <c r="AD31" s="207"/>
      <c r="AE31" s="3" t="e">
        <f>#REF!-#REF!*20</f>
        <v>#REF!</v>
      </c>
      <c r="AF31" s="39" t="e">
        <f>ROUND(MAX(0.6*#REF!^1.299,850)*(1+ tech_2_6*Techs!AC31 + tech_2_9*Techs!AF31 + tech_3_7*Techs!AN31 + Overview!$I$32),0)</f>
        <v>#REF!</v>
      </c>
      <c r="AG31" s="39" t="e">
        <f>IF(ROUND(MAX(IF(#REF!&gt;=300,5+0.003*(#REF!-300)^1.07,5-300/#REF!)+0,3),0)&lt;=6,ROUND(MAX(IF(#REF!&gt;=300,5+0.003*(#REF!-300)^1.07,5-300/#REF!)+0,3),0),ROUND(MAX(IF(#REF!&gt;=300,5+0.003*(#REF!-300)^1.07,5-300/#REF!)+tech_2_9_2*#REF!+tech_3_7_2*#REF!,6),0))</f>
        <v>#REF!</v>
      </c>
      <c r="AH31" s="39" t="e">
        <f>SUM(#REF!)*#REF!</f>
        <v>#REF!</v>
      </c>
      <c r="AI31" s="39" t="e">
        <f>SUM(#REF!)*#REF!</f>
        <v>#REF!</v>
      </c>
      <c r="AJ31" s="3" t="e">
        <f>_xlfn.FLOOR.MATH(MIN(#REF!/#REF!,#REF!/#REF!))</f>
        <v>#REF!</v>
      </c>
    </row>
    <row r="32" spans="1:36" ht="12.5" x14ac:dyDescent="0.25">
      <c r="A32" s="160" t="e">
        <f>#REF!</f>
        <v>#REF!</v>
      </c>
      <c r="B32" s="206" t="e">
        <f>#REF!</f>
        <v>#REF!</v>
      </c>
      <c r="C32" s="207"/>
      <c r="D32" s="208" t="e">
        <f>#REF!</f>
        <v>#REF!</v>
      </c>
      <c r="E32" s="166" t="e">
        <f>#REF!</f>
        <v>#REF!</v>
      </c>
      <c r="F32" s="341" t="e">
        <f>#REF!</f>
        <v>#REF!</v>
      </c>
      <c r="G32" s="345" t="e">
        <f>#REF!</f>
        <v>#REF!</v>
      </c>
      <c r="H32" s="349" t="e">
        <f>#REF!</f>
        <v>#REF!</v>
      </c>
      <c r="I32" s="169" t="e">
        <f>#REF!</f>
        <v>#REF!</v>
      </c>
      <c r="J32" s="170" t="e">
        <f>#REF!</f>
        <v>#REF!</v>
      </c>
      <c r="K32" s="202"/>
      <c r="L32" s="202"/>
      <c r="M32" s="211"/>
      <c r="N32" s="209" t="e">
        <f>#REF!</f>
        <v>#REF!</v>
      </c>
      <c r="O32" s="209" t="e">
        <f>#REF!</f>
        <v>#REF!</v>
      </c>
      <c r="P32" s="209" t="e">
        <f>#REF!</f>
        <v>#REF!</v>
      </c>
      <c r="Q32" s="160" t="e">
        <f>#REF!</f>
        <v>#REF!</v>
      </c>
      <c r="R32" s="160" t="e">
        <f>#REF!</f>
        <v>#REF!</v>
      </c>
      <c r="S32" s="210"/>
      <c r="T32" s="146"/>
      <c r="U32" s="164"/>
      <c r="V32" s="164"/>
      <c r="W32" s="164"/>
      <c r="X32" s="164"/>
      <c r="Y32" s="164"/>
      <c r="Z32" s="164"/>
      <c r="AA32" s="147" t="e">
        <f>#REF!</f>
        <v>#REF!</v>
      </c>
      <c r="AB32" s="39" t="e">
        <f>#REF!</f>
        <v>#REF!</v>
      </c>
      <c r="AC32" s="39" t="e">
        <f>#REF!</f>
        <v>#REF!</v>
      </c>
      <c r="AD32" s="207"/>
      <c r="AE32" s="3" t="e">
        <f>#REF!-#REF!*20</f>
        <v>#REF!</v>
      </c>
      <c r="AF32" s="39" t="e">
        <f>ROUND(MAX(0.6*#REF!^1.299,850)*(1+ tech_2_6*Techs!AC32 + tech_2_9*Techs!AF32 + tech_3_7*Techs!AN32 + Overview!$I$32),0)</f>
        <v>#REF!</v>
      </c>
      <c r="AG32" s="39" t="e">
        <f>IF(ROUND(MAX(IF(#REF!&gt;=300,5+0.003*(#REF!-300)^1.07,5-300/#REF!)+0,3),0)&lt;=6,ROUND(MAX(IF(#REF!&gt;=300,5+0.003*(#REF!-300)^1.07,5-300/#REF!)+0,3),0),ROUND(MAX(IF(#REF!&gt;=300,5+0.003*(#REF!-300)^1.07,5-300/#REF!)+tech_2_9_2*#REF!+tech_3_7_2*#REF!,6),0))</f>
        <v>#REF!</v>
      </c>
      <c r="AH32" s="39" t="e">
        <f>SUM(#REF!)*#REF!</f>
        <v>#REF!</v>
      </c>
      <c r="AI32" s="39" t="e">
        <f>SUM(#REF!)*#REF!</f>
        <v>#REF!</v>
      </c>
      <c r="AJ32" s="3" t="e">
        <f>_xlfn.FLOOR.MATH(MIN(#REF!/#REF!,#REF!/#REF!))</f>
        <v>#REF!</v>
      </c>
    </row>
    <row r="33" spans="1:36" ht="12.5" x14ac:dyDescent="0.25">
      <c r="A33" s="160" t="e">
        <f>#REF!</f>
        <v>#REF!</v>
      </c>
      <c r="B33" s="206" t="e">
        <f>#REF!</f>
        <v>#REF!</v>
      </c>
      <c r="C33" s="207"/>
      <c r="D33" s="208" t="e">
        <f>#REF!</f>
        <v>#REF!</v>
      </c>
      <c r="E33" s="166" t="e">
        <f>#REF!</f>
        <v>#REF!</v>
      </c>
      <c r="F33" s="341" t="e">
        <f>#REF!</f>
        <v>#REF!</v>
      </c>
      <c r="G33" s="345" t="e">
        <f>#REF!</f>
        <v>#REF!</v>
      </c>
      <c r="H33" s="349" t="e">
        <f>#REF!</f>
        <v>#REF!</v>
      </c>
      <c r="I33" s="169" t="e">
        <f>#REF!</f>
        <v>#REF!</v>
      </c>
      <c r="J33" s="170" t="e">
        <f>#REF!</f>
        <v>#REF!</v>
      </c>
      <c r="K33" s="202"/>
      <c r="L33" s="202"/>
      <c r="M33" s="202"/>
      <c r="N33" s="209" t="e">
        <f>#REF!</f>
        <v>#REF!</v>
      </c>
      <c r="O33" s="209" t="e">
        <f>#REF!</f>
        <v>#REF!</v>
      </c>
      <c r="P33" s="209" t="e">
        <f>#REF!</f>
        <v>#REF!</v>
      </c>
      <c r="Q33" s="160" t="e">
        <f>#REF!</f>
        <v>#REF!</v>
      </c>
      <c r="R33" s="160" t="e">
        <f>#REF!</f>
        <v>#REF!</v>
      </c>
      <c r="S33" s="210"/>
      <c r="T33" s="146"/>
      <c r="U33" s="164"/>
      <c r="V33" s="164"/>
      <c r="W33" s="164"/>
      <c r="X33" s="164"/>
      <c r="Y33" s="164"/>
      <c r="Z33" s="164"/>
      <c r="AA33" s="147" t="e">
        <f>#REF!</f>
        <v>#REF!</v>
      </c>
      <c r="AB33" s="39" t="e">
        <f>#REF!</f>
        <v>#REF!</v>
      </c>
      <c r="AC33" s="39" t="e">
        <f>#REF!</f>
        <v>#REF!</v>
      </c>
      <c r="AD33" s="207"/>
      <c r="AE33" s="3" t="e">
        <f>#REF!-#REF!*20</f>
        <v>#REF!</v>
      </c>
      <c r="AF33" s="39" t="e">
        <f>ROUND(MAX(0.6*#REF!^1.299,850)*(1+ tech_2_6*Techs!AC33 + tech_2_9*Techs!AF33 + tech_3_7*Techs!AN33 + Overview!$I$32),0)</f>
        <v>#REF!</v>
      </c>
      <c r="AG33" s="39" t="e">
        <f>IF(ROUND(MAX(IF(#REF!&gt;=300,5+0.003*(#REF!-300)^1.07,5-300/#REF!)+0,3),0)&lt;=6,ROUND(MAX(IF(#REF!&gt;=300,5+0.003*(#REF!-300)^1.07,5-300/#REF!)+0,3),0),ROUND(MAX(IF(#REF!&gt;=300,5+0.003*(#REF!-300)^1.07,5-300/#REF!)+tech_2_9_2*#REF!+tech_3_7_2*#REF!,6),0))</f>
        <v>#REF!</v>
      </c>
      <c r="AH33" s="39" t="e">
        <f>SUM(#REF!)*#REF!</f>
        <v>#REF!</v>
      </c>
      <c r="AI33" s="39" t="e">
        <f>SUM(#REF!)*#REF!</f>
        <v>#REF!</v>
      </c>
      <c r="AJ33" s="3" t="e">
        <f>_xlfn.FLOOR.MATH(MIN(#REF!/#REF!,#REF!/#REF!))</f>
        <v>#REF!</v>
      </c>
    </row>
    <row r="34" spans="1:36" ht="12.5" x14ac:dyDescent="0.25">
      <c r="A34" s="160" t="e">
        <f>#REF!</f>
        <v>#REF!</v>
      </c>
      <c r="B34" s="206" t="e">
        <f>#REF!</f>
        <v>#REF!</v>
      </c>
      <c r="C34" s="207"/>
      <c r="D34" s="208" t="e">
        <f>#REF!</f>
        <v>#REF!</v>
      </c>
      <c r="E34" s="166" t="e">
        <f>#REF!</f>
        <v>#REF!</v>
      </c>
      <c r="F34" s="341" t="e">
        <f>#REF!</f>
        <v>#REF!</v>
      </c>
      <c r="G34" s="345" t="e">
        <f>#REF!</f>
        <v>#REF!</v>
      </c>
      <c r="H34" s="349" t="e">
        <f>#REF!</f>
        <v>#REF!</v>
      </c>
      <c r="I34" s="169" t="e">
        <f>#REF!</f>
        <v>#REF!</v>
      </c>
      <c r="J34" s="170" t="e">
        <f>#REF!</f>
        <v>#REF!</v>
      </c>
      <c r="K34" s="202"/>
      <c r="L34" s="202"/>
      <c r="M34" s="217"/>
      <c r="N34" s="209" t="e">
        <f>#REF!</f>
        <v>#REF!</v>
      </c>
      <c r="O34" s="209" t="e">
        <f>#REF!</f>
        <v>#REF!</v>
      </c>
      <c r="P34" s="209" t="e">
        <f>#REF!</f>
        <v>#REF!</v>
      </c>
      <c r="Q34" s="160" t="e">
        <f>#REF!</f>
        <v>#REF!</v>
      </c>
      <c r="R34" s="160" t="e">
        <f>#REF!</f>
        <v>#REF!</v>
      </c>
      <c r="S34" s="210"/>
      <c r="T34" s="164"/>
      <c r="U34" s="164"/>
      <c r="V34" s="164"/>
      <c r="W34" s="164"/>
      <c r="X34" s="164"/>
      <c r="Y34" s="164"/>
      <c r="Z34" s="164"/>
      <c r="AA34" s="147" t="e">
        <f>#REF!</f>
        <v>#REF!</v>
      </c>
      <c r="AB34" s="39" t="e">
        <f>#REF!</f>
        <v>#REF!</v>
      </c>
      <c r="AC34" s="39" t="e">
        <f>#REF!</f>
        <v>#REF!</v>
      </c>
      <c r="AD34" s="207"/>
      <c r="AE34" s="3" t="e">
        <f>#REF!-#REF!*20</f>
        <v>#REF!</v>
      </c>
      <c r="AF34" s="39" t="e">
        <f>ROUND(MAX(0.6*#REF!^1.299,850)*(1+ tech_2_6*Techs!AC34 + tech_2_9*Techs!AF34 + tech_3_7*Techs!AN34 + Overview!$I$32),0)</f>
        <v>#REF!</v>
      </c>
      <c r="AG34" s="39" t="e">
        <f>IF(ROUND(MAX(IF(#REF!&gt;=300,5+0.003*(#REF!-300)^1.07,5-300/#REF!)+0,3),0)&lt;=6,ROUND(MAX(IF(#REF!&gt;=300,5+0.003*(#REF!-300)^1.07,5-300/#REF!)+0,3),0),ROUND(MAX(IF(#REF!&gt;=300,5+0.003*(#REF!-300)^1.07,5-300/#REF!)+tech_2_9_2*#REF!+tech_3_7_2*#REF!,6),0))</f>
        <v>#REF!</v>
      </c>
      <c r="AH34" s="39" t="e">
        <f>SUM(#REF!)*#REF!</f>
        <v>#REF!</v>
      </c>
      <c r="AI34" s="39" t="e">
        <f>SUM(#REF!)*#REF!</f>
        <v>#REF!</v>
      </c>
      <c r="AJ34" s="3" t="e">
        <f>_xlfn.FLOOR.MATH(MIN(#REF!/#REF!,#REF!/#REF!))</f>
        <v>#REF!</v>
      </c>
    </row>
    <row r="35" spans="1:36" ht="12.5" x14ac:dyDescent="0.25">
      <c r="A35" s="160" t="e">
        <f>#REF!</f>
        <v>#REF!</v>
      </c>
      <c r="B35" s="206" t="e">
        <f>#REF!</f>
        <v>#REF!</v>
      </c>
      <c r="C35" s="207"/>
      <c r="D35" s="208" t="e">
        <f>#REF!</f>
        <v>#REF!</v>
      </c>
      <c r="E35" s="166" t="e">
        <f>#REF!</f>
        <v>#REF!</v>
      </c>
      <c r="F35" s="341" t="e">
        <f>#REF!</f>
        <v>#REF!</v>
      </c>
      <c r="G35" s="345" t="e">
        <f>#REF!</f>
        <v>#REF!</v>
      </c>
      <c r="H35" s="349" t="e">
        <f>#REF!</f>
        <v>#REF!</v>
      </c>
      <c r="I35" s="169" t="e">
        <f>#REF!</f>
        <v>#REF!</v>
      </c>
      <c r="J35" s="170" t="e">
        <f>#REF!</f>
        <v>#REF!</v>
      </c>
      <c r="K35" s="202"/>
      <c r="L35" s="202"/>
      <c r="M35" s="217"/>
      <c r="N35" s="209" t="e">
        <f>#REF!</f>
        <v>#REF!</v>
      </c>
      <c r="O35" s="209" t="e">
        <f>#REF!</f>
        <v>#REF!</v>
      </c>
      <c r="P35" s="209" t="e">
        <f>#REF!</f>
        <v>#REF!</v>
      </c>
      <c r="Q35" s="160" t="e">
        <f>#REF!</f>
        <v>#REF!</v>
      </c>
      <c r="R35" s="160" t="e">
        <f>#REF!</f>
        <v>#REF!</v>
      </c>
      <c r="S35" s="210"/>
      <c r="T35" s="164"/>
      <c r="U35" s="164"/>
      <c r="V35" s="164"/>
      <c r="W35" s="164"/>
      <c r="X35" s="164"/>
      <c r="Y35" s="164"/>
      <c r="Z35" s="164"/>
      <c r="AA35" s="147" t="e">
        <f>#REF!</f>
        <v>#REF!</v>
      </c>
      <c r="AB35" s="39" t="e">
        <f>#REF!</f>
        <v>#REF!</v>
      </c>
      <c r="AC35" s="39" t="e">
        <f>#REF!</f>
        <v>#REF!</v>
      </c>
      <c r="AD35" s="207"/>
      <c r="AE35" s="3" t="e">
        <f>#REF!-#REF!*20</f>
        <v>#REF!</v>
      </c>
      <c r="AF35" s="39" t="e">
        <f>ROUND(MAX(0.6*#REF!^1.299,850)*(1+ tech_2_6*Techs!AC35 + tech_2_9*Techs!AF35 + tech_3_7*Techs!AN35 + Overview!$I$32),0)</f>
        <v>#REF!</v>
      </c>
      <c r="AG35" s="39" t="e">
        <f>IF(ROUND(MAX(IF(#REF!&gt;=300,5+0.003*(#REF!-300)^1.07,5-300/#REF!)+0,3),0)&lt;=6,ROUND(MAX(IF(#REF!&gt;=300,5+0.003*(#REF!-300)^1.07,5-300/#REF!)+0,3),0),ROUND(MAX(IF(#REF!&gt;=300,5+0.003*(#REF!-300)^1.07,5-300/#REF!)+tech_2_9_2*#REF!+tech_3_7_2*#REF!,6),0))</f>
        <v>#REF!</v>
      </c>
      <c r="AH35" s="39" t="e">
        <f>SUM(#REF!)*#REF!</f>
        <v>#REF!</v>
      </c>
      <c r="AI35" s="39" t="e">
        <f>SUM(#REF!)*#REF!</f>
        <v>#REF!</v>
      </c>
      <c r="AJ35" s="3" t="e">
        <f>_xlfn.FLOOR.MATH(MIN(#REF!/#REF!,#REF!/#REF!))</f>
        <v>#REF!</v>
      </c>
    </row>
    <row r="36" spans="1:36" ht="12.5" x14ac:dyDescent="0.25">
      <c r="A36" s="160" t="e">
        <f>#REF!</f>
        <v>#REF!</v>
      </c>
      <c r="B36" s="206" t="e">
        <f>#REF!</f>
        <v>#REF!</v>
      </c>
      <c r="C36" s="207"/>
      <c r="D36" s="208" t="e">
        <f>#REF!</f>
        <v>#REF!</v>
      </c>
      <c r="E36" s="166" t="e">
        <f>#REF!</f>
        <v>#REF!</v>
      </c>
      <c r="F36" s="341" t="e">
        <f>#REF!</f>
        <v>#REF!</v>
      </c>
      <c r="G36" s="345" t="e">
        <f>#REF!</f>
        <v>#REF!</v>
      </c>
      <c r="H36" s="349" t="e">
        <f>#REF!</f>
        <v>#REF!</v>
      </c>
      <c r="I36" s="169" t="e">
        <f>#REF!</f>
        <v>#REF!</v>
      </c>
      <c r="J36" s="170" t="e">
        <f>#REF!</f>
        <v>#REF!</v>
      </c>
      <c r="K36" s="202"/>
      <c r="L36" s="202"/>
      <c r="M36" s="202"/>
      <c r="N36" s="209" t="e">
        <f>#REF!</f>
        <v>#REF!</v>
      </c>
      <c r="O36" s="209" t="e">
        <f>#REF!</f>
        <v>#REF!</v>
      </c>
      <c r="P36" s="209" t="e">
        <f>#REF!</f>
        <v>#REF!</v>
      </c>
      <c r="Q36" s="160" t="e">
        <f>#REF!</f>
        <v>#REF!</v>
      </c>
      <c r="R36" s="160" t="e">
        <f>#REF!</f>
        <v>#REF!</v>
      </c>
      <c r="S36" s="210"/>
      <c r="T36" s="164"/>
      <c r="U36" s="164"/>
      <c r="V36" s="164"/>
      <c r="W36" s="164"/>
      <c r="X36" s="164"/>
      <c r="Y36" s="164"/>
      <c r="Z36" s="164"/>
      <c r="AA36" s="147" t="e">
        <f>#REF!</f>
        <v>#REF!</v>
      </c>
      <c r="AB36" s="39" t="e">
        <f>#REF!</f>
        <v>#REF!</v>
      </c>
      <c r="AC36" s="39" t="e">
        <f>#REF!</f>
        <v>#REF!</v>
      </c>
      <c r="AD36" s="207"/>
      <c r="AE36" s="3" t="e">
        <f>#REF!-#REF!*20</f>
        <v>#REF!</v>
      </c>
      <c r="AF36" s="39" t="e">
        <f>ROUND(MAX(0.6*#REF!^1.299,850)*(1+ tech_2_6*Techs!AC36 + tech_2_9*Techs!AF36 + tech_3_7*Techs!AN36 + Overview!$I$32),0)</f>
        <v>#REF!</v>
      </c>
      <c r="AG36" s="39" t="e">
        <f>IF(ROUND(MAX(IF(#REF!&gt;=300,5+0.003*(#REF!-300)^1.07,5-300/#REF!)+0,3),0)&lt;=6,ROUND(MAX(IF(#REF!&gt;=300,5+0.003*(#REF!-300)^1.07,5-300/#REF!)+0,3),0),ROUND(MAX(IF(#REF!&gt;=300,5+0.003*(#REF!-300)^1.07,5-300/#REF!)+tech_2_9_2*#REF!+tech_3_7_2*#REF!,6),0))</f>
        <v>#REF!</v>
      </c>
      <c r="AH36" s="39" t="e">
        <f>SUM(#REF!)*#REF!</f>
        <v>#REF!</v>
      </c>
      <c r="AI36" s="39" t="e">
        <f>SUM(#REF!)*#REF!</f>
        <v>#REF!</v>
      </c>
      <c r="AJ36" s="3" t="e">
        <f>_xlfn.FLOOR.MATH(MIN(#REF!/#REF!,#REF!/#REF!))</f>
        <v>#REF!</v>
      </c>
    </row>
    <row r="37" spans="1:36" ht="12.5" x14ac:dyDescent="0.25">
      <c r="A37" s="160" t="e">
        <f>#REF!</f>
        <v>#REF!</v>
      </c>
      <c r="B37" s="206" t="e">
        <f>#REF!</f>
        <v>#REF!</v>
      </c>
      <c r="C37" s="207"/>
      <c r="D37" s="208" t="e">
        <f>#REF!</f>
        <v>#REF!</v>
      </c>
      <c r="E37" s="166" t="e">
        <f>#REF!</f>
        <v>#REF!</v>
      </c>
      <c r="F37" s="341" t="e">
        <f>#REF!</f>
        <v>#REF!</v>
      </c>
      <c r="G37" s="345" t="e">
        <f>#REF!</f>
        <v>#REF!</v>
      </c>
      <c r="H37" s="349" t="e">
        <f>#REF!</f>
        <v>#REF!</v>
      </c>
      <c r="I37" s="169" t="e">
        <f>#REF!</f>
        <v>#REF!</v>
      </c>
      <c r="J37" s="170" t="e">
        <f>#REF!</f>
        <v>#REF!</v>
      </c>
      <c r="K37" s="202"/>
      <c r="L37" s="202"/>
      <c r="M37" s="202"/>
      <c r="N37" s="209" t="e">
        <f>#REF!</f>
        <v>#REF!</v>
      </c>
      <c r="O37" s="209" t="e">
        <f>#REF!</f>
        <v>#REF!</v>
      </c>
      <c r="P37" s="209" t="e">
        <f>#REF!</f>
        <v>#REF!</v>
      </c>
      <c r="Q37" s="160" t="e">
        <f>#REF!</f>
        <v>#REF!</v>
      </c>
      <c r="R37" s="160" t="e">
        <f>#REF!</f>
        <v>#REF!</v>
      </c>
      <c r="S37" s="210"/>
      <c r="T37" s="164"/>
      <c r="U37" s="164"/>
      <c r="V37" s="164"/>
      <c r="W37" s="164"/>
      <c r="X37" s="164"/>
      <c r="Y37" s="164"/>
      <c r="Z37" s="164"/>
      <c r="AA37" s="147" t="e">
        <f>#REF!</f>
        <v>#REF!</v>
      </c>
      <c r="AB37" s="39" t="e">
        <f>#REF!</f>
        <v>#REF!</v>
      </c>
      <c r="AC37" s="39" t="e">
        <f>#REF!</f>
        <v>#REF!</v>
      </c>
      <c r="AD37" s="207"/>
      <c r="AE37" s="3" t="e">
        <f>#REF!-#REF!*20</f>
        <v>#REF!</v>
      </c>
      <c r="AF37" s="39" t="e">
        <f>ROUND(MAX(0.6*#REF!^1.299,850)*(1+ tech_2_6*Techs!AC37 + tech_2_9*Techs!AF37 + tech_3_7*Techs!AN37 + Overview!$I$32),0)</f>
        <v>#REF!</v>
      </c>
      <c r="AG37" s="39" t="e">
        <f>IF(ROUND(MAX(IF(#REF!&gt;=300,5+0.003*(#REF!-300)^1.07,5-300/#REF!)+0,3),0)&lt;=6,ROUND(MAX(IF(#REF!&gt;=300,5+0.003*(#REF!-300)^1.07,5-300/#REF!)+0,3),0),ROUND(MAX(IF(#REF!&gt;=300,5+0.003*(#REF!-300)^1.07,5-300/#REF!)+tech_2_9_2*#REF!+tech_3_7_2*#REF!,6),0))</f>
        <v>#REF!</v>
      </c>
      <c r="AH37" s="39" t="e">
        <f>SUM(#REF!)*#REF!</f>
        <v>#REF!</v>
      </c>
      <c r="AI37" s="39" t="e">
        <f>SUM(#REF!)*#REF!</f>
        <v>#REF!</v>
      </c>
      <c r="AJ37" s="3" t="e">
        <f>_xlfn.FLOOR.MATH(MIN(#REF!/#REF!,#REF!/#REF!))</f>
        <v>#REF!</v>
      </c>
    </row>
    <row r="38" spans="1:36" ht="12.5" x14ac:dyDescent="0.25">
      <c r="A38" s="160" t="e">
        <f>#REF!</f>
        <v>#REF!</v>
      </c>
      <c r="B38" s="206" t="e">
        <f>#REF!</f>
        <v>#REF!</v>
      </c>
      <c r="C38" s="207"/>
      <c r="D38" s="208" t="e">
        <f>#REF!</f>
        <v>#REF!</v>
      </c>
      <c r="E38" s="166" t="e">
        <f>#REF!</f>
        <v>#REF!</v>
      </c>
      <c r="F38" s="341" t="e">
        <f>#REF!</f>
        <v>#REF!</v>
      </c>
      <c r="G38" s="345" t="e">
        <f>#REF!</f>
        <v>#REF!</v>
      </c>
      <c r="H38" s="349" t="e">
        <f>#REF!</f>
        <v>#REF!</v>
      </c>
      <c r="I38" s="169" t="e">
        <f>#REF!</f>
        <v>#REF!</v>
      </c>
      <c r="J38" s="170" t="e">
        <f>#REF!</f>
        <v>#REF!</v>
      </c>
      <c r="K38" s="202"/>
      <c r="L38" s="202"/>
      <c r="M38" s="202"/>
      <c r="N38" s="209" t="e">
        <f>#REF!</f>
        <v>#REF!</v>
      </c>
      <c r="O38" s="209" t="e">
        <f>#REF!</f>
        <v>#REF!</v>
      </c>
      <c r="P38" s="209" t="e">
        <f>#REF!</f>
        <v>#REF!</v>
      </c>
      <c r="Q38" s="160" t="e">
        <f>#REF!</f>
        <v>#REF!</v>
      </c>
      <c r="R38" s="160" t="e">
        <f>#REF!</f>
        <v>#REF!</v>
      </c>
      <c r="S38" s="210"/>
      <c r="T38" s="146"/>
      <c r="U38" s="164"/>
      <c r="V38" s="164"/>
      <c r="W38" s="164"/>
      <c r="X38" s="164"/>
      <c r="Y38" s="164"/>
      <c r="Z38" s="164"/>
      <c r="AA38" s="147" t="e">
        <f>#REF!</f>
        <v>#REF!</v>
      </c>
      <c r="AB38" s="39" t="e">
        <f>#REF!</f>
        <v>#REF!</v>
      </c>
      <c r="AC38" s="39" t="e">
        <f>#REF!</f>
        <v>#REF!</v>
      </c>
      <c r="AD38" s="207"/>
      <c r="AE38" s="3" t="e">
        <f>#REF!-#REF!*20</f>
        <v>#REF!</v>
      </c>
      <c r="AF38" s="39" t="e">
        <f>ROUND(MAX(0.6*#REF!^1.299,850)*(1+ tech_2_6*Techs!AC38 + tech_2_9*Techs!AF38 + tech_3_7*Techs!AN38 + Overview!$I$32),0)</f>
        <v>#REF!</v>
      </c>
      <c r="AG38" s="39" t="e">
        <f>IF(ROUND(MAX(IF(#REF!&gt;=300,5+0.003*(#REF!-300)^1.07,5-300/#REF!)+0,3),0)&lt;=6,ROUND(MAX(IF(#REF!&gt;=300,5+0.003*(#REF!-300)^1.07,5-300/#REF!)+0,3),0),ROUND(MAX(IF(#REF!&gt;=300,5+0.003*(#REF!-300)^1.07,5-300/#REF!)+tech_2_9_2*#REF!+tech_3_7_2*#REF!,6),0))</f>
        <v>#REF!</v>
      </c>
      <c r="AH38" s="39" t="e">
        <f>SUM(#REF!)*#REF!</f>
        <v>#REF!</v>
      </c>
      <c r="AI38" s="39" t="e">
        <f>SUM(#REF!)*#REF!</f>
        <v>#REF!</v>
      </c>
      <c r="AJ38" s="3" t="e">
        <f>_xlfn.FLOOR.MATH(MIN(#REF!/#REF!,#REF!/#REF!))</f>
        <v>#REF!</v>
      </c>
    </row>
    <row r="39" spans="1:36" ht="12.5" x14ac:dyDescent="0.25">
      <c r="A39" s="160" t="e">
        <f>#REF!</f>
        <v>#REF!</v>
      </c>
      <c r="B39" s="206" t="e">
        <f>#REF!</f>
        <v>#REF!</v>
      </c>
      <c r="C39" s="207"/>
      <c r="D39" s="208" t="e">
        <f>#REF!</f>
        <v>#REF!</v>
      </c>
      <c r="E39" s="166" t="e">
        <f>#REF!</f>
        <v>#REF!</v>
      </c>
      <c r="F39" s="341" t="e">
        <f>#REF!</f>
        <v>#REF!</v>
      </c>
      <c r="G39" s="345" t="e">
        <f>#REF!</f>
        <v>#REF!</v>
      </c>
      <c r="H39" s="349" t="e">
        <f>#REF!</f>
        <v>#REF!</v>
      </c>
      <c r="I39" s="169" t="e">
        <f>#REF!</f>
        <v>#REF!</v>
      </c>
      <c r="J39" s="170" t="e">
        <f>#REF!</f>
        <v>#REF!</v>
      </c>
      <c r="K39" s="202"/>
      <c r="L39" s="202"/>
      <c r="M39" s="202"/>
      <c r="N39" s="209" t="e">
        <f>#REF!</f>
        <v>#REF!</v>
      </c>
      <c r="O39" s="209" t="e">
        <f>#REF!</f>
        <v>#REF!</v>
      </c>
      <c r="P39" s="209" t="e">
        <f>#REF!</f>
        <v>#REF!</v>
      </c>
      <c r="Q39" s="160" t="e">
        <f>#REF!</f>
        <v>#REF!</v>
      </c>
      <c r="R39" s="160" t="e">
        <f>#REF!</f>
        <v>#REF!</v>
      </c>
      <c r="S39" s="210"/>
      <c r="T39" s="164"/>
      <c r="U39" s="164"/>
      <c r="V39" s="164"/>
      <c r="W39" s="164"/>
      <c r="X39" s="164"/>
      <c r="Y39" s="164"/>
      <c r="Z39" s="164"/>
      <c r="AA39" s="147" t="e">
        <f>#REF!</f>
        <v>#REF!</v>
      </c>
      <c r="AB39" s="39" t="e">
        <f>#REF!</f>
        <v>#REF!</v>
      </c>
      <c r="AC39" s="39" t="e">
        <f>#REF!</f>
        <v>#REF!</v>
      </c>
      <c r="AD39" s="207"/>
      <c r="AE39" s="3" t="e">
        <f>#REF!-#REF!*20</f>
        <v>#REF!</v>
      </c>
      <c r="AF39" s="39" t="e">
        <f>ROUND(MAX(0.6*#REF!^1.299,850)*(1+ tech_2_6*Techs!AC39 + tech_2_9*Techs!AF39 + tech_3_7*Techs!AN39 + Overview!$I$32),0)</f>
        <v>#REF!</v>
      </c>
      <c r="AG39" s="39" t="e">
        <f>IF(ROUND(MAX(IF(#REF!&gt;=300,5+0.003*(#REF!-300)^1.07,5-300/#REF!)+0,3),0)&lt;=6,ROUND(MAX(IF(#REF!&gt;=300,5+0.003*(#REF!-300)^1.07,5-300/#REF!)+0,3),0),ROUND(MAX(IF(#REF!&gt;=300,5+0.003*(#REF!-300)^1.07,5-300/#REF!)+tech_2_9_2*#REF!+tech_3_7_2*#REF!,6),0))</f>
        <v>#REF!</v>
      </c>
      <c r="AH39" s="39" t="e">
        <f>SUM(#REF!)*#REF!</f>
        <v>#REF!</v>
      </c>
      <c r="AI39" s="39" t="e">
        <f>SUM(#REF!)*#REF!</f>
        <v>#REF!</v>
      </c>
      <c r="AJ39" s="3" t="e">
        <f>_xlfn.FLOOR.MATH(MIN(#REF!/#REF!,#REF!/#REF!))</f>
        <v>#REF!</v>
      </c>
    </row>
    <row r="40" spans="1:36" ht="12.75" customHeight="1" x14ac:dyDescent="0.25">
      <c r="A40" s="160" t="e">
        <f>#REF!</f>
        <v>#REF!</v>
      </c>
      <c r="B40" s="206" t="e">
        <f>#REF!</f>
        <v>#REF!</v>
      </c>
      <c r="C40" s="207"/>
      <c r="D40" s="208" t="e">
        <f>#REF!</f>
        <v>#REF!</v>
      </c>
      <c r="E40" s="166" t="e">
        <f>#REF!</f>
        <v>#REF!</v>
      </c>
      <c r="F40" s="341" t="e">
        <f>#REF!</f>
        <v>#REF!</v>
      </c>
      <c r="G40" s="345" t="e">
        <f>#REF!</f>
        <v>#REF!</v>
      </c>
      <c r="H40" s="349" t="e">
        <f>#REF!</f>
        <v>#REF!</v>
      </c>
      <c r="I40" s="169" t="e">
        <f>#REF!</f>
        <v>#REF!</v>
      </c>
      <c r="J40" s="170" t="e">
        <f>#REF!</f>
        <v>#REF!</v>
      </c>
      <c r="K40" s="202"/>
      <c r="L40" s="202"/>
      <c r="M40" s="202"/>
      <c r="N40" s="209" t="e">
        <f>#REF!</f>
        <v>#REF!</v>
      </c>
      <c r="O40" s="209" t="e">
        <f>#REF!</f>
        <v>#REF!</v>
      </c>
      <c r="P40" s="209" t="e">
        <f>#REF!</f>
        <v>#REF!</v>
      </c>
      <c r="Q40" s="160" t="e">
        <f>#REF!</f>
        <v>#REF!</v>
      </c>
      <c r="R40" s="160" t="e">
        <f>#REF!</f>
        <v>#REF!</v>
      </c>
      <c r="S40" s="210"/>
      <c r="T40" s="164"/>
      <c r="U40" s="164"/>
      <c r="V40" s="164"/>
      <c r="W40" s="164"/>
      <c r="X40" s="164"/>
      <c r="Y40" s="164"/>
      <c r="Z40" s="164"/>
      <c r="AA40" s="147" t="e">
        <f>#REF!</f>
        <v>#REF!</v>
      </c>
      <c r="AB40" s="39" t="e">
        <f>#REF!</f>
        <v>#REF!</v>
      </c>
      <c r="AC40" s="39" t="e">
        <f>#REF!</f>
        <v>#REF!</v>
      </c>
      <c r="AD40" s="207"/>
      <c r="AE40" s="3" t="e">
        <f>#REF!-#REF!*20</f>
        <v>#REF!</v>
      </c>
      <c r="AF40" s="39" t="e">
        <f>ROUND(MAX(0.6*#REF!^1.299,850)*(1+ tech_2_6*Techs!AC40 + tech_2_9*Techs!AF40 + tech_3_7*Techs!AN40 + Overview!$I$32),0)</f>
        <v>#REF!</v>
      </c>
      <c r="AG40" s="39" t="e">
        <f>IF(ROUND(MAX(IF(#REF!&gt;=300,5+0.003*(#REF!-300)^1.07,5-300/#REF!)+0,3),0)&lt;=6,ROUND(MAX(IF(#REF!&gt;=300,5+0.003*(#REF!-300)^1.07,5-300/#REF!)+0,3),0),ROUND(MAX(IF(#REF!&gt;=300,5+0.003*(#REF!-300)^1.07,5-300/#REF!)+tech_2_9_2*#REF!+tech_3_7_2*#REF!,6),0))</f>
        <v>#REF!</v>
      </c>
      <c r="AH40" s="39" t="e">
        <f>SUM(#REF!)*#REF!</f>
        <v>#REF!</v>
      </c>
      <c r="AI40" s="39" t="e">
        <f>SUM(#REF!)*#REF!</f>
        <v>#REF!</v>
      </c>
      <c r="AJ40" s="3" t="e">
        <f>_xlfn.FLOOR.MATH(MIN(#REF!/#REF!,#REF!/#REF!))</f>
        <v>#REF!</v>
      </c>
    </row>
    <row r="41" spans="1:36" ht="12.5" x14ac:dyDescent="0.25">
      <c r="A41" s="160" t="e">
        <f>#REF!</f>
        <v>#REF!</v>
      </c>
      <c r="B41" s="206" t="e">
        <f>#REF!</f>
        <v>#REF!</v>
      </c>
      <c r="C41" s="207"/>
      <c r="D41" s="208" t="e">
        <f>#REF!</f>
        <v>#REF!</v>
      </c>
      <c r="E41" s="166" t="e">
        <f>#REF!</f>
        <v>#REF!</v>
      </c>
      <c r="F41" s="341" t="e">
        <f>#REF!</f>
        <v>#REF!</v>
      </c>
      <c r="G41" s="345" t="e">
        <f>#REF!</f>
        <v>#REF!</v>
      </c>
      <c r="H41" s="349" t="e">
        <f>#REF!</f>
        <v>#REF!</v>
      </c>
      <c r="I41" s="169" t="e">
        <f>#REF!</f>
        <v>#REF!</v>
      </c>
      <c r="J41" s="170" t="e">
        <f>#REF!</f>
        <v>#REF!</v>
      </c>
      <c r="K41" s="202"/>
      <c r="L41" s="202"/>
      <c r="M41" s="202"/>
      <c r="N41" s="209" t="e">
        <f>#REF!</f>
        <v>#REF!</v>
      </c>
      <c r="O41" s="209" t="e">
        <f>#REF!</f>
        <v>#REF!</v>
      </c>
      <c r="P41" s="209" t="e">
        <f>#REF!</f>
        <v>#REF!</v>
      </c>
      <c r="Q41" s="160" t="e">
        <f>#REF!</f>
        <v>#REF!</v>
      </c>
      <c r="R41" s="160" t="e">
        <f>#REF!</f>
        <v>#REF!</v>
      </c>
      <c r="S41" s="210"/>
      <c r="T41" s="164"/>
      <c r="U41" s="164"/>
      <c r="V41" s="164"/>
      <c r="W41" s="164"/>
      <c r="X41" s="164"/>
      <c r="Y41" s="164"/>
      <c r="Z41" s="164"/>
      <c r="AA41" s="147" t="e">
        <f>#REF!</f>
        <v>#REF!</v>
      </c>
      <c r="AB41" s="39" t="e">
        <f>#REF!</f>
        <v>#REF!</v>
      </c>
      <c r="AC41" s="39" t="e">
        <f>#REF!</f>
        <v>#REF!</v>
      </c>
      <c r="AD41" s="207"/>
      <c r="AE41" s="3" t="e">
        <f>#REF!-#REF!*20</f>
        <v>#REF!</v>
      </c>
      <c r="AF41" s="39" t="e">
        <f>ROUND(MAX(0.6*#REF!^1.299,850)*(1+ tech_2_6*Techs!AC41 + tech_2_9*Techs!AF41 + tech_3_7*Techs!AN41 + Overview!$I$32),0)</f>
        <v>#REF!</v>
      </c>
      <c r="AG41" s="39" t="e">
        <f>IF(ROUND(MAX(IF(#REF!&gt;=300,5+0.003*(#REF!-300)^1.07,5-300/#REF!)+0,3),0)&lt;=6,ROUND(MAX(IF(#REF!&gt;=300,5+0.003*(#REF!-300)^1.07,5-300/#REF!)+0,3),0),ROUND(MAX(IF(#REF!&gt;=300,5+0.003*(#REF!-300)^1.07,5-300/#REF!)+tech_2_9_2*#REF!+tech_3_7_2*#REF!,6),0))</f>
        <v>#REF!</v>
      </c>
      <c r="AH41" s="39" t="e">
        <f>SUM(#REF!)*#REF!</f>
        <v>#REF!</v>
      </c>
      <c r="AI41" s="39" t="e">
        <f>SUM(#REF!)*#REF!</f>
        <v>#REF!</v>
      </c>
      <c r="AJ41" s="3" t="e">
        <f>_xlfn.FLOOR.MATH(MIN(#REF!/#REF!,#REF!/#REF!))</f>
        <v>#REF!</v>
      </c>
    </row>
    <row r="42" spans="1:36" ht="12.5" x14ac:dyDescent="0.25">
      <c r="A42" s="160" t="e">
        <f>#REF!</f>
        <v>#REF!</v>
      </c>
      <c r="B42" s="206" t="e">
        <f>#REF!</f>
        <v>#REF!</v>
      </c>
      <c r="C42" s="207"/>
      <c r="D42" s="208" t="e">
        <f>#REF!</f>
        <v>#REF!</v>
      </c>
      <c r="E42" s="166" t="e">
        <f>#REF!</f>
        <v>#REF!</v>
      </c>
      <c r="F42" s="341" t="e">
        <f>#REF!</f>
        <v>#REF!</v>
      </c>
      <c r="G42" s="345" t="e">
        <f>#REF!</f>
        <v>#REF!</v>
      </c>
      <c r="H42" s="349" t="e">
        <f>#REF!</f>
        <v>#REF!</v>
      </c>
      <c r="I42" s="169" t="e">
        <f>#REF!</f>
        <v>#REF!</v>
      </c>
      <c r="J42" s="170" t="e">
        <f>#REF!</f>
        <v>#REF!</v>
      </c>
      <c r="K42" s="202"/>
      <c r="L42" s="202"/>
      <c r="M42" s="202"/>
      <c r="N42" s="209" t="e">
        <f>#REF!</f>
        <v>#REF!</v>
      </c>
      <c r="O42" s="209" t="e">
        <f>#REF!</f>
        <v>#REF!</v>
      </c>
      <c r="P42" s="209" t="e">
        <f>#REF!</f>
        <v>#REF!</v>
      </c>
      <c r="Q42" s="160" t="e">
        <f>#REF!</f>
        <v>#REF!</v>
      </c>
      <c r="R42" s="160" t="e">
        <f>#REF!</f>
        <v>#REF!</v>
      </c>
      <c r="S42" s="210"/>
      <c r="T42" s="164"/>
      <c r="U42" s="164"/>
      <c r="V42" s="164"/>
      <c r="W42" s="164"/>
      <c r="X42" s="164"/>
      <c r="Y42" s="164"/>
      <c r="Z42" s="164"/>
      <c r="AA42" s="147" t="e">
        <f>#REF!</f>
        <v>#REF!</v>
      </c>
      <c r="AB42" s="39" t="e">
        <f>#REF!</f>
        <v>#REF!</v>
      </c>
      <c r="AC42" s="39" t="e">
        <f>#REF!</f>
        <v>#REF!</v>
      </c>
      <c r="AD42" s="207"/>
      <c r="AE42" s="3" t="e">
        <f>#REF!-#REF!*20</f>
        <v>#REF!</v>
      </c>
      <c r="AF42" s="39" t="e">
        <f>ROUND(MAX(0.6*#REF!^1.299,850)*(1+ tech_2_6*Techs!AC42 + tech_2_9*Techs!AF42 + tech_3_7*Techs!AN42 + Overview!$I$32),0)</f>
        <v>#REF!</v>
      </c>
      <c r="AG42" s="39" t="e">
        <f>IF(ROUND(MAX(IF(#REF!&gt;=300,5+0.003*(#REF!-300)^1.07,5-300/#REF!)+0,3),0)&lt;=6,ROUND(MAX(IF(#REF!&gt;=300,5+0.003*(#REF!-300)^1.07,5-300/#REF!)+0,3),0),ROUND(MAX(IF(#REF!&gt;=300,5+0.003*(#REF!-300)^1.07,5-300/#REF!)+tech_2_9_2*#REF!+tech_3_7_2*#REF!,6),0))</f>
        <v>#REF!</v>
      </c>
      <c r="AH42" s="39" t="e">
        <f>SUM(#REF!)*#REF!</f>
        <v>#REF!</v>
      </c>
      <c r="AI42" s="39" t="e">
        <f>SUM(#REF!)*#REF!</f>
        <v>#REF!</v>
      </c>
      <c r="AJ42" s="3" t="e">
        <f>_xlfn.FLOOR.MATH(MIN(#REF!/#REF!,#REF!/#REF!))</f>
        <v>#REF!</v>
      </c>
    </row>
    <row r="43" spans="1:36" ht="12.5" x14ac:dyDescent="0.25">
      <c r="A43" s="160" t="e">
        <f>#REF!</f>
        <v>#REF!</v>
      </c>
      <c r="B43" s="206" t="e">
        <f>#REF!</f>
        <v>#REF!</v>
      </c>
      <c r="C43" s="207"/>
      <c r="D43" s="208" t="e">
        <f>#REF!</f>
        <v>#REF!</v>
      </c>
      <c r="E43" s="166" t="e">
        <f>#REF!</f>
        <v>#REF!</v>
      </c>
      <c r="F43" s="341" t="e">
        <f>#REF!</f>
        <v>#REF!</v>
      </c>
      <c r="G43" s="345" t="e">
        <f>#REF!</f>
        <v>#REF!</v>
      </c>
      <c r="H43" s="349" t="e">
        <f>#REF!</f>
        <v>#REF!</v>
      </c>
      <c r="I43" s="169" t="e">
        <f>#REF!</f>
        <v>#REF!</v>
      </c>
      <c r="J43" s="170" t="e">
        <f>#REF!</f>
        <v>#REF!</v>
      </c>
      <c r="K43" s="202"/>
      <c r="L43" s="202"/>
      <c r="M43" s="202"/>
      <c r="N43" s="209" t="e">
        <f>#REF!</f>
        <v>#REF!</v>
      </c>
      <c r="O43" s="209" t="e">
        <f>#REF!</f>
        <v>#REF!</v>
      </c>
      <c r="P43" s="209" t="e">
        <f>#REF!</f>
        <v>#REF!</v>
      </c>
      <c r="Q43" s="160" t="e">
        <f>#REF!</f>
        <v>#REF!</v>
      </c>
      <c r="R43" s="160" t="e">
        <f>#REF!</f>
        <v>#REF!</v>
      </c>
      <c r="S43" s="210"/>
      <c r="T43" s="164"/>
      <c r="U43" s="164"/>
      <c r="V43" s="164"/>
      <c r="W43" s="164"/>
      <c r="X43" s="164"/>
      <c r="Y43" s="164"/>
      <c r="Z43" s="164"/>
      <c r="AA43" s="147" t="e">
        <f>#REF!</f>
        <v>#REF!</v>
      </c>
      <c r="AB43" s="39" t="e">
        <f>#REF!</f>
        <v>#REF!</v>
      </c>
      <c r="AC43" s="39" t="e">
        <f>#REF!</f>
        <v>#REF!</v>
      </c>
      <c r="AD43" s="207"/>
      <c r="AE43" s="3" t="e">
        <f>#REF!-#REF!*20</f>
        <v>#REF!</v>
      </c>
      <c r="AF43" s="39" t="e">
        <f>ROUND(MAX(0.6*#REF!^1.299,850)*(1+ tech_2_6*Techs!AC43 + tech_2_9*Techs!AF43 + tech_3_7*Techs!AN43 + Overview!$I$32),0)</f>
        <v>#REF!</v>
      </c>
      <c r="AG43" s="39" t="e">
        <f>IF(ROUND(MAX(IF(#REF!&gt;=300,5+0.003*(#REF!-300)^1.07,5-300/#REF!)+0,3),0)&lt;=6,ROUND(MAX(IF(#REF!&gt;=300,5+0.003*(#REF!-300)^1.07,5-300/#REF!)+0,3),0),ROUND(MAX(IF(#REF!&gt;=300,5+0.003*(#REF!-300)^1.07,5-300/#REF!)+tech_2_9_2*#REF!+tech_3_7_2*#REF!,6),0))</f>
        <v>#REF!</v>
      </c>
      <c r="AH43" s="39" t="e">
        <f>SUM(#REF!)*#REF!</f>
        <v>#REF!</v>
      </c>
      <c r="AI43" s="39" t="e">
        <f>SUM(#REF!)*#REF!</f>
        <v>#REF!</v>
      </c>
      <c r="AJ43" s="3" t="e">
        <f>_xlfn.FLOOR.MATH(MIN(#REF!/#REF!,#REF!/#REF!))</f>
        <v>#REF!</v>
      </c>
    </row>
    <row r="44" spans="1:36" ht="12.5" x14ac:dyDescent="0.25">
      <c r="A44" s="160" t="e">
        <f>#REF!</f>
        <v>#REF!</v>
      </c>
      <c r="B44" s="206" t="e">
        <f>#REF!</f>
        <v>#REF!</v>
      </c>
      <c r="C44" s="207"/>
      <c r="D44" s="208" t="e">
        <f>#REF!</f>
        <v>#REF!</v>
      </c>
      <c r="E44" s="166" t="e">
        <f>#REF!</f>
        <v>#REF!</v>
      </c>
      <c r="F44" s="341" t="e">
        <f>#REF!</f>
        <v>#REF!</v>
      </c>
      <c r="G44" s="345" t="e">
        <f>#REF!</f>
        <v>#REF!</v>
      </c>
      <c r="H44" s="349" t="e">
        <f>#REF!</f>
        <v>#REF!</v>
      </c>
      <c r="I44" s="169" t="e">
        <f>#REF!</f>
        <v>#REF!</v>
      </c>
      <c r="J44" s="170" t="e">
        <f>#REF!</f>
        <v>#REF!</v>
      </c>
      <c r="K44" s="202"/>
      <c r="L44" s="202"/>
      <c r="M44" s="202"/>
      <c r="N44" s="209" t="e">
        <f>#REF!</f>
        <v>#REF!</v>
      </c>
      <c r="O44" s="209" t="e">
        <f>#REF!</f>
        <v>#REF!</v>
      </c>
      <c r="P44" s="209" t="e">
        <f>#REF!</f>
        <v>#REF!</v>
      </c>
      <c r="Q44" s="160" t="e">
        <f>#REF!</f>
        <v>#REF!</v>
      </c>
      <c r="R44" s="160" t="e">
        <f>#REF!</f>
        <v>#REF!</v>
      </c>
      <c r="S44" s="210"/>
      <c r="T44" s="164"/>
      <c r="U44" s="164"/>
      <c r="V44" s="164"/>
      <c r="W44" s="164"/>
      <c r="X44" s="164"/>
      <c r="Y44" s="164"/>
      <c r="Z44" s="164"/>
      <c r="AA44" s="147" t="e">
        <f>#REF!</f>
        <v>#REF!</v>
      </c>
      <c r="AB44" s="39" t="e">
        <f>#REF!</f>
        <v>#REF!</v>
      </c>
      <c r="AC44" s="39" t="e">
        <f>#REF!</f>
        <v>#REF!</v>
      </c>
      <c r="AD44" s="207"/>
      <c r="AE44" s="3" t="e">
        <f>#REF!-#REF!*20</f>
        <v>#REF!</v>
      </c>
      <c r="AF44" s="39" t="e">
        <f>ROUND(MAX(0.6*#REF!^1.299,850)*(1+ tech_2_6*Techs!AC44 + tech_2_9*Techs!AF44 + tech_3_7*Techs!AN44 + Overview!$I$32),0)</f>
        <v>#REF!</v>
      </c>
      <c r="AG44" s="39" t="e">
        <f>IF(ROUND(MAX(IF(#REF!&gt;=300,5+0.003*(#REF!-300)^1.07,5-300/#REF!)+0,3),0)&lt;=6,ROUND(MAX(IF(#REF!&gt;=300,5+0.003*(#REF!-300)^1.07,5-300/#REF!)+0,3),0),ROUND(MAX(IF(#REF!&gt;=300,5+0.003*(#REF!-300)^1.07,5-300/#REF!)+tech_2_9_2*#REF!+tech_3_7_2*#REF!,6),0))</f>
        <v>#REF!</v>
      </c>
      <c r="AH44" s="39" t="e">
        <f>SUM(#REF!)*#REF!</f>
        <v>#REF!</v>
      </c>
      <c r="AI44" s="39" t="e">
        <f>SUM(#REF!)*#REF!</f>
        <v>#REF!</v>
      </c>
      <c r="AJ44" s="3" t="e">
        <f>_xlfn.FLOOR.MATH(MIN(#REF!/#REF!,#REF!/#REF!))</f>
        <v>#REF!</v>
      </c>
    </row>
    <row r="45" spans="1:36" ht="12.5" x14ac:dyDescent="0.25">
      <c r="A45" s="160" t="e">
        <f>#REF!</f>
        <v>#REF!</v>
      </c>
      <c r="B45" s="206" t="e">
        <f>#REF!</f>
        <v>#REF!</v>
      </c>
      <c r="C45" s="207"/>
      <c r="D45" s="208" t="e">
        <f>#REF!</f>
        <v>#REF!</v>
      </c>
      <c r="E45" s="166" t="e">
        <f>#REF!</f>
        <v>#REF!</v>
      </c>
      <c r="F45" s="341" t="e">
        <f>#REF!</f>
        <v>#REF!</v>
      </c>
      <c r="G45" s="345" t="e">
        <f>#REF!</f>
        <v>#REF!</v>
      </c>
      <c r="H45" s="349" t="e">
        <f>#REF!</f>
        <v>#REF!</v>
      </c>
      <c r="I45" s="169" t="e">
        <f>#REF!</f>
        <v>#REF!</v>
      </c>
      <c r="J45" s="170" t="e">
        <f>#REF!</f>
        <v>#REF!</v>
      </c>
      <c r="K45" s="202"/>
      <c r="L45" s="202"/>
      <c r="M45" s="202"/>
      <c r="N45" s="209" t="e">
        <f>#REF!</f>
        <v>#REF!</v>
      </c>
      <c r="O45" s="209" t="e">
        <f>#REF!</f>
        <v>#REF!</v>
      </c>
      <c r="P45" s="209" t="e">
        <f>#REF!</f>
        <v>#REF!</v>
      </c>
      <c r="Q45" s="160" t="e">
        <f>#REF!</f>
        <v>#REF!</v>
      </c>
      <c r="R45" s="160" t="e">
        <f>#REF!</f>
        <v>#REF!</v>
      </c>
      <c r="S45" s="210"/>
      <c r="T45" s="164"/>
      <c r="U45" s="164"/>
      <c r="V45" s="164"/>
      <c r="W45" s="164"/>
      <c r="X45" s="164"/>
      <c r="Y45" s="164"/>
      <c r="Z45" s="164"/>
      <c r="AA45" s="147" t="e">
        <f>#REF!</f>
        <v>#REF!</v>
      </c>
      <c r="AB45" s="39" t="e">
        <f>#REF!</f>
        <v>#REF!</v>
      </c>
      <c r="AC45" s="39" t="e">
        <f>#REF!</f>
        <v>#REF!</v>
      </c>
      <c r="AD45" s="207"/>
      <c r="AE45" s="3" t="e">
        <f>#REF!-#REF!*20</f>
        <v>#REF!</v>
      </c>
      <c r="AF45" s="39" t="e">
        <f>ROUND(MAX(0.6*#REF!^1.299,850)*(1+ tech_2_6*Techs!AC45 + tech_2_9*Techs!AF45 + tech_3_7*Techs!AN45 + Overview!$I$32),0)</f>
        <v>#REF!</v>
      </c>
      <c r="AG45" s="39" t="e">
        <f>IF(ROUND(MAX(IF(#REF!&gt;=300,5+0.003*(#REF!-300)^1.07,5-300/#REF!)+0,3),0)&lt;=6,ROUND(MAX(IF(#REF!&gt;=300,5+0.003*(#REF!-300)^1.07,5-300/#REF!)+0,3),0),ROUND(MAX(IF(#REF!&gt;=300,5+0.003*(#REF!-300)^1.07,5-300/#REF!)+tech_2_9_2*#REF!+tech_3_7_2*#REF!,6),0))</f>
        <v>#REF!</v>
      </c>
      <c r="AH45" s="39" t="e">
        <f>SUM(#REF!)*#REF!</f>
        <v>#REF!</v>
      </c>
      <c r="AI45" s="39" t="e">
        <f>SUM(#REF!)*#REF!</f>
        <v>#REF!</v>
      </c>
      <c r="AJ45" s="3" t="e">
        <f>_xlfn.FLOOR.MATH(MIN(#REF!/#REF!,#REF!/#REF!))</f>
        <v>#REF!</v>
      </c>
    </row>
    <row r="46" spans="1:36" ht="12.5" x14ac:dyDescent="0.25">
      <c r="A46" s="160" t="e">
        <f>#REF!</f>
        <v>#REF!</v>
      </c>
      <c r="B46" s="206" t="e">
        <f>#REF!</f>
        <v>#REF!</v>
      </c>
      <c r="C46" s="207"/>
      <c r="D46" s="208" t="e">
        <f>#REF!</f>
        <v>#REF!</v>
      </c>
      <c r="E46" s="166" t="e">
        <f>#REF!</f>
        <v>#REF!</v>
      </c>
      <c r="F46" s="341" t="e">
        <f>#REF!</f>
        <v>#REF!</v>
      </c>
      <c r="G46" s="345" t="e">
        <f>#REF!</f>
        <v>#REF!</v>
      </c>
      <c r="H46" s="349" t="e">
        <f>#REF!</f>
        <v>#REF!</v>
      </c>
      <c r="I46" s="169" t="e">
        <f>#REF!</f>
        <v>#REF!</v>
      </c>
      <c r="J46" s="170" t="e">
        <f>#REF!</f>
        <v>#REF!</v>
      </c>
      <c r="K46" s="202"/>
      <c r="L46" s="202"/>
      <c r="M46" s="202"/>
      <c r="N46" s="209" t="e">
        <f>#REF!</f>
        <v>#REF!</v>
      </c>
      <c r="O46" s="209" t="e">
        <f>#REF!</f>
        <v>#REF!</v>
      </c>
      <c r="P46" s="209" t="e">
        <f>#REF!</f>
        <v>#REF!</v>
      </c>
      <c r="Q46" s="160" t="e">
        <f>#REF!</f>
        <v>#REF!</v>
      </c>
      <c r="R46" s="160" t="e">
        <f>#REF!</f>
        <v>#REF!</v>
      </c>
      <c r="S46" s="210"/>
      <c r="T46" s="164"/>
      <c r="U46" s="164"/>
      <c r="V46" s="164"/>
      <c r="W46" s="164"/>
      <c r="X46" s="164"/>
      <c r="Y46" s="164"/>
      <c r="Z46" s="164"/>
      <c r="AA46" s="147" t="e">
        <f>#REF!</f>
        <v>#REF!</v>
      </c>
      <c r="AB46" s="39" t="e">
        <f>#REF!</f>
        <v>#REF!</v>
      </c>
      <c r="AC46" s="39" t="e">
        <f>#REF!</f>
        <v>#REF!</v>
      </c>
      <c r="AD46" s="207"/>
      <c r="AE46" s="3" t="e">
        <f>#REF!-#REF!*20</f>
        <v>#REF!</v>
      </c>
      <c r="AF46" s="39" t="e">
        <f>ROUND(MAX(0.6*#REF!^1.299,850)*(1+ tech_2_6*Techs!AC46 + tech_2_9*Techs!AF46 + tech_3_7*Techs!AN46 + Overview!$I$32),0)</f>
        <v>#REF!</v>
      </c>
      <c r="AG46" s="39" t="e">
        <f>IF(ROUND(MAX(IF(#REF!&gt;=300,5+0.003*(#REF!-300)^1.07,5-300/#REF!)+0,3),0)&lt;=6,ROUND(MAX(IF(#REF!&gt;=300,5+0.003*(#REF!-300)^1.07,5-300/#REF!)+0,3),0),ROUND(MAX(IF(#REF!&gt;=300,5+0.003*(#REF!-300)^1.07,5-300/#REF!)+tech_2_9_2*#REF!+tech_3_7_2*#REF!,6),0))</f>
        <v>#REF!</v>
      </c>
      <c r="AH46" s="39" t="e">
        <f>SUM(#REF!)*#REF!</f>
        <v>#REF!</v>
      </c>
      <c r="AI46" s="39" t="e">
        <f>SUM(#REF!)*#REF!</f>
        <v>#REF!</v>
      </c>
      <c r="AJ46" s="3" t="e">
        <f>_xlfn.FLOOR.MATH(MIN(#REF!/#REF!,#REF!/#REF!))</f>
        <v>#REF!</v>
      </c>
    </row>
    <row r="47" spans="1:36" ht="12.5" x14ac:dyDescent="0.25">
      <c r="A47" s="160" t="e">
        <f>#REF!</f>
        <v>#REF!</v>
      </c>
      <c r="B47" s="206" t="e">
        <f>#REF!</f>
        <v>#REF!</v>
      </c>
      <c r="C47" s="207"/>
      <c r="D47" s="208" t="e">
        <f>#REF!</f>
        <v>#REF!</v>
      </c>
      <c r="E47" s="166" t="e">
        <f>#REF!</f>
        <v>#REF!</v>
      </c>
      <c r="F47" s="341" t="e">
        <f>#REF!</f>
        <v>#REF!</v>
      </c>
      <c r="G47" s="345" t="e">
        <f>#REF!</f>
        <v>#REF!</v>
      </c>
      <c r="H47" s="349" t="e">
        <f>#REF!</f>
        <v>#REF!</v>
      </c>
      <c r="I47" s="169" t="e">
        <f>#REF!</f>
        <v>#REF!</v>
      </c>
      <c r="J47" s="170" t="e">
        <f>#REF!</f>
        <v>#REF!</v>
      </c>
      <c r="K47" s="202"/>
      <c r="L47" s="202"/>
      <c r="M47" s="202"/>
      <c r="N47" s="209" t="e">
        <f>#REF!</f>
        <v>#REF!</v>
      </c>
      <c r="O47" s="209" t="e">
        <f>#REF!</f>
        <v>#REF!</v>
      </c>
      <c r="P47" s="209" t="e">
        <f>#REF!</f>
        <v>#REF!</v>
      </c>
      <c r="Q47" s="160" t="e">
        <f>#REF!</f>
        <v>#REF!</v>
      </c>
      <c r="R47" s="160" t="e">
        <f>#REF!</f>
        <v>#REF!</v>
      </c>
      <c r="S47" s="210"/>
      <c r="T47" s="164"/>
      <c r="U47" s="164"/>
      <c r="V47" s="164"/>
      <c r="W47" s="164"/>
      <c r="X47" s="164"/>
      <c r="Y47" s="164"/>
      <c r="Z47" s="164"/>
      <c r="AA47" s="147" t="e">
        <f>#REF!</f>
        <v>#REF!</v>
      </c>
      <c r="AB47" s="39" t="e">
        <f>#REF!</f>
        <v>#REF!</v>
      </c>
      <c r="AC47" s="39" t="e">
        <f>#REF!</f>
        <v>#REF!</v>
      </c>
      <c r="AD47" s="207"/>
      <c r="AE47" s="3" t="e">
        <f>#REF!-#REF!*20</f>
        <v>#REF!</v>
      </c>
      <c r="AF47" s="39" t="e">
        <f>ROUND(MAX(0.6*#REF!^1.299,850)*(1+ tech_2_6*Techs!AC47 + tech_2_9*Techs!AF47 + tech_3_7*Techs!AN47 + Overview!$I$32),0)</f>
        <v>#REF!</v>
      </c>
      <c r="AG47" s="39" t="e">
        <f>IF(ROUND(MAX(IF(#REF!&gt;=300,5+0.003*(#REF!-300)^1.07,5-300/#REF!)+0,3),0)&lt;=6,ROUND(MAX(IF(#REF!&gt;=300,5+0.003*(#REF!-300)^1.07,5-300/#REF!)+0,3),0),ROUND(MAX(IF(#REF!&gt;=300,5+0.003*(#REF!-300)^1.07,5-300/#REF!)+tech_2_9_2*#REF!+tech_3_7_2*#REF!,6),0))</f>
        <v>#REF!</v>
      </c>
      <c r="AH47" s="39" t="e">
        <f>SUM(#REF!)*#REF!</f>
        <v>#REF!</v>
      </c>
      <c r="AI47" s="39" t="e">
        <f>SUM(#REF!)*#REF!</f>
        <v>#REF!</v>
      </c>
      <c r="AJ47" s="3" t="e">
        <f>_xlfn.FLOOR.MATH(MIN(#REF!/#REF!,#REF!/#REF!))</f>
        <v>#REF!</v>
      </c>
    </row>
    <row r="48" spans="1:36" ht="12.5" x14ac:dyDescent="0.25">
      <c r="A48" s="160" t="e">
        <f>#REF!</f>
        <v>#REF!</v>
      </c>
      <c r="B48" s="206" t="e">
        <f>#REF!</f>
        <v>#REF!</v>
      </c>
      <c r="C48" s="207"/>
      <c r="D48" s="208" t="e">
        <f>#REF!</f>
        <v>#REF!</v>
      </c>
      <c r="E48" s="166" t="e">
        <f>#REF!</f>
        <v>#REF!</v>
      </c>
      <c r="F48" s="341" t="e">
        <f>#REF!</f>
        <v>#REF!</v>
      </c>
      <c r="G48" s="345" t="e">
        <f>#REF!</f>
        <v>#REF!</v>
      </c>
      <c r="H48" s="349" t="e">
        <f>#REF!</f>
        <v>#REF!</v>
      </c>
      <c r="I48" s="169" t="e">
        <f>#REF!</f>
        <v>#REF!</v>
      </c>
      <c r="J48" s="170" t="e">
        <f>#REF!</f>
        <v>#REF!</v>
      </c>
      <c r="K48" s="202"/>
      <c r="L48" s="202"/>
      <c r="M48" s="202"/>
      <c r="N48" s="209" t="e">
        <f>#REF!</f>
        <v>#REF!</v>
      </c>
      <c r="O48" s="209" t="e">
        <f>#REF!</f>
        <v>#REF!</v>
      </c>
      <c r="P48" s="209" t="e">
        <f>#REF!</f>
        <v>#REF!</v>
      </c>
      <c r="Q48" s="160" t="e">
        <f>#REF!</f>
        <v>#REF!</v>
      </c>
      <c r="R48" s="160" t="e">
        <f>#REF!</f>
        <v>#REF!</v>
      </c>
      <c r="S48" s="210"/>
      <c r="T48" s="164"/>
      <c r="U48" s="164"/>
      <c r="V48" s="164"/>
      <c r="W48" s="164"/>
      <c r="X48" s="164"/>
      <c r="Y48" s="164"/>
      <c r="Z48" s="164"/>
      <c r="AA48" s="147" t="e">
        <f>#REF!</f>
        <v>#REF!</v>
      </c>
      <c r="AB48" s="39" t="e">
        <f>#REF!</f>
        <v>#REF!</v>
      </c>
      <c r="AC48" s="39" t="e">
        <f>#REF!</f>
        <v>#REF!</v>
      </c>
      <c r="AD48" s="207"/>
      <c r="AE48" s="3" t="e">
        <f>#REF!-#REF!*20</f>
        <v>#REF!</v>
      </c>
      <c r="AF48" s="39" t="e">
        <f>ROUND(MAX(0.6*#REF!^1.299,850)*(1+ tech_2_6*Techs!AC48 + tech_2_9*Techs!AF48 + tech_3_7*Techs!AN48 + Overview!$I$32),0)</f>
        <v>#REF!</v>
      </c>
      <c r="AG48" s="39" t="e">
        <f>IF(ROUND(MAX(IF(#REF!&gt;=300,5+0.003*(#REF!-300)^1.07,5-300/#REF!)+0,3),0)&lt;=6,ROUND(MAX(IF(#REF!&gt;=300,5+0.003*(#REF!-300)^1.07,5-300/#REF!)+0,3),0),ROUND(MAX(IF(#REF!&gt;=300,5+0.003*(#REF!-300)^1.07,5-300/#REF!)+tech_2_9_2*#REF!+tech_3_7_2*#REF!,6),0))</f>
        <v>#REF!</v>
      </c>
      <c r="AH48" s="39" t="e">
        <f>SUM(#REF!)*#REF!</f>
        <v>#REF!</v>
      </c>
      <c r="AI48" s="39" t="e">
        <f>SUM(#REF!)*#REF!</f>
        <v>#REF!</v>
      </c>
      <c r="AJ48" s="3" t="e">
        <f>_xlfn.FLOOR.MATH(MIN(#REF!/#REF!,#REF!/#REF!))</f>
        <v>#REF!</v>
      </c>
    </row>
    <row r="49" spans="1:36" ht="12.5" x14ac:dyDescent="0.25">
      <c r="A49" s="160" t="e">
        <f>#REF!</f>
        <v>#REF!</v>
      </c>
      <c r="B49" s="206" t="e">
        <f>#REF!</f>
        <v>#REF!</v>
      </c>
      <c r="C49" s="207"/>
      <c r="D49" s="208" t="e">
        <f>#REF!</f>
        <v>#REF!</v>
      </c>
      <c r="E49" s="166" t="e">
        <f>#REF!</f>
        <v>#REF!</v>
      </c>
      <c r="F49" s="341" t="e">
        <f>#REF!</f>
        <v>#REF!</v>
      </c>
      <c r="G49" s="345" t="e">
        <f>#REF!</f>
        <v>#REF!</v>
      </c>
      <c r="H49" s="349" t="e">
        <f>#REF!</f>
        <v>#REF!</v>
      </c>
      <c r="I49" s="169" t="e">
        <f>#REF!</f>
        <v>#REF!</v>
      </c>
      <c r="J49" s="170" t="e">
        <f>#REF!</f>
        <v>#REF!</v>
      </c>
      <c r="K49" s="202"/>
      <c r="L49" s="202"/>
      <c r="M49" s="202"/>
      <c r="N49" s="209" t="e">
        <f>#REF!</f>
        <v>#REF!</v>
      </c>
      <c r="O49" s="209" t="e">
        <f>#REF!</f>
        <v>#REF!</v>
      </c>
      <c r="P49" s="209" t="e">
        <f>#REF!</f>
        <v>#REF!</v>
      </c>
      <c r="Q49" s="160" t="e">
        <f>#REF!</f>
        <v>#REF!</v>
      </c>
      <c r="R49" s="160" t="e">
        <f>#REF!</f>
        <v>#REF!</v>
      </c>
      <c r="S49" s="210"/>
      <c r="T49" s="164"/>
      <c r="U49" s="164"/>
      <c r="V49" s="164"/>
      <c r="W49" s="164"/>
      <c r="X49" s="164"/>
      <c r="Y49" s="164"/>
      <c r="Z49" s="164"/>
      <c r="AA49" s="147" t="e">
        <f>#REF!</f>
        <v>#REF!</v>
      </c>
      <c r="AB49" s="39" t="e">
        <f>#REF!</f>
        <v>#REF!</v>
      </c>
      <c r="AC49" s="39" t="e">
        <f>#REF!</f>
        <v>#REF!</v>
      </c>
      <c r="AD49" s="207"/>
      <c r="AE49" s="3" t="e">
        <f>#REF!-#REF!*20</f>
        <v>#REF!</v>
      </c>
      <c r="AF49" s="39" t="e">
        <f>ROUND(MAX(0.6*#REF!^1.299,850)*(1+ tech_2_6*Techs!AC49 + tech_2_9*Techs!AF49 + tech_3_7*Techs!AN49 + Overview!$I$32),0)</f>
        <v>#REF!</v>
      </c>
      <c r="AG49" s="39" t="e">
        <f>IF(ROUND(MAX(IF(#REF!&gt;=300,5+0.003*(#REF!-300)^1.07,5-300/#REF!)+0,3),0)&lt;=6,ROUND(MAX(IF(#REF!&gt;=300,5+0.003*(#REF!-300)^1.07,5-300/#REF!)+0,3),0),ROUND(MAX(IF(#REF!&gt;=300,5+0.003*(#REF!-300)^1.07,5-300/#REF!)+tech_2_9_2*#REF!+tech_3_7_2*#REF!,6),0))</f>
        <v>#REF!</v>
      </c>
      <c r="AH49" s="39" t="e">
        <f>SUM(#REF!)*#REF!</f>
        <v>#REF!</v>
      </c>
      <c r="AI49" s="39" t="e">
        <f>SUM(#REF!)*#REF!</f>
        <v>#REF!</v>
      </c>
      <c r="AJ49" s="3" t="e">
        <f>_xlfn.FLOOR.MATH(MIN(#REF!/#REF!,#REF!/#REF!))</f>
        <v>#REF!</v>
      </c>
    </row>
    <row r="50" spans="1:36" ht="12.5" x14ac:dyDescent="0.25">
      <c r="A50" s="160" t="e">
        <f>#REF!</f>
        <v>#REF!</v>
      </c>
      <c r="B50" s="206" t="e">
        <f>#REF!</f>
        <v>#REF!</v>
      </c>
      <c r="C50" s="207"/>
      <c r="D50" s="208" t="e">
        <f>#REF!</f>
        <v>#REF!</v>
      </c>
      <c r="E50" s="166" t="e">
        <f>#REF!</f>
        <v>#REF!</v>
      </c>
      <c r="F50" s="341" t="e">
        <f>#REF!</f>
        <v>#REF!</v>
      </c>
      <c r="G50" s="345" t="e">
        <f>#REF!</f>
        <v>#REF!</v>
      </c>
      <c r="H50" s="349" t="e">
        <f>#REF!</f>
        <v>#REF!</v>
      </c>
      <c r="I50" s="169" t="e">
        <f>#REF!</f>
        <v>#REF!</v>
      </c>
      <c r="J50" s="170" t="e">
        <f>#REF!</f>
        <v>#REF!</v>
      </c>
      <c r="K50" s="202"/>
      <c r="L50" s="202"/>
      <c r="M50" s="202"/>
      <c r="N50" s="209" t="e">
        <f>#REF!</f>
        <v>#REF!</v>
      </c>
      <c r="O50" s="209" t="e">
        <f>#REF!</f>
        <v>#REF!</v>
      </c>
      <c r="P50" s="209" t="e">
        <f>#REF!</f>
        <v>#REF!</v>
      </c>
      <c r="Q50" s="160" t="e">
        <f>#REF!</f>
        <v>#REF!</v>
      </c>
      <c r="R50" s="160" t="e">
        <f>#REF!</f>
        <v>#REF!</v>
      </c>
      <c r="S50" s="210"/>
      <c r="T50" s="164"/>
      <c r="U50" s="164"/>
      <c r="V50" s="164"/>
      <c r="W50" s="164"/>
      <c r="X50" s="164"/>
      <c r="Y50" s="164"/>
      <c r="Z50" s="164"/>
      <c r="AA50" s="147" t="e">
        <f>#REF!</f>
        <v>#REF!</v>
      </c>
      <c r="AB50" s="39" t="e">
        <f>#REF!</f>
        <v>#REF!</v>
      </c>
      <c r="AC50" s="39" t="e">
        <f>#REF!</f>
        <v>#REF!</v>
      </c>
      <c r="AD50" s="207"/>
      <c r="AE50" s="3" t="e">
        <f>#REF!-#REF!*20</f>
        <v>#REF!</v>
      </c>
      <c r="AF50" s="39" t="e">
        <f>ROUND(MAX(0.6*#REF!^1.299,850)*(1+ tech_2_6*Techs!AC50 + tech_2_9*Techs!AF50 + tech_3_7*Techs!AN50 + Overview!$I$32),0)</f>
        <v>#REF!</v>
      </c>
      <c r="AG50" s="39" t="e">
        <f>IF(ROUND(MAX(IF(#REF!&gt;=300,5+0.003*(#REF!-300)^1.07,5-300/#REF!)+0,3),0)&lt;=6,ROUND(MAX(IF(#REF!&gt;=300,5+0.003*(#REF!-300)^1.07,5-300/#REF!)+0,3),0),ROUND(MAX(IF(#REF!&gt;=300,5+0.003*(#REF!-300)^1.07,5-300/#REF!)+tech_2_9_2*#REF!+tech_3_7_2*#REF!,6),0))</f>
        <v>#REF!</v>
      </c>
      <c r="AH50" s="39" t="e">
        <f>SUM(#REF!)*#REF!</f>
        <v>#REF!</v>
      </c>
      <c r="AI50" s="39" t="e">
        <f>SUM(#REF!)*#REF!</f>
        <v>#REF!</v>
      </c>
      <c r="AJ50" s="3" t="e">
        <f>_xlfn.FLOOR.MATH(MIN(#REF!/#REF!,#REF!/#REF!))</f>
        <v>#REF!</v>
      </c>
    </row>
    <row r="51" spans="1:36" ht="12.5" x14ac:dyDescent="0.25">
      <c r="A51" s="160" t="e">
        <f>#REF!</f>
        <v>#REF!</v>
      </c>
      <c r="B51" s="206" t="e">
        <f>#REF!</f>
        <v>#REF!</v>
      </c>
      <c r="C51" s="207"/>
      <c r="D51" s="208" t="e">
        <f>#REF!</f>
        <v>#REF!</v>
      </c>
      <c r="E51" s="166" t="e">
        <f>#REF!</f>
        <v>#REF!</v>
      </c>
      <c r="F51" s="341" t="e">
        <f>#REF!</f>
        <v>#REF!</v>
      </c>
      <c r="G51" s="345" t="e">
        <f>#REF!</f>
        <v>#REF!</v>
      </c>
      <c r="H51" s="349" t="e">
        <f>#REF!</f>
        <v>#REF!</v>
      </c>
      <c r="I51" s="169" t="e">
        <f>#REF!</f>
        <v>#REF!</v>
      </c>
      <c r="J51" s="170" t="e">
        <f>#REF!</f>
        <v>#REF!</v>
      </c>
      <c r="K51" s="202"/>
      <c r="L51" s="202"/>
      <c r="M51" s="202"/>
      <c r="N51" s="209" t="e">
        <f>#REF!</f>
        <v>#REF!</v>
      </c>
      <c r="O51" s="209" t="e">
        <f>#REF!</f>
        <v>#REF!</v>
      </c>
      <c r="P51" s="209" t="e">
        <f>#REF!</f>
        <v>#REF!</v>
      </c>
      <c r="Q51" s="160" t="e">
        <f>#REF!</f>
        <v>#REF!</v>
      </c>
      <c r="R51" s="160" t="e">
        <f>#REF!</f>
        <v>#REF!</v>
      </c>
      <c r="S51" s="210"/>
      <c r="T51" s="164"/>
      <c r="U51" s="164"/>
      <c r="V51" s="164"/>
      <c r="W51" s="164"/>
      <c r="X51" s="164"/>
      <c r="Y51" s="164"/>
      <c r="Z51" s="164"/>
      <c r="AA51" s="147" t="e">
        <f>#REF!</f>
        <v>#REF!</v>
      </c>
      <c r="AB51" s="39" t="e">
        <f>#REF!</f>
        <v>#REF!</v>
      </c>
      <c r="AC51" s="39" t="e">
        <f>#REF!</f>
        <v>#REF!</v>
      </c>
      <c r="AD51" s="207"/>
      <c r="AE51" s="3" t="e">
        <f>#REF!-#REF!*20</f>
        <v>#REF!</v>
      </c>
      <c r="AF51" s="39" t="e">
        <f>ROUND(MAX(0.6*#REF!^1.299,850)*(1+ tech_2_6*Techs!AC51 + tech_2_9*Techs!AF51 + tech_3_7*Techs!AN51 + Overview!$I$32),0)</f>
        <v>#REF!</v>
      </c>
      <c r="AG51" s="39" t="e">
        <f>IF(ROUND(MAX(IF(#REF!&gt;=300,5+0.003*(#REF!-300)^1.07,5-300/#REF!)+0,3),0)&lt;=6,ROUND(MAX(IF(#REF!&gt;=300,5+0.003*(#REF!-300)^1.07,5-300/#REF!)+0,3),0),ROUND(MAX(IF(#REF!&gt;=300,5+0.003*(#REF!-300)^1.07,5-300/#REF!)+tech_2_9_2*#REF!+tech_3_7_2*#REF!,6),0))</f>
        <v>#REF!</v>
      </c>
      <c r="AH51" s="39" t="e">
        <f>SUM(#REF!)*#REF!</f>
        <v>#REF!</v>
      </c>
      <c r="AI51" s="39" t="e">
        <f>SUM(#REF!)*#REF!</f>
        <v>#REF!</v>
      </c>
      <c r="AJ51" s="3" t="e">
        <f>_xlfn.FLOOR.MATH(MIN(#REF!/#REF!,#REF!/#REF!))</f>
        <v>#REF!</v>
      </c>
    </row>
    <row r="52" spans="1:36" ht="12.5" x14ac:dyDescent="0.25">
      <c r="A52" s="160" t="e">
        <f>#REF!</f>
        <v>#REF!</v>
      </c>
      <c r="B52" s="206" t="e">
        <f>#REF!</f>
        <v>#REF!</v>
      </c>
      <c r="C52" s="207"/>
      <c r="D52" s="208" t="e">
        <f>#REF!</f>
        <v>#REF!</v>
      </c>
      <c r="E52" s="166" t="e">
        <f>#REF!</f>
        <v>#REF!</v>
      </c>
      <c r="F52" s="341" t="e">
        <f>#REF!</f>
        <v>#REF!</v>
      </c>
      <c r="G52" s="345" t="e">
        <f>#REF!</f>
        <v>#REF!</v>
      </c>
      <c r="H52" s="349" t="e">
        <f>#REF!</f>
        <v>#REF!</v>
      </c>
      <c r="I52" s="169" t="e">
        <f>#REF!</f>
        <v>#REF!</v>
      </c>
      <c r="J52" s="170" t="e">
        <f>#REF!</f>
        <v>#REF!</v>
      </c>
      <c r="K52" s="202"/>
      <c r="L52" s="218"/>
      <c r="M52" s="219"/>
      <c r="N52" s="209" t="e">
        <f>#REF!</f>
        <v>#REF!</v>
      </c>
      <c r="O52" s="209" t="e">
        <f>#REF!</f>
        <v>#REF!</v>
      </c>
      <c r="P52" s="209" t="e">
        <f>#REF!</f>
        <v>#REF!</v>
      </c>
      <c r="Q52" s="160" t="e">
        <f>#REF!</f>
        <v>#REF!</v>
      </c>
      <c r="R52" s="160" t="e">
        <f>#REF!</f>
        <v>#REF!</v>
      </c>
      <c r="S52" s="210"/>
      <c r="T52" s="164"/>
      <c r="U52" s="164"/>
      <c r="V52" s="164"/>
      <c r="W52" s="164"/>
      <c r="X52" s="164"/>
      <c r="Y52" s="164"/>
      <c r="Z52" s="164"/>
      <c r="AA52" s="147" t="e">
        <f>#REF!</f>
        <v>#REF!</v>
      </c>
      <c r="AB52" s="39" t="e">
        <f>#REF!</f>
        <v>#REF!</v>
      </c>
      <c r="AC52" s="39" t="e">
        <f>#REF!</f>
        <v>#REF!</v>
      </c>
      <c r="AD52" s="207"/>
      <c r="AE52" s="3" t="e">
        <f>#REF!-#REF!*20</f>
        <v>#REF!</v>
      </c>
      <c r="AF52" s="39" t="e">
        <f>ROUND(MAX(0.6*#REF!^1.299,850)*(1+ tech_2_6*Techs!AC52 + tech_2_9*Techs!AF52 + tech_3_7*Techs!AN52 + Overview!$I$32),0)</f>
        <v>#REF!</v>
      </c>
      <c r="AG52" s="39" t="e">
        <f>IF(ROUND(MAX(IF(#REF!&gt;=300,5+0.003*(#REF!-300)^1.07,5-300/#REF!)+0,3),0)&lt;=6,ROUND(MAX(IF(#REF!&gt;=300,5+0.003*(#REF!-300)^1.07,5-300/#REF!)+0,3),0),ROUND(MAX(IF(#REF!&gt;=300,5+0.003*(#REF!-300)^1.07,5-300/#REF!)+tech_2_9_2*#REF!+tech_3_7_2*#REF!,6),0))</f>
        <v>#REF!</v>
      </c>
      <c r="AH52" s="39" t="e">
        <f>SUM(#REF!)*#REF!</f>
        <v>#REF!</v>
      </c>
      <c r="AI52" s="39" t="e">
        <f>SUM(#REF!)*#REF!</f>
        <v>#REF!</v>
      </c>
      <c r="AJ52" s="3" t="e">
        <f>_xlfn.FLOOR.MATH(MIN(#REF!/#REF!,#REF!/#REF!))</f>
        <v>#REF!</v>
      </c>
    </row>
    <row r="53" spans="1:36" ht="12.5" x14ac:dyDescent="0.25">
      <c r="A53" s="160" t="e">
        <f>#REF!</f>
        <v>#REF!</v>
      </c>
      <c r="B53" s="206" t="e">
        <f>#REF!</f>
        <v>#REF!</v>
      </c>
      <c r="C53" s="207"/>
      <c r="D53" s="208" t="e">
        <f>#REF!</f>
        <v>#REF!</v>
      </c>
      <c r="E53" s="166" t="e">
        <f>#REF!</f>
        <v>#REF!</v>
      </c>
      <c r="F53" s="341" t="e">
        <f>#REF!</f>
        <v>#REF!</v>
      </c>
      <c r="G53" s="345" t="e">
        <f>#REF!</f>
        <v>#REF!</v>
      </c>
      <c r="H53" s="349" t="e">
        <f>#REF!</f>
        <v>#REF!</v>
      </c>
      <c r="I53" s="169" t="e">
        <f>#REF!</f>
        <v>#REF!</v>
      </c>
      <c r="J53" s="170" t="e">
        <f>#REF!</f>
        <v>#REF!</v>
      </c>
      <c r="K53" s="202"/>
      <c r="L53" s="220"/>
      <c r="M53" s="219"/>
      <c r="N53" s="209" t="e">
        <f>#REF!</f>
        <v>#REF!</v>
      </c>
      <c r="O53" s="209" t="e">
        <f>#REF!</f>
        <v>#REF!</v>
      </c>
      <c r="P53" s="209" t="e">
        <f>#REF!</f>
        <v>#REF!</v>
      </c>
      <c r="Q53" s="160" t="e">
        <f>#REF!</f>
        <v>#REF!</v>
      </c>
      <c r="R53" s="160" t="e">
        <f>#REF!</f>
        <v>#REF!</v>
      </c>
      <c r="S53" s="210"/>
      <c r="T53" s="164"/>
      <c r="U53" s="164"/>
      <c r="V53" s="164"/>
      <c r="W53" s="164"/>
      <c r="X53" s="164"/>
      <c r="Y53" s="164"/>
      <c r="Z53" s="164"/>
      <c r="AA53" s="147" t="e">
        <f>#REF!</f>
        <v>#REF!</v>
      </c>
      <c r="AB53" s="39" t="e">
        <f>#REF!</f>
        <v>#REF!</v>
      </c>
      <c r="AC53" s="39" t="e">
        <f>#REF!</f>
        <v>#REF!</v>
      </c>
      <c r="AD53" s="207"/>
      <c r="AE53" s="3" t="e">
        <f>#REF!-#REF!*20</f>
        <v>#REF!</v>
      </c>
      <c r="AF53" s="39" t="e">
        <f>ROUND(MAX(0.6*#REF!^1.299,850)*(1+ tech_2_6*Techs!AC53 + tech_2_9*Techs!AF53 + tech_3_7*Techs!AN53 + Overview!$I$32),0)</f>
        <v>#REF!</v>
      </c>
      <c r="AG53" s="39" t="e">
        <f>IF(ROUND(MAX(IF(#REF!&gt;=300,5+0.003*(#REF!-300)^1.07,5-300/#REF!)+0,3),0)&lt;=6,ROUND(MAX(IF(#REF!&gt;=300,5+0.003*(#REF!-300)^1.07,5-300/#REF!)+0,3),0),ROUND(MAX(IF(#REF!&gt;=300,5+0.003*(#REF!-300)^1.07,5-300/#REF!)+tech_2_9_2*#REF!+tech_3_7_2*#REF!,6),0))</f>
        <v>#REF!</v>
      </c>
      <c r="AH53" s="39" t="e">
        <f>SUM(#REF!)*#REF!</f>
        <v>#REF!</v>
      </c>
      <c r="AI53" s="39" t="e">
        <f>SUM(#REF!)*#REF!</f>
        <v>#REF!</v>
      </c>
      <c r="AJ53" s="3" t="e">
        <f>_xlfn.FLOOR.MATH(MIN(#REF!/#REF!,#REF!/#REF!))</f>
        <v>#REF!</v>
      </c>
    </row>
    <row r="54" spans="1:36" ht="12.5" x14ac:dyDescent="0.25">
      <c r="A54" s="160" t="e">
        <f>#REF!</f>
        <v>#REF!</v>
      </c>
      <c r="B54" s="206" t="e">
        <f>#REF!</f>
        <v>#REF!</v>
      </c>
      <c r="C54" s="207"/>
      <c r="D54" s="208" t="e">
        <f>#REF!</f>
        <v>#REF!</v>
      </c>
      <c r="E54" s="166" t="e">
        <f>#REF!</f>
        <v>#REF!</v>
      </c>
      <c r="F54" s="341" t="e">
        <f>#REF!</f>
        <v>#REF!</v>
      </c>
      <c r="G54" s="345" t="e">
        <f>#REF!</f>
        <v>#REF!</v>
      </c>
      <c r="H54" s="349" t="e">
        <f>#REF!</f>
        <v>#REF!</v>
      </c>
      <c r="I54" s="169" t="e">
        <f>#REF!</f>
        <v>#REF!</v>
      </c>
      <c r="J54" s="170" t="e">
        <f>#REF!</f>
        <v>#REF!</v>
      </c>
      <c r="K54" s="202"/>
      <c r="L54" s="353" t="s">
        <v>1046</v>
      </c>
      <c r="M54" s="354" t="s">
        <v>303</v>
      </c>
      <c r="N54" s="209" t="e">
        <f>#REF!</f>
        <v>#REF!</v>
      </c>
      <c r="O54" s="209" t="e">
        <f>#REF!</f>
        <v>#REF!</v>
      </c>
      <c r="P54" s="209" t="e">
        <f>#REF!</f>
        <v>#REF!</v>
      </c>
      <c r="Q54" s="160" t="e">
        <f>#REF!</f>
        <v>#REF!</v>
      </c>
      <c r="R54" s="160" t="e">
        <f>#REF!</f>
        <v>#REF!</v>
      </c>
      <c r="S54" s="210"/>
      <c r="T54" s="164"/>
      <c r="U54" s="164"/>
      <c r="V54" s="164"/>
      <c r="W54" s="164"/>
      <c r="X54" s="164"/>
      <c r="Y54" s="164"/>
      <c r="Z54" s="164"/>
      <c r="AA54" s="147" t="e">
        <f>#REF!</f>
        <v>#REF!</v>
      </c>
      <c r="AB54" s="39" t="e">
        <f>#REF!</f>
        <v>#REF!</v>
      </c>
      <c r="AC54" s="39" t="e">
        <f>#REF!</f>
        <v>#REF!</v>
      </c>
      <c r="AD54" s="207"/>
      <c r="AE54" s="3" t="e">
        <f>#REF!-#REF!*20</f>
        <v>#REF!</v>
      </c>
      <c r="AF54" s="39" t="e">
        <f>ROUND(MAX(0.6*#REF!^1.299,850)*(1+ tech_2_6*Techs!AC54 + tech_2_9*Techs!AF54 + tech_3_7*Techs!AN54 + Overview!$I$32),0)</f>
        <v>#REF!</v>
      </c>
      <c r="AG54" s="39" t="e">
        <f>IF(ROUND(MAX(IF(#REF!&gt;=300,5+0.003*(#REF!-300)^1.07,5-300/#REF!)+0,3),0)&lt;=6,ROUND(MAX(IF(#REF!&gt;=300,5+0.003*(#REF!-300)^1.07,5-300/#REF!)+0,3),0),ROUND(MAX(IF(#REF!&gt;=300,5+0.003*(#REF!-300)^1.07,5-300/#REF!)+tech_2_9_2*#REF!+tech_3_7_2*#REF!,6),0))</f>
        <v>#REF!</v>
      </c>
      <c r="AH54" s="39" t="e">
        <f>SUM(#REF!)*#REF!</f>
        <v>#REF!</v>
      </c>
      <c r="AI54" s="39" t="e">
        <f>SUM(#REF!)*#REF!</f>
        <v>#REF!</v>
      </c>
      <c r="AJ54" s="3" t="e">
        <f>_xlfn.FLOOR.MATH(MIN(#REF!/#REF!,#REF!/#REF!))</f>
        <v>#REF!</v>
      </c>
    </row>
    <row r="55" spans="1:36" ht="12.5" x14ac:dyDescent="0.25">
      <c r="A55" s="160" t="e">
        <f>#REF!</f>
        <v>#REF!</v>
      </c>
      <c r="B55" s="206" t="e">
        <f>#REF!</f>
        <v>#REF!</v>
      </c>
      <c r="C55" s="207"/>
      <c r="D55" s="208" t="e">
        <f>#REF!</f>
        <v>#REF!</v>
      </c>
      <c r="E55" s="166" t="e">
        <f>#REF!</f>
        <v>#REF!</v>
      </c>
      <c r="F55" s="341" t="e">
        <f>#REF!</f>
        <v>#REF!</v>
      </c>
      <c r="G55" s="345" t="e">
        <f>#REF!</f>
        <v>#REF!</v>
      </c>
      <c r="H55" s="349" t="e">
        <f>#REF!</f>
        <v>#REF!</v>
      </c>
      <c r="I55" s="169" t="e">
        <f>#REF!</f>
        <v>#REF!</v>
      </c>
      <c r="J55" s="170" t="e">
        <f>#REF!</f>
        <v>#REF!</v>
      </c>
      <c r="K55" s="202"/>
      <c r="L55" s="355">
        <v>4</v>
      </c>
      <c r="M55" s="356">
        <v>299</v>
      </c>
      <c r="N55" s="209" t="e">
        <f>#REF!</f>
        <v>#REF!</v>
      </c>
      <c r="O55" s="209" t="e">
        <f>#REF!</f>
        <v>#REF!</v>
      </c>
      <c r="P55" s="209" t="e">
        <f>#REF!</f>
        <v>#REF!</v>
      </c>
      <c r="Q55" s="160" t="e">
        <f>#REF!</f>
        <v>#REF!</v>
      </c>
      <c r="R55" s="160" t="e">
        <f>#REF!</f>
        <v>#REF!</v>
      </c>
      <c r="S55" s="210"/>
      <c r="T55" s="164"/>
      <c r="U55" s="164"/>
      <c r="V55" s="164"/>
      <c r="W55" s="164"/>
      <c r="X55" s="164"/>
      <c r="Y55" s="164"/>
      <c r="Z55" s="164"/>
      <c r="AA55" s="147" t="e">
        <f>#REF!</f>
        <v>#REF!</v>
      </c>
      <c r="AB55" s="39" t="e">
        <f>#REF!</f>
        <v>#REF!</v>
      </c>
      <c r="AC55" s="39" t="e">
        <f>#REF!</f>
        <v>#REF!</v>
      </c>
      <c r="AD55" s="207"/>
      <c r="AE55" s="3" t="e">
        <f>#REF!-#REF!*20</f>
        <v>#REF!</v>
      </c>
      <c r="AF55" s="39" t="e">
        <f>ROUND(MAX(0.6*#REF!^1.299,850)*(1+ tech_2_6*Techs!AC55 + tech_2_9*Techs!AF55 + tech_3_7*Techs!AN55 + Overview!$I$32),0)</f>
        <v>#REF!</v>
      </c>
      <c r="AG55" s="39" t="e">
        <f>IF(ROUND(MAX(IF(#REF!&gt;=300,5+0.003*(#REF!-300)^1.07,5-300/#REF!)+0,3),0)&lt;=6,ROUND(MAX(IF(#REF!&gt;=300,5+0.003*(#REF!-300)^1.07,5-300/#REF!)+0,3),0),ROUND(MAX(IF(#REF!&gt;=300,5+0.003*(#REF!-300)^1.07,5-300/#REF!)+tech_2_9_2*#REF!+tech_3_7_2*#REF!,6),0))</f>
        <v>#REF!</v>
      </c>
      <c r="AH55" s="39" t="e">
        <f>SUM(#REF!)*#REF!</f>
        <v>#REF!</v>
      </c>
      <c r="AI55" s="39" t="e">
        <f>SUM(#REF!)*#REF!</f>
        <v>#REF!</v>
      </c>
      <c r="AJ55" s="3" t="e">
        <f>_xlfn.FLOOR.MATH(MIN(#REF!/#REF!,#REF!/#REF!))</f>
        <v>#REF!</v>
      </c>
    </row>
    <row r="56" spans="1:36" ht="12.5" x14ac:dyDescent="0.25">
      <c r="A56" s="160" t="e">
        <f>#REF!</f>
        <v>#REF!</v>
      </c>
      <c r="B56" s="206" t="e">
        <f>#REF!</f>
        <v>#REF!</v>
      </c>
      <c r="C56" s="207"/>
      <c r="D56" s="208" t="e">
        <f>#REF!</f>
        <v>#REF!</v>
      </c>
      <c r="E56" s="166" t="e">
        <f>#REF!</f>
        <v>#REF!</v>
      </c>
      <c r="F56" s="341" t="e">
        <f>#REF!</f>
        <v>#REF!</v>
      </c>
      <c r="G56" s="345" t="e">
        <f>#REF!</f>
        <v>#REF!</v>
      </c>
      <c r="H56" s="349" t="e">
        <f>#REF!</f>
        <v>#REF!</v>
      </c>
      <c r="I56" s="169" t="e">
        <f>#REF!</f>
        <v>#REF!</v>
      </c>
      <c r="J56" s="170" t="e">
        <f>#REF!</f>
        <v>#REF!</v>
      </c>
      <c r="K56" s="202"/>
      <c r="L56" s="355">
        <v>5</v>
      </c>
      <c r="M56" s="356">
        <f>ROUNDDOWN(227.945*(L56+0.5 - 5)^0.934579 + 300,0)</f>
        <v>419</v>
      </c>
      <c r="N56" s="209" t="e">
        <f>#REF!</f>
        <v>#REF!</v>
      </c>
      <c r="O56" s="209" t="e">
        <f>#REF!</f>
        <v>#REF!</v>
      </c>
      <c r="P56" s="209" t="e">
        <f>#REF!</f>
        <v>#REF!</v>
      </c>
      <c r="Q56" s="160" t="e">
        <f>#REF!</f>
        <v>#REF!</v>
      </c>
      <c r="R56" s="160" t="e">
        <f>#REF!</f>
        <v>#REF!</v>
      </c>
      <c r="S56" s="210"/>
      <c r="T56" s="164"/>
      <c r="U56" s="164"/>
      <c r="V56" s="164"/>
      <c r="W56" s="164"/>
      <c r="X56" s="164"/>
      <c r="Y56" s="164"/>
      <c r="Z56" s="164"/>
      <c r="AA56" s="147" t="e">
        <f>#REF!</f>
        <v>#REF!</v>
      </c>
      <c r="AB56" s="39" t="e">
        <f>#REF!</f>
        <v>#REF!</v>
      </c>
      <c r="AC56" s="39" t="e">
        <f>#REF!</f>
        <v>#REF!</v>
      </c>
      <c r="AD56" s="207"/>
      <c r="AE56" s="3" t="e">
        <f>#REF!-#REF!*20</f>
        <v>#REF!</v>
      </c>
      <c r="AF56" s="39" t="e">
        <f>ROUND(MAX(0.6*#REF!^1.299,850)*(1+ tech_2_6*Techs!AC56 + tech_2_9*Techs!AF56 + tech_3_7*Techs!AN56 + Overview!$I$32),0)</f>
        <v>#REF!</v>
      </c>
      <c r="AG56" s="39" t="e">
        <f>IF(ROUND(MAX(IF(#REF!&gt;=300,5+0.003*(#REF!-300)^1.07,5-300/#REF!)+0,3),0)&lt;=6,ROUND(MAX(IF(#REF!&gt;=300,5+0.003*(#REF!-300)^1.07,5-300/#REF!)+0,3),0),ROUND(MAX(IF(#REF!&gt;=300,5+0.003*(#REF!-300)^1.07,5-300/#REF!)+tech_2_9_2*#REF!+tech_3_7_2*#REF!,6),0))</f>
        <v>#REF!</v>
      </c>
      <c r="AH56" s="39" t="e">
        <f>SUM(#REF!)*#REF!</f>
        <v>#REF!</v>
      </c>
      <c r="AI56" s="39" t="e">
        <f>SUM(#REF!)*#REF!</f>
        <v>#REF!</v>
      </c>
      <c r="AJ56" s="3" t="e">
        <f>_xlfn.FLOOR.MATH(MIN(#REF!/#REF!,#REF!/#REF!))</f>
        <v>#REF!</v>
      </c>
    </row>
    <row r="57" spans="1:36" ht="12.5" x14ac:dyDescent="0.25">
      <c r="A57" s="160" t="e">
        <f>#REF!</f>
        <v>#REF!</v>
      </c>
      <c r="B57" s="206" t="e">
        <f>#REF!</f>
        <v>#REF!</v>
      </c>
      <c r="C57" s="207"/>
      <c r="D57" s="208" t="e">
        <f>#REF!</f>
        <v>#REF!</v>
      </c>
      <c r="E57" s="166" t="e">
        <f>#REF!</f>
        <v>#REF!</v>
      </c>
      <c r="F57" s="341" t="e">
        <f>#REF!</f>
        <v>#REF!</v>
      </c>
      <c r="G57" s="345" t="e">
        <f>#REF!</f>
        <v>#REF!</v>
      </c>
      <c r="H57" s="349" t="e">
        <f>#REF!</f>
        <v>#REF!</v>
      </c>
      <c r="I57" s="169" t="e">
        <f>#REF!</f>
        <v>#REF!</v>
      </c>
      <c r="J57" s="170" t="e">
        <f>#REF!</f>
        <v>#REF!</v>
      </c>
      <c r="K57" s="202"/>
      <c r="L57" s="355">
        <v>6</v>
      </c>
      <c r="M57" s="356">
        <f t="shared" ref="M57:M69" si="0">ROUNDDOWN(227.945*(L57+0.5 - 5)^0.934579 + 300,0)</f>
        <v>632</v>
      </c>
      <c r="N57" s="209" t="e">
        <f>#REF!</f>
        <v>#REF!</v>
      </c>
      <c r="O57" s="209" t="e">
        <f>#REF!</f>
        <v>#REF!</v>
      </c>
      <c r="P57" s="209" t="e">
        <f>#REF!</f>
        <v>#REF!</v>
      </c>
      <c r="Q57" s="160" t="e">
        <f>#REF!</f>
        <v>#REF!</v>
      </c>
      <c r="R57" s="160" t="e">
        <f>#REF!</f>
        <v>#REF!</v>
      </c>
      <c r="S57" s="210"/>
      <c r="T57" s="164"/>
      <c r="U57" s="164"/>
      <c r="V57" s="164"/>
      <c r="W57" s="164"/>
      <c r="X57" s="164"/>
      <c r="Y57" s="164"/>
      <c r="Z57" s="164"/>
      <c r="AA57" s="147" t="e">
        <f>#REF!</f>
        <v>#REF!</v>
      </c>
      <c r="AB57" s="39" t="e">
        <f>#REF!</f>
        <v>#REF!</v>
      </c>
      <c r="AC57" s="39" t="e">
        <f>#REF!</f>
        <v>#REF!</v>
      </c>
      <c r="AD57" s="207"/>
      <c r="AE57" s="3" t="e">
        <f>#REF!-#REF!*20</f>
        <v>#REF!</v>
      </c>
      <c r="AF57" s="39" t="e">
        <f>ROUND(MAX(0.6*#REF!^1.299,850)*(1+ tech_2_6*Techs!AC57 + tech_2_9*Techs!AF57 + tech_3_7*Techs!AN57 + Overview!$I$32),0)</f>
        <v>#REF!</v>
      </c>
      <c r="AG57" s="39" t="e">
        <f>IF(ROUND(MAX(IF(#REF!&gt;=300,5+0.003*(#REF!-300)^1.07,5-300/#REF!)+0,3),0)&lt;=6,ROUND(MAX(IF(#REF!&gt;=300,5+0.003*(#REF!-300)^1.07,5-300/#REF!)+0,3),0),ROUND(MAX(IF(#REF!&gt;=300,5+0.003*(#REF!-300)^1.07,5-300/#REF!)+tech_2_9_2*#REF!+tech_3_7_2*#REF!,6),0))</f>
        <v>#REF!</v>
      </c>
      <c r="AH57" s="39" t="e">
        <f>SUM(#REF!)*#REF!</f>
        <v>#REF!</v>
      </c>
      <c r="AI57" s="39" t="e">
        <f>SUM(#REF!)*#REF!</f>
        <v>#REF!</v>
      </c>
      <c r="AJ57" s="3" t="e">
        <f>_xlfn.FLOOR.MATH(MIN(#REF!/#REF!,#REF!/#REF!))</f>
        <v>#REF!</v>
      </c>
    </row>
    <row r="58" spans="1:36" ht="12.5" x14ac:dyDescent="0.25">
      <c r="A58" s="160" t="e">
        <f>#REF!</f>
        <v>#REF!</v>
      </c>
      <c r="B58" s="206" t="e">
        <f>#REF!</f>
        <v>#REF!</v>
      </c>
      <c r="C58" s="207"/>
      <c r="D58" s="208" t="e">
        <f>#REF!</f>
        <v>#REF!</v>
      </c>
      <c r="E58" s="166" t="e">
        <f>#REF!</f>
        <v>#REF!</v>
      </c>
      <c r="F58" s="341" t="e">
        <f>#REF!</f>
        <v>#REF!</v>
      </c>
      <c r="G58" s="345" t="e">
        <f>#REF!</f>
        <v>#REF!</v>
      </c>
      <c r="H58" s="349" t="e">
        <f>#REF!</f>
        <v>#REF!</v>
      </c>
      <c r="I58" s="169" t="e">
        <f>#REF!</f>
        <v>#REF!</v>
      </c>
      <c r="J58" s="170" t="e">
        <f>#REF!</f>
        <v>#REF!</v>
      </c>
      <c r="K58" s="202"/>
      <c r="L58" s="355">
        <v>7</v>
      </c>
      <c r="M58" s="356">
        <f t="shared" si="0"/>
        <v>836</v>
      </c>
      <c r="N58" s="209" t="e">
        <f>#REF!</f>
        <v>#REF!</v>
      </c>
      <c r="O58" s="209" t="e">
        <f>#REF!</f>
        <v>#REF!</v>
      </c>
      <c r="P58" s="209" t="e">
        <f>#REF!</f>
        <v>#REF!</v>
      </c>
      <c r="Q58" s="160" t="e">
        <f>#REF!</f>
        <v>#REF!</v>
      </c>
      <c r="R58" s="160" t="e">
        <f>#REF!</f>
        <v>#REF!</v>
      </c>
      <c r="S58" s="210"/>
      <c r="T58" s="164"/>
      <c r="U58" s="164"/>
      <c r="V58" s="164"/>
      <c r="W58" s="164"/>
      <c r="X58" s="164"/>
      <c r="Y58" s="164"/>
      <c r="Z58" s="164"/>
      <c r="AA58" s="147" t="e">
        <f>#REF!</f>
        <v>#REF!</v>
      </c>
      <c r="AB58" s="39" t="e">
        <f>#REF!</f>
        <v>#REF!</v>
      </c>
      <c r="AC58" s="39" t="e">
        <f>#REF!</f>
        <v>#REF!</v>
      </c>
      <c r="AD58" s="207"/>
      <c r="AE58" s="3" t="e">
        <f>#REF!-#REF!*20</f>
        <v>#REF!</v>
      </c>
      <c r="AF58" s="39" t="e">
        <f>ROUND(MAX(0.6*#REF!^1.299,850)*(1+ tech_2_6*Techs!AC58 + tech_2_9*Techs!AF58 + tech_3_7*Techs!AN58 + Overview!$I$32),0)</f>
        <v>#REF!</v>
      </c>
      <c r="AG58" s="39" t="e">
        <f>IF(ROUND(MAX(IF(#REF!&gt;=300,5+0.003*(#REF!-300)^1.07,5-300/#REF!)+0,3),0)&lt;=6,ROUND(MAX(IF(#REF!&gt;=300,5+0.003*(#REF!-300)^1.07,5-300/#REF!)+0,3),0),ROUND(MAX(IF(#REF!&gt;=300,5+0.003*(#REF!-300)^1.07,5-300/#REF!)+tech_2_9_2*#REF!+tech_3_7_2*#REF!,6),0))</f>
        <v>#REF!</v>
      </c>
      <c r="AH58" s="39" t="e">
        <f>SUM(#REF!)*#REF!</f>
        <v>#REF!</v>
      </c>
      <c r="AI58" s="39" t="e">
        <f>SUM(#REF!)*#REF!</f>
        <v>#REF!</v>
      </c>
      <c r="AJ58" s="3" t="e">
        <f>_xlfn.FLOOR.MATH(MIN(#REF!/#REF!,#REF!/#REF!))</f>
        <v>#REF!</v>
      </c>
    </row>
    <row r="59" spans="1:36" ht="12.5" x14ac:dyDescent="0.25">
      <c r="A59" s="160" t="e">
        <f>#REF!</f>
        <v>#REF!</v>
      </c>
      <c r="B59" s="206" t="e">
        <f>#REF!</f>
        <v>#REF!</v>
      </c>
      <c r="C59" s="207"/>
      <c r="D59" s="208" t="e">
        <f>#REF!</f>
        <v>#REF!</v>
      </c>
      <c r="E59" s="166" t="e">
        <f>#REF!</f>
        <v>#REF!</v>
      </c>
      <c r="F59" s="341" t="e">
        <f>#REF!</f>
        <v>#REF!</v>
      </c>
      <c r="G59" s="345" t="e">
        <f>#REF!</f>
        <v>#REF!</v>
      </c>
      <c r="H59" s="349" t="e">
        <f>#REF!</f>
        <v>#REF!</v>
      </c>
      <c r="I59" s="169" t="e">
        <f>#REF!</f>
        <v>#REF!</v>
      </c>
      <c r="J59" s="170" t="e">
        <f>#REF!</f>
        <v>#REF!</v>
      </c>
      <c r="K59" s="202"/>
      <c r="L59" s="355">
        <v>8</v>
      </c>
      <c r="M59" s="356">
        <f t="shared" si="0"/>
        <v>1035</v>
      </c>
      <c r="N59" s="209" t="e">
        <f>#REF!</f>
        <v>#REF!</v>
      </c>
      <c r="O59" s="209" t="e">
        <f>#REF!</f>
        <v>#REF!</v>
      </c>
      <c r="P59" s="209" t="e">
        <f>#REF!</f>
        <v>#REF!</v>
      </c>
      <c r="Q59" s="160" t="e">
        <f>#REF!</f>
        <v>#REF!</v>
      </c>
      <c r="R59" s="160" t="e">
        <f>#REF!</f>
        <v>#REF!</v>
      </c>
      <c r="S59" s="210"/>
      <c r="T59" s="164"/>
      <c r="U59" s="164"/>
      <c r="V59" s="164"/>
      <c r="W59" s="164"/>
      <c r="X59" s="164"/>
      <c r="Y59" s="164"/>
      <c r="Z59" s="164"/>
      <c r="AA59" s="147" t="e">
        <f>#REF!</f>
        <v>#REF!</v>
      </c>
      <c r="AB59" s="39" t="e">
        <f>#REF!</f>
        <v>#REF!</v>
      </c>
      <c r="AC59" s="39" t="e">
        <f>#REF!</f>
        <v>#REF!</v>
      </c>
      <c r="AD59" s="207"/>
      <c r="AE59" s="3" t="e">
        <f>#REF!-#REF!*20</f>
        <v>#REF!</v>
      </c>
      <c r="AF59" s="39" t="e">
        <f>ROUND(MAX(0.6*#REF!^1.299,850)*(1+ tech_2_6*Techs!AC59 + tech_2_9*Techs!AF59 + tech_3_7*Techs!AN59 + Overview!$I$32),0)</f>
        <v>#REF!</v>
      </c>
      <c r="AG59" s="39" t="e">
        <f>IF(ROUND(MAX(IF(#REF!&gt;=300,5+0.003*(#REF!-300)^1.07,5-300/#REF!)+0,3),0)&lt;=6,ROUND(MAX(IF(#REF!&gt;=300,5+0.003*(#REF!-300)^1.07,5-300/#REF!)+0,3),0),ROUND(MAX(IF(#REF!&gt;=300,5+0.003*(#REF!-300)^1.07,5-300/#REF!)+tech_2_9_2*#REF!+tech_3_7_2*#REF!,6),0))</f>
        <v>#REF!</v>
      </c>
      <c r="AH59" s="39" t="e">
        <f>SUM(#REF!)*#REF!</f>
        <v>#REF!</v>
      </c>
      <c r="AI59" s="39" t="e">
        <f>SUM(#REF!)*#REF!</f>
        <v>#REF!</v>
      </c>
      <c r="AJ59" s="3" t="e">
        <f>_xlfn.FLOOR.MATH(MIN(#REF!/#REF!,#REF!/#REF!))</f>
        <v>#REF!</v>
      </c>
    </row>
    <row r="60" spans="1:36" ht="12.5" x14ac:dyDescent="0.25">
      <c r="A60" s="160" t="e">
        <f>#REF!</f>
        <v>#REF!</v>
      </c>
      <c r="B60" s="206" t="e">
        <f>#REF!</f>
        <v>#REF!</v>
      </c>
      <c r="C60" s="207"/>
      <c r="D60" s="208" t="e">
        <f>#REF!</f>
        <v>#REF!</v>
      </c>
      <c r="E60" s="166" t="e">
        <f>#REF!</f>
        <v>#REF!</v>
      </c>
      <c r="F60" s="341" t="e">
        <f>#REF!</f>
        <v>#REF!</v>
      </c>
      <c r="G60" s="345" t="e">
        <f>#REF!</f>
        <v>#REF!</v>
      </c>
      <c r="H60" s="349" t="e">
        <f>#REF!</f>
        <v>#REF!</v>
      </c>
      <c r="I60" s="169" t="e">
        <f>#REF!</f>
        <v>#REF!</v>
      </c>
      <c r="J60" s="170" t="e">
        <f>#REF!</f>
        <v>#REF!</v>
      </c>
      <c r="K60" s="202"/>
      <c r="L60" s="355">
        <v>9</v>
      </c>
      <c r="M60" s="356">
        <f t="shared" si="0"/>
        <v>1229</v>
      </c>
      <c r="N60" s="209" t="e">
        <f>#REF!</f>
        <v>#REF!</v>
      </c>
      <c r="O60" s="209" t="e">
        <f>#REF!</f>
        <v>#REF!</v>
      </c>
      <c r="P60" s="209" t="e">
        <f>#REF!</f>
        <v>#REF!</v>
      </c>
      <c r="Q60" s="160" t="e">
        <f>#REF!</f>
        <v>#REF!</v>
      </c>
      <c r="R60" s="160" t="e">
        <f>#REF!</f>
        <v>#REF!</v>
      </c>
      <c r="S60" s="210"/>
      <c r="T60" s="164"/>
      <c r="U60" s="164"/>
      <c r="V60" s="164"/>
      <c r="W60" s="164"/>
      <c r="X60" s="164"/>
      <c r="Y60" s="164"/>
      <c r="Z60" s="164"/>
      <c r="AA60" s="147" t="e">
        <f>#REF!</f>
        <v>#REF!</v>
      </c>
      <c r="AB60" s="39" t="e">
        <f>#REF!</f>
        <v>#REF!</v>
      </c>
      <c r="AC60" s="39" t="e">
        <f>#REF!</f>
        <v>#REF!</v>
      </c>
      <c r="AD60" s="207"/>
      <c r="AE60" s="3" t="e">
        <f>#REF!-#REF!*20</f>
        <v>#REF!</v>
      </c>
      <c r="AF60" s="39" t="e">
        <f>ROUND(MAX(0.6*#REF!^1.299,850)*(1+ tech_2_6*Techs!AC60 + tech_2_9*Techs!AF60 + tech_3_7*Techs!AN60 + Overview!$I$32),0)</f>
        <v>#REF!</v>
      </c>
      <c r="AG60" s="39" t="e">
        <f>IF(ROUND(MAX(IF(#REF!&gt;=300,5+0.003*(#REF!-300)^1.07,5-300/#REF!)+0,3),0)&lt;=6,ROUND(MAX(IF(#REF!&gt;=300,5+0.003*(#REF!-300)^1.07,5-300/#REF!)+0,3),0),ROUND(MAX(IF(#REF!&gt;=300,5+0.003*(#REF!-300)^1.07,5-300/#REF!)+tech_2_9_2*#REF!+tech_3_7_2*#REF!,6),0))</f>
        <v>#REF!</v>
      </c>
      <c r="AH60" s="39" t="e">
        <f>SUM(#REF!)*#REF!</f>
        <v>#REF!</v>
      </c>
      <c r="AI60" s="39" t="e">
        <f>SUM(#REF!)*#REF!</f>
        <v>#REF!</v>
      </c>
      <c r="AJ60" s="3" t="e">
        <f>_xlfn.FLOOR.MATH(MIN(#REF!/#REF!,#REF!/#REF!))</f>
        <v>#REF!</v>
      </c>
    </row>
    <row r="61" spans="1:36" ht="12.5" x14ac:dyDescent="0.25">
      <c r="A61" s="160" t="e">
        <f>#REF!</f>
        <v>#REF!</v>
      </c>
      <c r="B61" s="206" t="e">
        <f>#REF!</f>
        <v>#REF!</v>
      </c>
      <c r="C61" s="207"/>
      <c r="D61" s="208" t="e">
        <f>#REF!</f>
        <v>#REF!</v>
      </c>
      <c r="E61" s="166" t="e">
        <f>#REF!</f>
        <v>#REF!</v>
      </c>
      <c r="F61" s="341" t="e">
        <f>#REF!</f>
        <v>#REF!</v>
      </c>
      <c r="G61" s="345" t="e">
        <f>#REF!</f>
        <v>#REF!</v>
      </c>
      <c r="H61" s="349" t="e">
        <f>#REF!</f>
        <v>#REF!</v>
      </c>
      <c r="I61" s="169" t="e">
        <f>#REF!</f>
        <v>#REF!</v>
      </c>
      <c r="J61" s="170" t="e">
        <f>#REF!</f>
        <v>#REF!</v>
      </c>
      <c r="K61" s="202"/>
      <c r="L61" s="355">
        <v>10</v>
      </c>
      <c r="M61" s="356">
        <f t="shared" si="0"/>
        <v>1421</v>
      </c>
      <c r="N61" s="209" t="e">
        <f>#REF!</f>
        <v>#REF!</v>
      </c>
      <c r="O61" s="209" t="e">
        <f>#REF!</f>
        <v>#REF!</v>
      </c>
      <c r="P61" s="209" t="e">
        <f>#REF!</f>
        <v>#REF!</v>
      </c>
      <c r="Q61" s="160" t="e">
        <f>#REF!</f>
        <v>#REF!</v>
      </c>
      <c r="R61" s="160" t="e">
        <f>#REF!</f>
        <v>#REF!</v>
      </c>
      <c r="S61" s="210"/>
      <c r="T61" s="164"/>
      <c r="U61" s="164"/>
      <c r="V61" s="164"/>
      <c r="W61" s="164"/>
      <c r="X61" s="164"/>
      <c r="Y61" s="164"/>
      <c r="Z61" s="164"/>
      <c r="AA61" s="147" t="e">
        <f>#REF!</f>
        <v>#REF!</v>
      </c>
      <c r="AB61" s="39" t="e">
        <f>#REF!</f>
        <v>#REF!</v>
      </c>
      <c r="AC61" s="39" t="e">
        <f>#REF!</f>
        <v>#REF!</v>
      </c>
      <c r="AD61" s="207"/>
      <c r="AE61" s="3" t="e">
        <f>#REF!-#REF!*20</f>
        <v>#REF!</v>
      </c>
      <c r="AF61" s="39" t="e">
        <f>ROUND(MAX(0.6*#REF!^1.299,850)*(1+ tech_2_6*Techs!AC61 + tech_2_9*Techs!AF61 + tech_3_7*Techs!AN61 + Overview!$I$32),0)</f>
        <v>#REF!</v>
      </c>
      <c r="AG61" s="39" t="e">
        <f>IF(ROUND(MAX(IF(#REF!&gt;=300,5+0.003*(#REF!-300)^1.07,5-300/#REF!)+0,3),0)&lt;=6,ROUND(MAX(IF(#REF!&gt;=300,5+0.003*(#REF!-300)^1.07,5-300/#REF!)+0,3),0),ROUND(MAX(IF(#REF!&gt;=300,5+0.003*(#REF!-300)^1.07,5-300/#REF!)+tech_2_9_2*#REF!+tech_3_7_2*#REF!,6),0))</f>
        <v>#REF!</v>
      </c>
      <c r="AH61" s="39" t="e">
        <f>SUM(#REF!)*#REF!</f>
        <v>#REF!</v>
      </c>
      <c r="AI61" s="39" t="e">
        <f>SUM(#REF!)*#REF!</f>
        <v>#REF!</v>
      </c>
      <c r="AJ61" s="3" t="e">
        <f>_xlfn.FLOOR.MATH(MIN(#REF!/#REF!,#REF!/#REF!))</f>
        <v>#REF!</v>
      </c>
    </row>
    <row r="62" spans="1:36" ht="12.5" x14ac:dyDescent="0.25">
      <c r="A62" s="160" t="e">
        <f>#REF!</f>
        <v>#REF!</v>
      </c>
      <c r="B62" s="206" t="e">
        <f>#REF!</f>
        <v>#REF!</v>
      </c>
      <c r="C62" s="207"/>
      <c r="D62" s="208" t="e">
        <f>#REF!</f>
        <v>#REF!</v>
      </c>
      <c r="E62" s="166" t="e">
        <f>#REF!</f>
        <v>#REF!</v>
      </c>
      <c r="F62" s="341" t="e">
        <f>#REF!</f>
        <v>#REF!</v>
      </c>
      <c r="G62" s="345" t="e">
        <f>#REF!</f>
        <v>#REF!</v>
      </c>
      <c r="H62" s="349" t="e">
        <f>#REF!</f>
        <v>#REF!</v>
      </c>
      <c r="I62" s="169" t="e">
        <f>#REF!</f>
        <v>#REF!</v>
      </c>
      <c r="J62" s="170" t="e">
        <f>#REF!</f>
        <v>#REF!</v>
      </c>
      <c r="K62" s="202"/>
      <c r="L62" s="355">
        <v>11</v>
      </c>
      <c r="M62" s="356">
        <f t="shared" si="0"/>
        <v>1610</v>
      </c>
      <c r="N62" s="209" t="e">
        <f>#REF!</f>
        <v>#REF!</v>
      </c>
      <c r="O62" s="209" t="e">
        <f>#REF!</f>
        <v>#REF!</v>
      </c>
      <c r="P62" s="209" t="e">
        <f>#REF!</f>
        <v>#REF!</v>
      </c>
      <c r="Q62" s="160" t="e">
        <f>#REF!</f>
        <v>#REF!</v>
      </c>
      <c r="R62" s="160" t="e">
        <f>#REF!</f>
        <v>#REF!</v>
      </c>
      <c r="S62" s="210"/>
      <c r="T62" s="164"/>
      <c r="U62" s="164"/>
      <c r="V62" s="164"/>
      <c r="W62" s="164"/>
      <c r="X62" s="164"/>
      <c r="Y62" s="164"/>
      <c r="Z62" s="164"/>
      <c r="AA62" s="147" t="e">
        <f>#REF!</f>
        <v>#REF!</v>
      </c>
      <c r="AB62" s="39" t="e">
        <f>#REF!</f>
        <v>#REF!</v>
      </c>
      <c r="AC62" s="39" t="e">
        <f>#REF!</f>
        <v>#REF!</v>
      </c>
      <c r="AD62" s="207"/>
      <c r="AE62" s="3" t="e">
        <f>#REF!-#REF!*20</f>
        <v>#REF!</v>
      </c>
      <c r="AF62" s="39" t="e">
        <f>ROUND(MAX(0.6*#REF!^1.299,850)*(1+ tech_2_6*Techs!AC62 + tech_2_9*Techs!AF62 + tech_3_7*Techs!AN62 + Overview!$I$32),0)</f>
        <v>#REF!</v>
      </c>
      <c r="AG62" s="39" t="e">
        <f>IF(ROUND(MAX(IF(#REF!&gt;=300,5+0.003*(#REF!-300)^1.07,5-300/#REF!)+0,3),0)&lt;=6,ROUND(MAX(IF(#REF!&gt;=300,5+0.003*(#REF!-300)^1.07,5-300/#REF!)+0,3),0),ROUND(MAX(IF(#REF!&gt;=300,5+0.003*(#REF!-300)^1.07,5-300/#REF!)+tech_2_9_2*#REF!+tech_3_7_2*#REF!,6),0))</f>
        <v>#REF!</v>
      </c>
      <c r="AH62" s="39" t="e">
        <f>SUM(#REF!)*#REF!</f>
        <v>#REF!</v>
      </c>
      <c r="AI62" s="39" t="e">
        <f>SUM(#REF!)*#REF!</f>
        <v>#REF!</v>
      </c>
      <c r="AJ62" s="3" t="e">
        <f>_xlfn.FLOOR.MATH(MIN(#REF!/#REF!,#REF!/#REF!))</f>
        <v>#REF!</v>
      </c>
    </row>
    <row r="63" spans="1:36" ht="12.5" x14ac:dyDescent="0.25">
      <c r="A63" s="160" t="e">
        <f>#REF!</f>
        <v>#REF!</v>
      </c>
      <c r="B63" s="206" t="e">
        <f>#REF!</f>
        <v>#REF!</v>
      </c>
      <c r="C63" s="207"/>
      <c r="D63" s="208" t="e">
        <f>#REF!</f>
        <v>#REF!</v>
      </c>
      <c r="E63" s="166" t="e">
        <f>#REF!</f>
        <v>#REF!</v>
      </c>
      <c r="F63" s="341" t="e">
        <f>#REF!</f>
        <v>#REF!</v>
      </c>
      <c r="G63" s="345" t="e">
        <f>#REF!</f>
        <v>#REF!</v>
      </c>
      <c r="H63" s="349" t="e">
        <f>#REF!</f>
        <v>#REF!</v>
      </c>
      <c r="I63" s="169" t="e">
        <f>#REF!</f>
        <v>#REF!</v>
      </c>
      <c r="J63" s="170" t="e">
        <f>#REF!</f>
        <v>#REF!</v>
      </c>
      <c r="K63" s="202"/>
      <c r="L63" s="355">
        <v>12</v>
      </c>
      <c r="M63" s="356">
        <f t="shared" si="0"/>
        <v>1798</v>
      </c>
      <c r="N63" s="209" t="e">
        <f>#REF!</f>
        <v>#REF!</v>
      </c>
      <c r="O63" s="209" t="e">
        <f>#REF!</f>
        <v>#REF!</v>
      </c>
      <c r="P63" s="209" t="e">
        <f>#REF!</f>
        <v>#REF!</v>
      </c>
      <c r="Q63" s="160" t="e">
        <f>#REF!</f>
        <v>#REF!</v>
      </c>
      <c r="R63" s="160" t="e">
        <f>#REF!</f>
        <v>#REF!</v>
      </c>
      <c r="S63" s="210"/>
      <c r="T63" s="164"/>
      <c r="U63" s="164"/>
      <c r="V63" s="164"/>
      <c r="W63" s="164"/>
      <c r="X63" s="164"/>
      <c r="Y63" s="164"/>
      <c r="Z63" s="164"/>
      <c r="AA63" s="147" t="e">
        <f>#REF!</f>
        <v>#REF!</v>
      </c>
      <c r="AB63" s="39" t="e">
        <f>#REF!</f>
        <v>#REF!</v>
      </c>
      <c r="AC63" s="39" t="e">
        <f>#REF!</f>
        <v>#REF!</v>
      </c>
      <c r="AD63" s="207"/>
      <c r="AE63" s="3" t="e">
        <f>#REF!-#REF!*20</f>
        <v>#REF!</v>
      </c>
      <c r="AF63" s="39" t="e">
        <f>ROUND(MAX(0.6*#REF!^1.299,850)*(1+ tech_2_6*Techs!AC63 + tech_2_9*Techs!AF63 + tech_3_7*Techs!AN63 + Overview!$I$32),0)</f>
        <v>#REF!</v>
      </c>
      <c r="AG63" s="39" t="e">
        <f>IF(ROUND(MAX(IF(#REF!&gt;=300,5+0.003*(#REF!-300)^1.07,5-300/#REF!)+0,3),0)&lt;=6,ROUND(MAX(IF(#REF!&gt;=300,5+0.003*(#REF!-300)^1.07,5-300/#REF!)+0,3),0),ROUND(MAX(IF(#REF!&gt;=300,5+0.003*(#REF!-300)^1.07,5-300/#REF!)+tech_2_9_2*#REF!+tech_3_7_2*#REF!,6),0))</f>
        <v>#REF!</v>
      </c>
      <c r="AH63" s="39" t="e">
        <f>SUM(#REF!)*#REF!</f>
        <v>#REF!</v>
      </c>
      <c r="AI63" s="39" t="e">
        <f>SUM(#REF!)*#REF!</f>
        <v>#REF!</v>
      </c>
      <c r="AJ63" s="3" t="e">
        <f>_xlfn.FLOOR.MATH(MIN(#REF!/#REF!,#REF!/#REF!))</f>
        <v>#REF!</v>
      </c>
    </row>
    <row r="64" spans="1:36" ht="12.5" x14ac:dyDescent="0.25">
      <c r="A64" s="160" t="e">
        <f>#REF!</f>
        <v>#REF!</v>
      </c>
      <c r="B64" s="206" t="e">
        <f>#REF!</f>
        <v>#REF!</v>
      </c>
      <c r="C64" s="207"/>
      <c r="D64" s="208" t="e">
        <f>#REF!</f>
        <v>#REF!</v>
      </c>
      <c r="E64" s="166" t="e">
        <f>#REF!</f>
        <v>#REF!</v>
      </c>
      <c r="F64" s="341" t="e">
        <f>#REF!</f>
        <v>#REF!</v>
      </c>
      <c r="G64" s="345" t="e">
        <f>#REF!</f>
        <v>#REF!</v>
      </c>
      <c r="H64" s="349" t="e">
        <f>#REF!</f>
        <v>#REF!</v>
      </c>
      <c r="I64" s="169" t="e">
        <f>#REF!</f>
        <v>#REF!</v>
      </c>
      <c r="J64" s="170" t="e">
        <f>#REF!</f>
        <v>#REF!</v>
      </c>
      <c r="K64" s="202"/>
      <c r="L64" s="355">
        <v>13</v>
      </c>
      <c r="M64" s="356">
        <f t="shared" si="0"/>
        <v>1984</v>
      </c>
      <c r="N64" s="209" t="e">
        <f>#REF!</f>
        <v>#REF!</v>
      </c>
      <c r="O64" s="209" t="e">
        <f>#REF!</f>
        <v>#REF!</v>
      </c>
      <c r="P64" s="209" t="e">
        <f>#REF!</f>
        <v>#REF!</v>
      </c>
      <c r="Q64" s="160" t="e">
        <f>#REF!</f>
        <v>#REF!</v>
      </c>
      <c r="R64" s="160" t="e">
        <f>#REF!</f>
        <v>#REF!</v>
      </c>
      <c r="S64" s="210"/>
      <c r="T64" s="164"/>
      <c r="U64" s="164"/>
      <c r="V64" s="164"/>
      <c r="W64" s="164"/>
      <c r="X64" s="164"/>
      <c r="Y64" s="164"/>
      <c r="Z64" s="164"/>
      <c r="AA64" s="147" t="e">
        <f>#REF!</f>
        <v>#REF!</v>
      </c>
      <c r="AB64" s="39" t="e">
        <f>#REF!</f>
        <v>#REF!</v>
      </c>
      <c r="AC64" s="39" t="e">
        <f>#REF!</f>
        <v>#REF!</v>
      </c>
      <c r="AD64" s="207"/>
      <c r="AE64" s="3" t="e">
        <f>#REF!-#REF!*20</f>
        <v>#REF!</v>
      </c>
      <c r="AF64" s="39" t="e">
        <f>ROUND(MAX(0.6*#REF!^1.299,850)*(1+ tech_2_6*Techs!AC64 + tech_2_9*Techs!AF64 + tech_3_7*Techs!AN64 + Overview!$I$32),0)</f>
        <v>#REF!</v>
      </c>
      <c r="AG64" s="39" t="e">
        <f>IF(ROUND(MAX(IF(#REF!&gt;=300,5+0.003*(#REF!-300)^1.07,5-300/#REF!)+0,3),0)&lt;=6,ROUND(MAX(IF(#REF!&gt;=300,5+0.003*(#REF!-300)^1.07,5-300/#REF!)+0,3),0),ROUND(MAX(IF(#REF!&gt;=300,5+0.003*(#REF!-300)^1.07,5-300/#REF!)+tech_2_9_2*#REF!+tech_3_7_2*#REF!,6),0))</f>
        <v>#REF!</v>
      </c>
      <c r="AH64" s="39" t="e">
        <f>SUM(#REF!)*#REF!</f>
        <v>#REF!</v>
      </c>
      <c r="AI64" s="39" t="e">
        <f>SUM(#REF!)*#REF!</f>
        <v>#REF!</v>
      </c>
      <c r="AJ64" s="3" t="e">
        <f>_xlfn.FLOOR.MATH(MIN(#REF!/#REF!,#REF!/#REF!))</f>
        <v>#REF!</v>
      </c>
    </row>
    <row r="65" spans="1:37" ht="12.5" x14ac:dyDescent="0.25">
      <c r="A65" s="160" t="e">
        <f>#REF!</f>
        <v>#REF!</v>
      </c>
      <c r="B65" s="206" t="e">
        <f>#REF!</f>
        <v>#REF!</v>
      </c>
      <c r="C65" s="207"/>
      <c r="D65" s="208" t="e">
        <f>#REF!</f>
        <v>#REF!</v>
      </c>
      <c r="E65" s="166" t="e">
        <f>#REF!</f>
        <v>#REF!</v>
      </c>
      <c r="F65" s="341" t="e">
        <f>#REF!</f>
        <v>#REF!</v>
      </c>
      <c r="G65" s="345" t="e">
        <f>#REF!</f>
        <v>#REF!</v>
      </c>
      <c r="H65" s="349" t="e">
        <f>#REF!</f>
        <v>#REF!</v>
      </c>
      <c r="I65" s="169" t="e">
        <f>#REF!</f>
        <v>#REF!</v>
      </c>
      <c r="J65" s="170" t="e">
        <f>#REF!</f>
        <v>#REF!</v>
      </c>
      <c r="K65" s="202"/>
      <c r="L65" s="355">
        <v>14</v>
      </c>
      <c r="M65" s="356">
        <f t="shared" si="0"/>
        <v>2168</v>
      </c>
      <c r="N65" s="209" t="e">
        <f>#REF!</f>
        <v>#REF!</v>
      </c>
      <c r="O65" s="209" t="e">
        <f>#REF!</f>
        <v>#REF!</v>
      </c>
      <c r="P65" s="209" t="e">
        <f>#REF!</f>
        <v>#REF!</v>
      </c>
      <c r="Q65" s="160" t="e">
        <f>#REF!</f>
        <v>#REF!</v>
      </c>
      <c r="R65" s="160" t="e">
        <f>#REF!</f>
        <v>#REF!</v>
      </c>
      <c r="S65" s="210"/>
      <c r="T65" s="164"/>
      <c r="U65" s="164"/>
      <c r="V65" s="164"/>
      <c r="W65" s="164"/>
      <c r="X65" s="164"/>
      <c r="Y65" s="164"/>
      <c r="Z65" s="164"/>
      <c r="AA65" s="147" t="e">
        <f>#REF!</f>
        <v>#REF!</v>
      </c>
      <c r="AB65" s="39" t="e">
        <f>#REF!</f>
        <v>#REF!</v>
      </c>
      <c r="AC65" s="39" t="e">
        <f>#REF!</f>
        <v>#REF!</v>
      </c>
      <c r="AD65" s="207"/>
      <c r="AE65" s="3" t="e">
        <f>#REF!-#REF!*20</f>
        <v>#REF!</v>
      </c>
      <c r="AF65" s="39" t="e">
        <f>ROUND(MAX(0.6*#REF!^1.299,850)*(1+ tech_2_6*Techs!AC65 + tech_2_9*Techs!AF65 + tech_3_7*Techs!AN65 + Overview!$I$32),0)</f>
        <v>#REF!</v>
      </c>
      <c r="AG65" s="39" t="e">
        <f>IF(ROUND(MAX(IF(#REF!&gt;=300,5+0.003*(#REF!-300)^1.07,5-300/#REF!)+0,3),0)&lt;=6,ROUND(MAX(IF(#REF!&gt;=300,5+0.003*(#REF!-300)^1.07,5-300/#REF!)+0,3),0),ROUND(MAX(IF(#REF!&gt;=300,5+0.003*(#REF!-300)^1.07,5-300/#REF!)+tech_2_9_2*#REF!+tech_3_7_2*#REF!,6),0))</f>
        <v>#REF!</v>
      </c>
      <c r="AH65" s="39" t="e">
        <f>SUM(#REF!)*#REF!</f>
        <v>#REF!</v>
      </c>
      <c r="AI65" s="39" t="e">
        <f>SUM(#REF!)*#REF!</f>
        <v>#REF!</v>
      </c>
      <c r="AJ65" s="3" t="e">
        <f>_xlfn.FLOOR.MATH(MIN(#REF!/#REF!,#REF!/#REF!))</f>
        <v>#REF!</v>
      </c>
    </row>
    <row r="66" spans="1:37" ht="12.5" x14ac:dyDescent="0.25">
      <c r="A66" s="160" t="e">
        <f>#REF!</f>
        <v>#REF!</v>
      </c>
      <c r="B66" s="206" t="e">
        <f>#REF!</f>
        <v>#REF!</v>
      </c>
      <c r="C66" s="207"/>
      <c r="D66" s="208" t="e">
        <f>#REF!</f>
        <v>#REF!</v>
      </c>
      <c r="E66" s="166" t="e">
        <f>#REF!</f>
        <v>#REF!</v>
      </c>
      <c r="F66" s="341" t="e">
        <f>#REF!</f>
        <v>#REF!</v>
      </c>
      <c r="G66" s="345" t="e">
        <f>#REF!</f>
        <v>#REF!</v>
      </c>
      <c r="H66" s="349" t="e">
        <f>#REF!</f>
        <v>#REF!</v>
      </c>
      <c r="I66" s="169" t="e">
        <f>#REF!</f>
        <v>#REF!</v>
      </c>
      <c r="J66" s="170" t="e">
        <f>#REF!</f>
        <v>#REF!</v>
      </c>
      <c r="K66" s="202"/>
      <c r="L66" s="355">
        <v>15</v>
      </c>
      <c r="M66" s="356">
        <f t="shared" si="0"/>
        <v>2352</v>
      </c>
      <c r="N66" s="209" t="e">
        <f>#REF!</f>
        <v>#REF!</v>
      </c>
      <c r="O66" s="209" t="e">
        <f>#REF!</f>
        <v>#REF!</v>
      </c>
      <c r="P66" s="209" t="e">
        <f>#REF!</f>
        <v>#REF!</v>
      </c>
      <c r="Q66" s="160" t="e">
        <f>#REF!</f>
        <v>#REF!</v>
      </c>
      <c r="R66" s="160" t="e">
        <f>#REF!</f>
        <v>#REF!</v>
      </c>
      <c r="S66" s="210"/>
      <c r="T66" s="164"/>
      <c r="U66" s="164"/>
      <c r="V66" s="164"/>
      <c r="W66" s="164"/>
      <c r="X66" s="164"/>
      <c r="Y66" s="164"/>
      <c r="Z66" s="164"/>
      <c r="AA66" s="147" t="e">
        <f>#REF!</f>
        <v>#REF!</v>
      </c>
      <c r="AB66" s="39" t="e">
        <f>#REF!</f>
        <v>#REF!</v>
      </c>
      <c r="AC66" s="39" t="e">
        <f>#REF!</f>
        <v>#REF!</v>
      </c>
      <c r="AD66" s="207"/>
      <c r="AE66" s="3" t="e">
        <f>#REF!-#REF!*20</f>
        <v>#REF!</v>
      </c>
      <c r="AF66" s="39" t="e">
        <f>ROUND(MAX(0.6*#REF!^1.299,850)*(1+ tech_2_6*Techs!AC66 + tech_2_9*Techs!AF66 + tech_3_7*Techs!AN66 + Overview!$I$32),0)</f>
        <v>#REF!</v>
      </c>
      <c r="AG66" s="39" t="e">
        <f>IF(ROUND(MAX(IF(#REF!&gt;=300,5+0.003*(#REF!-300)^1.07,5-300/#REF!)+0,3),0)&lt;=6,ROUND(MAX(IF(#REF!&gt;=300,5+0.003*(#REF!-300)^1.07,5-300/#REF!)+0,3),0),ROUND(MAX(IF(#REF!&gt;=300,5+0.003*(#REF!-300)^1.07,5-300/#REF!)+tech_2_9_2*#REF!+tech_3_7_2*#REF!,6),0))</f>
        <v>#REF!</v>
      </c>
      <c r="AH66" s="39" t="e">
        <f>SUM(#REF!)*#REF!</f>
        <v>#REF!</v>
      </c>
      <c r="AI66" s="39" t="e">
        <f>SUM(#REF!)*#REF!</f>
        <v>#REF!</v>
      </c>
      <c r="AJ66" s="3" t="e">
        <f>_xlfn.FLOOR.MATH(MIN(#REF!/#REF!,#REF!/#REF!))</f>
        <v>#REF!</v>
      </c>
    </row>
    <row r="67" spans="1:37" ht="12.5" x14ac:dyDescent="0.25">
      <c r="A67" s="160" t="e">
        <f>#REF!</f>
        <v>#REF!</v>
      </c>
      <c r="B67" s="206" t="e">
        <f>#REF!</f>
        <v>#REF!</v>
      </c>
      <c r="C67" s="207"/>
      <c r="D67" s="208" t="e">
        <f>#REF!</f>
        <v>#REF!</v>
      </c>
      <c r="E67" s="166" t="e">
        <f>#REF!</f>
        <v>#REF!</v>
      </c>
      <c r="F67" s="341" t="e">
        <f>#REF!</f>
        <v>#REF!</v>
      </c>
      <c r="G67" s="345" t="e">
        <f>#REF!</f>
        <v>#REF!</v>
      </c>
      <c r="H67" s="349" t="e">
        <f>#REF!</f>
        <v>#REF!</v>
      </c>
      <c r="I67" s="169" t="e">
        <f>#REF!</f>
        <v>#REF!</v>
      </c>
      <c r="J67" s="170" t="e">
        <f>#REF!</f>
        <v>#REF!</v>
      </c>
      <c r="K67" s="202"/>
      <c r="L67" s="355">
        <v>16</v>
      </c>
      <c r="M67" s="356">
        <f t="shared" si="0"/>
        <v>2534</v>
      </c>
      <c r="N67" s="209" t="e">
        <f>#REF!</f>
        <v>#REF!</v>
      </c>
      <c r="O67" s="209" t="e">
        <f>#REF!</f>
        <v>#REF!</v>
      </c>
      <c r="P67" s="209" t="e">
        <f>#REF!</f>
        <v>#REF!</v>
      </c>
      <c r="Q67" s="160" t="e">
        <f>#REF!</f>
        <v>#REF!</v>
      </c>
      <c r="R67" s="160" t="e">
        <f>#REF!</f>
        <v>#REF!</v>
      </c>
      <c r="S67" s="210"/>
      <c r="T67" s="164"/>
      <c r="U67" s="164"/>
      <c r="V67" s="164"/>
      <c r="W67" s="164"/>
      <c r="X67" s="164"/>
      <c r="Y67" s="164"/>
      <c r="Z67" s="164"/>
      <c r="AA67" s="147" t="e">
        <f>#REF!</f>
        <v>#REF!</v>
      </c>
      <c r="AB67" s="39" t="e">
        <f>#REF!</f>
        <v>#REF!</v>
      </c>
      <c r="AC67" s="39" t="e">
        <f>#REF!</f>
        <v>#REF!</v>
      </c>
      <c r="AD67" s="207"/>
      <c r="AE67" s="3" t="e">
        <f>#REF!-#REF!*20</f>
        <v>#REF!</v>
      </c>
      <c r="AF67" s="39" t="e">
        <f>ROUND(MAX(0.6*#REF!^1.299,850)*(1+ tech_2_6*Techs!AC67 + tech_2_9*Techs!AF67 + tech_3_7*Techs!AN67 + Overview!$I$32),0)</f>
        <v>#REF!</v>
      </c>
      <c r="AG67" s="39" t="e">
        <f>IF(ROUND(MAX(IF(#REF!&gt;=300,5+0.003*(#REF!-300)^1.07,5-300/#REF!)+0,3),0)&lt;=6,ROUND(MAX(IF(#REF!&gt;=300,5+0.003*(#REF!-300)^1.07,5-300/#REF!)+0,3),0),ROUND(MAX(IF(#REF!&gt;=300,5+0.003*(#REF!-300)^1.07,5-300/#REF!)+tech_2_9_2*#REF!+tech_3_7_2*#REF!,6),0))</f>
        <v>#REF!</v>
      </c>
      <c r="AH67" s="39" t="e">
        <f>SUM(#REF!)*#REF!</f>
        <v>#REF!</v>
      </c>
      <c r="AI67" s="39" t="e">
        <f>SUM(#REF!)*#REF!</f>
        <v>#REF!</v>
      </c>
      <c r="AJ67" s="3" t="e">
        <f>_xlfn.FLOOR.MATH(MIN(#REF!/#REF!,#REF!/#REF!))</f>
        <v>#REF!</v>
      </c>
    </row>
    <row r="68" spans="1:37" ht="12.5" x14ac:dyDescent="0.25">
      <c r="A68" s="160" t="e">
        <f>#REF!</f>
        <v>#REF!</v>
      </c>
      <c r="B68" s="206" t="e">
        <f>#REF!</f>
        <v>#REF!</v>
      </c>
      <c r="C68" s="207"/>
      <c r="D68" s="208" t="e">
        <f>#REF!</f>
        <v>#REF!</v>
      </c>
      <c r="E68" s="166" t="e">
        <f>#REF!</f>
        <v>#REF!</v>
      </c>
      <c r="F68" s="341" t="e">
        <f>#REF!</f>
        <v>#REF!</v>
      </c>
      <c r="G68" s="345" t="e">
        <f>#REF!</f>
        <v>#REF!</v>
      </c>
      <c r="H68" s="349" t="e">
        <f>#REF!</f>
        <v>#REF!</v>
      </c>
      <c r="I68" s="169" t="e">
        <f>#REF!</f>
        <v>#REF!</v>
      </c>
      <c r="J68" s="170" t="e">
        <f>#REF!</f>
        <v>#REF!</v>
      </c>
      <c r="K68" s="202"/>
      <c r="L68" s="355">
        <v>17</v>
      </c>
      <c r="M68" s="356">
        <f t="shared" si="0"/>
        <v>2715</v>
      </c>
      <c r="N68" s="209" t="e">
        <f>#REF!</f>
        <v>#REF!</v>
      </c>
      <c r="O68" s="209" t="e">
        <f>#REF!</f>
        <v>#REF!</v>
      </c>
      <c r="P68" s="209" t="e">
        <f>#REF!</f>
        <v>#REF!</v>
      </c>
      <c r="Q68" s="160" t="e">
        <f>#REF!</f>
        <v>#REF!</v>
      </c>
      <c r="R68" s="160" t="e">
        <f>#REF!</f>
        <v>#REF!</v>
      </c>
      <c r="S68" s="210"/>
      <c r="T68" s="164"/>
      <c r="U68" s="164"/>
      <c r="V68" s="164"/>
      <c r="W68" s="164"/>
      <c r="X68" s="164"/>
      <c r="Y68" s="164"/>
      <c r="Z68" s="164"/>
      <c r="AA68" s="147" t="e">
        <f>#REF!</f>
        <v>#REF!</v>
      </c>
      <c r="AB68" s="39" t="e">
        <f>#REF!</f>
        <v>#REF!</v>
      </c>
      <c r="AC68" s="39" t="e">
        <f>#REF!</f>
        <v>#REF!</v>
      </c>
      <c r="AD68" s="207"/>
      <c r="AE68" s="3" t="e">
        <f>#REF!-#REF!*20</f>
        <v>#REF!</v>
      </c>
      <c r="AF68" s="39" t="e">
        <f>ROUND(MAX(0.6*#REF!^1.299,850)*(1+ tech_2_6*Techs!AC68 + tech_2_9*Techs!AF68 + tech_3_7*Techs!AN68 + Overview!$I$32),0)</f>
        <v>#REF!</v>
      </c>
      <c r="AG68" s="39" t="e">
        <f>IF(ROUND(MAX(IF(#REF!&gt;=300,5+0.003*(#REF!-300)^1.07,5-300/#REF!)+0,3),0)&lt;=6,ROUND(MAX(IF(#REF!&gt;=300,5+0.003*(#REF!-300)^1.07,5-300/#REF!)+0,3),0),ROUND(MAX(IF(#REF!&gt;=300,5+0.003*(#REF!-300)^1.07,5-300/#REF!)+tech_2_9_2*#REF!+tech_3_7_2*#REF!,6),0))</f>
        <v>#REF!</v>
      </c>
      <c r="AH68" s="39" t="e">
        <f>SUM(#REF!)*#REF!</f>
        <v>#REF!</v>
      </c>
      <c r="AI68" s="39" t="e">
        <f>SUM(#REF!)*#REF!</f>
        <v>#REF!</v>
      </c>
      <c r="AJ68" s="3" t="e">
        <f>_xlfn.FLOOR.MATH(MIN(#REF!/#REF!,#REF!/#REF!))</f>
        <v>#REF!</v>
      </c>
    </row>
    <row r="69" spans="1:37" ht="12.5" x14ac:dyDescent="0.25">
      <c r="A69" s="160" t="e">
        <f>#REF!</f>
        <v>#REF!</v>
      </c>
      <c r="B69" s="206" t="e">
        <f>#REF!</f>
        <v>#REF!</v>
      </c>
      <c r="C69" s="207"/>
      <c r="D69" s="208" t="e">
        <f>#REF!</f>
        <v>#REF!</v>
      </c>
      <c r="E69" s="166" t="e">
        <f>#REF!</f>
        <v>#REF!</v>
      </c>
      <c r="F69" s="341" t="e">
        <f>#REF!</f>
        <v>#REF!</v>
      </c>
      <c r="G69" s="345" t="e">
        <f>#REF!</f>
        <v>#REF!</v>
      </c>
      <c r="H69" s="349" t="e">
        <f>#REF!</f>
        <v>#REF!</v>
      </c>
      <c r="I69" s="169" t="e">
        <f>#REF!</f>
        <v>#REF!</v>
      </c>
      <c r="J69" s="170" t="e">
        <f>#REF!</f>
        <v>#REF!</v>
      </c>
      <c r="K69" s="202"/>
      <c r="L69" s="357">
        <v>18</v>
      </c>
      <c r="M69" s="358">
        <f t="shared" si="0"/>
        <v>2895</v>
      </c>
      <c r="N69" s="209" t="e">
        <f>#REF!</f>
        <v>#REF!</v>
      </c>
      <c r="O69" s="209" t="e">
        <f>#REF!</f>
        <v>#REF!</v>
      </c>
      <c r="P69" s="209" t="e">
        <f>#REF!</f>
        <v>#REF!</v>
      </c>
      <c r="Q69" s="160" t="e">
        <f>#REF!</f>
        <v>#REF!</v>
      </c>
      <c r="R69" s="160" t="e">
        <f>#REF!</f>
        <v>#REF!</v>
      </c>
      <c r="S69" s="210"/>
      <c r="T69" s="164"/>
      <c r="U69" s="164"/>
      <c r="V69" s="164"/>
      <c r="W69" s="164"/>
      <c r="X69" s="164"/>
      <c r="Y69" s="164"/>
      <c r="Z69" s="164"/>
      <c r="AA69" s="147" t="e">
        <f>#REF!</f>
        <v>#REF!</v>
      </c>
      <c r="AB69" s="39" t="e">
        <f>#REF!</f>
        <v>#REF!</v>
      </c>
      <c r="AC69" s="39" t="e">
        <f>#REF!</f>
        <v>#REF!</v>
      </c>
      <c r="AD69" s="207"/>
      <c r="AE69" s="3" t="e">
        <f>#REF!-#REF!*20</f>
        <v>#REF!</v>
      </c>
      <c r="AF69" s="39" t="e">
        <f>ROUND(MAX(0.6*#REF!^1.299,850)*(1+ tech_2_6*Techs!AC69 + tech_2_9*Techs!AF69 + tech_3_7*Techs!AN69 + Overview!$I$32),0)</f>
        <v>#REF!</v>
      </c>
      <c r="AG69" s="39" t="e">
        <f>IF(ROUND(MAX(IF(#REF!&gt;=300,5+0.003*(#REF!-300)^1.07,5-300/#REF!)+0,3),0)&lt;=6,ROUND(MAX(IF(#REF!&gt;=300,5+0.003*(#REF!-300)^1.07,5-300/#REF!)+0,3),0),ROUND(MAX(IF(#REF!&gt;=300,5+0.003*(#REF!-300)^1.07,5-300/#REF!)+tech_2_9_2*#REF!+tech_3_7_2*#REF!,6),0))</f>
        <v>#REF!</v>
      </c>
      <c r="AH69" s="39" t="e">
        <f>SUM(#REF!)*#REF!</f>
        <v>#REF!</v>
      </c>
      <c r="AI69" s="39" t="e">
        <f>SUM(#REF!)*#REF!</f>
        <v>#REF!</v>
      </c>
      <c r="AJ69" s="3" t="e">
        <f>_xlfn.FLOOR.MATH(MIN(#REF!/#REF!,#REF!/#REF!))</f>
        <v>#REF!</v>
      </c>
    </row>
    <row r="70" spans="1:37" ht="12.5" x14ac:dyDescent="0.25">
      <c r="A70" s="160" t="e">
        <f>#REF!</f>
        <v>#REF!</v>
      </c>
      <c r="B70" s="206" t="e">
        <f>#REF!</f>
        <v>#REF!</v>
      </c>
      <c r="C70" s="207"/>
      <c r="D70" s="208" t="e">
        <f>#REF!</f>
        <v>#REF!</v>
      </c>
      <c r="E70" s="166" t="e">
        <f>#REF!</f>
        <v>#REF!</v>
      </c>
      <c r="F70" s="341" t="e">
        <f>#REF!</f>
        <v>#REF!</v>
      </c>
      <c r="G70" s="345" t="e">
        <f>#REF!</f>
        <v>#REF!</v>
      </c>
      <c r="H70" s="349" t="e">
        <f>#REF!</f>
        <v>#REF!</v>
      </c>
      <c r="I70" s="169" t="e">
        <f>#REF!</f>
        <v>#REF!</v>
      </c>
      <c r="J70" s="170" t="e">
        <f>#REF!</f>
        <v>#REF!</v>
      </c>
      <c r="K70" s="202"/>
      <c r="L70" s="202"/>
      <c r="M70" s="202"/>
      <c r="N70" s="209" t="e">
        <f>#REF!</f>
        <v>#REF!</v>
      </c>
      <c r="O70" s="209" t="e">
        <f>#REF!</f>
        <v>#REF!</v>
      </c>
      <c r="P70" s="209" t="e">
        <f>#REF!</f>
        <v>#REF!</v>
      </c>
      <c r="Q70" s="160" t="e">
        <f>#REF!</f>
        <v>#REF!</v>
      </c>
      <c r="R70" s="160" t="e">
        <f>#REF!</f>
        <v>#REF!</v>
      </c>
      <c r="S70" s="210"/>
      <c r="T70" s="164"/>
      <c r="U70" s="164"/>
      <c r="V70" s="164"/>
      <c r="W70" s="164"/>
      <c r="X70" s="164"/>
      <c r="Y70" s="164"/>
      <c r="Z70" s="164"/>
      <c r="AA70" s="147" t="e">
        <f>#REF!</f>
        <v>#REF!</v>
      </c>
      <c r="AB70" s="39" t="e">
        <f>#REF!</f>
        <v>#REF!</v>
      </c>
      <c r="AC70" s="39" t="e">
        <f>#REF!</f>
        <v>#REF!</v>
      </c>
      <c r="AD70" s="207"/>
      <c r="AE70" s="3" t="e">
        <f>#REF!-#REF!*20</f>
        <v>#REF!</v>
      </c>
      <c r="AF70" s="39" t="e">
        <f>ROUND(MAX(0.6*#REF!^1.299,850)*(1+ tech_2_6*Techs!AC70 + tech_2_9*Techs!AF70 + tech_3_7*Techs!AN70 + Overview!$I$32),0)</f>
        <v>#REF!</v>
      </c>
      <c r="AG70" s="39" t="e">
        <f>IF(ROUND(MAX(IF(#REF!&gt;=300,5+0.003*(#REF!-300)^1.07,5-300/#REF!)+0,3),0)&lt;=6,ROUND(MAX(IF(#REF!&gt;=300,5+0.003*(#REF!-300)^1.07,5-300/#REF!)+0,3),0),ROUND(MAX(IF(#REF!&gt;=300,5+0.003*(#REF!-300)^1.07,5-300/#REF!)+tech_2_9_2*#REF!+tech_3_7_2*#REF!,6),0))</f>
        <v>#REF!</v>
      </c>
      <c r="AH70" s="39" t="e">
        <f>SUM(#REF!)*#REF!</f>
        <v>#REF!</v>
      </c>
      <c r="AI70" s="39" t="e">
        <f>SUM(#REF!)*#REF!</f>
        <v>#REF!</v>
      </c>
      <c r="AJ70" s="3" t="e">
        <f>_xlfn.FLOOR.MATH(MIN(#REF!/#REF!,#REF!/#REF!))</f>
        <v>#REF!</v>
      </c>
    </row>
    <row r="71" spans="1:37" ht="12.5" x14ac:dyDescent="0.25">
      <c r="A71" s="160" t="e">
        <f>#REF!</f>
        <v>#REF!</v>
      </c>
      <c r="B71" s="206" t="e">
        <f>#REF!</f>
        <v>#REF!</v>
      </c>
      <c r="C71" s="207"/>
      <c r="D71" s="208" t="e">
        <f>#REF!</f>
        <v>#REF!</v>
      </c>
      <c r="E71" s="166" t="e">
        <f>#REF!</f>
        <v>#REF!</v>
      </c>
      <c r="F71" s="341" t="e">
        <f>#REF!</f>
        <v>#REF!</v>
      </c>
      <c r="G71" s="345" t="e">
        <f>#REF!</f>
        <v>#REF!</v>
      </c>
      <c r="H71" s="349" t="e">
        <f>#REF!</f>
        <v>#REF!</v>
      </c>
      <c r="I71" s="169" t="e">
        <f>#REF!</f>
        <v>#REF!</v>
      </c>
      <c r="J71" s="170" t="e">
        <f>#REF!</f>
        <v>#REF!</v>
      </c>
      <c r="K71" s="202"/>
      <c r="L71" s="202"/>
      <c r="M71" s="202"/>
      <c r="N71" s="209" t="e">
        <f>#REF!</f>
        <v>#REF!</v>
      </c>
      <c r="O71" s="209" t="e">
        <f>#REF!</f>
        <v>#REF!</v>
      </c>
      <c r="P71" s="209" t="e">
        <f>#REF!</f>
        <v>#REF!</v>
      </c>
      <c r="Q71" s="160" t="e">
        <f>#REF!</f>
        <v>#REF!</v>
      </c>
      <c r="R71" s="160" t="e">
        <f>#REF!</f>
        <v>#REF!</v>
      </c>
      <c r="S71" s="210"/>
      <c r="T71" s="164"/>
      <c r="U71" s="164"/>
      <c r="V71" s="164"/>
      <c r="W71" s="164"/>
      <c r="X71" s="164"/>
      <c r="Y71" s="164"/>
      <c r="Z71" s="164"/>
      <c r="AA71" s="147" t="e">
        <f>#REF!</f>
        <v>#REF!</v>
      </c>
      <c r="AB71" s="39" t="e">
        <f>#REF!</f>
        <v>#REF!</v>
      </c>
      <c r="AC71" s="39" t="e">
        <f>#REF!</f>
        <v>#REF!</v>
      </c>
      <c r="AD71" s="207"/>
      <c r="AE71" s="3" t="e">
        <f>#REF!-#REF!*20</f>
        <v>#REF!</v>
      </c>
      <c r="AF71" s="39" t="e">
        <f>ROUND(MAX(0.6*#REF!^1.299,850)*(1+ tech_2_6*Techs!AC71 + tech_2_9*Techs!AF71 + tech_3_7*Techs!AN71 + Overview!$I$32),0)</f>
        <v>#REF!</v>
      </c>
      <c r="AG71" s="39" t="e">
        <f>IF(ROUND(MAX(IF(#REF!&gt;=300,5+0.003*(#REF!-300)^1.07,5-300/#REF!)+0,3),0)&lt;=6,ROUND(MAX(IF(#REF!&gt;=300,5+0.003*(#REF!-300)^1.07,5-300/#REF!)+0,3),0),ROUND(MAX(IF(#REF!&gt;=300,5+0.003*(#REF!-300)^1.07,5-300/#REF!)+tech_2_9_2*#REF!+tech_3_7_2*#REF!,6),0))</f>
        <v>#REF!</v>
      </c>
      <c r="AH71" s="39" t="e">
        <f>SUM(#REF!)*#REF!</f>
        <v>#REF!</v>
      </c>
      <c r="AI71" s="39" t="e">
        <f>SUM(#REF!)*#REF!</f>
        <v>#REF!</v>
      </c>
      <c r="AJ71" s="3" t="e">
        <f>_xlfn.FLOOR.MATH(MIN(#REF!/#REF!,#REF!/#REF!))</f>
        <v>#REF!</v>
      </c>
    </row>
    <row r="72" spans="1:37" ht="12.5" x14ac:dyDescent="0.25">
      <c r="A72" s="160" t="e">
        <f>#REF!</f>
        <v>#REF!</v>
      </c>
      <c r="B72" s="206" t="e">
        <f>#REF!</f>
        <v>#REF!</v>
      </c>
      <c r="C72" s="207"/>
      <c r="D72" s="208" t="e">
        <f>#REF!</f>
        <v>#REF!</v>
      </c>
      <c r="E72" s="166" t="e">
        <f>#REF!</f>
        <v>#REF!</v>
      </c>
      <c r="F72" s="341" t="e">
        <f>#REF!</f>
        <v>#REF!</v>
      </c>
      <c r="G72" s="345" t="e">
        <f>#REF!</f>
        <v>#REF!</v>
      </c>
      <c r="H72" s="349" t="e">
        <f>#REF!</f>
        <v>#REF!</v>
      </c>
      <c r="I72" s="169" t="e">
        <f>#REF!</f>
        <v>#REF!</v>
      </c>
      <c r="J72" s="170" t="e">
        <f>#REF!</f>
        <v>#REF!</v>
      </c>
      <c r="K72" s="202"/>
      <c r="L72" s="202"/>
      <c r="M72" s="202"/>
      <c r="N72" s="209" t="e">
        <f>#REF!</f>
        <v>#REF!</v>
      </c>
      <c r="O72" s="209" t="e">
        <f>#REF!</f>
        <v>#REF!</v>
      </c>
      <c r="P72" s="209" t="e">
        <f>#REF!</f>
        <v>#REF!</v>
      </c>
      <c r="Q72" s="160" t="e">
        <f>#REF!</f>
        <v>#REF!</v>
      </c>
      <c r="R72" s="160" t="e">
        <f>#REF!</f>
        <v>#REF!</v>
      </c>
      <c r="S72" s="210"/>
      <c r="T72" s="164"/>
      <c r="U72" s="164"/>
      <c r="V72" s="164"/>
      <c r="W72" s="164"/>
      <c r="X72" s="164"/>
      <c r="Y72" s="164"/>
      <c r="Z72" s="164"/>
      <c r="AA72" s="147" t="e">
        <f>#REF!</f>
        <v>#REF!</v>
      </c>
      <c r="AB72" s="39" t="e">
        <f>#REF!</f>
        <v>#REF!</v>
      </c>
      <c r="AC72" s="39" t="e">
        <f>#REF!</f>
        <v>#REF!</v>
      </c>
      <c r="AD72" s="207"/>
      <c r="AE72" s="3" t="e">
        <f>#REF!-#REF!*20</f>
        <v>#REF!</v>
      </c>
      <c r="AF72" s="39" t="e">
        <f>ROUND(MAX(0.6*#REF!^1.299,850)*(1+ tech_2_6*Techs!AC72 + tech_2_9*Techs!AF72 + tech_3_7*Techs!AN72 + Overview!$I$32),0)</f>
        <v>#REF!</v>
      </c>
      <c r="AG72" s="39" t="e">
        <f>IF(ROUND(MAX(IF(#REF!&gt;=300,5+0.003*(#REF!-300)^1.07,5-300/#REF!)+0,3),0)&lt;=6,ROUND(MAX(IF(#REF!&gt;=300,5+0.003*(#REF!-300)^1.07,5-300/#REF!)+0,3),0),ROUND(MAX(IF(#REF!&gt;=300,5+0.003*(#REF!-300)^1.07,5-300/#REF!)+tech_2_9_2*#REF!+tech_3_7_2*#REF!,6),0))</f>
        <v>#REF!</v>
      </c>
      <c r="AH72" s="39" t="e">
        <f>SUM(#REF!)*#REF!</f>
        <v>#REF!</v>
      </c>
      <c r="AI72" s="39" t="e">
        <f>SUM(#REF!)*#REF!</f>
        <v>#REF!</v>
      </c>
      <c r="AJ72" s="3" t="e">
        <f>_xlfn.FLOOR.MATH(MIN(#REF!/#REF!,#REF!/#REF!))</f>
        <v>#REF!</v>
      </c>
    </row>
    <row r="73" spans="1:37" ht="12.5" x14ac:dyDescent="0.25">
      <c r="A73" s="160" t="e">
        <f>#REF!</f>
        <v>#REF!</v>
      </c>
      <c r="B73" s="206" t="e">
        <f>#REF!</f>
        <v>#REF!</v>
      </c>
      <c r="C73" s="207"/>
      <c r="D73" s="208" t="e">
        <f>#REF!</f>
        <v>#REF!</v>
      </c>
      <c r="E73" s="166" t="e">
        <f>#REF!</f>
        <v>#REF!</v>
      </c>
      <c r="F73" s="341" t="e">
        <f>#REF!</f>
        <v>#REF!</v>
      </c>
      <c r="G73" s="345" t="e">
        <f>#REF!</f>
        <v>#REF!</v>
      </c>
      <c r="H73" s="349" t="e">
        <f>#REF!</f>
        <v>#REF!</v>
      </c>
      <c r="I73" s="169" t="e">
        <f>#REF!</f>
        <v>#REF!</v>
      </c>
      <c r="J73" s="170" t="e">
        <f>#REF!</f>
        <v>#REF!</v>
      </c>
      <c r="K73" s="202"/>
      <c r="L73" s="202"/>
      <c r="M73" s="202"/>
      <c r="N73" s="209" t="e">
        <f>#REF!</f>
        <v>#REF!</v>
      </c>
      <c r="O73" s="209" t="e">
        <f>#REF!</f>
        <v>#REF!</v>
      </c>
      <c r="P73" s="209" t="e">
        <f>#REF!</f>
        <v>#REF!</v>
      </c>
      <c r="Q73" s="160" t="e">
        <f>#REF!</f>
        <v>#REF!</v>
      </c>
      <c r="R73" s="160" t="e">
        <f>#REF!</f>
        <v>#REF!</v>
      </c>
      <c r="S73" s="210"/>
      <c r="T73" s="164"/>
      <c r="U73" s="164"/>
      <c r="V73" s="164"/>
      <c r="W73" s="164"/>
      <c r="X73" s="164"/>
      <c r="Y73" s="164"/>
      <c r="Z73" s="164"/>
      <c r="AA73" s="147" t="e">
        <f>#REF!</f>
        <v>#REF!</v>
      </c>
      <c r="AB73" s="39" t="e">
        <f>#REF!</f>
        <v>#REF!</v>
      </c>
      <c r="AC73" s="39" t="e">
        <f>#REF!</f>
        <v>#REF!</v>
      </c>
      <c r="AD73" s="207"/>
      <c r="AE73" s="3" t="e">
        <f>#REF!-#REF!*20</f>
        <v>#REF!</v>
      </c>
      <c r="AF73" s="39" t="e">
        <f>ROUND(MAX(0.6*#REF!^1.299,850)*(1+ tech_2_6*Techs!AC73 + tech_2_9*Techs!AF73 + tech_3_7*Techs!AN73 + Overview!$I$32),0)</f>
        <v>#REF!</v>
      </c>
      <c r="AG73" s="39" t="e">
        <f>IF(ROUND(MAX(IF(#REF!&gt;=300,5+0.003*(#REF!-300)^1.07,5-300/#REF!)+0,3),0)&lt;=6,ROUND(MAX(IF(#REF!&gt;=300,5+0.003*(#REF!-300)^1.07,5-300/#REF!)+0,3),0),ROUND(MAX(IF(#REF!&gt;=300,5+0.003*(#REF!-300)^1.07,5-300/#REF!)+tech_2_9_2*#REF!+tech_3_7_2*#REF!,6),0))</f>
        <v>#REF!</v>
      </c>
      <c r="AH73" s="39" t="e">
        <f>SUM(#REF!)*#REF!</f>
        <v>#REF!</v>
      </c>
      <c r="AI73" s="39" t="e">
        <f>SUM(#REF!)*#REF!</f>
        <v>#REF!</v>
      </c>
      <c r="AJ73" s="3" t="e">
        <f>_xlfn.FLOOR.MATH(MIN(#REF!/#REF!,#REF!/#REF!))</f>
        <v>#REF!</v>
      </c>
    </row>
    <row r="74" spans="1:37" ht="12.5" x14ac:dyDescent="0.25">
      <c r="A74" s="160" t="e">
        <f>#REF!</f>
        <v>#REF!</v>
      </c>
      <c r="B74" s="206" t="e">
        <f>#REF!</f>
        <v>#REF!</v>
      </c>
      <c r="C74" s="207"/>
      <c r="D74" s="208" t="e">
        <f>#REF!</f>
        <v>#REF!</v>
      </c>
      <c r="E74" s="166" t="e">
        <f>#REF!</f>
        <v>#REF!</v>
      </c>
      <c r="F74" s="341" t="e">
        <f>#REF!</f>
        <v>#REF!</v>
      </c>
      <c r="G74" s="345" t="e">
        <f>#REF!</f>
        <v>#REF!</v>
      </c>
      <c r="H74" s="349" t="e">
        <f>#REF!</f>
        <v>#REF!</v>
      </c>
      <c r="I74" s="169" t="e">
        <f>#REF!</f>
        <v>#REF!</v>
      </c>
      <c r="J74" s="170" t="e">
        <f>#REF!</f>
        <v>#REF!</v>
      </c>
      <c r="K74" s="202"/>
      <c r="L74" s="202"/>
      <c r="M74" s="202"/>
      <c r="N74" s="209" t="e">
        <f>#REF!</f>
        <v>#REF!</v>
      </c>
      <c r="O74" s="209" t="e">
        <f>#REF!</f>
        <v>#REF!</v>
      </c>
      <c r="P74" s="209" t="e">
        <f>#REF!</f>
        <v>#REF!</v>
      </c>
      <c r="Q74" s="160" t="e">
        <f>#REF!</f>
        <v>#REF!</v>
      </c>
      <c r="R74" s="160" t="e">
        <f>#REF!</f>
        <v>#REF!</v>
      </c>
      <c r="S74" s="210"/>
      <c r="T74" s="164"/>
      <c r="U74" s="164"/>
      <c r="V74" s="164"/>
      <c r="W74" s="164"/>
      <c r="X74" s="164"/>
      <c r="Y74" s="164"/>
      <c r="Z74" s="164"/>
      <c r="AA74" s="147" t="e">
        <f>#REF!</f>
        <v>#REF!</v>
      </c>
      <c r="AB74" s="39" t="e">
        <f>#REF!</f>
        <v>#REF!</v>
      </c>
      <c r="AC74" s="39" t="e">
        <f>#REF!</f>
        <v>#REF!</v>
      </c>
      <c r="AD74" s="207"/>
      <c r="AE74" s="3" t="e">
        <f>#REF!-#REF!*20</f>
        <v>#REF!</v>
      </c>
      <c r="AF74" s="39" t="e">
        <f>ROUND(MAX(0.6*#REF!^1.299,850)*(1+ tech_2_6*Techs!AC74 + tech_2_9*Techs!AF74 + tech_3_7*Techs!AN74 + Overview!$I$32),0)</f>
        <v>#REF!</v>
      </c>
      <c r="AG74" s="39" t="e">
        <f>IF(ROUND(MAX(IF(#REF!&gt;=300,5+0.003*(#REF!-300)^1.07,5-300/#REF!)+0,3),0)&lt;=6,ROUND(MAX(IF(#REF!&gt;=300,5+0.003*(#REF!-300)^1.07,5-300/#REF!)+0,3),0),ROUND(MAX(IF(#REF!&gt;=300,5+0.003*(#REF!-300)^1.07,5-300/#REF!)+tech_2_9_2*#REF!+tech_3_7_2*#REF!,6),0))</f>
        <v>#REF!</v>
      </c>
      <c r="AH74" s="39" t="e">
        <f>SUM(#REF!)*#REF!</f>
        <v>#REF!</v>
      </c>
      <c r="AI74" s="39" t="e">
        <f>SUM(#REF!)*#REF!</f>
        <v>#REF!</v>
      </c>
      <c r="AJ74" s="3" t="e">
        <f>_xlfn.FLOOR.MATH(MIN(#REF!/#REF!,#REF!/#REF!))</f>
        <v>#REF!</v>
      </c>
    </row>
    <row r="75" spans="1:37" ht="12.5" x14ac:dyDescent="0.25">
      <c r="A75" s="160" t="e">
        <f>#REF!</f>
        <v>#REF!</v>
      </c>
      <c r="B75" s="206" t="e">
        <f>#REF!</f>
        <v>#REF!</v>
      </c>
      <c r="C75" s="207"/>
      <c r="D75" s="208" t="e">
        <f>#REF!</f>
        <v>#REF!</v>
      </c>
      <c r="E75" s="166" t="e">
        <f>#REF!</f>
        <v>#REF!</v>
      </c>
      <c r="F75" s="341" t="e">
        <f>#REF!</f>
        <v>#REF!</v>
      </c>
      <c r="G75" s="345" t="e">
        <f>#REF!</f>
        <v>#REF!</v>
      </c>
      <c r="H75" s="349" t="e">
        <f>#REF!</f>
        <v>#REF!</v>
      </c>
      <c r="I75" s="169" t="e">
        <f>#REF!</f>
        <v>#REF!</v>
      </c>
      <c r="J75" s="170" t="e">
        <f>#REF!</f>
        <v>#REF!</v>
      </c>
      <c r="K75" s="202"/>
      <c r="L75" s="202"/>
      <c r="M75" s="202"/>
      <c r="N75" s="209" t="e">
        <f>#REF!</f>
        <v>#REF!</v>
      </c>
      <c r="O75" s="209" t="e">
        <f>#REF!</f>
        <v>#REF!</v>
      </c>
      <c r="P75" s="209" t="e">
        <f>#REF!</f>
        <v>#REF!</v>
      </c>
      <c r="Q75" s="160" t="e">
        <f>#REF!</f>
        <v>#REF!</v>
      </c>
      <c r="R75" s="160" t="e">
        <f>#REF!</f>
        <v>#REF!</v>
      </c>
      <c r="S75" s="210"/>
      <c r="T75" s="164"/>
      <c r="U75" s="164"/>
      <c r="V75" s="164"/>
      <c r="W75" s="164"/>
      <c r="X75" s="164"/>
      <c r="Y75" s="164"/>
      <c r="Z75" s="164"/>
      <c r="AA75" s="147" t="e">
        <f>#REF!</f>
        <v>#REF!</v>
      </c>
      <c r="AB75" s="39" t="e">
        <f>#REF!</f>
        <v>#REF!</v>
      </c>
      <c r="AC75" s="39" t="e">
        <f>#REF!</f>
        <v>#REF!</v>
      </c>
      <c r="AD75" s="207"/>
      <c r="AE75" s="3" t="e">
        <f>#REF!-#REF!*20</f>
        <v>#REF!</v>
      </c>
      <c r="AF75" s="39" t="e">
        <f>ROUND(MAX(0.6*#REF!^1.299,850)*(1+ tech_2_6*Techs!AC75 + tech_2_9*Techs!AF75 + tech_3_7*Techs!AN75 + Overview!$I$32),0)</f>
        <v>#REF!</v>
      </c>
      <c r="AG75" s="39" t="e">
        <f>IF(ROUND(MAX(IF(#REF!&gt;=300,5+0.003*(#REF!-300)^1.07,5-300/#REF!)+0,3),0)&lt;=6,ROUND(MAX(IF(#REF!&gt;=300,5+0.003*(#REF!-300)^1.07,5-300/#REF!)+0,3),0),ROUND(MAX(IF(#REF!&gt;=300,5+0.003*(#REF!-300)^1.07,5-300/#REF!)+tech_2_9_2*#REF!+tech_3_7_2*#REF!,6),0))</f>
        <v>#REF!</v>
      </c>
      <c r="AH75" s="39" t="e">
        <f>SUM(#REF!)*#REF!</f>
        <v>#REF!</v>
      </c>
      <c r="AI75" s="39" t="e">
        <f>SUM(#REF!)*#REF!</f>
        <v>#REF!</v>
      </c>
      <c r="AJ75" s="3" t="e">
        <f>_xlfn.FLOOR.MATH(MIN(#REF!/#REF!,#REF!/#REF!))</f>
        <v>#REF!</v>
      </c>
    </row>
    <row r="76" spans="1:37" s="192" customFormat="1" x14ac:dyDescent="0.3">
      <c r="A76" s="177" t="e">
        <f>#REF!</f>
        <v>#REF!</v>
      </c>
      <c r="B76" s="221" t="e">
        <f>#REF!</f>
        <v>#REF!</v>
      </c>
      <c r="C76" s="222"/>
      <c r="D76" s="223" t="e">
        <f>#REF!</f>
        <v>#REF!</v>
      </c>
      <c r="E76" s="183" t="e">
        <f>#REF!</f>
        <v>#REF!</v>
      </c>
      <c r="F76" s="342" t="e">
        <f>#REF!</f>
        <v>#REF!</v>
      </c>
      <c r="G76" s="346" t="e">
        <f>#REF!</f>
        <v>#REF!</v>
      </c>
      <c r="H76" s="350" t="e">
        <f>#REF!</f>
        <v>#REF!</v>
      </c>
      <c r="I76" s="186" t="e">
        <f>#REF!</f>
        <v>#REF!</v>
      </c>
      <c r="J76" s="187" t="e">
        <f>#REF!</f>
        <v>#REF!</v>
      </c>
      <c r="K76" s="200"/>
      <c r="L76" s="200"/>
      <c r="M76" s="200"/>
      <c r="N76" s="224" t="e">
        <f>#REF!</f>
        <v>#REF!</v>
      </c>
      <c r="O76" s="224" t="e">
        <f>#REF!</f>
        <v>#REF!</v>
      </c>
      <c r="P76" s="224" t="e">
        <f>#REF!</f>
        <v>#REF!</v>
      </c>
      <c r="Q76" s="177" t="e">
        <f>#REF!</f>
        <v>#REF!</v>
      </c>
      <c r="R76" s="160" t="e">
        <f>#REF!</f>
        <v>#REF!</v>
      </c>
      <c r="S76" s="225"/>
      <c r="T76" s="188"/>
      <c r="U76" s="188"/>
      <c r="V76" s="188"/>
      <c r="W76" s="188"/>
      <c r="X76" s="188"/>
      <c r="Y76" s="188"/>
      <c r="Z76" s="188"/>
      <c r="AA76" s="198" t="e">
        <f>#REF!</f>
        <v>#REF!</v>
      </c>
      <c r="AB76" s="191" t="e">
        <f>#REF!</f>
        <v>#REF!</v>
      </c>
      <c r="AC76" s="191" t="e">
        <f>#REF!</f>
        <v>#REF!</v>
      </c>
      <c r="AD76" s="222"/>
      <c r="AE76" s="192" t="e">
        <f>#REF!-#REF!*20</f>
        <v>#REF!</v>
      </c>
      <c r="AF76" s="191" t="e">
        <f>ROUND(MAX(0.6*#REF!^1.299,850)*(1+ tech_2_6*Techs!AC76 + tech_2_9*Techs!AF76 + tech_3_7*Techs!AN76 + Overview!$I$32),0)</f>
        <v>#REF!</v>
      </c>
      <c r="AG76" s="191" t="e">
        <f>IF(ROUND(MAX(IF(#REF!&gt;=300,5+0.003*(#REF!-300)^1.07,5-300/#REF!)+0,3),0)&lt;=6,ROUND(MAX(IF(#REF!&gt;=300,5+0.003*(#REF!-300)^1.07,5-300/#REF!)+0,3),0),ROUND(MAX(IF(#REF!&gt;=300,5+0.003*(#REF!-300)^1.07,5-300/#REF!)+tech_2_9_2*#REF!+tech_3_7_2*#REF!,6),0))</f>
        <v>#REF!</v>
      </c>
      <c r="AH76" s="191" t="e">
        <f>SUM(#REF!)*#REF!</f>
        <v>#REF!</v>
      </c>
      <c r="AI76" s="191" t="e">
        <f>SUM(#REF!)*#REF!</f>
        <v>#REF!</v>
      </c>
      <c r="AJ76" s="192" t="e">
        <f>_xlfn.FLOOR.MATH(MIN(#REF!/#REF!,#REF!/#REF!))</f>
        <v>#REF!</v>
      </c>
      <c r="AK76" s="226"/>
    </row>
    <row r="77" spans="1:37" ht="12.5" x14ac:dyDescent="0.25">
      <c r="A77" s="160" t="e">
        <f>#REF!</f>
        <v>#REF!</v>
      </c>
      <c r="B77" s="206" t="e">
        <f>#REF!</f>
        <v>#REF!</v>
      </c>
      <c r="C77" s="207"/>
      <c r="D77" s="208" t="e">
        <f>#REF!</f>
        <v>#REF!</v>
      </c>
      <c r="E77" s="166" t="e">
        <f>#REF!</f>
        <v>#REF!</v>
      </c>
      <c r="F77" s="341" t="e">
        <f>#REF!</f>
        <v>#REF!</v>
      </c>
      <c r="G77" s="345" t="e">
        <f>#REF!</f>
        <v>#REF!</v>
      </c>
      <c r="H77" s="349" t="e">
        <f>#REF!</f>
        <v>#REF!</v>
      </c>
      <c r="I77" s="169" t="e">
        <f>#REF!</f>
        <v>#REF!</v>
      </c>
      <c r="J77" s="170" t="e">
        <f>#REF!</f>
        <v>#REF!</v>
      </c>
      <c r="K77" s="202"/>
      <c r="L77" s="202"/>
      <c r="M77" s="202"/>
      <c r="N77" s="209" t="e">
        <f>#REF!</f>
        <v>#REF!</v>
      </c>
      <c r="O77" s="209" t="e">
        <f>#REF!</f>
        <v>#REF!</v>
      </c>
      <c r="P77" s="209" t="e">
        <f>#REF!</f>
        <v>#REF!</v>
      </c>
      <c r="Q77" s="160" t="e">
        <f>#REF!</f>
        <v>#REF!</v>
      </c>
      <c r="R77" s="160" t="e">
        <f>#REF!</f>
        <v>#REF!</v>
      </c>
      <c r="S77" s="210"/>
      <c r="T77" s="164"/>
      <c r="U77" s="164"/>
      <c r="V77" s="164"/>
      <c r="W77" s="164"/>
      <c r="X77" s="164"/>
      <c r="Y77" s="164"/>
      <c r="Z77" s="164"/>
      <c r="AA77" s="147" t="e">
        <f>#REF!</f>
        <v>#REF!</v>
      </c>
      <c r="AB77" s="39" t="e">
        <f>#REF!</f>
        <v>#REF!</v>
      </c>
      <c r="AC77" s="39" t="e">
        <f>#REF!</f>
        <v>#REF!</v>
      </c>
      <c r="AD77" s="207"/>
      <c r="AE77" s="3" t="e">
        <f>#REF!-#REF!*20</f>
        <v>#REF!</v>
      </c>
      <c r="AF77" s="39" t="e">
        <f>ROUND(MAX(0.6*#REF!^1.299,850)*(1+ tech_2_6*Techs!AC77 + tech_2_9*Techs!AF77 + tech_3_7*Techs!AN77 + Overview!$I$32),0)</f>
        <v>#REF!</v>
      </c>
      <c r="AG77" s="39" t="e">
        <f>IF(ROUND(MAX(IF(#REF!&gt;=300,5+0.003*(#REF!-300)^1.07,5-300/#REF!)+0,3),0)&lt;=6,ROUND(MAX(IF(#REF!&gt;=300,5+0.003*(#REF!-300)^1.07,5-300/#REF!)+0,3),0),ROUND(MAX(IF(#REF!&gt;=300,5+0.003*(#REF!-300)^1.07,5-300/#REF!)+tech_2_9_2*#REF!+tech_3_7_2*#REF!,6),0))</f>
        <v>#REF!</v>
      </c>
      <c r="AH77" s="39" t="e">
        <f>SUM(#REF!)*#REF!</f>
        <v>#REF!</v>
      </c>
      <c r="AI77" s="39" t="e">
        <f>SUM(#REF!)*#REF!</f>
        <v>#REF!</v>
      </c>
      <c r="AJ77" s="3" t="e">
        <f>_xlfn.FLOOR.MATH(MIN(#REF!/#REF!,#REF!/#REF!))</f>
        <v>#REF!</v>
      </c>
    </row>
    <row r="78" spans="1:37" ht="12.5" x14ac:dyDescent="0.25">
      <c r="A78" s="160" t="e">
        <f>#REF!</f>
        <v>#REF!</v>
      </c>
      <c r="B78" s="206" t="e">
        <f>#REF!</f>
        <v>#REF!</v>
      </c>
      <c r="C78" s="207"/>
      <c r="D78" s="208" t="e">
        <f>#REF!</f>
        <v>#REF!</v>
      </c>
      <c r="E78" s="166" t="e">
        <f>#REF!</f>
        <v>#REF!</v>
      </c>
      <c r="F78" s="341" t="e">
        <f>#REF!</f>
        <v>#REF!</v>
      </c>
      <c r="G78" s="345" t="e">
        <f>#REF!</f>
        <v>#REF!</v>
      </c>
      <c r="H78" s="349" t="e">
        <f>#REF!</f>
        <v>#REF!</v>
      </c>
      <c r="I78" s="169" t="e">
        <f>#REF!</f>
        <v>#REF!</v>
      </c>
      <c r="J78" s="170" t="e">
        <f>#REF!</f>
        <v>#REF!</v>
      </c>
      <c r="K78" s="202"/>
      <c r="L78" s="202"/>
      <c r="M78" s="202"/>
      <c r="N78" s="209" t="e">
        <f>#REF!</f>
        <v>#REF!</v>
      </c>
      <c r="O78" s="209" t="e">
        <f>#REF!</f>
        <v>#REF!</v>
      </c>
      <c r="P78" s="209" t="e">
        <f>#REF!</f>
        <v>#REF!</v>
      </c>
      <c r="Q78" s="160" t="e">
        <f>#REF!</f>
        <v>#REF!</v>
      </c>
      <c r="R78" s="160" t="e">
        <f>#REF!</f>
        <v>#REF!</v>
      </c>
      <c r="S78" s="210"/>
      <c r="T78" s="164"/>
      <c r="U78" s="164"/>
      <c r="V78" s="164"/>
      <c r="W78" s="164"/>
      <c r="X78" s="164"/>
      <c r="Y78" s="164"/>
      <c r="Z78" s="164"/>
      <c r="AA78" s="147" t="e">
        <f>#REF!</f>
        <v>#REF!</v>
      </c>
      <c r="AB78" s="39" t="e">
        <f>#REF!</f>
        <v>#REF!</v>
      </c>
      <c r="AC78" s="39" t="e">
        <f>#REF!</f>
        <v>#REF!</v>
      </c>
      <c r="AD78" s="207"/>
      <c r="AE78" s="3" t="e">
        <f>#REF!-#REF!*20</f>
        <v>#REF!</v>
      </c>
      <c r="AF78" s="39" t="e">
        <f>ROUND(MAX(0.6*#REF!^1.299,850)*(1+ tech_2_6*Techs!AC78 + tech_2_9*Techs!AF78 + tech_3_7*Techs!AN78 + Overview!$I$32),0)</f>
        <v>#REF!</v>
      </c>
      <c r="AG78" s="39" t="e">
        <f>IF(ROUND(MAX(IF(#REF!&gt;=300,5+0.003*(#REF!-300)^1.07,5-300/#REF!)+0,3),0)&lt;=6,ROUND(MAX(IF(#REF!&gt;=300,5+0.003*(#REF!-300)^1.07,5-300/#REF!)+0,3),0),ROUND(MAX(IF(#REF!&gt;=300,5+0.003*(#REF!-300)^1.07,5-300/#REF!)+tech_2_9_2*#REF!+tech_3_7_2*#REF!,6),0))</f>
        <v>#REF!</v>
      </c>
      <c r="AH78" s="39" t="e">
        <f>SUM(#REF!)*#REF!</f>
        <v>#REF!</v>
      </c>
      <c r="AI78" s="39" t="e">
        <f>SUM(#REF!)*#REF!</f>
        <v>#REF!</v>
      </c>
      <c r="AJ78" s="3" t="e">
        <f>_xlfn.FLOOR.MATH(MIN(#REF!/#REF!,#REF!/#REF!))</f>
        <v>#REF!</v>
      </c>
    </row>
    <row r="79" spans="1:37" ht="12.5" x14ac:dyDescent="0.25">
      <c r="A79" s="160" t="e">
        <f>#REF!</f>
        <v>#REF!</v>
      </c>
      <c r="B79" s="206" t="e">
        <f>#REF!</f>
        <v>#REF!</v>
      </c>
      <c r="C79" s="207"/>
      <c r="D79" s="208" t="e">
        <f>#REF!</f>
        <v>#REF!</v>
      </c>
      <c r="E79" s="166" t="e">
        <f>#REF!</f>
        <v>#REF!</v>
      </c>
      <c r="F79" s="341" t="e">
        <f>#REF!</f>
        <v>#REF!</v>
      </c>
      <c r="G79" s="345" t="e">
        <f>#REF!</f>
        <v>#REF!</v>
      </c>
      <c r="H79" s="349" t="e">
        <f>#REF!</f>
        <v>#REF!</v>
      </c>
      <c r="I79" s="169" t="e">
        <f>#REF!</f>
        <v>#REF!</v>
      </c>
      <c r="J79" s="170" t="e">
        <f>#REF!</f>
        <v>#REF!</v>
      </c>
      <c r="K79" s="202"/>
      <c r="L79" s="202"/>
      <c r="M79" s="202"/>
      <c r="N79" s="209" t="e">
        <f>#REF!</f>
        <v>#REF!</v>
      </c>
      <c r="O79" s="209" t="e">
        <f>#REF!</f>
        <v>#REF!</v>
      </c>
      <c r="P79" s="209" t="e">
        <f>#REF!</f>
        <v>#REF!</v>
      </c>
      <c r="Q79" s="160" t="e">
        <f>#REF!</f>
        <v>#REF!</v>
      </c>
      <c r="R79" s="160" t="e">
        <f>#REF!</f>
        <v>#REF!</v>
      </c>
      <c r="S79" s="210"/>
      <c r="T79" s="146"/>
      <c r="U79" s="164"/>
      <c r="V79" s="164"/>
      <c r="W79" s="164"/>
      <c r="X79" s="164"/>
      <c r="Y79" s="164"/>
      <c r="Z79" s="164"/>
      <c r="AA79" s="147" t="e">
        <f>#REF!</f>
        <v>#REF!</v>
      </c>
      <c r="AB79" s="39" t="e">
        <f>#REF!</f>
        <v>#REF!</v>
      </c>
      <c r="AC79" s="39" t="e">
        <f>#REF!</f>
        <v>#REF!</v>
      </c>
      <c r="AD79" s="207"/>
      <c r="AE79" s="3" t="e">
        <f>#REF!-#REF!*20</f>
        <v>#REF!</v>
      </c>
      <c r="AF79" s="39" t="e">
        <f>ROUND(MAX(0.6*#REF!^1.299,850)*(1+ tech_2_6*Techs!AC79 + tech_2_9*Techs!AF79 + tech_3_7*Techs!AN79 + Overview!$I$32),0)</f>
        <v>#REF!</v>
      </c>
      <c r="AG79" s="39" t="e">
        <f>IF(ROUND(MAX(IF(#REF!&gt;=300,5+0.003*(#REF!-300)^1.07,5-300/#REF!)+0,3),0)&lt;=6,ROUND(MAX(IF(#REF!&gt;=300,5+0.003*(#REF!-300)^1.07,5-300/#REF!)+0,3),0),ROUND(MAX(IF(#REF!&gt;=300,5+0.003*(#REF!-300)^1.07,5-300/#REF!)+tech_2_9_2*#REF!+tech_3_7_2*#REF!,6),0))</f>
        <v>#REF!</v>
      </c>
      <c r="AH79" s="39" t="e">
        <f>SUM(#REF!)*#REF!</f>
        <v>#REF!</v>
      </c>
      <c r="AI79" s="39" t="e">
        <f>SUM(#REF!)*#REF!</f>
        <v>#REF!</v>
      </c>
      <c r="AJ79" s="3" t="e">
        <f>_xlfn.FLOOR.MATH(MIN(#REF!/#REF!,#REF!/#REF!))</f>
        <v>#REF!</v>
      </c>
    </row>
    <row r="80" spans="1:37" ht="12.5" x14ac:dyDescent="0.25">
      <c r="A80" s="160" t="e">
        <f>#REF!</f>
        <v>#REF!</v>
      </c>
      <c r="B80" s="206" t="e">
        <f>#REF!</f>
        <v>#REF!</v>
      </c>
      <c r="C80" s="207"/>
      <c r="D80" s="208" t="e">
        <f>#REF!</f>
        <v>#REF!</v>
      </c>
      <c r="E80" s="166" t="e">
        <f>#REF!</f>
        <v>#REF!</v>
      </c>
      <c r="F80" s="341" t="e">
        <f>#REF!</f>
        <v>#REF!</v>
      </c>
      <c r="G80" s="345" t="e">
        <f>#REF!</f>
        <v>#REF!</v>
      </c>
      <c r="H80" s="349" t="e">
        <f>#REF!</f>
        <v>#REF!</v>
      </c>
      <c r="I80" s="169" t="e">
        <f>#REF!</f>
        <v>#REF!</v>
      </c>
      <c r="J80" s="170" t="e">
        <f>#REF!</f>
        <v>#REF!</v>
      </c>
      <c r="K80" s="202"/>
      <c r="L80" s="202"/>
      <c r="M80" s="202"/>
      <c r="N80" s="209" t="e">
        <f>#REF!</f>
        <v>#REF!</v>
      </c>
      <c r="O80" s="209" t="e">
        <f>#REF!</f>
        <v>#REF!</v>
      </c>
      <c r="P80" s="209" t="e">
        <f>#REF!</f>
        <v>#REF!</v>
      </c>
      <c r="Q80" s="160" t="e">
        <f>#REF!</f>
        <v>#REF!</v>
      </c>
      <c r="R80" s="160" t="e">
        <f>#REF!</f>
        <v>#REF!</v>
      </c>
      <c r="S80" s="210"/>
      <c r="T80" s="146"/>
      <c r="U80" s="164"/>
      <c r="V80" s="164"/>
      <c r="W80" s="164"/>
      <c r="X80" s="164"/>
      <c r="Y80" s="164"/>
      <c r="Z80" s="164"/>
      <c r="AA80" s="147" t="e">
        <f>#REF!</f>
        <v>#REF!</v>
      </c>
      <c r="AB80" s="39" t="e">
        <f>#REF!</f>
        <v>#REF!</v>
      </c>
      <c r="AC80" s="39" t="e">
        <f>#REF!</f>
        <v>#REF!</v>
      </c>
      <c r="AD80" s="207"/>
      <c r="AE80" s="3" t="e">
        <f>#REF!-#REF!*20</f>
        <v>#REF!</v>
      </c>
      <c r="AF80" s="39" t="e">
        <f>ROUND(MAX(0.6*#REF!^1.299,850)*(1+ tech_2_6*Techs!AC80 + tech_2_9*Techs!AF80 + tech_3_7*Techs!AN80 + Overview!$I$32),0)</f>
        <v>#REF!</v>
      </c>
      <c r="AG80" s="39" t="e">
        <f>IF(ROUND(MAX(IF(#REF!&gt;=300,5+0.003*(#REF!-300)^1.07,5-300/#REF!)+0,3),0)&lt;=6,ROUND(MAX(IF(#REF!&gt;=300,5+0.003*(#REF!-300)^1.07,5-300/#REF!)+0,3),0),ROUND(MAX(IF(#REF!&gt;=300,5+0.003*(#REF!-300)^1.07,5-300/#REF!)+tech_2_9_2*#REF!+tech_3_7_2*#REF!,6),0))</f>
        <v>#REF!</v>
      </c>
      <c r="AH80" s="39" t="e">
        <f>SUM(#REF!)*#REF!</f>
        <v>#REF!</v>
      </c>
      <c r="AI80" s="39" t="e">
        <f>SUM(#REF!)*#REF!</f>
        <v>#REF!</v>
      </c>
      <c r="AJ80" s="3" t="e">
        <f>_xlfn.FLOOR.MATH(MIN(#REF!/#REF!,#REF!/#REF!))</f>
        <v>#REF!</v>
      </c>
    </row>
    <row r="81" spans="1:36" ht="12.5" x14ac:dyDescent="0.25">
      <c r="A81" s="160" t="e">
        <f>#REF!</f>
        <v>#REF!</v>
      </c>
      <c r="B81" s="206" t="e">
        <f>#REF!</f>
        <v>#REF!</v>
      </c>
      <c r="C81" s="207"/>
      <c r="D81" s="208" t="e">
        <f>#REF!</f>
        <v>#REF!</v>
      </c>
      <c r="E81" s="166" t="e">
        <f>#REF!</f>
        <v>#REF!</v>
      </c>
      <c r="F81" s="341" t="e">
        <f>#REF!</f>
        <v>#REF!</v>
      </c>
      <c r="G81" s="345" t="e">
        <f>#REF!</f>
        <v>#REF!</v>
      </c>
      <c r="H81" s="349" t="e">
        <f>#REF!</f>
        <v>#REF!</v>
      </c>
      <c r="I81" s="169" t="e">
        <f>#REF!</f>
        <v>#REF!</v>
      </c>
      <c r="J81" s="170" t="e">
        <f>#REF!</f>
        <v>#REF!</v>
      </c>
      <c r="K81" s="202"/>
      <c r="L81" s="202"/>
      <c r="M81" s="202"/>
      <c r="N81" s="209" t="e">
        <f>#REF!</f>
        <v>#REF!</v>
      </c>
      <c r="O81" s="209" t="e">
        <f>#REF!</f>
        <v>#REF!</v>
      </c>
      <c r="P81" s="209" t="e">
        <f>#REF!</f>
        <v>#REF!</v>
      </c>
      <c r="Q81" s="160" t="e">
        <f>#REF!</f>
        <v>#REF!</v>
      </c>
      <c r="R81" s="160" t="e">
        <f>#REF!</f>
        <v>#REF!</v>
      </c>
      <c r="S81" s="210"/>
      <c r="T81" s="164"/>
      <c r="U81" s="164"/>
      <c r="V81" s="164"/>
      <c r="W81" s="164"/>
      <c r="X81" s="164"/>
      <c r="Y81" s="164"/>
      <c r="Z81" s="164"/>
      <c r="AA81" s="147" t="e">
        <f>#REF!</f>
        <v>#REF!</v>
      </c>
      <c r="AB81" s="39" t="e">
        <f>#REF!</f>
        <v>#REF!</v>
      </c>
      <c r="AC81" s="39" t="e">
        <f>#REF!</f>
        <v>#REF!</v>
      </c>
      <c r="AD81" s="207"/>
      <c r="AE81" s="3" t="e">
        <f>#REF!-#REF!*20</f>
        <v>#REF!</v>
      </c>
      <c r="AF81" s="39" t="e">
        <f>ROUND(MAX(0.6*#REF!^1.299,850)*(1+ tech_2_6*Techs!AC81 + tech_2_9*Techs!AF81 + tech_3_7*Techs!AN81 + Overview!$I$32),0)</f>
        <v>#REF!</v>
      </c>
      <c r="AG81" s="39" t="e">
        <f>IF(ROUND(MAX(IF(#REF!&gt;=300,5+0.003*(#REF!-300)^1.07,5-300/#REF!)+0,3),0)&lt;=6,ROUND(MAX(IF(#REF!&gt;=300,5+0.003*(#REF!-300)^1.07,5-300/#REF!)+0,3),0),ROUND(MAX(IF(#REF!&gt;=300,5+0.003*(#REF!-300)^1.07,5-300/#REF!)+tech_2_9_2*#REF!+tech_3_7_2*#REF!,6),0))</f>
        <v>#REF!</v>
      </c>
      <c r="AH81" s="39" t="e">
        <f>SUM(#REF!)*#REF!</f>
        <v>#REF!</v>
      </c>
      <c r="AI81" s="39" t="e">
        <f>SUM(#REF!)*#REF!</f>
        <v>#REF!</v>
      </c>
      <c r="AJ81" s="3" t="e">
        <f>_xlfn.FLOOR.MATH(MIN(#REF!/#REF!,#REF!/#REF!))</f>
        <v>#REF!</v>
      </c>
    </row>
    <row r="82" spans="1:36" ht="12.5" x14ac:dyDescent="0.25">
      <c r="A82" s="160" t="e">
        <f>#REF!</f>
        <v>#REF!</v>
      </c>
      <c r="B82" s="206" t="e">
        <f>#REF!</f>
        <v>#REF!</v>
      </c>
      <c r="C82" s="207"/>
      <c r="D82" s="208" t="e">
        <f>#REF!</f>
        <v>#REF!</v>
      </c>
      <c r="E82" s="166" t="e">
        <f>#REF!</f>
        <v>#REF!</v>
      </c>
      <c r="F82" s="341" t="e">
        <f>#REF!</f>
        <v>#REF!</v>
      </c>
      <c r="G82" s="345" t="e">
        <f>#REF!</f>
        <v>#REF!</v>
      </c>
      <c r="H82" s="349" t="e">
        <f>#REF!</f>
        <v>#REF!</v>
      </c>
      <c r="I82" s="169" t="e">
        <f>#REF!</f>
        <v>#REF!</v>
      </c>
      <c r="J82" s="170" t="e">
        <f>#REF!</f>
        <v>#REF!</v>
      </c>
      <c r="K82" s="202"/>
      <c r="L82" s="202"/>
      <c r="M82" s="202"/>
      <c r="N82" s="209" t="e">
        <f>#REF!</f>
        <v>#REF!</v>
      </c>
      <c r="O82" s="209" t="e">
        <f>#REF!</f>
        <v>#REF!</v>
      </c>
      <c r="P82" s="209" t="e">
        <f>#REF!</f>
        <v>#REF!</v>
      </c>
      <c r="Q82" s="160" t="e">
        <f>#REF!</f>
        <v>#REF!</v>
      </c>
      <c r="R82" s="160" t="e">
        <f>#REF!</f>
        <v>#REF!</v>
      </c>
      <c r="S82" s="210"/>
      <c r="T82" s="164"/>
      <c r="U82" s="164"/>
      <c r="V82" s="164"/>
      <c r="W82" s="164"/>
      <c r="X82" s="164"/>
      <c r="Y82" s="164"/>
      <c r="Z82" s="164"/>
      <c r="AA82" s="147" t="e">
        <f>#REF!</f>
        <v>#REF!</v>
      </c>
      <c r="AB82" s="39" t="e">
        <f>#REF!</f>
        <v>#REF!</v>
      </c>
      <c r="AC82" s="39" t="e">
        <f>#REF!</f>
        <v>#REF!</v>
      </c>
      <c r="AD82" s="207"/>
      <c r="AE82" s="3" t="e">
        <f>#REF!-#REF!*20</f>
        <v>#REF!</v>
      </c>
      <c r="AF82" s="39" t="e">
        <f>ROUND(MAX(0.6*#REF!^1.299,850)*(1+ tech_2_6*Techs!AC82 + tech_2_9*Techs!AF82 + tech_3_7*Techs!AN82 + Overview!$I$32),0)</f>
        <v>#REF!</v>
      </c>
      <c r="AG82" s="39" t="e">
        <f>IF(ROUND(MAX(IF(#REF!&gt;=300,5+0.003*(#REF!-300)^1.07,5-300/#REF!)+0,3),0)&lt;=6,ROUND(MAX(IF(#REF!&gt;=300,5+0.003*(#REF!-300)^1.07,5-300/#REF!)+0,3),0),ROUND(MAX(IF(#REF!&gt;=300,5+0.003*(#REF!-300)^1.07,5-300/#REF!)+tech_2_9_2*#REF!+tech_3_7_2*#REF!,6),0))</f>
        <v>#REF!</v>
      </c>
      <c r="AH82" s="39" t="e">
        <f>SUM(#REF!)*#REF!</f>
        <v>#REF!</v>
      </c>
      <c r="AI82" s="39" t="e">
        <f>SUM(#REF!)*#REF!</f>
        <v>#REF!</v>
      </c>
      <c r="AJ82" s="3" t="e">
        <f>_xlfn.FLOOR.MATH(MIN(#REF!/#REF!,#REF!/#REF!))</f>
        <v>#REF!</v>
      </c>
    </row>
    <row r="83" spans="1:36" ht="12.5" x14ac:dyDescent="0.25">
      <c r="A83" s="160" t="e">
        <f>#REF!</f>
        <v>#REF!</v>
      </c>
      <c r="B83" s="206" t="e">
        <f>#REF!</f>
        <v>#REF!</v>
      </c>
      <c r="C83" s="207"/>
      <c r="D83" s="208" t="e">
        <f>#REF!</f>
        <v>#REF!</v>
      </c>
      <c r="E83" s="166" t="e">
        <f>#REF!</f>
        <v>#REF!</v>
      </c>
      <c r="F83" s="341" t="e">
        <f>#REF!</f>
        <v>#REF!</v>
      </c>
      <c r="G83" s="345" t="e">
        <f>#REF!</f>
        <v>#REF!</v>
      </c>
      <c r="H83" s="349" t="e">
        <f>#REF!</f>
        <v>#REF!</v>
      </c>
      <c r="I83" s="169" t="e">
        <f>#REF!</f>
        <v>#REF!</v>
      </c>
      <c r="J83" s="170" t="e">
        <f>#REF!</f>
        <v>#REF!</v>
      </c>
      <c r="K83" s="202"/>
      <c r="L83" s="202"/>
      <c r="M83" s="202"/>
      <c r="N83" s="209" t="e">
        <f>#REF!</f>
        <v>#REF!</v>
      </c>
      <c r="O83" s="209" t="e">
        <f>#REF!</f>
        <v>#REF!</v>
      </c>
      <c r="P83" s="209" t="e">
        <f>#REF!</f>
        <v>#REF!</v>
      </c>
      <c r="Q83" s="160" t="e">
        <f>#REF!</f>
        <v>#REF!</v>
      </c>
      <c r="R83" s="160" t="e">
        <f>#REF!</f>
        <v>#REF!</v>
      </c>
      <c r="S83" s="210"/>
      <c r="T83" s="164"/>
      <c r="U83" s="164"/>
      <c r="V83" s="164"/>
      <c r="W83" s="164"/>
      <c r="X83" s="164"/>
      <c r="Y83" s="164"/>
      <c r="Z83" s="164"/>
      <c r="AA83" s="147" t="e">
        <f>#REF!</f>
        <v>#REF!</v>
      </c>
      <c r="AB83" s="39" t="e">
        <f>#REF!</f>
        <v>#REF!</v>
      </c>
      <c r="AC83" s="39" t="e">
        <f>#REF!</f>
        <v>#REF!</v>
      </c>
      <c r="AD83" s="207"/>
      <c r="AE83" s="3" t="e">
        <f>#REF!-#REF!*20</f>
        <v>#REF!</v>
      </c>
      <c r="AF83" s="39" t="e">
        <f>ROUND(MAX(0.6*#REF!^1.299,850)*(1+ tech_2_6*Techs!AC83 + tech_2_9*Techs!AF83 + tech_3_7*Techs!AN83 + Overview!$I$32),0)</f>
        <v>#REF!</v>
      </c>
      <c r="AG83" s="39" t="e">
        <f>IF(ROUND(MAX(IF(#REF!&gt;=300,5+0.003*(#REF!-300)^1.07,5-300/#REF!)+0,3),0)&lt;=6,ROUND(MAX(IF(#REF!&gt;=300,5+0.003*(#REF!-300)^1.07,5-300/#REF!)+0,3),0),ROUND(MAX(IF(#REF!&gt;=300,5+0.003*(#REF!-300)^1.07,5-300/#REF!)+tech_2_9_2*#REF!+tech_3_7_2*#REF!,6),0))</f>
        <v>#REF!</v>
      </c>
      <c r="AH83" s="39" t="e">
        <f>SUM(#REF!)*#REF!</f>
        <v>#REF!</v>
      </c>
      <c r="AI83" s="39" t="e">
        <f>SUM(#REF!)*#REF!</f>
        <v>#REF!</v>
      </c>
      <c r="AJ83" s="3" t="e">
        <f>_xlfn.FLOOR.MATH(MIN(#REF!/#REF!,#REF!/#REF!))</f>
        <v>#REF!</v>
      </c>
    </row>
    <row r="84" spans="1:36" ht="12.5" x14ac:dyDescent="0.25">
      <c r="A84" s="160" t="e">
        <f>#REF!</f>
        <v>#REF!</v>
      </c>
      <c r="B84" s="206" t="e">
        <f>#REF!</f>
        <v>#REF!</v>
      </c>
      <c r="C84" s="207"/>
      <c r="D84" s="208" t="e">
        <f>#REF!</f>
        <v>#REF!</v>
      </c>
      <c r="E84" s="166" t="e">
        <f>#REF!</f>
        <v>#REF!</v>
      </c>
      <c r="F84" s="341" t="e">
        <f>#REF!</f>
        <v>#REF!</v>
      </c>
      <c r="G84" s="345" t="e">
        <f>#REF!</f>
        <v>#REF!</v>
      </c>
      <c r="H84" s="349" t="e">
        <f>#REF!</f>
        <v>#REF!</v>
      </c>
      <c r="I84" s="169" t="e">
        <f>#REF!</f>
        <v>#REF!</v>
      </c>
      <c r="J84" s="170" t="e">
        <f>#REF!</f>
        <v>#REF!</v>
      </c>
      <c r="K84" s="202"/>
      <c r="L84" s="202"/>
      <c r="M84" s="202"/>
      <c r="N84" s="209" t="e">
        <f>#REF!</f>
        <v>#REF!</v>
      </c>
      <c r="O84" s="209" t="e">
        <f>#REF!</f>
        <v>#REF!</v>
      </c>
      <c r="P84" s="209" t="e">
        <f>#REF!</f>
        <v>#REF!</v>
      </c>
      <c r="Q84" s="160" t="e">
        <f>#REF!</f>
        <v>#REF!</v>
      </c>
      <c r="R84" s="160" t="e">
        <f>#REF!</f>
        <v>#REF!</v>
      </c>
      <c r="S84" s="210"/>
      <c r="T84" s="164"/>
      <c r="U84" s="164"/>
      <c r="V84" s="164"/>
      <c r="W84" s="164"/>
      <c r="X84" s="164"/>
      <c r="Y84" s="164"/>
      <c r="Z84" s="164"/>
      <c r="AA84" s="147" t="e">
        <f>#REF!</f>
        <v>#REF!</v>
      </c>
      <c r="AB84" s="39" t="e">
        <f>#REF!</f>
        <v>#REF!</v>
      </c>
      <c r="AC84" s="39" t="e">
        <f>#REF!</f>
        <v>#REF!</v>
      </c>
      <c r="AD84" s="207"/>
      <c r="AE84" s="3" t="e">
        <f>#REF!-#REF!*20</f>
        <v>#REF!</v>
      </c>
      <c r="AF84" s="39" t="e">
        <f>ROUND(MAX(0.6*#REF!^1.299,850)*(1+ tech_2_6*Techs!AC84 + tech_2_9*Techs!AF84 + tech_3_7*Techs!AN84 + Overview!$I$32),0)</f>
        <v>#REF!</v>
      </c>
      <c r="AG84" s="39" t="e">
        <f>IF(ROUND(MAX(IF(#REF!&gt;=300,5+0.003*(#REF!-300)^1.07,5-300/#REF!)+0,3),0)&lt;=6,ROUND(MAX(IF(#REF!&gt;=300,5+0.003*(#REF!-300)^1.07,5-300/#REF!)+0,3),0),ROUND(MAX(IF(#REF!&gt;=300,5+0.003*(#REF!-300)^1.07,5-300/#REF!)+tech_2_9_2*#REF!+tech_3_7_2*#REF!,6),0))</f>
        <v>#REF!</v>
      </c>
      <c r="AH84" s="39" t="e">
        <f>SUM(#REF!)*#REF!</f>
        <v>#REF!</v>
      </c>
      <c r="AI84" s="39" t="e">
        <f>SUM(#REF!)*#REF!</f>
        <v>#REF!</v>
      </c>
      <c r="AJ84" s="3" t="e">
        <f>_xlfn.FLOOR.MATH(MIN(#REF!/#REF!,#REF!/#REF!))</f>
        <v>#REF!</v>
      </c>
    </row>
    <row r="85" spans="1:36" ht="12.5" x14ac:dyDescent="0.25">
      <c r="A85" s="160" t="e">
        <f>#REF!</f>
        <v>#REF!</v>
      </c>
      <c r="B85" s="206" t="e">
        <f>#REF!</f>
        <v>#REF!</v>
      </c>
      <c r="C85" s="207"/>
      <c r="D85" s="208" t="e">
        <f>#REF!</f>
        <v>#REF!</v>
      </c>
      <c r="E85" s="166" t="e">
        <f>#REF!</f>
        <v>#REF!</v>
      </c>
      <c r="F85" s="341" t="e">
        <f>#REF!</f>
        <v>#REF!</v>
      </c>
      <c r="G85" s="345" t="e">
        <f>#REF!</f>
        <v>#REF!</v>
      </c>
      <c r="H85" s="349" t="e">
        <f>#REF!</f>
        <v>#REF!</v>
      </c>
      <c r="I85" s="169" t="e">
        <f>#REF!</f>
        <v>#REF!</v>
      </c>
      <c r="J85" s="170" t="e">
        <f>#REF!</f>
        <v>#REF!</v>
      </c>
      <c r="K85" s="202"/>
      <c r="L85" s="202"/>
      <c r="M85" s="202"/>
      <c r="N85" s="209" t="e">
        <f>#REF!</f>
        <v>#REF!</v>
      </c>
      <c r="O85" s="209" t="e">
        <f>#REF!</f>
        <v>#REF!</v>
      </c>
      <c r="P85" s="209" t="e">
        <f>#REF!</f>
        <v>#REF!</v>
      </c>
      <c r="Q85" s="160" t="e">
        <f>#REF!</f>
        <v>#REF!</v>
      </c>
      <c r="R85" s="160" t="e">
        <f>#REF!</f>
        <v>#REF!</v>
      </c>
      <c r="S85" s="210"/>
      <c r="T85" s="164"/>
      <c r="U85" s="164"/>
      <c r="V85" s="164"/>
      <c r="W85" s="164"/>
      <c r="X85" s="164"/>
      <c r="Y85" s="164"/>
      <c r="Z85" s="164"/>
      <c r="AA85" s="147" t="e">
        <f>#REF!</f>
        <v>#REF!</v>
      </c>
      <c r="AB85" s="39" t="e">
        <f>#REF!</f>
        <v>#REF!</v>
      </c>
      <c r="AC85" s="39" t="e">
        <f>#REF!</f>
        <v>#REF!</v>
      </c>
      <c r="AD85" s="207"/>
      <c r="AE85" s="3" t="e">
        <f>#REF!-#REF!*20</f>
        <v>#REF!</v>
      </c>
      <c r="AF85" s="39" t="e">
        <f>ROUND(MAX(0.6*#REF!^1.299,850)*(1+ tech_2_6*Techs!AC85 + tech_2_9*Techs!AF85 + tech_3_7*Techs!AN85 + Overview!$I$32),0)</f>
        <v>#REF!</v>
      </c>
      <c r="AG85" s="39" t="e">
        <f>IF(ROUND(MAX(IF(#REF!&gt;=300,5+0.003*(#REF!-300)^1.07,5-300/#REF!)+0,3),0)&lt;=6,ROUND(MAX(IF(#REF!&gt;=300,5+0.003*(#REF!-300)^1.07,5-300/#REF!)+0,3),0),ROUND(MAX(IF(#REF!&gt;=300,5+0.003*(#REF!-300)^1.07,5-300/#REF!)+tech_2_9_2*#REF!+tech_3_7_2*#REF!,6),0))</f>
        <v>#REF!</v>
      </c>
      <c r="AH85" s="39" t="e">
        <f>SUM(#REF!)*#REF!</f>
        <v>#REF!</v>
      </c>
      <c r="AI85" s="39" t="e">
        <f>SUM(#REF!)*#REF!</f>
        <v>#REF!</v>
      </c>
      <c r="AJ85" s="3" t="e">
        <f>_xlfn.FLOOR.MATH(MIN(#REF!/#REF!,#REF!/#REF!))</f>
        <v>#REF!</v>
      </c>
    </row>
    <row r="86" spans="1:36" ht="12.5" x14ac:dyDescent="0.25">
      <c r="A86" s="160" t="e">
        <f>#REF!</f>
        <v>#REF!</v>
      </c>
      <c r="B86" s="206" t="e">
        <f>#REF!</f>
        <v>#REF!</v>
      </c>
      <c r="C86" s="207"/>
      <c r="D86" s="208" t="e">
        <f>#REF!</f>
        <v>#REF!</v>
      </c>
      <c r="E86" s="166" t="e">
        <f>#REF!</f>
        <v>#REF!</v>
      </c>
      <c r="F86" s="341" t="e">
        <f>#REF!</f>
        <v>#REF!</v>
      </c>
      <c r="G86" s="345" t="e">
        <f>#REF!</f>
        <v>#REF!</v>
      </c>
      <c r="H86" s="349" t="e">
        <f>#REF!</f>
        <v>#REF!</v>
      </c>
      <c r="I86" s="169" t="e">
        <f>#REF!</f>
        <v>#REF!</v>
      </c>
      <c r="J86" s="170" t="e">
        <f>#REF!</f>
        <v>#REF!</v>
      </c>
      <c r="K86" s="202"/>
      <c r="L86" s="202"/>
      <c r="M86" s="202"/>
      <c r="N86" s="209" t="e">
        <f>#REF!</f>
        <v>#REF!</v>
      </c>
      <c r="O86" s="209" t="e">
        <f>#REF!</f>
        <v>#REF!</v>
      </c>
      <c r="P86" s="209" t="e">
        <f>#REF!</f>
        <v>#REF!</v>
      </c>
      <c r="Q86" s="160" t="e">
        <f>#REF!</f>
        <v>#REF!</v>
      </c>
      <c r="R86" s="160" t="e">
        <f>#REF!</f>
        <v>#REF!</v>
      </c>
      <c r="S86" s="210"/>
      <c r="T86" s="164"/>
      <c r="U86" s="164"/>
      <c r="V86" s="164"/>
      <c r="W86" s="164"/>
      <c r="X86" s="164"/>
      <c r="Y86" s="164"/>
      <c r="Z86" s="164"/>
      <c r="AA86" s="147" t="e">
        <f>#REF!</f>
        <v>#REF!</v>
      </c>
      <c r="AB86" s="39" t="e">
        <f>#REF!</f>
        <v>#REF!</v>
      </c>
      <c r="AC86" s="39" t="e">
        <f>#REF!</f>
        <v>#REF!</v>
      </c>
      <c r="AD86" s="207"/>
      <c r="AE86" s="3" t="e">
        <f>#REF!-#REF!*20</f>
        <v>#REF!</v>
      </c>
      <c r="AF86" s="39" t="e">
        <f>ROUND(MAX(0.6*#REF!^1.299,850)*(1+ tech_2_6*Techs!AC86 + tech_2_9*Techs!AF86 + tech_3_7*Techs!AN86 + Overview!$I$32),0)</f>
        <v>#REF!</v>
      </c>
      <c r="AG86" s="39" t="e">
        <f>IF(ROUND(MAX(IF(#REF!&gt;=300,5+0.003*(#REF!-300)^1.07,5-300/#REF!)+0,3),0)&lt;=6,ROUND(MAX(IF(#REF!&gt;=300,5+0.003*(#REF!-300)^1.07,5-300/#REF!)+0,3),0),ROUND(MAX(IF(#REF!&gt;=300,5+0.003*(#REF!-300)^1.07,5-300/#REF!)+tech_2_9_2*#REF!+tech_3_7_2*#REF!,6),0))</f>
        <v>#REF!</v>
      </c>
      <c r="AH86" s="39" t="e">
        <f>SUM(#REF!)*#REF!</f>
        <v>#REF!</v>
      </c>
      <c r="AI86" s="39" t="e">
        <f>SUM(#REF!)*#REF!</f>
        <v>#REF!</v>
      </c>
      <c r="AJ86" s="3" t="e">
        <f>_xlfn.FLOOR.MATH(MIN(#REF!/#REF!,#REF!/#REF!))</f>
        <v>#REF!</v>
      </c>
    </row>
    <row r="87" spans="1:36" ht="12.5" x14ac:dyDescent="0.25">
      <c r="A87" s="160" t="e">
        <f>#REF!</f>
        <v>#REF!</v>
      </c>
      <c r="B87" s="206" t="e">
        <f>#REF!</f>
        <v>#REF!</v>
      </c>
      <c r="C87" s="207"/>
      <c r="D87" s="208" t="e">
        <f>#REF!</f>
        <v>#REF!</v>
      </c>
      <c r="E87" s="166" t="e">
        <f>#REF!</f>
        <v>#REF!</v>
      </c>
      <c r="F87" s="341" t="e">
        <f>#REF!</f>
        <v>#REF!</v>
      </c>
      <c r="G87" s="345" t="e">
        <f>#REF!</f>
        <v>#REF!</v>
      </c>
      <c r="H87" s="349" t="e">
        <f>#REF!</f>
        <v>#REF!</v>
      </c>
      <c r="I87" s="169" t="e">
        <f>#REF!</f>
        <v>#REF!</v>
      </c>
      <c r="J87" s="170" t="e">
        <f>#REF!</f>
        <v>#REF!</v>
      </c>
      <c r="K87" s="202"/>
      <c r="L87" s="202"/>
      <c r="M87" s="211"/>
      <c r="N87" s="209" t="e">
        <f>#REF!</f>
        <v>#REF!</v>
      </c>
      <c r="O87" s="209" t="e">
        <f>#REF!</f>
        <v>#REF!</v>
      </c>
      <c r="P87" s="209" t="e">
        <f>#REF!</f>
        <v>#REF!</v>
      </c>
      <c r="Q87" s="160" t="e">
        <f>#REF!</f>
        <v>#REF!</v>
      </c>
      <c r="R87" s="160" t="e">
        <f>#REF!</f>
        <v>#REF!</v>
      </c>
      <c r="S87" s="210"/>
      <c r="T87" s="146"/>
      <c r="U87" s="164"/>
      <c r="V87" s="164"/>
      <c r="W87" s="164"/>
      <c r="X87" s="164"/>
      <c r="Y87" s="164"/>
      <c r="Z87" s="164"/>
      <c r="AA87" s="147" t="e">
        <f>#REF!</f>
        <v>#REF!</v>
      </c>
      <c r="AB87" s="39" t="e">
        <f>#REF!</f>
        <v>#REF!</v>
      </c>
      <c r="AC87" s="39" t="e">
        <f>#REF!</f>
        <v>#REF!</v>
      </c>
      <c r="AD87" s="207"/>
      <c r="AE87" s="3" t="e">
        <f>#REF!-#REF!*20</f>
        <v>#REF!</v>
      </c>
      <c r="AF87" s="39" t="e">
        <f>ROUND(MAX(0.6*#REF!^1.299,850)*(1+ tech_2_6*Techs!AC87 + tech_2_9*Techs!AF87 + tech_3_7*Techs!AN87 + Overview!$I$32),0)</f>
        <v>#REF!</v>
      </c>
      <c r="AG87" s="39" t="e">
        <f>IF(ROUND(MAX(IF(#REF!&gt;=300,5+0.003*(#REF!-300)^1.07,5-300/#REF!)+0,3),0)&lt;=6,ROUND(MAX(IF(#REF!&gt;=300,5+0.003*(#REF!-300)^1.07,5-300/#REF!)+0,3),0),ROUND(MAX(IF(#REF!&gt;=300,5+0.003*(#REF!-300)^1.07,5-300/#REF!)+tech_2_9_2*#REF!+tech_3_7_2*#REF!,6),0))</f>
        <v>#REF!</v>
      </c>
      <c r="AH87" s="39" t="e">
        <f>SUM(#REF!)*#REF!</f>
        <v>#REF!</v>
      </c>
      <c r="AI87" s="39" t="e">
        <f>SUM(#REF!)*#REF!</f>
        <v>#REF!</v>
      </c>
      <c r="AJ87" s="3" t="e">
        <f>_xlfn.FLOOR.MATH(MIN(#REF!/#REF!,#REF!/#REF!))</f>
        <v>#REF!</v>
      </c>
    </row>
    <row r="88" spans="1:36" ht="12.5" x14ac:dyDescent="0.25">
      <c r="A88" s="160" t="e">
        <f>#REF!</f>
        <v>#REF!</v>
      </c>
      <c r="B88" s="206" t="e">
        <f>#REF!</f>
        <v>#REF!</v>
      </c>
      <c r="C88" s="207"/>
      <c r="D88" s="208" t="e">
        <f>#REF!</f>
        <v>#REF!</v>
      </c>
      <c r="E88" s="166" t="e">
        <f>#REF!</f>
        <v>#REF!</v>
      </c>
      <c r="F88" s="341" t="e">
        <f>#REF!</f>
        <v>#REF!</v>
      </c>
      <c r="G88" s="345" t="e">
        <f>#REF!</f>
        <v>#REF!</v>
      </c>
      <c r="H88" s="349" t="e">
        <f>#REF!</f>
        <v>#REF!</v>
      </c>
      <c r="I88" s="169" t="e">
        <f>#REF!</f>
        <v>#REF!</v>
      </c>
      <c r="J88" s="170" t="e">
        <f>#REF!</f>
        <v>#REF!</v>
      </c>
      <c r="K88" s="202"/>
      <c r="L88" s="202"/>
      <c r="M88" s="202"/>
      <c r="N88" s="209" t="e">
        <f>#REF!</f>
        <v>#REF!</v>
      </c>
      <c r="O88" s="209" t="e">
        <f>#REF!</f>
        <v>#REF!</v>
      </c>
      <c r="P88" s="209" t="e">
        <f>#REF!</f>
        <v>#REF!</v>
      </c>
      <c r="Q88" s="160" t="e">
        <f>#REF!</f>
        <v>#REF!</v>
      </c>
      <c r="R88" s="160" t="e">
        <f>#REF!</f>
        <v>#REF!</v>
      </c>
      <c r="S88" s="210"/>
      <c r="T88" s="164"/>
      <c r="U88" s="164"/>
      <c r="V88" s="164"/>
      <c r="W88" s="164"/>
      <c r="X88" s="164"/>
      <c r="Y88" s="164"/>
      <c r="Z88" s="164"/>
      <c r="AA88" s="147" t="e">
        <f>#REF!</f>
        <v>#REF!</v>
      </c>
      <c r="AB88" s="39" t="e">
        <f>#REF!</f>
        <v>#REF!</v>
      </c>
      <c r="AC88" s="39" t="e">
        <f>#REF!</f>
        <v>#REF!</v>
      </c>
      <c r="AD88" s="207"/>
      <c r="AE88" s="3" t="e">
        <f>#REF!-#REF!*20</f>
        <v>#REF!</v>
      </c>
      <c r="AF88" s="39" t="e">
        <f>ROUND(MAX(0.6*#REF!^1.299,850)*(1+ tech_2_6*Techs!AC88 + tech_2_9*Techs!AF88 + tech_3_7*Techs!AN88 + Overview!$I$32),0)</f>
        <v>#REF!</v>
      </c>
      <c r="AG88" s="39" t="e">
        <f>IF(ROUND(MAX(IF(#REF!&gt;=300,5+0.003*(#REF!-300)^1.07,5-300/#REF!)+0,3),0)&lt;=6,ROUND(MAX(IF(#REF!&gt;=300,5+0.003*(#REF!-300)^1.07,5-300/#REF!)+0,3),0),ROUND(MAX(IF(#REF!&gt;=300,5+0.003*(#REF!-300)^1.07,5-300/#REF!)+tech_2_9_2*#REF!+tech_3_7_2*#REF!,6),0))</f>
        <v>#REF!</v>
      </c>
      <c r="AH88" s="39" t="e">
        <f>SUM(#REF!)*#REF!</f>
        <v>#REF!</v>
      </c>
      <c r="AI88" s="39" t="e">
        <f>SUM(#REF!)*#REF!</f>
        <v>#REF!</v>
      </c>
      <c r="AJ88" s="3" t="e">
        <f>_xlfn.FLOOR.MATH(MIN(#REF!/#REF!,#REF!/#REF!))</f>
        <v>#REF!</v>
      </c>
    </row>
    <row r="89" spans="1:36" ht="12.5" x14ac:dyDescent="0.25">
      <c r="A89" s="160" t="e">
        <f>#REF!</f>
        <v>#REF!</v>
      </c>
      <c r="B89" s="206" t="e">
        <f>#REF!</f>
        <v>#REF!</v>
      </c>
      <c r="C89" s="207"/>
      <c r="D89" s="208" t="e">
        <f>#REF!</f>
        <v>#REF!</v>
      </c>
      <c r="E89" s="166" t="e">
        <f>#REF!</f>
        <v>#REF!</v>
      </c>
      <c r="F89" s="341" t="e">
        <f>#REF!</f>
        <v>#REF!</v>
      </c>
      <c r="G89" s="345" t="e">
        <f>#REF!</f>
        <v>#REF!</v>
      </c>
      <c r="H89" s="349" t="e">
        <f>#REF!</f>
        <v>#REF!</v>
      </c>
      <c r="I89" s="169" t="e">
        <f>#REF!</f>
        <v>#REF!</v>
      </c>
      <c r="J89" s="170" t="e">
        <f>#REF!</f>
        <v>#REF!</v>
      </c>
      <c r="K89" s="202"/>
      <c r="L89" s="202"/>
      <c r="M89" s="211"/>
      <c r="N89" s="209" t="e">
        <f>#REF!</f>
        <v>#REF!</v>
      </c>
      <c r="O89" s="209" t="e">
        <f>#REF!</f>
        <v>#REF!</v>
      </c>
      <c r="P89" s="209" t="e">
        <f>#REF!</f>
        <v>#REF!</v>
      </c>
      <c r="Q89" s="160" t="e">
        <f>#REF!</f>
        <v>#REF!</v>
      </c>
      <c r="R89" s="160" t="e">
        <f>#REF!</f>
        <v>#REF!</v>
      </c>
      <c r="S89" s="210"/>
      <c r="T89" s="164"/>
      <c r="U89" s="164"/>
      <c r="V89" s="164"/>
      <c r="W89" s="164"/>
      <c r="X89" s="164"/>
      <c r="Y89" s="164"/>
      <c r="Z89" s="164"/>
      <c r="AA89" s="147" t="e">
        <f>#REF!</f>
        <v>#REF!</v>
      </c>
      <c r="AB89" s="39" t="e">
        <f>#REF!</f>
        <v>#REF!</v>
      </c>
      <c r="AC89" s="39" t="e">
        <f>#REF!</f>
        <v>#REF!</v>
      </c>
      <c r="AD89" s="207"/>
      <c r="AE89" s="3" t="e">
        <f>#REF!-#REF!*20</f>
        <v>#REF!</v>
      </c>
      <c r="AF89" s="39" t="e">
        <f>ROUND(MAX(0.6*#REF!^1.299,850)*(1+ tech_2_6*Techs!AC89 + tech_2_9*Techs!AF89 + tech_3_7*Techs!AN89 + Overview!$I$32),0)</f>
        <v>#REF!</v>
      </c>
      <c r="AG89" s="39" t="e">
        <f>IF(ROUND(MAX(IF(#REF!&gt;=300,5+0.003*(#REF!-300)^1.07,5-300/#REF!)+0,3),0)&lt;=6,ROUND(MAX(IF(#REF!&gt;=300,5+0.003*(#REF!-300)^1.07,5-300/#REF!)+0,3),0),ROUND(MAX(IF(#REF!&gt;=300,5+0.003*(#REF!-300)^1.07,5-300/#REF!)+tech_2_9_2*#REF!+tech_3_7_2*#REF!,6),0))</f>
        <v>#REF!</v>
      </c>
      <c r="AH89" s="39" t="e">
        <f>SUM(#REF!)*#REF!</f>
        <v>#REF!</v>
      </c>
      <c r="AI89" s="39" t="e">
        <f>SUM(#REF!)*#REF!</f>
        <v>#REF!</v>
      </c>
      <c r="AJ89" s="3" t="e">
        <f>_xlfn.FLOOR.MATH(MIN(#REF!/#REF!,#REF!/#REF!))</f>
        <v>#REF!</v>
      </c>
    </row>
    <row r="90" spans="1:36" ht="12.5" x14ac:dyDescent="0.25">
      <c r="A90" s="160" t="e">
        <f>#REF!</f>
        <v>#REF!</v>
      </c>
      <c r="B90" s="206" t="e">
        <f>#REF!</f>
        <v>#REF!</v>
      </c>
      <c r="C90" s="207"/>
      <c r="D90" s="208" t="e">
        <f>#REF!</f>
        <v>#REF!</v>
      </c>
      <c r="E90" s="166" t="e">
        <f>#REF!</f>
        <v>#REF!</v>
      </c>
      <c r="F90" s="341" t="e">
        <f>#REF!</f>
        <v>#REF!</v>
      </c>
      <c r="G90" s="345" t="e">
        <f>#REF!</f>
        <v>#REF!</v>
      </c>
      <c r="H90" s="349" t="e">
        <f>#REF!</f>
        <v>#REF!</v>
      </c>
      <c r="I90" s="169" t="e">
        <f>#REF!</f>
        <v>#REF!</v>
      </c>
      <c r="J90" s="170" t="e">
        <f>#REF!</f>
        <v>#REF!</v>
      </c>
      <c r="K90" s="202"/>
      <c r="L90" s="202"/>
      <c r="M90" s="211"/>
      <c r="N90" s="209" t="e">
        <f>#REF!</f>
        <v>#REF!</v>
      </c>
      <c r="O90" s="209" t="e">
        <f>#REF!</f>
        <v>#REF!</v>
      </c>
      <c r="P90" s="209" t="e">
        <f>#REF!</f>
        <v>#REF!</v>
      </c>
      <c r="Q90" s="160" t="e">
        <f>#REF!</f>
        <v>#REF!</v>
      </c>
      <c r="R90" s="160" t="e">
        <f>#REF!</f>
        <v>#REF!</v>
      </c>
      <c r="S90" s="210"/>
      <c r="T90" s="164"/>
      <c r="U90" s="164"/>
      <c r="V90" s="164"/>
      <c r="W90" s="164"/>
      <c r="X90" s="164"/>
      <c r="Y90" s="164"/>
      <c r="Z90" s="164"/>
      <c r="AA90" s="147" t="e">
        <f>#REF!</f>
        <v>#REF!</v>
      </c>
      <c r="AB90" s="39" t="e">
        <f>#REF!</f>
        <v>#REF!</v>
      </c>
      <c r="AC90" s="39" t="e">
        <f>#REF!</f>
        <v>#REF!</v>
      </c>
      <c r="AD90" s="207"/>
      <c r="AE90" s="3" t="e">
        <f>#REF!-#REF!*20</f>
        <v>#REF!</v>
      </c>
      <c r="AF90" s="39" t="e">
        <f>ROUND(MAX(0.6*#REF!^1.299,850)*(1+ tech_2_6*Techs!AC90 + tech_2_9*Techs!AF90 + tech_3_7*Techs!AN90 + Overview!$I$32),0)</f>
        <v>#REF!</v>
      </c>
      <c r="AG90" s="39" t="e">
        <f>IF(ROUND(MAX(IF(#REF!&gt;=300,5+0.003*(#REF!-300)^1.07,5-300/#REF!)+0,3),0)&lt;=6,ROUND(MAX(IF(#REF!&gt;=300,5+0.003*(#REF!-300)^1.07,5-300/#REF!)+0,3),0),ROUND(MAX(IF(#REF!&gt;=300,5+0.003*(#REF!-300)^1.07,5-300/#REF!)+tech_2_9_2*#REF!+tech_3_7_2*#REF!,6),0))</f>
        <v>#REF!</v>
      </c>
      <c r="AH90" s="39" t="e">
        <f>SUM(#REF!)*#REF!</f>
        <v>#REF!</v>
      </c>
      <c r="AI90" s="39" t="e">
        <f>SUM(#REF!)*#REF!</f>
        <v>#REF!</v>
      </c>
      <c r="AJ90" s="3" t="e">
        <f>_xlfn.FLOOR.MATH(MIN(#REF!/#REF!,#REF!/#REF!))</f>
        <v>#REF!</v>
      </c>
    </row>
    <row r="91" spans="1:36" ht="12.5" x14ac:dyDescent="0.25">
      <c r="A91" s="160" t="e">
        <f>#REF!</f>
        <v>#REF!</v>
      </c>
      <c r="B91" s="206" t="e">
        <f>#REF!</f>
        <v>#REF!</v>
      </c>
      <c r="C91" s="207"/>
      <c r="D91" s="208" t="e">
        <f>#REF!</f>
        <v>#REF!</v>
      </c>
      <c r="E91" s="166" t="e">
        <f>#REF!</f>
        <v>#REF!</v>
      </c>
      <c r="F91" s="341" t="e">
        <f>#REF!</f>
        <v>#REF!</v>
      </c>
      <c r="G91" s="345" t="e">
        <f>#REF!</f>
        <v>#REF!</v>
      </c>
      <c r="H91" s="349" t="e">
        <f>#REF!</f>
        <v>#REF!</v>
      </c>
      <c r="I91" s="169" t="e">
        <f>#REF!</f>
        <v>#REF!</v>
      </c>
      <c r="J91" s="170" t="e">
        <f>#REF!</f>
        <v>#REF!</v>
      </c>
      <c r="K91" s="202"/>
      <c r="L91" s="202"/>
      <c r="M91" s="211"/>
      <c r="N91" s="209" t="e">
        <f>#REF!</f>
        <v>#REF!</v>
      </c>
      <c r="O91" s="209" t="e">
        <f>#REF!</f>
        <v>#REF!</v>
      </c>
      <c r="P91" s="209" t="e">
        <f>#REF!</f>
        <v>#REF!</v>
      </c>
      <c r="Q91" s="160" t="e">
        <f>#REF!</f>
        <v>#REF!</v>
      </c>
      <c r="R91" s="160" t="e">
        <f>#REF!</f>
        <v>#REF!</v>
      </c>
      <c r="S91" s="210"/>
      <c r="T91" s="146"/>
      <c r="U91" s="164"/>
      <c r="V91" s="164"/>
      <c r="W91" s="164"/>
      <c r="X91" s="164"/>
      <c r="Y91" s="164"/>
      <c r="Z91" s="164"/>
      <c r="AA91" s="147" t="e">
        <f>#REF!</f>
        <v>#REF!</v>
      </c>
      <c r="AB91" s="39" t="e">
        <f>#REF!</f>
        <v>#REF!</v>
      </c>
      <c r="AC91" s="39" t="e">
        <f>#REF!</f>
        <v>#REF!</v>
      </c>
      <c r="AD91" s="207"/>
      <c r="AE91" s="3" t="e">
        <f>#REF!-#REF!*20</f>
        <v>#REF!</v>
      </c>
      <c r="AF91" s="39" t="e">
        <f>ROUND(MAX(0.6*#REF!^1.299,850)*(1+ tech_2_6*Techs!AC91 + tech_2_9*Techs!AF91 + tech_3_7*Techs!AN91 + Overview!$I$32),0)</f>
        <v>#REF!</v>
      </c>
      <c r="AG91" s="39" t="e">
        <f>IF(ROUND(MAX(IF(#REF!&gt;=300,5+0.003*(#REF!-300)^1.07,5-300/#REF!)+0,3),0)&lt;=6,ROUND(MAX(IF(#REF!&gt;=300,5+0.003*(#REF!-300)^1.07,5-300/#REF!)+0,3),0),ROUND(MAX(IF(#REF!&gt;=300,5+0.003*(#REF!-300)^1.07,5-300/#REF!)+tech_2_9_2*#REF!+tech_3_7_2*#REF!,6),0))</f>
        <v>#REF!</v>
      </c>
      <c r="AH91" s="39" t="e">
        <f>SUM(#REF!)*#REF!</f>
        <v>#REF!</v>
      </c>
      <c r="AI91" s="39" t="e">
        <f>SUM(#REF!)*#REF!</f>
        <v>#REF!</v>
      </c>
      <c r="AJ91" s="3" t="e">
        <f>_xlfn.FLOOR.MATH(MIN(#REF!/#REF!,#REF!/#REF!))</f>
        <v>#REF!</v>
      </c>
    </row>
    <row r="92" spans="1:36" ht="12.5" x14ac:dyDescent="0.25">
      <c r="A92" s="160" t="e">
        <f>#REF!</f>
        <v>#REF!</v>
      </c>
      <c r="B92" s="206" t="e">
        <f>#REF!</f>
        <v>#REF!</v>
      </c>
      <c r="C92" s="207"/>
      <c r="D92" s="208" t="e">
        <f>#REF!</f>
        <v>#REF!</v>
      </c>
      <c r="E92" s="166" t="e">
        <f>#REF!</f>
        <v>#REF!</v>
      </c>
      <c r="F92" s="341" t="e">
        <f>#REF!</f>
        <v>#REF!</v>
      </c>
      <c r="G92" s="345" t="e">
        <f>#REF!</f>
        <v>#REF!</v>
      </c>
      <c r="H92" s="349" t="e">
        <f>#REF!</f>
        <v>#REF!</v>
      </c>
      <c r="I92" s="169" t="e">
        <f>#REF!</f>
        <v>#REF!</v>
      </c>
      <c r="J92" s="170" t="e">
        <f>#REF!</f>
        <v>#REF!</v>
      </c>
      <c r="K92" s="202"/>
      <c r="L92" s="202"/>
      <c r="M92" s="211"/>
      <c r="N92" s="209" t="e">
        <f>#REF!</f>
        <v>#REF!</v>
      </c>
      <c r="O92" s="209" t="e">
        <f>#REF!</f>
        <v>#REF!</v>
      </c>
      <c r="P92" s="209" t="e">
        <f>#REF!</f>
        <v>#REF!</v>
      </c>
      <c r="Q92" s="160" t="e">
        <f>#REF!</f>
        <v>#REF!</v>
      </c>
      <c r="R92" s="160" t="e">
        <f>#REF!</f>
        <v>#REF!</v>
      </c>
      <c r="S92" s="210"/>
      <c r="T92" s="146"/>
      <c r="U92" s="164"/>
      <c r="V92" s="164"/>
      <c r="W92" s="164"/>
      <c r="X92" s="164"/>
      <c r="Y92" s="164"/>
      <c r="Z92" s="164"/>
      <c r="AA92" s="147" t="e">
        <f>#REF!</f>
        <v>#REF!</v>
      </c>
      <c r="AB92" s="39" t="e">
        <f>#REF!</f>
        <v>#REF!</v>
      </c>
      <c r="AC92" s="39" t="e">
        <f>#REF!</f>
        <v>#REF!</v>
      </c>
      <c r="AD92" s="207"/>
      <c r="AE92" s="3" t="e">
        <f>#REF!-#REF!*20</f>
        <v>#REF!</v>
      </c>
      <c r="AF92" s="39" t="e">
        <f>ROUND(MAX(0.6*#REF!^1.299,850)*(1+ tech_2_6*Techs!AC92 + tech_2_9*Techs!AF92 + tech_3_7*Techs!AN92 + Overview!$I$32),0)</f>
        <v>#REF!</v>
      </c>
      <c r="AG92" s="39" t="e">
        <f>IF(ROUND(MAX(IF(#REF!&gt;=300,5+0.003*(#REF!-300)^1.07,5-300/#REF!)+0,3),0)&lt;=6,ROUND(MAX(IF(#REF!&gt;=300,5+0.003*(#REF!-300)^1.07,5-300/#REF!)+0,3),0),ROUND(MAX(IF(#REF!&gt;=300,5+0.003*(#REF!-300)^1.07,5-300/#REF!)+tech_2_9_2*#REF!+tech_3_7_2*#REF!,6),0))</f>
        <v>#REF!</v>
      </c>
      <c r="AH92" s="39" t="e">
        <f>SUM(#REF!)*#REF!</f>
        <v>#REF!</v>
      </c>
      <c r="AI92" s="39" t="e">
        <f>SUM(#REF!)*#REF!</f>
        <v>#REF!</v>
      </c>
      <c r="AJ92" s="3" t="e">
        <f>_xlfn.FLOOR.MATH(MIN(#REF!/#REF!,#REF!/#REF!))</f>
        <v>#REF!</v>
      </c>
    </row>
    <row r="93" spans="1:36" ht="12.5" x14ac:dyDescent="0.25">
      <c r="A93" s="160" t="e">
        <f>#REF!</f>
        <v>#REF!</v>
      </c>
      <c r="B93" s="206" t="e">
        <f>#REF!</f>
        <v>#REF!</v>
      </c>
      <c r="C93" s="207"/>
      <c r="D93" s="208" t="e">
        <f>#REF!</f>
        <v>#REF!</v>
      </c>
      <c r="E93" s="166" t="e">
        <f>#REF!</f>
        <v>#REF!</v>
      </c>
      <c r="F93" s="341" t="e">
        <f>#REF!</f>
        <v>#REF!</v>
      </c>
      <c r="G93" s="345" t="e">
        <f>#REF!</f>
        <v>#REF!</v>
      </c>
      <c r="H93" s="349" t="e">
        <f>#REF!</f>
        <v>#REF!</v>
      </c>
      <c r="I93" s="169" t="e">
        <f>#REF!</f>
        <v>#REF!</v>
      </c>
      <c r="J93" s="170" t="e">
        <f>#REF!</f>
        <v>#REF!</v>
      </c>
      <c r="K93" s="202"/>
      <c r="L93" s="202"/>
      <c r="M93" s="211"/>
      <c r="N93" s="209" t="e">
        <f>#REF!</f>
        <v>#REF!</v>
      </c>
      <c r="O93" s="209" t="e">
        <f>#REF!</f>
        <v>#REF!</v>
      </c>
      <c r="P93" s="209" t="e">
        <f>#REF!</f>
        <v>#REF!</v>
      </c>
      <c r="Q93" s="160" t="e">
        <f>#REF!</f>
        <v>#REF!</v>
      </c>
      <c r="R93" s="160" t="e">
        <f>#REF!</f>
        <v>#REF!</v>
      </c>
      <c r="S93" s="210"/>
      <c r="T93" s="164"/>
      <c r="U93" s="164"/>
      <c r="V93" s="164"/>
      <c r="W93" s="164"/>
      <c r="X93" s="164"/>
      <c r="Y93" s="164"/>
      <c r="Z93" s="164"/>
      <c r="AA93" s="147" t="e">
        <f>#REF!</f>
        <v>#REF!</v>
      </c>
      <c r="AB93" s="39" t="e">
        <f>#REF!</f>
        <v>#REF!</v>
      </c>
      <c r="AC93" s="39" t="e">
        <f>#REF!</f>
        <v>#REF!</v>
      </c>
      <c r="AD93" s="207"/>
      <c r="AE93" s="3" t="e">
        <f>#REF!-#REF!*20</f>
        <v>#REF!</v>
      </c>
      <c r="AF93" s="39" t="e">
        <f>ROUND(MAX(0.6*#REF!^1.299,850)*(1+ tech_2_6*Techs!AC93 + tech_2_9*Techs!AF93 + tech_3_7*Techs!AN93 + Overview!$I$32),0)</f>
        <v>#REF!</v>
      </c>
      <c r="AG93" s="39" t="e">
        <f>IF(ROUND(MAX(IF(#REF!&gt;=300,5+0.003*(#REF!-300)^1.07,5-300/#REF!)+0,3),0)&lt;=6,ROUND(MAX(IF(#REF!&gt;=300,5+0.003*(#REF!-300)^1.07,5-300/#REF!)+0,3),0),ROUND(MAX(IF(#REF!&gt;=300,5+0.003*(#REF!-300)^1.07,5-300/#REF!)+tech_2_9_2*#REF!+tech_3_7_2*#REF!,6),0))</f>
        <v>#REF!</v>
      </c>
      <c r="AH93" s="39" t="e">
        <f>SUM(#REF!)*#REF!</f>
        <v>#REF!</v>
      </c>
      <c r="AI93" s="39" t="e">
        <f>SUM(#REF!)*#REF!</f>
        <v>#REF!</v>
      </c>
      <c r="AJ93" s="3" t="e">
        <f>_xlfn.FLOOR.MATH(MIN(#REF!/#REF!,#REF!/#REF!))</f>
        <v>#REF!</v>
      </c>
    </row>
    <row r="94" spans="1:36" ht="12.5" x14ac:dyDescent="0.25">
      <c r="A94" s="160" t="e">
        <f>#REF!</f>
        <v>#REF!</v>
      </c>
      <c r="B94" s="206" t="e">
        <f>#REF!</f>
        <v>#REF!</v>
      </c>
      <c r="C94" s="207"/>
      <c r="D94" s="208" t="e">
        <f>#REF!</f>
        <v>#REF!</v>
      </c>
      <c r="E94" s="166" t="e">
        <f>#REF!</f>
        <v>#REF!</v>
      </c>
      <c r="F94" s="341" t="e">
        <f>#REF!</f>
        <v>#REF!</v>
      </c>
      <c r="G94" s="345" t="e">
        <f>#REF!</f>
        <v>#REF!</v>
      </c>
      <c r="H94" s="349" t="e">
        <f>#REF!</f>
        <v>#REF!</v>
      </c>
      <c r="I94" s="169" t="e">
        <f>#REF!</f>
        <v>#REF!</v>
      </c>
      <c r="J94" s="170" t="e">
        <f>#REF!</f>
        <v>#REF!</v>
      </c>
      <c r="K94" s="202"/>
      <c r="L94" s="202"/>
      <c r="M94" s="211"/>
      <c r="N94" s="209" t="e">
        <f>#REF!</f>
        <v>#REF!</v>
      </c>
      <c r="O94" s="209" t="e">
        <f>#REF!</f>
        <v>#REF!</v>
      </c>
      <c r="P94" s="209" t="e">
        <f>#REF!</f>
        <v>#REF!</v>
      </c>
      <c r="Q94" s="160" t="e">
        <f>#REF!</f>
        <v>#REF!</v>
      </c>
      <c r="R94" s="160" t="e">
        <f>#REF!</f>
        <v>#REF!</v>
      </c>
      <c r="S94" s="210"/>
      <c r="T94" s="164"/>
      <c r="U94" s="164"/>
      <c r="V94" s="164"/>
      <c r="W94" s="164"/>
      <c r="X94" s="164"/>
      <c r="Y94" s="164"/>
      <c r="Z94" s="164"/>
      <c r="AA94" s="147" t="e">
        <f>#REF!</f>
        <v>#REF!</v>
      </c>
      <c r="AB94" s="39" t="e">
        <f>#REF!</f>
        <v>#REF!</v>
      </c>
      <c r="AC94" s="39" t="e">
        <f>#REF!</f>
        <v>#REF!</v>
      </c>
      <c r="AD94" s="207"/>
      <c r="AE94" s="3" t="e">
        <f>#REF!-#REF!*20</f>
        <v>#REF!</v>
      </c>
      <c r="AF94" s="39" t="e">
        <f>ROUND(MAX(0.6*#REF!^1.299,850)*(1+ tech_2_6*Techs!AC94 + tech_2_9*Techs!AF94 + tech_3_7*Techs!AN94 + Overview!$I$32),0)</f>
        <v>#REF!</v>
      </c>
      <c r="AG94" s="39" t="e">
        <f>IF(ROUND(MAX(IF(#REF!&gt;=300,5+0.003*(#REF!-300)^1.07,5-300/#REF!)+0,3),0)&lt;=6,ROUND(MAX(IF(#REF!&gt;=300,5+0.003*(#REF!-300)^1.07,5-300/#REF!)+0,3),0),ROUND(MAX(IF(#REF!&gt;=300,5+0.003*(#REF!-300)^1.07,5-300/#REF!)+tech_2_9_2*#REF!+tech_3_7_2*#REF!,6),0))</f>
        <v>#REF!</v>
      </c>
      <c r="AH94" s="39" t="e">
        <f>SUM(#REF!)*#REF!</f>
        <v>#REF!</v>
      </c>
      <c r="AI94" s="39" t="e">
        <f>SUM(#REF!)*#REF!</f>
        <v>#REF!</v>
      </c>
      <c r="AJ94" s="3" t="e">
        <f>_xlfn.FLOOR.MATH(MIN(#REF!/#REF!,#REF!/#REF!))</f>
        <v>#REF!</v>
      </c>
    </row>
    <row r="95" spans="1:36" ht="12.5" x14ac:dyDescent="0.25">
      <c r="A95" s="160" t="e">
        <f>#REF!</f>
        <v>#REF!</v>
      </c>
      <c r="B95" s="206" t="e">
        <f>#REF!</f>
        <v>#REF!</v>
      </c>
      <c r="C95" s="207"/>
      <c r="D95" s="208" t="e">
        <f>#REF!</f>
        <v>#REF!</v>
      </c>
      <c r="E95" s="166" t="e">
        <f>#REF!</f>
        <v>#REF!</v>
      </c>
      <c r="F95" s="341" t="e">
        <f>#REF!</f>
        <v>#REF!</v>
      </c>
      <c r="G95" s="345" t="e">
        <f>#REF!</f>
        <v>#REF!</v>
      </c>
      <c r="H95" s="349" t="e">
        <f>#REF!</f>
        <v>#REF!</v>
      </c>
      <c r="I95" s="169" t="e">
        <f>#REF!</f>
        <v>#REF!</v>
      </c>
      <c r="J95" s="170" t="e">
        <f>#REF!</f>
        <v>#REF!</v>
      </c>
      <c r="K95" s="202"/>
      <c r="L95" s="202"/>
      <c r="M95" s="211"/>
      <c r="N95" s="209" t="e">
        <f>#REF!</f>
        <v>#REF!</v>
      </c>
      <c r="O95" s="209" t="e">
        <f>#REF!</f>
        <v>#REF!</v>
      </c>
      <c r="P95" s="209" t="e">
        <f>#REF!</f>
        <v>#REF!</v>
      </c>
      <c r="Q95" s="160" t="e">
        <f>#REF!</f>
        <v>#REF!</v>
      </c>
      <c r="R95" s="160" t="e">
        <f>#REF!</f>
        <v>#REF!</v>
      </c>
      <c r="S95" s="210"/>
      <c r="T95" s="164"/>
      <c r="U95" s="164"/>
      <c r="V95" s="164"/>
      <c r="W95" s="164"/>
      <c r="X95" s="164"/>
      <c r="Y95" s="164"/>
      <c r="Z95" s="164"/>
      <c r="AA95" s="147" t="e">
        <f>#REF!</f>
        <v>#REF!</v>
      </c>
      <c r="AB95" s="39" t="e">
        <f>#REF!</f>
        <v>#REF!</v>
      </c>
      <c r="AC95" s="39" t="e">
        <f>#REF!</f>
        <v>#REF!</v>
      </c>
      <c r="AD95" s="207"/>
      <c r="AE95" s="3" t="e">
        <f>#REF!-#REF!*20</f>
        <v>#REF!</v>
      </c>
      <c r="AF95" s="39" t="e">
        <f>ROUND(MAX(0.6*#REF!^1.299,850)*(1+ tech_2_6*Techs!AC95 + tech_2_9*Techs!AF95 + tech_3_7*Techs!AN95 + Overview!$I$32),0)</f>
        <v>#REF!</v>
      </c>
      <c r="AG95" s="39" t="e">
        <f>IF(ROUND(MAX(IF(#REF!&gt;=300,5+0.003*(#REF!-300)^1.07,5-300/#REF!)+0,3),0)&lt;=6,ROUND(MAX(IF(#REF!&gt;=300,5+0.003*(#REF!-300)^1.07,5-300/#REF!)+0,3),0),ROUND(MAX(IF(#REF!&gt;=300,5+0.003*(#REF!-300)^1.07,5-300/#REF!)+tech_2_9_2*#REF!+tech_3_7_2*#REF!,6),0))</f>
        <v>#REF!</v>
      </c>
      <c r="AH95" s="39" t="e">
        <f>SUM(#REF!)*#REF!</f>
        <v>#REF!</v>
      </c>
      <c r="AI95" s="39" t="e">
        <f>SUM(#REF!)*#REF!</f>
        <v>#REF!</v>
      </c>
      <c r="AJ95" s="3" t="e">
        <f>_xlfn.FLOOR.MATH(MIN(#REF!/#REF!,#REF!/#REF!))</f>
        <v>#REF!</v>
      </c>
    </row>
    <row r="96" spans="1:36" ht="12.5" x14ac:dyDescent="0.25">
      <c r="A96" s="160" t="e">
        <f>#REF!</f>
        <v>#REF!</v>
      </c>
      <c r="B96" s="206" t="e">
        <f>#REF!</f>
        <v>#REF!</v>
      </c>
      <c r="C96" s="207"/>
      <c r="D96" s="208" t="e">
        <f>#REF!</f>
        <v>#REF!</v>
      </c>
      <c r="E96" s="166" t="e">
        <f>#REF!</f>
        <v>#REF!</v>
      </c>
      <c r="F96" s="341" t="e">
        <f>#REF!</f>
        <v>#REF!</v>
      </c>
      <c r="G96" s="345" t="e">
        <f>#REF!</f>
        <v>#REF!</v>
      </c>
      <c r="H96" s="349" t="e">
        <f>#REF!</f>
        <v>#REF!</v>
      </c>
      <c r="I96" s="169" t="e">
        <f>#REF!</f>
        <v>#REF!</v>
      </c>
      <c r="J96" s="170" t="e">
        <f>#REF!</f>
        <v>#REF!</v>
      </c>
      <c r="K96" s="202"/>
      <c r="L96" s="202"/>
      <c r="M96" s="202"/>
      <c r="N96" s="209" t="e">
        <f>#REF!</f>
        <v>#REF!</v>
      </c>
      <c r="O96" s="209" t="e">
        <f>#REF!</f>
        <v>#REF!</v>
      </c>
      <c r="P96" s="209" t="e">
        <f>#REF!</f>
        <v>#REF!</v>
      </c>
      <c r="Q96" s="160" t="e">
        <f>#REF!</f>
        <v>#REF!</v>
      </c>
      <c r="R96" s="206" t="e">
        <f>#REF!</f>
        <v>#REF!</v>
      </c>
      <c r="S96" s="210"/>
      <c r="T96" s="164"/>
      <c r="U96" s="164"/>
      <c r="V96" s="164"/>
      <c r="W96" s="164"/>
      <c r="X96" s="164"/>
      <c r="Y96" s="164"/>
      <c r="Z96" s="164"/>
      <c r="AA96" s="147" t="e">
        <f>#REF!</f>
        <v>#REF!</v>
      </c>
      <c r="AB96" s="39" t="e">
        <f>#REF!</f>
        <v>#REF!</v>
      </c>
      <c r="AC96" s="39" t="e">
        <f>#REF!</f>
        <v>#REF!</v>
      </c>
      <c r="AD96" s="207"/>
      <c r="AE96" s="3" t="e">
        <f>#REF!-#REF!*20</f>
        <v>#REF!</v>
      </c>
      <c r="AF96" s="39" t="e">
        <f>ROUND(MAX(0.6*#REF!^1.299,850)*(1+ tech_2_6*Techs!AC96 + tech_2_9*Techs!AF96 + tech_3_7*Techs!AN96 + Overview!$I$32),0)</f>
        <v>#REF!</v>
      </c>
      <c r="AG96" s="39" t="e">
        <f>IF(ROUND(MAX(IF(#REF!&gt;=300,5+0.003*(#REF!-300)^1.07,5-300/#REF!)+0,3),0)&lt;=6,ROUND(MAX(IF(#REF!&gt;=300,5+0.003*(#REF!-300)^1.07,5-300/#REF!)+0,3),0),ROUND(MAX(IF(#REF!&gt;=300,5+0.003*(#REF!-300)^1.07,5-300/#REF!)+tech_2_9_2*#REF!+tech_3_7_2*#REF!,6),0))</f>
        <v>#REF!</v>
      </c>
      <c r="AH96" s="39" t="e">
        <f>SUM(#REF!)*#REF!</f>
        <v>#REF!</v>
      </c>
      <c r="AI96" s="39" t="e">
        <f>SUM(#REF!)*#REF!</f>
        <v>#REF!</v>
      </c>
      <c r="AJ96" s="3" t="e">
        <f>_xlfn.FLOOR.MATH(MIN(#REF!/#REF!,#REF!/#REF!))</f>
        <v>#REF!</v>
      </c>
    </row>
    <row r="97" spans="1:36" ht="12.5" x14ac:dyDescent="0.25">
      <c r="A97" s="160" t="e">
        <f>#REF!</f>
        <v>#REF!</v>
      </c>
      <c r="B97" s="206" t="e">
        <f>#REF!</f>
        <v>#REF!</v>
      </c>
      <c r="C97" s="207"/>
      <c r="D97" s="208" t="e">
        <f>#REF!</f>
        <v>#REF!</v>
      </c>
      <c r="E97" s="166" t="e">
        <f>#REF!</f>
        <v>#REF!</v>
      </c>
      <c r="F97" s="341" t="e">
        <f>#REF!</f>
        <v>#REF!</v>
      </c>
      <c r="G97" s="345" t="e">
        <f>#REF!</f>
        <v>#REF!</v>
      </c>
      <c r="H97" s="349" t="e">
        <f>#REF!</f>
        <v>#REF!</v>
      </c>
      <c r="I97" s="169" t="e">
        <f>#REF!</f>
        <v>#REF!</v>
      </c>
      <c r="J97" s="170" t="e">
        <f>#REF!</f>
        <v>#REF!</v>
      </c>
      <c r="K97" s="202"/>
      <c r="L97" s="202"/>
      <c r="M97" s="202"/>
      <c r="N97" s="209" t="e">
        <f>#REF!</f>
        <v>#REF!</v>
      </c>
      <c r="O97" s="209" t="e">
        <f>#REF!</f>
        <v>#REF!</v>
      </c>
      <c r="P97" s="209" t="e">
        <f>#REF!</f>
        <v>#REF!</v>
      </c>
      <c r="Q97" s="160" t="e">
        <f>#REF!</f>
        <v>#REF!</v>
      </c>
      <c r="R97" s="206" t="e">
        <f>#REF!</f>
        <v>#REF!</v>
      </c>
      <c r="S97" s="210"/>
      <c r="T97" s="164"/>
      <c r="U97" s="164"/>
      <c r="V97" s="164"/>
      <c r="W97" s="164"/>
      <c r="X97" s="164"/>
      <c r="Y97" s="164"/>
      <c r="Z97" s="164"/>
      <c r="AA97" s="147" t="e">
        <f>#REF!</f>
        <v>#REF!</v>
      </c>
      <c r="AB97" s="39" t="e">
        <f>#REF!</f>
        <v>#REF!</v>
      </c>
      <c r="AC97" s="39" t="e">
        <f>#REF!</f>
        <v>#REF!</v>
      </c>
      <c r="AD97" s="207"/>
      <c r="AE97" s="3" t="e">
        <f>#REF!-#REF!*20</f>
        <v>#REF!</v>
      </c>
      <c r="AF97" s="39" t="e">
        <f>ROUND(MAX(0.6*#REF!^1.299,850)*(1+ tech_2_6*Techs!AC97 + tech_2_9*Techs!AF97 + tech_3_7*Techs!AN97 + Overview!$I$32),0)</f>
        <v>#REF!</v>
      </c>
      <c r="AG97" s="39" t="e">
        <f>IF(ROUND(MAX(IF(#REF!&gt;=300,5+0.003*(#REF!-300)^1.07,5-300/#REF!)+0,3),0)&lt;=6,ROUND(MAX(IF(#REF!&gt;=300,5+0.003*(#REF!-300)^1.07,5-300/#REF!)+0,3),0),ROUND(MAX(IF(#REF!&gt;=300,5+0.003*(#REF!-300)^1.07,5-300/#REF!)+tech_2_9_2*#REF!+tech_3_7_2*#REF!,6),0))</f>
        <v>#REF!</v>
      </c>
      <c r="AH97" s="39" t="e">
        <f>SUM(#REF!)*#REF!</f>
        <v>#REF!</v>
      </c>
      <c r="AI97" s="39" t="e">
        <f>SUM(#REF!)*#REF!</f>
        <v>#REF!</v>
      </c>
      <c r="AJ97" s="3" t="e">
        <f>_xlfn.FLOOR.MATH(MIN(#REF!/#REF!,#REF!/#REF!))</f>
        <v>#REF!</v>
      </c>
    </row>
    <row r="98" spans="1:36" ht="12.5" x14ac:dyDescent="0.25">
      <c r="A98" s="160" t="e">
        <f>#REF!</f>
        <v>#REF!</v>
      </c>
      <c r="B98" s="206" t="e">
        <f>#REF!</f>
        <v>#REF!</v>
      </c>
      <c r="C98" s="207"/>
      <c r="D98" s="208" t="e">
        <f>#REF!</f>
        <v>#REF!</v>
      </c>
      <c r="E98" s="166" t="e">
        <f>#REF!</f>
        <v>#REF!</v>
      </c>
      <c r="F98" s="341" t="e">
        <f>#REF!</f>
        <v>#REF!</v>
      </c>
      <c r="G98" s="345" t="e">
        <f>#REF!</f>
        <v>#REF!</v>
      </c>
      <c r="H98" s="349" t="e">
        <f>#REF!</f>
        <v>#REF!</v>
      </c>
      <c r="I98" s="169" t="e">
        <f>#REF!</f>
        <v>#REF!</v>
      </c>
      <c r="J98" s="170" t="e">
        <f>#REF!</f>
        <v>#REF!</v>
      </c>
      <c r="K98" s="202"/>
      <c r="L98" s="202"/>
      <c r="M98" s="211"/>
      <c r="N98" s="209" t="e">
        <f>#REF!</f>
        <v>#REF!</v>
      </c>
      <c r="O98" s="209" t="e">
        <f>#REF!</f>
        <v>#REF!</v>
      </c>
      <c r="P98" s="209" t="e">
        <f>#REF!</f>
        <v>#REF!</v>
      </c>
      <c r="Q98" s="160" t="e">
        <f>#REF!</f>
        <v>#REF!</v>
      </c>
      <c r="R98" s="160" t="e">
        <f>#REF!</f>
        <v>#REF!</v>
      </c>
      <c r="S98" s="210"/>
      <c r="T98" s="164"/>
      <c r="U98" s="164"/>
      <c r="V98" s="164"/>
      <c r="W98" s="164"/>
      <c r="X98" s="164"/>
      <c r="Y98" s="164"/>
      <c r="Z98" s="164"/>
      <c r="AA98" s="147" t="e">
        <f>#REF!</f>
        <v>#REF!</v>
      </c>
      <c r="AB98" s="39" t="e">
        <f>#REF!</f>
        <v>#REF!</v>
      </c>
      <c r="AC98" s="39" t="e">
        <f>#REF!</f>
        <v>#REF!</v>
      </c>
      <c r="AD98" s="207"/>
      <c r="AE98" s="3" t="e">
        <f>#REF!-#REF!*20</f>
        <v>#REF!</v>
      </c>
      <c r="AF98" s="39" t="e">
        <f>ROUND(MAX(0.6*#REF!^1.299,850)*(1+ tech_2_6*Techs!AC98 + tech_2_9*Techs!AF98 + tech_3_7*Techs!AN98 + Overview!$I$32),0)</f>
        <v>#REF!</v>
      </c>
      <c r="AG98" s="39" t="e">
        <f>IF(ROUND(MAX(IF(#REF!&gt;=300,5+0.003*(#REF!-300)^1.07,5-300/#REF!)+0,3),0)&lt;=6,ROUND(MAX(IF(#REF!&gt;=300,5+0.003*(#REF!-300)^1.07,5-300/#REF!)+0,3),0),ROUND(MAX(IF(#REF!&gt;=300,5+0.003*(#REF!-300)^1.07,5-300/#REF!)+tech_2_9_2*#REF!+tech_3_7_2*#REF!,6),0))</f>
        <v>#REF!</v>
      </c>
      <c r="AH98" s="39" t="e">
        <f>SUM(#REF!)*#REF!</f>
        <v>#REF!</v>
      </c>
      <c r="AI98" s="39" t="e">
        <f>SUM(#REF!)*#REF!</f>
        <v>#REF!</v>
      </c>
      <c r="AJ98" s="3" t="e">
        <f>_xlfn.FLOOR.MATH(MIN(#REF!/#REF!,#REF!/#REF!))</f>
        <v>#REF!</v>
      </c>
    </row>
    <row r="99" spans="1:36" ht="12.5" x14ac:dyDescent="0.25">
      <c r="A99" s="160" t="e">
        <f>#REF!</f>
        <v>#REF!</v>
      </c>
      <c r="B99" s="206" t="e">
        <f>#REF!</f>
        <v>#REF!</v>
      </c>
      <c r="C99" s="207"/>
      <c r="D99" s="208" t="e">
        <f>#REF!</f>
        <v>#REF!</v>
      </c>
      <c r="E99" s="166" t="e">
        <f>#REF!</f>
        <v>#REF!</v>
      </c>
      <c r="F99" s="341" t="e">
        <f>#REF!</f>
        <v>#REF!</v>
      </c>
      <c r="G99" s="345" t="e">
        <f>#REF!</f>
        <v>#REF!</v>
      </c>
      <c r="H99" s="349" t="e">
        <f>#REF!</f>
        <v>#REF!</v>
      </c>
      <c r="I99" s="169" t="e">
        <f>#REF!</f>
        <v>#REF!</v>
      </c>
      <c r="J99" s="170" t="e">
        <f>#REF!</f>
        <v>#REF!</v>
      </c>
      <c r="K99" s="202"/>
      <c r="L99" s="202"/>
      <c r="M99" s="211"/>
      <c r="N99" s="209" t="e">
        <f>#REF!</f>
        <v>#REF!</v>
      </c>
      <c r="O99" s="209" t="e">
        <f>#REF!</f>
        <v>#REF!</v>
      </c>
      <c r="P99" s="209" t="e">
        <f>#REF!</f>
        <v>#REF!</v>
      </c>
      <c r="Q99" s="160" t="e">
        <f>#REF!</f>
        <v>#REF!</v>
      </c>
      <c r="R99" s="160" t="e">
        <f>#REF!</f>
        <v>#REF!</v>
      </c>
      <c r="S99" s="210"/>
      <c r="T99" s="146"/>
      <c r="U99" s="164"/>
      <c r="V99" s="164"/>
      <c r="W99" s="164"/>
      <c r="X99" s="164"/>
      <c r="Y99" s="164"/>
      <c r="Z99" s="164"/>
      <c r="AA99" s="147" t="e">
        <f>#REF!</f>
        <v>#REF!</v>
      </c>
      <c r="AB99" s="39" t="e">
        <f>#REF!</f>
        <v>#REF!</v>
      </c>
      <c r="AC99" s="39" t="e">
        <f>#REF!</f>
        <v>#REF!</v>
      </c>
      <c r="AD99" s="207"/>
      <c r="AE99" s="3" t="e">
        <f>#REF!-#REF!*20</f>
        <v>#REF!</v>
      </c>
      <c r="AF99" s="39" t="e">
        <f>ROUND(MAX(0.6*#REF!^1.299,850)*(1+ tech_2_6*Techs!AC99 + tech_2_9*Techs!AF99 + tech_3_7*Techs!AN99 + Overview!$I$32),0)</f>
        <v>#REF!</v>
      </c>
      <c r="AG99" s="39" t="e">
        <f>IF(ROUND(MAX(IF(#REF!&gt;=300,5+0.003*(#REF!-300)^1.07,5-300/#REF!)+0,3),0)&lt;=6,ROUND(MAX(IF(#REF!&gt;=300,5+0.003*(#REF!-300)^1.07,5-300/#REF!)+0,3),0),ROUND(MAX(IF(#REF!&gt;=300,5+0.003*(#REF!-300)^1.07,5-300/#REF!)+tech_2_9_2*#REF!+tech_3_7_2*#REF!,6),0))</f>
        <v>#REF!</v>
      </c>
      <c r="AH99" s="39" t="e">
        <f>SUM(#REF!)*#REF!</f>
        <v>#REF!</v>
      </c>
      <c r="AI99" s="39" t="e">
        <f>SUM(#REF!)*#REF!</f>
        <v>#REF!</v>
      </c>
      <c r="AJ99" s="3" t="e">
        <f>_xlfn.FLOOR.MATH(MIN(#REF!/#REF!,#REF!/#REF!))</f>
        <v>#REF!</v>
      </c>
    </row>
    <row r="100" spans="1:36" ht="12.5" x14ac:dyDescent="0.25">
      <c r="A100" s="160" t="e">
        <f>#REF!</f>
        <v>#REF!</v>
      </c>
      <c r="B100" s="206" t="e">
        <f>#REF!</f>
        <v>#REF!</v>
      </c>
      <c r="C100" s="207"/>
      <c r="D100" s="208" t="e">
        <f>#REF!</f>
        <v>#REF!</v>
      </c>
      <c r="E100" s="166" t="e">
        <f>#REF!</f>
        <v>#REF!</v>
      </c>
      <c r="F100" s="341" t="e">
        <f>#REF!</f>
        <v>#REF!</v>
      </c>
      <c r="G100" s="345" t="e">
        <f>#REF!</f>
        <v>#REF!</v>
      </c>
      <c r="H100" s="349" t="e">
        <f>#REF!</f>
        <v>#REF!</v>
      </c>
      <c r="I100" s="169" t="e">
        <f>#REF!</f>
        <v>#REF!</v>
      </c>
      <c r="J100" s="170" t="e">
        <f>#REF!</f>
        <v>#REF!</v>
      </c>
      <c r="K100" s="202"/>
      <c r="L100" s="202"/>
      <c r="M100" s="211"/>
      <c r="N100" s="209" t="e">
        <f>#REF!</f>
        <v>#REF!</v>
      </c>
      <c r="O100" s="209" t="e">
        <f>#REF!</f>
        <v>#REF!</v>
      </c>
      <c r="P100" s="209" t="e">
        <f>#REF!</f>
        <v>#REF!</v>
      </c>
      <c r="Q100" s="160" t="e">
        <f>#REF!</f>
        <v>#REF!</v>
      </c>
      <c r="R100" s="160" t="e">
        <f>#REF!</f>
        <v>#REF!</v>
      </c>
      <c r="S100" s="210"/>
      <c r="T100" s="164"/>
      <c r="U100" s="164"/>
      <c r="V100" s="164"/>
      <c r="W100" s="164"/>
      <c r="X100" s="164"/>
      <c r="Y100" s="164"/>
      <c r="Z100" s="164"/>
      <c r="AA100" s="147" t="e">
        <f>#REF!</f>
        <v>#REF!</v>
      </c>
      <c r="AB100" s="39" t="e">
        <f>#REF!</f>
        <v>#REF!</v>
      </c>
      <c r="AC100" s="39" t="e">
        <f>#REF!</f>
        <v>#REF!</v>
      </c>
      <c r="AD100" s="207"/>
      <c r="AE100" s="3" t="e">
        <f>#REF!-#REF!*20</f>
        <v>#REF!</v>
      </c>
      <c r="AF100" s="39" t="e">
        <f>ROUND(MAX(0.6*#REF!^1.299,850)*(1+ tech_2_6*Techs!AC100 + tech_2_9*Techs!AF100 + tech_3_7*Techs!AN100 + Overview!$I$32),0)</f>
        <v>#REF!</v>
      </c>
      <c r="AG100" s="39" t="e">
        <f>IF(ROUND(MAX(IF(#REF!&gt;=300,5+0.003*(#REF!-300)^1.07,5-300/#REF!)+0,3),0)&lt;=6,ROUND(MAX(IF(#REF!&gt;=300,5+0.003*(#REF!-300)^1.07,5-300/#REF!)+0,3),0),ROUND(MAX(IF(#REF!&gt;=300,5+0.003*(#REF!-300)^1.07,5-300/#REF!)+tech_2_9_2*#REF!+tech_3_7_2*#REF!,6),0))</f>
        <v>#REF!</v>
      </c>
      <c r="AH100" s="39" t="e">
        <f>SUM(#REF!)*#REF!</f>
        <v>#REF!</v>
      </c>
      <c r="AI100" s="39" t="e">
        <f>SUM(#REF!)*#REF!</f>
        <v>#REF!</v>
      </c>
      <c r="AJ100" s="3" t="e">
        <f>_xlfn.FLOOR.MATH(MIN(#REF!/#REF!,#REF!/#REF!))</f>
        <v>#REF!</v>
      </c>
    </row>
    <row r="101" spans="1:36" ht="12.5" x14ac:dyDescent="0.25">
      <c r="A101" s="160" t="e">
        <f>#REF!</f>
        <v>#REF!</v>
      </c>
      <c r="B101" s="206" t="e">
        <f>#REF!</f>
        <v>#REF!</v>
      </c>
      <c r="C101" s="207"/>
      <c r="D101" s="208" t="e">
        <f>#REF!</f>
        <v>#REF!</v>
      </c>
      <c r="E101" s="166" t="e">
        <f>#REF!</f>
        <v>#REF!</v>
      </c>
      <c r="F101" s="341" t="e">
        <f>#REF!</f>
        <v>#REF!</v>
      </c>
      <c r="G101" s="345" t="e">
        <f>#REF!</f>
        <v>#REF!</v>
      </c>
      <c r="H101" s="349" t="e">
        <f>#REF!</f>
        <v>#REF!</v>
      </c>
      <c r="I101" s="169" t="e">
        <f>#REF!</f>
        <v>#REF!</v>
      </c>
      <c r="J101" s="170" t="e">
        <f>#REF!</f>
        <v>#REF!</v>
      </c>
      <c r="K101" s="202"/>
      <c r="L101" s="202"/>
      <c r="M101" s="211"/>
      <c r="N101" s="209" t="e">
        <f>#REF!</f>
        <v>#REF!</v>
      </c>
      <c r="O101" s="209" t="e">
        <f>#REF!</f>
        <v>#REF!</v>
      </c>
      <c r="P101" s="209" t="e">
        <f>#REF!</f>
        <v>#REF!</v>
      </c>
      <c r="Q101" s="160" t="e">
        <f>#REF!</f>
        <v>#REF!</v>
      </c>
      <c r="R101" s="160" t="e">
        <f>#REF!</f>
        <v>#REF!</v>
      </c>
      <c r="S101" s="210"/>
      <c r="T101" s="146"/>
      <c r="U101" s="164"/>
      <c r="V101" s="164"/>
      <c r="W101" s="164"/>
      <c r="X101" s="164"/>
      <c r="Y101" s="164"/>
      <c r="Z101" s="164"/>
      <c r="AA101" s="147" t="e">
        <f>#REF!</f>
        <v>#REF!</v>
      </c>
      <c r="AB101" s="39" t="e">
        <f>#REF!</f>
        <v>#REF!</v>
      </c>
      <c r="AC101" s="39" t="e">
        <f>#REF!</f>
        <v>#REF!</v>
      </c>
      <c r="AD101" s="207"/>
      <c r="AE101" s="3" t="e">
        <f>#REF!-#REF!*20</f>
        <v>#REF!</v>
      </c>
      <c r="AF101" s="39" t="e">
        <f>ROUND(MAX(0.6*#REF!^1.299,850)*(1+ tech_2_6*Techs!AC101 + tech_2_9*Techs!AF101 + tech_3_7*Techs!AN101 + Overview!$I$32),0)</f>
        <v>#REF!</v>
      </c>
      <c r="AG101" s="39" t="e">
        <f>IF(ROUND(MAX(IF(#REF!&gt;=300,5+0.003*(#REF!-300)^1.07,5-300/#REF!)+0,3),0)&lt;=6,ROUND(MAX(IF(#REF!&gt;=300,5+0.003*(#REF!-300)^1.07,5-300/#REF!)+0,3),0),ROUND(MAX(IF(#REF!&gt;=300,5+0.003*(#REF!-300)^1.07,5-300/#REF!)+tech_2_9_2*#REF!+tech_3_7_2*#REF!,6),0))</f>
        <v>#REF!</v>
      </c>
      <c r="AH101" s="39" t="e">
        <f>SUM(#REF!)*#REF!</f>
        <v>#REF!</v>
      </c>
      <c r="AI101" s="39" t="e">
        <f>SUM(#REF!)*#REF!</f>
        <v>#REF!</v>
      </c>
      <c r="AJ101" s="3" t="e">
        <f>_xlfn.FLOOR.MATH(MIN(#REF!/#REF!,#REF!/#REF!))</f>
        <v>#REF!</v>
      </c>
    </row>
    <row r="102" spans="1:36" ht="12.5" x14ac:dyDescent="0.25">
      <c r="A102" s="160" t="e">
        <f>#REF!</f>
        <v>#REF!</v>
      </c>
      <c r="B102" s="206" t="e">
        <f>#REF!</f>
        <v>#REF!</v>
      </c>
      <c r="C102" s="207"/>
      <c r="D102" s="208" t="e">
        <f>#REF!</f>
        <v>#REF!</v>
      </c>
      <c r="E102" s="166" t="e">
        <f>#REF!</f>
        <v>#REF!</v>
      </c>
      <c r="F102" s="341" t="e">
        <f>#REF!</f>
        <v>#REF!</v>
      </c>
      <c r="G102" s="345" t="e">
        <f>#REF!</f>
        <v>#REF!</v>
      </c>
      <c r="H102" s="349" t="e">
        <f>#REF!</f>
        <v>#REF!</v>
      </c>
      <c r="I102" s="169" t="e">
        <f>#REF!</f>
        <v>#REF!</v>
      </c>
      <c r="J102" s="170" t="e">
        <f>#REF!</f>
        <v>#REF!</v>
      </c>
      <c r="K102" s="202"/>
      <c r="L102" s="202"/>
      <c r="M102" s="211"/>
      <c r="N102" s="209" t="e">
        <f>#REF!</f>
        <v>#REF!</v>
      </c>
      <c r="O102" s="209" t="e">
        <f>#REF!</f>
        <v>#REF!</v>
      </c>
      <c r="P102" s="209" t="e">
        <f>#REF!</f>
        <v>#REF!</v>
      </c>
      <c r="Q102" s="160" t="e">
        <f>#REF!</f>
        <v>#REF!</v>
      </c>
      <c r="R102" s="160" t="e">
        <f>#REF!</f>
        <v>#REF!</v>
      </c>
      <c r="S102" s="210"/>
      <c r="T102" s="146"/>
      <c r="U102" s="164"/>
      <c r="V102" s="164"/>
      <c r="W102" s="164"/>
      <c r="X102" s="164"/>
      <c r="Y102" s="164"/>
      <c r="Z102" s="164"/>
      <c r="AA102" s="147" t="e">
        <f>#REF!</f>
        <v>#REF!</v>
      </c>
      <c r="AB102" s="39" t="e">
        <f>#REF!</f>
        <v>#REF!</v>
      </c>
      <c r="AC102" s="39" t="e">
        <f>#REF!</f>
        <v>#REF!</v>
      </c>
      <c r="AD102" s="207"/>
      <c r="AE102" s="3" t="e">
        <f>#REF!-#REF!*20</f>
        <v>#REF!</v>
      </c>
      <c r="AF102" s="39" t="e">
        <f>ROUND(MAX(0.6*#REF!^1.299,850)*(1+ tech_2_6*Techs!AC102 + tech_2_9*Techs!AF102 + tech_3_7*Techs!AN102 + Overview!$I$32),0)</f>
        <v>#REF!</v>
      </c>
      <c r="AG102" s="39" t="e">
        <f>IF(ROUND(MAX(IF(#REF!&gt;=300,5+0.003*(#REF!-300)^1.07,5-300/#REF!)+0,3),0)&lt;=6,ROUND(MAX(IF(#REF!&gt;=300,5+0.003*(#REF!-300)^1.07,5-300/#REF!)+0,3),0),ROUND(MAX(IF(#REF!&gt;=300,5+0.003*(#REF!-300)^1.07,5-300/#REF!)+tech_2_9_2*#REF!+tech_3_7_2*#REF!,6),0))</f>
        <v>#REF!</v>
      </c>
      <c r="AH102" s="39" t="e">
        <f>SUM(#REF!)*#REF!</f>
        <v>#REF!</v>
      </c>
      <c r="AI102" s="39" t="e">
        <f>SUM(#REF!)*#REF!</f>
        <v>#REF!</v>
      </c>
      <c r="AJ102" s="3" t="e">
        <f>_xlfn.FLOOR.MATH(MIN(#REF!/#REF!,#REF!/#REF!))</f>
        <v>#REF!</v>
      </c>
    </row>
    <row r="103" spans="1:36" ht="12.5" x14ac:dyDescent="0.25">
      <c r="A103" s="160" t="e">
        <f>#REF!</f>
        <v>#REF!</v>
      </c>
      <c r="B103" s="206" t="e">
        <f>#REF!</f>
        <v>#REF!</v>
      </c>
      <c r="C103" s="207"/>
      <c r="D103" s="208" t="e">
        <f>#REF!</f>
        <v>#REF!</v>
      </c>
      <c r="E103" s="166" t="e">
        <f>#REF!</f>
        <v>#REF!</v>
      </c>
      <c r="F103" s="341" t="e">
        <f>#REF!</f>
        <v>#REF!</v>
      </c>
      <c r="G103" s="345" t="e">
        <f>#REF!</f>
        <v>#REF!</v>
      </c>
      <c r="H103" s="349" t="e">
        <f>#REF!</f>
        <v>#REF!</v>
      </c>
      <c r="I103" s="169" t="e">
        <f>#REF!</f>
        <v>#REF!</v>
      </c>
      <c r="J103" s="170" t="e">
        <f>#REF!</f>
        <v>#REF!</v>
      </c>
      <c r="K103" s="202"/>
      <c r="L103" s="202"/>
      <c r="M103" s="211"/>
      <c r="N103" s="209" t="e">
        <f>#REF!</f>
        <v>#REF!</v>
      </c>
      <c r="O103" s="209" t="e">
        <f>#REF!</f>
        <v>#REF!</v>
      </c>
      <c r="P103" s="209" t="e">
        <f>#REF!</f>
        <v>#REF!</v>
      </c>
      <c r="Q103" s="160" t="e">
        <f>#REF!</f>
        <v>#REF!</v>
      </c>
      <c r="R103" s="160" t="e">
        <f>#REF!</f>
        <v>#REF!</v>
      </c>
      <c r="S103" s="210"/>
      <c r="T103" s="146"/>
      <c r="U103" s="164"/>
      <c r="V103" s="164"/>
      <c r="W103" s="164"/>
      <c r="X103" s="164"/>
      <c r="Y103" s="164"/>
      <c r="Z103" s="164"/>
      <c r="AA103" s="147" t="e">
        <f>#REF!</f>
        <v>#REF!</v>
      </c>
      <c r="AB103" s="39" t="e">
        <f>#REF!</f>
        <v>#REF!</v>
      </c>
      <c r="AC103" s="39" t="e">
        <f>#REF!</f>
        <v>#REF!</v>
      </c>
      <c r="AD103" s="207"/>
      <c r="AE103" s="3" t="e">
        <f>#REF!-#REF!*20</f>
        <v>#REF!</v>
      </c>
      <c r="AF103" s="39" t="e">
        <f>ROUND(MAX(0.6*#REF!^1.299,850)*(1+ tech_2_6*Techs!AC103 + tech_2_9*Techs!AF103 + tech_3_7*Techs!AN103 + Overview!$I$32),0)</f>
        <v>#REF!</v>
      </c>
      <c r="AG103" s="39" t="e">
        <f>IF(ROUND(MAX(IF(#REF!&gt;=300,5+0.003*(#REF!-300)^1.07,5-300/#REF!)+0,3),0)&lt;=6,ROUND(MAX(IF(#REF!&gt;=300,5+0.003*(#REF!-300)^1.07,5-300/#REF!)+0,3),0),ROUND(MAX(IF(#REF!&gt;=300,5+0.003*(#REF!-300)^1.07,5-300/#REF!)+tech_2_9_2*#REF!+tech_3_7_2*#REF!,6),0))</f>
        <v>#REF!</v>
      </c>
      <c r="AH103" s="39" t="e">
        <f>SUM(#REF!)*#REF!</f>
        <v>#REF!</v>
      </c>
      <c r="AI103" s="39" t="e">
        <f>SUM(#REF!)*#REF!</f>
        <v>#REF!</v>
      </c>
      <c r="AJ103" s="3" t="e">
        <f>_xlfn.FLOOR.MATH(MIN(#REF!/#REF!,#REF!/#REF!))</f>
        <v>#REF!</v>
      </c>
    </row>
    <row r="104" spans="1:36" ht="12.5" x14ac:dyDescent="0.25">
      <c r="A104" s="160" t="e">
        <f>#REF!</f>
        <v>#REF!</v>
      </c>
      <c r="B104" s="206" t="e">
        <f>#REF!</f>
        <v>#REF!</v>
      </c>
      <c r="C104" s="207"/>
      <c r="D104" s="208" t="e">
        <f>#REF!</f>
        <v>#REF!</v>
      </c>
      <c r="E104" s="166" t="e">
        <f>#REF!</f>
        <v>#REF!</v>
      </c>
      <c r="F104" s="341" t="e">
        <f>#REF!</f>
        <v>#REF!</v>
      </c>
      <c r="G104" s="345" t="e">
        <f>#REF!</f>
        <v>#REF!</v>
      </c>
      <c r="H104" s="349" t="e">
        <f>#REF!</f>
        <v>#REF!</v>
      </c>
      <c r="I104" s="169" t="e">
        <f>#REF!</f>
        <v>#REF!</v>
      </c>
      <c r="J104" s="170" t="e">
        <f>#REF!</f>
        <v>#REF!</v>
      </c>
      <c r="K104" s="202"/>
      <c r="L104" s="202"/>
      <c r="M104" s="211"/>
      <c r="N104" s="209" t="e">
        <f>#REF!</f>
        <v>#REF!</v>
      </c>
      <c r="O104" s="209" t="e">
        <f>#REF!</f>
        <v>#REF!</v>
      </c>
      <c r="P104" s="209" t="e">
        <f>#REF!</f>
        <v>#REF!</v>
      </c>
      <c r="Q104" s="160" t="e">
        <f>#REF!</f>
        <v>#REF!</v>
      </c>
      <c r="R104" s="160" t="e">
        <f>#REF!</f>
        <v>#REF!</v>
      </c>
      <c r="S104" s="210"/>
      <c r="T104" s="146"/>
      <c r="U104" s="164"/>
      <c r="V104" s="164"/>
      <c r="W104" s="164"/>
      <c r="X104" s="164"/>
      <c r="Y104" s="164"/>
      <c r="Z104" s="164"/>
      <c r="AA104" s="147" t="e">
        <f>#REF!</f>
        <v>#REF!</v>
      </c>
      <c r="AB104" s="39" t="e">
        <f>#REF!</f>
        <v>#REF!</v>
      </c>
      <c r="AC104" s="39" t="e">
        <f>#REF!</f>
        <v>#REF!</v>
      </c>
      <c r="AD104" s="207"/>
      <c r="AE104" s="3" t="e">
        <f>#REF!-#REF!*20</f>
        <v>#REF!</v>
      </c>
      <c r="AF104" s="39" t="e">
        <f>ROUND(MAX(0.6*#REF!^1.299,850)*(1+ tech_2_6*Techs!AC104 + tech_2_9*Techs!AF104 + tech_3_7*Techs!AN104 + Overview!$I$32),0)</f>
        <v>#REF!</v>
      </c>
      <c r="AG104" s="39" t="e">
        <f>IF(ROUND(MAX(IF(#REF!&gt;=300,5+0.003*(#REF!-300)^1.07,5-300/#REF!)+0,3),0)&lt;=6,ROUND(MAX(IF(#REF!&gt;=300,5+0.003*(#REF!-300)^1.07,5-300/#REF!)+0,3),0),ROUND(MAX(IF(#REF!&gt;=300,5+0.003*(#REF!-300)^1.07,5-300/#REF!)+tech_2_9_2*#REF!+tech_3_7_2*#REF!,6),0))</f>
        <v>#REF!</v>
      </c>
      <c r="AH104" s="39" t="e">
        <f>SUM(#REF!)*#REF!</f>
        <v>#REF!</v>
      </c>
      <c r="AI104" s="39" t="e">
        <f>SUM(#REF!)*#REF!</f>
        <v>#REF!</v>
      </c>
      <c r="AJ104" s="3" t="e">
        <f>_xlfn.FLOOR.MATH(MIN(#REF!/#REF!,#REF!/#REF!))</f>
        <v>#REF!</v>
      </c>
    </row>
    <row r="105" spans="1:36" ht="12.5" x14ac:dyDescent="0.25">
      <c r="A105" s="160" t="e">
        <f>#REF!</f>
        <v>#REF!</v>
      </c>
      <c r="B105" s="206" t="e">
        <f>#REF!</f>
        <v>#REF!</v>
      </c>
      <c r="C105" s="207"/>
      <c r="D105" s="208" t="e">
        <f>#REF!</f>
        <v>#REF!</v>
      </c>
      <c r="E105" s="166" t="e">
        <f>#REF!</f>
        <v>#REF!</v>
      </c>
      <c r="F105" s="341" t="e">
        <f>#REF!</f>
        <v>#REF!</v>
      </c>
      <c r="G105" s="345" t="e">
        <f>#REF!</f>
        <v>#REF!</v>
      </c>
      <c r="H105" s="349" t="e">
        <f>#REF!</f>
        <v>#REF!</v>
      </c>
      <c r="I105" s="169" t="e">
        <f>#REF!</f>
        <v>#REF!</v>
      </c>
      <c r="J105" s="170" t="e">
        <f>#REF!</f>
        <v>#REF!</v>
      </c>
      <c r="K105" s="202"/>
      <c r="L105" s="202"/>
      <c r="M105" s="202"/>
      <c r="N105" s="209" t="e">
        <f>#REF!</f>
        <v>#REF!</v>
      </c>
      <c r="O105" s="209" t="e">
        <f>#REF!</f>
        <v>#REF!</v>
      </c>
      <c r="P105" s="209" t="e">
        <f>#REF!</f>
        <v>#REF!</v>
      </c>
      <c r="Q105" s="160" t="e">
        <f>#REF!</f>
        <v>#REF!</v>
      </c>
      <c r="R105" s="160" t="e">
        <f>#REF!</f>
        <v>#REF!</v>
      </c>
      <c r="S105" s="210"/>
      <c r="T105" s="164"/>
      <c r="U105" s="164"/>
      <c r="V105" s="164"/>
      <c r="W105" s="164"/>
      <c r="X105" s="164"/>
      <c r="Y105" s="164"/>
      <c r="Z105" s="164"/>
      <c r="AA105" s="147" t="e">
        <f>#REF!</f>
        <v>#REF!</v>
      </c>
      <c r="AB105" s="39" t="e">
        <f>#REF!</f>
        <v>#REF!</v>
      </c>
      <c r="AC105" s="39" t="e">
        <f>#REF!</f>
        <v>#REF!</v>
      </c>
      <c r="AD105" s="207"/>
      <c r="AE105" s="3" t="e">
        <f>#REF!-#REF!*20</f>
        <v>#REF!</v>
      </c>
      <c r="AF105" s="39" t="e">
        <f>ROUND(MAX(0.6*#REF!^1.299,850)*(1+ tech_2_6*Techs!AC105 + tech_2_9*Techs!AF105 + tech_3_7*Techs!AN105 + Overview!$I$32),0)</f>
        <v>#REF!</v>
      </c>
      <c r="AG105" s="39" t="e">
        <f>IF(ROUND(MAX(IF(#REF!&gt;=300,5+0.003*(#REF!-300)^1.07,5-300/#REF!)+0,3),0)&lt;=6,ROUND(MAX(IF(#REF!&gt;=300,5+0.003*(#REF!-300)^1.07,5-300/#REF!)+0,3),0),ROUND(MAX(IF(#REF!&gt;=300,5+0.003*(#REF!-300)^1.07,5-300/#REF!)+tech_2_9_2*#REF!+tech_3_7_2*#REF!,6),0))</f>
        <v>#REF!</v>
      </c>
      <c r="AH105" s="39" t="e">
        <f>SUM(#REF!)*#REF!</f>
        <v>#REF!</v>
      </c>
      <c r="AI105" s="39" t="e">
        <f>SUM(#REF!)*#REF!</f>
        <v>#REF!</v>
      </c>
      <c r="AJ105" s="3" t="e">
        <f>_xlfn.FLOOR.MATH(MIN(#REF!/#REF!,#REF!/#REF!))</f>
        <v>#REF!</v>
      </c>
    </row>
    <row r="106" spans="1:36" ht="12.5" x14ac:dyDescent="0.25">
      <c r="A106" s="160" t="e">
        <f>#REF!</f>
        <v>#REF!</v>
      </c>
      <c r="B106" s="206" t="e">
        <f>#REF!</f>
        <v>#REF!</v>
      </c>
      <c r="C106" s="207"/>
      <c r="D106" s="208" t="e">
        <f>#REF!</f>
        <v>#REF!</v>
      </c>
      <c r="E106" s="166" t="e">
        <f>#REF!</f>
        <v>#REF!</v>
      </c>
      <c r="F106" s="341" t="e">
        <f>#REF!</f>
        <v>#REF!</v>
      </c>
      <c r="G106" s="345" t="e">
        <f>#REF!</f>
        <v>#REF!</v>
      </c>
      <c r="H106" s="349" t="e">
        <f>#REF!</f>
        <v>#REF!</v>
      </c>
      <c r="I106" s="169" t="e">
        <f>#REF!</f>
        <v>#REF!</v>
      </c>
      <c r="J106" s="170" t="e">
        <f>#REF!</f>
        <v>#REF!</v>
      </c>
      <c r="K106" s="202"/>
      <c r="L106" s="202"/>
      <c r="M106" s="217"/>
      <c r="N106" s="209" t="e">
        <f>#REF!</f>
        <v>#REF!</v>
      </c>
      <c r="O106" s="209" t="e">
        <f>#REF!</f>
        <v>#REF!</v>
      </c>
      <c r="P106" s="209" t="e">
        <f>#REF!</f>
        <v>#REF!</v>
      </c>
      <c r="Q106" s="160" t="e">
        <f>#REF!</f>
        <v>#REF!</v>
      </c>
      <c r="R106" s="160" t="e">
        <f>#REF!</f>
        <v>#REF!</v>
      </c>
      <c r="S106" s="210"/>
      <c r="T106" s="164"/>
      <c r="U106" s="164"/>
      <c r="V106" s="164"/>
      <c r="W106" s="164"/>
      <c r="X106" s="164"/>
      <c r="Y106" s="164"/>
      <c r="Z106" s="164"/>
      <c r="AA106" s="147" t="e">
        <f>#REF!</f>
        <v>#REF!</v>
      </c>
      <c r="AB106" s="39" t="e">
        <f>#REF!</f>
        <v>#REF!</v>
      </c>
      <c r="AC106" s="39" t="e">
        <f>#REF!</f>
        <v>#REF!</v>
      </c>
      <c r="AD106" s="207"/>
      <c r="AE106" s="3" t="e">
        <f>#REF!-#REF!*20</f>
        <v>#REF!</v>
      </c>
      <c r="AF106" s="39" t="e">
        <f>ROUND(MAX(0.6*#REF!^1.299,850)*(1+ tech_2_6*Techs!AC106 + tech_2_9*Techs!AF106 + tech_3_7*Techs!AN106 + Overview!$I$32),0)</f>
        <v>#REF!</v>
      </c>
      <c r="AG106" s="39" t="e">
        <f>IF(ROUND(MAX(IF(#REF!&gt;=300,5+0.003*(#REF!-300)^1.07,5-300/#REF!)+0,3),0)&lt;=6,ROUND(MAX(IF(#REF!&gt;=300,5+0.003*(#REF!-300)^1.07,5-300/#REF!)+0,3),0),ROUND(MAX(IF(#REF!&gt;=300,5+0.003*(#REF!-300)^1.07,5-300/#REF!)+tech_2_9_2*#REF!+tech_3_7_2*#REF!,6),0))</f>
        <v>#REF!</v>
      </c>
      <c r="AH106" s="39" t="e">
        <f>SUM(#REF!)*#REF!</f>
        <v>#REF!</v>
      </c>
      <c r="AI106" s="39" t="e">
        <f>SUM(#REF!)*#REF!</f>
        <v>#REF!</v>
      </c>
      <c r="AJ106" s="3" t="e">
        <f>_xlfn.FLOOR.MATH(MIN(#REF!/#REF!,#REF!/#REF!))</f>
        <v>#REF!</v>
      </c>
    </row>
    <row r="107" spans="1:36" ht="12.5" x14ac:dyDescent="0.25">
      <c r="A107" s="160" t="e">
        <f>#REF!</f>
        <v>#REF!</v>
      </c>
      <c r="B107" s="206" t="e">
        <f>#REF!</f>
        <v>#REF!</v>
      </c>
      <c r="C107" s="207"/>
      <c r="D107" s="208" t="e">
        <f>#REF!</f>
        <v>#REF!</v>
      </c>
      <c r="E107" s="166" t="e">
        <f>#REF!</f>
        <v>#REF!</v>
      </c>
      <c r="F107" s="341" t="e">
        <f>#REF!</f>
        <v>#REF!</v>
      </c>
      <c r="G107" s="345" t="e">
        <f>#REF!</f>
        <v>#REF!</v>
      </c>
      <c r="H107" s="349" t="e">
        <f>#REF!</f>
        <v>#REF!</v>
      </c>
      <c r="I107" s="169" t="e">
        <f>#REF!</f>
        <v>#REF!</v>
      </c>
      <c r="J107" s="170" t="e">
        <f>#REF!</f>
        <v>#REF!</v>
      </c>
      <c r="K107" s="202"/>
      <c r="L107" s="202"/>
      <c r="M107" s="217"/>
      <c r="N107" s="209" t="e">
        <f>#REF!</f>
        <v>#REF!</v>
      </c>
      <c r="O107" s="209" t="e">
        <f>#REF!</f>
        <v>#REF!</v>
      </c>
      <c r="P107" s="209" t="e">
        <f>#REF!</f>
        <v>#REF!</v>
      </c>
      <c r="Q107" s="160" t="e">
        <f>#REF!</f>
        <v>#REF!</v>
      </c>
      <c r="R107" s="160" t="e">
        <f>#REF!</f>
        <v>#REF!</v>
      </c>
      <c r="S107" s="210"/>
      <c r="T107" s="164"/>
      <c r="U107" s="164"/>
      <c r="V107" s="164"/>
      <c r="W107" s="164"/>
      <c r="X107" s="164"/>
      <c r="Y107" s="164"/>
      <c r="Z107" s="164"/>
      <c r="AA107" s="147" t="e">
        <f>#REF!</f>
        <v>#REF!</v>
      </c>
      <c r="AB107" s="39" t="e">
        <f>#REF!</f>
        <v>#REF!</v>
      </c>
      <c r="AC107" s="39" t="e">
        <f>#REF!</f>
        <v>#REF!</v>
      </c>
      <c r="AD107" s="207"/>
      <c r="AE107" s="3" t="e">
        <f>#REF!-#REF!*20</f>
        <v>#REF!</v>
      </c>
      <c r="AF107" s="39" t="e">
        <f>ROUND(MAX(0.6*#REF!^1.299,850)*(1+ tech_2_6*Techs!AC107 + tech_2_9*Techs!AF107 + tech_3_7*Techs!AN107 + Overview!$I$32),0)</f>
        <v>#REF!</v>
      </c>
      <c r="AG107" s="39" t="e">
        <f>IF(ROUND(MAX(IF(#REF!&gt;=300,5+0.003*(#REF!-300)^1.07,5-300/#REF!)+0,3),0)&lt;=6,ROUND(MAX(IF(#REF!&gt;=300,5+0.003*(#REF!-300)^1.07,5-300/#REF!)+0,3),0),ROUND(MAX(IF(#REF!&gt;=300,5+0.003*(#REF!-300)^1.07,5-300/#REF!)+tech_2_9_2*#REF!+tech_3_7_2*#REF!,6),0))</f>
        <v>#REF!</v>
      </c>
      <c r="AH107" s="39" t="e">
        <f>SUM(#REF!)*#REF!</f>
        <v>#REF!</v>
      </c>
      <c r="AI107" s="39" t="e">
        <f>SUM(#REF!)*#REF!</f>
        <v>#REF!</v>
      </c>
      <c r="AJ107" s="3" t="e">
        <f>_xlfn.FLOOR.MATH(MIN(#REF!/#REF!,#REF!/#REF!))</f>
        <v>#REF!</v>
      </c>
    </row>
    <row r="108" spans="1:36" ht="12.5" x14ac:dyDescent="0.25">
      <c r="A108" s="160" t="e">
        <f>#REF!</f>
        <v>#REF!</v>
      </c>
      <c r="B108" s="206" t="e">
        <f>#REF!</f>
        <v>#REF!</v>
      </c>
      <c r="C108" s="207"/>
      <c r="D108" s="208" t="e">
        <f>#REF!</f>
        <v>#REF!</v>
      </c>
      <c r="E108" s="166" t="e">
        <f>#REF!</f>
        <v>#REF!</v>
      </c>
      <c r="F108" s="341" t="e">
        <f>#REF!</f>
        <v>#REF!</v>
      </c>
      <c r="G108" s="345" t="e">
        <f>#REF!</f>
        <v>#REF!</v>
      </c>
      <c r="H108" s="349" t="e">
        <f>#REF!</f>
        <v>#REF!</v>
      </c>
      <c r="I108" s="169" t="e">
        <f>#REF!</f>
        <v>#REF!</v>
      </c>
      <c r="J108" s="170" t="e">
        <f>#REF!</f>
        <v>#REF!</v>
      </c>
      <c r="K108" s="202"/>
      <c r="L108" s="202"/>
      <c r="M108" s="202"/>
      <c r="N108" s="209" t="e">
        <f>#REF!</f>
        <v>#REF!</v>
      </c>
      <c r="O108" s="209" t="e">
        <f>#REF!</f>
        <v>#REF!</v>
      </c>
      <c r="P108" s="209" t="e">
        <f>#REF!</f>
        <v>#REF!</v>
      </c>
      <c r="Q108" s="160" t="e">
        <f>#REF!</f>
        <v>#REF!</v>
      </c>
      <c r="R108" s="160" t="e">
        <f>#REF!</f>
        <v>#REF!</v>
      </c>
      <c r="S108" s="210"/>
      <c r="T108" s="164"/>
      <c r="U108" s="164"/>
      <c r="V108" s="164"/>
      <c r="W108" s="164"/>
      <c r="X108" s="164"/>
      <c r="Y108" s="164"/>
      <c r="Z108" s="164"/>
      <c r="AA108" s="147" t="e">
        <f>#REF!</f>
        <v>#REF!</v>
      </c>
      <c r="AB108" s="39" t="e">
        <f>#REF!</f>
        <v>#REF!</v>
      </c>
      <c r="AC108" s="39" t="e">
        <f>#REF!</f>
        <v>#REF!</v>
      </c>
      <c r="AD108" s="207"/>
      <c r="AE108" s="3" t="e">
        <f>#REF!-#REF!*20</f>
        <v>#REF!</v>
      </c>
      <c r="AF108" s="39" t="e">
        <f>ROUND(MAX(0.6*#REF!^1.299,850)*(1+ tech_2_6*Techs!AC108 + tech_2_9*Techs!AF108 + tech_3_7*Techs!AN108 + Overview!$I$32),0)</f>
        <v>#REF!</v>
      </c>
      <c r="AG108" s="39" t="e">
        <f>IF(ROUND(MAX(IF(#REF!&gt;=300,5+0.003*(#REF!-300)^1.07,5-300/#REF!)+0,3),0)&lt;=6,ROUND(MAX(IF(#REF!&gt;=300,5+0.003*(#REF!-300)^1.07,5-300/#REF!)+0,3),0),ROUND(MAX(IF(#REF!&gt;=300,5+0.003*(#REF!-300)^1.07,5-300/#REF!)+tech_2_9_2*#REF!+tech_3_7_2*#REF!,6),0))</f>
        <v>#REF!</v>
      </c>
      <c r="AH108" s="39" t="e">
        <f>SUM(#REF!)*#REF!</f>
        <v>#REF!</v>
      </c>
      <c r="AI108" s="39" t="e">
        <f>SUM(#REF!)*#REF!</f>
        <v>#REF!</v>
      </c>
      <c r="AJ108" s="3" t="e">
        <f>_xlfn.FLOOR.MATH(MIN(#REF!/#REF!,#REF!/#REF!))</f>
        <v>#REF!</v>
      </c>
    </row>
    <row r="109" spans="1:36" ht="12.5" x14ac:dyDescent="0.25">
      <c r="A109" s="160" t="e">
        <f>#REF!</f>
        <v>#REF!</v>
      </c>
      <c r="B109" s="206" t="e">
        <f>#REF!</f>
        <v>#REF!</v>
      </c>
      <c r="C109" s="207"/>
      <c r="D109" s="208" t="e">
        <f>#REF!</f>
        <v>#REF!</v>
      </c>
      <c r="E109" s="166" t="e">
        <f>#REF!</f>
        <v>#REF!</v>
      </c>
      <c r="F109" s="341" t="e">
        <f>#REF!</f>
        <v>#REF!</v>
      </c>
      <c r="G109" s="345" t="e">
        <f>#REF!</f>
        <v>#REF!</v>
      </c>
      <c r="H109" s="349" t="e">
        <f>#REF!</f>
        <v>#REF!</v>
      </c>
      <c r="I109" s="169" t="e">
        <f>#REF!</f>
        <v>#REF!</v>
      </c>
      <c r="J109" s="170" t="e">
        <f>#REF!</f>
        <v>#REF!</v>
      </c>
      <c r="K109" s="202"/>
      <c r="L109" s="202"/>
      <c r="M109" s="202"/>
      <c r="N109" s="209" t="e">
        <f>#REF!</f>
        <v>#REF!</v>
      </c>
      <c r="O109" s="209" t="e">
        <f>#REF!</f>
        <v>#REF!</v>
      </c>
      <c r="P109" s="209" t="e">
        <f>#REF!</f>
        <v>#REF!</v>
      </c>
      <c r="Q109" s="160" t="e">
        <f>#REF!</f>
        <v>#REF!</v>
      </c>
      <c r="R109" s="160" t="e">
        <f>#REF!</f>
        <v>#REF!</v>
      </c>
      <c r="S109" s="210"/>
      <c r="T109" s="164"/>
      <c r="U109" s="164"/>
      <c r="V109" s="164"/>
      <c r="W109" s="164"/>
      <c r="X109" s="164"/>
      <c r="Y109" s="164"/>
      <c r="Z109" s="164"/>
      <c r="AA109" s="147" t="e">
        <f>#REF!</f>
        <v>#REF!</v>
      </c>
      <c r="AB109" s="39" t="e">
        <f>#REF!</f>
        <v>#REF!</v>
      </c>
      <c r="AC109" s="39" t="e">
        <f>#REF!</f>
        <v>#REF!</v>
      </c>
      <c r="AD109" s="207"/>
      <c r="AE109" s="3" t="e">
        <f>#REF!-#REF!*20</f>
        <v>#REF!</v>
      </c>
      <c r="AF109" s="39" t="e">
        <f>ROUND(MAX(0.6*#REF!^1.299,850)*(1+ tech_2_6*Techs!AC109 + tech_2_9*Techs!AF109 + tech_3_7*Techs!AN109 + Overview!$I$32),0)</f>
        <v>#REF!</v>
      </c>
      <c r="AG109" s="39" t="e">
        <f>IF(ROUND(MAX(IF(#REF!&gt;=300,5+0.003*(#REF!-300)^1.07,5-300/#REF!)+0,3),0)&lt;=6,ROUND(MAX(IF(#REF!&gt;=300,5+0.003*(#REF!-300)^1.07,5-300/#REF!)+0,3),0),ROUND(MAX(IF(#REF!&gt;=300,5+0.003*(#REF!-300)^1.07,5-300/#REF!)+tech_2_9_2*#REF!+tech_3_7_2*#REF!,6),0))</f>
        <v>#REF!</v>
      </c>
      <c r="AH109" s="39" t="e">
        <f>SUM(#REF!)*#REF!</f>
        <v>#REF!</v>
      </c>
      <c r="AI109" s="39" t="e">
        <f>SUM(#REF!)*#REF!</f>
        <v>#REF!</v>
      </c>
      <c r="AJ109" s="3" t="e">
        <f>_xlfn.FLOOR.MATH(MIN(#REF!/#REF!,#REF!/#REF!))</f>
        <v>#REF!</v>
      </c>
    </row>
    <row r="110" spans="1:36" ht="12.5" x14ac:dyDescent="0.25">
      <c r="A110" s="160" t="e">
        <f>#REF!</f>
        <v>#REF!</v>
      </c>
      <c r="B110" s="206" t="e">
        <f>#REF!</f>
        <v>#REF!</v>
      </c>
      <c r="C110" s="207"/>
      <c r="D110" s="208" t="e">
        <f>#REF!</f>
        <v>#REF!</v>
      </c>
      <c r="E110" s="166" t="e">
        <f>#REF!</f>
        <v>#REF!</v>
      </c>
      <c r="F110" s="341" t="e">
        <f>#REF!</f>
        <v>#REF!</v>
      </c>
      <c r="G110" s="345" t="e">
        <f>#REF!</f>
        <v>#REF!</v>
      </c>
      <c r="H110" s="349" t="e">
        <f>#REF!</f>
        <v>#REF!</v>
      </c>
      <c r="I110" s="169" t="e">
        <f>#REF!</f>
        <v>#REF!</v>
      </c>
      <c r="J110" s="170" t="e">
        <f>#REF!</f>
        <v>#REF!</v>
      </c>
      <c r="K110" s="202"/>
      <c r="L110" s="202"/>
      <c r="M110" s="202"/>
      <c r="N110" s="209" t="e">
        <f>#REF!</f>
        <v>#REF!</v>
      </c>
      <c r="O110" s="209" t="e">
        <f>#REF!</f>
        <v>#REF!</v>
      </c>
      <c r="P110" s="209" t="e">
        <f>#REF!</f>
        <v>#REF!</v>
      </c>
      <c r="Q110" s="160" t="e">
        <f>#REF!</f>
        <v>#REF!</v>
      </c>
      <c r="R110" s="160" t="e">
        <f>#REF!</f>
        <v>#REF!</v>
      </c>
      <c r="S110" s="210"/>
      <c r="T110" s="146"/>
      <c r="U110" s="164"/>
      <c r="V110" s="164"/>
      <c r="W110" s="164"/>
      <c r="X110" s="164"/>
      <c r="Y110" s="164"/>
      <c r="Z110" s="164"/>
      <c r="AA110" s="147" t="e">
        <f>#REF!</f>
        <v>#REF!</v>
      </c>
      <c r="AB110" s="39" t="e">
        <f>#REF!</f>
        <v>#REF!</v>
      </c>
      <c r="AC110" s="39" t="e">
        <f>#REF!</f>
        <v>#REF!</v>
      </c>
      <c r="AD110" s="207"/>
      <c r="AE110" s="3" t="e">
        <f>#REF!-#REF!*20</f>
        <v>#REF!</v>
      </c>
      <c r="AF110" s="39" t="e">
        <f>ROUND(MAX(0.6*#REF!^1.299,850)*(1+ tech_2_6*Techs!AC110 + tech_2_9*Techs!AF110 + tech_3_7*Techs!AN110 + Overview!$I$32),0)</f>
        <v>#REF!</v>
      </c>
      <c r="AG110" s="39" t="e">
        <f>IF(ROUND(MAX(IF(#REF!&gt;=300,5+0.003*(#REF!-300)^1.07,5-300/#REF!)+0,3),0)&lt;=6,ROUND(MAX(IF(#REF!&gt;=300,5+0.003*(#REF!-300)^1.07,5-300/#REF!)+0,3),0),ROUND(MAX(IF(#REF!&gt;=300,5+0.003*(#REF!-300)^1.07,5-300/#REF!)+tech_2_9_2*#REF!+tech_3_7_2*#REF!,6),0))</f>
        <v>#REF!</v>
      </c>
      <c r="AH110" s="39" t="e">
        <f>SUM(#REF!)*#REF!</f>
        <v>#REF!</v>
      </c>
      <c r="AI110" s="39" t="e">
        <f>SUM(#REF!)*#REF!</f>
        <v>#REF!</v>
      </c>
      <c r="AJ110" s="3" t="e">
        <f>_xlfn.FLOOR.MATH(MIN(#REF!/#REF!,#REF!/#REF!))</f>
        <v>#REF!</v>
      </c>
    </row>
    <row r="111" spans="1:36" ht="12.5" x14ac:dyDescent="0.25">
      <c r="A111" s="160" t="e">
        <f>#REF!</f>
        <v>#REF!</v>
      </c>
      <c r="B111" s="206" t="e">
        <f>#REF!</f>
        <v>#REF!</v>
      </c>
      <c r="C111" s="207"/>
      <c r="D111" s="208" t="e">
        <f>#REF!</f>
        <v>#REF!</v>
      </c>
      <c r="E111" s="166" t="e">
        <f>#REF!</f>
        <v>#REF!</v>
      </c>
      <c r="F111" s="341" t="e">
        <f>#REF!</f>
        <v>#REF!</v>
      </c>
      <c r="G111" s="345" t="e">
        <f>#REF!</f>
        <v>#REF!</v>
      </c>
      <c r="H111" s="349" t="e">
        <f>#REF!</f>
        <v>#REF!</v>
      </c>
      <c r="I111" s="169" t="e">
        <f>#REF!</f>
        <v>#REF!</v>
      </c>
      <c r="J111" s="170" t="e">
        <f>#REF!</f>
        <v>#REF!</v>
      </c>
      <c r="K111" s="202"/>
      <c r="L111" s="202"/>
      <c r="M111" s="202"/>
      <c r="N111" s="209" t="e">
        <f>#REF!</f>
        <v>#REF!</v>
      </c>
      <c r="O111" s="209" t="e">
        <f>#REF!</f>
        <v>#REF!</v>
      </c>
      <c r="P111" s="209" t="e">
        <f>#REF!</f>
        <v>#REF!</v>
      </c>
      <c r="Q111" s="160" t="e">
        <f>#REF!</f>
        <v>#REF!</v>
      </c>
      <c r="R111" s="160" t="e">
        <f>#REF!</f>
        <v>#REF!</v>
      </c>
      <c r="S111" s="210"/>
      <c r="T111" s="164"/>
      <c r="U111" s="164"/>
      <c r="V111" s="164"/>
      <c r="W111" s="164"/>
      <c r="X111" s="164"/>
      <c r="Y111" s="164"/>
      <c r="Z111" s="164"/>
      <c r="AA111" s="147" t="e">
        <f>#REF!</f>
        <v>#REF!</v>
      </c>
      <c r="AB111" s="39" t="e">
        <f>#REF!</f>
        <v>#REF!</v>
      </c>
      <c r="AC111" s="39" t="e">
        <f>#REF!</f>
        <v>#REF!</v>
      </c>
      <c r="AD111" s="207"/>
      <c r="AE111" s="3" t="e">
        <f>#REF!-#REF!*20</f>
        <v>#REF!</v>
      </c>
      <c r="AF111" s="39" t="e">
        <f>ROUND(MAX(0.6*#REF!^1.299,850)*(1+ tech_2_6*Techs!AC111 + tech_2_9*Techs!AF111 + tech_3_7*Techs!AN111 + Overview!$I$32),0)</f>
        <v>#REF!</v>
      </c>
      <c r="AG111" s="39" t="e">
        <f>IF(ROUND(MAX(IF(#REF!&gt;=300,5+0.003*(#REF!-300)^1.07,5-300/#REF!)+0,3),0)&lt;=6,ROUND(MAX(IF(#REF!&gt;=300,5+0.003*(#REF!-300)^1.07,5-300/#REF!)+0,3),0),ROUND(MAX(IF(#REF!&gt;=300,5+0.003*(#REF!-300)^1.07,5-300/#REF!)+tech_2_9_2*#REF!+tech_3_7_2*#REF!,6),0))</f>
        <v>#REF!</v>
      </c>
      <c r="AH111" s="39" t="e">
        <f>SUM(#REF!)*#REF!</f>
        <v>#REF!</v>
      </c>
      <c r="AI111" s="39" t="e">
        <f>SUM(#REF!)*#REF!</f>
        <v>#REF!</v>
      </c>
      <c r="AJ111" s="3" t="e">
        <f>_xlfn.FLOOR.MATH(MIN(#REF!/#REF!,#REF!/#REF!))</f>
        <v>#REF!</v>
      </c>
    </row>
    <row r="112" spans="1:36" ht="12.75" customHeight="1" x14ac:dyDescent="0.25">
      <c r="A112" s="160" t="e">
        <f>#REF!</f>
        <v>#REF!</v>
      </c>
      <c r="B112" s="206" t="e">
        <f>#REF!</f>
        <v>#REF!</v>
      </c>
      <c r="C112" s="207"/>
      <c r="D112" s="208" t="e">
        <f>#REF!</f>
        <v>#REF!</v>
      </c>
      <c r="E112" s="166" t="e">
        <f>#REF!</f>
        <v>#REF!</v>
      </c>
      <c r="F112" s="341" t="e">
        <f>#REF!</f>
        <v>#REF!</v>
      </c>
      <c r="G112" s="345" t="e">
        <f>#REF!</f>
        <v>#REF!</v>
      </c>
      <c r="H112" s="349" t="e">
        <f>#REF!</f>
        <v>#REF!</v>
      </c>
      <c r="I112" s="169" t="e">
        <f>#REF!</f>
        <v>#REF!</v>
      </c>
      <c r="J112" s="170" t="e">
        <f>#REF!</f>
        <v>#REF!</v>
      </c>
      <c r="K112" s="202"/>
      <c r="L112" s="202"/>
      <c r="M112" s="202"/>
      <c r="N112" s="209" t="e">
        <f>#REF!</f>
        <v>#REF!</v>
      </c>
      <c r="O112" s="209" t="e">
        <f>#REF!</f>
        <v>#REF!</v>
      </c>
      <c r="P112" s="209" t="e">
        <f>#REF!</f>
        <v>#REF!</v>
      </c>
      <c r="Q112" s="160" t="e">
        <f>#REF!</f>
        <v>#REF!</v>
      </c>
      <c r="R112" s="160" t="e">
        <f>#REF!</f>
        <v>#REF!</v>
      </c>
      <c r="S112" s="210"/>
      <c r="T112" s="164"/>
      <c r="U112" s="164"/>
      <c r="V112" s="164"/>
      <c r="W112" s="164"/>
      <c r="X112" s="164"/>
      <c r="Y112" s="164"/>
      <c r="Z112" s="164"/>
      <c r="AA112" s="147" t="e">
        <f>#REF!</f>
        <v>#REF!</v>
      </c>
      <c r="AB112" s="39" t="e">
        <f>#REF!</f>
        <v>#REF!</v>
      </c>
      <c r="AC112" s="39" t="e">
        <f>#REF!</f>
        <v>#REF!</v>
      </c>
      <c r="AD112" s="207"/>
      <c r="AE112" s="3" t="e">
        <f>#REF!-#REF!*20</f>
        <v>#REF!</v>
      </c>
      <c r="AF112" s="39" t="e">
        <f>ROUND(MAX(0.6*#REF!^1.299,850)*(1+ tech_2_6*Techs!AC112 + tech_2_9*Techs!AF112 + tech_3_7*Techs!AN112 + Overview!$I$32),0)</f>
        <v>#REF!</v>
      </c>
      <c r="AG112" s="39" t="e">
        <f>IF(ROUND(MAX(IF(#REF!&gt;=300,5+0.003*(#REF!-300)^1.07,5-300/#REF!)+0,3),0)&lt;=6,ROUND(MAX(IF(#REF!&gt;=300,5+0.003*(#REF!-300)^1.07,5-300/#REF!)+0,3),0),ROUND(MAX(IF(#REF!&gt;=300,5+0.003*(#REF!-300)^1.07,5-300/#REF!)+tech_2_9_2*#REF!+tech_3_7_2*#REF!,6),0))</f>
        <v>#REF!</v>
      </c>
      <c r="AH112" s="39" t="e">
        <f>SUM(#REF!)*#REF!</f>
        <v>#REF!</v>
      </c>
      <c r="AI112" s="39" t="e">
        <f>SUM(#REF!)*#REF!</f>
        <v>#REF!</v>
      </c>
      <c r="AJ112" s="3" t="e">
        <f>_xlfn.FLOOR.MATH(MIN(#REF!/#REF!,#REF!/#REF!))</f>
        <v>#REF!</v>
      </c>
    </row>
    <row r="113" spans="1:36" ht="12.5" x14ac:dyDescent="0.25">
      <c r="A113" s="160" t="e">
        <f>#REF!</f>
        <v>#REF!</v>
      </c>
      <c r="B113" s="206" t="e">
        <f>#REF!</f>
        <v>#REF!</v>
      </c>
      <c r="C113" s="207"/>
      <c r="D113" s="208" t="e">
        <f>#REF!</f>
        <v>#REF!</v>
      </c>
      <c r="E113" s="166" t="e">
        <f>#REF!</f>
        <v>#REF!</v>
      </c>
      <c r="F113" s="341" t="e">
        <f>#REF!</f>
        <v>#REF!</v>
      </c>
      <c r="G113" s="345" t="e">
        <f>#REF!</f>
        <v>#REF!</v>
      </c>
      <c r="H113" s="349" t="e">
        <f>#REF!</f>
        <v>#REF!</v>
      </c>
      <c r="I113" s="169" t="e">
        <f>#REF!</f>
        <v>#REF!</v>
      </c>
      <c r="J113" s="170" t="e">
        <f>#REF!</f>
        <v>#REF!</v>
      </c>
      <c r="K113" s="202"/>
      <c r="L113" s="202"/>
      <c r="M113" s="202"/>
      <c r="N113" s="209" t="e">
        <f>#REF!</f>
        <v>#REF!</v>
      </c>
      <c r="O113" s="209" t="e">
        <f>#REF!</f>
        <v>#REF!</v>
      </c>
      <c r="P113" s="209" t="e">
        <f>#REF!</f>
        <v>#REF!</v>
      </c>
      <c r="Q113" s="160" t="e">
        <f>#REF!</f>
        <v>#REF!</v>
      </c>
      <c r="R113" s="160" t="e">
        <f>#REF!</f>
        <v>#REF!</v>
      </c>
      <c r="S113" s="210"/>
      <c r="T113" s="164"/>
      <c r="U113" s="164"/>
      <c r="V113" s="164"/>
      <c r="W113" s="164"/>
      <c r="X113" s="164"/>
      <c r="Y113" s="164"/>
      <c r="Z113" s="164"/>
      <c r="AA113" s="147" t="e">
        <f>#REF!</f>
        <v>#REF!</v>
      </c>
      <c r="AB113" s="39" t="e">
        <f>#REF!</f>
        <v>#REF!</v>
      </c>
      <c r="AC113" s="39" t="e">
        <f>#REF!</f>
        <v>#REF!</v>
      </c>
      <c r="AD113" s="207"/>
      <c r="AE113" s="3" t="e">
        <f>#REF!-#REF!*20</f>
        <v>#REF!</v>
      </c>
      <c r="AF113" s="39" t="e">
        <f>ROUND(MAX(0.6*#REF!^1.299,850)*(1+ tech_2_6*Techs!AC113 + tech_2_9*Techs!AF113 + tech_3_7*Techs!AN113 + Overview!$I$32),0)</f>
        <v>#REF!</v>
      </c>
      <c r="AG113" s="39" t="e">
        <f>IF(ROUND(MAX(IF(#REF!&gt;=300,5+0.003*(#REF!-300)^1.07,5-300/#REF!)+0,3),0)&lt;=6,ROUND(MAX(IF(#REF!&gt;=300,5+0.003*(#REF!-300)^1.07,5-300/#REF!)+0,3),0),ROUND(MAX(IF(#REF!&gt;=300,5+0.003*(#REF!-300)^1.07,5-300/#REF!)+tech_2_9_2*#REF!+tech_3_7_2*#REF!,6),0))</f>
        <v>#REF!</v>
      </c>
      <c r="AH113" s="39" t="e">
        <f>SUM(#REF!)*#REF!</f>
        <v>#REF!</v>
      </c>
      <c r="AI113" s="39" t="e">
        <f>SUM(#REF!)*#REF!</f>
        <v>#REF!</v>
      </c>
      <c r="AJ113" s="3" t="e">
        <f>_xlfn.FLOOR.MATH(MIN(#REF!/#REF!,#REF!/#REF!))</f>
        <v>#REF!</v>
      </c>
    </row>
    <row r="114" spans="1:36" ht="12.5" x14ac:dyDescent="0.25">
      <c r="A114" s="160" t="e">
        <f>#REF!</f>
        <v>#REF!</v>
      </c>
      <c r="B114" s="206" t="e">
        <f>#REF!</f>
        <v>#REF!</v>
      </c>
      <c r="C114" s="207"/>
      <c r="D114" s="208" t="e">
        <f>#REF!</f>
        <v>#REF!</v>
      </c>
      <c r="E114" s="166" t="e">
        <f>#REF!</f>
        <v>#REF!</v>
      </c>
      <c r="F114" s="341" t="e">
        <f>#REF!</f>
        <v>#REF!</v>
      </c>
      <c r="G114" s="345" t="e">
        <f>#REF!</f>
        <v>#REF!</v>
      </c>
      <c r="H114" s="349" t="e">
        <f>#REF!</f>
        <v>#REF!</v>
      </c>
      <c r="I114" s="169" t="e">
        <f>#REF!</f>
        <v>#REF!</v>
      </c>
      <c r="J114" s="170" t="e">
        <f>#REF!</f>
        <v>#REF!</v>
      </c>
      <c r="K114" s="202"/>
      <c r="L114" s="202"/>
      <c r="M114" s="202"/>
      <c r="N114" s="209" t="e">
        <f>#REF!</f>
        <v>#REF!</v>
      </c>
      <c r="O114" s="209" t="e">
        <f>#REF!</f>
        <v>#REF!</v>
      </c>
      <c r="P114" s="209" t="e">
        <f>#REF!</f>
        <v>#REF!</v>
      </c>
      <c r="Q114" s="160" t="e">
        <f>#REF!</f>
        <v>#REF!</v>
      </c>
      <c r="R114" s="160" t="e">
        <f>#REF!</f>
        <v>#REF!</v>
      </c>
      <c r="S114" s="210"/>
      <c r="T114" s="164"/>
      <c r="U114" s="164"/>
      <c r="V114" s="164"/>
      <c r="W114" s="164"/>
      <c r="X114" s="164"/>
      <c r="Y114" s="164"/>
      <c r="Z114" s="164"/>
      <c r="AA114" s="147" t="e">
        <f>#REF!</f>
        <v>#REF!</v>
      </c>
      <c r="AB114" s="39" t="e">
        <f>#REF!</f>
        <v>#REF!</v>
      </c>
      <c r="AC114" s="39" t="e">
        <f>#REF!</f>
        <v>#REF!</v>
      </c>
      <c r="AD114" s="207"/>
      <c r="AE114" s="3" t="e">
        <f>#REF!-#REF!*20</f>
        <v>#REF!</v>
      </c>
      <c r="AF114" s="39" t="e">
        <f>ROUND(MAX(0.6*#REF!^1.299,850)*(1+ tech_2_6*Techs!AC114 + tech_2_9*Techs!AF114 + tech_3_7*Techs!AN114 + Overview!$I$32),0)</f>
        <v>#REF!</v>
      </c>
      <c r="AG114" s="39" t="e">
        <f>IF(ROUND(MAX(IF(#REF!&gt;=300,5+0.003*(#REF!-300)^1.07,5-300/#REF!)+0,3),0)&lt;=6,ROUND(MAX(IF(#REF!&gt;=300,5+0.003*(#REF!-300)^1.07,5-300/#REF!)+0,3),0),ROUND(MAX(IF(#REF!&gt;=300,5+0.003*(#REF!-300)^1.07,5-300/#REF!)+tech_2_9_2*#REF!+tech_3_7_2*#REF!,6),0))</f>
        <v>#REF!</v>
      </c>
      <c r="AH114" s="39" t="e">
        <f>SUM(#REF!)*#REF!</f>
        <v>#REF!</v>
      </c>
      <c r="AI114" s="39" t="e">
        <f>SUM(#REF!)*#REF!</f>
        <v>#REF!</v>
      </c>
      <c r="AJ114" s="3" t="e">
        <f>_xlfn.FLOOR.MATH(MIN(#REF!/#REF!,#REF!/#REF!))</f>
        <v>#REF!</v>
      </c>
    </row>
    <row r="115" spans="1:36" ht="12.5" x14ac:dyDescent="0.25">
      <c r="A115" s="160" t="e">
        <f>#REF!</f>
        <v>#REF!</v>
      </c>
      <c r="B115" s="206" t="e">
        <f>#REF!</f>
        <v>#REF!</v>
      </c>
      <c r="C115" s="207"/>
      <c r="D115" s="208" t="e">
        <f>#REF!</f>
        <v>#REF!</v>
      </c>
      <c r="E115" s="166" t="e">
        <f>#REF!</f>
        <v>#REF!</v>
      </c>
      <c r="F115" s="341" t="e">
        <f>#REF!</f>
        <v>#REF!</v>
      </c>
      <c r="G115" s="345" t="e">
        <f>#REF!</f>
        <v>#REF!</v>
      </c>
      <c r="H115" s="349" t="e">
        <f>#REF!</f>
        <v>#REF!</v>
      </c>
      <c r="I115" s="169" t="e">
        <f>#REF!</f>
        <v>#REF!</v>
      </c>
      <c r="J115" s="170" t="e">
        <f>#REF!</f>
        <v>#REF!</v>
      </c>
      <c r="K115" s="202"/>
      <c r="L115" s="202"/>
      <c r="M115" s="202"/>
      <c r="N115" s="209" t="e">
        <f>#REF!</f>
        <v>#REF!</v>
      </c>
      <c r="O115" s="209" t="e">
        <f>#REF!</f>
        <v>#REF!</v>
      </c>
      <c r="P115" s="209" t="e">
        <f>#REF!</f>
        <v>#REF!</v>
      </c>
      <c r="Q115" s="160" t="e">
        <f>#REF!</f>
        <v>#REF!</v>
      </c>
      <c r="R115" s="160" t="e">
        <f>#REF!</f>
        <v>#REF!</v>
      </c>
      <c r="S115" s="210"/>
      <c r="T115" s="164"/>
      <c r="U115" s="164"/>
      <c r="V115" s="164"/>
      <c r="W115" s="164"/>
      <c r="X115" s="164"/>
      <c r="Y115" s="164"/>
      <c r="Z115" s="164"/>
      <c r="AA115" s="147" t="e">
        <f>#REF!</f>
        <v>#REF!</v>
      </c>
      <c r="AB115" s="39" t="e">
        <f>#REF!</f>
        <v>#REF!</v>
      </c>
      <c r="AC115" s="39" t="e">
        <f>#REF!</f>
        <v>#REF!</v>
      </c>
      <c r="AD115" s="207"/>
      <c r="AE115" s="3" t="e">
        <f>#REF!-#REF!*20</f>
        <v>#REF!</v>
      </c>
      <c r="AF115" s="39" t="e">
        <f>ROUND(MAX(0.6*#REF!^1.299,850)*(1+ tech_2_6*Techs!AC115 + tech_2_9*Techs!AF115 + tech_3_7*Techs!AN115 + Overview!$I$32),0)</f>
        <v>#REF!</v>
      </c>
      <c r="AG115" s="39" t="e">
        <f>IF(ROUND(MAX(IF(#REF!&gt;=300,5+0.003*(#REF!-300)^1.07,5-300/#REF!)+0,3),0)&lt;=6,ROUND(MAX(IF(#REF!&gt;=300,5+0.003*(#REF!-300)^1.07,5-300/#REF!)+0,3),0),ROUND(MAX(IF(#REF!&gt;=300,5+0.003*(#REF!-300)^1.07,5-300/#REF!)+tech_2_9_2*#REF!+tech_3_7_2*#REF!,6),0))</f>
        <v>#REF!</v>
      </c>
      <c r="AH115" s="39" t="e">
        <f>SUM(#REF!)*#REF!</f>
        <v>#REF!</v>
      </c>
      <c r="AI115" s="39" t="e">
        <f>SUM(#REF!)*#REF!</f>
        <v>#REF!</v>
      </c>
      <c r="AJ115" s="3" t="e">
        <f>_xlfn.FLOOR.MATH(MIN(#REF!/#REF!,#REF!/#REF!))</f>
        <v>#REF!</v>
      </c>
    </row>
    <row r="116" spans="1:36" ht="12.5" x14ac:dyDescent="0.25">
      <c r="A116" s="160" t="e">
        <f>#REF!</f>
        <v>#REF!</v>
      </c>
      <c r="B116" s="206" t="e">
        <f>#REF!</f>
        <v>#REF!</v>
      </c>
      <c r="C116" s="207"/>
      <c r="D116" s="208" t="e">
        <f>#REF!</f>
        <v>#REF!</v>
      </c>
      <c r="E116" s="166" t="e">
        <f>#REF!</f>
        <v>#REF!</v>
      </c>
      <c r="F116" s="341" t="e">
        <f>#REF!</f>
        <v>#REF!</v>
      </c>
      <c r="G116" s="345" t="e">
        <f>#REF!</f>
        <v>#REF!</v>
      </c>
      <c r="H116" s="349" t="e">
        <f>#REF!</f>
        <v>#REF!</v>
      </c>
      <c r="I116" s="169" t="e">
        <f>#REF!</f>
        <v>#REF!</v>
      </c>
      <c r="J116" s="170" t="e">
        <f>#REF!</f>
        <v>#REF!</v>
      </c>
      <c r="K116" s="202"/>
      <c r="L116" s="202"/>
      <c r="M116" s="202"/>
      <c r="N116" s="209" t="e">
        <f>#REF!</f>
        <v>#REF!</v>
      </c>
      <c r="O116" s="209" t="e">
        <f>#REF!</f>
        <v>#REF!</v>
      </c>
      <c r="P116" s="209" t="e">
        <f>#REF!</f>
        <v>#REF!</v>
      </c>
      <c r="Q116" s="160" t="e">
        <f>#REF!</f>
        <v>#REF!</v>
      </c>
      <c r="R116" s="160" t="e">
        <f>#REF!</f>
        <v>#REF!</v>
      </c>
      <c r="S116" s="210"/>
      <c r="T116" s="164"/>
      <c r="U116" s="164"/>
      <c r="V116" s="164"/>
      <c r="W116" s="164"/>
      <c r="X116" s="164"/>
      <c r="Y116" s="164"/>
      <c r="Z116" s="164"/>
      <c r="AA116" s="147" t="e">
        <f>#REF!</f>
        <v>#REF!</v>
      </c>
      <c r="AB116" s="39" t="e">
        <f>#REF!</f>
        <v>#REF!</v>
      </c>
      <c r="AC116" s="39" t="e">
        <f>#REF!</f>
        <v>#REF!</v>
      </c>
      <c r="AD116" s="207"/>
      <c r="AE116" s="3" t="e">
        <f>#REF!-#REF!*20</f>
        <v>#REF!</v>
      </c>
      <c r="AF116" s="39" t="e">
        <f>ROUND(MAX(0.6*#REF!^1.299,850)*(1+ tech_2_6*Techs!AC116 + tech_2_9*Techs!AF116 + tech_3_7*Techs!AN116 + Overview!$I$32),0)</f>
        <v>#REF!</v>
      </c>
      <c r="AG116" s="39" t="e">
        <f>IF(ROUND(MAX(IF(#REF!&gt;=300,5+0.003*(#REF!-300)^1.07,5-300/#REF!)+0,3),0)&lt;=6,ROUND(MAX(IF(#REF!&gt;=300,5+0.003*(#REF!-300)^1.07,5-300/#REF!)+0,3),0),ROUND(MAX(IF(#REF!&gt;=300,5+0.003*(#REF!-300)^1.07,5-300/#REF!)+tech_2_9_2*#REF!+tech_3_7_2*#REF!,6),0))</f>
        <v>#REF!</v>
      </c>
      <c r="AH116" s="39" t="e">
        <f>SUM(#REF!)*#REF!</f>
        <v>#REF!</v>
      </c>
      <c r="AI116" s="39" t="e">
        <f>SUM(#REF!)*#REF!</f>
        <v>#REF!</v>
      </c>
      <c r="AJ116" s="3" t="e">
        <f>_xlfn.FLOOR.MATH(MIN(#REF!/#REF!,#REF!/#REF!))</f>
        <v>#REF!</v>
      </c>
    </row>
    <row r="117" spans="1:36" ht="12.5" x14ac:dyDescent="0.25">
      <c r="A117" s="160" t="e">
        <f>#REF!</f>
        <v>#REF!</v>
      </c>
      <c r="B117" s="206" t="e">
        <f>#REF!</f>
        <v>#REF!</v>
      </c>
      <c r="C117" s="207"/>
      <c r="D117" s="208" t="e">
        <f>#REF!</f>
        <v>#REF!</v>
      </c>
      <c r="E117" s="166" t="e">
        <f>#REF!</f>
        <v>#REF!</v>
      </c>
      <c r="F117" s="341" t="e">
        <f>#REF!</f>
        <v>#REF!</v>
      </c>
      <c r="G117" s="345" t="e">
        <f>#REF!</f>
        <v>#REF!</v>
      </c>
      <c r="H117" s="349" t="e">
        <f>#REF!</f>
        <v>#REF!</v>
      </c>
      <c r="I117" s="169" t="e">
        <f>#REF!</f>
        <v>#REF!</v>
      </c>
      <c r="J117" s="170" t="e">
        <f>#REF!</f>
        <v>#REF!</v>
      </c>
      <c r="K117" s="202"/>
      <c r="L117" s="202"/>
      <c r="M117" s="202"/>
      <c r="N117" s="209" t="e">
        <f>#REF!</f>
        <v>#REF!</v>
      </c>
      <c r="O117" s="209" t="e">
        <f>#REF!</f>
        <v>#REF!</v>
      </c>
      <c r="P117" s="209" t="e">
        <f>#REF!</f>
        <v>#REF!</v>
      </c>
      <c r="Q117" s="160" t="e">
        <f>#REF!</f>
        <v>#REF!</v>
      </c>
      <c r="R117" s="160" t="e">
        <f>#REF!</f>
        <v>#REF!</v>
      </c>
      <c r="S117" s="210"/>
      <c r="T117" s="164"/>
      <c r="U117" s="164"/>
      <c r="V117" s="164"/>
      <c r="W117" s="164"/>
      <c r="X117" s="164"/>
      <c r="Y117" s="164"/>
      <c r="Z117" s="164"/>
      <c r="AA117" s="147" t="e">
        <f>#REF!</f>
        <v>#REF!</v>
      </c>
      <c r="AB117" s="39" t="e">
        <f>#REF!</f>
        <v>#REF!</v>
      </c>
      <c r="AC117" s="39" t="e">
        <f>#REF!</f>
        <v>#REF!</v>
      </c>
      <c r="AD117" s="207"/>
      <c r="AE117" s="3" t="e">
        <f>#REF!-#REF!*20</f>
        <v>#REF!</v>
      </c>
      <c r="AF117" s="39" t="e">
        <f>ROUND(MAX(0.6*#REF!^1.299,850)*(1+ tech_2_6*Techs!AC117 + tech_2_9*Techs!AF117 + tech_3_7*Techs!AN117 + Overview!$I$32),0)</f>
        <v>#REF!</v>
      </c>
      <c r="AG117" s="39" t="e">
        <f>IF(ROUND(MAX(IF(#REF!&gt;=300,5+0.003*(#REF!-300)^1.07,5-300/#REF!)+0,3),0)&lt;=6,ROUND(MAX(IF(#REF!&gt;=300,5+0.003*(#REF!-300)^1.07,5-300/#REF!)+0,3),0),ROUND(MAX(IF(#REF!&gt;=300,5+0.003*(#REF!-300)^1.07,5-300/#REF!)+tech_2_9_2*#REF!+tech_3_7_2*#REF!,6),0))</f>
        <v>#REF!</v>
      </c>
      <c r="AH117" s="39" t="e">
        <f>SUM(#REF!)*#REF!</f>
        <v>#REF!</v>
      </c>
      <c r="AI117" s="39" t="e">
        <f>SUM(#REF!)*#REF!</f>
        <v>#REF!</v>
      </c>
      <c r="AJ117" s="3" t="e">
        <f>_xlfn.FLOOR.MATH(MIN(#REF!/#REF!,#REF!/#REF!))</f>
        <v>#REF!</v>
      </c>
    </row>
    <row r="118" spans="1:36" ht="12.5" x14ac:dyDescent="0.25">
      <c r="A118" s="160" t="e">
        <f>#REF!</f>
        <v>#REF!</v>
      </c>
      <c r="B118" s="206" t="e">
        <f>#REF!</f>
        <v>#REF!</v>
      </c>
      <c r="C118" s="207"/>
      <c r="D118" s="208" t="e">
        <f>#REF!</f>
        <v>#REF!</v>
      </c>
      <c r="E118" s="166" t="e">
        <f>#REF!</f>
        <v>#REF!</v>
      </c>
      <c r="F118" s="341" t="e">
        <f>#REF!</f>
        <v>#REF!</v>
      </c>
      <c r="G118" s="345" t="e">
        <f>#REF!</f>
        <v>#REF!</v>
      </c>
      <c r="H118" s="349" t="e">
        <f>#REF!</f>
        <v>#REF!</v>
      </c>
      <c r="I118" s="169" t="e">
        <f>#REF!</f>
        <v>#REF!</v>
      </c>
      <c r="J118" s="170" t="e">
        <f>#REF!</f>
        <v>#REF!</v>
      </c>
      <c r="K118" s="202"/>
      <c r="L118" s="202"/>
      <c r="M118" s="202"/>
      <c r="N118" s="209" t="e">
        <f>#REF!</f>
        <v>#REF!</v>
      </c>
      <c r="O118" s="209" t="e">
        <f>#REF!</f>
        <v>#REF!</v>
      </c>
      <c r="P118" s="209" t="e">
        <f>#REF!</f>
        <v>#REF!</v>
      </c>
      <c r="Q118" s="160" t="e">
        <f>#REF!</f>
        <v>#REF!</v>
      </c>
      <c r="R118" s="160" t="e">
        <f>#REF!</f>
        <v>#REF!</v>
      </c>
      <c r="S118" s="210"/>
      <c r="T118" s="164"/>
      <c r="U118" s="164"/>
      <c r="V118" s="164"/>
      <c r="W118" s="164"/>
      <c r="X118" s="164"/>
      <c r="Y118" s="164"/>
      <c r="Z118" s="164"/>
      <c r="AA118" s="147" t="e">
        <f>#REF!</f>
        <v>#REF!</v>
      </c>
      <c r="AB118" s="39" t="e">
        <f>#REF!</f>
        <v>#REF!</v>
      </c>
      <c r="AC118" s="39" t="e">
        <f>#REF!</f>
        <v>#REF!</v>
      </c>
      <c r="AD118" s="207"/>
      <c r="AE118" s="3" t="e">
        <f>#REF!-#REF!*20</f>
        <v>#REF!</v>
      </c>
      <c r="AF118" s="39" t="e">
        <f>ROUND(MAX(0.6*#REF!^1.299,850)*(1+ tech_2_6*Techs!AC118 + tech_2_9*Techs!AF118 + tech_3_7*Techs!AN118 + Overview!$I$32),0)</f>
        <v>#REF!</v>
      </c>
      <c r="AG118" s="39" t="e">
        <f>IF(ROUND(MAX(IF(#REF!&gt;=300,5+0.003*(#REF!-300)^1.07,5-300/#REF!)+0,3),0)&lt;=6,ROUND(MAX(IF(#REF!&gt;=300,5+0.003*(#REF!-300)^1.07,5-300/#REF!)+0,3),0),ROUND(MAX(IF(#REF!&gt;=300,5+0.003*(#REF!-300)^1.07,5-300/#REF!)+tech_2_9_2*#REF!+tech_3_7_2*#REF!,6),0))</f>
        <v>#REF!</v>
      </c>
      <c r="AH118" s="39" t="e">
        <f>SUM(#REF!)*#REF!</f>
        <v>#REF!</v>
      </c>
      <c r="AI118" s="39" t="e">
        <f>SUM(#REF!)*#REF!</f>
        <v>#REF!</v>
      </c>
      <c r="AJ118" s="3" t="e">
        <f>_xlfn.FLOOR.MATH(MIN(#REF!/#REF!,#REF!/#REF!))</f>
        <v>#REF!</v>
      </c>
    </row>
    <row r="119" spans="1:36" ht="12.5" x14ac:dyDescent="0.25">
      <c r="A119" s="160" t="e">
        <f>#REF!</f>
        <v>#REF!</v>
      </c>
      <c r="B119" s="206" t="e">
        <f>#REF!</f>
        <v>#REF!</v>
      </c>
      <c r="C119" s="207"/>
      <c r="D119" s="208" t="e">
        <f>#REF!</f>
        <v>#REF!</v>
      </c>
      <c r="E119" s="166" t="e">
        <f>#REF!</f>
        <v>#REF!</v>
      </c>
      <c r="F119" s="341" t="e">
        <f>#REF!</f>
        <v>#REF!</v>
      </c>
      <c r="G119" s="345" t="e">
        <f>#REF!</f>
        <v>#REF!</v>
      </c>
      <c r="H119" s="349" t="e">
        <f>#REF!</f>
        <v>#REF!</v>
      </c>
      <c r="I119" s="169" t="e">
        <f>#REF!</f>
        <v>#REF!</v>
      </c>
      <c r="J119" s="170" t="e">
        <f>#REF!</f>
        <v>#REF!</v>
      </c>
      <c r="K119" s="202"/>
      <c r="L119" s="202"/>
      <c r="M119" s="202"/>
      <c r="N119" s="209" t="e">
        <f>#REF!</f>
        <v>#REF!</v>
      </c>
      <c r="O119" s="209" t="e">
        <f>#REF!</f>
        <v>#REF!</v>
      </c>
      <c r="P119" s="209" t="e">
        <f>#REF!</f>
        <v>#REF!</v>
      </c>
      <c r="Q119" s="160" t="e">
        <f>#REF!</f>
        <v>#REF!</v>
      </c>
      <c r="R119" s="160" t="e">
        <f>#REF!</f>
        <v>#REF!</v>
      </c>
      <c r="S119" s="210"/>
      <c r="T119" s="164"/>
      <c r="U119" s="164"/>
      <c r="V119" s="164"/>
      <c r="W119" s="164"/>
      <c r="X119" s="164"/>
      <c r="Y119" s="164"/>
      <c r="Z119" s="164"/>
      <c r="AA119" s="147" t="e">
        <f>#REF!</f>
        <v>#REF!</v>
      </c>
      <c r="AB119" s="39" t="e">
        <f>#REF!</f>
        <v>#REF!</v>
      </c>
      <c r="AC119" s="39" t="e">
        <f>#REF!</f>
        <v>#REF!</v>
      </c>
      <c r="AD119" s="207"/>
      <c r="AE119" s="3" t="e">
        <f>#REF!-#REF!*20</f>
        <v>#REF!</v>
      </c>
      <c r="AF119" s="39" t="e">
        <f>ROUND(MAX(0.6*#REF!^1.299,850)*(1+ tech_2_6*Techs!AC119 + tech_2_9*Techs!AF119 + tech_3_7*Techs!AN119 + Overview!$I$32),0)</f>
        <v>#REF!</v>
      </c>
      <c r="AG119" s="39" t="e">
        <f>IF(ROUND(MAX(IF(#REF!&gt;=300,5+0.003*(#REF!-300)^1.07,5-300/#REF!)+0,3),0)&lt;=6,ROUND(MAX(IF(#REF!&gt;=300,5+0.003*(#REF!-300)^1.07,5-300/#REF!)+0,3),0),ROUND(MAX(IF(#REF!&gt;=300,5+0.003*(#REF!-300)^1.07,5-300/#REF!)+tech_2_9_2*#REF!+tech_3_7_2*#REF!,6),0))</f>
        <v>#REF!</v>
      </c>
      <c r="AH119" s="39" t="e">
        <f>SUM(#REF!)*#REF!</f>
        <v>#REF!</v>
      </c>
      <c r="AI119" s="39" t="e">
        <f>SUM(#REF!)*#REF!</f>
        <v>#REF!</v>
      </c>
      <c r="AJ119" s="3" t="e">
        <f>_xlfn.FLOOR.MATH(MIN(#REF!/#REF!,#REF!/#REF!))</f>
        <v>#REF!</v>
      </c>
    </row>
    <row r="120" spans="1:36" ht="12.5" x14ac:dyDescent="0.25">
      <c r="A120" s="160" t="e">
        <f>#REF!</f>
        <v>#REF!</v>
      </c>
      <c r="B120" s="206" t="e">
        <f>#REF!</f>
        <v>#REF!</v>
      </c>
      <c r="C120" s="207"/>
      <c r="D120" s="208" t="e">
        <f>#REF!</f>
        <v>#REF!</v>
      </c>
      <c r="E120" s="166" t="e">
        <f>#REF!</f>
        <v>#REF!</v>
      </c>
      <c r="F120" s="341" t="e">
        <f>#REF!</f>
        <v>#REF!</v>
      </c>
      <c r="G120" s="345" t="e">
        <f>#REF!</f>
        <v>#REF!</v>
      </c>
      <c r="H120" s="349" t="e">
        <f>#REF!</f>
        <v>#REF!</v>
      </c>
      <c r="I120" s="169" t="e">
        <f>#REF!</f>
        <v>#REF!</v>
      </c>
      <c r="J120" s="170" t="e">
        <f>#REF!</f>
        <v>#REF!</v>
      </c>
      <c r="K120" s="202"/>
      <c r="L120" s="202"/>
      <c r="M120" s="202"/>
      <c r="N120" s="209" t="e">
        <f>#REF!</f>
        <v>#REF!</v>
      </c>
      <c r="O120" s="209" t="e">
        <f>#REF!</f>
        <v>#REF!</v>
      </c>
      <c r="P120" s="209" t="e">
        <f>#REF!</f>
        <v>#REF!</v>
      </c>
      <c r="Q120" s="160" t="e">
        <f>#REF!</f>
        <v>#REF!</v>
      </c>
      <c r="R120" s="160" t="e">
        <f>#REF!</f>
        <v>#REF!</v>
      </c>
      <c r="S120" s="210"/>
      <c r="T120" s="164"/>
      <c r="U120" s="164"/>
      <c r="V120" s="164"/>
      <c r="W120" s="164"/>
      <c r="X120" s="164"/>
      <c r="Y120" s="164"/>
      <c r="Z120" s="164"/>
      <c r="AA120" s="147" t="e">
        <f>#REF!</f>
        <v>#REF!</v>
      </c>
      <c r="AB120" s="39" t="e">
        <f>#REF!</f>
        <v>#REF!</v>
      </c>
      <c r="AC120" s="39" t="e">
        <f>#REF!</f>
        <v>#REF!</v>
      </c>
      <c r="AD120" s="207"/>
      <c r="AE120" s="3" t="e">
        <f>#REF!-#REF!*20</f>
        <v>#REF!</v>
      </c>
      <c r="AF120" s="39" t="e">
        <f>ROUND(MAX(0.6*#REF!^1.299,850)*(1+ tech_2_6*Techs!AC120 + tech_2_9*Techs!AF120 + tech_3_7*Techs!AN120 + Overview!$I$32),0)</f>
        <v>#REF!</v>
      </c>
      <c r="AG120" s="39" t="e">
        <f>IF(ROUND(MAX(IF(#REF!&gt;=300,5+0.003*(#REF!-300)^1.07,5-300/#REF!)+0,3),0)&lt;=6,ROUND(MAX(IF(#REF!&gt;=300,5+0.003*(#REF!-300)^1.07,5-300/#REF!)+0,3),0),ROUND(MAX(IF(#REF!&gt;=300,5+0.003*(#REF!-300)^1.07,5-300/#REF!)+tech_2_9_2*#REF!+tech_3_7_2*#REF!,6),0))</f>
        <v>#REF!</v>
      </c>
      <c r="AH120" s="39" t="e">
        <f>SUM(#REF!)*#REF!</f>
        <v>#REF!</v>
      </c>
      <c r="AI120" s="39" t="e">
        <f>SUM(#REF!)*#REF!</f>
        <v>#REF!</v>
      </c>
      <c r="AJ120" s="3" t="e">
        <f>_xlfn.FLOOR.MATH(MIN(#REF!/#REF!,#REF!/#REF!))</f>
        <v>#REF!</v>
      </c>
    </row>
    <row r="121" spans="1:36" ht="12.5" x14ac:dyDescent="0.25">
      <c r="A121" s="160" t="e">
        <f>#REF!</f>
        <v>#REF!</v>
      </c>
      <c r="B121" s="206" t="e">
        <f>#REF!</f>
        <v>#REF!</v>
      </c>
      <c r="C121" s="207"/>
      <c r="D121" s="208" t="e">
        <f>#REF!</f>
        <v>#REF!</v>
      </c>
      <c r="E121" s="166" t="e">
        <f>#REF!</f>
        <v>#REF!</v>
      </c>
      <c r="F121" s="341" t="e">
        <f>#REF!</f>
        <v>#REF!</v>
      </c>
      <c r="G121" s="345" t="e">
        <f>#REF!</f>
        <v>#REF!</v>
      </c>
      <c r="H121" s="349" t="e">
        <f>#REF!</f>
        <v>#REF!</v>
      </c>
      <c r="I121" s="169" t="e">
        <f>#REF!</f>
        <v>#REF!</v>
      </c>
      <c r="J121" s="170" t="e">
        <f>#REF!</f>
        <v>#REF!</v>
      </c>
      <c r="K121" s="202"/>
      <c r="L121" s="202"/>
      <c r="M121" s="202"/>
      <c r="N121" s="209" t="e">
        <f>#REF!</f>
        <v>#REF!</v>
      </c>
      <c r="O121" s="209" t="e">
        <f>#REF!</f>
        <v>#REF!</v>
      </c>
      <c r="P121" s="209" t="e">
        <f>#REF!</f>
        <v>#REF!</v>
      </c>
      <c r="Q121" s="160" t="e">
        <f>#REF!</f>
        <v>#REF!</v>
      </c>
      <c r="R121" s="160" t="e">
        <f>#REF!</f>
        <v>#REF!</v>
      </c>
      <c r="S121" s="210"/>
      <c r="T121" s="164"/>
      <c r="U121" s="164"/>
      <c r="V121" s="164"/>
      <c r="W121" s="164"/>
      <c r="X121" s="164"/>
      <c r="Y121" s="164"/>
      <c r="Z121" s="164"/>
      <c r="AA121" s="147" t="e">
        <f>#REF!</f>
        <v>#REF!</v>
      </c>
      <c r="AB121" s="39" t="e">
        <f>#REF!</f>
        <v>#REF!</v>
      </c>
      <c r="AC121" s="39" t="e">
        <f>#REF!</f>
        <v>#REF!</v>
      </c>
      <c r="AD121" s="207"/>
      <c r="AE121" s="3" t="e">
        <f>#REF!-#REF!*20</f>
        <v>#REF!</v>
      </c>
      <c r="AF121" s="39" t="e">
        <f>ROUND(MAX(0.6*#REF!^1.299,850)*(1+ tech_2_6*Techs!AC121 + tech_2_9*Techs!AF121 + tech_3_7*Techs!AN121 + Overview!$I$32),0)</f>
        <v>#REF!</v>
      </c>
      <c r="AG121" s="39" t="e">
        <f>IF(ROUND(MAX(IF(#REF!&gt;=300,5+0.003*(#REF!-300)^1.07,5-300/#REF!)+0,3),0)&lt;=6,ROUND(MAX(IF(#REF!&gt;=300,5+0.003*(#REF!-300)^1.07,5-300/#REF!)+0,3),0),ROUND(MAX(IF(#REF!&gt;=300,5+0.003*(#REF!-300)^1.07,5-300/#REF!)+tech_2_9_2*#REF!+tech_3_7_2*#REF!,6),0))</f>
        <v>#REF!</v>
      </c>
      <c r="AH121" s="39" t="e">
        <f>SUM(#REF!)*#REF!</f>
        <v>#REF!</v>
      </c>
      <c r="AI121" s="39" t="e">
        <f>SUM(#REF!)*#REF!</f>
        <v>#REF!</v>
      </c>
      <c r="AJ121" s="3" t="e">
        <f>_xlfn.FLOOR.MATH(MIN(#REF!/#REF!,#REF!/#REF!))</f>
        <v>#REF!</v>
      </c>
    </row>
    <row r="122" spans="1:36" ht="12.5" x14ac:dyDescent="0.25">
      <c r="A122" s="160" t="e">
        <f>#REF!</f>
        <v>#REF!</v>
      </c>
      <c r="B122" s="206" t="e">
        <f>#REF!</f>
        <v>#REF!</v>
      </c>
      <c r="C122" s="207"/>
      <c r="D122" s="208" t="e">
        <f>#REF!</f>
        <v>#REF!</v>
      </c>
      <c r="E122" s="166" t="e">
        <f>#REF!</f>
        <v>#REF!</v>
      </c>
      <c r="F122" s="341" t="e">
        <f>#REF!</f>
        <v>#REF!</v>
      </c>
      <c r="G122" s="345" t="e">
        <f>#REF!</f>
        <v>#REF!</v>
      </c>
      <c r="H122" s="349" t="e">
        <f>#REF!</f>
        <v>#REF!</v>
      </c>
      <c r="I122" s="169" t="e">
        <f>#REF!</f>
        <v>#REF!</v>
      </c>
      <c r="J122" s="170" t="e">
        <f>#REF!</f>
        <v>#REF!</v>
      </c>
      <c r="K122" s="202"/>
      <c r="L122" s="202"/>
      <c r="M122" s="202"/>
      <c r="N122" s="209" t="e">
        <f>#REF!</f>
        <v>#REF!</v>
      </c>
      <c r="O122" s="209" t="e">
        <f>#REF!</f>
        <v>#REF!</v>
      </c>
      <c r="P122" s="209" t="e">
        <f>#REF!</f>
        <v>#REF!</v>
      </c>
      <c r="Q122" s="160" t="e">
        <f>#REF!</f>
        <v>#REF!</v>
      </c>
      <c r="R122" s="160" t="e">
        <f>#REF!</f>
        <v>#REF!</v>
      </c>
      <c r="S122" s="210"/>
      <c r="T122" s="164"/>
      <c r="U122" s="164"/>
      <c r="V122" s="164"/>
      <c r="W122" s="164"/>
      <c r="X122" s="164"/>
      <c r="Y122" s="164"/>
      <c r="Z122" s="164"/>
      <c r="AA122" s="147" t="e">
        <f>#REF!</f>
        <v>#REF!</v>
      </c>
      <c r="AB122" s="39" t="e">
        <f>#REF!</f>
        <v>#REF!</v>
      </c>
      <c r="AC122" s="39" t="e">
        <f>#REF!</f>
        <v>#REF!</v>
      </c>
      <c r="AD122" s="207"/>
      <c r="AE122" s="3" t="e">
        <f>#REF!-#REF!*20</f>
        <v>#REF!</v>
      </c>
      <c r="AF122" s="39" t="e">
        <f>ROUND(MAX(0.6*#REF!^1.299,850)*(1+ tech_2_6*Techs!AC122 + tech_2_9*Techs!AF122 + tech_3_7*Techs!AN122 + Overview!$I$32),0)</f>
        <v>#REF!</v>
      </c>
      <c r="AG122" s="39" t="e">
        <f>IF(ROUND(MAX(IF(#REF!&gt;=300,5+0.003*(#REF!-300)^1.07,5-300/#REF!)+0,3),0)&lt;=6,ROUND(MAX(IF(#REF!&gt;=300,5+0.003*(#REF!-300)^1.07,5-300/#REF!)+0,3),0),ROUND(MAX(IF(#REF!&gt;=300,5+0.003*(#REF!-300)^1.07,5-300/#REF!)+tech_2_9_2*#REF!+tech_3_7_2*#REF!,6),0))</f>
        <v>#REF!</v>
      </c>
      <c r="AH122" s="39" t="e">
        <f>SUM(#REF!)*#REF!</f>
        <v>#REF!</v>
      </c>
      <c r="AI122" s="39" t="e">
        <f>SUM(#REF!)*#REF!</f>
        <v>#REF!</v>
      </c>
      <c r="AJ122" s="3" t="e">
        <f>_xlfn.FLOOR.MATH(MIN(#REF!/#REF!,#REF!/#REF!))</f>
        <v>#REF!</v>
      </c>
    </row>
    <row r="123" spans="1:36" ht="12.5" x14ac:dyDescent="0.25">
      <c r="A123" s="160" t="e">
        <f>#REF!</f>
        <v>#REF!</v>
      </c>
      <c r="B123" s="206" t="e">
        <f>#REF!</f>
        <v>#REF!</v>
      </c>
      <c r="C123" s="207"/>
      <c r="D123" s="208" t="e">
        <f>#REF!</f>
        <v>#REF!</v>
      </c>
      <c r="E123" s="166" t="e">
        <f>#REF!</f>
        <v>#REF!</v>
      </c>
      <c r="F123" s="341" t="e">
        <f>#REF!</f>
        <v>#REF!</v>
      </c>
      <c r="G123" s="345" t="e">
        <f>#REF!</f>
        <v>#REF!</v>
      </c>
      <c r="H123" s="349" t="e">
        <f>#REF!</f>
        <v>#REF!</v>
      </c>
      <c r="I123" s="169" t="e">
        <f>#REF!</f>
        <v>#REF!</v>
      </c>
      <c r="J123" s="170" t="e">
        <f>#REF!</f>
        <v>#REF!</v>
      </c>
      <c r="K123" s="202"/>
      <c r="L123" s="202"/>
      <c r="M123" s="202"/>
      <c r="N123" s="209" t="e">
        <f>#REF!</f>
        <v>#REF!</v>
      </c>
      <c r="O123" s="209" t="e">
        <f>#REF!</f>
        <v>#REF!</v>
      </c>
      <c r="P123" s="209" t="e">
        <f>#REF!</f>
        <v>#REF!</v>
      </c>
      <c r="Q123" s="160" t="e">
        <f>#REF!</f>
        <v>#REF!</v>
      </c>
      <c r="R123" s="160" t="e">
        <f>#REF!</f>
        <v>#REF!</v>
      </c>
      <c r="S123" s="210"/>
      <c r="T123" s="164"/>
      <c r="U123" s="164"/>
      <c r="V123" s="164"/>
      <c r="W123" s="164"/>
      <c r="X123" s="164"/>
      <c r="Y123" s="164"/>
      <c r="Z123" s="164"/>
      <c r="AA123" s="147" t="e">
        <f>#REF!</f>
        <v>#REF!</v>
      </c>
      <c r="AB123" s="39" t="e">
        <f>#REF!</f>
        <v>#REF!</v>
      </c>
      <c r="AC123" s="39" t="e">
        <f>#REF!</f>
        <v>#REF!</v>
      </c>
      <c r="AD123" s="207"/>
      <c r="AE123" s="3" t="e">
        <f>#REF!-#REF!*20</f>
        <v>#REF!</v>
      </c>
      <c r="AF123" s="39" t="e">
        <f>ROUND(MAX(0.6*#REF!^1.299,850)*(1+ tech_2_6*Techs!AC123 + tech_2_9*Techs!AF123 + tech_3_7*Techs!AN123 + Overview!$I$32),0)</f>
        <v>#REF!</v>
      </c>
      <c r="AG123" s="39" t="e">
        <f>IF(ROUND(MAX(IF(#REF!&gt;=300,5+0.003*(#REF!-300)^1.07,5-300/#REF!)+0,3),0)&lt;=6,ROUND(MAX(IF(#REF!&gt;=300,5+0.003*(#REF!-300)^1.07,5-300/#REF!)+0,3),0),ROUND(MAX(IF(#REF!&gt;=300,5+0.003*(#REF!-300)^1.07,5-300/#REF!)+tech_2_9_2*#REF!+tech_3_7_2*#REF!,6),0))</f>
        <v>#REF!</v>
      </c>
      <c r="AH123" s="39" t="e">
        <f>SUM(#REF!)*#REF!</f>
        <v>#REF!</v>
      </c>
      <c r="AI123" s="39" t="e">
        <f>SUM(#REF!)*#REF!</f>
        <v>#REF!</v>
      </c>
      <c r="AJ123" s="3" t="e">
        <f>_xlfn.FLOOR.MATH(MIN(#REF!/#REF!,#REF!/#REF!))</f>
        <v>#REF!</v>
      </c>
    </row>
    <row r="124" spans="1:36" ht="12.5" x14ac:dyDescent="0.25">
      <c r="A124" s="160" t="e">
        <f>#REF!</f>
        <v>#REF!</v>
      </c>
      <c r="B124" s="206" t="e">
        <f>#REF!</f>
        <v>#REF!</v>
      </c>
      <c r="C124" s="207"/>
      <c r="D124" s="208" t="e">
        <f>#REF!</f>
        <v>#REF!</v>
      </c>
      <c r="E124" s="166" t="e">
        <f>#REF!</f>
        <v>#REF!</v>
      </c>
      <c r="F124" s="341" t="e">
        <f>#REF!</f>
        <v>#REF!</v>
      </c>
      <c r="G124" s="345" t="e">
        <f>#REF!</f>
        <v>#REF!</v>
      </c>
      <c r="H124" s="349" t="e">
        <f>#REF!</f>
        <v>#REF!</v>
      </c>
      <c r="I124" s="169" t="e">
        <f>#REF!</f>
        <v>#REF!</v>
      </c>
      <c r="J124" s="170" t="e">
        <f>#REF!</f>
        <v>#REF!</v>
      </c>
      <c r="K124" s="202"/>
      <c r="L124" s="220" t="s">
        <v>300</v>
      </c>
      <c r="M124" s="219" t="s">
        <v>303</v>
      </c>
      <c r="N124" s="209" t="e">
        <f>#REF!</f>
        <v>#REF!</v>
      </c>
      <c r="O124" s="209" t="e">
        <f>#REF!</f>
        <v>#REF!</v>
      </c>
      <c r="P124" s="209" t="e">
        <f>#REF!</f>
        <v>#REF!</v>
      </c>
      <c r="Q124" s="160" t="e">
        <f>#REF!</f>
        <v>#REF!</v>
      </c>
      <c r="R124" s="160" t="e">
        <f>#REF!</f>
        <v>#REF!</v>
      </c>
      <c r="S124" s="210"/>
      <c r="T124" s="164"/>
      <c r="U124" s="164"/>
      <c r="V124" s="164"/>
      <c r="W124" s="164"/>
      <c r="X124" s="164"/>
      <c r="Y124" s="164"/>
      <c r="Z124" s="164"/>
      <c r="AA124" s="147" t="e">
        <f>#REF!</f>
        <v>#REF!</v>
      </c>
      <c r="AB124" s="39" t="e">
        <f>#REF!</f>
        <v>#REF!</v>
      </c>
      <c r="AC124" s="39" t="e">
        <f>#REF!</f>
        <v>#REF!</v>
      </c>
      <c r="AD124" s="207"/>
      <c r="AE124" s="3" t="e">
        <f>#REF!-#REF!*20</f>
        <v>#REF!</v>
      </c>
      <c r="AF124" s="39" t="e">
        <f>ROUND(MAX(0.6*#REF!^1.299,850)*(1+ tech_2_6*Techs!AC124 + tech_2_9*Techs!AF124 + tech_3_7*Techs!AN124 + Overview!$I$32),0)</f>
        <v>#REF!</v>
      </c>
      <c r="AG124" s="39" t="e">
        <f>IF(ROUND(MAX(IF(#REF!&gt;=300,5+0.003*(#REF!-300)^1.07,5-300/#REF!)+0,3),0)&lt;=6,ROUND(MAX(IF(#REF!&gt;=300,5+0.003*(#REF!-300)^1.07,5-300/#REF!)+0,3),0),ROUND(MAX(IF(#REF!&gt;=300,5+0.003*(#REF!-300)^1.07,5-300/#REF!)+tech_2_9_2*#REF!+tech_3_7_2*#REF!,6),0))</f>
        <v>#REF!</v>
      </c>
      <c r="AH124" s="39" t="e">
        <f>SUM(#REF!)*#REF!</f>
        <v>#REF!</v>
      </c>
      <c r="AI124" s="39" t="e">
        <f>SUM(#REF!)*#REF!</f>
        <v>#REF!</v>
      </c>
      <c r="AJ124" s="3" t="e">
        <f>_xlfn.FLOOR.MATH(MIN(#REF!/#REF!,#REF!/#REF!))</f>
        <v>#REF!</v>
      </c>
    </row>
    <row r="125" spans="1:36" ht="12.5" x14ac:dyDescent="0.25">
      <c r="A125" s="160" t="e">
        <f>#REF!</f>
        <v>#REF!</v>
      </c>
      <c r="B125" s="206" t="e">
        <f>#REF!</f>
        <v>#REF!</v>
      </c>
      <c r="C125" s="207"/>
      <c r="D125" s="208" t="e">
        <f>#REF!</f>
        <v>#REF!</v>
      </c>
      <c r="E125" s="166" t="e">
        <f>#REF!</f>
        <v>#REF!</v>
      </c>
      <c r="F125" s="341" t="e">
        <f>#REF!</f>
        <v>#REF!</v>
      </c>
      <c r="G125" s="345" t="e">
        <f>#REF!</f>
        <v>#REF!</v>
      </c>
      <c r="H125" s="349" t="e">
        <f>#REF!</f>
        <v>#REF!</v>
      </c>
      <c r="I125" s="169" t="e">
        <f>#REF!</f>
        <v>#REF!</v>
      </c>
      <c r="J125" s="170" t="e">
        <f>#REF!</f>
        <v>#REF!</v>
      </c>
      <c r="K125" s="202"/>
      <c r="L125" s="220"/>
      <c r="M125" s="219"/>
      <c r="N125" s="209" t="e">
        <f>#REF!</f>
        <v>#REF!</v>
      </c>
      <c r="O125" s="209" t="e">
        <f>#REF!</f>
        <v>#REF!</v>
      </c>
      <c r="P125" s="209" t="e">
        <f>#REF!</f>
        <v>#REF!</v>
      </c>
      <c r="Q125" s="160" t="e">
        <f>#REF!</f>
        <v>#REF!</v>
      </c>
      <c r="R125" s="160" t="e">
        <f>#REF!</f>
        <v>#REF!</v>
      </c>
      <c r="S125" s="210"/>
      <c r="T125" s="164"/>
      <c r="U125" s="164"/>
      <c r="V125" s="164"/>
      <c r="W125" s="164"/>
      <c r="X125" s="164"/>
      <c r="Y125" s="164"/>
      <c r="Z125" s="164"/>
      <c r="AA125" s="147" t="e">
        <f>#REF!</f>
        <v>#REF!</v>
      </c>
      <c r="AB125" s="39" t="e">
        <f>#REF!</f>
        <v>#REF!</v>
      </c>
      <c r="AC125" s="39" t="e">
        <f>#REF!</f>
        <v>#REF!</v>
      </c>
      <c r="AD125" s="207"/>
      <c r="AE125" s="3" t="e">
        <f>#REF!-#REF!*20</f>
        <v>#REF!</v>
      </c>
      <c r="AF125" s="39" t="e">
        <f>ROUND(MAX(0.6*#REF!^1.299,850)*(1+ tech_2_6*Techs!AC125 + tech_2_9*Techs!AF125 + tech_3_7*Techs!AN125 + Overview!$I$32),0)</f>
        <v>#REF!</v>
      </c>
      <c r="AG125" s="39" t="e">
        <f>IF(ROUND(MAX(IF(#REF!&gt;=300,5+0.003*(#REF!-300)^1.07,5-300/#REF!)+0,3),0)&lt;=6,ROUND(MAX(IF(#REF!&gt;=300,5+0.003*(#REF!-300)^1.07,5-300/#REF!)+0,3),0),ROUND(MAX(IF(#REF!&gt;=300,5+0.003*(#REF!-300)^1.07,5-300/#REF!)+tech_2_9_2*#REF!+tech_3_7_2*#REF!,6),0))</f>
        <v>#REF!</v>
      </c>
      <c r="AH125" s="39" t="e">
        <f>SUM(#REF!)*#REF!</f>
        <v>#REF!</v>
      </c>
      <c r="AI125" s="39" t="e">
        <f>SUM(#REF!)*#REF!</f>
        <v>#REF!</v>
      </c>
      <c r="AJ125" s="3" t="e">
        <f>_xlfn.FLOOR.MATH(MIN(#REF!/#REF!,#REF!/#REF!))</f>
        <v>#REF!</v>
      </c>
    </row>
    <row r="126" spans="1:36" ht="12.5" x14ac:dyDescent="0.25">
      <c r="A126" s="160" t="e">
        <f>#REF!</f>
        <v>#REF!</v>
      </c>
      <c r="B126" s="206" t="e">
        <f>#REF!</f>
        <v>#REF!</v>
      </c>
      <c r="C126" s="207"/>
      <c r="D126" s="208" t="e">
        <f>#REF!</f>
        <v>#REF!</v>
      </c>
      <c r="E126" s="166" t="e">
        <f>#REF!</f>
        <v>#REF!</v>
      </c>
      <c r="F126" s="341" t="e">
        <f>#REF!</f>
        <v>#REF!</v>
      </c>
      <c r="G126" s="345" t="e">
        <f>#REF!</f>
        <v>#REF!</v>
      </c>
      <c r="H126" s="349" t="e">
        <f>#REF!</f>
        <v>#REF!</v>
      </c>
      <c r="I126" s="169" t="e">
        <f>#REF!</f>
        <v>#REF!</v>
      </c>
      <c r="J126" s="170" t="e">
        <f>#REF!</f>
        <v>#REF!</v>
      </c>
      <c r="K126" s="202"/>
      <c r="L126" s="220"/>
      <c r="M126" s="219"/>
      <c r="N126" s="209" t="e">
        <f>#REF!</f>
        <v>#REF!</v>
      </c>
      <c r="O126" s="209" t="e">
        <f>#REF!</f>
        <v>#REF!</v>
      </c>
      <c r="P126" s="209" t="e">
        <f>#REF!</f>
        <v>#REF!</v>
      </c>
      <c r="Q126" s="160" t="e">
        <f>#REF!</f>
        <v>#REF!</v>
      </c>
      <c r="R126" s="160" t="e">
        <f>#REF!</f>
        <v>#REF!</v>
      </c>
      <c r="S126" s="210"/>
      <c r="T126" s="164"/>
      <c r="U126" s="164"/>
      <c r="V126" s="164"/>
      <c r="W126" s="164"/>
      <c r="X126" s="164"/>
      <c r="Y126" s="164"/>
      <c r="Z126" s="164"/>
      <c r="AA126" s="147" t="e">
        <f>#REF!</f>
        <v>#REF!</v>
      </c>
      <c r="AB126" s="39" t="e">
        <f>#REF!</f>
        <v>#REF!</v>
      </c>
      <c r="AC126" s="39" t="e">
        <f>#REF!</f>
        <v>#REF!</v>
      </c>
      <c r="AD126" s="207"/>
      <c r="AE126" s="3" t="e">
        <f>#REF!-#REF!*20</f>
        <v>#REF!</v>
      </c>
      <c r="AF126" s="39" t="e">
        <f>ROUND(MAX(0.6*#REF!^1.299,850)*(1+ tech_2_6*Techs!AC126 + tech_2_9*Techs!AF126 + tech_3_7*Techs!AN126 + Overview!$I$32),0)</f>
        <v>#REF!</v>
      </c>
      <c r="AG126" s="39" t="e">
        <f>IF(ROUND(MAX(IF(#REF!&gt;=300,5+0.003*(#REF!-300)^1.07,5-300/#REF!)+0,3),0)&lt;=6,ROUND(MAX(IF(#REF!&gt;=300,5+0.003*(#REF!-300)^1.07,5-300/#REF!)+0,3),0),ROUND(MAX(IF(#REF!&gt;=300,5+0.003*(#REF!-300)^1.07,5-300/#REF!)+tech_2_9_2*#REF!+tech_3_7_2*#REF!,6),0))</f>
        <v>#REF!</v>
      </c>
      <c r="AH126" s="39" t="e">
        <f>SUM(#REF!)*#REF!</f>
        <v>#REF!</v>
      </c>
      <c r="AI126" s="39" t="e">
        <f>SUM(#REF!)*#REF!</f>
        <v>#REF!</v>
      </c>
      <c r="AJ126" s="3" t="e">
        <f>_xlfn.FLOOR.MATH(MIN(#REF!/#REF!,#REF!/#REF!))</f>
        <v>#REF!</v>
      </c>
    </row>
    <row r="127" spans="1:36" ht="12.5" x14ac:dyDescent="0.25">
      <c r="A127" s="160" t="e">
        <f>#REF!</f>
        <v>#REF!</v>
      </c>
      <c r="B127" s="206" t="e">
        <f>#REF!</f>
        <v>#REF!</v>
      </c>
      <c r="C127" s="207"/>
      <c r="D127" s="208" t="e">
        <f>#REF!</f>
        <v>#REF!</v>
      </c>
      <c r="E127" s="166" t="e">
        <f>#REF!</f>
        <v>#REF!</v>
      </c>
      <c r="F127" s="341" t="e">
        <f>#REF!</f>
        <v>#REF!</v>
      </c>
      <c r="G127" s="345" t="e">
        <f>#REF!</f>
        <v>#REF!</v>
      </c>
      <c r="H127" s="349" t="e">
        <f>#REF!</f>
        <v>#REF!</v>
      </c>
      <c r="I127" s="169" t="e">
        <f>#REF!</f>
        <v>#REF!</v>
      </c>
      <c r="J127" s="170" t="e">
        <f>#REF!</f>
        <v>#REF!</v>
      </c>
      <c r="K127" s="202"/>
      <c r="L127" s="202">
        <v>4</v>
      </c>
      <c r="M127" s="202">
        <v>299</v>
      </c>
      <c r="N127" s="209" t="e">
        <f>#REF!</f>
        <v>#REF!</v>
      </c>
      <c r="O127" s="209" t="e">
        <f>#REF!</f>
        <v>#REF!</v>
      </c>
      <c r="P127" s="209" t="e">
        <f>#REF!</f>
        <v>#REF!</v>
      </c>
      <c r="Q127" s="160" t="e">
        <f>#REF!</f>
        <v>#REF!</v>
      </c>
      <c r="R127" s="160" t="e">
        <f>#REF!</f>
        <v>#REF!</v>
      </c>
      <c r="S127" s="210"/>
      <c r="T127" s="164"/>
      <c r="U127" s="164"/>
      <c r="V127" s="164"/>
      <c r="W127" s="164"/>
      <c r="X127" s="164"/>
      <c r="Y127" s="164"/>
      <c r="Z127" s="164"/>
      <c r="AA127" s="147" t="e">
        <f>#REF!</f>
        <v>#REF!</v>
      </c>
      <c r="AB127" s="39" t="e">
        <f>#REF!</f>
        <v>#REF!</v>
      </c>
      <c r="AC127" s="39" t="e">
        <f>#REF!</f>
        <v>#REF!</v>
      </c>
      <c r="AD127" s="207"/>
      <c r="AE127" s="3" t="e">
        <f>#REF!-#REF!*20</f>
        <v>#REF!</v>
      </c>
      <c r="AF127" s="39" t="e">
        <f>ROUND(MAX(0.6*#REF!^1.299,850)*(1+ tech_2_6*Techs!AC127 + tech_2_9*Techs!AF127 + tech_3_7*Techs!AN127 + Overview!$I$32),0)</f>
        <v>#REF!</v>
      </c>
      <c r="AG127" s="39" t="e">
        <f>IF(ROUND(MAX(IF(#REF!&gt;=300,5+0.003*(#REF!-300)^1.07,5-300/#REF!)+0,3),0)&lt;=6,ROUND(MAX(IF(#REF!&gt;=300,5+0.003*(#REF!-300)^1.07,5-300/#REF!)+0,3),0),ROUND(MAX(IF(#REF!&gt;=300,5+0.003*(#REF!-300)^1.07,5-300/#REF!)+tech_2_9_2*#REF!+tech_3_7_2*#REF!,6),0))</f>
        <v>#REF!</v>
      </c>
      <c r="AH127" s="39" t="e">
        <f>SUM(#REF!)*#REF!</f>
        <v>#REF!</v>
      </c>
      <c r="AI127" s="39" t="e">
        <f>SUM(#REF!)*#REF!</f>
        <v>#REF!</v>
      </c>
      <c r="AJ127" s="3" t="e">
        <f>_xlfn.FLOOR.MATH(MIN(#REF!/#REF!,#REF!/#REF!))</f>
        <v>#REF!</v>
      </c>
    </row>
    <row r="128" spans="1:36" ht="12.5" x14ac:dyDescent="0.25">
      <c r="A128" s="160" t="e">
        <f>#REF!</f>
        <v>#REF!</v>
      </c>
      <c r="B128" s="206" t="e">
        <f>#REF!</f>
        <v>#REF!</v>
      </c>
      <c r="C128" s="207"/>
      <c r="D128" s="208" t="e">
        <f>#REF!</f>
        <v>#REF!</v>
      </c>
      <c r="E128" s="166" t="e">
        <f>#REF!</f>
        <v>#REF!</v>
      </c>
      <c r="F128" s="341" t="e">
        <f>#REF!</f>
        <v>#REF!</v>
      </c>
      <c r="G128" s="345" t="e">
        <f>#REF!</f>
        <v>#REF!</v>
      </c>
      <c r="H128" s="349" t="e">
        <f>#REF!</f>
        <v>#REF!</v>
      </c>
      <c r="I128" s="169" t="e">
        <f>#REF!</f>
        <v>#REF!</v>
      </c>
      <c r="J128" s="170" t="e">
        <f>#REF!</f>
        <v>#REF!</v>
      </c>
      <c r="K128" s="202"/>
      <c r="L128" s="202">
        <v>5</v>
      </c>
      <c r="M128" s="202">
        <v>419</v>
      </c>
      <c r="N128" s="209" t="e">
        <f>#REF!</f>
        <v>#REF!</v>
      </c>
      <c r="O128" s="209" t="e">
        <f>#REF!</f>
        <v>#REF!</v>
      </c>
      <c r="P128" s="209" t="e">
        <f>#REF!</f>
        <v>#REF!</v>
      </c>
      <c r="Q128" s="160" t="e">
        <f>#REF!</f>
        <v>#REF!</v>
      </c>
      <c r="R128" s="160" t="e">
        <f>#REF!</f>
        <v>#REF!</v>
      </c>
      <c r="S128" s="210"/>
      <c r="T128" s="164"/>
      <c r="U128" s="164"/>
      <c r="V128" s="164"/>
      <c r="W128" s="164"/>
      <c r="X128" s="164"/>
      <c r="Y128" s="164"/>
      <c r="Z128" s="164"/>
      <c r="AA128" s="147" t="e">
        <f>#REF!</f>
        <v>#REF!</v>
      </c>
      <c r="AB128" s="39" t="e">
        <f>#REF!</f>
        <v>#REF!</v>
      </c>
      <c r="AC128" s="39" t="e">
        <f>#REF!</f>
        <v>#REF!</v>
      </c>
      <c r="AD128" s="207"/>
      <c r="AE128" s="3" t="e">
        <f>#REF!-#REF!*20</f>
        <v>#REF!</v>
      </c>
      <c r="AF128" s="39" t="e">
        <f>ROUND(MAX(0.6*#REF!^1.299,850)*(1+ tech_2_6*Techs!AC128 + tech_2_9*Techs!AF128 + tech_3_7*Techs!AN128 + Overview!$I$32),0)</f>
        <v>#REF!</v>
      </c>
      <c r="AG128" s="39" t="e">
        <f>IF(ROUND(MAX(IF(#REF!&gt;=300,5+0.003*(#REF!-300)^1.07,5-300/#REF!)+0,3),0)&lt;=6,ROUND(MAX(IF(#REF!&gt;=300,5+0.003*(#REF!-300)^1.07,5-300/#REF!)+0,3),0),ROUND(MAX(IF(#REF!&gt;=300,5+0.003*(#REF!-300)^1.07,5-300/#REF!)+tech_2_9_2*#REF!+tech_3_7_2*#REF!,6),0))</f>
        <v>#REF!</v>
      </c>
      <c r="AH128" s="39" t="e">
        <f>SUM(#REF!)*#REF!</f>
        <v>#REF!</v>
      </c>
      <c r="AI128" s="39" t="e">
        <f>SUM(#REF!)*#REF!</f>
        <v>#REF!</v>
      </c>
      <c r="AJ128" s="3" t="e">
        <f>_xlfn.FLOOR.MATH(MIN(#REF!/#REF!,#REF!/#REF!))</f>
        <v>#REF!</v>
      </c>
    </row>
    <row r="129" spans="1:36" ht="12.5" x14ac:dyDescent="0.25">
      <c r="A129" s="160" t="e">
        <f>#REF!</f>
        <v>#REF!</v>
      </c>
      <c r="B129" s="206" t="e">
        <f>#REF!</f>
        <v>#REF!</v>
      </c>
      <c r="C129" s="207"/>
      <c r="D129" s="208" t="e">
        <f>#REF!</f>
        <v>#REF!</v>
      </c>
      <c r="E129" s="166" t="e">
        <f>#REF!</f>
        <v>#REF!</v>
      </c>
      <c r="F129" s="341" t="e">
        <f>#REF!</f>
        <v>#REF!</v>
      </c>
      <c r="G129" s="345" t="e">
        <f>#REF!</f>
        <v>#REF!</v>
      </c>
      <c r="H129" s="349" t="e">
        <f>#REF!</f>
        <v>#REF!</v>
      </c>
      <c r="I129" s="169" t="e">
        <f>#REF!</f>
        <v>#REF!</v>
      </c>
      <c r="J129" s="170" t="e">
        <f>#REF!</f>
        <v>#REF!</v>
      </c>
      <c r="K129" s="202"/>
      <c r="L129" s="202">
        <v>6</v>
      </c>
      <c r="M129" s="202">
        <v>632</v>
      </c>
      <c r="N129" s="209" t="e">
        <f>#REF!</f>
        <v>#REF!</v>
      </c>
      <c r="O129" s="209" t="e">
        <f>#REF!</f>
        <v>#REF!</v>
      </c>
      <c r="P129" s="209" t="e">
        <f>#REF!</f>
        <v>#REF!</v>
      </c>
      <c r="Q129" s="160" t="e">
        <f>#REF!</f>
        <v>#REF!</v>
      </c>
      <c r="R129" s="160" t="e">
        <f>#REF!</f>
        <v>#REF!</v>
      </c>
      <c r="S129" s="210"/>
      <c r="T129" s="164"/>
      <c r="U129" s="164"/>
      <c r="V129" s="164"/>
      <c r="W129" s="164"/>
      <c r="X129" s="164"/>
      <c r="Y129" s="164"/>
      <c r="Z129" s="164"/>
      <c r="AA129" s="147" t="e">
        <f>#REF!</f>
        <v>#REF!</v>
      </c>
      <c r="AB129" s="39" t="e">
        <f>#REF!</f>
        <v>#REF!</v>
      </c>
      <c r="AC129" s="39" t="e">
        <f>#REF!</f>
        <v>#REF!</v>
      </c>
      <c r="AD129" s="207"/>
      <c r="AE129" s="3" t="e">
        <f>#REF!-#REF!*20</f>
        <v>#REF!</v>
      </c>
      <c r="AF129" s="39" t="e">
        <f>ROUND(MAX(0.6*#REF!^1.299,850)*(1+ tech_2_6*Techs!AC129 + tech_2_9*Techs!AF129 + tech_3_7*Techs!AN129 + Overview!$I$32),0)</f>
        <v>#REF!</v>
      </c>
      <c r="AG129" s="39" t="e">
        <f>IF(ROUND(MAX(IF(#REF!&gt;=300,5+0.003*(#REF!-300)^1.07,5-300/#REF!)+0,3),0)&lt;=6,ROUND(MAX(IF(#REF!&gt;=300,5+0.003*(#REF!-300)^1.07,5-300/#REF!)+0,3),0),ROUND(MAX(IF(#REF!&gt;=300,5+0.003*(#REF!-300)^1.07,5-300/#REF!)+tech_2_9_2*#REF!+tech_3_7_2*#REF!,6),0))</f>
        <v>#REF!</v>
      </c>
      <c r="AH129" s="39" t="e">
        <f>SUM(#REF!)*#REF!</f>
        <v>#REF!</v>
      </c>
      <c r="AI129" s="39" t="e">
        <f>SUM(#REF!)*#REF!</f>
        <v>#REF!</v>
      </c>
      <c r="AJ129" s="3" t="e">
        <f>_xlfn.FLOOR.MATH(MIN(#REF!/#REF!,#REF!/#REF!))</f>
        <v>#REF!</v>
      </c>
    </row>
    <row r="130" spans="1:36" ht="12.5" x14ac:dyDescent="0.25">
      <c r="A130" s="160" t="e">
        <f>#REF!</f>
        <v>#REF!</v>
      </c>
      <c r="B130" s="206" t="e">
        <f>#REF!</f>
        <v>#REF!</v>
      </c>
      <c r="C130" s="207"/>
      <c r="D130" s="208" t="e">
        <f>#REF!</f>
        <v>#REF!</v>
      </c>
      <c r="E130" s="166" t="e">
        <f>#REF!</f>
        <v>#REF!</v>
      </c>
      <c r="F130" s="341" t="e">
        <f>#REF!</f>
        <v>#REF!</v>
      </c>
      <c r="G130" s="345" t="e">
        <f>#REF!</f>
        <v>#REF!</v>
      </c>
      <c r="H130" s="349" t="e">
        <f>#REF!</f>
        <v>#REF!</v>
      </c>
      <c r="I130" s="169" t="e">
        <f>#REF!</f>
        <v>#REF!</v>
      </c>
      <c r="J130" s="170" t="e">
        <f>#REF!</f>
        <v>#REF!</v>
      </c>
      <c r="K130" s="202"/>
      <c r="L130" s="202">
        <v>7</v>
      </c>
      <c r="M130" s="202">
        <v>836</v>
      </c>
      <c r="N130" s="209" t="e">
        <f>#REF!</f>
        <v>#REF!</v>
      </c>
      <c r="O130" s="209" t="e">
        <f>#REF!</f>
        <v>#REF!</v>
      </c>
      <c r="P130" s="209" t="e">
        <f>#REF!</f>
        <v>#REF!</v>
      </c>
      <c r="Q130" s="160" t="e">
        <f>#REF!</f>
        <v>#REF!</v>
      </c>
      <c r="R130" s="160" t="e">
        <f>#REF!</f>
        <v>#REF!</v>
      </c>
      <c r="S130" s="210"/>
      <c r="T130" s="164"/>
      <c r="U130" s="164"/>
      <c r="V130" s="164"/>
      <c r="W130" s="164"/>
      <c r="X130" s="164"/>
      <c r="Y130" s="164"/>
      <c r="Z130" s="164"/>
      <c r="AA130" s="147" t="e">
        <f>#REF!</f>
        <v>#REF!</v>
      </c>
      <c r="AB130" s="39" t="e">
        <f>#REF!</f>
        <v>#REF!</v>
      </c>
      <c r="AC130" s="39" t="e">
        <f>#REF!</f>
        <v>#REF!</v>
      </c>
      <c r="AD130" s="207"/>
      <c r="AE130" s="3" t="e">
        <f>#REF!-#REF!*20</f>
        <v>#REF!</v>
      </c>
      <c r="AF130" s="39" t="e">
        <f>ROUND(MAX(0.6*#REF!^1.299,850)*(1+ tech_2_6*Techs!AC130 + tech_2_9*Techs!AF130 + tech_3_7*Techs!AN130 + Overview!$I$32),0)</f>
        <v>#REF!</v>
      </c>
      <c r="AG130" s="39" t="e">
        <f>IF(ROUND(MAX(IF(#REF!&gt;=300,5+0.003*(#REF!-300)^1.07,5-300/#REF!)+0,3),0)&lt;=6,ROUND(MAX(IF(#REF!&gt;=300,5+0.003*(#REF!-300)^1.07,5-300/#REF!)+0,3),0),ROUND(MAX(IF(#REF!&gt;=300,5+0.003*(#REF!-300)^1.07,5-300/#REF!)+tech_2_9_2*#REF!+tech_3_7_2*#REF!,6),0))</f>
        <v>#REF!</v>
      </c>
      <c r="AH130" s="39" t="e">
        <f>SUM(#REF!)*#REF!</f>
        <v>#REF!</v>
      </c>
      <c r="AI130" s="39" t="e">
        <f>SUM(#REF!)*#REF!</f>
        <v>#REF!</v>
      </c>
      <c r="AJ130" s="3" t="e">
        <f>_xlfn.FLOOR.MATH(MIN(#REF!/#REF!,#REF!/#REF!))</f>
        <v>#REF!</v>
      </c>
    </row>
    <row r="131" spans="1:36" ht="12.5" x14ac:dyDescent="0.25">
      <c r="A131" s="160" t="e">
        <f>#REF!</f>
        <v>#REF!</v>
      </c>
      <c r="B131" s="206" t="e">
        <f>#REF!</f>
        <v>#REF!</v>
      </c>
      <c r="C131" s="207"/>
      <c r="D131" s="208" t="e">
        <f>#REF!</f>
        <v>#REF!</v>
      </c>
      <c r="E131" s="166" t="e">
        <f>#REF!</f>
        <v>#REF!</v>
      </c>
      <c r="F131" s="341" t="e">
        <f>#REF!</f>
        <v>#REF!</v>
      </c>
      <c r="G131" s="345" t="e">
        <f>#REF!</f>
        <v>#REF!</v>
      </c>
      <c r="H131" s="349" t="e">
        <f>#REF!</f>
        <v>#REF!</v>
      </c>
      <c r="I131" s="169" t="e">
        <f>#REF!</f>
        <v>#REF!</v>
      </c>
      <c r="J131" s="170" t="e">
        <f>#REF!</f>
        <v>#REF!</v>
      </c>
      <c r="K131" s="202"/>
      <c r="L131" s="202">
        <v>8</v>
      </c>
      <c r="M131" s="202">
        <v>1035</v>
      </c>
      <c r="N131" s="209" t="e">
        <f>#REF!</f>
        <v>#REF!</v>
      </c>
      <c r="O131" s="209" t="e">
        <f>#REF!</f>
        <v>#REF!</v>
      </c>
      <c r="P131" s="209" t="e">
        <f>#REF!</f>
        <v>#REF!</v>
      </c>
      <c r="Q131" s="160" t="e">
        <f>#REF!</f>
        <v>#REF!</v>
      </c>
      <c r="R131" s="160" t="e">
        <f>#REF!</f>
        <v>#REF!</v>
      </c>
      <c r="S131" s="210"/>
      <c r="T131" s="164"/>
      <c r="U131" s="164"/>
      <c r="V131" s="164"/>
      <c r="W131" s="164"/>
      <c r="X131" s="164"/>
      <c r="Y131" s="164"/>
      <c r="Z131" s="164"/>
      <c r="AA131" s="147" t="e">
        <f>#REF!</f>
        <v>#REF!</v>
      </c>
      <c r="AB131" s="39" t="e">
        <f>#REF!</f>
        <v>#REF!</v>
      </c>
      <c r="AC131" s="39" t="e">
        <f>#REF!</f>
        <v>#REF!</v>
      </c>
      <c r="AD131" s="207"/>
      <c r="AE131" s="3" t="e">
        <f>#REF!-#REF!*20</f>
        <v>#REF!</v>
      </c>
      <c r="AF131" s="39" t="e">
        <f>ROUND(MAX(0.6*#REF!^1.299,850)*(1+ tech_2_6*Techs!AC131 + tech_2_9*Techs!AF131 + tech_3_7*Techs!AN131 + Overview!$I$32),0)</f>
        <v>#REF!</v>
      </c>
      <c r="AG131" s="39" t="e">
        <f>IF(ROUND(MAX(IF(#REF!&gt;=300,5+0.003*(#REF!-300)^1.07,5-300/#REF!)+0,3),0)&lt;=6,ROUND(MAX(IF(#REF!&gt;=300,5+0.003*(#REF!-300)^1.07,5-300/#REF!)+0,3),0),ROUND(MAX(IF(#REF!&gt;=300,5+0.003*(#REF!-300)^1.07,5-300/#REF!)+tech_2_9_2*#REF!+tech_3_7_2*#REF!,6),0))</f>
        <v>#REF!</v>
      </c>
      <c r="AH131" s="39" t="e">
        <f>SUM(#REF!)*#REF!</f>
        <v>#REF!</v>
      </c>
      <c r="AI131" s="39" t="e">
        <f>SUM(#REF!)*#REF!</f>
        <v>#REF!</v>
      </c>
      <c r="AJ131" s="3" t="e">
        <f>_xlfn.FLOOR.MATH(MIN(#REF!/#REF!,#REF!/#REF!))</f>
        <v>#REF!</v>
      </c>
    </row>
    <row r="132" spans="1:36" ht="12.5" x14ac:dyDescent="0.25">
      <c r="A132" s="160" t="e">
        <f>#REF!</f>
        <v>#REF!</v>
      </c>
      <c r="B132" s="206" t="e">
        <f>#REF!</f>
        <v>#REF!</v>
      </c>
      <c r="C132" s="207"/>
      <c r="D132" s="208" t="e">
        <f>#REF!</f>
        <v>#REF!</v>
      </c>
      <c r="E132" s="166" t="e">
        <f>#REF!</f>
        <v>#REF!</v>
      </c>
      <c r="F132" s="341" t="e">
        <f>#REF!</f>
        <v>#REF!</v>
      </c>
      <c r="G132" s="345" t="e">
        <f>#REF!</f>
        <v>#REF!</v>
      </c>
      <c r="H132" s="349" t="e">
        <f>#REF!</f>
        <v>#REF!</v>
      </c>
      <c r="I132" s="169" t="e">
        <f>#REF!</f>
        <v>#REF!</v>
      </c>
      <c r="J132" s="170" t="e">
        <f>#REF!</f>
        <v>#REF!</v>
      </c>
      <c r="K132" s="202"/>
      <c r="L132" s="202">
        <v>9</v>
      </c>
      <c r="M132" s="202">
        <v>1229</v>
      </c>
      <c r="N132" s="209" t="e">
        <f>#REF!</f>
        <v>#REF!</v>
      </c>
      <c r="O132" s="209" t="e">
        <f>#REF!</f>
        <v>#REF!</v>
      </c>
      <c r="P132" s="209" t="e">
        <f>#REF!</f>
        <v>#REF!</v>
      </c>
      <c r="Q132" s="160" t="e">
        <f>#REF!</f>
        <v>#REF!</v>
      </c>
      <c r="R132" s="160" t="e">
        <f>#REF!</f>
        <v>#REF!</v>
      </c>
      <c r="S132" s="210"/>
      <c r="T132" s="164"/>
      <c r="U132" s="164"/>
      <c r="V132" s="164"/>
      <c r="W132" s="164"/>
      <c r="X132" s="164"/>
      <c r="Y132" s="164"/>
      <c r="Z132" s="164"/>
      <c r="AA132" s="147" t="e">
        <f>#REF!</f>
        <v>#REF!</v>
      </c>
      <c r="AB132" s="39" t="e">
        <f>#REF!</f>
        <v>#REF!</v>
      </c>
      <c r="AC132" s="39" t="e">
        <f>#REF!</f>
        <v>#REF!</v>
      </c>
      <c r="AD132" s="207"/>
      <c r="AE132" s="3" t="e">
        <f>#REF!-#REF!*20</f>
        <v>#REF!</v>
      </c>
      <c r="AF132" s="39" t="e">
        <f>ROUND(MAX(0.6*#REF!^1.299,850)*(1+ tech_2_6*Techs!AC132 + tech_2_9*Techs!AF132 + tech_3_7*Techs!AN132 + Overview!$I$32),0)</f>
        <v>#REF!</v>
      </c>
      <c r="AG132" s="39" t="e">
        <f>IF(ROUND(MAX(IF(#REF!&gt;=300,5+0.003*(#REF!-300)^1.07,5-300/#REF!)+0,3),0)&lt;=6,ROUND(MAX(IF(#REF!&gt;=300,5+0.003*(#REF!-300)^1.07,5-300/#REF!)+0,3),0),ROUND(MAX(IF(#REF!&gt;=300,5+0.003*(#REF!-300)^1.07,5-300/#REF!)+tech_2_9_2*#REF!+tech_3_7_2*#REF!,6),0))</f>
        <v>#REF!</v>
      </c>
      <c r="AH132" s="39" t="e">
        <f>SUM(#REF!)*#REF!</f>
        <v>#REF!</v>
      </c>
      <c r="AI132" s="39" t="e">
        <f>SUM(#REF!)*#REF!</f>
        <v>#REF!</v>
      </c>
      <c r="AJ132" s="3" t="e">
        <f>_xlfn.FLOOR.MATH(MIN(#REF!/#REF!,#REF!/#REF!))</f>
        <v>#REF!</v>
      </c>
    </row>
    <row r="133" spans="1:36" ht="12.5" x14ac:dyDescent="0.25">
      <c r="A133" s="160" t="e">
        <f>#REF!</f>
        <v>#REF!</v>
      </c>
      <c r="B133" s="206" t="e">
        <f>#REF!</f>
        <v>#REF!</v>
      </c>
      <c r="C133" s="207"/>
      <c r="D133" s="208" t="e">
        <f>#REF!</f>
        <v>#REF!</v>
      </c>
      <c r="E133" s="166" t="e">
        <f>#REF!</f>
        <v>#REF!</v>
      </c>
      <c r="F133" s="341" t="e">
        <f>#REF!</f>
        <v>#REF!</v>
      </c>
      <c r="G133" s="345" t="e">
        <f>#REF!</f>
        <v>#REF!</v>
      </c>
      <c r="H133" s="349" t="e">
        <f>#REF!</f>
        <v>#REF!</v>
      </c>
      <c r="I133" s="169" t="e">
        <f>#REF!</f>
        <v>#REF!</v>
      </c>
      <c r="J133" s="170" t="e">
        <f>#REF!</f>
        <v>#REF!</v>
      </c>
      <c r="K133" s="202"/>
      <c r="L133" s="202">
        <v>10</v>
      </c>
      <c r="M133" s="202">
        <v>1421</v>
      </c>
      <c r="N133" s="209" t="e">
        <f>#REF!</f>
        <v>#REF!</v>
      </c>
      <c r="O133" s="209" t="e">
        <f>#REF!</f>
        <v>#REF!</v>
      </c>
      <c r="P133" s="209" t="e">
        <f>#REF!</f>
        <v>#REF!</v>
      </c>
      <c r="Q133" s="160" t="e">
        <f>#REF!</f>
        <v>#REF!</v>
      </c>
      <c r="R133" s="160" t="e">
        <f>#REF!</f>
        <v>#REF!</v>
      </c>
      <c r="S133" s="210"/>
      <c r="T133" s="164"/>
      <c r="U133" s="164"/>
      <c r="V133" s="164"/>
      <c r="W133" s="164"/>
      <c r="X133" s="164"/>
      <c r="Y133" s="164"/>
      <c r="Z133" s="164"/>
      <c r="AA133" s="147" t="e">
        <f>#REF!</f>
        <v>#REF!</v>
      </c>
      <c r="AB133" s="39" t="e">
        <f>#REF!</f>
        <v>#REF!</v>
      </c>
      <c r="AC133" s="39" t="e">
        <f>#REF!</f>
        <v>#REF!</v>
      </c>
      <c r="AD133" s="207"/>
      <c r="AE133" s="3" t="e">
        <f>#REF!-#REF!*20</f>
        <v>#REF!</v>
      </c>
      <c r="AF133" s="39" t="e">
        <f>ROUND(MAX(0.6*#REF!^1.299,850)*(1+ tech_2_6*Techs!AC133 + tech_2_9*Techs!AF133 + tech_3_7*Techs!AN133 + Overview!$I$32),0)</f>
        <v>#REF!</v>
      </c>
      <c r="AG133" s="39" t="e">
        <f>IF(ROUND(MAX(IF(#REF!&gt;=300,5+0.003*(#REF!-300)^1.07,5-300/#REF!)+0,3),0)&lt;=6,ROUND(MAX(IF(#REF!&gt;=300,5+0.003*(#REF!-300)^1.07,5-300/#REF!)+0,3),0),ROUND(MAX(IF(#REF!&gt;=300,5+0.003*(#REF!-300)^1.07,5-300/#REF!)+tech_2_9_2*#REF!+tech_3_7_2*#REF!,6),0))</f>
        <v>#REF!</v>
      </c>
      <c r="AH133" s="39" t="e">
        <f>SUM(#REF!)*#REF!</f>
        <v>#REF!</v>
      </c>
      <c r="AI133" s="39" t="e">
        <f>SUM(#REF!)*#REF!</f>
        <v>#REF!</v>
      </c>
      <c r="AJ133" s="3" t="e">
        <f>_xlfn.FLOOR.MATH(MIN(#REF!/#REF!,#REF!/#REF!))</f>
        <v>#REF!</v>
      </c>
    </row>
    <row r="134" spans="1:36" ht="12.5" x14ac:dyDescent="0.25">
      <c r="A134" s="160" t="e">
        <f>#REF!</f>
        <v>#REF!</v>
      </c>
      <c r="B134" s="206" t="e">
        <f>#REF!</f>
        <v>#REF!</v>
      </c>
      <c r="C134" s="207"/>
      <c r="D134" s="208" t="e">
        <f>#REF!</f>
        <v>#REF!</v>
      </c>
      <c r="E134" s="166" t="e">
        <f>#REF!</f>
        <v>#REF!</v>
      </c>
      <c r="F134" s="341" t="e">
        <f>#REF!</f>
        <v>#REF!</v>
      </c>
      <c r="G134" s="345" t="e">
        <f>#REF!</f>
        <v>#REF!</v>
      </c>
      <c r="H134" s="349" t="e">
        <f>#REF!</f>
        <v>#REF!</v>
      </c>
      <c r="I134" s="169" t="e">
        <f>#REF!</f>
        <v>#REF!</v>
      </c>
      <c r="J134" s="170" t="e">
        <f>#REF!</f>
        <v>#REF!</v>
      </c>
      <c r="K134" s="202"/>
      <c r="L134" s="202">
        <v>11</v>
      </c>
      <c r="M134" s="202">
        <v>1610</v>
      </c>
      <c r="N134" s="209" t="e">
        <f>#REF!</f>
        <v>#REF!</v>
      </c>
      <c r="O134" s="209" t="e">
        <f>#REF!</f>
        <v>#REF!</v>
      </c>
      <c r="P134" s="209" t="e">
        <f>#REF!</f>
        <v>#REF!</v>
      </c>
      <c r="Q134" s="160" t="e">
        <f>#REF!</f>
        <v>#REF!</v>
      </c>
      <c r="R134" s="160" t="e">
        <f>#REF!</f>
        <v>#REF!</v>
      </c>
      <c r="S134" s="210"/>
      <c r="T134" s="164"/>
      <c r="U134" s="164"/>
      <c r="V134" s="164"/>
      <c r="W134" s="164"/>
      <c r="X134" s="164"/>
      <c r="Y134" s="164"/>
      <c r="Z134" s="164"/>
      <c r="AA134" s="147" t="e">
        <f>#REF!</f>
        <v>#REF!</v>
      </c>
      <c r="AB134" s="39" t="e">
        <f>#REF!</f>
        <v>#REF!</v>
      </c>
      <c r="AC134" s="39" t="e">
        <f>#REF!</f>
        <v>#REF!</v>
      </c>
      <c r="AD134" s="207"/>
      <c r="AE134" s="3" t="e">
        <f>#REF!-#REF!*20</f>
        <v>#REF!</v>
      </c>
      <c r="AF134" s="39" t="e">
        <f>ROUND(MAX(0.6*#REF!^1.299,850)*(1+ tech_2_6*Techs!AC134 + tech_2_9*Techs!AF134 + tech_3_7*Techs!AN134 + Overview!$I$32),0)</f>
        <v>#REF!</v>
      </c>
      <c r="AG134" s="39" t="e">
        <f>IF(ROUND(MAX(IF(#REF!&gt;=300,5+0.003*(#REF!-300)^1.07,5-300/#REF!)+0,3),0)&lt;=6,ROUND(MAX(IF(#REF!&gt;=300,5+0.003*(#REF!-300)^1.07,5-300/#REF!)+0,3),0),ROUND(MAX(IF(#REF!&gt;=300,5+0.003*(#REF!-300)^1.07,5-300/#REF!)+tech_2_9_2*#REF!+tech_3_7_2*#REF!,6),0))</f>
        <v>#REF!</v>
      </c>
      <c r="AH134" s="39" t="e">
        <f>SUM(#REF!)*#REF!</f>
        <v>#REF!</v>
      </c>
      <c r="AI134" s="39" t="e">
        <f>SUM(#REF!)*#REF!</f>
        <v>#REF!</v>
      </c>
      <c r="AJ134" s="3" t="e">
        <f>_xlfn.FLOOR.MATH(MIN(#REF!/#REF!,#REF!/#REF!))</f>
        <v>#REF!</v>
      </c>
    </row>
    <row r="135" spans="1:36" ht="12.5" x14ac:dyDescent="0.25">
      <c r="A135" s="160" t="e">
        <f>#REF!</f>
        <v>#REF!</v>
      </c>
      <c r="B135" s="206" t="e">
        <f>#REF!</f>
        <v>#REF!</v>
      </c>
      <c r="C135" s="207"/>
      <c r="D135" s="208" t="e">
        <f>#REF!</f>
        <v>#REF!</v>
      </c>
      <c r="E135" s="166" t="e">
        <f>#REF!</f>
        <v>#REF!</v>
      </c>
      <c r="F135" s="341" t="e">
        <f>#REF!</f>
        <v>#REF!</v>
      </c>
      <c r="G135" s="345" t="e">
        <f>#REF!</f>
        <v>#REF!</v>
      </c>
      <c r="H135" s="349" t="e">
        <f>#REF!</f>
        <v>#REF!</v>
      </c>
      <c r="I135" s="169" t="e">
        <f>#REF!</f>
        <v>#REF!</v>
      </c>
      <c r="J135" s="170" t="e">
        <f>#REF!</f>
        <v>#REF!</v>
      </c>
      <c r="K135" s="202"/>
      <c r="L135" s="202">
        <v>12</v>
      </c>
      <c r="M135" s="202">
        <v>1798</v>
      </c>
      <c r="N135" s="209" t="e">
        <f>#REF!</f>
        <v>#REF!</v>
      </c>
      <c r="O135" s="209" t="e">
        <f>#REF!</f>
        <v>#REF!</v>
      </c>
      <c r="P135" s="209" t="e">
        <f>#REF!</f>
        <v>#REF!</v>
      </c>
      <c r="Q135" s="160" t="e">
        <f>#REF!</f>
        <v>#REF!</v>
      </c>
      <c r="R135" s="160" t="e">
        <f>#REF!</f>
        <v>#REF!</v>
      </c>
      <c r="S135" s="210"/>
      <c r="T135" s="164"/>
      <c r="U135" s="164"/>
      <c r="V135" s="164"/>
      <c r="W135" s="164"/>
      <c r="X135" s="164"/>
      <c r="Y135" s="164"/>
      <c r="Z135" s="164"/>
      <c r="AA135" s="147" t="e">
        <f>#REF!</f>
        <v>#REF!</v>
      </c>
      <c r="AB135" s="39" t="e">
        <f>#REF!</f>
        <v>#REF!</v>
      </c>
      <c r="AC135" s="39" t="e">
        <f>#REF!</f>
        <v>#REF!</v>
      </c>
      <c r="AD135" s="207"/>
      <c r="AE135" s="3" t="e">
        <f>#REF!-#REF!*20</f>
        <v>#REF!</v>
      </c>
      <c r="AF135" s="39" t="e">
        <f>ROUND(MAX(0.6*#REF!^1.299,850)*(1+ tech_2_6*Techs!AC135 + tech_2_9*Techs!AF135 + tech_3_7*Techs!AN135 + Overview!$I$32),0)</f>
        <v>#REF!</v>
      </c>
      <c r="AG135" s="39" t="e">
        <f>IF(ROUND(MAX(IF(#REF!&gt;=300,5+0.003*(#REF!-300)^1.07,5-300/#REF!)+0,3),0)&lt;=6,ROUND(MAX(IF(#REF!&gt;=300,5+0.003*(#REF!-300)^1.07,5-300/#REF!)+0,3),0),ROUND(MAX(IF(#REF!&gt;=300,5+0.003*(#REF!-300)^1.07,5-300/#REF!)+tech_2_9_2*#REF!+tech_3_7_2*#REF!,6),0))</f>
        <v>#REF!</v>
      </c>
      <c r="AH135" s="39" t="e">
        <f>SUM(#REF!)*#REF!</f>
        <v>#REF!</v>
      </c>
      <c r="AI135" s="39" t="e">
        <f>SUM(#REF!)*#REF!</f>
        <v>#REF!</v>
      </c>
      <c r="AJ135" s="3" t="e">
        <f>_xlfn.FLOOR.MATH(MIN(#REF!/#REF!,#REF!/#REF!))</f>
        <v>#REF!</v>
      </c>
    </row>
    <row r="136" spans="1:36" ht="12.5" x14ac:dyDescent="0.25">
      <c r="A136" s="160" t="e">
        <f>#REF!</f>
        <v>#REF!</v>
      </c>
      <c r="B136" s="206" t="e">
        <f>#REF!</f>
        <v>#REF!</v>
      </c>
      <c r="C136" s="207"/>
      <c r="D136" s="208" t="e">
        <f>#REF!</f>
        <v>#REF!</v>
      </c>
      <c r="E136" s="166" t="e">
        <f>#REF!</f>
        <v>#REF!</v>
      </c>
      <c r="F136" s="341" t="e">
        <f>#REF!</f>
        <v>#REF!</v>
      </c>
      <c r="G136" s="345" t="e">
        <f>#REF!</f>
        <v>#REF!</v>
      </c>
      <c r="H136" s="349" t="e">
        <f>#REF!</f>
        <v>#REF!</v>
      </c>
      <c r="I136" s="169" t="e">
        <f>#REF!</f>
        <v>#REF!</v>
      </c>
      <c r="J136" s="170" t="e">
        <f>#REF!</f>
        <v>#REF!</v>
      </c>
      <c r="K136" s="202"/>
      <c r="L136" s="202">
        <v>13</v>
      </c>
      <c r="M136" s="202">
        <v>1984</v>
      </c>
      <c r="N136" s="209" t="e">
        <f>#REF!</f>
        <v>#REF!</v>
      </c>
      <c r="O136" s="209" t="e">
        <f>#REF!</f>
        <v>#REF!</v>
      </c>
      <c r="P136" s="209" t="e">
        <f>#REF!</f>
        <v>#REF!</v>
      </c>
      <c r="Q136" s="160" t="e">
        <f>#REF!</f>
        <v>#REF!</v>
      </c>
      <c r="R136" s="160" t="e">
        <f>#REF!</f>
        <v>#REF!</v>
      </c>
      <c r="S136" s="210"/>
      <c r="T136" s="164"/>
      <c r="U136" s="164"/>
      <c r="V136" s="164"/>
      <c r="W136" s="164"/>
      <c r="X136" s="164"/>
      <c r="Y136" s="164"/>
      <c r="Z136" s="164"/>
      <c r="AA136" s="147" t="e">
        <f>#REF!</f>
        <v>#REF!</v>
      </c>
      <c r="AB136" s="39" t="e">
        <f>#REF!</f>
        <v>#REF!</v>
      </c>
      <c r="AC136" s="39" t="e">
        <f>#REF!</f>
        <v>#REF!</v>
      </c>
      <c r="AD136" s="207"/>
      <c r="AE136" s="3" t="e">
        <f>#REF!-#REF!*20</f>
        <v>#REF!</v>
      </c>
      <c r="AF136" s="39" t="e">
        <f>ROUND(MAX(0.6*#REF!^1.299,850)*(1+ tech_2_6*Techs!AC136 + tech_2_9*Techs!AF136 + tech_3_7*Techs!AN136 + Overview!$I$32),0)</f>
        <v>#REF!</v>
      </c>
      <c r="AG136" s="39" t="e">
        <f>IF(ROUND(MAX(IF(#REF!&gt;=300,5+0.003*(#REF!-300)^1.07,5-300/#REF!)+0,3),0)&lt;=6,ROUND(MAX(IF(#REF!&gt;=300,5+0.003*(#REF!-300)^1.07,5-300/#REF!)+0,3),0),ROUND(MAX(IF(#REF!&gt;=300,5+0.003*(#REF!-300)^1.07,5-300/#REF!)+tech_2_9_2*#REF!+tech_3_7_2*#REF!,6),0))</f>
        <v>#REF!</v>
      </c>
      <c r="AH136" s="39" t="e">
        <f>SUM(#REF!)*#REF!</f>
        <v>#REF!</v>
      </c>
      <c r="AI136" s="39" t="e">
        <f>SUM(#REF!)*#REF!</f>
        <v>#REF!</v>
      </c>
      <c r="AJ136" s="3" t="e">
        <f>_xlfn.FLOOR.MATH(MIN(#REF!/#REF!,#REF!/#REF!))</f>
        <v>#REF!</v>
      </c>
    </row>
    <row r="1269" spans="2:13" x14ac:dyDescent="0.3">
      <c r="B1269" s="448" t="s">
        <v>316</v>
      </c>
      <c r="C1269" s="448"/>
      <c r="L1269" s="135"/>
      <c r="M1269" s="135"/>
    </row>
    <row r="1270" spans="2:13" x14ac:dyDescent="0.3">
      <c r="B1270" s="31" t="e">
        <f>Overview!E17</f>
        <v>#REF!</v>
      </c>
      <c r="C1270" s="31"/>
      <c r="L1270" s="135"/>
      <c r="M1270" s="135"/>
    </row>
  </sheetData>
  <mergeCells count="3">
    <mergeCell ref="AB1:AC1"/>
    <mergeCell ref="L1:Q1"/>
    <mergeCell ref="B1269:C1269"/>
  </mergeCells>
  <phoneticPr fontId="1"/>
  <conditionalFormatting sqref="A1269:B1270 D1269:AJ1270 C1270">
    <cfRule type="expression" dxfId="50" priority="17" stopIfTrue="1">
      <formula>$B$1270&gt;144</formula>
    </cfRule>
  </conditionalFormatting>
  <conditionalFormatting sqref="A4:AJ12 A13:V15 A16:AJ23 A24:V26 A27:AJ40 A41:S48 A49:AJ136 X13:AJ15 U41:AJ48">
    <cfRule type="expression" dxfId="49" priority="9">
      <formula>$A4=73</formula>
    </cfRule>
  </conditionalFormatting>
  <conditionalFormatting sqref="A4:AJ12 A13:V15 X13:AJ15 A16:AJ23 A24:V26 A27:AJ40 A41:S48 U41:AJ48 A49:AJ136">
    <cfRule type="expression" dxfId="48" priority="16">
      <formula>ROUND(($A4-1)/12,0)=INT($A4-1)/12</formula>
    </cfRule>
  </conditionalFormatting>
  <conditionalFormatting sqref="A1:XFD3">
    <cfRule type="expression" dxfId="47" priority="22" stopIfTrue="1">
      <formula>$B$1270&lt;0</formula>
    </cfRule>
  </conditionalFormatting>
  <conditionalFormatting sqref="D4:J136">
    <cfRule type="expression" dxfId="46" priority="8" stopIfTrue="1">
      <formula>OR(ROW()-3=$B$1270,D4&lt;0)</formula>
    </cfRule>
  </conditionalFormatting>
  <conditionalFormatting sqref="M26:M32 M98:M104">
    <cfRule type="expression" dxfId="45" priority="19" stopIfTrue="1">
      <formula>$M26&lt;$M17</formula>
    </cfRule>
    <cfRule type="expression" dxfId="44" priority="20" stopIfTrue="1">
      <formula>$M17&lt;$M26</formula>
    </cfRule>
  </conditionalFormatting>
  <conditionalFormatting sqref="N4:AJ12 A4:J136 N13:V15 X13:AJ15 N41:S48 U41:AJ48 N49:AJ136">
    <cfRule type="expression" dxfId="43" priority="7" stopIfTrue="1">
      <formula>ROW()-3=$B$1270</formula>
    </cfRule>
  </conditionalFormatting>
  <conditionalFormatting sqref="N16:AJ40">
    <cfRule type="expression" dxfId="42" priority="1" stopIfTrue="1">
      <formula>ROW()-3=$B$1270</formula>
    </cfRule>
  </conditionalFormatting>
  <conditionalFormatting sqref="W13:W15">
    <cfRule type="expression" dxfId="41" priority="4" stopIfTrue="1">
      <formula>ROW()-3=$A$1270</formula>
    </cfRule>
    <cfRule type="expression" dxfId="40" priority="5">
      <formula>$A13=73</formula>
    </cfRule>
    <cfRule type="expression" dxfId="39" priority="6">
      <formula>ROUND(($A13-1)/12,0)=INT($A13-1)/12</formula>
    </cfRule>
  </conditionalFormatting>
  <conditionalFormatting sqref="W24:AJ26">
    <cfRule type="expression" dxfId="38" priority="2">
      <formula>$A24=73</formula>
    </cfRule>
    <cfRule type="expression" dxfId="37" priority="3">
      <formula>ROUND(($A24-1)/12,0)=INT($A24-1)/12</formula>
    </cfRule>
  </conditionalFormatting>
  <dataValidations count="1">
    <dataValidation type="whole" operator="equal" allowBlank="1" showInputMessage="1" showErrorMessage="1" sqref="S4:S136" xr:uid="{00000000-0002-0000-0400-000000000000}">
      <formula1>1</formula1>
    </dataValidation>
  </dataValidations>
  <pageMargins left="0.75" right="0.75" top="1" bottom="1" header="0.5" footer="0.5"/>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sheetPr>
  <dimension ref="A1:AC1270"/>
  <sheetViews>
    <sheetView tabSelected="1" zoomScale="85" zoomScaleNormal="85" workbookViewId="0">
      <pane ySplit="3" topLeftCell="A4" activePane="bottomLeft" state="frozenSplit"/>
      <selection activeCell="A3" sqref="A3"/>
      <selection pane="bottomLeft" activeCell="L4" sqref="L4"/>
    </sheetView>
  </sheetViews>
  <sheetFormatPr defaultColWidth="9.1796875" defaultRowHeight="12.5" x14ac:dyDescent="0.25"/>
  <cols>
    <col min="1" max="1" width="7.7265625" style="3" customWidth="1"/>
    <col min="2" max="2" width="6.81640625" style="3" bestFit="1" customWidth="1"/>
    <col min="3" max="3" width="7.1796875" style="3" customWidth="1"/>
    <col min="4" max="4" width="10.54296875" style="3" customWidth="1"/>
    <col min="5" max="5" width="4.81640625" style="3" customWidth="1"/>
    <col min="6" max="7" width="8" style="3" customWidth="1"/>
    <col min="8" max="8" width="6.54296875" style="3" customWidth="1"/>
    <col min="9" max="9" width="3.26953125" style="3" customWidth="1"/>
    <col min="10" max="10" width="7.54296875" style="57" customWidth="1"/>
    <col min="11" max="11" width="7.81640625" style="3" customWidth="1"/>
    <col min="12" max="12" width="6.81640625" style="3" customWidth="1"/>
    <col min="13" max="13" width="7.1796875" style="3" customWidth="1"/>
    <col min="14" max="14" width="10.54296875" style="3" customWidth="1"/>
    <col min="15" max="15" width="4.81640625" style="3" customWidth="1"/>
    <col min="16" max="16" width="8.1796875" style="3" customWidth="1"/>
    <col min="17" max="17" width="8" style="3" customWidth="1"/>
    <col min="18" max="18" width="6.54296875" style="3" customWidth="1"/>
    <col min="19" max="19" width="10.7265625" style="3" customWidth="1"/>
    <col min="20" max="20" width="6.81640625" style="3" customWidth="1"/>
    <col min="21" max="21" width="3.26953125" style="3" customWidth="1"/>
    <col min="22" max="22" width="11.26953125" style="3" customWidth="1"/>
    <col min="23" max="23" width="3.26953125" style="3" customWidth="1"/>
    <col min="24" max="24" width="11.1796875" style="3" customWidth="1"/>
    <col min="25" max="25" width="12.26953125" style="3" customWidth="1"/>
    <col min="26" max="26" width="3" style="3" customWidth="1"/>
    <col min="27" max="27" width="11.7265625" style="3" customWidth="1"/>
    <col min="28" max="28" width="3.453125" style="3" customWidth="1"/>
    <col min="29" max="29" width="10.1796875" style="3" customWidth="1"/>
    <col min="30" max="30" width="9.1796875" style="3" customWidth="1"/>
    <col min="31" max="16384" width="9.1796875" style="3"/>
  </cols>
  <sheetData>
    <row r="1" spans="1:29" ht="13" x14ac:dyDescent="0.3">
      <c r="A1" s="8"/>
      <c r="B1" s="8" t="s">
        <v>54</v>
      </c>
      <c r="C1" s="8"/>
      <c r="D1" s="8"/>
      <c r="E1" s="8"/>
      <c r="F1" s="8"/>
      <c r="G1" s="8"/>
      <c r="H1" s="8"/>
      <c r="I1" s="8"/>
      <c r="J1" s="31"/>
      <c r="K1" s="8"/>
      <c r="L1" s="60" t="s">
        <v>304</v>
      </c>
      <c r="M1" s="8"/>
      <c r="N1" s="8"/>
      <c r="O1" s="8"/>
      <c r="P1" s="8"/>
      <c r="Q1" s="8"/>
      <c r="R1" s="8"/>
      <c r="S1" s="8"/>
      <c r="T1" s="8"/>
      <c r="U1" s="8"/>
      <c r="V1" s="8" t="s">
        <v>193</v>
      </c>
      <c r="W1" s="8"/>
      <c r="X1" s="8" t="s">
        <v>33</v>
      </c>
      <c r="Y1" s="8"/>
      <c r="Z1" s="8"/>
      <c r="AA1" s="8" t="s">
        <v>192</v>
      </c>
      <c r="AB1" s="8"/>
      <c r="AC1" s="8"/>
    </row>
    <row r="2" spans="1:29" ht="13" x14ac:dyDescent="0.3">
      <c r="A2" s="8"/>
      <c r="B2" s="8"/>
      <c r="C2" s="8"/>
      <c r="D2" s="8"/>
      <c r="E2" s="8"/>
      <c r="F2" s="8"/>
      <c r="G2" s="8"/>
      <c r="H2" s="8"/>
      <c r="I2" s="8"/>
      <c r="J2" s="31"/>
      <c r="K2" s="8"/>
      <c r="L2" s="60"/>
      <c r="M2" s="8"/>
      <c r="N2" s="8"/>
      <c r="O2" s="8"/>
      <c r="P2" s="8"/>
      <c r="Q2" s="8"/>
      <c r="R2" s="8"/>
      <c r="S2" s="8"/>
      <c r="T2" s="8"/>
      <c r="U2" s="8"/>
      <c r="V2" s="8"/>
      <c r="W2" s="8"/>
      <c r="X2" s="8"/>
      <c r="Y2" s="8"/>
      <c r="Z2" s="8"/>
      <c r="AA2" s="8"/>
      <c r="AB2" s="8"/>
      <c r="AC2" s="8"/>
    </row>
    <row r="3" spans="1:29" ht="15" customHeight="1" x14ac:dyDescent="0.25">
      <c r="A3" s="128" t="s">
        <v>1</v>
      </c>
      <c r="B3" s="128" t="s">
        <v>55</v>
      </c>
      <c r="C3" s="128" t="s">
        <v>58</v>
      </c>
      <c r="D3" s="128" t="s">
        <v>177</v>
      </c>
      <c r="E3" s="128" t="s">
        <v>59</v>
      </c>
      <c r="F3" s="128" t="s">
        <v>60</v>
      </c>
      <c r="G3" s="128" t="s">
        <v>61</v>
      </c>
      <c r="H3" s="128" t="s">
        <v>62</v>
      </c>
      <c r="I3" s="128" t="s">
        <v>773</v>
      </c>
      <c r="J3" s="128" t="s">
        <v>0</v>
      </c>
      <c r="K3" s="128" t="s">
        <v>311</v>
      </c>
      <c r="L3" s="128" t="s">
        <v>1028</v>
      </c>
      <c r="M3" s="128" t="s">
        <v>1029</v>
      </c>
      <c r="N3" s="128" t="s">
        <v>1030</v>
      </c>
      <c r="O3" s="128" t="s">
        <v>1031</v>
      </c>
      <c r="P3" s="128" t="s">
        <v>1032</v>
      </c>
      <c r="Q3" s="128" t="s">
        <v>1033</v>
      </c>
      <c r="R3" s="128" t="s">
        <v>1034</v>
      </c>
      <c r="S3" s="128" t="s">
        <v>302</v>
      </c>
      <c r="T3" s="128" t="s">
        <v>194</v>
      </c>
      <c r="U3" s="128" t="s">
        <v>774</v>
      </c>
      <c r="V3" s="128" t="s">
        <v>2</v>
      </c>
      <c r="W3" s="128" t="s">
        <v>775</v>
      </c>
      <c r="X3" s="128" t="s">
        <v>57</v>
      </c>
      <c r="Y3" s="128" t="s">
        <v>902</v>
      </c>
      <c r="Z3" s="128" t="s">
        <v>790</v>
      </c>
      <c r="AA3" s="128" t="s">
        <v>260</v>
      </c>
      <c r="AB3" s="128" t="s">
        <v>791</v>
      </c>
      <c r="AC3" s="128" t="s">
        <v>190</v>
      </c>
    </row>
    <row r="4" spans="1:29" ht="12.75" customHeight="1" x14ac:dyDescent="0.25">
      <c r="A4" s="206" t="e">
        <f>#REF!</f>
        <v>#REF!</v>
      </c>
      <c r="B4" s="208" t="e">
        <f>#REF!</f>
        <v>#REF!</v>
      </c>
      <c r="C4" s="166" t="e">
        <f>#REF!</f>
        <v>#REF!</v>
      </c>
      <c r="D4" s="341" t="e">
        <f>#REF!</f>
        <v>#REF!</v>
      </c>
      <c r="E4" s="345" t="e">
        <f>#REF!</f>
        <v>#REF!</v>
      </c>
      <c r="F4" s="349" t="e">
        <f>#REF!</f>
        <v>#REF!</v>
      </c>
      <c r="G4" s="169" t="e">
        <f>#REF!</f>
        <v>#REF!</v>
      </c>
      <c r="H4" s="170" t="e">
        <f>#REF!</f>
        <v>#REF!</v>
      </c>
      <c r="I4" s="207"/>
      <c r="J4" s="160">
        <v>1</v>
      </c>
      <c r="K4" s="227" t="e">
        <f>#REF!</f>
        <v>#REF!</v>
      </c>
      <c r="L4" s="146"/>
      <c r="M4" s="146"/>
      <c r="N4" s="164"/>
      <c r="O4" s="146"/>
      <c r="P4" s="146"/>
      <c r="Q4" s="146"/>
      <c r="R4" s="146"/>
      <c r="S4" s="39" t="e">
        <f>SUMIF(#REF!,"&gt;0")</f>
        <v>#REF!</v>
      </c>
      <c r="T4" s="61" t="e">
        <f>IF(SUM(#REF!)=0,"Ok","Nope")</f>
        <v>#REF!</v>
      </c>
      <c r="U4" s="207"/>
      <c r="V4" s="39" t="e">
        <f>#REF!</f>
        <v>#REF!</v>
      </c>
      <c r="W4" s="207"/>
      <c r="X4" s="39" t="e">
        <f>ROUNDUP( (1-MIN(ROUND(facs_rezone_factor*#REF!,4),facs_rezone_max) + tech_6_4*#REF! + tech_10_2*#REF! - IF(#REF!&gt;0,mech_genius_bonus,0) + race_rezone_cost) *#REF!,0)</f>
        <v>#REF!</v>
      </c>
      <c r="Y4" s="39" t="e">
        <f>#REF!*#REF!</f>
        <v>#REF!</v>
      </c>
      <c r="Z4" s="207"/>
      <c r="AA4" s="39" t="e">
        <f>250+0.6*(#REF!-250)</f>
        <v>#REF!</v>
      </c>
      <c r="AB4" s="207"/>
      <c r="AC4" s="132" t="e">
        <f>#REF!</f>
        <v>#REF!</v>
      </c>
    </row>
    <row r="5" spans="1:29" x14ac:dyDescent="0.25">
      <c r="A5" s="206" t="e">
        <f>#REF!</f>
        <v>#REF!</v>
      </c>
      <c r="B5" s="208" t="e">
        <f>#REF!</f>
        <v>#REF!</v>
      </c>
      <c r="C5" s="166" t="e">
        <f>#REF!</f>
        <v>#REF!</v>
      </c>
      <c r="D5" s="341" t="e">
        <f>#REF!</f>
        <v>#REF!</v>
      </c>
      <c r="E5" s="345" t="e">
        <f>#REF!</f>
        <v>#REF!</v>
      </c>
      <c r="F5" s="349" t="e">
        <f>#REF!</f>
        <v>#REF!</v>
      </c>
      <c r="G5" s="169" t="e">
        <f>#REF!</f>
        <v>#REF!</v>
      </c>
      <c r="H5" s="170" t="e">
        <f>#REF!</f>
        <v>#REF!</v>
      </c>
      <c r="I5" s="207"/>
      <c r="J5" s="160">
        <f t="shared" ref="J5:J15" si="0">J4+1</f>
        <v>2</v>
      </c>
      <c r="K5" s="227" t="e">
        <f>#REF!</f>
        <v>#REF!</v>
      </c>
      <c r="L5" s="164"/>
      <c r="M5" s="164"/>
      <c r="N5" s="164"/>
      <c r="O5" s="164"/>
      <c r="P5" s="164"/>
      <c r="Q5" s="164"/>
      <c r="R5" s="164"/>
      <c r="S5" s="39" t="e">
        <f>SUMIF(#REF!,"&gt;0")</f>
        <v>#REF!</v>
      </c>
      <c r="T5" s="61" t="e">
        <f>IF(SUM(#REF!)=0,"Ok","Nope")</f>
        <v>#REF!</v>
      </c>
      <c r="U5" s="207"/>
      <c r="V5" s="39" t="e">
        <f>#REF!</f>
        <v>#REF!</v>
      </c>
      <c r="W5" s="207"/>
      <c r="X5" s="39" t="e">
        <f>ROUNDUP( (1-MIN(ROUND(facs_rezone_factor*#REF!,4),facs_rezone_max) + tech_6_4*#REF! + tech_10_2*#REF! - IF(#REF!&gt;0,mech_genius_bonus,0) + race_rezone_cost) *#REF!,0)</f>
        <v>#REF!</v>
      </c>
      <c r="Y5" s="39" t="e">
        <f>#REF!*#REF!</f>
        <v>#REF!</v>
      </c>
      <c r="Z5" s="207"/>
      <c r="AA5" s="39" t="e">
        <f>250+0.6*(#REF!-250)</f>
        <v>#REF!</v>
      </c>
      <c r="AB5" s="207"/>
      <c r="AC5" s="132" t="e">
        <f>#REF!</f>
        <v>#REF!</v>
      </c>
    </row>
    <row r="6" spans="1:29" x14ac:dyDescent="0.25">
      <c r="A6" s="206" t="e">
        <f>#REF!</f>
        <v>#REF!</v>
      </c>
      <c r="B6" s="208" t="e">
        <f>#REF!</f>
        <v>#REF!</v>
      </c>
      <c r="C6" s="166" t="e">
        <f>#REF!</f>
        <v>#REF!</v>
      </c>
      <c r="D6" s="341" t="e">
        <f>#REF!</f>
        <v>#REF!</v>
      </c>
      <c r="E6" s="345" t="e">
        <f>#REF!</f>
        <v>#REF!</v>
      </c>
      <c r="F6" s="349" t="e">
        <f>#REF!</f>
        <v>#REF!</v>
      </c>
      <c r="G6" s="169" t="e">
        <f>#REF!</f>
        <v>#REF!</v>
      </c>
      <c r="H6" s="170" t="e">
        <f>#REF!</f>
        <v>#REF!</v>
      </c>
      <c r="I6" s="207"/>
      <c r="J6" s="160">
        <f t="shared" si="0"/>
        <v>3</v>
      </c>
      <c r="K6" s="227" t="e">
        <f>#REF!</f>
        <v>#REF!</v>
      </c>
      <c r="L6" s="164"/>
      <c r="M6" s="164"/>
      <c r="N6" s="164"/>
      <c r="O6" s="164"/>
      <c r="P6" s="164"/>
      <c r="Q6" s="164"/>
      <c r="R6" s="164"/>
      <c r="S6" s="39" t="e">
        <f>SUMIF(#REF!,"&gt;0")</f>
        <v>#REF!</v>
      </c>
      <c r="T6" s="61" t="e">
        <f>IF(SUM(#REF!)=0,"Ok","Nope")</f>
        <v>#REF!</v>
      </c>
      <c r="U6" s="207"/>
      <c r="V6" s="39" t="e">
        <f>#REF!</f>
        <v>#REF!</v>
      </c>
      <c r="W6" s="207"/>
      <c r="X6" s="39" t="e">
        <f>ROUNDUP( (1-MIN(ROUND(facs_rezone_factor*#REF!,4),facs_rezone_max) + tech_6_4*#REF! + tech_10_2*#REF! - IF(#REF!&gt;0,mech_genius_bonus,0) + race_rezone_cost) *#REF!,0)</f>
        <v>#REF!</v>
      </c>
      <c r="Y6" s="39" t="e">
        <f>#REF!*#REF!</f>
        <v>#REF!</v>
      </c>
      <c r="Z6" s="207"/>
      <c r="AA6" s="39" t="e">
        <f>250+0.6*(#REF!-250)</f>
        <v>#REF!</v>
      </c>
      <c r="AB6" s="207"/>
      <c r="AC6" s="132" t="e">
        <f>#REF!</f>
        <v>#REF!</v>
      </c>
    </row>
    <row r="7" spans="1:29" x14ac:dyDescent="0.25">
      <c r="A7" s="206" t="e">
        <f>#REF!</f>
        <v>#REF!</v>
      </c>
      <c r="B7" s="208" t="e">
        <f>#REF!</f>
        <v>#REF!</v>
      </c>
      <c r="C7" s="166" t="e">
        <f>#REF!</f>
        <v>#REF!</v>
      </c>
      <c r="D7" s="341" t="e">
        <f>#REF!</f>
        <v>#REF!</v>
      </c>
      <c r="E7" s="345" t="e">
        <f>#REF!</f>
        <v>#REF!</v>
      </c>
      <c r="F7" s="349" t="e">
        <f>#REF!</f>
        <v>#REF!</v>
      </c>
      <c r="G7" s="169" t="e">
        <f>#REF!</f>
        <v>#REF!</v>
      </c>
      <c r="H7" s="170" t="e">
        <f>#REF!</f>
        <v>#REF!</v>
      </c>
      <c r="I7" s="207"/>
      <c r="J7" s="160">
        <f t="shared" si="0"/>
        <v>4</v>
      </c>
      <c r="K7" s="227" t="e">
        <f>#REF!</f>
        <v>#REF!</v>
      </c>
      <c r="L7" s="164"/>
      <c r="M7" s="164"/>
      <c r="N7" s="164"/>
      <c r="O7" s="164"/>
      <c r="P7" s="164"/>
      <c r="Q7" s="164"/>
      <c r="R7" s="164"/>
      <c r="S7" s="39" t="e">
        <f>SUMIF(#REF!,"&gt;0")</f>
        <v>#REF!</v>
      </c>
      <c r="T7" s="61" t="e">
        <f>IF(SUM(#REF!)=0,"Ok","Nope")</f>
        <v>#REF!</v>
      </c>
      <c r="U7" s="207"/>
      <c r="V7" s="39" t="e">
        <f>#REF!</f>
        <v>#REF!</v>
      </c>
      <c r="W7" s="207"/>
      <c r="X7" s="39" t="e">
        <f>ROUNDUP( (1-MIN(ROUND(facs_rezone_factor*#REF!,4),facs_rezone_max) + tech_6_4*#REF! + tech_10_2*#REF! - IF(#REF!&gt;0,mech_genius_bonus,0) + race_rezone_cost) *#REF!,0)</f>
        <v>#REF!</v>
      </c>
      <c r="Y7" s="39" t="e">
        <f>#REF!*#REF!</f>
        <v>#REF!</v>
      </c>
      <c r="Z7" s="207"/>
      <c r="AA7" s="39" t="e">
        <f>250+0.6*(#REF!-250)</f>
        <v>#REF!</v>
      </c>
      <c r="AB7" s="207"/>
      <c r="AC7" s="132" t="e">
        <f>#REF!</f>
        <v>#REF!</v>
      </c>
    </row>
    <row r="8" spans="1:29" x14ac:dyDescent="0.25">
      <c r="A8" s="206" t="e">
        <f>#REF!</f>
        <v>#REF!</v>
      </c>
      <c r="B8" s="208" t="e">
        <f>#REF!</f>
        <v>#REF!</v>
      </c>
      <c r="C8" s="166" t="e">
        <f>#REF!</f>
        <v>#REF!</v>
      </c>
      <c r="D8" s="341" t="e">
        <f>#REF!</f>
        <v>#REF!</v>
      </c>
      <c r="E8" s="345" t="e">
        <f>#REF!</f>
        <v>#REF!</v>
      </c>
      <c r="F8" s="349" t="e">
        <f>#REF!</f>
        <v>#REF!</v>
      </c>
      <c r="G8" s="169" t="e">
        <f>#REF!</f>
        <v>#REF!</v>
      </c>
      <c r="H8" s="170" t="e">
        <f>#REF!</f>
        <v>#REF!</v>
      </c>
      <c r="I8" s="207"/>
      <c r="J8" s="160">
        <f t="shared" si="0"/>
        <v>5</v>
      </c>
      <c r="K8" s="227" t="e">
        <f>#REF!</f>
        <v>#REF!</v>
      </c>
      <c r="L8" s="164"/>
      <c r="M8" s="164"/>
      <c r="N8" s="164"/>
      <c r="O8" s="164"/>
      <c r="P8" s="164"/>
      <c r="Q8" s="164"/>
      <c r="R8" s="164"/>
      <c r="S8" s="39" t="e">
        <f>SUMIF(#REF!,"&gt;0")</f>
        <v>#REF!</v>
      </c>
      <c r="T8" s="61" t="e">
        <f>IF(SUM(#REF!)=0,"Ok","Nope")</f>
        <v>#REF!</v>
      </c>
      <c r="U8" s="207"/>
      <c r="V8" s="39" t="e">
        <f>#REF!</f>
        <v>#REF!</v>
      </c>
      <c r="W8" s="207"/>
      <c r="X8" s="39" t="e">
        <f>ROUNDUP( (1-MIN(ROUND(facs_rezone_factor*#REF!,4),facs_rezone_max) + tech_6_4*#REF! + tech_10_2*#REF! - IF(#REF!&gt;0,mech_genius_bonus,0) + race_rezone_cost) *#REF!,0)</f>
        <v>#REF!</v>
      </c>
      <c r="Y8" s="39" t="e">
        <f>#REF!*#REF!</f>
        <v>#REF!</v>
      </c>
      <c r="Z8" s="207"/>
      <c r="AA8" s="39" t="e">
        <f>250+0.6*(#REF!-250)</f>
        <v>#REF!</v>
      </c>
      <c r="AB8" s="207"/>
      <c r="AC8" s="132" t="e">
        <f>#REF!</f>
        <v>#REF!</v>
      </c>
    </row>
    <row r="9" spans="1:29" x14ac:dyDescent="0.25">
      <c r="A9" s="206" t="e">
        <f>#REF!</f>
        <v>#REF!</v>
      </c>
      <c r="B9" s="208" t="e">
        <f>#REF!</f>
        <v>#REF!</v>
      </c>
      <c r="C9" s="166" t="e">
        <f>#REF!</f>
        <v>#REF!</v>
      </c>
      <c r="D9" s="341" t="e">
        <f>#REF!</f>
        <v>#REF!</v>
      </c>
      <c r="E9" s="345" t="e">
        <f>#REF!</f>
        <v>#REF!</v>
      </c>
      <c r="F9" s="349" t="e">
        <f>#REF!</f>
        <v>#REF!</v>
      </c>
      <c r="G9" s="169" t="e">
        <f>#REF!</f>
        <v>#REF!</v>
      </c>
      <c r="H9" s="170" t="e">
        <f>#REF!</f>
        <v>#REF!</v>
      </c>
      <c r="I9" s="207"/>
      <c r="J9" s="160">
        <f t="shared" si="0"/>
        <v>6</v>
      </c>
      <c r="K9" s="227" t="e">
        <f>#REF!</f>
        <v>#REF!</v>
      </c>
      <c r="L9" s="164"/>
      <c r="M9" s="164"/>
      <c r="N9" s="164"/>
      <c r="O9" s="164"/>
      <c r="P9" s="164"/>
      <c r="Q9" s="164"/>
      <c r="R9" s="164"/>
      <c r="S9" s="39" t="e">
        <f>SUMIF(#REF!,"&gt;0")</f>
        <v>#REF!</v>
      </c>
      <c r="T9" s="61" t="e">
        <f>IF(SUM(#REF!)=0,"Ok","Nope")</f>
        <v>#REF!</v>
      </c>
      <c r="U9" s="207"/>
      <c r="V9" s="39" t="e">
        <f>#REF!</f>
        <v>#REF!</v>
      </c>
      <c r="W9" s="207"/>
      <c r="X9" s="39" t="e">
        <f>ROUNDUP( (1-MIN(ROUND(facs_rezone_factor*#REF!,4),facs_rezone_max) + tech_6_4*#REF! + tech_10_2*#REF! - IF(#REF!&gt;0,mech_genius_bonus,0) + race_rezone_cost) *#REF!,0)</f>
        <v>#REF!</v>
      </c>
      <c r="Y9" s="39" t="e">
        <f>#REF!*#REF!</f>
        <v>#REF!</v>
      </c>
      <c r="Z9" s="207"/>
      <c r="AA9" s="39" t="e">
        <f>250+0.6*(#REF!-250)</f>
        <v>#REF!</v>
      </c>
      <c r="AB9" s="207"/>
      <c r="AC9" s="132" t="e">
        <f>#REF!</f>
        <v>#REF!</v>
      </c>
    </row>
    <row r="10" spans="1:29" x14ac:dyDescent="0.25">
      <c r="A10" s="206" t="e">
        <f>#REF!</f>
        <v>#REF!</v>
      </c>
      <c r="B10" s="208" t="e">
        <f>#REF!</f>
        <v>#REF!</v>
      </c>
      <c r="C10" s="166" t="e">
        <f>#REF!</f>
        <v>#REF!</v>
      </c>
      <c r="D10" s="341" t="e">
        <f>#REF!</f>
        <v>#REF!</v>
      </c>
      <c r="E10" s="345" t="e">
        <f>#REF!</f>
        <v>#REF!</v>
      </c>
      <c r="F10" s="349" t="e">
        <f>#REF!</f>
        <v>#REF!</v>
      </c>
      <c r="G10" s="169" t="e">
        <f>#REF!</f>
        <v>#REF!</v>
      </c>
      <c r="H10" s="170" t="e">
        <f>#REF!</f>
        <v>#REF!</v>
      </c>
      <c r="I10" s="207"/>
      <c r="J10" s="160">
        <f t="shared" si="0"/>
        <v>7</v>
      </c>
      <c r="K10" s="227" t="e">
        <f>#REF!</f>
        <v>#REF!</v>
      </c>
      <c r="L10" s="164"/>
      <c r="M10" s="164"/>
      <c r="N10" s="164"/>
      <c r="O10" s="164"/>
      <c r="P10" s="164"/>
      <c r="Q10" s="164"/>
      <c r="R10" s="164"/>
      <c r="S10" s="39" t="e">
        <f>SUMIF(#REF!,"&gt;0")</f>
        <v>#REF!</v>
      </c>
      <c r="T10" s="61" t="e">
        <f>IF(SUM(#REF!)=0,"Ok","Nope")</f>
        <v>#REF!</v>
      </c>
      <c r="U10" s="207"/>
      <c r="V10" s="39" t="e">
        <f>#REF!</f>
        <v>#REF!</v>
      </c>
      <c r="W10" s="207"/>
      <c r="X10" s="39" t="e">
        <f>ROUNDUP( (1-MIN(ROUND(facs_rezone_factor*#REF!,4),facs_rezone_max) + tech_6_4*#REF! + tech_10_2*#REF! - IF(#REF!&gt;0,mech_genius_bonus,0) + race_rezone_cost) *#REF!,0)</f>
        <v>#REF!</v>
      </c>
      <c r="Y10" s="39" t="e">
        <f>#REF!*#REF!</f>
        <v>#REF!</v>
      </c>
      <c r="Z10" s="207"/>
      <c r="AA10" s="39" t="e">
        <f>250+0.6*(#REF!-250)</f>
        <v>#REF!</v>
      </c>
      <c r="AB10" s="207"/>
      <c r="AC10" s="132" t="e">
        <f>#REF!</f>
        <v>#REF!</v>
      </c>
    </row>
    <row r="11" spans="1:29" x14ac:dyDescent="0.25">
      <c r="A11" s="206" t="e">
        <f>#REF!</f>
        <v>#REF!</v>
      </c>
      <c r="B11" s="208" t="e">
        <f>#REF!</f>
        <v>#REF!</v>
      </c>
      <c r="C11" s="166" t="e">
        <f>#REF!</f>
        <v>#REF!</v>
      </c>
      <c r="D11" s="341" t="e">
        <f>#REF!</f>
        <v>#REF!</v>
      </c>
      <c r="E11" s="345" t="e">
        <f>#REF!</f>
        <v>#REF!</v>
      </c>
      <c r="F11" s="349" t="e">
        <f>#REF!</f>
        <v>#REF!</v>
      </c>
      <c r="G11" s="169" t="e">
        <f>#REF!</f>
        <v>#REF!</v>
      </c>
      <c r="H11" s="170" t="e">
        <f>#REF!</f>
        <v>#REF!</v>
      </c>
      <c r="I11" s="207"/>
      <c r="J11" s="160">
        <f t="shared" si="0"/>
        <v>8</v>
      </c>
      <c r="K11" s="227" t="e">
        <f>#REF!</f>
        <v>#REF!</v>
      </c>
      <c r="L11" s="164"/>
      <c r="M11" s="164"/>
      <c r="N11" s="164"/>
      <c r="O11" s="164"/>
      <c r="P11" s="164"/>
      <c r="Q11" s="164"/>
      <c r="R11" s="164"/>
      <c r="S11" s="39" t="e">
        <f>SUMIF(#REF!,"&gt;0")</f>
        <v>#REF!</v>
      </c>
      <c r="T11" s="61" t="e">
        <f>IF(SUM(#REF!)=0,"Ok","Nope")</f>
        <v>#REF!</v>
      </c>
      <c r="U11" s="207"/>
      <c r="V11" s="39" t="e">
        <f>#REF!</f>
        <v>#REF!</v>
      </c>
      <c r="W11" s="207"/>
      <c r="X11" s="39" t="e">
        <f>ROUNDUP( (1-MIN(ROUND(facs_rezone_factor*#REF!,4),facs_rezone_max) + tech_6_4*#REF! + tech_10_2*#REF! - IF(#REF!&gt;0,mech_genius_bonus,0) + race_rezone_cost) *#REF!,0)</f>
        <v>#REF!</v>
      </c>
      <c r="Y11" s="39" t="e">
        <f>#REF!*#REF!</f>
        <v>#REF!</v>
      </c>
      <c r="Z11" s="207"/>
      <c r="AA11" s="39" t="e">
        <f>250+0.6*(#REF!-250)</f>
        <v>#REF!</v>
      </c>
      <c r="AB11" s="207"/>
      <c r="AC11" s="132" t="e">
        <f>#REF!</f>
        <v>#REF!</v>
      </c>
    </row>
    <row r="12" spans="1:29" x14ac:dyDescent="0.25">
      <c r="A12" s="206" t="e">
        <f>#REF!</f>
        <v>#REF!</v>
      </c>
      <c r="B12" s="208" t="e">
        <f>#REF!</f>
        <v>#REF!</v>
      </c>
      <c r="C12" s="166" t="e">
        <f>#REF!</f>
        <v>#REF!</v>
      </c>
      <c r="D12" s="341" t="e">
        <f>#REF!</f>
        <v>#REF!</v>
      </c>
      <c r="E12" s="345" t="e">
        <f>#REF!</f>
        <v>#REF!</v>
      </c>
      <c r="F12" s="349" t="e">
        <f>#REF!</f>
        <v>#REF!</v>
      </c>
      <c r="G12" s="169" t="e">
        <f>#REF!</f>
        <v>#REF!</v>
      </c>
      <c r="H12" s="170" t="e">
        <f>#REF!</f>
        <v>#REF!</v>
      </c>
      <c r="I12" s="207"/>
      <c r="J12" s="160">
        <f t="shared" si="0"/>
        <v>9</v>
      </c>
      <c r="K12" s="227" t="e">
        <f>#REF!</f>
        <v>#REF!</v>
      </c>
      <c r="L12" s="164"/>
      <c r="M12" s="164"/>
      <c r="N12" s="164"/>
      <c r="O12" s="164"/>
      <c r="P12" s="164"/>
      <c r="Q12" s="164"/>
      <c r="R12" s="164"/>
      <c r="S12" s="39" t="e">
        <f>SUMIF(#REF!,"&gt;0")</f>
        <v>#REF!</v>
      </c>
      <c r="T12" s="61" t="e">
        <f>IF(SUM(#REF!)=0,"Ok","Nope")</f>
        <v>#REF!</v>
      </c>
      <c r="U12" s="207"/>
      <c r="V12" s="39" t="e">
        <f>#REF!</f>
        <v>#REF!</v>
      </c>
      <c r="W12" s="207"/>
      <c r="X12" s="39" t="e">
        <f>ROUNDUP( (1-MIN(ROUND(facs_rezone_factor*#REF!,4),facs_rezone_max) + tech_6_4*#REF! + tech_10_2*#REF! - IF(#REF!&gt;0,mech_genius_bonus,0) + race_rezone_cost) *#REF!,0)</f>
        <v>#REF!</v>
      </c>
      <c r="Y12" s="39" t="e">
        <f>#REF!*#REF!</f>
        <v>#REF!</v>
      </c>
      <c r="Z12" s="207"/>
      <c r="AA12" s="39" t="e">
        <f>250+0.6*(#REF!-250)</f>
        <v>#REF!</v>
      </c>
      <c r="AB12" s="207"/>
      <c r="AC12" s="132" t="e">
        <f>#REF!</f>
        <v>#REF!</v>
      </c>
    </row>
    <row r="13" spans="1:29" x14ac:dyDescent="0.25">
      <c r="A13" s="206" t="e">
        <f>#REF!</f>
        <v>#REF!</v>
      </c>
      <c r="B13" s="208" t="e">
        <f>#REF!</f>
        <v>#REF!</v>
      </c>
      <c r="C13" s="166" t="e">
        <f>#REF!</f>
        <v>#REF!</v>
      </c>
      <c r="D13" s="341" t="e">
        <f>#REF!</f>
        <v>#REF!</v>
      </c>
      <c r="E13" s="345" t="e">
        <f>#REF!</f>
        <v>#REF!</v>
      </c>
      <c r="F13" s="349" t="e">
        <f>#REF!</f>
        <v>#REF!</v>
      </c>
      <c r="G13" s="169" t="e">
        <f>#REF!</f>
        <v>#REF!</v>
      </c>
      <c r="H13" s="170" t="e">
        <f>#REF!</f>
        <v>#REF!</v>
      </c>
      <c r="I13" s="207"/>
      <c r="J13" s="160">
        <f t="shared" si="0"/>
        <v>10</v>
      </c>
      <c r="K13" s="227" t="e">
        <f>#REF!</f>
        <v>#REF!</v>
      </c>
      <c r="L13" s="164"/>
      <c r="M13" s="164"/>
      <c r="N13" s="164"/>
      <c r="O13" s="164"/>
      <c r="P13" s="164"/>
      <c r="Q13" s="164"/>
      <c r="R13" s="164"/>
      <c r="S13" s="39" t="e">
        <f>SUMIF(#REF!,"&gt;0")</f>
        <v>#REF!</v>
      </c>
      <c r="T13" s="61" t="e">
        <f>IF(SUM(#REF!)=0,"Ok","Nope")</f>
        <v>#REF!</v>
      </c>
      <c r="U13" s="207"/>
      <c r="V13" s="39" t="e">
        <f>#REF!</f>
        <v>#REF!</v>
      </c>
      <c r="W13" s="207"/>
      <c r="X13" s="39" t="e">
        <f>ROUNDUP( (1-MIN(ROUND(facs_rezone_factor*#REF!,4),facs_rezone_max) + tech_6_4*#REF! + tech_10_2*#REF! - IF(#REF!&gt;0,mech_genius_bonus,0) + race_rezone_cost) *#REF!,0)</f>
        <v>#REF!</v>
      </c>
      <c r="Y13" s="39" t="e">
        <f>#REF!*#REF!</f>
        <v>#REF!</v>
      </c>
      <c r="Z13" s="207"/>
      <c r="AA13" s="39" t="e">
        <f>250+0.6*(#REF!-250)</f>
        <v>#REF!</v>
      </c>
      <c r="AB13" s="207"/>
      <c r="AC13" s="132" t="e">
        <f>#REF!</f>
        <v>#REF!</v>
      </c>
    </row>
    <row r="14" spans="1:29" x14ac:dyDescent="0.25">
      <c r="A14" s="206" t="e">
        <f>#REF!</f>
        <v>#REF!</v>
      </c>
      <c r="B14" s="208" t="e">
        <f>#REF!</f>
        <v>#REF!</v>
      </c>
      <c r="C14" s="166" t="e">
        <f>#REF!</f>
        <v>#REF!</v>
      </c>
      <c r="D14" s="341" t="e">
        <f>#REF!</f>
        <v>#REF!</v>
      </c>
      <c r="E14" s="345" t="e">
        <f>#REF!</f>
        <v>#REF!</v>
      </c>
      <c r="F14" s="349" t="e">
        <f>#REF!</f>
        <v>#REF!</v>
      </c>
      <c r="G14" s="169" t="e">
        <f>#REF!</f>
        <v>#REF!</v>
      </c>
      <c r="H14" s="170" t="e">
        <f>#REF!</f>
        <v>#REF!</v>
      </c>
      <c r="I14" s="207"/>
      <c r="J14" s="160">
        <f t="shared" si="0"/>
        <v>11</v>
      </c>
      <c r="K14" s="227" t="e">
        <f>#REF!</f>
        <v>#REF!</v>
      </c>
      <c r="L14" s="164"/>
      <c r="M14" s="164"/>
      <c r="N14" s="164"/>
      <c r="O14" s="164"/>
      <c r="P14" s="164"/>
      <c r="Q14" s="164"/>
      <c r="R14" s="164"/>
      <c r="S14" s="39" t="e">
        <f>SUMIF(#REF!,"&gt;0")</f>
        <v>#REF!</v>
      </c>
      <c r="T14" s="61" t="e">
        <f>IF(SUM(#REF!)=0,"Ok","Nope")</f>
        <v>#REF!</v>
      </c>
      <c r="U14" s="207"/>
      <c r="V14" s="39" t="e">
        <f>#REF!</f>
        <v>#REF!</v>
      </c>
      <c r="W14" s="207"/>
      <c r="X14" s="39" t="e">
        <f>ROUNDUP( (1-MIN(ROUND(facs_rezone_factor*#REF!,4),facs_rezone_max) + tech_6_4*#REF! + tech_10_2*#REF! - IF(#REF!&gt;0,mech_genius_bonus,0) + race_rezone_cost) *#REF!,0)</f>
        <v>#REF!</v>
      </c>
      <c r="Y14" s="39" t="e">
        <f>#REF!*#REF!</f>
        <v>#REF!</v>
      </c>
      <c r="Z14" s="207"/>
      <c r="AA14" s="39" t="e">
        <f>250+0.6*(#REF!-250)</f>
        <v>#REF!</v>
      </c>
      <c r="AB14" s="207"/>
      <c r="AC14" s="132" t="e">
        <f>#REF!</f>
        <v>#REF!</v>
      </c>
    </row>
    <row r="15" spans="1:29" x14ac:dyDescent="0.25">
      <c r="A15" s="206" t="e">
        <f>#REF!</f>
        <v>#REF!</v>
      </c>
      <c r="B15" s="208" t="e">
        <f>#REF!</f>
        <v>#REF!</v>
      </c>
      <c r="C15" s="166" t="e">
        <f>#REF!</f>
        <v>#REF!</v>
      </c>
      <c r="D15" s="341" t="e">
        <f>#REF!</f>
        <v>#REF!</v>
      </c>
      <c r="E15" s="345" t="e">
        <f>#REF!</f>
        <v>#REF!</v>
      </c>
      <c r="F15" s="349" t="e">
        <f>#REF!</f>
        <v>#REF!</v>
      </c>
      <c r="G15" s="169" t="e">
        <f>#REF!</f>
        <v>#REF!</v>
      </c>
      <c r="H15" s="170" t="e">
        <f>#REF!</f>
        <v>#REF!</v>
      </c>
      <c r="I15" s="207"/>
      <c r="J15" s="160">
        <f t="shared" si="0"/>
        <v>12</v>
      </c>
      <c r="K15" s="227" t="e">
        <f>#REF!</f>
        <v>#REF!</v>
      </c>
      <c r="L15" s="164"/>
      <c r="M15" s="164"/>
      <c r="N15" s="164"/>
      <c r="O15" s="164"/>
      <c r="P15" s="164"/>
      <c r="Q15" s="164"/>
      <c r="R15" s="164"/>
      <c r="S15" s="39" t="e">
        <f>SUMIF(#REF!,"&gt;0")</f>
        <v>#REF!</v>
      </c>
      <c r="T15" s="61" t="e">
        <f>IF(SUM(#REF!)=0,"Ok","Nope")</f>
        <v>#REF!</v>
      </c>
      <c r="U15" s="207"/>
      <c r="V15" s="39" t="e">
        <f>#REF!</f>
        <v>#REF!</v>
      </c>
      <c r="W15" s="207"/>
      <c r="X15" s="39" t="e">
        <f>ROUNDUP( (1-MIN(ROUND(facs_rezone_factor*#REF!,4),facs_rezone_max) + tech_6_4*#REF! + tech_10_2*#REF! - IF(#REF!&gt;0,mech_genius_bonus,0) + race_rezone_cost) *#REF!,0)</f>
        <v>#REF!</v>
      </c>
      <c r="Y15" s="39" t="e">
        <f>#REF!*#REF!</f>
        <v>#REF!</v>
      </c>
      <c r="Z15" s="207"/>
      <c r="AA15" s="39" t="e">
        <f>250+0.6*(#REF!-250)</f>
        <v>#REF!</v>
      </c>
      <c r="AB15" s="207"/>
      <c r="AC15" s="132" t="e">
        <f>#REF!</f>
        <v>#REF!</v>
      </c>
    </row>
    <row r="16" spans="1:29" x14ac:dyDescent="0.25">
      <c r="A16" s="206" t="e">
        <f>#REF!</f>
        <v>#REF!</v>
      </c>
      <c r="B16" s="208" t="e">
        <f>#REF!</f>
        <v>#REF!</v>
      </c>
      <c r="C16" s="166" t="e">
        <f>#REF!</f>
        <v>#REF!</v>
      </c>
      <c r="D16" s="341" t="e">
        <f>#REF!</f>
        <v>#REF!</v>
      </c>
      <c r="E16" s="345" t="e">
        <f>#REF!</f>
        <v>#REF!</v>
      </c>
      <c r="F16" s="349" t="e">
        <f>#REF!</f>
        <v>#REF!</v>
      </c>
      <c r="G16" s="169" t="e">
        <f>#REF!</f>
        <v>#REF!</v>
      </c>
      <c r="H16" s="170" t="e">
        <f>#REF!</f>
        <v>#REF!</v>
      </c>
      <c r="I16" s="207"/>
      <c r="J16" s="160">
        <f>J15+1</f>
        <v>13</v>
      </c>
      <c r="K16" s="227" t="e">
        <f>#REF!</f>
        <v>#REF!</v>
      </c>
      <c r="L16" s="146"/>
      <c r="M16" s="146"/>
      <c r="N16" s="164"/>
      <c r="O16" s="164"/>
      <c r="P16" s="164"/>
      <c r="Q16" s="146"/>
      <c r="R16" s="146"/>
      <c r="S16" s="39" t="e">
        <f>SUMIF(#REF!,"&gt;0")</f>
        <v>#REF!</v>
      </c>
      <c r="T16" s="61" t="e">
        <f>IF(SUM(#REF!)=0,"Ok","Nope")</f>
        <v>#REF!</v>
      </c>
      <c r="U16" s="207"/>
      <c r="V16" s="39" t="e">
        <f>#REF!</f>
        <v>#REF!</v>
      </c>
      <c r="W16" s="207"/>
      <c r="X16" s="39" t="e">
        <f>ROUNDUP( (1-MIN(ROUND(facs_rezone_factor*#REF!,4),facs_rezone_max) + tech_6_4*#REF! + tech_10_2*#REF! - IF(#REF!&gt;0,mech_genius_bonus,0) + race_rezone_cost) *#REF!,0)</f>
        <v>#REF!</v>
      </c>
      <c r="Y16" s="39" t="e">
        <f>#REF!*#REF!</f>
        <v>#REF!</v>
      </c>
      <c r="Z16" s="207"/>
      <c r="AA16" s="39" t="e">
        <f>250+0.6*(#REF!-250)</f>
        <v>#REF!</v>
      </c>
      <c r="AB16" s="207"/>
      <c r="AC16" s="132" t="e">
        <f>#REF!</f>
        <v>#REF!</v>
      </c>
    </row>
    <row r="17" spans="1:29" x14ac:dyDescent="0.25">
      <c r="A17" s="206" t="e">
        <f>#REF!</f>
        <v>#REF!</v>
      </c>
      <c r="B17" s="208" t="e">
        <f>#REF!</f>
        <v>#REF!</v>
      </c>
      <c r="C17" s="166" t="e">
        <f>#REF!</f>
        <v>#REF!</v>
      </c>
      <c r="D17" s="341" t="e">
        <f>#REF!</f>
        <v>#REF!</v>
      </c>
      <c r="E17" s="345" t="e">
        <f>#REF!</f>
        <v>#REF!</v>
      </c>
      <c r="F17" s="349" t="e">
        <f>#REF!</f>
        <v>#REF!</v>
      </c>
      <c r="G17" s="169" t="e">
        <f>#REF!</f>
        <v>#REF!</v>
      </c>
      <c r="H17" s="170" t="e">
        <f>#REF!</f>
        <v>#REF!</v>
      </c>
      <c r="I17" s="207"/>
      <c r="J17" s="160">
        <f t="shared" ref="J17:J76" si="1">J16+1</f>
        <v>14</v>
      </c>
      <c r="K17" s="227" t="e">
        <f>#REF!</f>
        <v>#REF!</v>
      </c>
      <c r="L17" s="164"/>
      <c r="M17" s="164"/>
      <c r="N17" s="164"/>
      <c r="O17" s="164"/>
      <c r="P17" s="164"/>
      <c r="Q17" s="164"/>
      <c r="R17" s="164"/>
      <c r="S17" s="39" t="e">
        <f>SUMIF(#REF!,"&gt;0")</f>
        <v>#REF!</v>
      </c>
      <c r="T17" s="61" t="e">
        <f>IF(SUM(#REF!)=0,"Ok","Nope")</f>
        <v>#REF!</v>
      </c>
      <c r="U17" s="207"/>
      <c r="V17" s="39" t="e">
        <f>#REF!</f>
        <v>#REF!</v>
      </c>
      <c r="W17" s="207"/>
      <c r="X17" s="39" t="e">
        <f>ROUNDUP( (1-MIN(ROUND(facs_rezone_factor*#REF!,4),facs_rezone_max) + tech_6_4*#REF! + tech_10_2*#REF! - IF(#REF!&gt;0,mech_genius_bonus,0) + race_rezone_cost) *#REF!,0)</f>
        <v>#REF!</v>
      </c>
      <c r="Y17" s="39" t="e">
        <f>#REF!*#REF!</f>
        <v>#REF!</v>
      </c>
      <c r="Z17" s="207"/>
      <c r="AA17" s="39" t="e">
        <f>250+0.6*(#REF!-250)</f>
        <v>#REF!</v>
      </c>
      <c r="AB17" s="207"/>
      <c r="AC17" s="132" t="e">
        <f>#REF!</f>
        <v>#REF!</v>
      </c>
    </row>
    <row r="18" spans="1:29" x14ac:dyDescent="0.25">
      <c r="A18" s="206" t="e">
        <f>#REF!</f>
        <v>#REF!</v>
      </c>
      <c r="B18" s="208" t="e">
        <f>#REF!</f>
        <v>#REF!</v>
      </c>
      <c r="C18" s="166" t="e">
        <f>#REF!</f>
        <v>#REF!</v>
      </c>
      <c r="D18" s="341" t="e">
        <f>#REF!</f>
        <v>#REF!</v>
      </c>
      <c r="E18" s="345" t="e">
        <f>#REF!</f>
        <v>#REF!</v>
      </c>
      <c r="F18" s="349" t="e">
        <f>#REF!</f>
        <v>#REF!</v>
      </c>
      <c r="G18" s="169" t="e">
        <f>#REF!</f>
        <v>#REF!</v>
      </c>
      <c r="H18" s="170" t="e">
        <f>#REF!</f>
        <v>#REF!</v>
      </c>
      <c r="I18" s="207"/>
      <c r="J18" s="160">
        <f t="shared" si="1"/>
        <v>15</v>
      </c>
      <c r="K18" s="227" t="e">
        <f>#REF!</f>
        <v>#REF!</v>
      </c>
      <c r="L18" s="164"/>
      <c r="M18" s="164"/>
      <c r="N18" s="164"/>
      <c r="O18" s="164"/>
      <c r="P18" s="164"/>
      <c r="Q18" s="164"/>
      <c r="R18" s="164"/>
      <c r="S18" s="39" t="e">
        <f>SUMIF(#REF!,"&gt;0")</f>
        <v>#REF!</v>
      </c>
      <c r="T18" s="61" t="e">
        <f>IF(SUM(#REF!)=0,"Ok","Nope")</f>
        <v>#REF!</v>
      </c>
      <c r="U18" s="207"/>
      <c r="V18" s="39" t="e">
        <f>#REF!</f>
        <v>#REF!</v>
      </c>
      <c r="W18" s="207"/>
      <c r="X18" s="39" t="e">
        <f>ROUNDUP( (1-MIN(ROUND(facs_rezone_factor*#REF!,4),facs_rezone_max) + tech_6_4*#REF! + tech_10_2*#REF! - IF(#REF!&gt;0,mech_genius_bonus,0) + race_rezone_cost) *#REF!,0)</f>
        <v>#REF!</v>
      </c>
      <c r="Y18" s="39" t="e">
        <f>#REF!*#REF!</f>
        <v>#REF!</v>
      </c>
      <c r="Z18" s="207"/>
      <c r="AA18" s="39" t="e">
        <f>250+0.6*(#REF!-250)</f>
        <v>#REF!</v>
      </c>
      <c r="AB18" s="207"/>
      <c r="AC18" s="132" t="e">
        <f>#REF!</f>
        <v>#REF!</v>
      </c>
    </row>
    <row r="19" spans="1:29" x14ac:dyDescent="0.25">
      <c r="A19" s="206" t="e">
        <f>#REF!</f>
        <v>#REF!</v>
      </c>
      <c r="B19" s="208" t="e">
        <f>#REF!</f>
        <v>#REF!</v>
      </c>
      <c r="C19" s="166" t="e">
        <f>#REF!</f>
        <v>#REF!</v>
      </c>
      <c r="D19" s="341" t="e">
        <f>#REF!</f>
        <v>#REF!</v>
      </c>
      <c r="E19" s="345" t="e">
        <f>#REF!</f>
        <v>#REF!</v>
      </c>
      <c r="F19" s="349" t="e">
        <f>#REF!</f>
        <v>#REF!</v>
      </c>
      <c r="G19" s="169" t="e">
        <f>#REF!</f>
        <v>#REF!</v>
      </c>
      <c r="H19" s="170" t="e">
        <f>#REF!</f>
        <v>#REF!</v>
      </c>
      <c r="I19" s="207"/>
      <c r="J19" s="160">
        <f t="shared" si="1"/>
        <v>16</v>
      </c>
      <c r="K19" s="227" t="e">
        <f>#REF!</f>
        <v>#REF!</v>
      </c>
      <c r="L19" s="164"/>
      <c r="M19" s="164"/>
      <c r="N19" s="164"/>
      <c r="O19" s="164"/>
      <c r="P19" s="164"/>
      <c r="Q19" s="164"/>
      <c r="R19" s="164"/>
      <c r="S19" s="39" t="e">
        <f>SUMIF(#REF!,"&gt;0")</f>
        <v>#REF!</v>
      </c>
      <c r="T19" s="61" t="e">
        <f>IF(SUM(#REF!)=0,"Ok","Nope")</f>
        <v>#REF!</v>
      </c>
      <c r="U19" s="207"/>
      <c r="V19" s="39" t="e">
        <f>#REF!</f>
        <v>#REF!</v>
      </c>
      <c r="W19" s="207"/>
      <c r="X19" s="39" t="e">
        <f>ROUNDUP( (1-MIN(ROUND(facs_rezone_factor*#REF!,4),facs_rezone_max) + tech_6_4*#REF! + tech_10_2*#REF! - IF(#REF!&gt;0,mech_genius_bonus,0) + race_rezone_cost) *#REF!,0)</f>
        <v>#REF!</v>
      </c>
      <c r="Y19" s="39" t="e">
        <f>#REF!*#REF!</f>
        <v>#REF!</v>
      </c>
      <c r="Z19" s="207"/>
      <c r="AA19" s="39" t="e">
        <f>250+0.6*(#REF!-250)</f>
        <v>#REF!</v>
      </c>
      <c r="AB19" s="207"/>
      <c r="AC19" s="132" t="e">
        <f>#REF!</f>
        <v>#REF!</v>
      </c>
    </row>
    <row r="20" spans="1:29" x14ac:dyDescent="0.25">
      <c r="A20" s="206" t="e">
        <f>#REF!</f>
        <v>#REF!</v>
      </c>
      <c r="B20" s="208" t="e">
        <f>#REF!</f>
        <v>#REF!</v>
      </c>
      <c r="C20" s="166" t="e">
        <f>#REF!</f>
        <v>#REF!</v>
      </c>
      <c r="D20" s="341" t="e">
        <f>#REF!</f>
        <v>#REF!</v>
      </c>
      <c r="E20" s="345" t="e">
        <f>#REF!</f>
        <v>#REF!</v>
      </c>
      <c r="F20" s="349" t="e">
        <f>#REF!</f>
        <v>#REF!</v>
      </c>
      <c r="G20" s="169" t="e">
        <f>#REF!</f>
        <v>#REF!</v>
      </c>
      <c r="H20" s="170" t="e">
        <f>#REF!</f>
        <v>#REF!</v>
      </c>
      <c r="I20" s="207"/>
      <c r="J20" s="160">
        <f t="shared" si="1"/>
        <v>17</v>
      </c>
      <c r="K20" s="227" t="e">
        <f>#REF!</f>
        <v>#REF!</v>
      </c>
      <c r="L20" s="164"/>
      <c r="M20" s="164"/>
      <c r="N20" s="164"/>
      <c r="O20" s="164"/>
      <c r="P20" s="164"/>
      <c r="Q20" s="164"/>
      <c r="R20" s="164"/>
      <c r="S20" s="39" t="e">
        <f>SUMIF(#REF!,"&gt;0")</f>
        <v>#REF!</v>
      </c>
      <c r="T20" s="61" t="e">
        <f>IF(SUM(#REF!)=0,"Ok","Nope")</f>
        <v>#REF!</v>
      </c>
      <c r="U20" s="207"/>
      <c r="V20" s="39" t="e">
        <f>#REF!</f>
        <v>#REF!</v>
      </c>
      <c r="W20" s="207"/>
      <c r="X20" s="39" t="e">
        <f>ROUNDUP( (1-MIN(ROUND(facs_rezone_factor*#REF!,4),facs_rezone_max) + tech_6_4*#REF! + tech_10_2*#REF! - IF(#REF!&gt;0,mech_genius_bonus,0) + race_rezone_cost) *#REF!,0)</f>
        <v>#REF!</v>
      </c>
      <c r="Y20" s="39" t="e">
        <f>#REF!*#REF!</f>
        <v>#REF!</v>
      </c>
      <c r="Z20" s="207"/>
      <c r="AA20" s="39" t="e">
        <f>250+0.6*(#REF!-250)</f>
        <v>#REF!</v>
      </c>
      <c r="AB20" s="207"/>
      <c r="AC20" s="132" t="e">
        <f>#REF!</f>
        <v>#REF!</v>
      </c>
    </row>
    <row r="21" spans="1:29" x14ac:dyDescent="0.25">
      <c r="A21" s="206" t="e">
        <f>#REF!</f>
        <v>#REF!</v>
      </c>
      <c r="B21" s="208" t="e">
        <f>#REF!</f>
        <v>#REF!</v>
      </c>
      <c r="C21" s="166" t="e">
        <f>#REF!</f>
        <v>#REF!</v>
      </c>
      <c r="D21" s="341" t="e">
        <f>#REF!</f>
        <v>#REF!</v>
      </c>
      <c r="E21" s="345" t="e">
        <f>#REF!</f>
        <v>#REF!</v>
      </c>
      <c r="F21" s="349" t="e">
        <f>#REF!</f>
        <v>#REF!</v>
      </c>
      <c r="G21" s="169" t="e">
        <f>#REF!</f>
        <v>#REF!</v>
      </c>
      <c r="H21" s="170" t="e">
        <f>#REF!</f>
        <v>#REF!</v>
      </c>
      <c r="I21" s="207"/>
      <c r="J21" s="160">
        <f t="shared" si="1"/>
        <v>18</v>
      </c>
      <c r="K21" s="227" t="e">
        <f>#REF!</f>
        <v>#REF!</v>
      </c>
      <c r="L21" s="164"/>
      <c r="M21" s="164"/>
      <c r="N21" s="164"/>
      <c r="O21" s="164"/>
      <c r="P21" s="164"/>
      <c r="Q21" s="164"/>
      <c r="R21" s="164"/>
      <c r="S21" s="39" t="e">
        <f>SUMIF(#REF!,"&gt;0")</f>
        <v>#REF!</v>
      </c>
      <c r="T21" s="61" t="e">
        <f>IF(SUM(#REF!)=0,"Ok","Nope")</f>
        <v>#REF!</v>
      </c>
      <c r="U21" s="207"/>
      <c r="V21" s="39" t="e">
        <f>#REF!</f>
        <v>#REF!</v>
      </c>
      <c r="W21" s="207"/>
      <c r="X21" s="39" t="e">
        <f>ROUNDUP( (1-MIN(ROUND(facs_rezone_factor*#REF!,4),facs_rezone_max) + tech_6_4*#REF! + tech_10_2*#REF! - IF(#REF!&gt;0,mech_genius_bonus,0) + race_rezone_cost) *#REF!,0)</f>
        <v>#REF!</v>
      </c>
      <c r="Y21" s="39" t="e">
        <f>#REF!*#REF!</f>
        <v>#REF!</v>
      </c>
      <c r="Z21" s="207"/>
      <c r="AA21" s="39" t="e">
        <f>250+0.6*(#REF!-250)</f>
        <v>#REF!</v>
      </c>
      <c r="AB21" s="207"/>
      <c r="AC21" s="132" t="e">
        <f>#REF!</f>
        <v>#REF!</v>
      </c>
    </row>
    <row r="22" spans="1:29" x14ac:dyDescent="0.25">
      <c r="A22" s="206" t="e">
        <f>#REF!</f>
        <v>#REF!</v>
      </c>
      <c r="B22" s="208" t="e">
        <f>#REF!</f>
        <v>#REF!</v>
      </c>
      <c r="C22" s="166" t="e">
        <f>#REF!</f>
        <v>#REF!</v>
      </c>
      <c r="D22" s="341" t="e">
        <f>#REF!</f>
        <v>#REF!</v>
      </c>
      <c r="E22" s="345" t="e">
        <f>#REF!</f>
        <v>#REF!</v>
      </c>
      <c r="F22" s="349" t="e">
        <f>#REF!</f>
        <v>#REF!</v>
      </c>
      <c r="G22" s="169" t="e">
        <f>#REF!</f>
        <v>#REF!</v>
      </c>
      <c r="H22" s="170" t="e">
        <f>#REF!</f>
        <v>#REF!</v>
      </c>
      <c r="I22" s="207"/>
      <c r="J22" s="160">
        <f t="shared" si="1"/>
        <v>19</v>
      </c>
      <c r="K22" s="227" t="e">
        <f>#REF!</f>
        <v>#REF!</v>
      </c>
      <c r="L22" s="164"/>
      <c r="M22" s="164"/>
      <c r="N22" s="164"/>
      <c r="O22" s="164"/>
      <c r="P22" s="164"/>
      <c r="Q22" s="164"/>
      <c r="R22" s="164"/>
      <c r="S22" s="39" t="e">
        <f>SUMIF(#REF!,"&gt;0")</f>
        <v>#REF!</v>
      </c>
      <c r="T22" s="61" t="e">
        <f>IF(SUM(#REF!)=0,"Ok","Nope")</f>
        <v>#REF!</v>
      </c>
      <c r="U22" s="207"/>
      <c r="V22" s="39" t="e">
        <f>#REF!</f>
        <v>#REF!</v>
      </c>
      <c r="W22" s="207"/>
      <c r="X22" s="39" t="e">
        <f>ROUNDUP( (1-MIN(ROUND(facs_rezone_factor*#REF!,4),facs_rezone_max) + tech_6_4*#REF! + tech_10_2*#REF! - IF(#REF!&gt;0,mech_genius_bonus,0) + race_rezone_cost) *#REF!,0)</f>
        <v>#REF!</v>
      </c>
      <c r="Y22" s="39" t="e">
        <f>#REF!*#REF!</f>
        <v>#REF!</v>
      </c>
      <c r="Z22" s="207"/>
      <c r="AA22" s="39" t="e">
        <f>250+0.6*(#REF!-250)</f>
        <v>#REF!</v>
      </c>
      <c r="AB22" s="207"/>
      <c r="AC22" s="132" t="e">
        <f>#REF!</f>
        <v>#REF!</v>
      </c>
    </row>
    <row r="23" spans="1:29" x14ac:dyDescent="0.25">
      <c r="A23" s="206" t="e">
        <f>#REF!</f>
        <v>#REF!</v>
      </c>
      <c r="B23" s="208" t="e">
        <f>#REF!</f>
        <v>#REF!</v>
      </c>
      <c r="C23" s="166" t="e">
        <f>#REF!</f>
        <v>#REF!</v>
      </c>
      <c r="D23" s="341" t="e">
        <f>#REF!</f>
        <v>#REF!</v>
      </c>
      <c r="E23" s="345" t="e">
        <f>#REF!</f>
        <v>#REF!</v>
      </c>
      <c r="F23" s="349" t="e">
        <f>#REF!</f>
        <v>#REF!</v>
      </c>
      <c r="G23" s="169" t="e">
        <f>#REF!</f>
        <v>#REF!</v>
      </c>
      <c r="H23" s="170" t="e">
        <f>#REF!</f>
        <v>#REF!</v>
      </c>
      <c r="I23" s="207"/>
      <c r="J23" s="160">
        <f t="shared" si="1"/>
        <v>20</v>
      </c>
      <c r="K23" s="227" t="e">
        <f>#REF!</f>
        <v>#REF!</v>
      </c>
      <c r="L23" s="164"/>
      <c r="M23" s="164"/>
      <c r="N23" s="164"/>
      <c r="O23" s="164"/>
      <c r="P23" s="164"/>
      <c r="Q23" s="164"/>
      <c r="R23" s="164"/>
      <c r="S23" s="39" t="e">
        <f>SUMIF(#REF!,"&gt;0")</f>
        <v>#REF!</v>
      </c>
      <c r="T23" s="61" t="e">
        <f>IF(SUM(#REF!)=0,"Ok","Nope")</f>
        <v>#REF!</v>
      </c>
      <c r="U23" s="207"/>
      <c r="V23" s="39" t="e">
        <f>#REF!</f>
        <v>#REF!</v>
      </c>
      <c r="W23" s="207"/>
      <c r="X23" s="39" t="e">
        <f>ROUNDUP( (1-MIN(ROUND(facs_rezone_factor*#REF!,4),facs_rezone_max) + tech_6_4*#REF! + tech_10_2*#REF! - IF(#REF!&gt;0,mech_genius_bonus,0) + race_rezone_cost) *#REF!,0)</f>
        <v>#REF!</v>
      </c>
      <c r="Y23" s="39" t="e">
        <f>#REF!*#REF!</f>
        <v>#REF!</v>
      </c>
      <c r="Z23" s="207"/>
      <c r="AA23" s="39" t="e">
        <f>250+0.6*(#REF!-250)</f>
        <v>#REF!</v>
      </c>
      <c r="AB23" s="207"/>
      <c r="AC23" s="132" t="e">
        <f>#REF!</f>
        <v>#REF!</v>
      </c>
    </row>
    <row r="24" spans="1:29" x14ac:dyDescent="0.25">
      <c r="A24" s="206" t="e">
        <f>#REF!</f>
        <v>#REF!</v>
      </c>
      <c r="B24" s="208" t="e">
        <f>#REF!</f>
        <v>#REF!</v>
      </c>
      <c r="C24" s="166" t="e">
        <f>#REF!</f>
        <v>#REF!</v>
      </c>
      <c r="D24" s="341" t="e">
        <f>#REF!</f>
        <v>#REF!</v>
      </c>
      <c r="E24" s="345" t="e">
        <f>#REF!</f>
        <v>#REF!</v>
      </c>
      <c r="F24" s="349" t="e">
        <f>#REF!</f>
        <v>#REF!</v>
      </c>
      <c r="G24" s="169" t="e">
        <f>#REF!</f>
        <v>#REF!</v>
      </c>
      <c r="H24" s="170" t="e">
        <f>#REF!</f>
        <v>#REF!</v>
      </c>
      <c r="I24" s="207"/>
      <c r="J24" s="160">
        <f t="shared" si="1"/>
        <v>21</v>
      </c>
      <c r="K24" s="227" t="e">
        <f>#REF!</f>
        <v>#REF!</v>
      </c>
      <c r="L24" s="164"/>
      <c r="M24" s="164"/>
      <c r="N24" s="164"/>
      <c r="O24" s="164"/>
      <c r="P24" s="164"/>
      <c r="Q24" s="164"/>
      <c r="R24" s="164"/>
      <c r="S24" s="39" t="e">
        <f>SUMIF(#REF!,"&gt;0")</f>
        <v>#REF!</v>
      </c>
      <c r="T24" s="61" t="e">
        <f>IF(SUM(#REF!)=0,"Ok","Nope")</f>
        <v>#REF!</v>
      </c>
      <c r="U24" s="207"/>
      <c r="V24" s="39" t="e">
        <f>#REF!</f>
        <v>#REF!</v>
      </c>
      <c r="W24" s="207"/>
      <c r="X24" s="39" t="e">
        <f>ROUNDUP( (1-MIN(ROUND(facs_rezone_factor*#REF!,4),facs_rezone_max) + tech_6_4*#REF! + tech_10_2*#REF! - IF(#REF!&gt;0,mech_genius_bonus,0) + race_rezone_cost) *#REF!,0)</f>
        <v>#REF!</v>
      </c>
      <c r="Y24" s="39" t="e">
        <f>#REF!*#REF!</f>
        <v>#REF!</v>
      </c>
      <c r="Z24" s="207"/>
      <c r="AA24" s="39" t="e">
        <f>250+0.6*(#REF!-250)</f>
        <v>#REF!</v>
      </c>
      <c r="AB24" s="207"/>
      <c r="AC24" s="132" t="e">
        <f>#REF!</f>
        <v>#REF!</v>
      </c>
    </row>
    <row r="25" spans="1:29" x14ac:dyDescent="0.25">
      <c r="A25" s="206" t="e">
        <f>#REF!</f>
        <v>#REF!</v>
      </c>
      <c r="B25" s="208" t="e">
        <f>#REF!</f>
        <v>#REF!</v>
      </c>
      <c r="C25" s="166" t="e">
        <f>#REF!</f>
        <v>#REF!</v>
      </c>
      <c r="D25" s="341" t="e">
        <f>#REF!</f>
        <v>#REF!</v>
      </c>
      <c r="E25" s="345" t="e">
        <f>#REF!</f>
        <v>#REF!</v>
      </c>
      <c r="F25" s="349" t="e">
        <f>#REF!</f>
        <v>#REF!</v>
      </c>
      <c r="G25" s="169" t="e">
        <f>#REF!</f>
        <v>#REF!</v>
      </c>
      <c r="H25" s="170" t="e">
        <f>#REF!</f>
        <v>#REF!</v>
      </c>
      <c r="I25" s="207"/>
      <c r="J25" s="160">
        <f t="shared" si="1"/>
        <v>22</v>
      </c>
      <c r="K25" s="227" t="e">
        <f>#REF!</f>
        <v>#REF!</v>
      </c>
      <c r="L25" s="164"/>
      <c r="M25" s="164"/>
      <c r="N25" s="164"/>
      <c r="O25" s="164"/>
      <c r="P25" s="164"/>
      <c r="Q25" s="164"/>
      <c r="R25" s="164"/>
      <c r="S25" s="39" t="e">
        <f>SUMIF(#REF!,"&gt;0")</f>
        <v>#REF!</v>
      </c>
      <c r="T25" s="61" t="e">
        <f>IF(SUM(#REF!)=0,"Ok","Nope")</f>
        <v>#REF!</v>
      </c>
      <c r="U25" s="207"/>
      <c r="V25" s="39" t="e">
        <f>#REF!</f>
        <v>#REF!</v>
      </c>
      <c r="W25" s="207"/>
      <c r="X25" s="39" t="e">
        <f>ROUNDUP( (1-MIN(ROUND(facs_rezone_factor*#REF!,4),facs_rezone_max) + tech_6_4*#REF! + tech_10_2*#REF! - IF(#REF!&gt;0,mech_genius_bonus,0) + race_rezone_cost) *#REF!,0)</f>
        <v>#REF!</v>
      </c>
      <c r="Y25" s="39" t="e">
        <f>#REF!*#REF!</f>
        <v>#REF!</v>
      </c>
      <c r="Z25" s="207"/>
      <c r="AA25" s="39" t="e">
        <f>250+0.6*(#REF!-250)</f>
        <v>#REF!</v>
      </c>
      <c r="AB25" s="207"/>
      <c r="AC25" s="132" t="e">
        <f>#REF!</f>
        <v>#REF!</v>
      </c>
    </row>
    <row r="26" spans="1:29" x14ac:dyDescent="0.25">
      <c r="A26" s="206" t="e">
        <f>#REF!</f>
        <v>#REF!</v>
      </c>
      <c r="B26" s="208" t="e">
        <f>#REF!</f>
        <v>#REF!</v>
      </c>
      <c r="C26" s="166" t="e">
        <f>#REF!</f>
        <v>#REF!</v>
      </c>
      <c r="D26" s="341" t="e">
        <f>#REF!</f>
        <v>#REF!</v>
      </c>
      <c r="E26" s="345" t="e">
        <f>#REF!</f>
        <v>#REF!</v>
      </c>
      <c r="F26" s="349" t="e">
        <f>#REF!</f>
        <v>#REF!</v>
      </c>
      <c r="G26" s="169" t="e">
        <f>#REF!</f>
        <v>#REF!</v>
      </c>
      <c r="H26" s="170" t="e">
        <f>#REF!</f>
        <v>#REF!</v>
      </c>
      <c r="I26" s="207"/>
      <c r="J26" s="160">
        <f t="shared" si="1"/>
        <v>23</v>
      </c>
      <c r="K26" s="227" t="e">
        <f>#REF!</f>
        <v>#REF!</v>
      </c>
      <c r="L26" s="164"/>
      <c r="M26" s="164"/>
      <c r="N26" s="164"/>
      <c r="O26" s="164"/>
      <c r="P26" s="164"/>
      <c r="Q26" s="164"/>
      <c r="R26" s="164"/>
      <c r="S26" s="39" t="e">
        <f>SUMIF(#REF!,"&gt;0")</f>
        <v>#REF!</v>
      </c>
      <c r="T26" s="61" t="e">
        <f>IF(SUM(#REF!)=0,"Ok","Nope")</f>
        <v>#REF!</v>
      </c>
      <c r="U26" s="207"/>
      <c r="V26" s="39" t="e">
        <f>#REF!</f>
        <v>#REF!</v>
      </c>
      <c r="W26" s="207"/>
      <c r="X26" s="39" t="e">
        <f>ROUNDUP( (1-MIN(ROUND(facs_rezone_factor*#REF!,4),facs_rezone_max) + tech_6_4*#REF! + tech_10_2*#REF! - IF(#REF!&gt;0,mech_genius_bonus,0) + race_rezone_cost) *#REF!,0)</f>
        <v>#REF!</v>
      </c>
      <c r="Y26" s="39" t="e">
        <f>#REF!*#REF!</f>
        <v>#REF!</v>
      </c>
      <c r="Z26" s="207"/>
      <c r="AA26" s="39" t="e">
        <f>250+0.6*(#REF!-250)</f>
        <v>#REF!</v>
      </c>
      <c r="AB26" s="207"/>
      <c r="AC26" s="132" t="e">
        <f>#REF!</f>
        <v>#REF!</v>
      </c>
    </row>
    <row r="27" spans="1:29" x14ac:dyDescent="0.25">
      <c r="A27" s="206" t="e">
        <f>#REF!</f>
        <v>#REF!</v>
      </c>
      <c r="B27" s="208" t="e">
        <f>#REF!</f>
        <v>#REF!</v>
      </c>
      <c r="C27" s="166" t="e">
        <f>#REF!</f>
        <v>#REF!</v>
      </c>
      <c r="D27" s="341" t="e">
        <f>#REF!</f>
        <v>#REF!</v>
      </c>
      <c r="E27" s="345" t="e">
        <f>#REF!</f>
        <v>#REF!</v>
      </c>
      <c r="F27" s="349" t="e">
        <f>#REF!</f>
        <v>#REF!</v>
      </c>
      <c r="G27" s="169" t="e">
        <f>#REF!</f>
        <v>#REF!</v>
      </c>
      <c r="H27" s="170" t="e">
        <f>#REF!</f>
        <v>#REF!</v>
      </c>
      <c r="I27" s="207"/>
      <c r="J27" s="160">
        <f t="shared" si="1"/>
        <v>24</v>
      </c>
      <c r="K27" s="227" t="e">
        <f>#REF!</f>
        <v>#REF!</v>
      </c>
      <c r="L27" s="164"/>
      <c r="M27" s="164"/>
      <c r="N27" s="164"/>
      <c r="O27" s="164"/>
      <c r="P27" s="164"/>
      <c r="Q27" s="164"/>
      <c r="R27" s="164"/>
      <c r="S27" s="39" t="e">
        <f>SUMIF(#REF!,"&gt;0")</f>
        <v>#REF!</v>
      </c>
      <c r="T27" s="61" t="e">
        <f>IF(SUM(#REF!)=0,"Ok","Nope")</f>
        <v>#REF!</v>
      </c>
      <c r="U27" s="207"/>
      <c r="V27" s="39" t="e">
        <f>#REF!</f>
        <v>#REF!</v>
      </c>
      <c r="W27" s="207"/>
      <c r="X27" s="39" t="e">
        <f>ROUNDUP( (1-MIN(ROUND(facs_rezone_factor*#REF!,4),facs_rezone_max) + tech_6_4*#REF! + tech_10_2*#REF! - IF(#REF!&gt;0,mech_genius_bonus,0) + race_rezone_cost) *#REF!,0)</f>
        <v>#REF!</v>
      </c>
      <c r="Y27" s="39" t="e">
        <f>#REF!*#REF!</f>
        <v>#REF!</v>
      </c>
      <c r="Z27" s="207"/>
      <c r="AA27" s="39" t="e">
        <f>250+0.6*(#REF!-250)</f>
        <v>#REF!</v>
      </c>
      <c r="AB27" s="207"/>
      <c r="AC27" s="132" t="e">
        <f>#REF!</f>
        <v>#REF!</v>
      </c>
    </row>
    <row r="28" spans="1:29" x14ac:dyDescent="0.25">
      <c r="A28" s="206" t="e">
        <f>#REF!</f>
        <v>#REF!</v>
      </c>
      <c r="B28" s="208" t="e">
        <f>#REF!</f>
        <v>#REF!</v>
      </c>
      <c r="C28" s="166" t="e">
        <f>#REF!</f>
        <v>#REF!</v>
      </c>
      <c r="D28" s="341" t="e">
        <f>#REF!</f>
        <v>#REF!</v>
      </c>
      <c r="E28" s="345" t="e">
        <f>#REF!</f>
        <v>#REF!</v>
      </c>
      <c r="F28" s="349" t="e">
        <f>#REF!</f>
        <v>#REF!</v>
      </c>
      <c r="G28" s="169" t="e">
        <f>#REF!</f>
        <v>#REF!</v>
      </c>
      <c r="H28" s="170" t="e">
        <f>#REF!</f>
        <v>#REF!</v>
      </c>
      <c r="I28" s="207"/>
      <c r="J28" s="160">
        <f t="shared" si="1"/>
        <v>25</v>
      </c>
      <c r="K28" s="227" t="e">
        <f>#REF!</f>
        <v>#REF!</v>
      </c>
      <c r="L28" s="164"/>
      <c r="M28" s="164"/>
      <c r="N28" s="164"/>
      <c r="O28" s="164"/>
      <c r="P28" s="164"/>
      <c r="Q28" s="164"/>
      <c r="R28" s="164"/>
      <c r="S28" s="39" t="e">
        <f>SUMIF(#REF!,"&gt;0")</f>
        <v>#REF!</v>
      </c>
      <c r="T28" s="61" t="e">
        <f>IF(SUM(#REF!)=0,"Ok","Nope")</f>
        <v>#REF!</v>
      </c>
      <c r="U28" s="207"/>
      <c r="V28" s="39" t="e">
        <f>#REF!</f>
        <v>#REF!</v>
      </c>
      <c r="W28" s="207"/>
      <c r="X28" s="39" t="e">
        <f>ROUNDUP( (1-MIN(ROUND(facs_rezone_factor*#REF!,4),facs_rezone_max) + tech_6_4*#REF! + tech_10_2*#REF! - IF(#REF!&gt;0,mech_genius_bonus,0) + race_rezone_cost) *#REF!,0)</f>
        <v>#REF!</v>
      </c>
      <c r="Y28" s="39" t="e">
        <f>#REF!*#REF!</f>
        <v>#REF!</v>
      </c>
      <c r="Z28" s="207"/>
      <c r="AA28" s="39" t="e">
        <f>250+0.6*(#REF!-250)</f>
        <v>#REF!</v>
      </c>
      <c r="AB28" s="207"/>
      <c r="AC28" s="132" t="e">
        <f>#REF!</f>
        <v>#REF!</v>
      </c>
    </row>
    <row r="29" spans="1:29" x14ac:dyDescent="0.25">
      <c r="A29" s="206" t="e">
        <f>#REF!</f>
        <v>#REF!</v>
      </c>
      <c r="B29" s="208" t="e">
        <f>#REF!</f>
        <v>#REF!</v>
      </c>
      <c r="C29" s="166" t="e">
        <f>#REF!</f>
        <v>#REF!</v>
      </c>
      <c r="D29" s="341" t="e">
        <f>#REF!</f>
        <v>#REF!</v>
      </c>
      <c r="E29" s="345" t="e">
        <f>#REF!</f>
        <v>#REF!</v>
      </c>
      <c r="F29" s="349" t="e">
        <f>#REF!</f>
        <v>#REF!</v>
      </c>
      <c r="G29" s="169" t="e">
        <f>#REF!</f>
        <v>#REF!</v>
      </c>
      <c r="H29" s="170" t="e">
        <f>#REF!</f>
        <v>#REF!</v>
      </c>
      <c r="I29" s="207"/>
      <c r="J29" s="160">
        <f t="shared" si="1"/>
        <v>26</v>
      </c>
      <c r="K29" s="227" t="e">
        <f>#REF!</f>
        <v>#REF!</v>
      </c>
      <c r="L29" s="164"/>
      <c r="M29" s="164"/>
      <c r="N29" s="164"/>
      <c r="O29" s="164"/>
      <c r="P29" s="164"/>
      <c r="Q29" s="164"/>
      <c r="R29" s="164"/>
      <c r="S29" s="39" t="e">
        <f>SUMIF(#REF!,"&gt;0")</f>
        <v>#REF!</v>
      </c>
      <c r="T29" s="61" t="e">
        <f>IF(SUM(#REF!)=0,"Ok","Nope")</f>
        <v>#REF!</v>
      </c>
      <c r="U29" s="207"/>
      <c r="V29" s="39" t="e">
        <f>#REF!</f>
        <v>#REF!</v>
      </c>
      <c r="W29" s="207"/>
      <c r="X29" s="39" t="e">
        <f>ROUNDUP( (1-MIN(ROUND(facs_rezone_factor*#REF!,4),facs_rezone_max) + tech_6_4*#REF! + tech_10_2*#REF! - IF(#REF!&gt;0,mech_genius_bonus,0) + race_rezone_cost) *#REF!,0)</f>
        <v>#REF!</v>
      </c>
      <c r="Y29" s="39" t="e">
        <f>#REF!*#REF!</f>
        <v>#REF!</v>
      </c>
      <c r="Z29" s="207"/>
      <c r="AA29" s="39" t="e">
        <f>250+0.6*(#REF!-250)</f>
        <v>#REF!</v>
      </c>
      <c r="AB29" s="207"/>
      <c r="AC29" s="132" t="e">
        <f>#REF!</f>
        <v>#REF!</v>
      </c>
    </row>
    <row r="30" spans="1:29" x14ac:dyDescent="0.25">
      <c r="A30" s="206" t="e">
        <f>#REF!</f>
        <v>#REF!</v>
      </c>
      <c r="B30" s="208" t="e">
        <f>#REF!</f>
        <v>#REF!</v>
      </c>
      <c r="C30" s="166" t="e">
        <f>#REF!</f>
        <v>#REF!</v>
      </c>
      <c r="D30" s="341" t="e">
        <f>#REF!</f>
        <v>#REF!</v>
      </c>
      <c r="E30" s="345" t="e">
        <f>#REF!</f>
        <v>#REF!</v>
      </c>
      <c r="F30" s="349" t="e">
        <f>#REF!</f>
        <v>#REF!</v>
      </c>
      <c r="G30" s="169" t="e">
        <f>#REF!</f>
        <v>#REF!</v>
      </c>
      <c r="H30" s="170" t="e">
        <f>#REF!</f>
        <v>#REF!</v>
      </c>
      <c r="I30" s="207"/>
      <c r="J30" s="160">
        <f t="shared" si="1"/>
        <v>27</v>
      </c>
      <c r="K30" s="227" t="e">
        <f>#REF!</f>
        <v>#REF!</v>
      </c>
      <c r="L30" s="164"/>
      <c r="M30" s="164"/>
      <c r="N30" s="164"/>
      <c r="O30" s="164"/>
      <c r="P30" s="164"/>
      <c r="Q30" s="164"/>
      <c r="R30" s="164"/>
      <c r="S30" s="39" t="e">
        <f>SUMIF(#REF!,"&gt;0")</f>
        <v>#REF!</v>
      </c>
      <c r="T30" s="61" t="e">
        <f>IF(SUM(#REF!)=0,"Ok","Nope")</f>
        <v>#REF!</v>
      </c>
      <c r="U30" s="207"/>
      <c r="V30" s="39" t="e">
        <f>#REF!</f>
        <v>#REF!</v>
      </c>
      <c r="W30" s="207"/>
      <c r="X30" s="39" t="e">
        <f>ROUNDUP( (1-MIN(ROUND(facs_rezone_factor*#REF!,4),facs_rezone_max) + tech_6_4*#REF! + tech_10_2*#REF! - IF(#REF!&gt;0,mech_genius_bonus,0) + race_rezone_cost) *#REF!,0)</f>
        <v>#REF!</v>
      </c>
      <c r="Y30" s="39" t="e">
        <f>#REF!*#REF!</f>
        <v>#REF!</v>
      </c>
      <c r="Z30" s="207"/>
      <c r="AA30" s="39" t="e">
        <f>250+0.6*(#REF!-250)</f>
        <v>#REF!</v>
      </c>
      <c r="AB30" s="207"/>
      <c r="AC30" s="132" t="e">
        <f>#REF!</f>
        <v>#REF!</v>
      </c>
    </row>
    <row r="31" spans="1:29" x14ac:dyDescent="0.25">
      <c r="A31" s="206" t="e">
        <f>#REF!</f>
        <v>#REF!</v>
      </c>
      <c r="B31" s="208" t="e">
        <f>#REF!</f>
        <v>#REF!</v>
      </c>
      <c r="C31" s="166" t="e">
        <f>#REF!</f>
        <v>#REF!</v>
      </c>
      <c r="D31" s="341" t="e">
        <f>#REF!</f>
        <v>#REF!</v>
      </c>
      <c r="E31" s="345" t="e">
        <f>#REF!</f>
        <v>#REF!</v>
      </c>
      <c r="F31" s="349" t="e">
        <f>#REF!</f>
        <v>#REF!</v>
      </c>
      <c r="G31" s="169" t="e">
        <f>#REF!</f>
        <v>#REF!</v>
      </c>
      <c r="H31" s="170" t="e">
        <f>#REF!</f>
        <v>#REF!</v>
      </c>
      <c r="I31" s="207"/>
      <c r="J31" s="160">
        <f t="shared" si="1"/>
        <v>28</v>
      </c>
      <c r="K31" s="227" t="e">
        <f>#REF!</f>
        <v>#REF!</v>
      </c>
      <c r="L31" s="164"/>
      <c r="M31" s="164"/>
      <c r="N31" s="164"/>
      <c r="O31" s="164"/>
      <c r="P31" s="164"/>
      <c r="Q31" s="164"/>
      <c r="R31" s="164"/>
      <c r="S31" s="39" t="e">
        <f>SUMIF(#REF!,"&gt;0")</f>
        <v>#REF!</v>
      </c>
      <c r="T31" s="61" t="e">
        <f>IF(SUM(#REF!)=0,"Ok","Nope")</f>
        <v>#REF!</v>
      </c>
      <c r="U31" s="207"/>
      <c r="V31" s="39" t="e">
        <f>#REF!</f>
        <v>#REF!</v>
      </c>
      <c r="W31" s="207"/>
      <c r="X31" s="39" t="e">
        <f>ROUNDUP( (1-MIN(ROUND(facs_rezone_factor*#REF!,4),facs_rezone_max) + tech_6_4*#REF! + tech_10_2*#REF! - IF(#REF!&gt;0,mech_genius_bonus,0) + race_rezone_cost) *#REF!,0)</f>
        <v>#REF!</v>
      </c>
      <c r="Y31" s="39" t="e">
        <f>#REF!*#REF!</f>
        <v>#REF!</v>
      </c>
      <c r="Z31" s="207"/>
      <c r="AA31" s="39" t="e">
        <f>250+0.6*(#REF!-250)</f>
        <v>#REF!</v>
      </c>
      <c r="AB31" s="207"/>
      <c r="AC31" s="132" t="e">
        <f>#REF!</f>
        <v>#REF!</v>
      </c>
    </row>
    <row r="32" spans="1:29" x14ac:dyDescent="0.25">
      <c r="A32" s="206" t="e">
        <f>#REF!</f>
        <v>#REF!</v>
      </c>
      <c r="B32" s="208" t="e">
        <f>#REF!</f>
        <v>#REF!</v>
      </c>
      <c r="C32" s="166" t="e">
        <f>#REF!</f>
        <v>#REF!</v>
      </c>
      <c r="D32" s="341" t="e">
        <f>#REF!</f>
        <v>#REF!</v>
      </c>
      <c r="E32" s="345" t="e">
        <f>#REF!</f>
        <v>#REF!</v>
      </c>
      <c r="F32" s="349" t="e">
        <f>#REF!</f>
        <v>#REF!</v>
      </c>
      <c r="G32" s="169" t="e">
        <f>#REF!</f>
        <v>#REF!</v>
      </c>
      <c r="H32" s="170" t="e">
        <f>#REF!</f>
        <v>#REF!</v>
      </c>
      <c r="I32" s="207"/>
      <c r="J32" s="160">
        <f t="shared" si="1"/>
        <v>29</v>
      </c>
      <c r="K32" s="227" t="e">
        <f>#REF!</f>
        <v>#REF!</v>
      </c>
      <c r="L32" s="164"/>
      <c r="M32" s="164"/>
      <c r="N32" s="164"/>
      <c r="O32" s="164"/>
      <c r="P32" s="164"/>
      <c r="Q32" s="164"/>
      <c r="R32" s="164"/>
      <c r="S32" s="39" t="e">
        <f>SUMIF(#REF!,"&gt;0")</f>
        <v>#REF!</v>
      </c>
      <c r="T32" s="61" t="e">
        <f>IF(SUM(#REF!)=0,"Ok","Nope")</f>
        <v>#REF!</v>
      </c>
      <c r="U32" s="207"/>
      <c r="V32" s="39" t="e">
        <f>#REF!</f>
        <v>#REF!</v>
      </c>
      <c r="W32" s="207"/>
      <c r="X32" s="39" t="e">
        <f>ROUNDUP( (1-MIN(ROUND(facs_rezone_factor*#REF!,4),facs_rezone_max) + tech_6_4*#REF! + tech_10_2*#REF! - IF(#REF!&gt;0,mech_genius_bonus,0) + race_rezone_cost) *#REF!,0)</f>
        <v>#REF!</v>
      </c>
      <c r="Y32" s="39" t="e">
        <f>#REF!*#REF!</f>
        <v>#REF!</v>
      </c>
      <c r="Z32" s="207"/>
      <c r="AA32" s="39" t="e">
        <f>250+0.6*(#REF!-250)</f>
        <v>#REF!</v>
      </c>
      <c r="AB32" s="207"/>
      <c r="AC32" s="132" t="e">
        <f>#REF!</f>
        <v>#REF!</v>
      </c>
    </row>
    <row r="33" spans="1:29" x14ac:dyDescent="0.25">
      <c r="A33" s="206" t="e">
        <f>#REF!</f>
        <v>#REF!</v>
      </c>
      <c r="B33" s="208" t="e">
        <f>#REF!</f>
        <v>#REF!</v>
      </c>
      <c r="C33" s="166" t="e">
        <f>#REF!</f>
        <v>#REF!</v>
      </c>
      <c r="D33" s="341" t="e">
        <f>#REF!</f>
        <v>#REF!</v>
      </c>
      <c r="E33" s="345" t="e">
        <f>#REF!</f>
        <v>#REF!</v>
      </c>
      <c r="F33" s="349" t="e">
        <f>#REF!</f>
        <v>#REF!</v>
      </c>
      <c r="G33" s="169" t="e">
        <f>#REF!</f>
        <v>#REF!</v>
      </c>
      <c r="H33" s="170" t="e">
        <f>#REF!</f>
        <v>#REF!</v>
      </c>
      <c r="I33" s="207"/>
      <c r="J33" s="160">
        <f t="shared" si="1"/>
        <v>30</v>
      </c>
      <c r="K33" s="227" t="e">
        <f>#REF!</f>
        <v>#REF!</v>
      </c>
      <c r="L33" s="164"/>
      <c r="M33" s="164"/>
      <c r="N33" s="164"/>
      <c r="O33" s="164"/>
      <c r="P33" s="164"/>
      <c r="Q33" s="164"/>
      <c r="R33" s="164"/>
      <c r="S33" s="39" t="e">
        <f>SUMIF(#REF!,"&gt;0")</f>
        <v>#REF!</v>
      </c>
      <c r="T33" s="61" t="e">
        <f>IF(SUM(#REF!)=0,"Ok","Nope")</f>
        <v>#REF!</v>
      </c>
      <c r="U33" s="207"/>
      <c r="V33" s="39" t="e">
        <f>#REF!</f>
        <v>#REF!</v>
      </c>
      <c r="W33" s="207"/>
      <c r="X33" s="39" t="e">
        <f>ROUNDUP( (1-MIN(ROUND(facs_rezone_factor*#REF!,4),facs_rezone_max) + tech_6_4*#REF! + tech_10_2*#REF! - IF(#REF!&gt;0,mech_genius_bonus,0) + race_rezone_cost) *#REF!,0)</f>
        <v>#REF!</v>
      </c>
      <c r="Y33" s="39" t="e">
        <f>#REF!*#REF!</f>
        <v>#REF!</v>
      </c>
      <c r="Z33" s="207"/>
      <c r="AA33" s="39" t="e">
        <f>250+0.6*(#REF!-250)</f>
        <v>#REF!</v>
      </c>
      <c r="AB33" s="207"/>
      <c r="AC33" s="132" t="e">
        <f>#REF!</f>
        <v>#REF!</v>
      </c>
    </row>
    <row r="34" spans="1:29" x14ac:dyDescent="0.25">
      <c r="A34" s="206" t="e">
        <f>#REF!</f>
        <v>#REF!</v>
      </c>
      <c r="B34" s="208" t="e">
        <f>#REF!</f>
        <v>#REF!</v>
      </c>
      <c r="C34" s="166" t="e">
        <f>#REF!</f>
        <v>#REF!</v>
      </c>
      <c r="D34" s="341" t="e">
        <f>#REF!</f>
        <v>#REF!</v>
      </c>
      <c r="E34" s="345" t="e">
        <f>#REF!</f>
        <v>#REF!</v>
      </c>
      <c r="F34" s="349" t="e">
        <f>#REF!</f>
        <v>#REF!</v>
      </c>
      <c r="G34" s="169" t="e">
        <f>#REF!</f>
        <v>#REF!</v>
      </c>
      <c r="H34" s="170" t="e">
        <f>#REF!</f>
        <v>#REF!</v>
      </c>
      <c r="I34" s="207"/>
      <c r="J34" s="160">
        <f t="shared" si="1"/>
        <v>31</v>
      </c>
      <c r="K34" s="227" t="e">
        <f>#REF!</f>
        <v>#REF!</v>
      </c>
      <c r="L34" s="164"/>
      <c r="M34" s="164"/>
      <c r="N34" s="164"/>
      <c r="O34" s="164"/>
      <c r="P34" s="164"/>
      <c r="Q34" s="164"/>
      <c r="R34" s="164"/>
      <c r="S34" s="39" t="e">
        <f>SUMIF(#REF!,"&gt;0")</f>
        <v>#REF!</v>
      </c>
      <c r="T34" s="61" t="e">
        <f>IF(SUM(#REF!)=0,"Ok","Nope")</f>
        <v>#REF!</v>
      </c>
      <c r="U34" s="207"/>
      <c r="V34" s="39" t="e">
        <f>#REF!</f>
        <v>#REF!</v>
      </c>
      <c r="W34" s="207"/>
      <c r="X34" s="39" t="e">
        <f>ROUNDUP( (1-MIN(ROUND(facs_rezone_factor*#REF!,4),facs_rezone_max) + tech_6_4*#REF! + tech_10_2*#REF! - IF(#REF!&gt;0,mech_genius_bonus,0) + race_rezone_cost) *#REF!,0)</f>
        <v>#REF!</v>
      </c>
      <c r="Y34" s="39" t="e">
        <f>#REF!*#REF!</f>
        <v>#REF!</v>
      </c>
      <c r="Z34" s="207"/>
      <c r="AA34" s="39" t="e">
        <f>250+0.6*(#REF!-250)</f>
        <v>#REF!</v>
      </c>
      <c r="AB34" s="207"/>
      <c r="AC34" s="132" t="e">
        <f>#REF!</f>
        <v>#REF!</v>
      </c>
    </row>
    <row r="35" spans="1:29" x14ac:dyDescent="0.25">
      <c r="A35" s="206" t="e">
        <f>#REF!</f>
        <v>#REF!</v>
      </c>
      <c r="B35" s="208" t="e">
        <f>#REF!</f>
        <v>#REF!</v>
      </c>
      <c r="C35" s="166" t="e">
        <f>#REF!</f>
        <v>#REF!</v>
      </c>
      <c r="D35" s="341" t="e">
        <f>#REF!</f>
        <v>#REF!</v>
      </c>
      <c r="E35" s="345" t="e">
        <f>#REF!</f>
        <v>#REF!</v>
      </c>
      <c r="F35" s="349" t="e">
        <f>#REF!</f>
        <v>#REF!</v>
      </c>
      <c r="G35" s="169" t="e">
        <f>#REF!</f>
        <v>#REF!</v>
      </c>
      <c r="H35" s="170" t="e">
        <f>#REF!</f>
        <v>#REF!</v>
      </c>
      <c r="I35" s="207"/>
      <c r="J35" s="160">
        <f t="shared" si="1"/>
        <v>32</v>
      </c>
      <c r="K35" s="227" t="e">
        <f>#REF!</f>
        <v>#REF!</v>
      </c>
      <c r="L35" s="164"/>
      <c r="M35" s="164"/>
      <c r="N35" s="164"/>
      <c r="O35" s="164"/>
      <c r="P35" s="164"/>
      <c r="Q35" s="164"/>
      <c r="R35" s="164"/>
      <c r="S35" s="39" t="e">
        <f>SUMIF(#REF!,"&gt;0")</f>
        <v>#REF!</v>
      </c>
      <c r="T35" s="61" t="e">
        <f>IF(SUM(#REF!)=0,"Ok","Nope")</f>
        <v>#REF!</v>
      </c>
      <c r="U35" s="207"/>
      <c r="V35" s="39" t="e">
        <f>#REF!</f>
        <v>#REF!</v>
      </c>
      <c r="W35" s="207"/>
      <c r="X35" s="39" t="e">
        <f>ROUNDUP( (1-MIN(ROUND(facs_rezone_factor*#REF!,4),facs_rezone_max) + tech_6_4*#REF! + tech_10_2*#REF! - IF(#REF!&gt;0,mech_genius_bonus,0) + race_rezone_cost) *#REF!,0)</f>
        <v>#REF!</v>
      </c>
      <c r="Y35" s="39" t="e">
        <f>#REF!*#REF!</f>
        <v>#REF!</v>
      </c>
      <c r="Z35" s="207"/>
      <c r="AA35" s="39" t="e">
        <f>250+0.6*(#REF!-250)</f>
        <v>#REF!</v>
      </c>
      <c r="AB35" s="207"/>
      <c r="AC35" s="132" t="e">
        <f>#REF!</f>
        <v>#REF!</v>
      </c>
    </row>
    <row r="36" spans="1:29" x14ac:dyDescent="0.25">
      <c r="A36" s="206" t="e">
        <f>#REF!</f>
        <v>#REF!</v>
      </c>
      <c r="B36" s="208" t="e">
        <f>#REF!</f>
        <v>#REF!</v>
      </c>
      <c r="C36" s="166" t="e">
        <f>#REF!</f>
        <v>#REF!</v>
      </c>
      <c r="D36" s="341" t="e">
        <f>#REF!</f>
        <v>#REF!</v>
      </c>
      <c r="E36" s="345" t="e">
        <f>#REF!</f>
        <v>#REF!</v>
      </c>
      <c r="F36" s="349" t="e">
        <f>#REF!</f>
        <v>#REF!</v>
      </c>
      <c r="G36" s="169" t="e">
        <f>#REF!</f>
        <v>#REF!</v>
      </c>
      <c r="H36" s="170" t="e">
        <f>#REF!</f>
        <v>#REF!</v>
      </c>
      <c r="I36" s="207"/>
      <c r="J36" s="160">
        <f t="shared" si="1"/>
        <v>33</v>
      </c>
      <c r="K36" s="227" t="e">
        <f>#REF!</f>
        <v>#REF!</v>
      </c>
      <c r="L36" s="164"/>
      <c r="M36" s="164"/>
      <c r="N36" s="164"/>
      <c r="O36" s="164"/>
      <c r="P36" s="164"/>
      <c r="Q36" s="164"/>
      <c r="R36" s="164"/>
      <c r="S36" s="39" t="e">
        <f>SUMIF(#REF!,"&gt;0")</f>
        <v>#REF!</v>
      </c>
      <c r="T36" s="61" t="e">
        <f>IF(SUM(#REF!)=0,"Ok","Nope")</f>
        <v>#REF!</v>
      </c>
      <c r="U36" s="207"/>
      <c r="V36" s="39" t="e">
        <f>#REF!</f>
        <v>#REF!</v>
      </c>
      <c r="W36" s="207"/>
      <c r="X36" s="39" t="e">
        <f>ROUNDUP( (1-MIN(ROUND(facs_rezone_factor*#REF!,4),facs_rezone_max) + tech_6_4*#REF! + tech_10_2*#REF! - IF(#REF!&gt;0,mech_genius_bonus,0) + race_rezone_cost) *#REF!,0)</f>
        <v>#REF!</v>
      </c>
      <c r="Y36" s="39" t="e">
        <f>#REF!*#REF!</f>
        <v>#REF!</v>
      </c>
      <c r="Z36" s="207"/>
      <c r="AA36" s="39" t="e">
        <f>250+0.6*(#REF!-250)</f>
        <v>#REF!</v>
      </c>
      <c r="AB36" s="207"/>
      <c r="AC36" s="132" t="e">
        <f>#REF!</f>
        <v>#REF!</v>
      </c>
    </row>
    <row r="37" spans="1:29" x14ac:dyDescent="0.25">
      <c r="A37" s="206" t="e">
        <f>#REF!</f>
        <v>#REF!</v>
      </c>
      <c r="B37" s="208" t="e">
        <f>#REF!</f>
        <v>#REF!</v>
      </c>
      <c r="C37" s="166" t="e">
        <f>#REF!</f>
        <v>#REF!</v>
      </c>
      <c r="D37" s="341" t="e">
        <f>#REF!</f>
        <v>#REF!</v>
      </c>
      <c r="E37" s="345" t="e">
        <f>#REF!</f>
        <v>#REF!</v>
      </c>
      <c r="F37" s="349" t="e">
        <f>#REF!</f>
        <v>#REF!</v>
      </c>
      <c r="G37" s="169" t="e">
        <f>#REF!</f>
        <v>#REF!</v>
      </c>
      <c r="H37" s="170" t="e">
        <f>#REF!</f>
        <v>#REF!</v>
      </c>
      <c r="I37" s="207"/>
      <c r="J37" s="160">
        <f t="shared" si="1"/>
        <v>34</v>
      </c>
      <c r="K37" s="227" t="e">
        <f>#REF!</f>
        <v>#REF!</v>
      </c>
      <c r="L37" s="164"/>
      <c r="M37" s="164"/>
      <c r="N37" s="164"/>
      <c r="O37" s="164"/>
      <c r="P37" s="164"/>
      <c r="Q37" s="164"/>
      <c r="R37" s="164"/>
      <c r="S37" s="39" t="e">
        <f>SUMIF(#REF!,"&gt;0")</f>
        <v>#REF!</v>
      </c>
      <c r="T37" s="61" t="e">
        <f>IF(SUM(#REF!)=0,"Ok","Nope")</f>
        <v>#REF!</v>
      </c>
      <c r="U37" s="207"/>
      <c r="V37" s="39" t="e">
        <f>#REF!</f>
        <v>#REF!</v>
      </c>
      <c r="W37" s="207"/>
      <c r="X37" s="39" t="e">
        <f>ROUNDUP( (1-MIN(ROUND(facs_rezone_factor*#REF!,4),facs_rezone_max) + tech_6_4*#REF! + tech_10_2*#REF! - IF(#REF!&gt;0,mech_genius_bonus,0) + race_rezone_cost) *#REF!,0)</f>
        <v>#REF!</v>
      </c>
      <c r="Y37" s="39" t="e">
        <f>#REF!*#REF!</f>
        <v>#REF!</v>
      </c>
      <c r="Z37" s="207"/>
      <c r="AA37" s="39" t="e">
        <f>250+0.6*(#REF!-250)</f>
        <v>#REF!</v>
      </c>
      <c r="AB37" s="207"/>
      <c r="AC37" s="132" t="e">
        <f>#REF!</f>
        <v>#REF!</v>
      </c>
    </row>
    <row r="38" spans="1:29" x14ac:dyDescent="0.25">
      <c r="A38" s="206" t="e">
        <f>#REF!</f>
        <v>#REF!</v>
      </c>
      <c r="B38" s="208" t="e">
        <f>#REF!</f>
        <v>#REF!</v>
      </c>
      <c r="C38" s="166" t="e">
        <f>#REF!</f>
        <v>#REF!</v>
      </c>
      <c r="D38" s="341" t="e">
        <f>#REF!</f>
        <v>#REF!</v>
      </c>
      <c r="E38" s="345" t="e">
        <f>#REF!</f>
        <v>#REF!</v>
      </c>
      <c r="F38" s="349" t="e">
        <f>#REF!</f>
        <v>#REF!</v>
      </c>
      <c r="G38" s="169" t="e">
        <f>#REF!</f>
        <v>#REF!</v>
      </c>
      <c r="H38" s="170" t="e">
        <f>#REF!</f>
        <v>#REF!</v>
      </c>
      <c r="I38" s="207"/>
      <c r="J38" s="160">
        <f t="shared" si="1"/>
        <v>35</v>
      </c>
      <c r="K38" s="227" t="e">
        <f>#REF!</f>
        <v>#REF!</v>
      </c>
      <c r="L38" s="164"/>
      <c r="M38" s="164"/>
      <c r="N38" s="164"/>
      <c r="O38" s="164"/>
      <c r="P38" s="164"/>
      <c r="Q38" s="164"/>
      <c r="R38" s="164"/>
      <c r="S38" s="39" t="e">
        <f>SUMIF(#REF!,"&gt;0")</f>
        <v>#REF!</v>
      </c>
      <c r="T38" s="61" t="e">
        <f>IF(SUM(#REF!)=0,"Ok","Nope")</f>
        <v>#REF!</v>
      </c>
      <c r="U38" s="207"/>
      <c r="V38" s="39" t="e">
        <f>#REF!</f>
        <v>#REF!</v>
      </c>
      <c r="W38" s="207"/>
      <c r="X38" s="39" t="e">
        <f>ROUNDUP( (1-MIN(ROUND(facs_rezone_factor*#REF!,4),facs_rezone_max) + tech_6_4*#REF! + tech_10_2*#REF! - IF(#REF!&gt;0,mech_genius_bonus,0) + race_rezone_cost) *#REF!,0)</f>
        <v>#REF!</v>
      </c>
      <c r="Y38" s="39" t="e">
        <f>#REF!*#REF!</f>
        <v>#REF!</v>
      </c>
      <c r="Z38" s="207"/>
      <c r="AA38" s="39" t="e">
        <f>250+0.6*(#REF!-250)</f>
        <v>#REF!</v>
      </c>
      <c r="AB38" s="207"/>
      <c r="AC38" s="132" t="e">
        <f>#REF!</f>
        <v>#REF!</v>
      </c>
    </row>
    <row r="39" spans="1:29" x14ac:dyDescent="0.25">
      <c r="A39" s="206" t="e">
        <f>#REF!</f>
        <v>#REF!</v>
      </c>
      <c r="B39" s="208" t="e">
        <f>#REF!</f>
        <v>#REF!</v>
      </c>
      <c r="C39" s="166" t="e">
        <f>#REF!</f>
        <v>#REF!</v>
      </c>
      <c r="D39" s="341" t="e">
        <f>#REF!</f>
        <v>#REF!</v>
      </c>
      <c r="E39" s="345" t="e">
        <f>#REF!</f>
        <v>#REF!</v>
      </c>
      <c r="F39" s="349" t="e">
        <f>#REF!</f>
        <v>#REF!</v>
      </c>
      <c r="G39" s="169" t="e">
        <f>#REF!</f>
        <v>#REF!</v>
      </c>
      <c r="H39" s="170" t="e">
        <f>#REF!</f>
        <v>#REF!</v>
      </c>
      <c r="I39" s="207"/>
      <c r="J39" s="160">
        <f t="shared" si="1"/>
        <v>36</v>
      </c>
      <c r="K39" s="227" t="e">
        <f>#REF!</f>
        <v>#REF!</v>
      </c>
      <c r="L39" s="164"/>
      <c r="M39" s="164"/>
      <c r="N39" s="164"/>
      <c r="O39" s="164"/>
      <c r="P39" s="164"/>
      <c r="Q39" s="164"/>
      <c r="R39" s="164"/>
      <c r="S39" s="39" t="e">
        <f>SUMIF(#REF!,"&gt;0")</f>
        <v>#REF!</v>
      </c>
      <c r="T39" s="61" t="e">
        <f>IF(SUM(#REF!)=0,"Ok","Nope")</f>
        <v>#REF!</v>
      </c>
      <c r="U39" s="207"/>
      <c r="V39" s="39" t="e">
        <f>#REF!</f>
        <v>#REF!</v>
      </c>
      <c r="W39" s="207"/>
      <c r="X39" s="39" t="e">
        <f>ROUNDUP( (1-MIN(ROUND(facs_rezone_factor*#REF!,4),facs_rezone_max) + tech_6_4*#REF! + tech_10_2*#REF! - IF(#REF!&gt;0,mech_genius_bonus,0) + race_rezone_cost) *#REF!,0)</f>
        <v>#REF!</v>
      </c>
      <c r="Y39" s="39" t="e">
        <f>#REF!*#REF!</f>
        <v>#REF!</v>
      </c>
      <c r="Z39" s="207"/>
      <c r="AA39" s="39" t="e">
        <f>250+0.6*(#REF!-250)</f>
        <v>#REF!</v>
      </c>
      <c r="AB39" s="207"/>
      <c r="AC39" s="132" t="e">
        <f>#REF!</f>
        <v>#REF!</v>
      </c>
    </row>
    <row r="40" spans="1:29" x14ac:dyDescent="0.25">
      <c r="A40" s="206" t="e">
        <f>#REF!</f>
        <v>#REF!</v>
      </c>
      <c r="B40" s="208" t="e">
        <f>#REF!</f>
        <v>#REF!</v>
      </c>
      <c r="C40" s="166" t="e">
        <f>#REF!</f>
        <v>#REF!</v>
      </c>
      <c r="D40" s="341" t="e">
        <f>#REF!</f>
        <v>#REF!</v>
      </c>
      <c r="E40" s="345" t="e">
        <f>#REF!</f>
        <v>#REF!</v>
      </c>
      <c r="F40" s="349" t="e">
        <f>#REF!</f>
        <v>#REF!</v>
      </c>
      <c r="G40" s="169" t="e">
        <f>#REF!</f>
        <v>#REF!</v>
      </c>
      <c r="H40" s="170" t="e">
        <f>#REF!</f>
        <v>#REF!</v>
      </c>
      <c r="I40" s="207"/>
      <c r="J40" s="160">
        <f t="shared" si="1"/>
        <v>37</v>
      </c>
      <c r="K40" s="227" t="e">
        <f>#REF!</f>
        <v>#REF!</v>
      </c>
      <c r="L40" s="164"/>
      <c r="M40" s="164"/>
      <c r="N40" s="164"/>
      <c r="O40" s="164"/>
      <c r="P40" s="164"/>
      <c r="Q40" s="164"/>
      <c r="R40" s="164"/>
      <c r="S40" s="39" t="e">
        <f>SUMIF(#REF!,"&gt;0")</f>
        <v>#REF!</v>
      </c>
      <c r="T40" s="61" t="e">
        <f>IF(SUM(#REF!)=0,"Ok","Nope")</f>
        <v>#REF!</v>
      </c>
      <c r="U40" s="207"/>
      <c r="V40" s="39" t="e">
        <f>#REF!</f>
        <v>#REF!</v>
      </c>
      <c r="W40" s="207"/>
      <c r="X40" s="39" t="e">
        <f>ROUNDUP( (1-MIN(ROUND(facs_rezone_factor*#REF!,4),facs_rezone_max) + tech_6_4*#REF! + tech_10_2*#REF! - IF(#REF!&gt;0,mech_genius_bonus,0) + race_rezone_cost) *#REF!,0)</f>
        <v>#REF!</v>
      </c>
      <c r="Y40" s="39" t="e">
        <f>#REF!*#REF!</f>
        <v>#REF!</v>
      </c>
      <c r="Z40" s="207"/>
      <c r="AA40" s="39" t="e">
        <f>250+0.6*(#REF!-250)</f>
        <v>#REF!</v>
      </c>
      <c r="AB40" s="207"/>
      <c r="AC40" s="132" t="e">
        <f>#REF!</f>
        <v>#REF!</v>
      </c>
    </row>
    <row r="41" spans="1:29" x14ac:dyDescent="0.25">
      <c r="A41" s="206" t="e">
        <f>#REF!</f>
        <v>#REF!</v>
      </c>
      <c r="B41" s="208" t="e">
        <f>#REF!</f>
        <v>#REF!</v>
      </c>
      <c r="C41" s="166" t="e">
        <f>#REF!</f>
        <v>#REF!</v>
      </c>
      <c r="D41" s="341" t="e">
        <f>#REF!</f>
        <v>#REF!</v>
      </c>
      <c r="E41" s="345" t="e">
        <f>#REF!</f>
        <v>#REF!</v>
      </c>
      <c r="F41" s="349" t="e">
        <f>#REF!</f>
        <v>#REF!</v>
      </c>
      <c r="G41" s="169" t="e">
        <f>#REF!</f>
        <v>#REF!</v>
      </c>
      <c r="H41" s="170" t="e">
        <f>#REF!</f>
        <v>#REF!</v>
      </c>
      <c r="I41" s="207"/>
      <c r="J41" s="160">
        <f t="shared" si="1"/>
        <v>38</v>
      </c>
      <c r="K41" s="227" t="e">
        <f>#REF!</f>
        <v>#REF!</v>
      </c>
      <c r="L41" s="164"/>
      <c r="M41" s="164"/>
      <c r="N41" s="164"/>
      <c r="O41" s="164"/>
      <c r="P41" s="164"/>
      <c r="Q41" s="164"/>
      <c r="R41" s="164"/>
      <c r="S41" s="39" t="e">
        <f>SUMIF(#REF!,"&gt;0")</f>
        <v>#REF!</v>
      </c>
      <c r="T41" s="61" t="e">
        <f>IF(SUM(#REF!)=0,"Ok","Nope")</f>
        <v>#REF!</v>
      </c>
      <c r="U41" s="207"/>
      <c r="V41" s="39" t="e">
        <f>#REF!</f>
        <v>#REF!</v>
      </c>
      <c r="W41" s="207"/>
      <c r="X41" s="39" t="e">
        <f>ROUNDUP( (1-MIN(ROUND(facs_rezone_factor*#REF!,4),facs_rezone_max) + tech_6_4*#REF! + tech_10_2*#REF! - IF(#REF!&gt;0,mech_genius_bonus,0) + race_rezone_cost) *#REF!,0)</f>
        <v>#REF!</v>
      </c>
      <c r="Y41" s="39" t="e">
        <f>#REF!*#REF!</f>
        <v>#REF!</v>
      </c>
      <c r="Z41" s="207"/>
      <c r="AA41" s="39" t="e">
        <f>250+0.6*(#REF!-250)</f>
        <v>#REF!</v>
      </c>
      <c r="AB41" s="207"/>
      <c r="AC41" s="132" t="e">
        <f>#REF!</f>
        <v>#REF!</v>
      </c>
    </row>
    <row r="42" spans="1:29" x14ac:dyDescent="0.25">
      <c r="A42" s="206" t="e">
        <f>#REF!</f>
        <v>#REF!</v>
      </c>
      <c r="B42" s="208" t="e">
        <f>#REF!</f>
        <v>#REF!</v>
      </c>
      <c r="C42" s="166" t="e">
        <f>#REF!</f>
        <v>#REF!</v>
      </c>
      <c r="D42" s="341" t="e">
        <f>#REF!</f>
        <v>#REF!</v>
      </c>
      <c r="E42" s="345" t="e">
        <f>#REF!</f>
        <v>#REF!</v>
      </c>
      <c r="F42" s="349" t="e">
        <f>#REF!</f>
        <v>#REF!</v>
      </c>
      <c r="G42" s="169" t="e">
        <f>#REF!</f>
        <v>#REF!</v>
      </c>
      <c r="H42" s="170" t="e">
        <f>#REF!</f>
        <v>#REF!</v>
      </c>
      <c r="I42" s="207"/>
      <c r="J42" s="160">
        <f t="shared" si="1"/>
        <v>39</v>
      </c>
      <c r="K42" s="227" t="e">
        <f>#REF!</f>
        <v>#REF!</v>
      </c>
      <c r="L42" s="164"/>
      <c r="M42" s="164"/>
      <c r="N42" s="164"/>
      <c r="O42" s="164"/>
      <c r="P42" s="164"/>
      <c r="Q42" s="164"/>
      <c r="R42" s="164"/>
      <c r="S42" s="39" t="e">
        <f>SUMIF(#REF!,"&gt;0")</f>
        <v>#REF!</v>
      </c>
      <c r="T42" s="61" t="e">
        <f>IF(SUM(#REF!)=0,"Ok","Nope")</f>
        <v>#REF!</v>
      </c>
      <c r="U42" s="207"/>
      <c r="V42" s="39" t="e">
        <f>#REF!</f>
        <v>#REF!</v>
      </c>
      <c r="W42" s="207"/>
      <c r="X42" s="39" t="e">
        <f>ROUNDUP( (1-MIN(ROUND(facs_rezone_factor*#REF!,4),facs_rezone_max) + tech_6_4*#REF! + tech_10_2*#REF! - IF(#REF!&gt;0,mech_genius_bonus,0) + race_rezone_cost) *#REF!,0)</f>
        <v>#REF!</v>
      </c>
      <c r="Y42" s="39" t="e">
        <f>#REF!*#REF!</f>
        <v>#REF!</v>
      </c>
      <c r="Z42" s="207"/>
      <c r="AA42" s="39" t="e">
        <f>250+0.6*(#REF!-250)</f>
        <v>#REF!</v>
      </c>
      <c r="AB42" s="207"/>
      <c r="AC42" s="132" t="e">
        <f>#REF!</f>
        <v>#REF!</v>
      </c>
    </row>
    <row r="43" spans="1:29" x14ac:dyDescent="0.25">
      <c r="A43" s="206" t="e">
        <f>#REF!</f>
        <v>#REF!</v>
      </c>
      <c r="B43" s="208" t="e">
        <f>#REF!</f>
        <v>#REF!</v>
      </c>
      <c r="C43" s="166" t="e">
        <f>#REF!</f>
        <v>#REF!</v>
      </c>
      <c r="D43" s="341" t="e">
        <f>#REF!</f>
        <v>#REF!</v>
      </c>
      <c r="E43" s="345" t="e">
        <f>#REF!</f>
        <v>#REF!</v>
      </c>
      <c r="F43" s="349" t="e">
        <f>#REF!</f>
        <v>#REF!</v>
      </c>
      <c r="G43" s="169" t="e">
        <f>#REF!</f>
        <v>#REF!</v>
      </c>
      <c r="H43" s="170" t="e">
        <f>#REF!</f>
        <v>#REF!</v>
      </c>
      <c r="I43" s="207"/>
      <c r="J43" s="160">
        <f t="shared" si="1"/>
        <v>40</v>
      </c>
      <c r="K43" s="227" t="e">
        <f>#REF!</f>
        <v>#REF!</v>
      </c>
      <c r="L43" s="164"/>
      <c r="M43" s="164"/>
      <c r="N43" s="164"/>
      <c r="O43" s="164"/>
      <c r="P43" s="164"/>
      <c r="Q43" s="164"/>
      <c r="R43" s="164"/>
      <c r="S43" s="39" t="e">
        <f>SUMIF(#REF!,"&gt;0")</f>
        <v>#REF!</v>
      </c>
      <c r="T43" s="61" t="e">
        <f>IF(SUM(#REF!)=0,"Ok","Nope")</f>
        <v>#REF!</v>
      </c>
      <c r="U43" s="207"/>
      <c r="V43" s="39" t="e">
        <f>#REF!</f>
        <v>#REF!</v>
      </c>
      <c r="W43" s="207"/>
      <c r="X43" s="39" t="e">
        <f>ROUNDUP( (1-MIN(ROUND(facs_rezone_factor*#REF!,4),facs_rezone_max) + tech_6_4*#REF! + tech_10_2*#REF! - IF(#REF!&gt;0,mech_genius_bonus,0) + race_rezone_cost) *#REF!,0)</f>
        <v>#REF!</v>
      </c>
      <c r="Y43" s="39" t="e">
        <f>#REF!*#REF!</f>
        <v>#REF!</v>
      </c>
      <c r="Z43" s="207"/>
      <c r="AA43" s="39" t="e">
        <f>250+0.6*(#REF!-250)</f>
        <v>#REF!</v>
      </c>
      <c r="AB43" s="207"/>
      <c r="AC43" s="132" t="e">
        <f>#REF!</f>
        <v>#REF!</v>
      </c>
    </row>
    <row r="44" spans="1:29" x14ac:dyDescent="0.25">
      <c r="A44" s="206" t="e">
        <f>#REF!</f>
        <v>#REF!</v>
      </c>
      <c r="B44" s="208" t="e">
        <f>#REF!</f>
        <v>#REF!</v>
      </c>
      <c r="C44" s="166" t="e">
        <f>#REF!</f>
        <v>#REF!</v>
      </c>
      <c r="D44" s="341" t="e">
        <f>#REF!</f>
        <v>#REF!</v>
      </c>
      <c r="E44" s="345" t="e">
        <f>#REF!</f>
        <v>#REF!</v>
      </c>
      <c r="F44" s="349" t="e">
        <f>#REF!</f>
        <v>#REF!</v>
      </c>
      <c r="G44" s="169" t="e">
        <f>#REF!</f>
        <v>#REF!</v>
      </c>
      <c r="H44" s="170" t="e">
        <f>#REF!</f>
        <v>#REF!</v>
      </c>
      <c r="I44" s="207"/>
      <c r="J44" s="160">
        <f t="shared" si="1"/>
        <v>41</v>
      </c>
      <c r="K44" s="227" t="e">
        <f>#REF!</f>
        <v>#REF!</v>
      </c>
      <c r="L44" s="164"/>
      <c r="M44" s="164"/>
      <c r="N44" s="164"/>
      <c r="O44" s="164"/>
      <c r="P44" s="164"/>
      <c r="Q44" s="164"/>
      <c r="R44" s="164"/>
      <c r="S44" s="39" t="e">
        <f>SUMIF(#REF!,"&gt;0")</f>
        <v>#REF!</v>
      </c>
      <c r="T44" s="61" t="e">
        <f>IF(SUM(#REF!)=0,"Ok","Nope")</f>
        <v>#REF!</v>
      </c>
      <c r="U44" s="207"/>
      <c r="V44" s="39" t="e">
        <f>#REF!</f>
        <v>#REF!</v>
      </c>
      <c r="W44" s="207"/>
      <c r="X44" s="39" t="e">
        <f>ROUNDUP( (1-MIN(ROUND(facs_rezone_factor*#REF!,4),facs_rezone_max) + tech_6_4*#REF! + tech_10_2*#REF! - IF(#REF!&gt;0,mech_genius_bonus,0) + race_rezone_cost) *#REF!,0)</f>
        <v>#REF!</v>
      </c>
      <c r="Y44" s="39" t="e">
        <f>#REF!*#REF!</f>
        <v>#REF!</v>
      </c>
      <c r="Z44" s="207"/>
      <c r="AA44" s="39" t="e">
        <f>250+0.6*(#REF!-250)</f>
        <v>#REF!</v>
      </c>
      <c r="AB44" s="207"/>
      <c r="AC44" s="132" t="e">
        <f>#REF!</f>
        <v>#REF!</v>
      </c>
    </row>
    <row r="45" spans="1:29" x14ac:dyDescent="0.25">
      <c r="A45" s="206" t="e">
        <f>#REF!</f>
        <v>#REF!</v>
      </c>
      <c r="B45" s="208" t="e">
        <f>#REF!</f>
        <v>#REF!</v>
      </c>
      <c r="C45" s="166" t="e">
        <f>#REF!</f>
        <v>#REF!</v>
      </c>
      <c r="D45" s="341" t="e">
        <f>#REF!</f>
        <v>#REF!</v>
      </c>
      <c r="E45" s="345" t="e">
        <f>#REF!</f>
        <v>#REF!</v>
      </c>
      <c r="F45" s="349" t="e">
        <f>#REF!</f>
        <v>#REF!</v>
      </c>
      <c r="G45" s="169" t="e">
        <f>#REF!</f>
        <v>#REF!</v>
      </c>
      <c r="H45" s="170" t="e">
        <f>#REF!</f>
        <v>#REF!</v>
      </c>
      <c r="I45" s="207"/>
      <c r="J45" s="160">
        <f t="shared" si="1"/>
        <v>42</v>
      </c>
      <c r="K45" s="227" t="e">
        <f>#REF!</f>
        <v>#REF!</v>
      </c>
      <c r="L45" s="164"/>
      <c r="M45" s="164"/>
      <c r="N45" s="164"/>
      <c r="O45" s="164"/>
      <c r="P45" s="164"/>
      <c r="Q45" s="164"/>
      <c r="R45" s="164"/>
      <c r="S45" s="39" t="e">
        <f>SUMIF(#REF!,"&gt;0")</f>
        <v>#REF!</v>
      </c>
      <c r="T45" s="61" t="e">
        <f>IF(SUM(#REF!)=0,"Ok","Nope")</f>
        <v>#REF!</v>
      </c>
      <c r="U45" s="207"/>
      <c r="V45" s="39" t="e">
        <f>#REF!</f>
        <v>#REF!</v>
      </c>
      <c r="W45" s="207"/>
      <c r="X45" s="39" t="e">
        <f>ROUNDUP( (1-MIN(ROUND(facs_rezone_factor*#REF!,4),facs_rezone_max) + tech_6_4*#REF! + tech_10_2*#REF! - IF(#REF!&gt;0,mech_genius_bonus,0) + race_rezone_cost) *#REF!,0)</f>
        <v>#REF!</v>
      </c>
      <c r="Y45" s="39" t="e">
        <f>#REF!*#REF!</f>
        <v>#REF!</v>
      </c>
      <c r="Z45" s="207"/>
      <c r="AA45" s="39" t="e">
        <f>250+0.6*(#REF!-250)</f>
        <v>#REF!</v>
      </c>
      <c r="AB45" s="207"/>
      <c r="AC45" s="132" t="e">
        <f>#REF!</f>
        <v>#REF!</v>
      </c>
    </row>
    <row r="46" spans="1:29" x14ac:dyDescent="0.25">
      <c r="A46" s="206" t="e">
        <f>#REF!</f>
        <v>#REF!</v>
      </c>
      <c r="B46" s="208" t="e">
        <f>#REF!</f>
        <v>#REF!</v>
      </c>
      <c r="C46" s="166" t="e">
        <f>#REF!</f>
        <v>#REF!</v>
      </c>
      <c r="D46" s="341" t="e">
        <f>#REF!</f>
        <v>#REF!</v>
      </c>
      <c r="E46" s="345" t="e">
        <f>#REF!</f>
        <v>#REF!</v>
      </c>
      <c r="F46" s="349" t="e">
        <f>#REF!</f>
        <v>#REF!</v>
      </c>
      <c r="G46" s="169" t="e">
        <f>#REF!</f>
        <v>#REF!</v>
      </c>
      <c r="H46" s="170" t="e">
        <f>#REF!</f>
        <v>#REF!</v>
      </c>
      <c r="I46" s="207"/>
      <c r="J46" s="160">
        <f t="shared" si="1"/>
        <v>43</v>
      </c>
      <c r="K46" s="227" t="e">
        <f>#REF!</f>
        <v>#REF!</v>
      </c>
      <c r="L46" s="164"/>
      <c r="M46" s="164"/>
      <c r="N46" s="164"/>
      <c r="O46" s="164"/>
      <c r="P46" s="164"/>
      <c r="Q46" s="164"/>
      <c r="R46" s="164"/>
      <c r="S46" s="39" t="e">
        <f>SUMIF(#REF!,"&gt;0")</f>
        <v>#REF!</v>
      </c>
      <c r="T46" s="61" t="e">
        <f>IF(SUM(#REF!)=0,"Ok","Nope")</f>
        <v>#REF!</v>
      </c>
      <c r="U46" s="207"/>
      <c r="V46" s="39" t="e">
        <f>#REF!</f>
        <v>#REF!</v>
      </c>
      <c r="W46" s="207"/>
      <c r="X46" s="39" t="e">
        <f>ROUNDUP( (1-MIN(ROUND(facs_rezone_factor*#REF!,4),facs_rezone_max) + tech_6_4*#REF! + tech_10_2*#REF! - IF(#REF!&gt;0,mech_genius_bonus,0) + race_rezone_cost) *#REF!,0)</f>
        <v>#REF!</v>
      </c>
      <c r="Y46" s="39" t="e">
        <f>#REF!*#REF!</f>
        <v>#REF!</v>
      </c>
      <c r="Z46" s="207"/>
      <c r="AA46" s="39" t="e">
        <f>250+0.6*(#REF!-250)</f>
        <v>#REF!</v>
      </c>
      <c r="AB46" s="207"/>
      <c r="AC46" s="132" t="e">
        <f>#REF!</f>
        <v>#REF!</v>
      </c>
    </row>
    <row r="47" spans="1:29" x14ac:dyDescent="0.25">
      <c r="A47" s="206" t="e">
        <f>#REF!</f>
        <v>#REF!</v>
      </c>
      <c r="B47" s="208" t="e">
        <f>#REF!</f>
        <v>#REF!</v>
      </c>
      <c r="C47" s="166" t="e">
        <f>#REF!</f>
        <v>#REF!</v>
      </c>
      <c r="D47" s="341" t="e">
        <f>#REF!</f>
        <v>#REF!</v>
      </c>
      <c r="E47" s="345" t="e">
        <f>#REF!</f>
        <v>#REF!</v>
      </c>
      <c r="F47" s="349" t="e">
        <f>#REF!</f>
        <v>#REF!</v>
      </c>
      <c r="G47" s="169" t="e">
        <f>#REF!</f>
        <v>#REF!</v>
      </c>
      <c r="H47" s="170" t="e">
        <f>#REF!</f>
        <v>#REF!</v>
      </c>
      <c r="I47" s="207"/>
      <c r="J47" s="160">
        <f t="shared" si="1"/>
        <v>44</v>
      </c>
      <c r="K47" s="227" t="e">
        <f>#REF!</f>
        <v>#REF!</v>
      </c>
      <c r="L47" s="164"/>
      <c r="M47" s="164"/>
      <c r="N47" s="164"/>
      <c r="O47" s="164"/>
      <c r="P47" s="164"/>
      <c r="Q47" s="164"/>
      <c r="R47" s="164"/>
      <c r="S47" s="39" t="e">
        <f>SUMIF(#REF!,"&gt;0")</f>
        <v>#REF!</v>
      </c>
      <c r="T47" s="61" t="e">
        <f>IF(SUM(#REF!)=0,"Ok","Nope")</f>
        <v>#REF!</v>
      </c>
      <c r="U47" s="207"/>
      <c r="V47" s="39" t="e">
        <f>#REF!</f>
        <v>#REF!</v>
      </c>
      <c r="W47" s="207"/>
      <c r="X47" s="39" t="e">
        <f>ROUNDUP( (1-MIN(ROUND(facs_rezone_factor*#REF!,4),facs_rezone_max) + tech_6_4*#REF! + tech_10_2*#REF! - IF(#REF!&gt;0,mech_genius_bonus,0) + race_rezone_cost) *#REF!,0)</f>
        <v>#REF!</v>
      </c>
      <c r="Y47" s="39" t="e">
        <f>#REF!*#REF!</f>
        <v>#REF!</v>
      </c>
      <c r="Z47" s="207"/>
      <c r="AA47" s="39" t="e">
        <f>250+0.6*(#REF!-250)</f>
        <v>#REF!</v>
      </c>
      <c r="AB47" s="207"/>
      <c r="AC47" s="132" t="e">
        <f>#REF!</f>
        <v>#REF!</v>
      </c>
    </row>
    <row r="48" spans="1:29" x14ac:dyDescent="0.25">
      <c r="A48" s="206" t="e">
        <f>#REF!</f>
        <v>#REF!</v>
      </c>
      <c r="B48" s="208" t="e">
        <f>#REF!</f>
        <v>#REF!</v>
      </c>
      <c r="C48" s="166" t="e">
        <f>#REF!</f>
        <v>#REF!</v>
      </c>
      <c r="D48" s="341" t="e">
        <f>#REF!</f>
        <v>#REF!</v>
      </c>
      <c r="E48" s="345" t="e">
        <f>#REF!</f>
        <v>#REF!</v>
      </c>
      <c r="F48" s="349" t="e">
        <f>#REF!</f>
        <v>#REF!</v>
      </c>
      <c r="G48" s="169" t="e">
        <f>#REF!</f>
        <v>#REF!</v>
      </c>
      <c r="H48" s="170" t="e">
        <f>#REF!</f>
        <v>#REF!</v>
      </c>
      <c r="I48" s="207"/>
      <c r="J48" s="160">
        <f t="shared" si="1"/>
        <v>45</v>
      </c>
      <c r="K48" s="227" t="e">
        <f>#REF!</f>
        <v>#REF!</v>
      </c>
      <c r="L48" s="164"/>
      <c r="M48" s="164"/>
      <c r="N48" s="164"/>
      <c r="O48" s="164"/>
      <c r="P48" s="164"/>
      <c r="Q48" s="164"/>
      <c r="R48" s="164"/>
      <c r="S48" s="39" t="e">
        <f>SUMIF(#REF!,"&gt;0")</f>
        <v>#REF!</v>
      </c>
      <c r="T48" s="61" t="e">
        <f>IF(SUM(#REF!)=0,"Ok","Nope")</f>
        <v>#REF!</v>
      </c>
      <c r="U48" s="207"/>
      <c r="V48" s="39" t="e">
        <f>#REF!</f>
        <v>#REF!</v>
      </c>
      <c r="W48" s="207"/>
      <c r="X48" s="39" t="e">
        <f>ROUNDUP( (1-MIN(ROUND(facs_rezone_factor*#REF!,4),facs_rezone_max) + tech_6_4*#REF! + tech_10_2*#REF! - IF(#REF!&gt;0,mech_genius_bonus,0) + race_rezone_cost) *#REF!,0)</f>
        <v>#REF!</v>
      </c>
      <c r="Y48" s="39" t="e">
        <f>#REF!*#REF!</f>
        <v>#REF!</v>
      </c>
      <c r="Z48" s="207"/>
      <c r="AA48" s="39" t="e">
        <f>250+0.6*(#REF!-250)</f>
        <v>#REF!</v>
      </c>
      <c r="AB48" s="207"/>
      <c r="AC48" s="132" t="e">
        <f>#REF!</f>
        <v>#REF!</v>
      </c>
    </row>
    <row r="49" spans="1:29" x14ac:dyDescent="0.25">
      <c r="A49" s="206" t="e">
        <f>#REF!</f>
        <v>#REF!</v>
      </c>
      <c r="B49" s="208" t="e">
        <f>#REF!</f>
        <v>#REF!</v>
      </c>
      <c r="C49" s="166" t="e">
        <f>#REF!</f>
        <v>#REF!</v>
      </c>
      <c r="D49" s="341" t="e">
        <f>#REF!</f>
        <v>#REF!</v>
      </c>
      <c r="E49" s="345" t="e">
        <f>#REF!</f>
        <v>#REF!</v>
      </c>
      <c r="F49" s="349" t="e">
        <f>#REF!</f>
        <v>#REF!</v>
      </c>
      <c r="G49" s="169" t="e">
        <f>#REF!</f>
        <v>#REF!</v>
      </c>
      <c r="H49" s="170" t="e">
        <f>#REF!</f>
        <v>#REF!</v>
      </c>
      <c r="I49" s="207"/>
      <c r="J49" s="160">
        <f t="shared" si="1"/>
        <v>46</v>
      </c>
      <c r="K49" s="227" t="e">
        <f>#REF!</f>
        <v>#REF!</v>
      </c>
      <c r="L49" s="164"/>
      <c r="M49" s="164"/>
      <c r="N49" s="164"/>
      <c r="O49" s="164"/>
      <c r="P49" s="164"/>
      <c r="Q49" s="164"/>
      <c r="R49" s="164"/>
      <c r="S49" s="39" t="e">
        <f>SUMIF(#REF!,"&gt;0")</f>
        <v>#REF!</v>
      </c>
      <c r="T49" s="61" t="e">
        <f>IF(SUM(#REF!)=0,"Ok","Nope")</f>
        <v>#REF!</v>
      </c>
      <c r="U49" s="207"/>
      <c r="V49" s="39" t="e">
        <f>#REF!</f>
        <v>#REF!</v>
      </c>
      <c r="W49" s="207"/>
      <c r="X49" s="39" t="e">
        <f>ROUNDUP( (1-MIN(ROUND(facs_rezone_factor*#REF!,4),facs_rezone_max) + tech_6_4*#REF! + tech_10_2*#REF! - IF(#REF!&gt;0,mech_genius_bonus,0) + race_rezone_cost) *#REF!,0)</f>
        <v>#REF!</v>
      </c>
      <c r="Y49" s="39" t="e">
        <f>#REF!*#REF!</f>
        <v>#REF!</v>
      </c>
      <c r="Z49" s="207"/>
      <c r="AA49" s="39" t="e">
        <f>250+0.6*(#REF!-250)</f>
        <v>#REF!</v>
      </c>
      <c r="AB49" s="207"/>
      <c r="AC49" s="132" t="e">
        <f>#REF!</f>
        <v>#REF!</v>
      </c>
    </row>
    <row r="50" spans="1:29" x14ac:dyDescent="0.25">
      <c r="A50" s="206" t="e">
        <f>#REF!</f>
        <v>#REF!</v>
      </c>
      <c r="B50" s="208" t="e">
        <f>#REF!</f>
        <v>#REF!</v>
      </c>
      <c r="C50" s="166" t="e">
        <f>#REF!</f>
        <v>#REF!</v>
      </c>
      <c r="D50" s="341" t="e">
        <f>#REF!</f>
        <v>#REF!</v>
      </c>
      <c r="E50" s="345" t="e">
        <f>#REF!</f>
        <v>#REF!</v>
      </c>
      <c r="F50" s="349" t="e">
        <f>#REF!</f>
        <v>#REF!</v>
      </c>
      <c r="G50" s="169" t="e">
        <f>#REF!</f>
        <v>#REF!</v>
      </c>
      <c r="H50" s="170" t="e">
        <f>#REF!</f>
        <v>#REF!</v>
      </c>
      <c r="I50" s="207"/>
      <c r="J50" s="160">
        <f t="shared" si="1"/>
        <v>47</v>
      </c>
      <c r="K50" s="227" t="e">
        <f>#REF!</f>
        <v>#REF!</v>
      </c>
      <c r="L50" s="164"/>
      <c r="M50" s="164"/>
      <c r="N50" s="164"/>
      <c r="O50" s="164"/>
      <c r="P50" s="164"/>
      <c r="Q50" s="164"/>
      <c r="R50" s="164"/>
      <c r="S50" s="39" t="e">
        <f>SUMIF(#REF!,"&gt;0")</f>
        <v>#REF!</v>
      </c>
      <c r="T50" s="61" t="e">
        <f>IF(SUM(#REF!)=0,"Ok","Nope")</f>
        <v>#REF!</v>
      </c>
      <c r="U50" s="207"/>
      <c r="V50" s="39" t="e">
        <f>#REF!</f>
        <v>#REF!</v>
      </c>
      <c r="W50" s="207"/>
      <c r="X50" s="39" t="e">
        <f>ROUNDUP( (1-MIN(ROUND(facs_rezone_factor*#REF!,4),facs_rezone_max) + tech_6_4*#REF! + tech_10_2*#REF! - IF(#REF!&gt;0,mech_genius_bonus,0) + race_rezone_cost) *#REF!,0)</f>
        <v>#REF!</v>
      </c>
      <c r="Y50" s="39" t="e">
        <f>#REF!*#REF!</f>
        <v>#REF!</v>
      </c>
      <c r="Z50" s="207"/>
      <c r="AA50" s="39" t="e">
        <f>250+0.6*(#REF!-250)</f>
        <v>#REF!</v>
      </c>
      <c r="AB50" s="207"/>
      <c r="AC50" s="132" t="e">
        <f>#REF!</f>
        <v>#REF!</v>
      </c>
    </row>
    <row r="51" spans="1:29" x14ac:dyDescent="0.25">
      <c r="A51" s="206" t="e">
        <f>#REF!</f>
        <v>#REF!</v>
      </c>
      <c r="B51" s="208" t="e">
        <f>#REF!</f>
        <v>#REF!</v>
      </c>
      <c r="C51" s="166" t="e">
        <f>#REF!</f>
        <v>#REF!</v>
      </c>
      <c r="D51" s="341" t="e">
        <f>#REF!</f>
        <v>#REF!</v>
      </c>
      <c r="E51" s="345" t="e">
        <f>#REF!</f>
        <v>#REF!</v>
      </c>
      <c r="F51" s="349" t="e">
        <f>#REF!</f>
        <v>#REF!</v>
      </c>
      <c r="G51" s="169" t="e">
        <f>#REF!</f>
        <v>#REF!</v>
      </c>
      <c r="H51" s="170" t="e">
        <f>#REF!</f>
        <v>#REF!</v>
      </c>
      <c r="I51" s="207"/>
      <c r="J51" s="160">
        <f t="shared" si="1"/>
        <v>48</v>
      </c>
      <c r="K51" s="227" t="e">
        <f>#REF!</f>
        <v>#REF!</v>
      </c>
      <c r="L51" s="164"/>
      <c r="M51" s="164"/>
      <c r="N51" s="164"/>
      <c r="O51" s="164"/>
      <c r="P51" s="164"/>
      <c r="Q51" s="164"/>
      <c r="R51" s="164"/>
      <c r="S51" s="39" t="e">
        <f>SUMIF(#REF!,"&gt;0")</f>
        <v>#REF!</v>
      </c>
      <c r="T51" s="61" t="e">
        <f>IF(SUM(#REF!)=0,"Ok","Nope")</f>
        <v>#REF!</v>
      </c>
      <c r="U51" s="207"/>
      <c r="V51" s="39" t="e">
        <f>#REF!</f>
        <v>#REF!</v>
      </c>
      <c r="W51" s="207"/>
      <c r="X51" s="39" t="e">
        <f>ROUNDUP( (1-MIN(ROUND(facs_rezone_factor*#REF!,4),facs_rezone_max) + tech_6_4*#REF! + tech_10_2*#REF! - IF(#REF!&gt;0,mech_genius_bonus,0) + race_rezone_cost) *#REF!,0)</f>
        <v>#REF!</v>
      </c>
      <c r="Y51" s="39" t="e">
        <f>#REF!*#REF!</f>
        <v>#REF!</v>
      </c>
      <c r="Z51" s="207"/>
      <c r="AA51" s="39" t="e">
        <f>250+0.6*(#REF!-250)</f>
        <v>#REF!</v>
      </c>
      <c r="AB51" s="207"/>
      <c r="AC51" s="132" t="e">
        <f>#REF!</f>
        <v>#REF!</v>
      </c>
    </row>
    <row r="52" spans="1:29" x14ac:dyDescent="0.25">
      <c r="A52" s="206" t="e">
        <f>#REF!</f>
        <v>#REF!</v>
      </c>
      <c r="B52" s="208" t="e">
        <f>#REF!</f>
        <v>#REF!</v>
      </c>
      <c r="C52" s="166" t="e">
        <f>#REF!</f>
        <v>#REF!</v>
      </c>
      <c r="D52" s="341" t="e">
        <f>#REF!</f>
        <v>#REF!</v>
      </c>
      <c r="E52" s="345" t="e">
        <f>#REF!</f>
        <v>#REF!</v>
      </c>
      <c r="F52" s="349" t="e">
        <f>#REF!</f>
        <v>#REF!</v>
      </c>
      <c r="G52" s="169" t="e">
        <f>#REF!</f>
        <v>#REF!</v>
      </c>
      <c r="H52" s="170" t="e">
        <f>#REF!</f>
        <v>#REF!</v>
      </c>
      <c r="I52" s="207"/>
      <c r="J52" s="160">
        <f t="shared" si="1"/>
        <v>49</v>
      </c>
      <c r="K52" s="227" t="e">
        <f>#REF!</f>
        <v>#REF!</v>
      </c>
      <c r="L52" s="164"/>
      <c r="M52" s="164"/>
      <c r="N52" s="164"/>
      <c r="O52" s="164"/>
      <c r="P52" s="164"/>
      <c r="Q52" s="164"/>
      <c r="R52" s="164"/>
      <c r="S52" s="39" t="e">
        <f>SUMIF(#REF!,"&gt;0")</f>
        <v>#REF!</v>
      </c>
      <c r="T52" s="61" t="e">
        <f>IF(SUM(#REF!)=0,"Ok","Nope")</f>
        <v>#REF!</v>
      </c>
      <c r="U52" s="207"/>
      <c r="V52" s="39" t="e">
        <f>#REF!</f>
        <v>#REF!</v>
      </c>
      <c r="W52" s="207"/>
      <c r="X52" s="39" t="e">
        <f>ROUNDUP( (1-MIN(ROUND(facs_rezone_factor*#REF!,4),facs_rezone_max) + tech_6_4*#REF! + tech_10_2*#REF! - IF(#REF!&gt;0,mech_genius_bonus,0) + race_rezone_cost) *#REF!,0)</f>
        <v>#REF!</v>
      </c>
      <c r="Y52" s="39" t="e">
        <f>#REF!*#REF!</f>
        <v>#REF!</v>
      </c>
      <c r="Z52" s="207"/>
      <c r="AA52" s="39" t="e">
        <f>250+0.6*(#REF!-250)</f>
        <v>#REF!</v>
      </c>
      <c r="AB52" s="207"/>
      <c r="AC52" s="132" t="e">
        <f>#REF!</f>
        <v>#REF!</v>
      </c>
    </row>
    <row r="53" spans="1:29" x14ac:dyDescent="0.25">
      <c r="A53" s="206" t="e">
        <f>#REF!</f>
        <v>#REF!</v>
      </c>
      <c r="B53" s="208" t="e">
        <f>#REF!</f>
        <v>#REF!</v>
      </c>
      <c r="C53" s="166" t="e">
        <f>#REF!</f>
        <v>#REF!</v>
      </c>
      <c r="D53" s="341" t="e">
        <f>#REF!</f>
        <v>#REF!</v>
      </c>
      <c r="E53" s="345" t="e">
        <f>#REF!</f>
        <v>#REF!</v>
      </c>
      <c r="F53" s="349" t="e">
        <f>#REF!</f>
        <v>#REF!</v>
      </c>
      <c r="G53" s="169" t="e">
        <f>#REF!</f>
        <v>#REF!</v>
      </c>
      <c r="H53" s="170" t="e">
        <f>#REF!</f>
        <v>#REF!</v>
      </c>
      <c r="I53" s="207"/>
      <c r="J53" s="160">
        <f t="shared" si="1"/>
        <v>50</v>
      </c>
      <c r="K53" s="227" t="e">
        <f>#REF!</f>
        <v>#REF!</v>
      </c>
      <c r="L53" s="164"/>
      <c r="M53" s="164"/>
      <c r="N53" s="164"/>
      <c r="O53" s="164"/>
      <c r="P53" s="164"/>
      <c r="Q53" s="164"/>
      <c r="R53" s="164"/>
      <c r="S53" s="39" t="e">
        <f>SUMIF(#REF!,"&gt;0")</f>
        <v>#REF!</v>
      </c>
      <c r="T53" s="61" t="e">
        <f>IF(SUM(#REF!)=0,"Ok","Nope")</f>
        <v>#REF!</v>
      </c>
      <c r="U53" s="207"/>
      <c r="V53" s="39" t="e">
        <f>#REF!</f>
        <v>#REF!</v>
      </c>
      <c r="W53" s="207"/>
      <c r="X53" s="39" t="e">
        <f>ROUNDUP( (1-MIN(ROUND(facs_rezone_factor*#REF!,4),facs_rezone_max) + tech_6_4*#REF! + tech_10_2*#REF! - IF(#REF!&gt;0,mech_genius_bonus,0) + race_rezone_cost) *#REF!,0)</f>
        <v>#REF!</v>
      </c>
      <c r="Y53" s="39" t="e">
        <f>#REF!*#REF!</f>
        <v>#REF!</v>
      </c>
      <c r="Z53" s="207"/>
      <c r="AA53" s="39" t="e">
        <f>250+0.6*(#REF!-250)</f>
        <v>#REF!</v>
      </c>
      <c r="AB53" s="207"/>
      <c r="AC53" s="132" t="e">
        <f>#REF!</f>
        <v>#REF!</v>
      </c>
    </row>
    <row r="54" spans="1:29" x14ac:dyDescent="0.25">
      <c r="A54" s="206" t="e">
        <f>#REF!</f>
        <v>#REF!</v>
      </c>
      <c r="B54" s="208" t="e">
        <f>#REF!</f>
        <v>#REF!</v>
      </c>
      <c r="C54" s="166" t="e">
        <f>#REF!</f>
        <v>#REF!</v>
      </c>
      <c r="D54" s="341" t="e">
        <f>#REF!</f>
        <v>#REF!</v>
      </c>
      <c r="E54" s="345" t="e">
        <f>#REF!</f>
        <v>#REF!</v>
      </c>
      <c r="F54" s="349" t="e">
        <f>#REF!</f>
        <v>#REF!</v>
      </c>
      <c r="G54" s="169" t="e">
        <f>#REF!</f>
        <v>#REF!</v>
      </c>
      <c r="H54" s="170" t="e">
        <f>#REF!</f>
        <v>#REF!</v>
      </c>
      <c r="I54" s="207"/>
      <c r="J54" s="160">
        <f t="shared" si="1"/>
        <v>51</v>
      </c>
      <c r="K54" s="227" t="e">
        <f>#REF!</f>
        <v>#REF!</v>
      </c>
      <c r="L54" s="164"/>
      <c r="M54" s="164"/>
      <c r="N54" s="164"/>
      <c r="O54" s="164"/>
      <c r="P54" s="164"/>
      <c r="Q54" s="164"/>
      <c r="R54" s="164"/>
      <c r="S54" s="39" t="e">
        <f>SUMIF(#REF!,"&gt;0")</f>
        <v>#REF!</v>
      </c>
      <c r="T54" s="61" t="e">
        <f>IF(SUM(#REF!)=0,"Ok","Nope")</f>
        <v>#REF!</v>
      </c>
      <c r="U54" s="207"/>
      <c r="V54" s="39" t="e">
        <f>#REF!</f>
        <v>#REF!</v>
      </c>
      <c r="W54" s="207"/>
      <c r="X54" s="39" t="e">
        <f>ROUNDUP( (1-MIN(ROUND(facs_rezone_factor*#REF!,4),facs_rezone_max) + tech_6_4*#REF! + tech_10_2*#REF! - IF(#REF!&gt;0,mech_genius_bonus,0) + race_rezone_cost) *#REF!,0)</f>
        <v>#REF!</v>
      </c>
      <c r="Y54" s="39" t="e">
        <f>#REF!*#REF!</f>
        <v>#REF!</v>
      </c>
      <c r="Z54" s="207"/>
      <c r="AA54" s="39" t="e">
        <f>250+0.6*(#REF!-250)</f>
        <v>#REF!</v>
      </c>
      <c r="AB54" s="207"/>
      <c r="AC54" s="132" t="e">
        <f>#REF!</f>
        <v>#REF!</v>
      </c>
    </row>
    <row r="55" spans="1:29" x14ac:dyDescent="0.25">
      <c r="A55" s="206" t="e">
        <f>#REF!</f>
        <v>#REF!</v>
      </c>
      <c r="B55" s="208" t="e">
        <f>#REF!</f>
        <v>#REF!</v>
      </c>
      <c r="C55" s="166" t="e">
        <f>#REF!</f>
        <v>#REF!</v>
      </c>
      <c r="D55" s="341" t="e">
        <f>#REF!</f>
        <v>#REF!</v>
      </c>
      <c r="E55" s="345" t="e">
        <f>#REF!</f>
        <v>#REF!</v>
      </c>
      <c r="F55" s="349" t="e">
        <f>#REF!</f>
        <v>#REF!</v>
      </c>
      <c r="G55" s="169" t="e">
        <f>#REF!</f>
        <v>#REF!</v>
      </c>
      <c r="H55" s="170" t="e">
        <f>#REF!</f>
        <v>#REF!</v>
      </c>
      <c r="I55" s="207"/>
      <c r="J55" s="160">
        <f t="shared" si="1"/>
        <v>52</v>
      </c>
      <c r="K55" s="227" t="e">
        <f>#REF!</f>
        <v>#REF!</v>
      </c>
      <c r="L55" s="164"/>
      <c r="M55" s="164"/>
      <c r="N55" s="164"/>
      <c r="O55" s="164"/>
      <c r="P55" s="164"/>
      <c r="Q55" s="164"/>
      <c r="R55" s="164"/>
      <c r="S55" s="39" t="e">
        <f>SUMIF(#REF!,"&gt;0")</f>
        <v>#REF!</v>
      </c>
      <c r="T55" s="61" t="e">
        <f>IF(SUM(#REF!)=0,"Ok","Nope")</f>
        <v>#REF!</v>
      </c>
      <c r="U55" s="207"/>
      <c r="V55" s="39" t="e">
        <f>#REF!</f>
        <v>#REF!</v>
      </c>
      <c r="W55" s="207"/>
      <c r="X55" s="39" t="e">
        <f>ROUNDUP( (1-MIN(ROUND(facs_rezone_factor*#REF!,4),facs_rezone_max) + tech_6_4*#REF! + tech_10_2*#REF! - IF(#REF!&gt;0,mech_genius_bonus,0) + race_rezone_cost) *#REF!,0)</f>
        <v>#REF!</v>
      </c>
      <c r="Y55" s="39" t="e">
        <f>#REF!*#REF!</f>
        <v>#REF!</v>
      </c>
      <c r="Z55" s="207"/>
      <c r="AA55" s="39" t="e">
        <f>250+0.6*(#REF!-250)</f>
        <v>#REF!</v>
      </c>
      <c r="AB55" s="207"/>
      <c r="AC55" s="132" t="e">
        <f>#REF!</f>
        <v>#REF!</v>
      </c>
    </row>
    <row r="56" spans="1:29" x14ac:dyDescent="0.25">
      <c r="A56" s="206" t="e">
        <f>#REF!</f>
        <v>#REF!</v>
      </c>
      <c r="B56" s="208" t="e">
        <f>#REF!</f>
        <v>#REF!</v>
      </c>
      <c r="C56" s="166" t="e">
        <f>#REF!</f>
        <v>#REF!</v>
      </c>
      <c r="D56" s="341" t="e">
        <f>#REF!</f>
        <v>#REF!</v>
      </c>
      <c r="E56" s="345" t="e">
        <f>#REF!</f>
        <v>#REF!</v>
      </c>
      <c r="F56" s="349" t="e">
        <f>#REF!</f>
        <v>#REF!</v>
      </c>
      <c r="G56" s="169" t="e">
        <f>#REF!</f>
        <v>#REF!</v>
      </c>
      <c r="H56" s="170" t="e">
        <f>#REF!</f>
        <v>#REF!</v>
      </c>
      <c r="I56" s="207"/>
      <c r="J56" s="160">
        <f t="shared" si="1"/>
        <v>53</v>
      </c>
      <c r="K56" s="227" t="e">
        <f>#REF!</f>
        <v>#REF!</v>
      </c>
      <c r="L56" s="164"/>
      <c r="M56" s="164"/>
      <c r="N56" s="164"/>
      <c r="O56" s="164"/>
      <c r="P56" s="164"/>
      <c r="Q56" s="164"/>
      <c r="R56" s="164"/>
      <c r="S56" s="39" t="e">
        <f>SUMIF(#REF!,"&gt;0")</f>
        <v>#REF!</v>
      </c>
      <c r="T56" s="61" t="e">
        <f>IF(SUM(#REF!)=0,"Ok","Nope")</f>
        <v>#REF!</v>
      </c>
      <c r="U56" s="207"/>
      <c r="V56" s="39" t="e">
        <f>#REF!</f>
        <v>#REF!</v>
      </c>
      <c r="W56" s="207"/>
      <c r="X56" s="39" t="e">
        <f>ROUNDUP( (1-MIN(ROUND(facs_rezone_factor*#REF!,4),facs_rezone_max) + tech_6_4*#REF! + tech_10_2*#REF! - IF(#REF!&gt;0,mech_genius_bonus,0) + race_rezone_cost) *#REF!,0)</f>
        <v>#REF!</v>
      </c>
      <c r="Y56" s="39" t="e">
        <f>#REF!*#REF!</f>
        <v>#REF!</v>
      </c>
      <c r="Z56" s="207"/>
      <c r="AA56" s="39" t="e">
        <f>250+0.6*(#REF!-250)</f>
        <v>#REF!</v>
      </c>
      <c r="AB56" s="207"/>
      <c r="AC56" s="132" t="e">
        <f>#REF!</f>
        <v>#REF!</v>
      </c>
    </row>
    <row r="57" spans="1:29" x14ac:dyDescent="0.25">
      <c r="A57" s="206" t="e">
        <f>#REF!</f>
        <v>#REF!</v>
      </c>
      <c r="B57" s="208" t="e">
        <f>#REF!</f>
        <v>#REF!</v>
      </c>
      <c r="C57" s="166" t="e">
        <f>#REF!</f>
        <v>#REF!</v>
      </c>
      <c r="D57" s="341" t="e">
        <f>#REF!</f>
        <v>#REF!</v>
      </c>
      <c r="E57" s="345" t="e">
        <f>#REF!</f>
        <v>#REF!</v>
      </c>
      <c r="F57" s="349" t="e">
        <f>#REF!</f>
        <v>#REF!</v>
      </c>
      <c r="G57" s="169" t="e">
        <f>#REF!</f>
        <v>#REF!</v>
      </c>
      <c r="H57" s="170" t="e">
        <f>#REF!</f>
        <v>#REF!</v>
      </c>
      <c r="I57" s="207"/>
      <c r="J57" s="160">
        <f t="shared" si="1"/>
        <v>54</v>
      </c>
      <c r="K57" s="227" t="e">
        <f>#REF!</f>
        <v>#REF!</v>
      </c>
      <c r="L57" s="164"/>
      <c r="M57" s="164"/>
      <c r="N57" s="164"/>
      <c r="O57" s="164"/>
      <c r="P57" s="164"/>
      <c r="Q57" s="164"/>
      <c r="R57" s="164"/>
      <c r="S57" s="39" t="e">
        <f>SUMIF(#REF!,"&gt;0")</f>
        <v>#REF!</v>
      </c>
      <c r="T57" s="61" t="e">
        <f>IF(SUM(#REF!)=0,"Ok","Nope")</f>
        <v>#REF!</v>
      </c>
      <c r="U57" s="207"/>
      <c r="V57" s="39" t="e">
        <f>#REF!</f>
        <v>#REF!</v>
      </c>
      <c r="W57" s="207"/>
      <c r="X57" s="39" t="e">
        <f>ROUNDUP( (1-MIN(ROUND(facs_rezone_factor*#REF!,4),facs_rezone_max) + tech_6_4*#REF! + tech_10_2*#REF! - IF(#REF!&gt;0,mech_genius_bonus,0) + race_rezone_cost) *#REF!,0)</f>
        <v>#REF!</v>
      </c>
      <c r="Y57" s="39" t="e">
        <f>#REF!*#REF!</f>
        <v>#REF!</v>
      </c>
      <c r="Z57" s="207"/>
      <c r="AA57" s="39" t="e">
        <f>250+0.6*(#REF!-250)</f>
        <v>#REF!</v>
      </c>
      <c r="AB57" s="207"/>
      <c r="AC57" s="132" t="e">
        <f>#REF!</f>
        <v>#REF!</v>
      </c>
    </row>
    <row r="58" spans="1:29" x14ac:dyDescent="0.25">
      <c r="A58" s="206" t="e">
        <f>#REF!</f>
        <v>#REF!</v>
      </c>
      <c r="B58" s="208" t="e">
        <f>#REF!</f>
        <v>#REF!</v>
      </c>
      <c r="C58" s="166" t="e">
        <f>#REF!</f>
        <v>#REF!</v>
      </c>
      <c r="D58" s="341" t="e">
        <f>#REF!</f>
        <v>#REF!</v>
      </c>
      <c r="E58" s="345" t="e">
        <f>#REF!</f>
        <v>#REF!</v>
      </c>
      <c r="F58" s="349" t="e">
        <f>#REF!</f>
        <v>#REF!</v>
      </c>
      <c r="G58" s="169" t="e">
        <f>#REF!</f>
        <v>#REF!</v>
      </c>
      <c r="H58" s="170" t="e">
        <f>#REF!</f>
        <v>#REF!</v>
      </c>
      <c r="I58" s="207"/>
      <c r="J58" s="160">
        <f t="shared" si="1"/>
        <v>55</v>
      </c>
      <c r="K58" s="227" t="e">
        <f>#REF!</f>
        <v>#REF!</v>
      </c>
      <c r="L58" s="164"/>
      <c r="M58" s="164"/>
      <c r="N58" s="164"/>
      <c r="O58" s="164"/>
      <c r="P58" s="164"/>
      <c r="Q58" s="164"/>
      <c r="R58" s="164"/>
      <c r="S58" s="39" t="e">
        <f>SUMIF(#REF!,"&gt;0")</f>
        <v>#REF!</v>
      </c>
      <c r="T58" s="61" t="e">
        <f>IF(SUM(#REF!)=0,"Ok","Nope")</f>
        <v>#REF!</v>
      </c>
      <c r="U58" s="207"/>
      <c r="V58" s="39" t="e">
        <f>#REF!</f>
        <v>#REF!</v>
      </c>
      <c r="W58" s="207"/>
      <c r="X58" s="39" t="e">
        <f>ROUNDUP( (1-MIN(ROUND(facs_rezone_factor*#REF!,4),facs_rezone_max) + tech_6_4*#REF! + tech_10_2*#REF! - IF(#REF!&gt;0,mech_genius_bonus,0) + race_rezone_cost) *#REF!,0)</f>
        <v>#REF!</v>
      </c>
      <c r="Y58" s="39" t="e">
        <f>#REF!*#REF!</f>
        <v>#REF!</v>
      </c>
      <c r="Z58" s="207"/>
      <c r="AA58" s="39" t="e">
        <f>250+0.6*(#REF!-250)</f>
        <v>#REF!</v>
      </c>
      <c r="AB58" s="207"/>
      <c r="AC58" s="132" t="e">
        <f>#REF!</f>
        <v>#REF!</v>
      </c>
    </row>
    <row r="59" spans="1:29" x14ac:dyDescent="0.25">
      <c r="A59" s="206" t="e">
        <f>#REF!</f>
        <v>#REF!</v>
      </c>
      <c r="B59" s="208" t="e">
        <f>#REF!</f>
        <v>#REF!</v>
      </c>
      <c r="C59" s="166" t="e">
        <f>#REF!</f>
        <v>#REF!</v>
      </c>
      <c r="D59" s="341" t="e">
        <f>#REF!</f>
        <v>#REF!</v>
      </c>
      <c r="E59" s="345" t="e">
        <f>#REF!</f>
        <v>#REF!</v>
      </c>
      <c r="F59" s="349" t="e">
        <f>#REF!</f>
        <v>#REF!</v>
      </c>
      <c r="G59" s="169" t="e">
        <f>#REF!</f>
        <v>#REF!</v>
      </c>
      <c r="H59" s="170" t="e">
        <f>#REF!</f>
        <v>#REF!</v>
      </c>
      <c r="I59" s="207"/>
      <c r="J59" s="160">
        <f t="shared" si="1"/>
        <v>56</v>
      </c>
      <c r="K59" s="227" t="e">
        <f>#REF!</f>
        <v>#REF!</v>
      </c>
      <c r="L59" s="164"/>
      <c r="M59" s="164"/>
      <c r="N59" s="164"/>
      <c r="O59" s="164"/>
      <c r="P59" s="164"/>
      <c r="Q59" s="164"/>
      <c r="R59" s="164"/>
      <c r="S59" s="39" t="e">
        <f>SUMIF(#REF!,"&gt;0")</f>
        <v>#REF!</v>
      </c>
      <c r="T59" s="61" t="e">
        <f>IF(SUM(#REF!)=0,"Ok","Nope")</f>
        <v>#REF!</v>
      </c>
      <c r="U59" s="207"/>
      <c r="V59" s="39" t="e">
        <f>#REF!</f>
        <v>#REF!</v>
      </c>
      <c r="W59" s="207"/>
      <c r="X59" s="39" t="e">
        <f>ROUNDUP( (1-MIN(ROUND(facs_rezone_factor*#REF!,4),facs_rezone_max) + tech_6_4*#REF! + tech_10_2*#REF! - IF(#REF!&gt;0,mech_genius_bonus,0) + race_rezone_cost) *#REF!,0)</f>
        <v>#REF!</v>
      </c>
      <c r="Y59" s="39" t="e">
        <f>#REF!*#REF!</f>
        <v>#REF!</v>
      </c>
      <c r="Z59" s="207"/>
      <c r="AA59" s="39" t="e">
        <f>250+0.6*(#REF!-250)</f>
        <v>#REF!</v>
      </c>
      <c r="AB59" s="207"/>
      <c r="AC59" s="132" t="e">
        <f>#REF!</f>
        <v>#REF!</v>
      </c>
    </row>
    <row r="60" spans="1:29" x14ac:dyDescent="0.25">
      <c r="A60" s="206" t="e">
        <f>#REF!</f>
        <v>#REF!</v>
      </c>
      <c r="B60" s="208" t="e">
        <f>#REF!</f>
        <v>#REF!</v>
      </c>
      <c r="C60" s="166" t="e">
        <f>#REF!</f>
        <v>#REF!</v>
      </c>
      <c r="D60" s="341" t="e">
        <f>#REF!</f>
        <v>#REF!</v>
      </c>
      <c r="E60" s="345" t="e">
        <f>#REF!</f>
        <v>#REF!</v>
      </c>
      <c r="F60" s="349" t="e">
        <f>#REF!</f>
        <v>#REF!</v>
      </c>
      <c r="G60" s="169" t="e">
        <f>#REF!</f>
        <v>#REF!</v>
      </c>
      <c r="H60" s="170" t="e">
        <f>#REF!</f>
        <v>#REF!</v>
      </c>
      <c r="I60" s="207"/>
      <c r="J60" s="160">
        <f t="shared" si="1"/>
        <v>57</v>
      </c>
      <c r="K60" s="227" t="e">
        <f>#REF!</f>
        <v>#REF!</v>
      </c>
      <c r="L60" s="164"/>
      <c r="M60" s="164"/>
      <c r="N60" s="164"/>
      <c r="O60" s="164"/>
      <c r="P60" s="164"/>
      <c r="Q60" s="164"/>
      <c r="R60" s="164"/>
      <c r="S60" s="39" t="e">
        <f>SUMIF(#REF!,"&gt;0")</f>
        <v>#REF!</v>
      </c>
      <c r="T60" s="61" t="e">
        <f>IF(SUM(#REF!)=0,"Ok","Nope")</f>
        <v>#REF!</v>
      </c>
      <c r="U60" s="207"/>
      <c r="V60" s="39" t="e">
        <f>#REF!</f>
        <v>#REF!</v>
      </c>
      <c r="W60" s="207"/>
      <c r="X60" s="39" t="e">
        <f>ROUNDUP( (1-MIN(ROUND(facs_rezone_factor*#REF!,4),facs_rezone_max) + tech_6_4*#REF! + tech_10_2*#REF! - IF(#REF!&gt;0,mech_genius_bonus,0) + race_rezone_cost) *#REF!,0)</f>
        <v>#REF!</v>
      </c>
      <c r="Y60" s="39" t="e">
        <f>#REF!*#REF!</f>
        <v>#REF!</v>
      </c>
      <c r="Z60" s="207"/>
      <c r="AA60" s="39" t="e">
        <f>250+0.6*(#REF!-250)</f>
        <v>#REF!</v>
      </c>
      <c r="AB60" s="207"/>
      <c r="AC60" s="132" t="e">
        <f>#REF!</f>
        <v>#REF!</v>
      </c>
    </row>
    <row r="61" spans="1:29" x14ac:dyDescent="0.25">
      <c r="A61" s="206" t="e">
        <f>#REF!</f>
        <v>#REF!</v>
      </c>
      <c r="B61" s="208" t="e">
        <f>#REF!</f>
        <v>#REF!</v>
      </c>
      <c r="C61" s="166" t="e">
        <f>#REF!</f>
        <v>#REF!</v>
      </c>
      <c r="D61" s="341" t="e">
        <f>#REF!</f>
        <v>#REF!</v>
      </c>
      <c r="E61" s="345" t="e">
        <f>#REF!</f>
        <v>#REF!</v>
      </c>
      <c r="F61" s="349" t="e">
        <f>#REF!</f>
        <v>#REF!</v>
      </c>
      <c r="G61" s="169" t="e">
        <f>#REF!</f>
        <v>#REF!</v>
      </c>
      <c r="H61" s="170" t="e">
        <f>#REF!</f>
        <v>#REF!</v>
      </c>
      <c r="I61" s="207"/>
      <c r="J61" s="160">
        <f t="shared" si="1"/>
        <v>58</v>
      </c>
      <c r="K61" s="227" t="e">
        <f>#REF!</f>
        <v>#REF!</v>
      </c>
      <c r="L61" s="164"/>
      <c r="M61" s="164"/>
      <c r="N61" s="164"/>
      <c r="O61" s="164"/>
      <c r="P61" s="164"/>
      <c r="Q61" s="164"/>
      <c r="R61" s="164"/>
      <c r="S61" s="39" t="e">
        <f>SUMIF(#REF!,"&gt;0")</f>
        <v>#REF!</v>
      </c>
      <c r="T61" s="61" t="e">
        <f>IF(SUM(#REF!)=0,"Ok","Nope")</f>
        <v>#REF!</v>
      </c>
      <c r="U61" s="207"/>
      <c r="V61" s="39" t="e">
        <f>#REF!</f>
        <v>#REF!</v>
      </c>
      <c r="W61" s="207"/>
      <c r="X61" s="39" t="e">
        <f>ROUNDUP( (1-MIN(ROUND(facs_rezone_factor*#REF!,4),facs_rezone_max) + tech_6_4*#REF! + tech_10_2*#REF! - IF(#REF!&gt;0,mech_genius_bonus,0) + race_rezone_cost) *#REF!,0)</f>
        <v>#REF!</v>
      </c>
      <c r="Y61" s="39" t="e">
        <f>#REF!*#REF!</f>
        <v>#REF!</v>
      </c>
      <c r="Z61" s="207"/>
      <c r="AA61" s="39" t="e">
        <f>250+0.6*(#REF!-250)</f>
        <v>#REF!</v>
      </c>
      <c r="AB61" s="207"/>
      <c r="AC61" s="132" t="e">
        <f>#REF!</f>
        <v>#REF!</v>
      </c>
    </row>
    <row r="62" spans="1:29" x14ac:dyDescent="0.25">
      <c r="A62" s="206" t="e">
        <f>#REF!</f>
        <v>#REF!</v>
      </c>
      <c r="B62" s="208" t="e">
        <f>#REF!</f>
        <v>#REF!</v>
      </c>
      <c r="C62" s="166" t="e">
        <f>#REF!</f>
        <v>#REF!</v>
      </c>
      <c r="D62" s="341" t="e">
        <f>#REF!</f>
        <v>#REF!</v>
      </c>
      <c r="E62" s="345" t="e">
        <f>#REF!</f>
        <v>#REF!</v>
      </c>
      <c r="F62" s="349" t="e">
        <f>#REF!</f>
        <v>#REF!</v>
      </c>
      <c r="G62" s="169" t="e">
        <f>#REF!</f>
        <v>#REF!</v>
      </c>
      <c r="H62" s="170" t="e">
        <f>#REF!</f>
        <v>#REF!</v>
      </c>
      <c r="I62" s="207"/>
      <c r="J62" s="160">
        <f t="shared" si="1"/>
        <v>59</v>
      </c>
      <c r="K62" s="227" t="e">
        <f>#REF!</f>
        <v>#REF!</v>
      </c>
      <c r="L62" s="164"/>
      <c r="M62" s="164"/>
      <c r="N62" s="164"/>
      <c r="O62" s="164"/>
      <c r="P62" s="164"/>
      <c r="Q62" s="164"/>
      <c r="R62" s="164"/>
      <c r="S62" s="39" t="e">
        <f>SUMIF(#REF!,"&gt;0")</f>
        <v>#REF!</v>
      </c>
      <c r="T62" s="61" t="e">
        <f>IF(SUM(#REF!)=0,"Ok","Nope")</f>
        <v>#REF!</v>
      </c>
      <c r="U62" s="207"/>
      <c r="V62" s="39" t="e">
        <f>#REF!</f>
        <v>#REF!</v>
      </c>
      <c r="W62" s="207"/>
      <c r="X62" s="39" t="e">
        <f>ROUNDUP( (1-MIN(ROUND(facs_rezone_factor*#REF!,4),facs_rezone_max) + tech_6_4*#REF! + tech_10_2*#REF! - IF(#REF!&gt;0,mech_genius_bonus,0) + race_rezone_cost) *#REF!,0)</f>
        <v>#REF!</v>
      </c>
      <c r="Y62" s="39" t="e">
        <f>#REF!*#REF!</f>
        <v>#REF!</v>
      </c>
      <c r="Z62" s="207"/>
      <c r="AA62" s="39" t="e">
        <f>250+0.6*(#REF!-250)</f>
        <v>#REF!</v>
      </c>
      <c r="AB62" s="207"/>
      <c r="AC62" s="132" t="e">
        <f>#REF!</f>
        <v>#REF!</v>
      </c>
    </row>
    <row r="63" spans="1:29" x14ac:dyDescent="0.25">
      <c r="A63" s="206" t="e">
        <f>#REF!</f>
        <v>#REF!</v>
      </c>
      <c r="B63" s="208" t="e">
        <f>#REF!</f>
        <v>#REF!</v>
      </c>
      <c r="C63" s="166" t="e">
        <f>#REF!</f>
        <v>#REF!</v>
      </c>
      <c r="D63" s="341" t="e">
        <f>#REF!</f>
        <v>#REF!</v>
      </c>
      <c r="E63" s="345" t="e">
        <f>#REF!</f>
        <v>#REF!</v>
      </c>
      <c r="F63" s="349" t="e">
        <f>#REF!</f>
        <v>#REF!</v>
      </c>
      <c r="G63" s="169" t="e">
        <f>#REF!</f>
        <v>#REF!</v>
      </c>
      <c r="H63" s="170" t="e">
        <f>#REF!</f>
        <v>#REF!</v>
      </c>
      <c r="I63" s="207"/>
      <c r="J63" s="160">
        <f t="shared" si="1"/>
        <v>60</v>
      </c>
      <c r="K63" s="227" t="e">
        <f>#REF!</f>
        <v>#REF!</v>
      </c>
      <c r="L63" s="164"/>
      <c r="M63" s="164"/>
      <c r="N63" s="164"/>
      <c r="O63" s="164"/>
      <c r="P63" s="164"/>
      <c r="Q63" s="164"/>
      <c r="R63" s="164"/>
      <c r="S63" s="39" t="e">
        <f>SUMIF(#REF!,"&gt;0")</f>
        <v>#REF!</v>
      </c>
      <c r="T63" s="61" t="e">
        <f>IF(SUM(#REF!)=0,"Ok","Nope")</f>
        <v>#REF!</v>
      </c>
      <c r="U63" s="207"/>
      <c r="V63" s="39" t="e">
        <f>#REF!</f>
        <v>#REF!</v>
      </c>
      <c r="W63" s="207"/>
      <c r="X63" s="39" t="e">
        <f>ROUNDUP( (1-MIN(ROUND(facs_rezone_factor*#REF!,4),facs_rezone_max) + tech_6_4*#REF! + tech_10_2*#REF! - IF(#REF!&gt;0,mech_genius_bonus,0) + race_rezone_cost) *#REF!,0)</f>
        <v>#REF!</v>
      </c>
      <c r="Y63" s="39" t="e">
        <f>#REF!*#REF!</f>
        <v>#REF!</v>
      </c>
      <c r="Z63" s="207"/>
      <c r="AA63" s="39" t="e">
        <f>250+0.6*(#REF!-250)</f>
        <v>#REF!</v>
      </c>
      <c r="AB63" s="207"/>
      <c r="AC63" s="132" t="e">
        <f>#REF!</f>
        <v>#REF!</v>
      </c>
    </row>
    <row r="64" spans="1:29" x14ac:dyDescent="0.25">
      <c r="A64" s="206" t="e">
        <f>#REF!</f>
        <v>#REF!</v>
      </c>
      <c r="B64" s="208" t="e">
        <f>#REF!</f>
        <v>#REF!</v>
      </c>
      <c r="C64" s="166" t="e">
        <f>#REF!</f>
        <v>#REF!</v>
      </c>
      <c r="D64" s="341" t="e">
        <f>#REF!</f>
        <v>#REF!</v>
      </c>
      <c r="E64" s="345" t="e">
        <f>#REF!</f>
        <v>#REF!</v>
      </c>
      <c r="F64" s="349" t="e">
        <f>#REF!</f>
        <v>#REF!</v>
      </c>
      <c r="G64" s="169" t="e">
        <f>#REF!</f>
        <v>#REF!</v>
      </c>
      <c r="H64" s="170" t="e">
        <f>#REF!</f>
        <v>#REF!</v>
      </c>
      <c r="I64" s="207"/>
      <c r="J64" s="160">
        <f t="shared" si="1"/>
        <v>61</v>
      </c>
      <c r="K64" s="227" t="e">
        <f>#REF!</f>
        <v>#REF!</v>
      </c>
      <c r="L64" s="164"/>
      <c r="M64" s="164"/>
      <c r="N64" s="164"/>
      <c r="O64" s="164"/>
      <c r="P64" s="164"/>
      <c r="Q64" s="164"/>
      <c r="R64" s="164"/>
      <c r="S64" s="39" t="e">
        <f>SUMIF(#REF!,"&gt;0")</f>
        <v>#REF!</v>
      </c>
      <c r="T64" s="61" t="e">
        <f>IF(SUM(#REF!)=0,"Ok","Nope")</f>
        <v>#REF!</v>
      </c>
      <c r="U64" s="207"/>
      <c r="V64" s="39" t="e">
        <f>#REF!</f>
        <v>#REF!</v>
      </c>
      <c r="W64" s="207"/>
      <c r="X64" s="39" t="e">
        <f>ROUNDUP( (1-MIN(ROUND(facs_rezone_factor*#REF!,4),facs_rezone_max) + tech_6_4*#REF! + tech_10_2*#REF! - IF(#REF!&gt;0,mech_genius_bonus,0) + race_rezone_cost) *#REF!,0)</f>
        <v>#REF!</v>
      </c>
      <c r="Y64" s="39" t="e">
        <f>#REF!*#REF!</f>
        <v>#REF!</v>
      </c>
      <c r="Z64" s="207"/>
      <c r="AA64" s="39" t="e">
        <f>250+0.6*(#REF!-250)</f>
        <v>#REF!</v>
      </c>
      <c r="AB64" s="207"/>
      <c r="AC64" s="132" t="e">
        <f>#REF!</f>
        <v>#REF!</v>
      </c>
    </row>
    <row r="65" spans="1:29" x14ac:dyDescent="0.25">
      <c r="A65" s="206" t="e">
        <f>#REF!</f>
        <v>#REF!</v>
      </c>
      <c r="B65" s="208" t="e">
        <f>#REF!</f>
        <v>#REF!</v>
      </c>
      <c r="C65" s="166" t="e">
        <f>#REF!</f>
        <v>#REF!</v>
      </c>
      <c r="D65" s="341" t="e">
        <f>#REF!</f>
        <v>#REF!</v>
      </c>
      <c r="E65" s="345" t="e">
        <f>#REF!</f>
        <v>#REF!</v>
      </c>
      <c r="F65" s="349" t="e">
        <f>#REF!</f>
        <v>#REF!</v>
      </c>
      <c r="G65" s="169" t="e">
        <f>#REF!</f>
        <v>#REF!</v>
      </c>
      <c r="H65" s="170" t="e">
        <f>#REF!</f>
        <v>#REF!</v>
      </c>
      <c r="I65" s="207"/>
      <c r="J65" s="160">
        <f t="shared" si="1"/>
        <v>62</v>
      </c>
      <c r="K65" s="227" t="e">
        <f>#REF!</f>
        <v>#REF!</v>
      </c>
      <c r="L65" s="164"/>
      <c r="M65" s="164"/>
      <c r="N65" s="164"/>
      <c r="O65" s="164"/>
      <c r="P65" s="164"/>
      <c r="Q65" s="164"/>
      <c r="R65" s="164"/>
      <c r="S65" s="39" t="e">
        <f>SUMIF(#REF!,"&gt;0")</f>
        <v>#REF!</v>
      </c>
      <c r="T65" s="61" t="e">
        <f>IF(SUM(#REF!)=0,"Ok","Nope")</f>
        <v>#REF!</v>
      </c>
      <c r="U65" s="207"/>
      <c r="V65" s="39" t="e">
        <f>#REF!</f>
        <v>#REF!</v>
      </c>
      <c r="W65" s="207"/>
      <c r="X65" s="39" t="e">
        <f>ROUNDUP( (1-MIN(ROUND(facs_rezone_factor*#REF!,4),facs_rezone_max) + tech_6_4*#REF! + tech_10_2*#REF! - IF(#REF!&gt;0,mech_genius_bonus,0) + race_rezone_cost) *#REF!,0)</f>
        <v>#REF!</v>
      </c>
      <c r="Y65" s="39" t="e">
        <f>#REF!*#REF!</f>
        <v>#REF!</v>
      </c>
      <c r="Z65" s="207"/>
      <c r="AA65" s="39" t="e">
        <f>250+0.6*(#REF!-250)</f>
        <v>#REF!</v>
      </c>
      <c r="AB65" s="207"/>
      <c r="AC65" s="132" t="e">
        <f>#REF!</f>
        <v>#REF!</v>
      </c>
    </row>
    <row r="66" spans="1:29" x14ac:dyDescent="0.25">
      <c r="A66" s="206" t="e">
        <f>#REF!</f>
        <v>#REF!</v>
      </c>
      <c r="B66" s="208" t="e">
        <f>#REF!</f>
        <v>#REF!</v>
      </c>
      <c r="C66" s="166" t="e">
        <f>#REF!</f>
        <v>#REF!</v>
      </c>
      <c r="D66" s="341" t="e">
        <f>#REF!</f>
        <v>#REF!</v>
      </c>
      <c r="E66" s="345" t="e">
        <f>#REF!</f>
        <v>#REF!</v>
      </c>
      <c r="F66" s="349" t="e">
        <f>#REF!</f>
        <v>#REF!</v>
      </c>
      <c r="G66" s="169" t="e">
        <f>#REF!</f>
        <v>#REF!</v>
      </c>
      <c r="H66" s="170" t="e">
        <f>#REF!</f>
        <v>#REF!</v>
      </c>
      <c r="I66" s="207"/>
      <c r="J66" s="160">
        <f t="shared" si="1"/>
        <v>63</v>
      </c>
      <c r="K66" s="227" t="e">
        <f>#REF!</f>
        <v>#REF!</v>
      </c>
      <c r="L66" s="164"/>
      <c r="M66" s="164"/>
      <c r="N66" s="164"/>
      <c r="O66" s="164"/>
      <c r="P66" s="164"/>
      <c r="Q66" s="164"/>
      <c r="R66" s="164"/>
      <c r="S66" s="39" t="e">
        <f>SUMIF(#REF!,"&gt;0")</f>
        <v>#REF!</v>
      </c>
      <c r="T66" s="61" t="e">
        <f>IF(SUM(#REF!)=0,"Ok","Nope")</f>
        <v>#REF!</v>
      </c>
      <c r="U66" s="207"/>
      <c r="V66" s="39" t="e">
        <f>#REF!</f>
        <v>#REF!</v>
      </c>
      <c r="W66" s="207"/>
      <c r="X66" s="39" t="e">
        <f>ROUNDUP( (1-MIN(ROUND(facs_rezone_factor*#REF!,4),facs_rezone_max) + tech_6_4*#REF! + tech_10_2*#REF! - IF(#REF!&gt;0,mech_genius_bonus,0) + race_rezone_cost) *#REF!,0)</f>
        <v>#REF!</v>
      </c>
      <c r="Y66" s="39" t="e">
        <f>#REF!*#REF!</f>
        <v>#REF!</v>
      </c>
      <c r="Z66" s="207"/>
      <c r="AA66" s="39" t="e">
        <f>250+0.6*(#REF!-250)</f>
        <v>#REF!</v>
      </c>
      <c r="AB66" s="207"/>
      <c r="AC66" s="132" t="e">
        <f>#REF!</f>
        <v>#REF!</v>
      </c>
    </row>
    <row r="67" spans="1:29" x14ac:dyDescent="0.25">
      <c r="A67" s="206" t="e">
        <f>#REF!</f>
        <v>#REF!</v>
      </c>
      <c r="B67" s="208" t="e">
        <f>#REF!</f>
        <v>#REF!</v>
      </c>
      <c r="C67" s="166" t="e">
        <f>#REF!</f>
        <v>#REF!</v>
      </c>
      <c r="D67" s="341" t="e">
        <f>#REF!</f>
        <v>#REF!</v>
      </c>
      <c r="E67" s="345" t="e">
        <f>#REF!</f>
        <v>#REF!</v>
      </c>
      <c r="F67" s="349" t="e">
        <f>#REF!</f>
        <v>#REF!</v>
      </c>
      <c r="G67" s="169" t="e">
        <f>#REF!</f>
        <v>#REF!</v>
      </c>
      <c r="H67" s="170" t="e">
        <f>#REF!</f>
        <v>#REF!</v>
      </c>
      <c r="I67" s="207"/>
      <c r="J67" s="160">
        <f t="shared" si="1"/>
        <v>64</v>
      </c>
      <c r="K67" s="227" t="e">
        <f>#REF!</f>
        <v>#REF!</v>
      </c>
      <c r="L67" s="164"/>
      <c r="M67" s="164"/>
      <c r="N67" s="164"/>
      <c r="O67" s="164"/>
      <c r="P67" s="164"/>
      <c r="Q67" s="164"/>
      <c r="R67" s="164"/>
      <c r="S67" s="39" t="e">
        <f>SUMIF(#REF!,"&gt;0")</f>
        <v>#REF!</v>
      </c>
      <c r="T67" s="61" t="e">
        <f>IF(SUM(#REF!)=0,"Ok","Nope")</f>
        <v>#REF!</v>
      </c>
      <c r="U67" s="207"/>
      <c r="V67" s="39" t="e">
        <f>#REF!</f>
        <v>#REF!</v>
      </c>
      <c r="W67" s="207"/>
      <c r="X67" s="39" t="e">
        <f>ROUNDUP( (1-MIN(ROUND(facs_rezone_factor*#REF!,4),facs_rezone_max) + tech_6_4*#REF! + tech_10_2*#REF! - IF(#REF!&gt;0,mech_genius_bonus,0) + race_rezone_cost) *#REF!,0)</f>
        <v>#REF!</v>
      </c>
      <c r="Y67" s="39" t="e">
        <f>#REF!*#REF!</f>
        <v>#REF!</v>
      </c>
      <c r="Z67" s="207"/>
      <c r="AA67" s="39" t="e">
        <f>250+0.6*(#REF!-250)</f>
        <v>#REF!</v>
      </c>
      <c r="AB67" s="207"/>
      <c r="AC67" s="132" t="e">
        <f>#REF!</f>
        <v>#REF!</v>
      </c>
    </row>
    <row r="68" spans="1:29" x14ac:dyDescent="0.25">
      <c r="A68" s="206" t="e">
        <f>#REF!</f>
        <v>#REF!</v>
      </c>
      <c r="B68" s="208" t="e">
        <f>#REF!</f>
        <v>#REF!</v>
      </c>
      <c r="C68" s="166" t="e">
        <f>#REF!</f>
        <v>#REF!</v>
      </c>
      <c r="D68" s="341" t="e">
        <f>#REF!</f>
        <v>#REF!</v>
      </c>
      <c r="E68" s="345" t="e">
        <f>#REF!</f>
        <v>#REF!</v>
      </c>
      <c r="F68" s="349" t="e">
        <f>#REF!</f>
        <v>#REF!</v>
      </c>
      <c r="G68" s="169" t="e">
        <f>#REF!</f>
        <v>#REF!</v>
      </c>
      <c r="H68" s="170" t="e">
        <f>#REF!</f>
        <v>#REF!</v>
      </c>
      <c r="I68" s="207"/>
      <c r="J68" s="160">
        <f t="shared" si="1"/>
        <v>65</v>
      </c>
      <c r="K68" s="227" t="e">
        <f>#REF!</f>
        <v>#REF!</v>
      </c>
      <c r="L68" s="164"/>
      <c r="M68" s="164"/>
      <c r="N68" s="164"/>
      <c r="O68" s="164"/>
      <c r="P68" s="164"/>
      <c r="Q68" s="164"/>
      <c r="R68" s="164"/>
      <c r="S68" s="39" t="e">
        <f>SUMIF(#REF!,"&gt;0")</f>
        <v>#REF!</v>
      </c>
      <c r="T68" s="61" t="e">
        <f>IF(SUM(#REF!)=0,"Ok","Nope")</f>
        <v>#REF!</v>
      </c>
      <c r="U68" s="207"/>
      <c r="V68" s="39" t="e">
        <f>#REF!</f>
        <v>#REF!</v>
      </c>
      <c r="W68" s="207"/>
      <c r="X68" s="39" t="e">
        <f>ROUNDUP( (1-MIN(ROUND(facs_rezone_factor*#REF!,4),facs_rezone_max) + tech_6_4*#REF! + tech_10_2*#REF! - IF(#REF!&gt;0,mech_genius_bonus,0) + race_rezone_cost) *#REF!,0)</f>
        <v>#REF!</v>
      </c>
      <c r="Y68" s="39" t="e">
        <f>#REF!*#REF!</f>
        <v>#REF!</v>
      </c>
      <c r="Z68" s="207"/>
      <c r="AA68" s="39" t="e">
        <f>250+0.6*(#REF!-250)</f>
        <v>#REF!</v>
      </c>
      <c r="AB68" s="207"/>
      <c r="AC68" s="132" t="e">
        <f>#REF!</f>
        <v>#REF!</v>
      </c>
    </row>
    <row r="69" spans="1:29" x14ac:dyDescent="0.25">
      <c r="A69" s="206" t="e">
        <f>#REF!</f>
        <v>#REF!</v>
      </c>
      <c r="B69" s="208" t="e">
        <f>#REF!</f>
        <v>#REF!</v>
      </c>
      <c r="C69" s="166" t="e">
        <f>#REF!</f>
        <v>#REF!</v>
      </c>
      <c r="D69" s="341" t="e">
        <f>#REF!</f>
        <v>#REF!</v>
      </c>
      <c r="E69" s="345" t="e">
        <f>#REF!</f>
        <v>#REF!</v>
      </c>
      <c r="F69" s="349" t="e">
        <f>#REF!</f>
        <v>#REF!</v>
      </c>
      <c r="G69" s="169" t="e">
        <f>#REF!</f>
        <v>#REF!</v>
      </c>
      <c r="H69" s="170" t="e">
        <f>#REF!</f>
        <v>#REF!</v>
      </c>
      <c r="I69" s="207"/>
      <c r="J69" s="160">
        <f t="shared" si="1"/>
        <v>66</v>
      </c>
      <c r="K69" s="227" t="e">
        <f>#REF!</f>
        <v>#REF!</v>
      </c>
      <c r="L69" s="164"/>
      <c r="M69" s="164"/>
      <c r="N69" s="164"/>
      <c r="O69" s="164"/>
      <c r="P69" s="164"/>
      <c r="Q69" s="164"/>
      <c r="R69" s="164"/>
      <c r="S69" s="39" t="e">
        <f>SUMIF(#REF!,"&gt;0")</f>
        <v>#REF!</v>
      </c>
      <c r="T69" s="61" t="e">
        <f>IF(SUM(#REF!)=0,"Ok","Nope")</f>
        <v>#REF!</v>
      </c>
      <c r="U69" s="207"/>
      <c r="V69" s="39" t="e">
        <f>#REF!</f>
        <v>#REF!</v>
      </c>
      <c r="W69" s="207"/>
      <c r="X69" s="39" t="e">
        <f>ROUNDUP( (1-MIN(ROUND(facs_rezone_factor*#REF!,4),facs_rezone_max) + tech_6_4*#REF! + tech_10_2*#REF! - IF(#REF!&gt;0,mech_genius_bonus,0) + race_rezone_cost) *#REF!,0)</f>
        <v>#REF!</v>
      </c>
      <c r="Y69" s="39" t="e">
        <f>#REF!*#REF!</f>
        <v>#REF!</v>
      </c>
      <c r="Z69" s="207"/>
      <c r="AA69" s="39" t="e">
        <f>250+0.6*(#REF!-250)</f>
        <v>#REF!</v>
      </c>
      <c r="AB69" s="207"/>
      <c r="AC69" s="132" t="e">
        <f>#REF!</f>
        <v>#REF!</v>
      </c>
    </row>
    <row r="70" spans="1:29" x14ac:dyDescent="0.25">
      <c r="A70" s="206" t="e">
        <f>#REF!</f>
        <v>#REF!</v>
      </c>
      <c r="B70" s="208" t="e">
        <f>#REF!</f>
        <v>#REF!</v>
      </c>
      <c r="C70" s="166" t="e">
        <f>#REF!</f>
        <v>#REF!</v>
      </c>
      <c r="D70" s="341" t="e">
        <f>#REF!</f>
        <v>#REF!</v>
      </c>
      <c r="E70" s="345" t="e">
        <f>#REF!</f>
        <v>#REF!</v>
      </c>
      <c r="F70" s="349" t="e">
        <f>#REF!</f>
        <v>#REF!</v>
      </c>
      <c r="G70" s="169" t="e">
        <f>#REF!</f>
        <v>#REF!</v>
      </c>
      <c r="H70" s="170" t="e">
        <f>#REF!</f>
        <v>#REF!</v>
      </c>
      <c r="I70" s="207"/>
      <c r="J70" s="160">
        <f t="shared" si="1"/>
        <v>67</v>
      </c>
      <c r="K70" s="227" t="e">
        <f>#REF!</f>
        <v>#REF!</v>
      </c>
      <c r="L70" s="164"/>
      <c r="M70" s="164"/>
      <c r="N70" s="164"/>
      <c r="O70" s="164"/>
      <c r="P70" s="164"/>
      <c r="Q70" s="164"/>
      <c r="R70" s="164"/>
      <c r="S70" s="39" t="e">
        <f>SUMIF(#REF!,"&gt;0")</f>
        <v>#REF!</v>
      </c>
      <c r="T70" s="61" t="e">
        <f>IF(SUM(#REF!)=0,"Ok","Nope")</f>
        <v>#REF!</v>
      </c>
      <c r="U70" s="207"/>
      <c r="V70" s="39" t="e">
        <f>#REF!</f>
        <v>#REF!</v>
      </c>
      <c r="W70" s="207"/>
      <c r="X70" s="39" t="e">
        <f>ROUNDUP( (1-MIN(ROUND(facs_rezone_factor*#REF!,4),facs_rezone_max) + tech_6_4*#REF! + tech_10_2*#REF! - IF(#REF!&gt;0,mech_genius_bonus,0) + race_rezone_cost) *#REF!,0)</f>
        <v>#REF!</v>
      </c>
      <c r="Y70" s="39" t="e">
        <f>#REF!*#REF!</f>
        <v>#REF!</v>
      </c>
      <c r="Z70" s="207"/>
      <c r="AA70" s="39" t="e">
        <f>250+0.6*(#REF!-250)</f>
        <v>#REF!</v>
      </c>
      <c r="AB70" s="207"/>
      <c r="AC70" s="132" t="e">
        <f>#REF!</f>
        <v>#REF!</v>
      </c>
    </row>
    <row r="71" spans="1:29" x14ac:dyDescent="0.25">
      <c r="A71" s="206" t="e">
        <f>#REF!</f>
        <v>#REF!</v>
      </c>
      <c r="B71" s="208" t="e">
        <f>#REF!</f>
        <v>#REF!</v>
      </c>
      <c r="C71" s="166" t="e">
        <f>#REF!</f>
        <v>#REF!</v>
      </c>
      <c r="D71" s="341" t="e">
        <f>#REF!</f>
        <v>#REF!</v>
      </c>
      <c r="E71" s="345" t="e">
        <f>#REF!</f>
        <v>#REF!</v>
      </c>
      <c r="F71" s="349" t="e">
        <f>#REF!</f>
        <v>#REF!</v>
      </c>
      <c r="G71" s="169" t="e">
        <f>#REF!</f>
        <v>#REF!</v>
      </c>
      <c r="H71" s="170" t="e">
        <f>#REF!</f>
        <v>#REF!</v>
      </c>
      <c r="I71" s="207"/>
      <c r="J71" s="160">
        <f t="shared" si="1"/>
        <v>68</v>
      </c>
      <c r="K71" s="227" t="e">
        <f>#REF!</f>
        <v>#REF!</v>
      </c>
      <c r="L71" s="164"/>
      <c r="M71" s="164"/>
      <c r="N71" s="164"/>
      <c r="O71" s="164"/>
      <c r="P71" s="164"/>
      <c r="Q71" s="164"/>
      <c r="R71" s="164"/>
      <c r="S71" s="39" t="e">
        <f>SUMIF(#REF!,"&gt;0")</f>
        <v>#REF!</v>
      </c>
      <c r="T71" s="61" t="e">
        <f>IF(SUM(#REF!)=0,"Ok","Nope")</f>
        <v>#REF!</v>
      </c>
      <c r="U71" s="207"/>
      <c r="V71" s="39" t="e">
        <f>#REF!</f>
        <v>#REF!</v>
      </c>
      <c r="W71" s="207"/>
      <c r="X71" s="39" t="e">
        <f>ROUNDUP( (1-MIN(ROUND(facs_rezone_factor*#REF!,4),facs_rezone_max) + tech_6_4*#REF! + tech_10_2*#REF! - IF(#REF!&gt;0,mech_genius_bonus,0) + race_rezone_cost) *#REF!,0)</f>
        <v>#REF!</v>
      </c>
      <c r="Y71" s="39" t="e">
        <f>#REF!*#REF!</f>
        <v>#REF!</v>
      </c>
      <c r="Z71" s="207"/>
      <c r="AA71" s="39" t="e">
        <f>250+0.6*(#REF!-250)</f>
        <v>#REF!</v>
      </c>
      <c r="AB71" s="207"/>
      <c r="AC71" s="132" t="e">
        <f>#REF!</f>
        <v>#REF!</v>
      </c>
    </row>
    <row r="72" spans="1:29" x14ac:dyDescent="0.25">
      <c r="A72" s="206" t="e">
        <f>#REF!</f>
        <v>#REF!</v>
      </c>
      <c r="B72" s="208" t="e">
        <f>#REF!</f>
        <v>#REF!</v>
      </c>
      <c r="C72" s="166" t="e">
        <f>#REF!</f>
        <v>#REF!</v>
      </c>
      <c r="D72" s="341" t="e">
        <f>#REF!</f>
        <v>#REF!</v>
      </c>
      <c r="E72" s="345" t="e">
        <f>#REF!</f>
        <v>#REF!</v>
      </c>
      <c r="F72" s="349" t="e">
        <f>#REF!</f>
        <v>#REF!</v>
      </c>
      <c r="G72" s="169" t="e">
        <f>#REF!</f>
        <v>#REF!</v>
      </c>
      <c r="H72" s="170" t="e">
        <f>#REF!</f>
        <v>#REF!</v>
      </c>
      <c r="I72" s="207"/>
      <c r="J72" s="160">
        <f t="shared" si="1"/>
        <v>69</v>
      </c>
      <c r="K72" s="227" t="e">
        <f>#REF!</f>
        <v>#REF!</v>
      </c>
      <c r="L72" s="164"/>
      <c r="M72" s="164"/>
      <c r="N72" s="164"/>
      <c r="O72" s="164"/>
      <c r="P72" s="164"/>
      <c r="Q72" s="164"/>
      <c r="R72" s="164"/>
      <c r="S72" s="39" t="e">
        <f>SUMIF(#REF!,"&gt;0")</f>
        <v>#REF!</v>
      </c>
      <c r="T72" s="61" t="e">
        <f>IF(SUM(#REF!)=0,"Ok","Nope")</f>
        <v>#REF!</v>
      </c>
      <c r="U72" s="207"/>
      <c r="V72" s="39" t="e">
        <f>#REF!</f>
        <v>#REF!</v>
      </c>
      <c r="W72" s="207"/>
      <c r="X72" s="39" t="e">
        <f>ROUNDUP( (1-MIN(ROUND(facs_rezone_factor*#REF!,4),facs_rezone_max) + tech_6_4*#REF! + tech_10_2*#REF! - IF(#REF!&gt;0,mech_genius_bonus,0) + race_rezone_cost) *#REF!,0)</f>
        <v>#REF!</v>
      </c>
      <c r="Y72" s="39" t="e">
        <f>#REF!*#REF!</f>
        <v>#REF!</v>
      </c>
      <c r="Z72" s="207"/>
      <c r="AA72" s="39" t="e">
        <f>250+0.6*(#REF!-250)</f>
        <v>#REF!</v>
      </c>
      <c r="AB72" s="207"/>
      <c r="AC72" s="132" t="e">
        <f>#REF!</f>
        <v>#REF!</v>
      </c>
    </row>
    <row r="73" spans="1:29" x14ac:dyDescent="0.25">
      <c r="A73" s="206" t="e">
        <f>#REF!</f>
        <v>#REF!</v>
      </c>
      <c r="B73" s="208" t="e">
        <f>#REF!</f>
        <v>#REF!</v>
      </c>
      <c r="C73" s="166" t="e">
        <f>#REF!</f>
        <v>#REF!</v>
      </c>
      <c r="D73" s="341" t="e">
        <f>#REF!</f>
        <v>#REF!</v>
      </c>
      <c r="E73" s="345" t="e">
        <f>#REF!</f>
        <v>#REF!</v>
      </c>
      <c r="F73" s="349" t="e">
        <f>#REF!</f>
        <v>#REF!</v>
      </c>
      <c r="G73" s="169" t="e">
        <f>#REF!</f>
        <v>#REF!</v>
      </c>
      <c r="H73" s="170" t="e">
        <f>#REF!</f>
        <v>#REF!</v>
      </c>
      <c r="I73" s="207"/>
      <c r="J73" s="160">
        <f t="shared" si="1"/>
        <v>70</v>
      </c>
      <c r="K73" s="227" t="e">
        <f>#REF!</f>
        <v>#REF!</v>
      </c>
      <c r="L73" s="164"/>
      <c r="M73" s="164"/>
      <c r="N73" s="164"/>
      <c r="O73" s="164"/>
      <c r="P73" s="164"/>
      <c r="Q73" s="164"/>
      <c r="R73" s="164"/>
      <c r="S73" s="39" t="e">
        <f>SUMIF(#REF!,"&gt;0")</f>
        <v>#REF!</v>
      </c>
      <c r="T73" s="61" t="e">
        <f>IF(SUM(#REF!)=0,"Ok","Nope")</f>
        <v>#REF!</v>
      </c>
      <c r="U73" s="207"/>
      <c r="V73" s="39" t="e">
        <f>#REF!</f>
        <v>#REF!</v>
      </c>
      <c r="W73" s="207"/>
      <c r="X73" s="39" t="e">
        <f>ROUNDUP( (1-MIN(ROUND(facs_rezone_factor*#REF!,4),facs_rezone_max) + tech_6_4*#REF! + tech_10_2*#REF! - IF(#REF!&gt;0,mech_genius_bonus,0) + race_rezone_cost) *#REF!,0)</f>
        <v>#REF!</v>
      </c>
      <c r="Y73" s="39" t="e">
        <f>#REF!*#REF!</f>
        <v>#REF!</v>
      </c>
      <c r="Z73" s="207"/>
      <c r="AA73" s="39" t="e">
        <f>250+0.6*(#REF!-250)</f>
        <v>#REF!</v>
      </c>
      <c r="AB73" s="207"/>
      <c r="AC73" s="132" t="e">
        <f>#REF!</f>
        <v>#REF!</v>
      </c>
    </row>
    <row r="74" spans="1:29" x14ac:dyDescent="0.25">
      <c r="A74" s="206" t="e">
        <f>#REF!</f>
        <v>#REF!</v>
      </c>
      <c r="B74" s="208" t="e">
        <f>#REF!</f>
        <v>#REF!</v>
      </c>
      <c r="C74" s="166" t="e">
        <f>#REF!</f>
        <v>#REF!</v>
      </c>
      <c r="D74" s="341" t="e">
        <f>#REF!</f>
        <v>#REF!</v>
      </c>
      <c r="E74" s="345" t="e">
        <f>#REF!</f>
        <v>#REF!</v>
      </c>
      <c r="F74" s="349" t="e">
        <f>#REF!</f>
        <v>#REF!</v>
      </c>
      <c r="G74" s="169" t="e">
        <f>#REF!</f>
        <v>#REF!</v>
      </c>
      <c r="H74" s="170" t="e">
        <f>#REF!</f>
        <v>#REF!</v>
      </c>
      <c r="I74" s="207"/>
      <c r="J74" s="160">
        <f t="shared" si="1"/>
        <v>71</v>
      </c>
      <c r="K74" s="227" t="e">
        <f>#REF!</f>
        <v>#REF!</v>
      </c>
      <c r="L74" s="164"/>
      <c r="M74" s="164"/>
      <c r="N74" s="164"/>
      <c r="O74" s="164"/>
      <c r="P74" s="164"/>
      <c r="Q74" s="164"/>
      <c r="R74" s="164"/>
      <c r="S74" s="39" t="e">
        <f>SUMIF(#REF!,"&gt;0")</f>
        <v>#REF!</v>
      </c>
      <c r="T74" s="61" t="e">
        <f>IF(SUM(#REF!)=0,"Ok","Nope")</f>
        <v>#REF!</v>
      </c>
      <c r="U74" s="207"/>
      <c r="V74" s="39" t="e">
        <f>#REF!</f>
        <v>#REF!</v>
      </c>
      <c r="W74" s="207"/>
      <c r="X74" s="39" t="e">
        <f>ROUNDUP( (1-MIN(ROUND(facs_rezone_factor*#REF!,4),facs_rezone_max) + tech_6_4*#REF! + tech_10_2*#REF! - IF(#REF!&gt;0,mech_genius_bonus,0) + race_rezone_cost) *#REF!,0)</f>
        <v>#REF!</v>
      </c>
      <c r="Y74" s="39" t="e">
        <f>#REF!*#REF!</f>
        <v>#REF!</v>
      </c>
      <c r="Z74" s="207"/>
      <c r="AA74" s="39" t="e">
        <f>250+0.6*(#REF!-250)</f>
        <v>#REF!</v>
      </c>
      <c r="AB74" s="207"/>
      <c r="AC74" s="132" t="e">
        <f>#REF!</f>
        <v>#REF!</v>
      </c>
    </row>
    <row r="75" spans="1:29" x14ac:dyDescent="0.25">
      <c r="A75" s="206" t="e">
        <f>#REF!</f>
        <v>#REF!</v>
      </c>
      <c r="B75" s="208" t="e">
        <f>#REF!</f>
        <v>#REF!</v>
      </c>
      <c r="C75" s="166" t="e">
        <f>#REF!</f>
        <v>#REF!</v>
      </c>
      <c r="D75" s="341" t="e">
        <f>#REF!</f>
        <v>#REF!</v>
      </c>
      <c r="E75" s="345" t="e">
        <f>#REF!</f>
        <v>#REF!</v>
      </c>
      <c r="F75" s="349" t="e">
        <f>#REF!</f>
        <v>#REF!</v>
      </c>
      <c r="G75" s="169" t="e">
        <f>#REF!</f>
        <v>#REF!</v>
      </c>
      <c r="H75" s="170" t="e">
        <f>#REF!</f>
        <v>#REF!</v>
      </c>
      <c r="I75" s="207"/>
      <c r="J75" s="160">
        <f t="shared" si="1"/>
        <v>72</v>
      </c>
      <c r="K75" s="227" t="e">
        <f>#REF!</f>
        <v>#REF!</v>
      </c>
      <c r="L75" s="164"/>
      <c r="M75" s="164"/>
      <c r="N75" s="164"/>
      <c r="O75" s="164"/>
      <c r="P75" s="164"/>
      <c r="Q75" s="164"/>
      <c r="R75" s="164"/>
      <c r="S75" s="39" t="e">
        <f>SUMIF(#REF!,"&gt;0")</f>
        <v>#REF!</v>
      </c>
      <c r="T75" s="61" t="e">
        <f>IF(SUM(#REF!)=0,"Ok","Nope")</f>
        <v>#REF!</v>
      </c>
      <c r="U75" s="207"/>
      <c r="V75" s="39" t="e">
        <f>#REF!</f>
        <v>#REF!</v>
      </c>
      <c r="W75" s="207"/>
      <c r="X75" s="39" t="e">
        <f>ROUNDUP( (1-MIN(ROUND(facs_rezone_factor*#REF!,4),facs_rezone_max) + tech_6_4*#REF! + tech_10_2*#REF! - IF(#REF!&gt;0,mech_genius_bonus,0) + race_rezone_cost) *#REF!,0)</f>
        <v>#REF!</v>
      </c>
      <c r="Y75" s="39" t="e">
        <f>#REF!*#REF!</f>
        <v>#REF!</v>
      </c>
      <c r="Z75" s="207"/>
      <c r="AA75" s="39" t="e">
        <f>250+0.6*(#REF!-250)</f>
        <v>#REF!</v>
      </c>
      <c r="AB75" s="207"/>
      <c r="AC75" s="132" t="e">
        <f>#REF!</f>
        <v>#REF!</v>
      </c>
    </row>
    <row r="76" spans="1:29" ht="13" x14ac:dyDescent="0.3">
      <c r="A76" s="221" t="e">
        <f>#REF!</f>
        <v>#REF!</v>
      </c>
      <c r="B76" s="223" t="e">
        <f>#REF!</f>
        <v>#REF!</v>
      </c>
      <c r="C76" s="183" t="e">
        <f>#REF!</f>
        <v>#REF!</v>
      </c>
      <c r="D76" s="342" t="e">
        <f>#REF!</f>
        <v>#REF!</v>
      </c>
      <c r="E76" s="346" t="e">
        <f>#REF!</f>
        <v>#REF!</v>
      </c>
      <c r="F76" s="350" t="e">
        <f>#REF!</f>
        <v>#REF!</v>
      </c>
      <c r="G76" s="186" t="e">
        <f>#REF!</f>
        <v>#REF!</v>
      </c>
      <c r="H76" s="187" t="e">
        <f>#REF!</f>
        <v>#REF!</v>
      </c>
      <c r="I76" s="222"/>
      <c r="J76" s="177">
        <f t="shared" si="1"/>
        <v>73</v>
      </c>
      <c r="K76" s="228" t="e">
        <f>#REF!</f>
        <v>#REF!</v>
      </c>
      <c r="L76" s="188"/>
      <c r="M76" s="188"/>
      <c r="N76" s="188"/>
      <c r="O76" s="188"/>
      <c r="P76" s="188"/>
      <c r="Q76" s="188"/>
      <c r="R76" s="188"/>
      <c r="S76" s="191" t="e">
        <f>SUMIF(#REF!,"&gt;0")</f>
        <v>#REF!</v>
      </c>
      <c r="T76" s="181" t="e">
        <f>IF(SUM(#REF!)=0,"Ok","Nope")</f>
        <v>#REF!</v>
      </c>
      <c r="U76" s="222"/>
      <c r="V76" s="191" t="e">
        <f>#REF!</f>
        <v>#REF!</v>
      </c>
      <c r="W76" s="222"/>
      <c r="X76" s="191" t="e">
        <f>ROUNDUP( (1-MIN(ROUND(facs_rezone_factor*#REF!,4),facs_rezone_max) + tech_6_4*#REF! + tech_10_2*#REF! - IF(#REF!&gt;0,mech_genius_bonus,0) + race_rezone_cost) *#REF!,0)</f>
        <v>#REF!</v>
      </c>
      <c r="Y76" s="191" t="e">
        <f>#REF!*#REF!</f>
        <v>#REF!</v>
      </c>
      <c r="Z76" s="222"/>
      <c r="AA76" s="191" t="e">
        <f>250+0.6*(#REF!-250)</f>
        <v>#REF!</v>
      </c>
      <c r="AB76" s="222"/>
      <c r="AC76" s="190" t="e">
        <f>#REF!</f>
        <v>#REF!</v>
      </c>
    </row>
    <row r="77" spans="1:29" x14ac:dyDescent="0.25">
      <c r="A77" s="206" t="e">
        <f>#REF!</f>
        <v>#REF!</v>
      </c>
      <c r="B77" s="208" t="e">
        <f>#REF!</f>
        <v>#REF!</v>
      </c>
      <c r="C77" s="166" t="e">
        <f>#REF!</f>
        <v>#REF!</v>
      </c>
      <c r="D77" s="341" t="e">
        <f>#REF!</f>
        <v>#REF!</v>
      </c>
      <c r="E77" s="345" t="e">
        <f>#REF!</f>
        <v>#REF!</v>
      </c>
      <c r="F77" s="349" t="e">
        <f>#REF!</f>
        <v>#REF!</v>
      </c>
      <c r="G77" s="169" t="e">
        <f>#REF!</f>
        <v>#REF!</v>
      </c>
      <c r="H77" s="170" t="e">
        <f>#REF!</f>
        <v>#REF!</v>
      </c>
      <c r="I77" s="207"/>
      <c r="J77" s="160">
        <f t="shared" ref="J77:J87" si="2">J76+1</f>
        <v>74</v>
      </c>
      <c r="K77" s="227" t="e">
        <f>#REF!</f>
        <v>#REF!</v>
      </c>
      <c r="L77" s="164"/>
      <c r="M77" s="164"/>
      <c r="N77" s="164"/>
      <c r="O77" s="164"/>
      <c r="P77" s="164"/>
      <c r="Q77" s="164"/>
      <c r="R77" s="164"/>
      <c r="S77" s="39" t="e">
        <f>SUMIF(#REF!,"&gt;0")</f>
        <v>#REF!</v>
      </c>
      <c r="T77" s="61" t="e">
        <f>IF(SUM(#REF!)=0,"Ok","Nope")</f>
        <v>#REF!</v>
      </c>
      <c r="U77" s="207"/>
      <c r="V77" s="39" t="e">
        <f>#REF!</f>
        <v>#REF!</v>
      </c>
      <c r="W77" s="207"/>
      <c r="X77" s="39" t="e">
        <f>ROUNDUP( (1-MIN(ROUND(facs_rezone_factor*#REF!,4),facs_rezone_max) + tech_6_4*#REF! + tech_10_2*#REF! - IF(#REF!&gt;0,mech_genius_bonus,0) + race_rezone_cost) *#REF!,0)</f>
        <v>#REF!</v>
      </c>
      <c r="Y77" s="39" t="e">
        <f>#REF!*#REF!</f>
        <v>#REF!</v>
      </c>
      <c r="Z77" s="207"/>
      <c r="AA77" s="39" t="e">
        <f>250+0.6*(#REF!-250)</f>
        <v>#REF!</v>
      </c>
      <c r="AB77" s="207"/>
      <c r="AC77" s="132" t="e">
        <f>#REF!</f>
        <v>#REF!</v>
      </c>
    </row>
    <row r="78" spans="1:29" x14ac:dyDescent="0.25">
      <c r="A78" s="206" t="e">
        <f>#REF!</f>
        <v>#REF!</v>
      </c>
      <c r="B78" s="208" t="e">
        <f>#REF!</f>
        <v>#REF!</v>
      </c>
      <c r="C78" s="166" t="e">
        <f>#REF!</f>
        <v>#REF!</v>
      </c>
      <c r="D78" s="341" t="e">
        <f>#REF!</f>
        <v>#REF!</v>
      </c>
      <c r="E78" s="345" t="e">
        <f>#REF!</f>
        <v>#REF!</v>
      </c>
      <c r="F78" s="349" t="e">
        <f>#REF!</f>
        <v>#REF!</v>
      </c>
      <c r="G78" s="169" t="e">
        <f>#REF!</f>
        <v>#REF!</v>
      </c>
      <c r="H78" s="170" t="e">
        <f>#REF!</f>
        <v>#REF!</v>
      </c>
      <c r="I78" s="207"/>
      <c r="J78" s="160">
        <f t="shared" si="2"/>
        <v>75</v>
      </c>
      <c r="K78" s="227" t="e">
        <f>#REF!</f>
        <v>#REF!</v>
      </c>
      <c r="L78" s="164"/>
      <c r="M78" s="164"/>
      <c r="N78" s="164"/>
      <c r="O78" s="164"/>
      <c r="P78" s="164"/>
      <c r="Q78" s="164"/>
      <c r="R78" s="164"/>
      <c r="S78" s="39" t="e">
        <f>SUMIF(#REF!,"&gt;0")</f>
        <v>#REF!</v>
      </c>
      <c r="T78" s="61" t="e">
        <f>IF(SUM(#REF!)=0,"Ok","Nope")</f>
        <v>#REF!</v>
      </c>
      <c r="U78" s="207"/>
      <c r="V78" s="39" t="e">
        <f>#REF!</f>
        <v>#REF!</v>
      </c>
      <c r="W78" s="207"/>
      <c r="X78" s="39" t="e">
        <f>ROUNDUP( (1-MIN(ROUND(facs_rezone_factor*#REF!,4),facs_rezone_max) + tech_6_4*#REF! + tech_10_2*#REF! - IF(#REF!&gt;0,mech_genius_bonus,0) + race_rezone_cost) *#REF!,0)</f>
        <v>#REF!</v>
      </c>
      <c r="Y78" s="39" t="e">
        <f>#REF!*#REF!</f>
        <v>#REF!</v>
      </c>
      <c r="Z78" s="207"/>
      <c r="AA78" s="39" t="e">
        <f>250+0.6*(#REF!-250)</f>
        <v>#REF!</v>
      </c>
      <c r="AB78" s="207"/>
      <c r="AC78" s="132" t="e">
        <f>#REF!</f>
        <v>#REF!</v>
      </c>
    </row>
    <row r="79" spans="1:29" x14ac:dyDescent="0.25">
      <c r="A79" s="206" t="e">
        <f>#REF!</f>
        <v>#REF!</v>
      </c>
      <c r="B79" s="208" t="e">
        <f>#REF!</f>
        <v>#REF!</v>
      </c>
      <c r="C79" s="166" t="e">
        <f>#REF!</f>
        <v>#REF!</v>
      </c>
      <c r="D79" s="341" t="e">
        <f>#REF!</f>
        <v>#REF!</v>
      </c>
      <c r="E79" s="345" t="e">
        <f>#REF!</f>
        <v>#REF!</v>
      </c>
      <c r="F79" s="349" t="e">
        <f>#REF!</f>
        <v>#REF!</v>
      </c>
      <c r="G79" s="169" t="e">
        <f>#REF!</f>
        <v>#REF!</v>
      </c>
      <c r="H79" s="170" t="e">
        <f>#REF!</f>
        <v>#REF!</v>
      </c>
      <c r="I79" s="207"/>
      <c r="J79" s="160">
        <f t="shared" si="2"/>
        <v>76</v>
      </c>
      <c r="K79" s="227" t="e">
        <f>#REF!</f>
        <v>#REF!</v>
      </c>
      <c r="L79" s="164"/>
      <c r="M79" s="164"/>
      <c r="N79" s="164"/>
      <c r="O79" s="164"/>
      <c r="P79" s="164"/>
      <c r="Q79" s="164"/>
      <c r="R79" s="164"/>
      <c r="S79" s="39" t="e">
        <f>SUMIF(#REF!,"&gt;0")</f>
        <v>#REF!</v>
      </c>
      <c r="T79" s="61" t="e">
        <f>IF(SUM(#REF!)=0,"Ok","Nope")</f>
        <v>#REF!</v>
      </c>
      <c r="U79" s="207"/>
      <c r="V79" s="39" t="e">
        <f>#REF!</f>
        <v>#REF!</v>
      </c>
      <c r="W79" s="207"/>
      <c r="X79" s="39" t="e">
        <f>ROUNDUP( (1-MIN(ROUND(facs_rezone_factor*#REF!,4),facs_rezone_max) + tech_6_4*#REF! + tech_10_2*#REF! - IF(#REF!&gt;0,mech_genius_bonus,0) + race_rezone_cost) *#REF!,0)</f>
        <v>#REF!</v>
      </c>
      <c r="Y79" s="39" t="e">
        <f>#REF!*#REF!</f>
        <v>#REF!</v>
      </c>
      <c r="Z79" s="207"/>
      <c r="AA79" s="39" t="e">
        <f>250+0.6*(#REF!-250)</f>
        <v>#REF!</v>
      </c>
      <c r="AB79" s="207"/>
      <c r="AC79" s="132" t="e">
        <f>#REF!</f>
        <v>#REF!</v>
      </c>
    </row>
    <row r="80" spans="1:29" x14ac:dyDescent="0.25">
      <c r="A80" s="206" t="e">
        <f>#REF!</f>
        <v>#REF!</v>
      </c>
      <c r="B80" s="208" t="e">
        <f>#REF!</f>
        <v>#REF!</v>
      </c>
      <c r="C80" s="166" t="e">
        <f>#REF!</f>
        <v>#REF!</v>
      </c>
      <c r="D80" s="341" t="e">
        <f>#REF!</f>
        <v>#REF!</v>
      </c>
      <c r="E80" s="345" t="e">
        <f>#REF!</f>
        <v>#REF!</v>
      </c>
      <c r="F80" s="349" t="e">
        <f>#REF!</f>
        <v>#REF!</v>
      </c>
      <c r="G80" s="169" t="e">
        <f>#REF!</f>
        <v>#REF!</v>
      </c>
      <c r="H80" s="170" t="e">
        <f>#REF!</f>
        <v>#REF!</v>
      </c>
      <c r="I80" s="207"/>
      <c r="J80" s="160">
        <f t="shared" si="2"/>
        <v>77</v>
      </c>
      <c r="K80" s="227" t="e">
        <f>#REF!</f>
        <v>#REF!</v>
      </c>
      <c r="L80" s="164"/>
      <c r="M80" s="164"/>
      <c r="N80" s="164"/>
      <c r="O80" s="164"/>
      <c r="P80" s="164"/>
      <c r="Q80" s="164"/>
      <c r="R80" s="164"/>
      <c r="S80" s="39" t="e">
        <f>SUMIF(#REF!,"&gt;0")</f>
        <v>#REF!</v>
      </c>
      <c r="T80" s="61" t="e">
        <f>IF(SUM(#REF!)=0,"Ok","Nope")</f>
        <v>#REF!</v>
      </c>
      <c r="U80" s="207"/>
      <c r="V80" s="39" t="e">
        <f>#REF!</f>
        <v>#REF!</v>
      </c>
      <c r="W80" s="207"/>
      <c r="X80" s="39" t="e">
        <f>ROUNDUP( (1-MIN(ROUND(facs_rezone_factor*#REF!,4),facs_rezone_max) + tech_6_4*#REF! + tech_10_2*#REF! - IF(#REF!&gt;0,mech_genius_bonus,0) + race_rezone_cost) *#REF!,0)</f>
        <v>#REF!</v>
      </c>
      <c r="Y80" s="39" t="e">
        <f>#REF!*#REF!</f>
        <v>#REF!</v>
      </c>
      <c r="Z80" s="207"/>
      <c r="AA80" s="39" t="e">
        <f>250+0.6*(#REF!-250)</f>
        <v>#REF!</v>
      </c>
      <c r="AB80" s="207"/>
      <c r="AC80" s="132" t="e">
        <f>#REF!</f>
        <v>#REF!</v>
      </c>
    </row>
    <row r="81" spans="1:29" x14ac:dyDescent="0.25">
      <c r="A81" s="206" t="e">
        <f>#REF!</f>
        <v>#REF!</v>
      </c>
      <c r="B81" s="208" t="e">
        <f>#REF!</f>
        <v>#REF!</v>
      </c>
      <c r="C81" s="166" t="e">
        <f>#REF!</f>
        <v>#REF!</v>
      </c>
      <c r="D81" s="341" t="e">
        <f>#REF!</f>
        <v>#REF!</v>
      </c>
      <c r="E81" s="345" t="e">
        <f>#REF!</f>
        <v>#REF!</v>
      </c>
      <c r="F81" s="349" t="e">
        <f>#REF!</f>
        <v>#REF!</v>
      </c>
      <c r="G81" s="169" t="e">
        <f>#REF!</f>
        <v>#REF!</v>
      </c>
      <c r="H81" s="170" t="e">
        <f>#REF!</f>
        <v>#REF!</v>
      </c>
      <c r="I81" s="207"/>
      <c r="J81" s="160">
        <f t="shared" si="2"/>
        <v>78</v>
      </c>
      <c r="K81" s="227" t="e">
        <f>#REF!</f>
        <v>#REF!</v>
      </c>
      <c r="L81" s="164"/>
      <c r="M81" s="164"/>
      <c r="N81" s="164"/>
      <c r="O81" s="164"/>
      <c r="P81" s="164"/>
      <c r="Q81" s="164"/>
      <c r="R81" s="164"/>
      <c r="S81" s="39" t="e">
        <f>SUMIF(#REF!,"&gt;0")</f>
        <v>#REF!</v>
      </c>
      <c r="T81" s="61" t="e">
        <f>IF(SUM(#REF!)=0,"Ok","Nope")</f>
        <v>#REF!</v>
      </c>
      <c r="U81" s="207"/>
      <c r="V81" s="39" t="e">
        <f>#REF!</f>
        <v>#REF!</v>
      </c>
      <c r="W81" s="207"/>
      <c r="X81" s="39" t="e">
        <f>ROUNDUP( (1-MIN(ROUND(facs_rezone_factor*#REF!,4),facs_rezone_max) + tech_6_4*#REF! + tech_10_2*#REF! - IF(#REF!&gt;0,mech_genius_bonus,0) + race_rezone_cost) *#REF!,0)</f>
        <v>#REF!</v>
      </c>
      <c r="Y81" s="39" t="e">
        <f>#REF!*#REF!</f>
        <v>#REF!</v>
      </c>
      <c r="Z81" s="207"/>
      <c r="AA81" s="39" t="e">
        <f>250+0.6*(#REF!-250)</f>
        <v>#REF!</v>
      </c>
      <c r="AB81" s="207"/>
      <c r="AC81" s="132" t="e">
        <f>#REF!</f>
        <v>#REF!</v>
      </c>
    </row>
    <row r="82" spans="1:29" x14ac:dyDescent="0.25">
      <c r="A82" s="206" t="e">
        <f>#REF!</f>
        <v>#REF!</v>
      </c>
      <c r="B82" s="208" t="e">
        <f>#REF!</f>
        <v>#REF!</v>
      </c>
      <c r="C82" s="166" t="e">
        <f>#REF!</f>
        <v>#REF!</v>
      </c>
      <c r="D82" s="341" t="e">
        <f>#REF!</f>
        <v>#REF!</v>
      </c>
      <c r="E82" s="345" t="e">
        <f>#REF!</f>
        <v>#REF!</v>
      </c>
      <c r="F82" s="349" t="e">
        <f>#REF!</f>
        <v>#REF!</v>
      </c>
      <c r="G82" s="169" t="e">
        <f>#REF!</f>
        <v>#REF!</v>
      </c>
      <c r="H82" s="170" t="e">
        <f>#REF!</f>
        <v>#REF!</v>
      </c>
      <c r="I82" s="207"/>
      <c r="J82" s="160">
        <f t="shared" si="2"/>
        <v>79</v>
      </c>
      <c r="K82" s="227" t="e">
        <f>#REF!</f>
        <v>#REF!</v>
      </c>
      <c r="L82" s="164"/>
      <c r="M82" s="164"/>
      <c r="N82" s="164"/>
      <c r="O82" s="164"/>
      <c r="P82" s="164"/>
      <c r="Q82" s="164"/>
      <c r="R82" s="164"/>
      <c r="S82" s="39" t="e">
        <f>SUMIF(#REF!,"&gt;0")</f>
        <v>#REF!</v>
      </c>
      <c r="T82" s="61" t="e">
        <f>IF(SUM(#REF!)=0,"Ok","Nope")</f>
        <v>#REF!</v>
      </c>
      <c r="U82" s="207"/>
      <c r="V82" s="39" t="e">
        <f>#REF!</f>
        <v>#REF!</v>
      </c>
      <c r="W82" s="207"/>
      <c r="X82" s="39" t="e">
        <f>ROUNDUP( (1-MIN(ROUND(facs_rezone_factor*#REF!,4),facs_rezone_max) + tech_6_4*#REF! + tech_10_2*#REF! - IF(#REF!&gt;0,mech_genius_bonus,0) + race_rezone_cost) *#REF!,0)</f>
        <v>#REF!</v>
      </c>
      <c r="Y82" s="39" t="e">
        <f>#REF!*#REF!</f>
        <v>#REF!</v>
      </c>
      <c r="Z82" s="207"/>
      <c r="AA82" s="39" t="e">
        <f>250+0.6*(#REF!-250)</f>
        <v>#REF!</v>
      </c>
      <c r="AB82" s="207"/>
      <c r="AC82" s="132" t="e">
        <f>#REF!</f>
        <v>#REF!</v>
      </c>
    </row>
    <row r="83" spans="1:29" x14ac:dyDescent="0.25">
      <c r="A83" s="206" t="e">
        <f>#REF!</f>
        <v>#REF!</v>
      </c>
      <c r="B83" s="208" t="e">
        <f>#REF!</f>
        <v>#REF!</v>
      </c>
      <c r="C83" s="166" t="e">
        <f>#REF!</f>
        <v>#REF!</v>
      </c>
      <c r="D83" s="341" t="e">
        <f>#REF!</f>
        <v>#REF!</v>
      </c>
      <c r="E83" s="345" t="e">
        <f>#REF!</f>
        <v>#REF!</v>
      </c>
      <c r="F83" s="349" t="e">
        <f>#REF!</f>
        <v>#REF!</v>
      </c>
      <c r="G83" s="169" t="e">
        <f>#REF!</f>
        <v>#REF!</v>
      </c>
      <c r="H83" s="170" t="e">
        <f>#REF!</f>
        <v>#REF!</v>
      </c>
      <c r="I83" s="207"/>
      <c r="J83" s="160">
        <f t="shared" si="2"/>
        <v>80</v>
      </c>
      <c r="K83" s="227" t="e">
        <f>#REF!</f>
        <v>#REF!</v>
      </c>
      <c r="L83" s="164"/>
      <c r="M83" s="164"/>
      <c r="N83" s="164"/>
      <c r="O83" s="164"/>
      <c r="P83" s="164"/>
      <c r="Q83" s="164"/>
      <c r="R83" s="164"/>
      <c r="S83" s="39" t="e">
        <f>SUMIF(#REF!,"&gt;0")</f>
        <v>#REF!</v>
      </c>
      <c r="T83" s="61" t="e">
        <f>IF(SUM(#REF!)=0,"Ok","Nope")</f>
        <v>#REF!</v>
      </c>
      <c r="U83" s="207"/>
      <c r="V83" s="39" t="e">
        <f>#REF!</f>
        <v>#REF!</v>
      </c>
      <c r="W83" s="207"/>
      <c r="X83" s="39" t="e">
        <f>ROUNDUP( (1-MIN(ROUND(facs_rezone_factor*#REF!,4),facs_rezone_max) + tech_6_4*#REF! + tech_10_2*#REF! - IF(#REF!&gt;0,mech_genius_bonus,0) + race_rezone_cost) *#REF!,0)</f>
        <v>#REF!</v>
      </c>
      <c r="Y83" s="39" t="e">
        <f>#REF!*#REF!</f>
        <v>#REF!</v>
      </c>
      <c r="Z83" s="207"/>
      <c r="AA83" s="39" t="e">
        <f>250+0.6*(#REF!-250)</f>
        <v>#REF!</v>
      </c>
      <c r="AB83" s="207"/>
      <c r="AC83" s="132" t="e">
        <f>#REF!</f>
        <v>#REF!</v>
      </c>
    </row>
    <row r="84" spans="1:29" x14ac:dyDescent="0.25">
      <c r="A84" s="206" t="e">
        <f>#REF!</f>
        <v>#REF!</v>
      </c>
      <c r="B84" s="208" t="e">
        <f>#REF!</f>
        <v>#REF!</v>
      </c>
      <c r="C84" s="166" t="e">
        <f>#REF!</f>
        <v>#REF!</v>
      </c>
      <c r="D84" s="341" t="e">
        <f>#REF!</f>
        <v>#REF!</v>
      </c>
      <c r="E84" s="345" t="e">
        <f>#REF!</f>
        <v>#REF!</v>
      </c>
      <c r="F84" s="349" t="e">
        <f>#REF!</f>
        <v>#REF!</v>
      </c>
      <c r="G84" s="169" t="e">
        <f>#REF!</f>
        <v>#REF!</v>
      </c>
      <c r="H84" s="170" t="e">
        <f>#REF!</f>
        <v>#REF!</v>
      </c>
      <c r="I84" s="207"/>
      <c r="J84" s="160">
        <f t="shared" si="2"/>
        <v>81</v>
      </c>
      <c r="K84" s="227" t="e">
        <f>#REF!</f>
        <v>#REF!</v>
      </c>
      <c r="L84" s="164"/>
      <c r="M84" s="164"/>
      <c r="N84" s="164"/>
      <c r="O84" s="164"/>
      <c r="P84" s="164"/>
      <c r="Q84" s="164"/>
      <c r="R84" s="164"/>
      <c r="S84" s="39" t="e">
        <f>SUMIF(#REF!,"&gt;0")</f>
        <v>#REF!</v>
      </c>
      <c r="T84" s="61" t="e">
        <f>IF(SUM(#REF!)=0,"Ok","Nope")</f>
        <v>#REF!</v>
      </c>
      <c r="U84" s="207"/>
      <c r="V84" s="39" t="e">
        <f>#REF!</f>
        <v>#REF!</v>
      </c>
      <c r="W84" s="207"/>
      <c r="X84" s="39" t="e">
        <f>ROUNDUP( (1-MIN(ROUND(facs_rezone_factor*#REF!,4),facs_rezone_max) + tech_6_4*#REF! + tech_10_2*#REF! - IF(#REF!&gt;0,mech_genius_bonus,0) + race_rezone_cost) *#REF!,0)</f>
        <v>#REF!</v>
      </c>
      <c r="Y84" s="39" t="e">
        <f>#REF!*#REF!</f>
        <v>#REF!</v>
      </c>
      <c r="Z84" s="207"/>
      <c r="AA84" s="39" t="e">
        <f>250+0.6*(#REF!-250)</f>
        <v>#REF!</v>
      </c>
      <c r="AB84" s="207"/>
      <c r="AC84" s="132" t="e">
        <f>#REF!</f>
        <v>#REF!</v>
      </c>
    </row>
    <row r="85" spans="1:29" x14ac:dyDescent="0.25">
      <c r="A85" s="206" t="e">
        <f>#REF!</f>
        <v>#REF!</v>
      </c>
      <c r="B85" s="208" t="e">
        <f>#REF!</f>
        <v>#REF!</v>
      </c>
      <c r="C85" s="166" t="e">
        <f>#REF!</f>
        <v>#REF!</v>
      </c>
      <c r="D85" s="341" t="e">
        <f>#REF!</f>
        <v>#REF!</v>
      </c>
      <c r="E85" s="345" t="e">
        <f>#REF!</f>
        <v>#REF!</v>
      </c>
      <c r="F85" s="349" t="e">
        <f>#REF!</f>
        <v>#REF!</v>
      </c>
      <c r="G85" s="169" t="e">
        <f>#REF!</f>
        <v>#REF!</v>
      </c>
      <c r="H85" s="170" t="e">
        <f>#REF!</f>
        <v>#REF!</v>
      </c>
      <c r="I85" s="207"/>
      <c r="J85" s="160">
        <f t="shared" si="2"/>
        <v>82</v>
      </c>
      <c r="K85" s="227" t="e">
        <f>#REF!</f>
        <v>#REF!</v>
      </c>
      <c r="L85" s="164"/>
      <c r="M85" s="164"/>
      <c r="N85" s="164"/>
      <c r="O85" s="164"/>
      <c r="P85" s="164"/>
      <c r="Q85" s="164"/>
      <c r="R85" s="164"/>
      <c r="S85" s="39" t="e">
        <f>SUMIF(#REF!,"&gt;0")</f>
        <v>#REF!</v>
      </c>
      <c r="T85" s="61" t="e">
        <f>IF(SUM(#REF!)=0,"Ok","Nope")</f>
        <v>#REF!</v>
      </c>
      <c r="U85" s="207"/>
      <c r="V85" s="39" t="e">
        <f>#REF!</f>
        <v>#REF!</v>
      </c>
      <c r="W85" s="207"/>
      <c r="X85" s="39" t="e">
        <f>ROUNDUP( (1-MIN(ROUND(facs_rezone_factor*#REF!,4),facs_rezone_max) + tech_6_4*#REF! + tech_10_2*#REF! - IF(#REF!&gt;0,mech_genius_bonus,0) + race_rezone_cost) *#REF!,0)</f>
        <v>#REF!</v>
      </c>
      <c r="Y85" s="39" t="e">
        <f>#REF!*#REF!</f>
        <v>#REF!</v>
      </c>
      <c r="Z85" s="207"/>
      <c r="AA85" s="39" t="e">
        <f>250+0.6*(#REF!-250)</f>
        <v>#REF!</v>
      </c>
      <c r="AB85" s="207"/>
      <c r="AC85" s="132" t="e">
        <f>#REF!</f>
        <v>#REF!</v>
      </c>
    </row>
    <row r="86" spans="1:29" x14ac:dyDescent="0.25">
      <c r="A86" s="206" t="e">
        <f>#REF!</f>
        <v>#REF!</v>
      </c>
      <c r="B86" s="208" t="e">
        <f>#REF!</f>
        <v>#REF!</v>
      </c>
      <c r="C86" s="166" t="e">
        <f>#REF!</f>
        <v>#REF!</v>
      </c>
      <c r="D86" s="341" t="e">
        <f>#REF!</f>
        <v>#REF!</v>
      </c>
      <c r="E86" s="345" t="e">
        <f>#REF!</f>
        <v>#REF!</v>
      </c>
      <c r="F86" s="349" t="e">
        <f>#REF!</f>
        <v>#REF!</v>
      </c>
      <c r="G86" s="169" t="e">
        <f>#REF!</f>
        <v>#REF!</v>
      </c>
      <c r="H86" s="170" t="e">
        <f>#REF!</f>
        <v>#REF!</v>
      </c>
      <c r="I86" s="207"/>
      <c r="J86" s="160">
        <f t="shared" si="2"/>
        <v>83</v>
      </c>
      <c r="K86" s="227" t="e">
        <f>#REF!</f>
        <v>#REF!</v>
      </c>
      <c r="L86" s="164"/>
      <c r="M86" s="164"/>
      <c r="N86" s="164"/>
      <c r="O86" s="164"/>
      <c r="P86" s="164"/>
      <c r="Q86" s="164"/>
      <c r="R86" s="164"/>
      <c r="S86" s="39" t="e">
        <f>SUMIF(#REF!,"&gt;0")</f>
        <v>#REF!</v>
      </c>
      <c r="T86" s="61" t="e">
        <f>IF(SUM(#REF!)=0,"Ok","Nope")</f>
        <v>#REF!</v>
      </c>
      <c r="U86" s="207"/>
      <c r="V86" s="39" t="e">
        <f>#REF!</f>
        <v>#REF!</v>
      </c>
      <c r="W86" s="207"/>
      <c r="X86" s="39" t="e">
        <f>ROUNDUP( (1-MIN(ROUND(facs_rezone_factor*#REF!,4),facs_rezone_max) + tech_6_4*#REF! + tech_10_2*#REF! - IF(#REF!&gt;0,mech_genius_bonus,0) + race_rezone_cost) *#REF!,0)</f>
        <v>#REF!</v>
      </c>
      <c r="Y86" s="39" t="e">
        <f>#REF!*#REF!</f>
        <v>#REF!</v>
      </c>
      <c r="Z86" s="207"/>
      <c r="AA86" s="39" t="e">
        <f>250+0.6*(#REF!-250)</f>
        <v>#REF!</v>
      </c>
      <c r="AB86" s="207"/>
      <c r="AC86" s="132" t="e">
        <f>#REF!</f>
        <v>#REF!</v>
      </c>
    </row>
    <row r="87" spans="1:29" x14ac:dyDescent="0.25">
      <c r="A87" s="206" t="e">
        <f>#REF!</f>
        <v>#REF!</v>
      </c>
      <c r="B87" s="208" t="e">
        <f>#REF!</f>
        <v>#REF!</v>
      </c>
      <c r="C87" s="166" t="e">
        <f>#REF!</f>
        <v>#REF!</v>
      </c>
      <c r="D87" s="341" t="e">
        <f>#REF!</f>
        <v>#REF!</v>
      </c>
      <c r="E87" s="345" t="e">
        <f>#REF!</f>
        <v>#REF!</v>
      </c>
      <c r="F87" s="349" t="e">
        <f>#REF!</f>
        <v>#REF!</v>
      </c>
      <c r="G87" s="169" t="e">
        <f>#REF!</f>
        <v>#REF!</v>
      </c>
      <c r="H87" s="170" t="e">
        <f>#REF!</f>
        <v>#REF!</v>
      </c>
      <c r="I87" s="207"/>
      <c r="J87" s="160">
        <f t="shared" si="2"/>
        <v>84</v>
      </c>
      <c r="K87" s="227" t="e">
        <f>#REF!</f>
        <v>#REF!</v>
      </c>
      <c r="L87" s="164"/>
      <c r="M87" s="164"/>
      <c r="N87" s="164"/>
      <c r="O87" s="164"/>
      <c r="P87" s="164"/>
      <c r="Q87" s="164"/>
      <c r="R87" s="164"/>
      <c r="S87" s="39" t="e">
        <f>SUMIF(#REF!,"&gt;0")</f>
        <v>#REF!</v>
      </c>
      <c r="T87" s="61" t="e">
        <f>IF(SUM(#REF!)=0,"Ok","Nope")</f>
        <v>#REF!</v>
      </c>
      <c r="U87" s="207"/>
      <c r="V87" s="39" t="e">
        <f>#REF!</f>
        <v>#REF!</v>
      </c>
      <c r="W87" s="207"/>
      <c r="X87" s="39" t="e">
        <f>ROUNDUP( (1-MIN(ROUND(facs_rezone_factor*#REF!,4),facs_rezone_max) + tech_6_4*#REF! + tech_10_2*#REF! - IF(#REF!&gt;0,mech_genius_bonus,0) + race_rezone_cost) *#REF!,0)</f>
        <v>#REF!</v>
      </c>
      <c r="Y87" s="39" t="e">
        <f>#REF!*#REF!</f>
        <v>#REF!</v>
      </c>
      <c r="Z87" s="207"/>
      <c r="AA87" s="39" t="e">
        <f>250+0.6*(#REF!-250)</f>
        <v>#REF!</v>
      </c>
      <c r="AB87" s="207"/>
      <c r="AC87" s="132" t="e">
        <f>#REF!</f>
        <v>#REF!</v>
      </c>
    </row>
    <row r="88" spans="1:29" x14ac:dyDescent="0.25">
      <c r="A88" s="206" t="e">
        <f>#REF!</f>
        <v>#REF!</v>
      </c>
      <c r="B88" s="208" t="e">
        <f>#REF!</f>
        <v>#REF!</v>
      </c>
      <c r="C88" s="166" t="e">
        <f>#REF!</f>
        <v>#REF!</v>
      </c>
      <c r="D88" s="341" t="e">
        <f>#REF!</f>
        <v>#REF!</v>
      </c>
      <c r="E88" s="345" t="e">
        <f>#REF!</f>
        <v>#REF!</v>
      </c>
      <c r="F88" s="349" t="e">
        <f>#REF!</f>
        <v>#REF!</v>
      </c>
      <c r="G88" s="169" t="e">
        <f>#REF!</f>
        <v>#REF!</v>
      </c>
      <c r="H88" s="170" t="e">
        <f>#REF!</f>
        <v>#REF!</v>
      </c>
      <c r="I88" s="207"/>
      <c r="J88" s="160">
        <f>J87+1</f>
        <v>85</v>
      </c>
      <c r="K88" s="227" t="e">
        <f>#REF!</f>
        <v>#REF!</v>
      </c>
      <c r="L88" s="146"/>
      <c r="M88" s="146"/>
      <c r="N88" s="164"/>
      <c r="O88" s="164"/>
      <c r="P88" s="164"/>
      <c r="Q88" s="164"/>
      <c r="R88" s="146"/>
      <c r="S88" s="39" t="e">
        <f>SUMIF(#REF!,"&gt;0")</f>
        <v>#REF!</v>
      </c>
      <c r="T88" s="61" t="e">
        <f>IF(SUM(#REF!)=0,"Ok","Nope")</f>
        <v>#REF!</v>
      </c>
      <c r="U88" s="207"/>
      <c r="V88" s="39" t="e">
        <f>#REF!</f>
        <v>#REF!</v>
      </c>
      <c r="W88" s="207"/>
      <c r="X88" s="39" t="e">
        <f>ROUNDUP( (1-MIN(ROUND(facs_rezone_factor*#REF!,4),facs_rezone_max) + tech_6_4*#REF! + tech_10_2*#REF! - IF(#REF!&gt;0,mech_genius_bonus,0) + race_rezone_cost) *#REF!,0)</f>
        <v>#REF!</v>
      </c>
      <c r="Y88" s="39" t="e">
        <f>#REF!*#REF!</f>
        <v>#REF!</v>
      </c>
      <c r="Z88" s="207"/>
      <c r="AA88" s="39" t="e">
        <f>250+0.6*(#REF!-250)</f>
        <v>#REF!</v>
      </c>
      <c r="AB88" s="207"/>
      <c r="AC88" s="132" t="e">
        <f>#REF!</f>
        <v>#REF!</v>
      </c>
    </row>
    <row r="89" spans="1:29" x14ac:dyDescent="0.25">
      <c r="A89" s="206" t="e">
        <f>#REF!</f>
        <v>#REF!</v>
      </c>
      <c r="B89" s="208" t="e">
        <f>#REF!</f>
        <v>#REF!</v>
      </c>
      <c r="C89" s="166" t="e">
        <f>#REF!</f>
        <v>#REF!</v>
      </c>
      <c r="D89" s="341" t="e">
        <f>#REF!</f>
        <v>#REF!</v>
      </c>
      <c r="E89" s="345" t="e">
        <f>#REF!</f>
        <v>#REF!</v>
      </c>
      <c r="F89" s="349" t="e">
        <f>#REF!</f>
        <v>#REF!</v>
      </c>
      <c r="G89" s="169" t="e">
        <f>#REF!</f>
        <v>#REF!</v>
      </c>
      <c r="H89" s="170" t="e">
        <f>#REF!</f>
        <v>#REF!</v>
      </c>
      <c r="I89" s="207"/>
      <c r="J89" s="160">
        <f t="shared" ref="J89:J136" si="3">J88+1</f>
        <v>86</v>
      </c>
      <c r="K89" s="227" t="e">
        <f>#REF!</f>
        <v>#REF!</v>
      </c>
      <c r="L89" s="164"/>
      <c r="M89" s="164"/>
      <c r="N89" s="164"/>
      <c r="O89" s="164"/>
      <c r="P89" s="164"/>
      <c r="Q89" s="164"/>
      <c r="R89" s="164"/>
      <c r="S89" s="39" t="e">
        <f>SUMIF(#REF!,"&gt;0")</f>
        <v>#REF!</v>
      </c>
      <c r="T89" s="61" t="e">
        <f>IF(SUM(#REF!)=0,"Ok","Nope")</f>
        <v>#REF!</v>
      </c>
      <c r="U89" s="207"/>
      <c r="V89" s="39" t="e">
        <f>#REF!</f>
        <v>#REF!</v>
      </c>
      <c r="W89" s="207"/>
      <c r="X89" s="39" t="e">
        <f>ROUNDUP( (1-MIN(ROUND(facs_rezone_factor*#REF!,4),facs_rezone_max) + tech_6_4*#REF! + tech_10_2*#REF! - IF(#REF!&gt;0,mech_genius_bonus,0) + race_rezone_cost) *#REF!,0)</f>
        <v>#REF!</v>
      </c>
      <c r="Y89" s="39" t="e">
        <f>#REF!*#REF!</f>
        <v>#REF!</v>
      </c>
      <c r="Z89" s="207"/>
      <c r="AA89" s="39" t="e">
        <f>250+0.6*(#REF!-250)</f>
        <v>#REF!</v>
      </c>
      <c r="AB89" s="207"/>
      <c r="AC89" s="132" t="e">
        <f>#REF!</f>
        <v>#REF!</v>
      </c>
    </row>
    <row r="90" spans="1:29" x14ac:dyDescent="0.25">
      <c r="A90" s="206" t="e">
        <f>#REF!</f>
        <v>#REF!</v>
      </c>
      <c r="B90" s="208" t="e">
        <f>#REF!</f>
        <v>#REF!</v>
      </c>
      <c r="C90" s="166" t="e">
        <f>#REF!</f>
        <v>#REF!</v>
      </c>
      <c r="D90" s="341" t="e">
        <f>#REF!</f>
        <v>#REF!</v>
      </c>
      <c r="E90" s="345" t="e">
        <f>#REF!</f>
        <v>#REF!</v>
      </c>
      <c r="F90" s="349" t="e">
        <f>#REF!</f>
        <v>#REF!</v>
      </c>
      <c r="G90" s="169" t="e">
        <f>#REF!</f>
        <v>#REF!</v>
      </c>
      <c r="H90" s="170" t="e">
        <f>#REF!</f>
        <v>#REF!</v>
      </c>
      <c r="I90" s="207"/>
      <c r="J90" s="160">
        <f t="shared" si="3"/>
        <v>87</v>
      </c>
      <c r="K90" s="227" t="e">
        <f>#REF!</f>
        <v>#REF!</v>
      </c>
      <c r="L90" s="164"/>
      <c r="M90" s="164"/>
      <c r="N90" s="164"/>
      <c r="O90" s="164"/>
      <c r="P90" s="164"/>
      <c r="Q90" s="164"/>
      <c r="R90" s="164"/>
      <c r="S90" s="39" t="e">
        <f>SUMIF(#REF!,"&gt;0")</f>
        <v>#REF!</v>
      </c>
      <c r="T90" s="61" t="e">
        <f>IF(SUM(#REF!)=0,"Ok","Nope")</f>
        <v>#REF!</v>
      </c>
      <c r="U90" s="207"/>
      <c r="V90" s="39" t="e">
        <f>#REF!</f>
        <v>#REF!</v>
      </c>
      <c r="W90" s="207"/>
      <c r="X90" s="39" t="e">
        <f>ROUNDUP( (1-MIN(ROUND(facs_rezone_factor*#REF!,4),facs_rezone_max) + tech_6_4*#REF! + tech_10_2*#REF! - IF(#REF!&gt;0,mech_genius_bonus,0) + race_rezone_cost) *#REF!,0)</f>
        <v>#REF!</v>
      </c>
      <c r="Y90" s="39" t="e">
        <f>#REF!*#REF!</f>
        <v>#REF!</v>
      </c>
      <c r="Z90" s="207"/>
      <c r="AA90" s="39" t="e">
        <f>250+0.6*(#REF!-250)</f>
        <v>#REF!</v>
      </c>
      <c r="AB90" s="207"/>
      <c r="AC90" s="132" t="e">
        <f>#REF!</f>
        <v>#REF!</v>
      </c>
    </row>
    <row r="91" spans="1:29" x14ac:dyDescent="0.25">
      <c r="A91" s="206" t="e">
        <f>#REF!</f>
        <v>#REF!</v>
      </c>
      <c r="B91" s="208" t="e">
        <f>#REF!</f>
        <v>#REF!</v>
      </c>
      <c r="C91" s="166" t="e">
        <f>#REF!</f>
        <v>#REF!</v>
      </c>
      <c r="D91" s="341" t="e">
        <f>#REF!</f>
        <v>#REF!</v>
      </c>
      <c r="E91" s="345" t="e">
        <f>#REF!</f>
        <v>#REF!</v>
      </c>
      <c r="F91" s="349" t="e">
        <f>#REF!</f>
        <v>#REF!</v>
      </c>
      <c r="G91" s="169" t="e">
        <f>#REF!</f>
        <v>#REF!</v>
      </c>
      <c r="H91" s="170" t="e">
        <f>#REF!</f>
        <v>#REF!</v>
      </c>
      <c r="I91" s="207"/>
      <c r="J91" s="160">
        <f t="shared" si="3"/>
        <v>88</v>
      </c>
      <c r="K91" s="227" t="e">
        <f>#REF!</f>
        <v>#REF!</v>
      </c>
      <c r="L91" s="164"/>
      <c r="M91" s="164"/>
      <c r="N91" s="164"/>
      <c r="O91" s="164"/>
      <c r="P91" s="164"/>
      <c r="Q91" s="164"/>
      <c r="R91" s="164"/>
      <c r="S91" s="39" t="e">
        <f>SUMIF(#REF!,"&gt;0")</f>
        <v>#REF!</v>
      </c>
      <c r="T91" s="61" t="e">
        <f>IF(SUM(#REF!)=0,"Ok","Nope")</f>
        <v>#REF!</v>
      </c>
      <c r="U91" s="207"/>
      <c r="V91" s="39" t="e">
        <f>#REF!</f>
        <v>#REF!</v>
      </c>
      <c r="W91" s="207"/>
      <c r="X91" s="39" t="e">
        <f>ROUNDUP( (1-MIN(ROUND(facs_rezone_factor*#REF!,4),facs_rezone_max) + tech_6_4*#REF! + tech_10_2*#REF! - IF(#REF!&gt;0,mech_genius_bonus,0) + race_rezone_cost) *#REF!,0)</f>
        <v>#REF!</v>
      </c>
      <c r="Y91" s="39" t="e">
        <f>#REF!*#REF!</f>
        <v>#REF!</v>
      </c>
      <c r="Z91" s="207"/>
      <c r="AA91" s="39" t="e">
        <f>250+0.6*(#REF!-250)</f>
        <v>#REF!</v>
      </c>
      <c r="AB91" s="207"/>
      <c r="AC91" s="132" t="e">
        <f>#REF!</f>
        <v>#REF!</v>
      </c>
    </row>
    <row r="92" spans="1:29" x14ac:dyDescent="0.25">
      <c r="A92" s="206" t="e">
        <f>#REF!</f>
        <v>#REF!</v>
      </c>
      <c r="B92" s="208" t="e">
        <f>#REF!</f>
        <v>#REF!</v>
      </c>
      <c r="C92" s="166" t="e">
        <f>#REF!</f>
        <v>#REF!</v>
      </c>
      <c r="D92" s="341" t="e">
        <f>#REF!</f>
        <v>#REF!</v>
      </c>
      <c r="E92" s="345" t="e">
        <f>#REF!</f>
        <v>#REF!</v>
      </c>
      <c r="F92" s="349" t="e">
        <f>#REF!</f>
        <v>#REF!</v>
      </c>
      <c r="G92" s="169" t="e">
        <f>#REF!</f>
        <v>#REF!</v>
      </c>
      <c r="H92" s="170" t="e">
        <f>#REF!</f>
        <v>#REF!</v>
      </c>
      <c r="I92" s="207"/>
      <c r="J92" s="160">
        <f t="shared" si="3"/>
        <v>89</v>
      </c>
      <c r="K92" s="227" t="e">
        <f>#REF!</f>
        <v>#REF!</v>
      </c>
      <c r="L92" s="164"/>
      <c r="M92" s="164"/>
      <c r="N92" s="164"/>
      <c r="O92" s="164"/>
      <c r="P92" s="164"/>
      <c r="Q92" s="164"/>
      <c r="R92" s="164"/>
      <c r="S92" s="39" t="e">
        <f>SUMIF(#REF!,"&gt;0")</f>
        <v>#REF!</v>
      </c>
      <c r="T92" s="61" t="e">
        <f>IF(SUM(#REF!)=0,"Ok","Nope")</f>
        <v>#REF!</v>
      </c>
      <c r="U92" s="207"/>
      <c r="V92" s="39" t="e">
        <f>#REF!</f>
        <v>#REF!</v>
      </c>
      <c r="W92" s="207"/>
      <c r="X92" s="39" t="e">
        <f>ROUNDUP( (1-MIN(ROUND(facs_rezone_factor*#REF!,4),facs_rezone_max) + tech_6_4*#REF! + tech_10_2*#REF! - IF(#REF!&gt;0,mech_genius_bonus,0) + race_rezone_cost) *#REF!,0)</f>
        <v>#REF!</v>
      </c>
      <c r="Y92" s="39" t="e">
        <f>#REF!*#REF!</f>
        <v>#REF!</v>
      </c>
      <c r="Z92" s="207"/>
      <c r="AA92" s="39" t="e">
        <f>250+0.6*(#REF!-250)</f>
        <v>#REF!</v>
      </c>
      <c r="AB92" s="207"/>
      <c r="AC92" s="132" t="e">
        <f>#REF!</f>
        <v>#REF!</v>
      </c>
    </row>
    <row r="93" spans="1:29" x14ac:dyDescent="0.25">
      <c r="A93" s="206" t="e">
        <f>#REF!</f>
        <v>#REF!</v>
      </c>
      <c r="B93" s="208" t="e">
        <f>#REF!</f>
        <v>#REF!</v>
      </c>
      <c r="C93" s="166" t="e">
        <f>#REF!</f>
        <v>#REF!</v>
      </c>
      <c r="D93" s="341" t="e">
        <f>#REF!</f>
        <v>#REF!</v>
      </c>
      <c r="E93" s="345" t="e">
        <f>#REF!</f>
        <v>#REF!</v>
      </c>
      <c r="F93" s="349" t="e">
        <f>#REF!</f>
        <v>#REF!</v>
      </c>
      <c r="G93" s="169" t="e">
        <f>#REF!</f>
        <v>#REF!</v>
      </c>
      <c r="H93" s="170" t="e">
        <f>#REF!</f>
        <v>#REF!</v>
      </c>
      <c r="I93" s="207"/>
      <c r="J93" s="160">
        <f t="shared" si="3"/>
        <v>90</v>
      </c>
      <c r="K93" s="227" t="e">
        <f>#REF!</f>
        <v>#REF!</v>
      </c>
      <c r="L93" s="164"/>
      <c r="M93" s="164"/>
      <c r="N93" s="164"/>
      <c r="O93" s="164"/>
      <c r="P93" s="164"/>
      <c r="Q93" s="164"/>
      <c r="R93" s="164"/>
      <c r="S93" s="39" t="e">
        <f>SUMIF(#REF!,"&gt;0")</f>
        <v>#REF!</v>
      </c>
      <c r="T93" s="61" t="e">
        <f>IF(SUM(#REF!)=0,"Ok","Nope")</f>
        <v>#REF!</v>
      </c>
      <c r="U93" s="207"/>
      <c r="V93" s="39" t="e">
        <f>#REF!</f>
        <v>#REF!</v>
      </c>
      <c r="W93" s="207"/>
      <c r="X93" s="39" t="e">
        <f>ROUNDUP( (1-MIN(ROUND(facs_rezone_factor*#REF!,4),facs_rezone_max) + tech_6_4*#REF! + tech_10_2*#REF! - IF(#REF!&gt;0,mech_genius_bonus,0) + race_rezone_cost) *#REF!,0)</f>
        <v>#REF!</v>
      </c>
      <c r="Y93" s="39" t="e">
        <f>#REF!*#REF!</f>
        <v>#REF!</v>
      </c>
      <c r="Z93" s="207"/>
      <c r="AA93" s="39" t="e">
        <f>250+0.6*(#REF!-250)</f>
        <v>#REF!</v>
      </c>
      <c r="AB93" s="207"/>
      <c r="AC93" s="132" t="e">
        <f>#REF!</f>
        <v>#REF!</v>
      </c>
    </row>
    <row r="94" spans="1:29" x14ac:dyDescent="0.25">
      <c r="A94" s="206" t="e">
        <f>#REF!</f>
        <v>#REF!</v>
      </c>
      <c r="B94" s="208" t="e">
        <f>#REF!</f>
        <v>#REF!</v>
      </c>
      <c r="C94" s="166" t="e">
        <f>#REF!</f>
        <v>#REF!</v>
      </c>
      <c r="D94" s="341" t="e">
        <f>#REF!</f>
        <v>#REF!</v>
      </c>
      <c r="E94" s="345" t="e">
        <f>#REF!</f>
        <v>#REF!</v>
      </c>
      <c r="F94" s="349" t="e">
        <f>#REF!</f>
        <v>#REF!</v>
      </c>
      <c r="G94" s="169" t="e">
        <f>#REF!</f>
        <v>#REF!</v>
      </c>
      <c r="H94" s="170" t="e">
        <f>#REF!</f>
        <v>#REF!</v>
      </c>
      <c r="I94" s="207"/>
      <c r="J94" s="160">
        <f t="shared" si="3"/>
        <v>91</v>
      </c>
      <c r="K94" s="227" t="e">
        <f>#REF!</f>
        <v>#REF!</v>
      </c>
      <c r="L94" s="164"/>
      <c r="M94" s="164"/>
      <c r="N94" s="164"/>
      <c r="O94" s="164"/>
      <c r="P94" s="164"/>
      <c r="Q94" s="164"/>
      <c r="R94" s="164"/>
      <c r="S94" s="39" t="e">
        <f>SUMIF(#REF!,"&gt;0")</f>
        <v>#REF!</v>
      </c>
      <c r="T94" s="61" t="e">
        <f>IF(SUM(#REF!)=0,"Ok","Nope")</f>
        <v>#REF!</v>
      </c>
      <c r="U94" s="207"/>
      <c r="V94" s="39" t="e">
        <f>#REF!</f>
        <v>#REF!</v>
      </c>
      <c r="W94" s="207"/>
      <c r="X94" s="39" t="e">
        <f>ROUNDUP( (1-MIN(ROUND(facs_rezone_factor*#REF!,4),facs_rezone_max) + tech_6_4*#REF! + tech_10_2*#REF! - IF(#REF!&gt;0,mech_genius_bonus,0) + race_rezone_cost) *#REF!,0)</f>
        <v>#REF!</v>
      </c>
      <c r="Y94" s="39" t="e">
        <f>#REF!*#REF!</f>
        <v>#REF!</v>
      </c>
      <c r="Z94" s="207"/>
      <c r="AA94" s="39" t="e">
        <f>250+0.6*(#REF!-250)</f>
        <v>#REF!</v>
      </c>
      <c r="AB94" s="207"/>
      <c r="AC94" s="132" t="e">
        <f>#REF!</f>
        <v>#REF!</v>
      </c>
    </row>
    <row r="95" spans="1:29" x14ac:dyDescent="0.25">
      <c r="A95" s="206" t="e">
        <f>#REF!</f>
        <v>#REF!</v>
      </c>
      <c r="B95" s="208" t="e">
        <f>#REF!</f>
        <v>#REF!</v>
      </c>
      <c r="C95" s="166" t="e">
        <f>#REF!</f>
        <v>#REF!</v>
      </c>
      <c r="D95" s="341" t="e">
        <f>#REF!</f>
        <v>#REF!</v>
      </c>
      <c r="E95" s="345" t="e">
        <f>#REF!</f>
        <v>#REF!</v>
      </c>
      <c r="F95" s="349" t="e">
        <f>#REF!</f>
        <v>#REF!</v>
      </c>
      <c r="G95" s="169" t="e">
        <f>#REF!</f>
        <v>#REF!</v>
      </c>
      <c r="H95" s="170" t="e">
        <f>#REF!</f>
        <v>#REF!</v>
      </c>
      <c r="I95" s="207"/>
      <c r="J95" s="160">
        <f t="shared" si="3"/>
        <v>92</v>
      </c>
      <c r="K95" s="227" t="e">
        <f>#REF!</f>
        <v>#REF!</v>
      </c>
      <c r="L95" s="164"/>
      <c r="M95" s="164"/>
      <c r="N95" s="164"/>
      <c r="O95" s="164"/>
      <c r="P95" s="164"/>
      <c r="Q95" s="164"/>
      <c r="R95" s="164"/>
      <c r="S95" s="39" t="e">
        <f>SUMIF(#REF!,"&gt;0")</f>
        <v>#REF!</v>
      </c>
      <c r="T95" s="61" t="e">
        <f>IF(SUM(#REF!)=0,"Ok","Nope")</f>
        <v>#REF!</v>
      </c>
      <c r="U95" s="207"/>
      <c r="V95" s="39" t="e">
        <f>#REF!</f>
        <v>#REF!</v>
      </c>
      <c r="W95" s="207"/>
      <c r="X95" s="39" t="e">
        <f>ROUNDUP( (1-MIN(ROUND(facs_rezone_factor*#REF!,4),facs_rezone_max) + tech_6_4*#REF! + tech_10_2*#REF! - IF(#REF!&gt;0,mech_genius_bonus,0) + race_rezone_cost) *#REF!,0)</f>
        <v>#REF!</v>
      </c>
      <c r="Y95" s="39" t="e">
        <f>#REF!*#REF!</f>
        <v>#REF!</v>
      </c>
      <c r="Z95" s="207"/>
      <c r="AA95" s="39" t="e">
        <f>250+0.6*(#REF!-250)</f>
        <v>#REF!</v>
      </c>
      <c r="AB95" s="207"/>
      <c r="AC95" s="132" t="e">
        <f>#REF!</f>
        <v>#REF!</v>
      </c>
    </row>
    <row r="96" spans="1:29" x14ac:dyDescent="0.25">
      <c r="A96" s="206" t="e">
        <f>#REF!</f>
        <v>#REF!</v>
      </c>
      <c r="B96" s="208" t="e">
        <f>#REF!</f>
        <v>#REF!</v>
      </c>
      <c r="C96" s="166" t="e">
        <f>#REF!</f>
        <v>#REF!</v>
      </c>
      <c r="D96" s="341" t="e">
        <f>#REF!</f>
        <v>#REF!</v>
      </c>
      <c r="E96" s="345" t="e">
        <f>#REF!</f>
        <v>#REF!</v>
      </c>
      <c r="F96" s="349" t="e">
        <f>#REF!</f>
        <v>#REF!</v>
      </c>
      <c r="G96" s="169" t="e">
        <f>#REF!</f>
        <v>#REF!</v>
      </c>
      <c r="H96" s="170" t="e">
        <f>#REF!</f>
        <v>#REF!</v>
      </c>
      <c r="I96" s="207"/>
      <c r="J96" s="160">
        <f t="shared" si="3"/>
        <v>93</v>
      </c>
      <c r="K96" s="227" t="e">
        <f>#REF!</f>
        <v>#REF!</v>
      </c>
      <c r="L96" s="164"/>
      <c r="M96" s="164"/>
      <c r="N96" s="164"/>
      <c r="O96" s="164"/>
      <c r="P96" s="164"/>
      <c r="Q96" s="164"/>
      <c r="R96" s="164"/>
      <c r="S96" s="39" t="e">
        <f>SUMIF(#REF!,"&gt;0")</f>
        <v>#REF!</v>
      </c>
      <c r="T96" s="61" t="e">
        <f>IF(SUM(#REF!)=0,"Ok","Nope")</f>
        <v>#REF!</v>
      </c>
      <c r="U96" s="207"/>
      <c r="V96" s="39" t="e">
        <f>#REF!</f>
        <v>#REF!</v>
      </c>
      <c r="W96" s="207"/>
      <c r="X96" s="39" t="e">
        <f>ROUNDUP( (1-MIN(ROUND(facs_rezone_factor*#REF!,4),facs_rezone_max) + tech_6_4*#REF! + tech_10_2*#REF! - IF(#REF!&gt;0,mech_genius_bonus,0) + race_rezone_cost) *#REF!,0)</f>
        <v>#REF!</v>
      </c>
      <c r="Y96" s="39" t="e">
        <f>#REF!*#REF!</f>
        <v>#REF!</v>
      </c>
      <c r="Z96" s="207"/>
      <c r="AA96" s="39" t="e">
        <f>250+0.6*(#REF!-250)</f>
        <v>#REF!</v>
      </c>
      <c r="AB96" s="207"/>
      <c r="AC96" s="132" t="e">
        <f>#REF!</f>
        <v>#REF!</v>
      </c>
    </row>
    <row r="97" spans="1:29" x14ac:dyDescent="0.25">
      <c r="A97" s="206" t="e">
        <f>#REF!</f>
        <v>#REF!</v>
      </c>
      <c r="B97" s="208" t="e">
        <f>#REF!</f>
        <v>#REF!</v>
      </c>
      <c r="C97" s="166" t="e">
        <f>#REF!</f>
        <v>#REF!</v>
      </c>
      <c r="D97" s="341" t="e">
        <f>#REF!</f>
        <v>#REF!</v>
      </c>
      <c r="E97" s="345" t="e">
        <f>#REF!</f>
        <v>#REF!</v>
      </c>
      <c r="F97" s="349" t="e">
        <f>#REF!</f>
        <v>#REF!</v>
      </c>
      <c r="G97" s="169" t="e">
        <f>#REF!</f>
        <v>#REF!</v>
      </c>
      <c r="H97" s="170" t="e">
        <f>#REF!</f>
        <v>#REF!</v>
      </c>
      <c r="I97" s="207"/>
      <c r="J97" s="160">
        <f t="shared" si="3"/>
        <v>94</v>
      </c>
      <c r="K97" s="227" t="e">
        <f>#REF!</f>
        <v>#REF!</v>
      </c>
      <c r="L97" s="164"/>
      <c r="M97" s="164"/>
      <c r="N97" s="164"/>
      <c r="O97" s="164"/>
      <c r="P97" s="164"/>
      <c r="Q97" s="164"/>
      <c r="R97" s="164"/>
      <c r="S97" s="39" t="e">
        <f>SUMIF(#REF!,"&gt;0")</f>
        <v>#REF!</v>
      </c>
      <c r="T97" s="61" t="e">
        <f>IF(SUM(#REF!)=0,"Ok","Nope")</f>
        <v>#REF!</v>
      </c>
      <c r="U97" s="207"/>
      <c r="V97" s="39" t="e">
        <f>#REF!</f>
        <v>#REF!</v>
      </c>
      <c r="W97" s="207"/>
      <c r="X97" s="39" t="e">
        <f>ROUNDUP( (1-MIN(ROUND(facs_rezone_factor*#REF!,4),facs_rezone_max) + tech_6_4*#REF! + tech_10_2*#REF! - IF(#REF!&gt;0,mech_genius_bonus,0) + race_rezone_cost) *#REF!,0)</f>
        <v>#REF!</v>
      </c>
      <c r="Y97" s="39" t="e">
        <f>#REF!*#REF!</f>
        <v>#REF!</v>
      </c>
      <c r="Z97" s="207"/>
      <c r="AA97" s="39" t="e">
        <f>250+0.6*(#REF!-250)</f>
        <v>#REF!</v>
      </c>
      <c r="AB97" s="207"/>
      <c r="AC97" s="132" t="e">
        <f>#REF!</f>
        <v>#REF!</v>
      </c>
    </row>
    <row r="98" spans="1:29" x14ac:dyDescent="0.25">
      <c r="A98" s="206" t="e">
        <f>#REF!</f>
        <v>#REF!</v>
      </c>
      <c r="B98" s="208" t="e">
        <f>#REF!</f>
        <v>#REF!</v>
      </c>
      <c r="C98" s="166" t="e">
        <f>#REF!</f>
        <v>#REF!</v>
      </c>
      <c r="D98" s="341" t="e">
        <f>#REF!</f>
        <v>#REF!</v>
      </c>
      <c r="E98" s="345" t="e">
        <f>#REF!</f>
        <v>#REF!</v>
      </c>
      <c r="F98" s="349" t="e">
        <f>#REF!</f>
        <v>#REF!</v>
      </c>
      <c r="G98" s="169" t="e">
        <f>#REF!</f>
        <v>#REF!</v>
      </c>
      <c r="H98" s="170" t="e">
        <f>#REF!</f>
        <v>#REF!</v>
      </c>
      <c r="I98" s="207"/>
      <c r="J98" s="160">
        <f t="shared" si="3"/>
        <v>95</v>
      </c>
      <c r="K98" s="227" t="e">
        <f>#REF!</f>
        <v>#REF!</v>
      </c>
      <c r="L98" s="164"/>
      <c r="M98" s="164"/>
      <c r="N98" s="164"/>
      <c r="O98" s="164"/>
      <c r="P98" s="164"/>
      <c r="Q98" s="164"/>
      <c r="R98" s="164"/>
      <c r="S98" s="39" t="e">
        <f>SUMIF(#REF!,"&gt;0")</f>
        <v>#REF!</v>
      </c>
      <c r="T98" s="61" t="e">
        <f>IF(SUM(#REF!)=0,"Ok","Nope")</f>
        <v>#REF!</v>
      </c>
      <c r="U98" s="207"/>
      <c r="V98" s="39" t="e">
        <f>#REF!</f>
        <v>#REF!</v>
      </c>
      <c r="W98" s="207"/>
      <c r="X98" s="39" t="e">
        <f>ROUNDUP( (1-MIN(ROUND(facs_rezone_factor*#REF!,4),facs_rezone_max) + tech_6_4*#REF! + tech_10_2*#REF! - IF(#REF!&gt;0,mech_genius_bonus,0) + race_rezone_cost) *#REF!,0)</f>
        <v>#REF!</v>
      </c>
      <c r="Y98" s="39" t="e">
        <f>#REF!*#REF!</f>
        <v>#REF!</v>
      </c>
      <c r="Z98" s="207"/>
      <c r="AA98" s="39" t="e">
        <f>250+0.6*(#REF!-250)</f>
        <v>#REF!</v>
      </c>
      <c r="AB98" s="207"/>
      <c r="AC98" s="132" t="e">
        <f>#REF!</f>
        <v>#REF!</v>
      </c>
    </row>
    <row r="99" spans="1:29" x14ac:dyDescent="0.25">
      <c r="A99" s="206" t="e">
        <f>#REF!</f>
        <v>#REF!</v>
      </c>
      <c r="B99" s="208" t="e">
        <f>#REF!</f>
        <v>#REF!</v>
      </c>
      <c r="C99" s="166" t="e">
        <f>#REF!</f>
        <v>#REF!</v>
      </c>
      <c r="D99" s="341" t="e">
        <f>#REF!</f>
        <v>#REF!</v>
      </c>
      <c r="E99" s="345" t="e">
        <f>#REF!</f>
        <v>#REF!</v>
      </c>
      <c r="F99" s="349" t="e">
        <f>#REF!</f>
        <v>#REF!</v>
      </c>
      <c r="G99" s="169" t="e">
        <f>#REF!</f>
        <v>#REF!</v>
      </c>
      <c r="H99" s="170" t="e">
        <f>#REF!</f>
        <v>#REF!</v>
      </c>
      <c r="I99" s="207"/>
      <c r="J99" s="160">
        <f t="shared" si="3"/>
        <v>96</v>
      </c>
      <c r="K99" s="227" t="e">
        <f>#REF!</f>
        <v>#REF!</v>
      </c>
      <c r="L99" s="164"/>
      <c r="M99" s="164"/>
      <c r="N99" s="164"/>
      <c r="O99" s="164"/>
      <c r="P99" s="164"/>
      <c r="Q99" s="164"/>
      <c r="R99" s="164"/>
      <c r="S99" s="39" t="e">
        <f>SUMIF(#REF!,"&gt;0")</f>
        <v>#REF!</v>
      </c>
      <c r="T99" s="61" t="e">
        <f>IF(SUM(#REF!)=0,"Ok","Nope")</f>
        <v>#REF!</v>
      </c>
      <c r="U99" s="207"/>
      <c r="V99" s="39" t="e">
        <f>#REF!</f>
        <v>#REF!</v>
      </c>
      <c r="W99" s="207"/>
      <c r="X99" s="39" t="e">
        <f>ROUNDUP( (1-MIN(ROUND(facs_rezone_factor*#REF!,4),facs_rezone_max) + tech_6_4*#REF! + tech_10_2*#REF! - IF(#REF!&gt;0,mech_genius_bonus,0) + race_rezone_cost) *#REF!,0)</f>
        <v>#REF!</v>
      </c>
      <c r="Y99" s="39" t="e">
        <f>#REF!*#REF!</f>
        <v>#REF!</v>
      </c>
      <c r="Z99" s="207"/>
      <c r="AA99" s="39" t="e">
        <f>250+0.6*(#REF!-250)</f>
        <v>#REF!</v>
      </c>
      <c r="AB99" s="207"/>
      <c r="AC99" s="132" t="e">
        <f>#REF!</f>
        <v>#REF!</v>
      </c>
    </row>
    <row r="100" spans="1:29" x14ac:dyDescent="0.25">
      <c r="A100" s="206" t="e">
        <f>#REF!</f>
        <v>#REF!</v>
      </c>
      <c r="B100" s="208" t="e">
        <f>#REF!</f>
        <v>#REF!</v>
      </c>
      <c r="C100" s="166" t="e">
        <f>#REF!</f>
        <v>#REF!</v>
      </c>
      <c r="D100" s="341" t="e">
        <f>#REF!</f>
        <v>#REF!</v>
      </c>
      <c r="E100" s="345" t="e">
        <f>#REF!</f>
        <v>#REF!</v>
      </c>
      <c r="F100" s="349" t="e">
        <f>#REF!</f>
        <v>#REF!</v>
      </c>
      <c r="G100" s="169" t="e">
        <f>#REF!</f>
        <v>#REF!</v>
      </c>
      <c r="H100" s="170" t="e">
        <f>#REF!</f>
        <v>#REF!</v>
      </c>
      <c r="I100" s="207"/>
      <c r="J100" s="160">
        <f t="shared" si="3"/>
        <v>97</v>
      </c>
      <c r="K100" s="227" t="e">
        <f>#REF!</f>
        <v>#REF!</v>
      </c>
      <c r="L100" s="164"/>
      <c r="M100" s="164"/>
      <c r="N100" s="164"/>
      <c r="O100" s="164"/>
      <c r="P100" s="164"/>
      <c r="Q100" s="164"/>
      <c r="R100" s="164"/>
      <c r="S100" s="39" t="e">
        <f>SUMIF(#REF!,"&gt;0")</f>
        <v>#REF!</v>
      </c>
      <c r="T100" s="61" t="e">
        <f>IF(SUM(#REF!)=0,"Ok","Nope")</f>
        <v>#REF!</v>
      </c>
      <c r="U100" s="207"/>
      <c r="V100" s="39" t="e">
        <f>#REF!</f>
        <v>#REF!</v>
      </c>
      <c r="W100" s="207"/>
      <c r="X100" s="39" t="e">
        <f>ROUNDUP( (1-MIN(ROUND(facs_rezone_factor*#REF!,4),facs_rezone_max) + tech_6_4*#REF! + tech_10_2*#REF! - IF(#REF!&gt;0,mech_genius_bonus,0) + race_rezone_cost) *#REF!,0)</f>
        <v>#REF!</v>
      </c>
      <c r="Y100" s="39" t="e">
        <f>#REF!*#REF!</f>
        <v>#REF!</v>
      </c>
      <c r="Z100" s="207"/>
      <c r="AA100" s="39" t="e">
        <f>250+0.6*(#REF!-250)</f>
        <v>#REF!</v>
      </c>
      <c r="AB100" s="207"/>
      <c r="AC100" s="132" t="e">
        <f>#REF!</f>
        <v>#REF!</v>
      </c>
    </row>
    <row r="101" spans="1:29" x14ac:dyDescent="0.25">
      <c r="A101" s="206" t="e">
        <f>#REF!</f>
        <v>#REF!</v>
      </c>
      <c r="B101" s="208" t="e">
        <f>#REF!</f>
        <v>#REF!</v>
      </c>
      <c r="C101" s="166" t="e">
        <f>#REF!</f>
        <v>#REF!</v>
      </c>
      <c r="D101" s="341" t="e">
        <f>#REF!</f>
        <v>#REF!</v>
      </c>
      <c r="E101" s="345" t="e">
        <f>#REF!</f>
        <v>#REF!</v>
      </c>
      <c r="F101" s="349" t="e">
        <f>#REF!</f>
        <v>#REF!</v>
      </c>
      <c r="G101" s="169" t="e">
        <f>#REF!</f>
        <v>#REF!</v>
      </c>
      <c r="H101" s="170" t="e">
        <f>#REF!</f>
        <v>#REF!</v>
      </c>
      <c r="I101" s="207"/>
      <c r="J101" s="160">
        <f t="shared" si="3"/>
        <v>98</v>
      </c>
      <c r="K101" s="227" t="e">
        <f>#REF!</f>
        <v>#REF!</v>
      </c>
      <c r="L101" s="164"/>
      <c r="M101" s="164"/>
      <c r="N101" s="164"/>
      <c r="O101" s="164"/>
      <c r="P101" s="164"/>
      <c r="Q101" s="164"/>
      <c r="R101" s="164"/>
      <c r="S101" s="39" t="e">
        <f>SUMIF(#REF!,"&gt;0")</f>
        <v>#REF!</v>
      </c>
      <c r="T101" s="61" t="e">
        <f>IF(SUM(#REF!)=0,"Ok","Nope")</f>
        <v>#REF!</v>
      </c>
      <c r="U101" s="207"/>
      <c r="V101" s="39" t="e">
        <f>#REF!</f>
        <v>#REF!</v>
      </c>
      <c r="W101" s="207"/>
      <c r="X101" s="39" t="e">
        <f>ROUNDUP( (1-MIN(ROUND(facs_rezone_factor*#REF!,4),facs_rezone_max) + tech_6_4*#REF! + tech_10_2*#REF! - IF(#REF!&gt;0,mech_genius_bonus,0) + race_rezone_cost) *#REF!,0)</f>
        <v>#REF!</v>
      </c>
      <c r="Y101" s="39" t="e">
        <f>#REF!*#REF!</f>
        <v>#REF!</v>
      </c>
      <c r="Z101" s="207"/>
      <c r="AA101" s="39" t="e">
        <f>250+0.6*(#REF!-250)</f>
        <v>#REF!</v>
      </c>
      <c r="AB101" s="207"/>
      <c r="AC101" s="132" t="e">
        <f>#REF!</f>
        <v>#REF!</v>
      </c>
    </row>
    <row r="102" spans="1:29" x14ac:dyDescent="0.25">
      <c r="A102" s="206" t="e">
        <f>#REF!</f>
        <v>#REF!</v>
      </c>
      <c r="B102" s="208" t="e">
        <f>#REF!</f>
        <v>#REF!</v>
      </c>
      <c r="C102" s="166" t="e">
        <f>#REF!</f>
        <v>#REF!</v>
      </c>
      <c r="D102" s="341" t="e">
        <f>#REF!</f>
        <v>#REF!</v>
      </c>
      <c r="E102" s="345" t="e">
        <f>#REF!</f>
        <v>#REF!</v>
      </c>
      <c r="F102" s="349" t="e">
        <f>#REF!</f>
        <v>#REF!</v>
      </c>
      <c r="G102" s="169" t="e">
        <f>#REF!</f>
        <v>#REF!</v>
      </c>
      <c r="H102" s="170" t="e">
        <f>#REF!</f>
        <v>#REF!</v>
      </c>
      <c r="I102" s="207"/>
      <c r="J102" s="160">
        <f t="shared" si="3"/>
        <v>99</v>
      </c>
      <c r="K102" s="227" t="e">
        <f>#REF!</f>
        <v>#REF!</v>
      </c>
      <c r="L102" s="164"/>
      <c r="M102" s="164"/>
      <c r="N102" s="164"/>
      <c r="O102" s="164"/>
      <c r="P102" s="164"/>
      <c r="Q102" s="164"/>
      <c r="R102" s="164"/>
      <c r="S102" s="39" t="e">
        <f>SUMIF(#REF!,"&gt;0")</f>
        <v>#REF!</v>
      </c>
      <c r="T102" s="61" t="e">
        <f>IF(SUM(#REF!)=0,"Ok","Nope")</f>
        <v>#REF!</v>
      </c>
      <c r="U102" s="207"/>
      <c r="V102" s="39" t="e">
        <f>#REF!</f>
        <v>#REF!</v>
      </c>
      <c r="W102" s="207"/>
      <c r="X102" s="39" t="e">
        <f>ROUNDUP( (1-MIN(ROUND(facs_rezone_factor*#REF!,4),facs_rezone_max) + tech_6_4*#REF! + tech_10_2*#REF! - IF(#REF!&gt;0,mech_genius_bonus,0) + race_rezone_cost) *#REF!,0)</f>
        <v>#REF!</v>
      </c>
      <c r="Y102" s="39" t="e">
        <f>#REF!*#REF!</f>
        <v>#REF!</v>
      </c>
      <c r="Z102" s="207"/>
      <c r="AA102" s="39" t="e">
        <f>250+0.6*(#REF!-250)</f>
        <v>#REF!</v>
      </c>
      <c r="AB102" s="207"/>
      <c r="AC102" s="132" t="e">
        <f>#REF!</f>
        <v>#REF!</v>
      </c>
    </row>
    <row r="103" spans="1:29" x14ac:dyDescent="0.25">
      <c r="A103" s="206" t="e">
        <f>#REF!</f>
        <v>#REF!</v>
      </c>
      <c r="B103" s="208" t="e">
        <f>#REF!</f>
        <v>#REF!</v>
      </c>
      <c r="C103" s="166" t="e">
        <f>#REF!</f>
        <v>#REF!</v>
      </c>
      <c r="D103" s="341" t="e">
        <f>#REF!</f>
        <v>#REF!</v>
      </c>
      <c r="E103" s="345" t="e">
        <f>#REF!</f>
        <v>#REF!</v>
      </c>
      <c r="F103" s="349" t="e">
        <f>#REF!</f>
        <v>#REF!</v>
      </c>
      <c r="G103" s="169" t="e">
        <f>#REF!</f>
        <v>#REF!</v>
      </c>
      <c r="H103" s="170" t="e">
        <f>#REF!</f>
        <v>#REF!</v>
      </c>
      <c r="I103" s="207"/>
      <c r="J103" s="160">
        <f t="shared" si="3"/>
        <v>100</v>
      </c>
      <c r="K103" s="227" t="e">
        <f>#REF!</f>
        <v>#REF!</v>
      </c>
      <c r="L103" s="164"/>
      <c r="M103" s="164"/>
      <c r="N103" s="164"/>
      <c r="O103" s="164"/>
      <c r="P103" s="164"/>
      <c r="Q103" s="164"/>
      <c r="R103" s="164"/>
      <c r="S103" s="39" t="e">
        <f>SUMIF(#REF!,"&gt;0")</f>
        <v>#REF!</v>
      </c>
      <c r="T103" s="61" t="e">
        <f>IF(SUM(#REF!)=0,"Ok","Nope")</f>
        <v>#REF!</v>
      </c>
      <c r="U103" s="207"/>
      <c r="V103" s="39" t="e">
        <f>#REF!</f>
        <v>#REF!</v>
      </c>
      <c r="W103" s="207"/>
      <c r="X103" s="39" t="e">
        <f>ROUNDUP( (1-MIN(ROUND(facs_rezone_factor*#REF!,4),facs_rezone_max) + tech_6_4*#REF! + tech_10_2*#REF! - IF(#REF!&gt;0,mech_genius_bonus,0) + race_rezone_cost) *#REF!,0)</f>
        <v>#REF!</v>
      </c>
      <c r="Y103" s="39" t="e">
        <f>#REF!*#REF!</f>
        <v>#REF!</v>
      </c>
      <c r="Z103" s="207"/>
      <c r="AA103" s="39" t="e">
        <f>250+0.6*(#REF!-250)</f>
        <v>#REF!</v>
      </c>
      <c r="AB103" s="207"/>
      <c r="AC103" s="132" t="e">
        <f>#REF!</f>
        <v>#REF!</v>
      </c>
    </row>
    <row r="104" spans="1:29" x14ac:dyDescent="0.25">
      <c r="A104" s="206" t="e">
        <f>#REF!</f>
        <v>#REF!</v>
      </c>
      <c r="B104" s="208" t="e">
        <f>#REF!</f>
        <v>#REF!</v>
      </c>
      <c r="C104" s="166" t="e">
        <f>#REF!</f>
        <v>#REF!</v>
      </c>
      <c r="D104" s="341" t="e">
        <f>#REF!</f>
        <v>#REF!</v>
      </c>
      <c r="E104" s="345" t="e">
        <f>#REF!</f>
        <v>#REF!</v>
      </c>
      <c r="F104" s="349" t="e">
        <f>#REF!</f>
        <v>#REF!</v>
      </c>
      <c r="G104" s="169" t="e">
        <f>#REF!</f>
        <v>#REF!</v>
      </c>
      <c r="H104" s="170" t="e">
        <f>#REF!</f>
        <v>#REF!</v>
      </c>
      <c r="I104" s="207"/>
      <c r="J104" s="160">
        <f t="shared" si="3"/>
        <v>101</v>
      </c>
      <c r="K104" s="227" t="e">
        <f>#REF!</f>
        <v>#REF!</v>
      </c>
      <c r="L104" s="164"/>
      <c r="M104" s="164"/>
      <c r="N104" s="164"/>
      <c r="O104" s="164"/>
      <c r="P104" s="164"/>
      <c r="Q104" s="164"/>
      <c r="R104" s="164"/>
      <c r="S104" s="39" t="e">
        <f>SUMIF(#REF!,"&gt;0")</f>
        <v>#REF!</v>
      </c>
      <c r="T104" s="61" t="e">
        <f>IF(SUM(#REF!)=0,"Ok","Nope")</f>
        <v>#REF!</v>
      </c>
      <c r="U104" s="207"/>
      <c r="V104" s="39" t="e">
        <f>#REF!</f>
        <v>#REF!</v>
      </c>
      <c r="W104" s="207"/>
      <c r="X104" s="39" t="e">
        <f>ROUNDUP( (1-MIN(ROUND(facs_rezone_factor*#REF!,4),facs_rezone_max) + tech_6_4*#REF! + tech_10_2*#REF! - IF(#REF!&gt;0,mech_genius_bonus,0) + race_rezone_cost) *#REF!,0)</f>
        <v>#REF!</v>
      </c>
      <c r="Y104" s="39" t="e">
        <f>#REF!*#REF!</f>
        <v>#REF!</v>
      </c>
      <c r="Z104" s="207"/>
      <c r="AA104" s="39" t="e">
        <f>250+0.6*(#REF!-250)</f>
        <v>#REF!</v>
      </c>
      <c r="AB104" s="207"/>
      <c r="AC104" s="132" t="e">
        <f>#REF!</f>
        <v>#REF!</v>
      </c>
    </row>
    <row r="105" spans="1:29" x14ac:dyDescent="0.25">
      <c r="A105" s="206" t="e">
        <f>#REF!</f>
        <v>#REF!</v>
      </c>
      <c r="B105" s="208" t="e">
        <f>#REF!</f>
        <v>#REF!</v>
      </c>
      <c r="C105" s="166" t="e">
        <f>#REF!</f>
        <v>#REF!</v>
      </c>
      <c r="D105" s="341" t="e">
        <f>#REF!</f>
        <v>#REF!</v>
      </c>
      <c r="E105" s="345" t="e">
        <f>#REF!</f>
        <v>#REF!</v>
      </c>
      <c r="F105" s="349" t="e">
        <f>#REF!</f>
        <v>#REF!</v>
      </c>
      <c r="G105" s="169" t="e">
        <f>#REF!</f>
        <v>#REF!</v>
      </c>
      <c r="H105" s="170" t="e">
        <f>#REF!</f>
        <v>#REF!</v>
      </c>
      <c r="I105" s="207"/>
      <c r="J105" s="160">
        <f t="shared" si="3"/>
        <v>102</v>
      </c>
      <c r="K105" s="227" t="e">
        <f>#REF!</f>
        <v>#REF!</v>
      </c>
      <c r="L105" s="164"/>
      <c r="M105" s="164"/>
      <c r="N105" s="164"/>
      <c r="O105" s="164"/>
      <c r="P105" s="164"/>
      <c r="Q105" s="164"/>
      <c r="R105" s="164"/>
      <c r="S105" s="39" t="e">
        <f>SUMIF(#REF!,"&gt;0")</f>
        <v>#REF!</v>
      </c>
      <c r="T105" s="61" t="e">
        <f>IF(SUM(#REF!)=0,"Ok","Nope")</f>
        <v>#REF!</v>
      </c>
      <c r="U105" s="207"/>
      <c r="V105" s="39" t="e">
        <f>#REF!</f>
        <v>#REF!</v>
      </c>
      <c r="W105" s="207"/>
      <c r="X105" s="39" t="e">
        <f>ROUNDUP( (1-MIN(ROUND(facs_rezone_factor*#REF!,4),facs_rezone_max) + tech_6_4*#REF! + tech_10_2*#REF! - IF(#REF!&gt;0,mech_genius_bonus,0) + race_rezone_cost) *#REF!,0)</f>
        <v>#REF!</v>
      </c>
      <c r="Y105" s="39" t="e">
        <f>#REF!*#REF!</f>
        <v>#REF!</v>
      </c>
      <c r="Z105" s="207"/>
      <c r="AA105" s="39" t="e">
        <f>250+0.6*(#REF!-250)</f>
        <v>#REF!</v>
      </c>
      <c r="AB105" s="207"/>
      <c r="AC105" s="132" t="e">
        <f>#REF!</f>
        <v>#REF!</v>
      </c>
    </row>
    <row r="106" spans="1:29" x14ac:dyDescent="0.25">
      <c r="A106" s="206" t="e">
        <f>#REF!</f>
        <v>#REF!</v>
      </c>
      <c r="B106" s="208" t="e">
        <f>#REF!</f>
        <v>#REF!</v>
      </c>
      <c r="C106" s="166" t="e">
        <f>#REF!</f>
        <v>#REF!</v>
      </c>
      <c r="D106" s="341" t="e">
        <f>#REF!</f>
        <v>#REF!</v>
      </c>
      <c r="E106" s="345" t="e">
        <f>#REF!</f>
        <v>#REF!</v>
      </c>
      <c r="F106" s="349" t="e">
        <f>#REF!</f>
        <v>#REF!</v>
      </c>
      <c r="G106" s="169" t="e">
        <f>#REF!</f>
        <v>#REF!</v>
      </c>
      <c r="H106" s="170" t="e">
        <f>#REF!</f>
        <v>#REF!</v>
      </c>
      <c r="I106" s="207"/>
      <c r="J106" s="160">
        <f t="shared" si="3"/>
        <v>103</v>
      </c>
      <c r="K106" s="227" t="e">
        <f>#REF!</f>
        <v>#REF!</v>
      </c>
      <c r="L106" s="164"/>
      <c r="M106" s="164"/>
      <c r="N106" s="164"/>
      <c r="O106" s="164"/>
      <c r="P106" s="164"/>
      <c r="Q106" s="164"/>
      <c r="R106" s="164"/>
      <c r="S106" s="39" t="e">
        <f>SUMIF(#REF!,"&gt;0")</f>
        <v>#REF!</v>
      </c>
      <c r="T106" s="61" t="e">
        <f>IF(SUM(#REF!)=0,"Ok","Nope")</f>
        <v>#REF!</v>
      </c>
      <c r="U106" s="207"/>
      <c r="V106" s="39" t="e">
        <f>#REF!</f>
        <v>#REF!</v>
      </c>
      <c r="W106" s="207"/>
      <c r="X106" s="39" t="e">
        <f>ROUNDUP( (1-MIN(ROUND(facs_rezone_factor*#REF!,4),facs_rezone_max) + tech_6_4*#REF! + tech_10_2*#REF! - IF(#REF!&gt;0,mech_genius_bonus,0) + race_rezone_cost) *#REF!,0)</f>
        <v>#REF!</v>
      </c>
      <c r="Y106" s="39" t="e">
        <f>#REF!*#REF!</f>
        <v>#REF!</v>
      </c>
      <c r="Z106" s="207"/>
      <c r="AA106" s="39" t="e">
        <f>250+0.6*(#REF!-250)</f>
        <v>#REF!</v>
      </c>
      <c r="AB106" s="207"/>
      <c r="AC106" s="132" t="e">
        <f>#REF!</f>
        <v>#REF!</v>
      </c>
    </row>
    <row r="107" spans="1:29" x14ac:dyDescent="0.25">
      <c r="A107" s="206" t="e">
        <f>#REF!</f>
        <v>#REF!</v>
      </c>
      <c r="B107" s="208" t="e">
        <f>#REF!</f>
        <v>#REF!</v>
      </c>
      <c r="C107" s="166" t="e">
        <f>#REF!</f>
        <v>#REF!</v>
      </c>
      <c r="D107" s="341" t="e">
        <f>#REF!</f>
        <v>#REF!</v>
      </c>
      <c r="E107" s="345" t="e">
        <f>#REF!</f>
        <v>#REF!</v>
      </c>
      <c r="F107" s="349" t="e">
        <f>#REF!</f>
        <v>#REF!</v>
      </c>
      <c r="G107" s="169" t="e">
        <f>#REF!</f>
        <v>#REF!</v>
      </c>
      <c r="H107" s="170" t="e">
        <f>#REF!</f>
        <v>#REF!</v>
      </c>
      <c r="I107" s="207"/>
      <c r="J107" s="160">
        <f t="shared" si="3"/>
        <v>104</v>
      </c>
      <c r="K107" s="227" t="e">
        <f>#REF!</f>
        <v>#REF!</v>
      </c>
      <c r="L107" s="164"/>
      <c r="M107" s="164"/>
      <c r="N107" s="164"/>
      <c r="O107" s="164"/>
      <c r="P107" s="164"/>
      <c r="Q107" s="164"/>
      <c r="R107" s="164"/>
      <c r="S107" s="39" t="e">
        <f>SUMIF(#REF!,"&gt;0")</f>
        <v>#REF!</v>
      </c>
      <c r="T107" s="61" t="e">
        <f>IF(SUM(#REF!)=0,"Ok","Nope")</f>
        <v>#REF!</v>
      </c>
      <c r="U107" s="207"/>
      <c r="V107" s="39" t="e">
        <f>#REF!</f>
        <v>#REF!</v>
      </c>
      <c r="W107" s="207"/>
      <c r="X107" s="39" t="e">
        <f>ROUNDUP( (1-MIN(ROUND(facs_rezone_factor*#REF!,4),facs_rezone_max) + tech_6_4*#REF! + tech_10_2*#REF! - IF(#REF!&gt;0,mech_genius_bonus,0) + race_rezone_cost) *#REF!,0)</f>
        <v>#REF!</v>
      </c>
      <c r="Y107" s="39" t="e">
        <f>#REF!*#REF!</f>
        <v>#REF!</v>
      </c>
      <c r="Z107" s="207"/>
      <c r="AA107" s="39" t="e">
        <f>250+0.6*(#REF!-250)</f>
        <v>#REF!</v>
      </c>
      <c r="AB107" s="207"/>
      <c r="AC107" s="132" t="e">
        <f>#REF!</f>
        <v>#REF!</v>
      </c>
    </row>
    <row r="108" spans="1:29" x14ac:dyDescent="0.25">
      <c r="A108" s="206" t="e">
        <f>#REF!</f>
        <v>#REF!</v>
      </c>
      <c r="B108" s="208" t="e">
        <f>#REF!</f>
        <v>#REF!</v>
      </c>
      <c r="C108" s="166" t="e">
        <f>#REF!</f>
        <v>#REF!</v>
      </c>
      <c r="D108" s="341" t="e">
        <f>#REF!</f>
        <v>#REF!</v>
      </c>
      <c r="E108" s="345" t="e">
        <f>#REF!</f>
        <v>#REF!</v>
      </c>
      <c r="F108" s="349" t="e">
        <f>#REF!</f>
        <v>#REF!</v>
      </c>
      <c r="G108" s="169" t="e">
        <f>#REF!</f>
        <v>#REF!</v>
      </c>
      <c r="H108" s="170" t="e">
        <f>#REF!</f>
        <v>#REF!</v>
      </c>
      <c r="I108" s="207"/>
      <c r="J108" s="160">
        <f t="shared" si="3"/>
        <v>105</v>
      </c>
      <c r="K108" s="227" t="e">
        <f>#REF!</f>
        <v>#REF!</v>
      </c>
      <c r="L108" s="164"/>
      <c r="M108" s="164"/>
      <c r="N108" s="164"/>
      <c r="O108" s="164"/>
      <c r="P108" s="164"/>
      <c r="Q108" s="164"/>
      <c r="R108" s="164"/>
      <c r="S108" s="39" t="e">
        <f>SUMIF(#REF!,"&gt;0")</f>
        <v>#REF!</v>
      </c>
      <c r="T108" s="61" t="e">
        <f>IF(SUM(#REF!)=0,"Ok","Nope")</f>
        <v>#REF!</v>
      </c>
      <c r="U108" s="207"/>
      <c r="V108" s="39" t="e">
        <f>#REF!</f>
        <v>#REF!</v>
      </c>
      <c r="W108" s="207"/>
      <c r="X108" s="39" t="e">
        <f>ROUNDUP( (1-MIN(ROUND(facs_rezone_factor*#REF!,4),facs_rezone_max) + tech_6_4*#REF! + tech_10_2*#REF! - IF(#REF!&gt;0,mech_genius_bonus,0) + race_rezone_cost) *#REF!,0)</f>
        <v>#REF!</v>
      </c>
      <c r="Y108" s="39" t="e">
        <f>#REF!*#REF!</f>
        <v>#REF!</v>
      </c>
      <c r="Z108" s="207"/>
      <c r="AA108" s="39" t="e">
        <f>250+0.6*(#REF!-250)</f>
        <v>#REF!</v>
      </c>
      <c r="AB108" s="207"/>
      <c r="AC108" s="132" t="e">
        <f>#REF!</f>
        <v>#REF!</v>
      </c>
    </row>
    <row r="109" spans="1:29" x14ac:dyDescent="0.25">
      <c r="A109" s="206" t="e">
        <f>#REF!</f>
        <v>#REF!</v>
      </c>
      <c r="B109" s="208" t="e">
        <f>#REF!</f>
        <v>#REF!</v>
      </c>
      <c r="C109" s="166" t="e">
        <f>#REF!</f>
        <v>#REF!</v>
      </c>
      <c r="D109" s="341" t="e">
        <f>#REF!</f>
        <v>#REF!</v>
      </c>
      <c r="E109" s="345" t="e">
        <f>#REF!</f>
        <v>#REF!</v>
      </c>
      <c r="F109" s="349" t="e">
        <f>#REF!</f>
        <v>#REF!</v>
      </c>
      <c r="G109" s="169" t="e">
        <f>#REF!</f>
        <v>#REF!</v>
      </c>
      <c r="H109" s="170" t="e">
        <f>#REF!</f>
        <v>#REF!</v>
      </c>
      <c r="I109" s="207"/>
      <c r="J109" s="160">
        <f t="shared" si="3"/>
        <v>106</v>
      </c>
      <c r="K109" s="227" t="e">
        <f>#REF!</f>
        <v>#REF!</v>
      </c>
      <c r="L109" s="164"/>
      <c r="M109" s="164"/>
      <c r="N109" s="164"/>
      <c r="O109" s="164"/>
      <c r="P109" s="164"/>
      <c r="Q109" s="164"/>
      <c r="R109" s="164"/>
      <c r="S109" s="39" t="e">
        <f>SUMIF(#REF!,"&gt;0")</f>
        <v>#REF!</v>
      </c>
      <c r="T109" s="61" t="e">
        <f>IF(SUM(#REF!)=0,"Ok","Nope")</f>
        <v>#REF!</v>
      </c>
      <c r="U109" s="207"/>
      <c r="V109" s="39" t="e">
        <f>#REF!</f>
        <v>#REF!</v>
      </c>
      <c r="W109" s="207"/>
      <c r="X109" s="39" t="e">
        <f>ROUNDUP( (1-MIN(ROUND(facs_rezone_factor*#REF!,4),facs_rezone_max) + tech_6_4*#REF! + tech_10_2*#REF! - IF(#REF!&gt;0,mech_genius_bonus,0) + race_rezone_cost) *#REF!,0)</f>
        <v>#REF!</v>
      </c>
      <c r="Y109" s="39" t="e">
        <f>#REF!*#REF!</f>
        <v>#REF!</v>
      </c>
      <c r="Z109" s="207"/>
      <c r="AA109" s="39" t="e">
        <f>250+0.6*(#REF!-250)</f>
        <v>#REF!</v>
      </c>
      <c r="AB109" s="207"/>
      <c r="AC109" s="132" t="e">
        <f>#REF!</f>
        <v>#REF!</v>
      </c>
    </row>
    <row r="110" spans="1:29" x14ac:dyDescent="0.25">
      <c r="A110" s="206" t="e">
        <f>#REF!</f>
        <v>#REF!</v>
      </c>
      <c r="B110" s="208" t="e">
        <f>#REF!</f>
        <v>#REF!</v>
      </c>
      <c r="C110" s="166" t="e">
        <f>#REF!</f>
        <v>#REF!</v>
      </c>
      <c r="D110" s="341" t="e">
        <f>#REF!</f>
        <v>#REF!</v>
      </c>
      <c r="E110" s="345" t="e">
        <f>#REF!</f>
        <v>#REF!</v>
      </c>
      <c r="F110" s="349" t="e">
        <f>#REF!</f>
        <v>#REF!</v>
      </c>
      <c r="G110" s="169" t="e">
        <f>#REF!</f>
        <v>#REF!</v>
      </c>
      <c r="H110" s="170" t="e">
        <f>#REF!</f>
        <v>#REF!</v>
      </c>
      <c r="I110" s="207"/>
      <c r="J110" s="160">
        <f t="shared" si="3"/>
        <v>107</v>
      </c>
      <c r="K110" s="227" t="e">
        <f>#REF!</f>
        <v>#REF!</v>
      </c>
      <c r="L110" s="164"/>
      <c r="M110" s="164"/>
      <c r="N110" s="164"/>
      <c r="O110" s="164"/>
      <c r="P110" s="164"/>
      <c r="Q110" s="164"/>
      <c r="R110" s="164"/>
      <c r="S110" s="39" t="e">
        <f>SUMIF(#REF!,"&gt;0")</f>
        <v>#REF!</v>
      </c>
      <c r="T110" s="61" t="e">
        <f>IF(SUM(#REF!)=0,"Ok","Nope")</f>
        <v>#REF!</v>
      </c>
      <c r="U110" s="207"/>
      <c r="V110" s="39" t="e">
        <f>#REF!</f>
        <v>#REF!</v>
      </c>
      <c r="W110" s="207"/>
      <c r="X110" s="39" t="e">
        <f>ROUNDUP( (1-MIN(ROUND(facs_rezone_factor*#REF!,4),facs_rezone_max) + tech_6_4*#REF! + tech_10_2*#REF! - IF(#REF!&gt;0,mech_genius_bonus,0) + race_rezone_cost) *#REF!,0)</f>
        <v>#REF!</v>
      </c>
      <c r="Y110" s="39" t="e">
        <f>#REF!*#REF!</f>
        <v>#REF!</v>
      </c>
      <c r="Z110" s="207"/>
      <c r="AA110" s="39" t="e">
        <f>250+0.6*(#REF!-250)</f>
        <v>#REF!</v>
      </c>
      <c r="AB110" s="207"/>
      <c r="AC110" s="132" t="e">
        <f>#REF!</f>
        <v>#REF!</v>
      </c>
    </row>
    <row r="111" spans="1:29" x14ac:dyDescent="0.25">
      <c r="A111" s="206" t="e">
        <f>#REF!</f>
        <v>#REF!</v>
      </c>
      <c r="B111" s="208" t="e">
        <f>#REF!</f>
        <v>#REF!</v>
      </c>
      <c r="C111" s="166" t="e">
        <f>#REF!</f>
        <v>#REF!</v>
      </c>
      <c r="D111" s="341" t="e">
        <f>#REF!</f>
        <v>#REF!</v>
      </c>
      <c r="E111" s="345" t="e">
        <f>#REF!</f>
        <v>#REF!</v>
      </c>
      <c r="F111" s="349" t="e">
        <f>#REF!</f>
        <v>#REF!</v>
      </c>
      <c r="G111" s="169" t="e">
        <f>#REF!</f>
        <v>#REF!</v>
      </c>
      <c r="H111" s="170" t="e">
        <f>#REF!</f>
        <v>#REF!</v>
      </c>
      <c r="I111" s="207"/>
      <c r="J111" s="160">
        <f t="shared" si="3"/>
        <v>108</v>
      </c>
      <c r="K111" s="227" t="e">
        <f>#REF!</f>
        <v>#REF!</v>
      </c>
      <c r="L111" s="164"/>
      <c r="M111" s="164"/>
      <c r="N111" s="164"/>
      <c r="O111" s="164"/>
      <c r="P111" s="164"/>
      <c r="Q111" s="164"/>
      <c r="R111" s="164"/>
      <c r="S111" s="39" t="e">
        <f>SUMIF(#REF!,"&gt;0")</f>
        <v>#REF!</v>
      </c>
      <c r="T111" s="61" t="e">
        <f>IF(SUM(#REF!)=0,"Ok","Nope")</f>
        <v>#REF!</v>
      </c>
      <c r="U111" s="207"/>
      <c r="V111" s="39" t="e">
        <f>#REF!</f>
        <v>#REF!</v>
      </c>
      <c r="W111" s="207"/>
      <c r="X111" s="39" t="e">
        <f>ROUNDUP( (1-MIN(ROUND(facs_rezone_factor*#REF!,4),facs_rezone_max) + tech_6_4*#REF! + tech_10_2*#REF! - IF(#REF!&gt;0,mech_genius_bonus,0) + race_rezone_cost) *#REF!,0)</f>
        <v>#REF!</v>
      </c>
      <c r="Y111" s="39" t="e">
        <f>#REF!*#REF!</f>
        <v>#REF!</v>
      </c>
      <c r="Z111" s="207"/>
      <c r="AA111" s="39" t="e">
        <f>250+0.6*(#REF!-250)</f>
        <v>#REF!</v>
      </c>
      <c r="AB111" s="207"/>
      <c r="AC111" s="132" t="e">
        <f>#REF!</f>
        <v>#REF!</v>
      </c>
    </row>
    <row r="112" spans="1:29" x14ac:dyDescent="0.25">
      <c r="A112" s="206" t="e">
        <f>#REF!</f>
        <v>#REF!</v>
      </c>
      <c r="B112" s="208" t="e">
        <f>#REF!</f>
        <v>#REF!</v>
      </c>
      <c r="C112" s="166" t="e">
        <f>#REF!</f>
        <v>#REF!</v>
      </c>
      <c r="D112" s="341" t="e">
        <f>#REF!</f>
        <v>#REF!</v>
      </c>
      <c r="E112" s="345" t="e">
        <f>#REF!</f>
        <v>#REF!</v>
      </c>
      <c r="F112" s="349" t="e">
        <f>#REF!</f>
        <v>#REF!</v>
      </c>
      <c r="G112" s="169" t="e">
        <f>#REF!</f>
        <v>#REF!</v>
      </c>
      <c r="H112" s="170" t="e">
        <f>#REF!</f>
        <v>#REF!</v>
      </c>
      <c r="I112" s="207"/>
      <c r="J112" s="160">
        <f t="shared" si="3"/>
        <v>109</v>
      </c>
      <c r="K112" s="227" t="e">
        <f>#REF!</f>
        <v>#REF!</v>
      </c>
      <c r="L112" s="164"/>
      <c r="M112" s="164"/>
      <c r="N112" s="164"/>
      <c r="O112" s="164"/>
      <c r="P112" s="164"/>
      <c r="Q112" s="164"/>
      <c r="R112" s="164"/>
      <c r="S112" s="39" t="e">
        <f>SUMIF(#REF!,"&gt;0")</f>
        <v>#REF!</v>
      </c>
      <c r="T112" s="61" t="e">
        <f>IF(SUM(#REF!)=0,"Ok","Nope")</f>
        <v>#REF!</v>
      </c>
      <c r="U112" s="207"/>
      <c r="V112" s="39" t="e">
        <f>#REF!</f>
        <v>#REF!</v>
      </c>
      <c r="W112" s="207"/>
      <c r="X112" s="39" t="e">
        <f>ROUNDUP( (1-MIN(ROUND(facs_rezone_factor*#REF!,4),facs_rezone_max) + tech_6_4*#REF! + tech_10_2*#REF! - IF(#REF!&gt;0,mech_genius_bonus,0) + race_rezone_cost) *#REF!,0)</f>
        <v>#REF!</v>
      </c>
      <c r="Y112" s="39" t="e">
        <f>#REF!*#REF!</f>
        <v>#REF!</v>
      </c>
      <c r="Z112" s="207"/>
      <c r="AA112" s="39" t="e">
        <f>250+0.6*(#REF!-250)</f>
        <v>#REF!</v>
      </c>
      <c r="AB112" s="207"/>
      <c r="AC112" s="132" t="e">
        <f>#REF!</f>
        <v>#REF!</v>
      </c>
    </row>
    <row r="113" spans="1:29" x14ac:dyDescent="0.25">
      <c r="A113" s="206" t="e">
        <f>#REF!</f>
        <v>#REF!</v>
      </c>
      <c r="B113" s="208" t="e">
        <f>#REF!</f>
        <v>#REF!</v>
      </c>
      <c r="C113" s="166" t="e">
        <f>#REF!</f>
        <v>#REF!</v>
      </c>
      <c r="D113" s="341" t="e">
        <f>#REF!</f>
        <v>#REF!</v>
      </c>
      <c r="E113" s="345" t="e">
        <f>#REF!</f>
        <v>#REF!</v>
      </c>
      <c r="F113" s="349" t="e">
        <f>#REF!</f>
        <v>#REF!</v>
      </c>
      <c r="G113" s="169" t="e">
        <f>#REF!</f>
        <v>#REF!</v>
      </c>
      <c r="H113" s="170" t="e">
        <f>#REF!</f>
        <v>#REF!</v>
      </c>
      <c r="I113" s="207"/>
      <c r="J113" s="160">
        <f t="shared" si="3"/>
        <v>110</v>
      </c>
      <c r="K113" s="227" t="e">
        <f>#REF!</f>
        <v>#REF!</v>
      </c>
      <c r="L113" s="164"/>
      <c r="M113" s="164"/>
      <c r="N113" s="164"/>
      <c r="O113" s="164"/>
      <c r="P113" s="164"/>
      <c r="Q113" s="164"/>
      <c r="R113" s="164"/>
      <c r="S113" s="39" t="e">
        <f>SUMIF(#REF!,"&gt;0")</f>
        <v>#REF!</v>
      </c>
      <c r="T113" s="61" t="e">
        <f>IF(SUM(#REF!)=0,"Ok","Nope")</f>
        <v>#REF!</v>
      </c>
      <c r="U113" s="207"/>
      <c r="V113" s="39" t="e">
        <f>#REF!</f>
        <v>#REF!</v>
      </c>
      <c r="W113" s="207"/>
      <c r="X113" s="39" t="e">
        <f>ROUNDUP( (1-MIN(ROUND(facs_rezone_factor*#REF!,4),facs_rezone_max) + tech_6_4*#REF! + tech_10_2*#REF! - IF(#REF!&gt;0,mech_genius_bonus,0) + race_rezone_cost) *#REF!,0)</f>
        <v>#REF!</v>
      </c>
      <c r="Y113" s="39" t="e">
        <f>#REF!*#REF!</f>
        <v>#REF!</v>
      </c>
      <c r="Z113" s="207"/>
      <c r="AA113" s="39" t="e">
        <f>250+0.6*(#REF!-250)</f>
        <v>#REF!</v>
      </c>
      <c r="AB113" s="207"/>
      <c r="AC113" s="132" t="e">
        <f>#REF!</f>
        <v>#REF!</v>
      </c>
    </row>
    <row r="114" spans="1:29" x14ac:dyDescent="0.25">
      <c r="A114" s="206" t="e">
        <f>#REF!</f>
        <v>#REF!</v>
      </c>
      <c r="B114" s="208" t="e">
        <f>#REF!</f>
        <v>#REF!</v>
      </c>
      <c r="C114" s="166" t="e">
        <f>#REF!</f>
        <v>#REF!</v>
      </c>
      <c r="D114" s="341" t="e">
        <f>#REF!</f>
        <v>#REF!</v>
      </c>
      <c r="E114" s="345" t="e">
        <f>#REF!</f>
        <v>#REF!</v>
      </c>
      <c r="F114" s="349" t="e">
        <f>#REF!</f>
        <v>#REF!</v>
      </c>
      <c r="G114" s="169" t="e">
        <f>#REF!</f>
        <v>#REF!</v>
      </c>
      <c r="H114" s="170" t="e">
        <f>#REF!</f>
        <v>#REF!</v>
      </c>
      <c r="I114" s="207"/>
      <c r="J114" s="160">
        <f t="shared" si="3"/>
        <v>111</v>
      </c>
      <c r="K114" s="227" t="e">
        <f>#REF!</f>
        <v>#REF!</v>
      </c>
      <c r="L114" s="164"/>
      <c r="M114" s="164"/>
      <c r="N114" s="164"/>
      <c r="O114" s="164"/>
      <c r="P114" s="164"/>
      <c r="Q114" s="164"/>
      <c r="R114" s="164"/>
      <c r="S114" s="39" t="e">
        <f>SUMIF(#REF!,"&gt;0")</f>
        <v>#REF!</v>
      </c>
      <c r="T114" s="61" t="e">
        <f>IF(SUM(#REF!)=0,"Ok","Nope")</f>
        <v>#REF!</v>
      </c>
      <c r="U114" s="207"/>
      <c r="V114" s="39" t="e">
        <f>#REF!</f>
        <v>#REF!</v>
      </c>
      <c r="W114" s="207"/>
      <c r="X114" s="39" t="e">
        <f>ROUNDUP( (1-MIN(ROUND(facs_rezone_factor*#REF!,4),facs_rezone_max) + tech_6_4*#REF! + tech_10_2*#REF! - IF(#REF!&gt;0,mech_genius_bonus,0) + race_rezone_cost) *#REF!,0)</f>
        <v>#REF!</v>
      </c>
      <c r="Y114" s="39" t="e">
        <f>#REF!*#REF!</f>
        <v>#REF!</v>
      </c>
      <c r="Z114" s="207"/>
      <c r="AA114" s="39" t="e">
        <f>250+0.6*(#REF!-250)</f>
        <v>#REF!</v>
      </c>
      <c r="AB114" s="207"/>
      <c r="AC114" s="132" t="e">
        <f>#REF!</f>
        <v>#REF!</v>
      </c>
    </row>
    <row r="115" spans="1:29" x14ac:dyDescent="0.25">
      <c r="A115" s="206" t="e">
        <f>#REF!</f>
        <v>#REF!</v>
      </c>
      <c r="B115" s="208" t="e">
        <f>#REF!</f>
        <v>#REF!</v>
      </c>
      <c r="C115" s="166" t="e">
        <f>#REF!</f>
        <v>#REF!</v>
      </c>
      <c r="D115" s="341" t="e">
        <f>#REF!</f>
        <v>#REF!</v>
      </c>
      <c r="E115" s="345" t="e">
        <f>#REF!</f>
        <v>#REF!</v>
      </c>
      <c r="F115" s="349" t="e">
        <f>#REF!</f>
        <v>#REF!</v>
      </c>
      <c r="G115" s="169" t="e">
        <f>#REF!</f>
        <v>#REF!</v>
      </c>
      <c r="H115" s="170" t="e">
        <f>#REF!</f>
        <v>#REF!</v>
      </c>
      <c r="I115" s="207"/>
      <c r="J115" s="160">
        <f t="shared" si="3"/>
        <v>112</v>
      </c>
      <c r="K115" s="227" t="e">
        <f>#REF!</f>
        <v>#REF!</v>
      </c>
      <c r="L115" s="164"/>
      <c r="M115" s="164"/>
      <c r="N115" s="164"/>
      <c r="O115" s="164"/>
      <c r="P115" s="164"/>
      <c r="Q115" s="164"/>
      <c r="R115" s="164"/>
      <c r="S115" s="39" t="e">
        <f>SUMIF(#REF!,"&gt;0")</f>
        <v>#REF!</v>
      </c>
      <c r="T115" s="61" t="e">
        <f>IF(SUM(#REF!)=0,"Ok","Nope")</f>
        <v>#REF!</v>
      </c>
      <c r="U115" s="207"/>
      <c r="V115" s="39" t="e">
        <f>#REF!</f>
        <v>#REF!</v>
      </c>
      <c r="W115" s="207"/>
      <c r="X115" s="39" t="e">
        <f>ROUNDUP( (1-MIN(ROUND(facs_rezone_factor*#REF!,4),facs_rezone_max) + tech_6_4*#REF! + tech_10_2*#REF! - IF(#REF!&gt;0,mech_genius_bonus,0) + race_rezone_cost) *#REF!,0)</f>
        <v>#REF!</v>
      </c>
      <c r="Y115" s="39" t="e">
        <f>#REF!*#REF!</f>
        <v>#REF!</v>
      </c>
      <c r="Z115" s="207"/>
      <c r="AA115" s="39" t="e">
        <f>250+0.6*(#REF!-250)</f>
        <v>#REF!</v>
      </c>
      <c r="AB115" s="207"/>
      <c r="AC115" s="132" t="e">
        <f>#REF!</f>
        <v>#REF!</v>
      </c>
    </row>
    <row r="116" spans="1:29" x14ac:dyDescent="0.25">
      <c r="A116" s="206" t="e">
        <f>#REF!</f>
        <v>#REF!</v>
      </c>
      <c r="B116" s="208" t="e">
        <f>#REF!</f>
        <v>#REF!</v>
      </c>
      <c r="C116" s="166" t="e">
        <f>#REF!</f>
        <v>#REF!</v>
      </c>
      <c r="D116" s="341" t="e">
        <f>#REF!</f>
        <v>#REF!</v>
      </c>
      <c r="E116" s="345" t="e">
        <f>#REF!</f>
        <v>#REF!</v>
      </c>
      <c r="F116" s="349" t="e">
        <f>#REF!</f>
        <v>#REF!</v>
      </c>
      <c r="G116" s="169" t="e">
        <f>#REF!</f>
        <v>#REF!</v>
      </c>
      <c r="H116" s="170" t="e">
        <f>#REF!</f>
        <v>#REF!</v>
      </c>
      <c r="I116" s="207"/>
      <c r="J116" s="160">
        <f t="shared" si="3"/>
        <v>113</v>
      </c>
      <c r="K116" s="227" t="e">
        <f>#REF!</f>
        <v>#REF!</v>
      </c>
      <c r="L116" s="164"/>
      <c r="M116" s="164"/>
      <c r="N116" s="164"/>
      <c r="O116" s="164"/>
      <c r="P116" s="164"/>
      <c r="Q116" s="164"/>
      <c r="R116" s="164"/>
      <c r="S116" s="39" t="e">
        <f>SUMIF(#REF!,"&gt;0")</f>
        <v>#REF!</v>
      </c>
      <c r="T116" s="61" t="e">
        <f>IF(SUM(#REF!)=0,"Ok","Nope")</f>
        <v>#REF!</v>
      </c>
      <c r="U116" s="207"/>
      <c r="V116" s="39" t="e">
        <f>#REF!</f>
        <v>#REF!</v>
      </c>
      <c r="W116" s="207"/>
      <c r="X116" s="39" t="e">
        <f>ROUNDUP( (1-MIN(ROUND(facs_rezone_factor*#REF!,4),facs_rezone_max) + tech_6_4*#REF! + tech_10_2*#REF! - IF(#REF!&gt;0,mech_genius_bonus,0) + race_rezone_cost) *#REF!,0)</f>
        <v>#REF!</v>
      </c>
      <c r="Y116" s="39" t="e">
        <f>#REF!*#REF!</f>
        <v>#REF!</v>
      </c>
      <c r="Z116" s="207"/>
      <c r="AA116" s="39" t="e">
        <f>250+0.6*(#REF!-250)</f>
        <v>#REF!</v>
      </c>
      <c r="AB116" s="207"/>
      <c r="AC116" s="132" t="e">
        <f>#REF!</f>
        <v>#REF!</v>
      </c>
    </row>
    <row r="117" spans="1:29" x14ac:dyDescent="0.25">
      <c r="A117" s="206" t="e">
        <f>#REF!</f>
        <v>#REF!</v>
      </c>
      <c r="B117" s="208" t="e">
        <f>#REF!</f>
        <v>#REF!</v>
      </c>
      <c r="C117" s="166" t="e">
        <f>#REF!</f>
        <v>#REF!</v>
      </c>
      <c r="D117" s="341" t="e">
        <f>#REF!</f>
        <v>#REF!</v>
      </c>
      <c r="E117" s="345" t="e">
        <f>#REF!</f>
        <v>#REF!</v>
      </c>
      <c r="F117" s="349" t="e">
        <f>#REF!</f>
        <v>#REF!</v>
      </c>
      <c r="G117" s="169" t="e">
        <f>#REF!</f>
        <v>#REF!</v>
      </c>
      <c r="H117" s="170" t="e">
        <f>#REF!</f>
        <v>#REF!</v>
      </c>
      <c r="I117" s="207"/>
      <c r="J117" s="160">
        <f t="shared" si="3"/>
        <v>114</v>
      </c>
      <c r="K117" s="227" t="e">
        <f>#REF!</f>
        <v>#REF!</v>
      </c>
      <c r="L117" s="164"/>
      <c r="M117" s="164"/>
      <c r="N117" s="164"/>
      <c r="O117" s="164"/>
      <c r="P117" s="164"/>
      <c r="Q117" s="164"/>
      <c r="R117" s="164"/>
      <c r="S117" s="39" t="e">
        <f>SUMIF(#REF!,"&gt;0")</f>
        <v>#REF!</v>
      </c>
      <c r="T117" s="61" t="e">
        <f>IF(SUM(#REF!)=0,"Ok","Nope")</f>
        <v>#REF!</v>
      </c>
      <c r="U117" s="207"/>
      <c r="V117" s="39" t="e">
        <f>#REF!</f>
        <v>#REF!</v>
      </c>
      <c r="W117" s="207"/>
      <c r="X117" s="39" t="e">
        <f>ROUNDUP( (1-MIN(ROUND(facs_rezone_factor*#REF!,4),facs_rezone_max) + tech_6_4*#REF! + tech_10_2*#REF! - IF(#REF!&gt;0,mech_genius_bonus,0) + race_rezone_cost) *#REF!,0)</f>
        <v>#REF!</v>
      </c>
      <c r="Y117" s="39" t="e">
        <f>#REF!*#REF!</f>
        <v>#REF!</v>
      </c>
      <c r="Z117" s="207"/>
      <c r="AA117" s="39" t="e">
        <f>250+0.6*(#REF!-250)</f>
        <v>#REF!</v>
      </c>
      <c r="AB117" s="207"/>
      <c r="AC117" s="132" t="e">
        <f>#REF!</f>
        <v>#REF!</v>
      </c>
    </row>
    <row r="118" spans="1:29" x14ac:dyDescent="0.25">
      <c r="A118" s="206" t="e">
        <f>#REF!</f>
        <v>#REF!</v>
      </c>
      <c r="B118" s="208" t="e">
        <f>#REF!</f>
        <v>#REF!</v>
      </c>
      <c r="C118" s="166" t="e">
        <f>#REF!</f>
        <v>#REF!</v>
      </c>
      <c r="D118" s="341" t="e">
        <f>#REF!</f>
        <v>#REF!</v>
      </c>
      <c r="E118" s="345" t="e">
        <f>#REF!</f>
        <v>#REF!</v>
      </c>
      <c r="F118" s="349" t="e">
        <f>#REF!</f>
        <v>#REF!</v>
      </c>
      <c r="G118" s="169" t="e">
        <f>#REF!</f>
        <v>#REF!</v>
      </c>
      <c r="H118" s="170" t="e">
        <f>#REF!</f>
        <v>#REF!</v>
      </c>
      <c r="I118" s="207"/>
      <c r="J118" s="160">
        <f t="shared" si="3"/>
        <v>115</v>
      </c>
      <c r="K118" s="227" t="e">
        <f>#REF!</f>
        <v>#REF!</v>
      </c>
      <c r="L118" s="164"/>
      <c r="M118" s="164"/>
      <c r="N118" s="164"/>
      <c r="O118" s="164"/>
      <c r="P118" s="164"/>
      <c r="Q118" s="164"/>
      <c r="R118" s="164"/>
      <c r="S118" s="39" t="e">
        <f>SUMIF(#REF!,"&gt;0")</f>
        <v>#REF!</v>
      </c>
      <c r="T118" s="61" t="e">
        <f>IF(SUM(#REF!)=0,"Ok","Nope")</f>
        <v>#REF!</v>
      </c>
      <c r="U118" s="207"/>
      <c r="V118" s="39" t="e">
        <f>#REF!</f>
        <v>#REF!</v>
      </c>
      <c r="W118" s="207"/>
      <c r="X118" s="39" t="e">
        <f>ROUNDUP( (1-MIN(ROUND(facs_rezone_factor*#REF!,4),facs_rezone_max) + tech_6_4*#REF! + tech_10_2*#REF! - IF(#REF!&gt;0,mech_genius_bonus,0) + race_rezone_cost) *#REF!,0)</f>
        <v>#REF!</v>
      </c>
      <c r="Y118" s="39" t="e">
        <f>#REF!*#REF!</f>
        <v>#REF!</v>
      </c>
      <c r="Z118" s="207"/>
      <c r="AA118" s="39" t="e">
        <f>250+0.6*(#REF!-250)</f>
        <v>#REF!</v>
      </c>
      <c r="AB118" s="207"/>
      <c r="AC118" s="132" t="e">
        <f>#REF!</f>
        <v>#REF!</v>
      </c>
    </row>
    <row r="119" spans="1:29" x14ac:dyDescent="0.25">
      <c r="A119" s="206" t="e">
        <f>#REF!</f>
        <v>#REF!</v>
      </c>
      <c r="B119" s="208" t="e">
        <f>#REF!</f>
        <v>#REF!</v>
      </c>
      <c r="C119" s="166" t="e">
        <f>#REF!</f>
        <v>#REF!</v>
      </c>
      <c r="D119" s="341" t="e">
        <f>#REF!</f>
        <v>#REF!</v>
      </c>
      <c r="E119" s="345" t="e">
        <f>#REF!</f>
        <v>#REF!</v>
      </c>
      <c r="F119" s="349" t="e">
        <f>#REF!</f>
        <v>#REF!</v>
      </c>
      <c r="G119" s="169" t="e">
        <f>#REF!</f>
        <v>#REF!</v>
      </c>
      <c r="H119" s="170" t="e">
        <f>#REF!</f>
        <v>#REF!</v>
      </c>
      <c r="I119" s="207"/>
      <c r="J119" s="160">
        <f t="shared" si="3"/>
        <v>116</v>
      </c>
      <c r="K119" s="227" t="e">
        <f>#REF!</f>
        <v>#REF!</v>
      </c>
      <c r="L119" s="164"/>
      <c r="M119" s="164"/>
      <c r="N119" s="164"/>
      <c r="O119" s="164"/>
      <c r="P119" s="164"/>
      <c r="Q119" s="164"/>
      <c r="R119" s="164"/>
      <c r="S119" s="39" t="e">
        <f>SUMIF(#REF!,"&gt;0")</f>
        <v>#REF!</v>
      </c>
      <c r="T119" s="61" t="e">
        <f>IF(SUM(#REF!)=0,"Ok","Nope")</f>
        <v>#REF!</v>
      </c>
      <c r="U119" s="207"/>
      <c r="V119" s="39" t="e">
        <f>#REF!</f>
        <v>#REF!</v>
      </c>
      <c r="W119" s="207"/>
      <c r="X119" s="39" t="e">
        <f>ROUNDUP( (1-MIN(ROUND(facs_rezone_factor*#REF!,4),facs_rezone_max) + tech_6_4*#REF! + tech_10_2*#REF! - IF(#REF!&gt;0,mech_genius_bonus,0) + race_rezone_cost) *#REF!,0)</f>
        <v>#REF!</v>
      </c>
      <c r="Y119" s="39" t="e">
        <f>#REF!*#REF!</f>
        <v>#REF!</v>
      </c>
      <c r="Z119" s="207"/>
      <c r="AA119" s="39" t="e">
        <f>250+0.6*(#REF!-250)</f>
        <v>#REF!</v>
      </c>
      <c r="AB119" s="207"/>
      <c r="AC119" s="132" t="e">
        <f>#REF!</f>
        <v>#REF!</v>
      </c>
    </row>
    <row r="120" spans="1:29" x14ac:dyDescent="0.25">
      <c r="A120" s="206" t="e">
        <f>#REF!</f>
        <v>#REF!</v>
      </c>
      <c r="B120" s="208" t="e">
        <f>#REF!</f>
        <v>#REF!</v>
      </c>
      <c r="C120" s="166" t="e">
        <f>#REF!</f>
        <v>#REF!</v>
      </c>
      <c r="D120" s="341" t="e">
        <f>#REF!</f>
        <v>#REF!</v>
      </c>
      <c r="E120" s="345" t="e">
        <f>#REF!</f>
        <v>#REF!</v>
      </c>
      <c r="F120" s="349" t="e">
        <f>#REF!</f>
        <v>#REF!</v>
      </c>
      <c r="G120" s="169" t="e">
        <f>#REF!</f>
        <v>#REF!</v>
      </c>
      <c r="H120" s="170" t="e">
        <f>#REF!</f>
        <v>#REF!</v>
      </c>
      <c r="I120" s="207"/>
      <c r="J120" s="160">
        <f t="shared" si="3"/>
        <v>117</v>
      </c>
      <c r="K120" s="227" t="e">
        <f>#REF!</f>
        <v>#REF!</v>
      </c>
      <c r="L120" s="164"/>
      <c r="M120" s="164"/>
      <c r="N120" s="164"/>
      <c r="O120" s="164"/>
      <c r="P120" s="164"/>
      <c r="Q120" s="164"/>
      <c r="R120" s="164"/>
      <c r="S120" s="39" t="e">
        <f>SUMIF(#REF!,"&gt;0")</f>
        <v>#REF!</v>
      </c>
      <c r="T120" s="61" t="e">
        <f>IF(SUM(#REF!)=0,"Ok","Nope")</f>
        <v>#REF!</v>
      </c>
      <c r="U120" s="207"/>
      <c r="V120" s="39" t="e">
        <f>#REF!</f>
        <v>#REF!</v>
      </c>
      <c r="W120" s="207"/>
      <c r="X120" s="39" t="e">
        <f>ROUNDUP( (1-MIN(ROUND(facs_rezone_factor*#REF!,4),facs_rezone_max) + tech_6_4*#REF! + tech_10_2*#REF! - IF(#REF!&gt;0,mech_genius_bonus,0) + race_rezone_cost) *#REF!,0)</f>
        <v>#REF!</v>
      </c>
      <c r="Y120" s="39" t="e">
        <f>#REF!*#REF!</f>
        <v>#REF!</v>
      </c>
      <c r="Z120" s="207"/>
      <c r="AA120" s="39" t="e">
        <f>250+0.6*(#REF!-250)</f>
        <v>#REF!</v>
      </c>
      <c r="AB120" s="207"/>
      <c r="AC120" s="132" t="e">
        <f>#REF!</f>
        <v>#REF!</v>
      </c>
    </row>
    <row r="121" spans="1:29" x14ac:dyDescent="0.25">
      <c r="A121" s="206" t="e">
        <f>#REF!</f>
        <v>#REF!</v>
      </c>
      <c r="B121" s="208" t="e">
        <f>#REF!</f>
        <v>#REF!</v>
      </c>
      <c r="C121" s="166" t="e">
        <f>#REF!</f>
        <v>#REF!</v>
      </c>
      <c r="D121" s="341" t="e">
        <f>#REF!</f>
        <v>#REF!</v>
      </c>
      <c r="E121" s="345" t="e">
        <f>#REF!</f>
        <v>#REF!</v>
      </c>
      <c r="F121" s="349" t="e">
        <f>#REF!</f>
        <v>#REF!</v>
      </c>
      <c r="G121" s="169" t="e">
        <f>#REF!</f>
        <v>#REF!</v>
      </c>
      <c r="H121" s="170" t="e">
        <f>#REF!</f>
        <v>#REF!</v>
      </c>
      <c r="I121" s="207"/>
      <c r="J121" s="160">
        <f t="shared" si="3"/>
        <v>118</v>
      </c>
      <c r="K121" s="227" t="e">
        <f>#REF!</f>
        <v>#REF!</v>
      </c>
      <c r="L121" s="164"/>
      <c r="M121" s="164"/>
      <c r="N121" s="164"/>
      <c r="O121" s="164"/>
      <c r="P121" s="164"/>
      <c r="Q121" s="164"/>
      <c r="R121" s="164"/>
      <c r="S121" s="39" t="e">
        <f>SUMIF(#REF!,"&gt;0")</f>
        <v>#REF!</v>
      </c>
      <c r="T121" s="61" t="e">
        <f>IF(SUM(#REF!)=0,"Ok","Nope")</f>
        <v>#REF!</v>
      </c>
      <c r="U121" s="207"/>
      <c r="V121" s="39" t="e">
        <f>#REF!</f>
        <v>#REF!</v>
      </c>
      <c r="W121" s="207"/>
      <c r="X121" s="39" t="e">
        <f>ROUNDUP( (1-MIN(ROUND(facs_rezone_factor*#REF!,4),facs_rezone_max) + tech_6_4*#REF! + tech_10_2*#REF! - IF(#REF!&gt;0,mech_genius_bonus,0) + race_rezone_cost) *#REF!,0)</f>
        <v>#REF!</v>
      </c>
      <c r="Y121" s="39" t="e">
        <f>#REF!*#REF!</f>
        <v>#REF!</v>
      </c>
      <c r="Z121" s="207"/>
      <c r="AA121" s="39" t="e">
        <f>250+0.6*(#REF!-250)</f>
        <v>#REF!</v>
      </c>
      <c r="AB121" s="207"/>
      <c r="AC121" s="132" t="e">
        <f>#REF!</f>
        <v>#REF!</v>
      </c>
    </row>
    <row r="122" spans="1:29" x14ac:dyDescent="0.25">
      <c r="A122" s="206" t="e">
        <f>#REF!</f>
        <v>#REF!</v>
      </c>
      <c r="B122" s="208" t="e">
        <f>#REF!</f>
        <v>#REF!</v>
      </c>
      <c r="C122" s="166" t="e">
        <f>#REF!</f>
        <v>#REF!</v>
      </c>
      <c r="D122" s="341" t="e">
        <f>#REF!</f>
        <v>#REF!</v>
      </c>
      <c r="E122" s="345" t="e">
        <f>#REF!</f>
        <v>#REF!</v>
      </c>
      <c r="F122" s="349" t="e">
        <f>#REF!</f>
        <v>#REF!</v>
      </c>
      <c r="G122" s="169" t="e">
        <f>#REF!</f>
        <v>#REF!</v>
      </c>
      <c r="H122" s="170" t="e">
        <f>#REF!</f>
        <v>#REF!</v>
      </c>
      <c r="I122" s="207"/>
      <c r="J122" s="160">
        <f t="shared" si="3"/>
        <v>119</v>
      </c>
      <c r="K122" s="227" t="e">
        <f>#REF!</f>
        <v>#REF!</v>
      </c>
      <c r="L122" s="164"/>
      <c r="M122" s="164"/>
      <c r="N122" s="164"/>
      <c r="O122" s="164"/>
      <c r="P122" s="164"/>
      <c r="Q122" s="164"/>
      <c r="R122" s="164"/>
      <c r="S122" s="39" t="e">
        <f>SUMIF(#REF!,"&gt;0")</f>
        <v>#REF!</v>
      </c>
      <c r="T122" s="61" t="e">
        <f>IF(SUM(#REF!)=0,"Ok","Nope")</f>
        <v>#REF!</v>
      </c>
      <c r="U122" s="207"/>
      <c r="V122" s="39" t="e">
        <f>#REF!</f>
        <v>#REF!</v>
      </c>
      <c r="W122" s="207"/>
      <c r="X122" s="39" t="e">
        <f>ROUNDUP( (1-MIN(ROUND(facs_rezone_factor*#REF!,4),facs_rezone_max) + tech_6_4*#REF! + tech_10_2*#REF! - IF(#REF!&gt;0,mech_genius_bonus,0) + race_rezone_cost) *#REF!,0)</f>
        <v>#REF!</v>
      </c>
      <c r="Y122" s="39" t="e">
        <f>#REF!*#REF!</f>
        <v>#REF!</v>
      </c>
      <c r="Z122" s="207"/>
      <c r="AA122" s="39" t="e">
        <f>250+0.6*(#REF!-250)</f>
        <v>#REF!</v>
      </c>
      <c r="AB122" s="207"/>
      <c r="AC122" s="132" t="e">
        <f>#REF!</f>
        <v>#REF!</v>
      </c>
    </row>
    <row r="123" spans="1:29" x14ac:dyDescent="0.25">
      <c r="A123" s="206" t="e">
        <f>#REF!</f>
        <v>#REF!</v>
      </c>
      <c r="B123" s="208" t="e">
        <f>#REF!</f>
        <v>#REF!</v>
      </c>
      <c r="C123" s="166" t="e">
        <f>#REF!</f>
        <v>#REF!</v>
      </c>
      <c r="D123" s="341" t="e">
        <f>#REF!</f>
        <v>#REF!</v>
      </c>
      <c r="E123" s="345" t="e">
        <f>#REF!</f>
        <v>#REF!</v>
      </c>
      <c r="F123" s="349" t="e">
        <f>#REF!</f>
        <v>#REF!</v>
      </c>
      <c r="G123" s="169" t="e">
        <f>#REF!</f>
        <v>#REF!</v>
      </c>
      <c r="H123" s="170" t="e">
        <f>#REF!</f>
        <v>#REF!</v>
      </c>
      <c r="I123" s="207"/>
      <c r="J123" s="160">
        <f t="shared" si="3"/>
        <v>120</v>
      </c>
      <c r="K123" s="227" t="e">
        <f>#REF!</f>
        <v>#REF!</v>
      </c>
      <c r="L123" s="164"/>
      <c r="M123" s="164"/>
      <c r="N123" s="164"/>
      <c r="O123" s="164"/>
      <c r="P123" s="164"/>
      <c r="Q123" s="164"/>
      <c r="R123" s="164"/>
      <c r="S123" s="39" t="e">
        <f>SUMIF(#REF!,"&gt;0")</f>
        <v>#REF!</v>
      </c>
      <c r="T123" s="61" t="e">
        <f>IF(SUM(#REF!)=0,"Ok","Nope")</f>
        <v>#REF!</v>
      </c>
      <c r="U123" s="207"/>
      <c r="V123" s="39" t="e">
        <f>#REF!</f>
        <v>#REF!</v>
      </c>
      <c r="W123" s="207"/>
      <c r="X123" s="39" t="e">
        <f>ROUNDUP( (1-MIN(ROUND(facs_rezone_factor*#REF!,4),facs_rezone_max) + tech_6_4*#REF! + tech_10_2*#REF! - IF(#REF!&gt;0,mech_genius_bonus,0) + race_rezone_cost) *#REF!,0)</f>
        <v>#REF!</v>
      </c>
      <c r="Y123" s="39" t="e">
        <f>#REF!*#REF!</f>
        <v>#REF!</v>
      </c>
      <c r="Z123" s="207"/>
      <c r="AA123" s="39" t="e">
        <f>250+0.6*(#REF!-250)</f>
        <v>#REF!</v>
      </c>
      <c r="AB123" s="207"/>
      <c r="AC123" s="132" t="e">
        <f>#REF!</f>
        <v>#REF!</v>
      </c>
    </row>
    <row r="124" spans="1:29" x14ac:dyDescent="0.25">
      <c r="A124" s="206" t="e">
        <f>#REF!</f>
        <v>#REF!</v>
      </c>
      <c r="B124" s="208" t="e">
        <f>#REF!</f>
        <v>#REF!</v>
      </c>
      <c r="C124" s="166" t="e">
        <f>#REF!</f>
        <v>#REF!</v>
      </c>
      <c r="D124" s="341" t="e">
        <f>#REF!</f>
        <v>#REF!</v>
      </c>
      <c r="E124" s="345" t="e">
        <f>#REF!</f>
        <v>#REF!</v>
      </c>
      <c r="F124" s="349" t="e">
        <f>#REF!</f>
        <v>#REF!</v>
      </c>
      <c r="G124" s="169" t="e">
        <f>#REF!</f>
        <v>#REF!</v>
      </c>
      <c r="H124" s="170" t="e">
        <f>#REF!</f>
        <v>#REF!</v>
      </c>
      <c r="I124" s="207"/>
      <c r="J124" s="160">
        <f t="shared" si="3"/>
        <v>121</v>
      </c>
      <c r="K124" s="227" t="e">
        <f>#REF!</f>
        <v>#REF!</v>
      </c>
      <c r="L124" s="164"/>
      <c r="M124" s="164"/>
      <c r="N124" s="164"/>
      <c r="O124" s="164"/>
      <c r="P124" s="164"/>
      <c r="Q124" s="164"/>
      <c r="R124" s="164"/>
      <c r="S124" s="39" t="e">
        <f>SUMIF(#REF!,"&gt;0")</f>
        <v>#REF!</v>
      </c>
      <c r="T124" s="61" t="e">
        <f>IF(SUM(#REF!)=0,"Ok","Nope")</f>
        <v>#REF!</v>
      </c>
      <c r="U124" s="207"/>
      <c r="V124" s="39" t="e">
        <f>#REF!</f>
        <v>#REF!</v>
      </c>
      <c r="W124" s="207"/>
      <c r="X124" s="39" t="e">
        <f>ROUNDUP( (1-MIN(ROUND(facs_rezone_factor*#REF!,4),facs_rezone_max) + tech_6_4*#REF! + tech_10_2*#REF! - IF(#REF!&gt;0,mech_genius_bonus,0) + race_rezone_cost) *#REF!,0)</f>
        <v>#REF!</v>
      </c>
      <c r="Y124" s="39" t="e">
        <f>#REF!*#REF!</f>
        <v>#REF!</v>
      </c>
      <c r="Z124" s="207"/>
      <c r="AA124" s="39" t="e">
        <f>250+0.6*(#REF!-250)</f>
        <v>#REF!</v>
      </c>
      <c r="AB124" s="207"/>
      <c r="AC124" s="132" t="e">
        <f>#REF!</f>
        <v>#REF!</v>
      </c>
    </row>
    <row r="125" spans="1:29" x14ac:dyDescent="0.25">
      <c r="A125" s="206" t="e">
        <f>#REF!</f>
        <v>#REF!</v>
      </c>
      <c r="B125" s="208" t="e">
        <f>#REF!</f>
        <v>#REF!</v>
      </c>
      <c r="C125" s="166" t="e">
        <f>#REF!</f>
        <v>#REF!</v>
      </c>
      <c r="D125" s="341" t="e">
        <f>#REF!</f>
        <v>#REF!</v>
      </c>
      <c r="E125" s="345" t="e">
        <f>#REF!</f>
        <v>#REF!</v>
      </c>
      <c r="F125" s="349" t="e">
        <f>#REF!</f>
        <v>#REF!</v>
      </c>
      <c r="G125" s="169" t="e">
        <f>#REF!</f>
        <v>#REF!</v>
      </c>
      <c r="H125" s="170" t="e">
        <f>#REF!</f>
        <v>#REF!</v>
      </c>
      <c r="I125" s="207"/>
      <c r="J125" s="160">
        <f t="shared" si="3"/>
        <v>122</v>
      </c>
      <c r="K125" s="227" t="e">
        <f>#REF!</f>
        <v>#REF!</v>
      </c>
      <c r="L125" s="164"/>
      <c r="M125" s="164"/>
      <c r="N125" s="164"/>
      <c r="O125" s="164"/>
      <c r="P125" s="164"/>
      <c r="Q125" s="164"/>
      <c r="R125" s="164"/>
      <c r="S125" s="39" t="e">
        <f>SUMIF(#REF!,"&gt;0")</f>
        <v>#REF!</v>
      </c>
      <c r="T125" s="61" t="e">
        <f>IF(SUM(#REF!)=0,"Ok","Nope")</f>
        <v>#REF!</v>
      </c>
      <c r="U125" s="207"/>
      <c r="V125" s="39" t="e">
        <f>#REF!</f>
        <v>#REF!</v>
      </c>
      <c r="W125" s="207"/>
      <c r="X125" s="39" t="e">
        <f>ROUNDUP( (1-MIN(ROUND(facs_rezone_factor*#REF!,4),facs_rezone_max) + tech_6_4*#REF! + tech_10_2*#REF! - IF(#REF!&gt;0,mech_genius_bonus,0) + race_rezone_cost) *#REF!,0)</f>
        <v>#REF!</v>
      </c>
      <c r="Y125" s="39" t="e">
        <f>#REF!*#REF!</f>
        <v>#REF!</v>
      </c>
      <c r="Z125" s="207"/>
      <c r="AA125" s="39" t="e">
        <f>250+0.6*(#REF!-250)</f>
        <v>#REF!</v>
      </c>
      <c r="AB125" s="207"/>
      <c r="AC125" s="132" t="e">
        <f>#REF!</f>
        <v>#REF!</v>
      </c>
    </row>
    <row r="126" spans="1:29" x14ac:dyDescent="0.25">
      <c r="A126" s="206" t="e">
        <f>#REF!</f>
        <v>#REF!</v>
      </c>
      <c r="B126" s="208" t="e">
        <f>#REF!</f>
        <v>#REF!</v>
      </c>
      <c r="C126" s="166" t="e">
        <f>#REF!</f>
        <v>#REF!</v>
      </c>
      <c r="D126" s="341" t="e">
        <f>#REF!</f>
        <v>#REF!</v>
      </c>
      <c r="E126" s="345" t="e">
        <f>#REF!</f>
        <v>#REF!</v>
      </c>
      <c r="F126" s="349" t="e">
        <f>#REF!</f>
        <v>#REF!</v>
      </c>
      <c r="G126" s="169" t="e">
        <f>#REF!</f>
        <v>#REF!</v>
      </c>
      <c r="H126" s="170" t="e">
        <f>#REF!</f>
        <v>#REF!</v>
      </c>
      <c r="I126" s="207"/>
      <c r="J126" s="160">
        <f t="shared" si="3"/>
        <v>123</v>
      </c>
      <c r="K126" s="227" t="e">
        <f>#REF!</f>
        <v>#REF!</v>
      </c>
      <c r="L126" s="164"/>
      <c r="M126" s="164"/>
      <c r="N126" s="164"/>
      <c r="O126" s="164"/>
      <c r="P126" s="164"/>
      <c r="Q126" s="164"/>
      <c r="R126" s="164"/>
      <c r="S126" s="39" t="e">
        <f>SUMIF(#REF!,"&gt;0")</f>
        <v>#REF!</v>
      </c>
      <c r="T126" s="61" t="e">
        <f>IF(SUM(#REF!)=0,"Ok","Nope")</f>
        <v>#REF!</v>
      </c>
      <c r="U126" s="207"/>
      <c r="V126" s="39" t="e">
        <f>#REF!</f>
        <v>#REF!</v>
      </c>
      <c r="W126" s="207"/>
      <c r="X126" s="39" t="e">
        <f>ROUNDUP( (1-MIN(ROUND(facs_rezone_factor*#REF!,4),facs_rezone_max) + tech_6_4*#REF! + tech_10_2*#REF! - IF(#REF!&gt;0,mech_genius_bonus,0) + race_rezone_cost) *#REF!,0)</f>
        <v>#REF!</v>
      </c>
      <c r="Y126" s="39" t="e">
        <f>#REF!*#REF!</f>
        <v>#REF!</v>
      </c>
      <c r="Z126" s="207"/>
      <c r="AA126" s="39" t="e">
        <f>250+0.6*(#REF!-250)</f>
        <v>#REF!</v>
      </c>
      <c r="AB126" s="207"/>
      <c r="AC126" s="132" t="e">
        <f>#REF!</f>
        <v>#REF!</v>
      </c>
    </row>
    <row r="127" spans="1:29" x14ac:dyDescent="0.25">
      <c r="A127" s="206" t="e">
        <f>#REF!</f>
        <v>#REF!</v>
      </c>
      <c r="B127" s="208" t="e">
        <f>#REF!</f>
        <v>#REF!</v>
      </c>
      <c r="C127" s="166" t="e">
        <f>#REF!</f>
        <v>#REF!</v>
      </c>
      <c r="D127" s="341" t="e">
        <f>#REF!</f>
        <v>#REF!</v>
      </c>
      <c r="E127" s="345" t="e">
        <f>#REF!</f>
        <v>#REF!</v>
      </c>
      <c r="F127" s="349" t="e">
        <f>#REF!</f>
        <v>#REF!</v>
      </c>
      <c r="G127" s="169" t="e">
        <f>#REF!</f>
        <v>#REF!</v>
      </c>
      <c r="H127" s="170" t="e">
        <f>#REF!</f>
        <v>#REF!</v>
      </c>
      <c r="I127" s="207"/>
      <c r="J127" s="160">
        <f t="shared" si="3"/>
        <v>124</v>
      </c>
      <c r="K127" s="227" t="e">
        <f>#REF!</f>
        <v>#REF!</v>
      </c>
      <c r="L127" s="164"/>
      <c r="M127" s="164"/>
      <c r="N127" s="164"/>
      <c r="O127" s="164"/>
      <c r="P127" s="164"/>
      <c r="Q127" s="164"/>
      <c r="R127" s="164"/>
      <c r="S127" s="39" t="e">
        <f>SUMIF(#REF!,"&gt;0")</f>
        <v>#REF!</v>
      </c>
      <c r="T127" s="61" t="e">
        <f>IF(SUM(#REF!)=0,"Ok","Nope")</f>
        <v>#REF!</v>
      </c>
      <c r="U127" s="207"/>
      <c r="V127" s="39" t="e">
        <f>#REF!</f>
        <v>#REF!</v>
      </c>
      <c r="W127" s="207"/>
      <c r="X127" s="39" t="e">
        <f>ROUNDUP( (1-MIN(ROUND(facs_rezone_factor*#REF!,4),facs_rezone_max) + tech_6_4*#REF! + tech_10_2*#REF! - IF(#REF!&gt;0,mech_genius_bonus,0) + race_rezone_cost) *#REF!,0)</f>
        <v>#REF!</v>
      </c>
      <c r="Y127" s="39" t="e">
        <f>#REF!*#REF!</f>
        <v>#REF!</v>
      </c>
      <c r="Z127" s="207"/>
      <c r="AA127" s="39" t="e">
        <f>250+0.6*(#REF!-250)</f>
        <v>#REF!</v>
      </c>
      <c r="AB127" s="207"/>
      <c r="AC127" s="132" t="e">
        <f>#REF!</f>
        <v>#REF!</v>
      </c>
    </row>
    <row r="128" spans="1:29" x14ac:dyDescent="0.25">
      <c r="A128" s="206" t="e">
        <f>#REF!</f>
        <v>#REF!</v>
      </c>
      <c r="B128" s="208" t="e">
        <f>#REF!</f>
        <v>#REF!</v>
      </c>
      <c r="C128" s="166" t="e">
        <f>#REF!</f>
        <v>#REF!</v>
      </c>
      <c r="D128" s="341" t="e">
        <f>#REF!</f>
        <v>#REF!</v>
      </c>
      <c r="E128" s="345" t="e">
        <f>#REF!</f>
        <v>#REF!</v>
      </c>
      <c r="F128" s="349" t="e">
        <f>#REF!</f>
        <v>#REF!</v>
      </c>
      <c r="G128" s="169" t="e">
        <f>#REF!</f>
        <v>#REF!</v>
      </c>
      <c r="H128" s="170" t="e">
        <f>#REF!</f>
        <v>#REF!</v>
      </c>
      <c r="I128" s="207"/>
      <c r="J128" s="160">
        <f t="shared" si="3"/>
        <v>125</v>
      </c>
      <c r="K128" s="227" t="e">
        <f>#REF!</f>
        <v>#REF!</v>
      </c>
      <c r="L128" s="164"/>
      <c r="M128" s="164"/>
      <c r="N128" s="164"/>
      <c r="O128" s="164"/>
      <c r="P128" s="164"/>
      <c r="Q128" s="164"/>
      <c r="R128" s="164"/>
      <c r="S128" s="39" t="e">
        <f>SUMIF(#REF!,"&gt;0")</f>
        <v>#REF!</v>
      </c>
      <c r="T128" s="61" t="e">
        <f>IF(SUM(#REF!)=0,"Ok","Nope")</f>
        <v>#REF!</v>
      </c>
      <c r="U128" s="207"/>
      <c r="V128" s="39" t="e">
        <f>#REF!</f>
        <v>#REF!</v>
      </c>
      <c r="W128" s="207"/>
      <c r="X128" s="39" t="e">
        <f>ROUNDUP( (1-MIN(ROUND(facs_rezone_factor*#REF!,4),facs_rezone_max) + tech_6_4*#REF! + tech_10_2*#REF! - IF(#REF!&gt;0,mech_genius_bonus,0) + race_rezone_cost) *#REF!,0)</f>
        <v>#REF!</v>
      </c>
      <c r="Y128" s="39" t="e">
        <f>#REF!*#REF!</f>
        <v>#REF!</v>
      </c>
      <c r="Z128" s="207"/>
      <c r="AA128" s="39" t="e">
        <f>250+0.6*(#REF!-250)</f>
        <v>#REF!</v>
      </c>
      <c r="AB128" s="207"/>
      <c r="AC128" s="132" t="e">
        <f>#REF!</f>
        <v>#REF!</v>
      </c>
    </row>
    <row r="129" spans="1:29" x14ac:dyDescent="0.25">
      <c r="A129" s="206" t="e">
        <f>#REF!</f>
        <v>#REF!</v>
      </c>
      <c r="B129" s="208" t="e">
        <f>#REF!</f>
        <v>#REF!</v>
      </c>
      <c r="C129" s="166" t="e">
        <f>#REF!</f>
        <v>#REF!</v>
      </c>
      <c r="D129" s="341" t="e">
        <f>#REF!</f>
        <v>#REF!</v>
      </c>
      <c r="E129" s="345" t="e">
        <f>#REF!</f>
        <v>#REF!</v>
      </c>
      <c r="F129" s="349" t="e">
        <f>#REF!</f>
        <v>#REF!</v>
      </c>
      <c r="G129" s="169" t="e">
        <f>#REF!</f>
        <v>#REF!</v>
      </c>
      <c r="H129" s="170" t="e">
        <f>#REF!</f>
        <v>#REF!</v>
      </c>
      <c r="I129" s="207"/>
      <c r="J129" s="160">
        <f t="shared" si="3"/>
        <v>126</v>
      </c>
      <c r="K129" s="227" t="e">
        <f>#REF!</f>
        <v>#REF!</v>
      </c>
      <c r="L129" s="164"/>
      <c r="M129" s="164"/>
      <c r="N129" s="164"/>
      <c r="O129" s="164"/>
      <c r="P129" s="164"/>
      <c r="Q129" s="164"/>
      <c r="R129" s="164"/>
      <c r="S129" s="39" t="e">
        <f>SUMIF(#REF!,"&gt;0")</f>
        <v>#REF!</v>
      </c>
      <c r="T129" s="61" t="e">
        <f>IF(SUM(#REF!)=0,"Ok","Nope")</f>
        <v>#REF!</v>
      </c>
      <c r="U129" s="207"/>
      <c r="V129" s="39" t="e">
        <f>#REF!</f>
        <v>#REF!</v>
      </c>
      <c r="W129" s="207"/>
      <c r="X129" s="39" t="e">
        <f>ROUNDUP( (1-MIN(ROUND(facs_rezone_factor*#REF!,4),facs_rezone_max) + tech_6_4*#REF! + tech_10_2*#REF! - IF(#REF!&gt;0,mech_genius_bonus,0) + race_rezone_cost) *#REF!,0)</f>
        <v>#REF!</v>
      </c>
      <c r="Y129" s="39" t="e">
        <f>#REF!*#REF!</f>
        <v>#REF!</v>
      </c>
      <c r="Z129" s="207"/>
      <c r="AA129" s="39" t="e">
        <f>250+0.6*(#REF!-250)</f>
        <v>#REF!</v>
      </c>
      <c r="AB129" s="207"/>
      <c r="AC129" s="132" t="e">
        <f>#REF!</f>
        <v>#REF!</v>
      </c>
    </row>
    <row r="130" spans="1:29" x14ac:dyDescent="0.25">
      <c r="A130" s="206" t="e">
        <f>#REF!</f>
        <v>#REF!</v>
      </c>
      <c r="B130" s="208" t="e">
        <f>#REF!</f>
        <v>#REF!</v>
      </c>
      <c r="C130" s="166" t="e">
        <f>#REF!</f>
        <v>#REF!</v>
      </c>
      <c r="D130" s="341" t="e">
        <f>#REF!</f>
        <v>#REF!</v>
      </c>
      <c r="E130" s="345" t="e">
        <f>#REF!</f>
        <v>#REF!</v>
      </c>
      <c r="F130" s="349" t="e">
        <f>#REF!</f>
        <v>#REF!</v>
      </c>
      <c r="G130" s="169" t="e">
        <f>#REF!</f>
        <v>#REF!</v>
      </c>
      <c r="H130" s="170" t="e">
        <f>#REF!</f>
        <v>#REF!</v>
      </c>
      <c r="I130" s="207"/>
      <c r="J130" s="160">
        <f t="shared" si="3"/>
        <v>127</v>
      </c>
      <c r="K130" s="227" t="e">
        <f>#REF!</f>
        <v>#REF!</v>
      </c>
      <c r="L130" s="164"/>
      <c r="M130" s="164"/>
      <c r="N130" s="164"/>
      <c r="O130" s="164"/>
      <c r="P130" s="164"/>
      <c r="Q130" s="164"/>
      <c r="R130" s="164"/>
      <c r="S130" s="39" t="e">
        <f>SUMIF(#REF!,"&gt;0")</f>
        <v>#REF!</v>
      </c>
      <c r="T130" s="61" t="e">
        <f>IF(SUM(#REF!)=0,"Ok","Nope")</f>
        <v>#REF!</v>
      </c>
      <c r="U130" s="207"/>
      <c r="V130" s="39" t="e">
        <f>#REF!</f>
        <v>#REF!</v>
      </c>
      <c r="W130" s="207"/>
      <c r="X130" s="39" t="e">
        <f>ROUNDUP( (1-MIN(ROUND(facs_rezone_factor*#REF!,4),facs_rezone_max) + tech_6_4*#REF! + tech_10_2*#REF! - IF(#REF!&gt;0,mech_genius_bonus,0) + race_rezone_cost) *#REF!,0)</f>
        <v>#REF!</v>
      </c>
      <c r="Y130" s="39" t="e">
        <f>#REF!*#REF!</f>
        <v>#REF!</v>
      </c>
      <c r="Z130" s="207"/>
      <c r="AA130" s="39" t="e">
        <f>250+0.6*(#REF!-250)</f>
        <v>#REF!</v>
      </c>
      <c r="AB130" s="207"/>
      <c r="AC130" s="132" t="e">
        <f>#REF!</f>
        <v>#REF!</v>
      </c>
    </row>
    <row r="131" spans="1:29" x14ac:dyDescent="0.25">
      <c r="A131" s="206" t="e">
        <f>#REF!</f>
        <v>#REF!</v>
      </c>
      <c r="B131" s="208" t="e">
        <f>#REF!</f>
        <v>#REF!</v>
      </c>
      <c r="C131" s="166" t="e">
        <f>#REF!</f>
        <v>#REF!</v>
      </c>
      <c r="D131" s="341" t="e">
        <f>#REF!</f>
        <v>#REF!</v>
      </c>
      <c r="E131" s="345" t="e">
        <f>#REF!</f>
        <v>#REF!</v>
      </c>
      <c r="F131" s="349" t="e">
        <f>#REF!</f>
        <v>#REF!</v>
      </c>
      <c r="G131" s="169" t="e">
        <f>#REF!</f>
        <v>#REF!</v>
      </c>
      <c r="H131" s="170" t="e">
        <f>#REF!</f>
        <v>#REF!</v>
      </c>
      <c r="I131" s="207"/>
      <c r="J131" s="160">
        <f t="shared" si="3"/>
        <v>128</v>
      </c>
      <c r="K131" s="227" t="e">
        <f>#REF!</f>
        <v>#REF!</v>
      </c>
      <c r="L131" s="164"/>
      <c r="M131" s="164"/>
      <c r="N131" s="164"/>
      <c r="O131" s="164"/>
      <c r="P131" s="164"/>
      <c r="Q131" s="164"/>
      <c r="R131" s="164"/>
      <c r="S131" s="39" t="e">
        <f>SUMIF(#REF!,"&gt;0")</f>
        <v>#REF!</v>
      </c>
      <c r="T131" s="61" t="e">
        <f>IF(SUM(#REF!)=0,"Ok","Nope")</f>
        <v>#REF!</v>
      </c>
      <c r="U131" s="207"/>
      <c r="V131" s="39" t="e">
        <f>#REF!</f>
        <v>#REF!</v>
      </c>
      <c r="W131" s="207"/>
      <c r="X131" s="39" t="e">
        <f>ROUNDUP( (1-MIN(ROUND(facs_rezone_factor*#REF!,4),facs_rezone_max) + tech_6_4*#REF! + tech_10_2*#REF! - IF(#REF!&gt;0,mech_genius_bonus,0) + race_rezone_cost) *#REF!,0)</f>
        <v>#REF!</v>
      </c>
      <c r="Y131" s="39" t="e">
        <f>#REF!*#REF!</f>
        <v>#REF!</v>
      </c>
      <c r="Z131" s="207"/>
      <c r="AA131" s="39" t="e">
        <f>250+0.6*(#REF!-250)</f>
        <v>#REF!</v>
      </c>
      <c r="AB131" s="207"/>
      <c r="AC131" s="132" t="e">
        <f>#REF!</f>
        <v>#REF!</v>
      </c>
    </row>
    <row r="132" spans="1:29" x14ac:dyDescent="0.25">
      <c r="A132" s="206" t="e">
        <f>#REF!</f>
        <v>#REF!</v>
      </c>
      <c r="B132" s="208" t="e">
        <f>#REF!</f>
        <v>#REF!</v>
      </c>
      <c r="C132" s="166" t="e">
        <f>#REF!</f>
        <v>#REF!</v>
      </c>
      <c r="D132" s="341" t="e">
        <f>#REF!</f>
        <v>#REF!</v>
      </c>
      <c r="E132" s="345" t="e">
        <f>#REF!</f>
        <v>#REF!</v>
      </c>
      <c r="F132" s="349" t="e">
        <f>#REF!</f>
        <v>#REF!</v>
      </c>
      <c r="G132" s="169" t="e">
        <f>#REF!</f>
        <v>#REF!</v>
      </c>
      <c r="H132" s="170" t="e">
        <f>#REF!</f>
        <v>#REF!</v>
      </c>
      <c r="I132" s="207"/>
      <c r="J132" s="160">
        <f t="shared" si="3"/>
        <v>129</v>
      </c>
      <c r="K132" s="227" t="e">
        <f>#REF!</f>
        <v>#REF!</v>
      </c>
      <c r="L132" s="164"/>
      <c r="M132" s="164"/>
      <c r="N132" s="164"/>
      <c r="O132" s="164"/>
      <c r="P132" s="164"/>
      <c r="Q132" s="164"/>
      <c r="R132" s="164"/>
      <c r="S132" s="39" t="e">
        <f>SUMIF(#REF!,"&gt;0")</f>
        <v>#REF!</v>
      </c>
      <c r="T132" s="61" t="e">
        <f>IF(SUM(#REF!)=0,"Ok","Nope")</f>
        <v>#REF!</v>
      </c>
      <c r="U132" s="207"/>
      <c r="V132" s="39" t="e">
        <f>#REF!</f>
        <v>#REF!</v>
      </c>
      <c r="W132" s="207"/>
      <c r="X132" s="39" t="e">
        <f>ROUNDUP( (1-MIN(ROUND(facs_rezone_factor*#REF!,4),facs_rezone_max) + tech_6_4*#REF! + tech_10_2*#REF! - IF(#REF!&gt;0,mech_genius_bonus,0) + race_rezone_cost) *#REF!,0)</f>
        <v>#REF!</v>
      </c>
      <c r="Y132" s="39" t="e">
        <f>#REF!*#REF!</f>
        <v>#REF!</v>
      </c>
      <c r="Z132" s="207"/>
      <c r="AA132" s="39" t="e">
        <f>250+0.6*(#REF!-250)</f>
        <v>#REF!</v>
      </c>
      <c r="AB132" s="207"/>
      <c r="AC132" s="132" t="e">
        <f>#REF!</f>
        <v>#REF!</v>
      </c>
    </row>
    <row r="133" spans="1:29" x14ac:dyDescent="0.25">
      <c r="A133" s="206" t="e">
        <f>#REF!</f>
        <v>#REF!</v>
      </c>
      <c r="B133" s="208" t="e">
        <f>#REF!</f>
        <v>#REF!</v>
      </c>
      <c r="C133" s="166" t="e">
        <f>#REF!</f>
        <v>#REF!</v>
      </c>
      <c r="D133" s="341" t="e">
        <f>#REF!</f>
        <v>#REF!</v>
      </c>
      <c r="E133" s="345" t="e">
        <f>#REF!</f>
        <v>#REF!</v>
      </c>
      <c r="F133" s="349" t="e">
        <f>#REF!</f>
        <v>#REF!</v>
      </c>
      <c r="G133" s="169" t="e">
        <f>#REF!</f>
        <v>#REF!</v>
      </c>
      <c r="H133" s="170" t="e">
        <f>#REF!</f>
        <v>#REF!</v>
      </c>
      <c r="I133" s="207"/>
      <c r="J133" s="160">
        <f t="shared" si="3"/>
        <v>130</v>
      </c>
      <c r="K133" s="227" t="e">
        <f>#REF!</f>
        <v>#REF!</v>
      </c>
      <c r="L133" s="164"/>
      <c r="M133" s="164"/>
      <c r="N133" s="164"/>
      <c r="O133" s="164"/>
      <c r="P133" s="164"/>
      <c r="Q133" s="164"/>
      <c r="R133" s="164"/>
      <c r="S133" s="39" t="e">
        <f>SUMIF(#REF!,"&gt;0")</f>
        <v>#REF!</v>
      </c>
      <c r="T133" s="61" t="e">
        <f>IF(SUM(#REF!)=0,"Ok","Nope")</f>
        <v>#REF!</v>
      </c>
      <c r="U133" s="207"/>
      <c r="V133" s="39" t="e">
        <f>#REF!</f>
        <v>#REF!</v>
      </c>
      <c r="W133" s="207"/>
      <c r="X133" s="39" t="e">
        <f>ROUNDUP( (1-MIN(ROUND(facs_rezone_factor*#REF!,4),facs_rezone_max) + tech_6_4*#REF! + tech_10_2*#REF! - IF(#REF!&gt;0,mech_genius_bonus,0) + race_rezone_cost) *#REF!,0)</f>
        <v>#REF!</v>
      </c>
      <c r="Y133" s="39" t="e">
        <f>#REF!*#REF!</f>
        <v>#REF!</v>
      </c>
      <c r="Z133" s="207"/>
      <c r="AA133" s="39" t="e">
        <f>250+0.6*(#REF!-250)</f>
        <v>#REF!</v>
      </c>
      <c r="AB133" s="207"/>
      <c r="AC133" s="132" t="e">
        <f>#REF!</f>
        <v>#REF!</v>
      </c>
    </row>
    <row r="134" spans="1:29" x14ac:dyDescent="0.25">
      <c r="A134" s="206" t="e">
        <f>#REF!</f>
        <v>#REF!</v>
      </c>
      <c r="B134" s="208" t="e">
        <f>#REF!</f>
        <v>#REF!</v>
      </c>
      <c r="C134" s="166" t="e">
        <f>#REF!</f>
        <v>#REF!</v>
      </c>
      <c r="D134" s="341" t="e">
        <f>#REF!</f>
        <v>#REF!</v>
      </c>
      <c r="E134" s="345" t="e">
        <f>#REF!</f>
        <v>#REF!</v>
      </c>
      <c r="F134" s="349" t="e">
        <f>#REF!</f>
        <v>#REF!</v>
      </c>
      <c r="G134" s="169" t="e">
        <f>#REF!</f>
        <v>#REF!</v>
      </c>
      <c r="H134" s="170" t="e">
        <f>#REF!</f>
        <v>#REF!</v>
      </c>
      <c r="I134" s="207"/>
      <c r="J134" s="160">
        <f t="shared" si="3"/>
        <v>131</v>
      </c>
      <c r="K134" s="227" t="e">
        <f>#REF!</f>
        <v>#REF!</v>
      </c>
      <c r="L134" s="164"/>
      <c r="M134" s="164"/>
      <c r="N134" s="164"/>
      <c r="O134" s="164"/>
      <c r="P134" s="164"/>
      <c r="Q134" s="164"/>
      <c r="R134" s="164"/>
      <c r="S134" s="39" t="e">
        <f>SUMIF(#REF!,"&gt;0")</f>
        <v>#REF!</v>
      </c>
      <c r="T134" s="61" t="e">
        <f>IF(SUM(#REF!)=0,"Ok","Nope")</f>
        <v>#REF!</v>
      </c>
      <c r="U134" s="207"/>
      <c r="V134" s="39" t="e">
        <f>#REF!</f>
        <v>#REF!</v>
      </c>
      <c r="W134" s="207"/>
      <c r="X134" s="39" t="e">
        <f>ROUNDUP( (1-MIN(ROUND(facs_rezone_factor*#REF!,4),facs_rezone_max) + tech_6_4*#REF! + tech_10_2*#REF! - IF(#REF!&gt;0,mech_genius_bonus,0) + race_rezone_cost) *#REF!,0)</f>
        <v>#REF!</v>
      </c>
      <c r="Y134" s="39" t="e">
        <f>#REF!*#REF!</f>
        <v>#REF!</v>
      </c>
      <c r="Z134" s="207"/>
      <c r="AA134" s="39" t="e">
        <f>250+0.6*(#REF!-250)</f>
        <v>#REF!</v>
      </c>
      <c r="AB134" s="207"/>
      <c r="AC134" s="132" t="e">
        <f>#REF!</f>
        <v>#REF!</v>
      </c>
    </row>
    <row r="135" spans="1:29" x14ac:dyDescent="0.25">
      <c r="A135" s="206" t="e">
        <f>#REF!</f>
        <v>#REF!</v>
      </c>
      <c r="B135" s="208" t="e">
        <f>#REF!</f>
        <v>#REF!</v>
      </c>
      <c r="C135" s="166" t="e">
        <f>#REF!</f>
        <v>#REF!</v>
      </c>
      <c r="D135" s="341" t="e">
        <f>#REF!</f>
        <v>#REF!</v>
      </c>
      <c r="E135" s="345" t="e">
        <f>#REF!</f>
        <v>#REF!</v>
      </c>
      <c r="F135" s="349" t="e">
        <f>#REF!</f>
        <v>#REF!</v>
      </c>
      <c r="G135" s="169" t="e">
        <f>#REF!</f>
        <v>#REF!</v>
      </c>
      <c r="H135" s="170" t="e">
        <f>#REF!</f>
        <v>#REF!</v>
      </c>
      <c r="I135" s="207"/>
      <c r="J135" s="160">
        <f t="shared" si="3"/>
        <v>132</v>
      </c>
      <c r="K135" s="227" t="e">
        <f>#REF!</f>
        <v>#REF!</v>
      </c>
      <c r="L135" s="164"/>
      <c r="M135" s="164"/>
      <c r="N135" s="164"/>
      <c r="O135" s="164"/>
      <c r="P135" s="164"/>
      <c r="Q135" s="164"/>
      <c r="R135" s="164"/>
      <c r="S135" s="39" t="e">
        <f>SUMIF(#REF!,"&gt;0")</f>
        <v>#REF!</v>
      </c>
      <c r="T135" s="61" t="e">
        <f>IF(SUM(#REF!)=0,"Ok","Nope")</f>
        <v>#REF!</v>
      </c>
      <c r="U135" s="207"/>
      <c r="V135" s="39" t="e">
        <f>#REF!</f>
        <v>#REF!</v>
      </c>
      <c r="W135" s="207"/>
      <c r="X135" s="39" t="e">
        <f>ROUNDUP( (1-MIN(ROUND(facs_rezone_factor*#REF!,4),facs_rezone_max) + tech_6_4*#REF! + tech_10_2*#REF! - IF(#REF!&gt;0,mech_genius_bonus,0) + race_rezone_cost) *#REF!,0)</f>
        <v>#REF!</v>
      </c>
      <c r="Y135" s="39" t="e">
        <f>#REF!*#REF!</f>
        <v>#REF!</v>
      </c>
      <c r="Z135" s="207"/>
      <c r="AA135" s="39" t="e">
        <f>250+0.6*(#REF!-250)</f>
        <v>#REF!</v>
      </c>
      <c r="AB135" s="207"/>
      <c r="AC135" s="132" t="e">
        <f>#REF!</f>
        <v>#REF!</v>
      </c>
    </row>
    <row r="136" spans="1:29" x14ac:dyDescent="0.25">
      <c r="A136" s="206" t="e">
        <f>#REF!</f>
        <v>#REF!</v>
      </c>
      <c r="B136" s="208" t="e">
        <f>#REF!</f>
        <v>#REF!</v>
      </c>
      <c r="C136" s="166" t="e">
        <f>#REF!</f>
        <v>#REF!</v>
      </c>
      <c r="D136" s="341" t="e">
        <f>#REF!</f>
        <v>#REF!</v>
      </c>
      <c r="E136" s="345" t="e">
        <f>#REF!</f>
        <v>#REF!</v>
      </c>
      <c r="F136" s="349" t="e">
        <f>#REF!</f>
        <v>#REF!</v>
      </c>
      <c r="G136" s="169" t="e">
        <f>#REF!</f>
        <v>#REF!</v>
      </c>
      <c r="H136" s="170" t="e">
        <f>#REF!</f>
        <v>#REF!</v>
      </c>
      <c r="I136" s="207"/>
      <c r="J136" s="160">
        <f t="shared" si="3"/>
        <v>133</v>
      </c>
      <c r="K136" s="227" t="e">
        <f>#REF!</f>
        <v>#REF!</v>
      </c>
      <c r="L136" s="164"/>
      <c r="M136" s="164"/>
      <c r="N136" s="164"/>
      <c r="O136" s="164"/>
      <c r="P136" s="164"/>
      <c r="Q136" s="164"/>
      <c r="R136" s="164"/>
      <c r="S136" s="39" t="e">
        <f>SUMIF(#REF!,"&gt;0")</f>
        <v>#REF!</v>
      </c>
      <c r="T136" s="61" t="e">
        <f>IF(SUM(#REF!)=0,"Ok","Nope")</f>
        <v>#REF!</v>
      </c>
      <c r="U136" s="207"/>
      <c r="V136" s="39" t="e">
        <f>#REF!</f>
        <v>#REF!</v>
      </c>
      <c r="W136" s="207"/>
      <c r="X136" s="39" t="e">
        <f>ROUNDUP( (1-MIN(ROUND(facs_rezone_factor*#REF!,4),facs_rezone_max) + tech_6_4*#REF! + tech_10_2*#REF! - IF(#REF!&gt;0,mech_genius_bonus,0) + race_rezone_cost) *#REF!,0)</f>
        <v>#REF!</v>
      </c>
      <c r="Y136" s="39" t="e">
        <f>#REF!*#REF!</f>
        <v>#REF!</v>
      </c>
      <c r="Z136" s="207"/>
      <c r="AA136" s="39" t="e">
        <f>250+0.6*(#REF!-250)</f>
        <v>#REF!</v>
      </c>
      <c r="AB136" s="207"/>
      <c r="AC136" s="132" t="e">
        <f>#REF!</f>
        <v>#REF!</v>
      </c>
    </row>
    <row r="1269" spans="1:18" ht="13" x14ac:dyDescent="0.3">
      <c r="A1269" s="448" t="s">
        <v>316</v>
      </c>
      <c r="B1269" s="448"/>
      <c r="I1269" s="110" t="s">
        <v>306</v>
      </c>
      <c r="L1269" s="229"/>
      <c r="M1269" s="229">
        <v>-10</v>
      </c>
      <c r="N1269" s="229">
        <v>10</v>
      </c>
      <c r="O1269" s="229"/>
      <c r="P1269" s="229"/>
      <c r="Q1269" s="229"/>
      <c r="R1269" s="229"/>
    </row>
    <row r="1270" spans="1:18" ht="13" x14ac:dyDescent="0.3">
      <c r="A1270" s="31" t="e">
        <f>Overview!E17</f>
        <v>#REF!</v>
      </c>
      <c r="B1270" s="31"/>
      <c r="L1270" s="453" t="s">
        <v>305</v>
      </c>
      <c r="M1270" s="405"/>
      <c r="N1270" s="405"/>
      <c r="O1270" s="405"/>
      <c r="P1270" s="405"/>
      <c r="Q1270" s="405"/>
      <c r="R1270" s="405"/>
    </row>
  </sheetData>
  <mergeCells count="2">
    <mergeCell ref="L1270:R1270"/>
    <mergeCell ref="A1269:B1269"/>
  </mergeCells>
  <phoneticPr fontId="1"/>
  <conditionalFormatting sqref="A1:AC3">
    <cfRule type="expression" dxfId="36" priority="19" stopIfTrue="1">
      <formula>$A$1270&lt;0</formula>
    </cfRule>
  </conditionalFormatting>
  <conditionalFormatting sqref="A4:AC136">
    <cfRule type="expression" dxfId="35" priority="1" stopIfTrue="1">
      <formula>ROW()-3=$A$1270</formula>
    </cfRule>
    <cfRule type="expression" dxfId="34" priority="2" stopIfTrue="1">
      <formula>OR(AND(ROW()-3=$A$1270,A4="Ok",XFD4&lt;&gt;0),A4="Nope")</formula>
    </cfRule>
    <cfRule type="expression" dxfId="33" priority="4">
      <formula>$J4=73</formula>
    </cfRule>
    <cfRule type="expression" dxfId="32" priority="7">
      <formula>ROUND(($J4-1)/12,0)=INT($J4-1)/12</formula>
    </cfRule>
  </conditionalFormatting>
  <conditionalFormatting sqref="A137:AC1268 A1271:AC60158">
    <cfRule type="expression" dxfId="31" priority="14" stopIfTrue="1">
      <formula>ROW()-2=#REF!</formula>
    </cfRule>
  </conditionalFormatting>
  <conditionalFormatting sqref="A1269:AC1270">
    <cfRule type="expression" dxfId="30" priority="15" stopIfTrue="1">
      <formula>$A$1270&gt;144</formula>
    </cfRule>
  </conditionalFormatting>
  <conditionalFormatting sqref="B4:H136">
    <cfRule type="cellIs" dxfId="29" priority="8" operator="lessThan">
      <formula>0</formula>
    </cfRule>
  </conditionalFormatting>
  <conditionalFormatting sqref="T76">
    <cfRule type="expression" dxfId="28" priority="13" stopIfTrue="1">
      <formula>S76=0</formula>
    </cfRule>
  </conditionalFormatting>
  <pageMargins left="0.75" right="0.75" top="1" bottom="1" header="0.5" footer="0.5"/>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00000"/>
  </sheetPr>
  <dimension ref="A1:DF1270"/>
  <sheetViews>
    <sheetView zoomScale="85" zoomScaleNormal="85" workbookViewId="0">
      <pane ySplit="3" topLeftCell="A4" activePane="bottomLeft" state="frozenSplit"/>
      <selection activeCell="A3" sqref="A3"/>
      <selection pane="bottomLeft" activeCell="Y4" sqref="Y4"/>
    </sheetView>
  </sheetViews>
  <sheetFormatPr defaultColWidth="9.1796875" defaultRowHeight="12.5" x14ac:dyDescent="0.25"/>
  <cols>
    <col min="1" max="1" width="7.54296875" style="3" customWidth="1"/>
    <col min="2" max="2" width="8.81640625" style="3" customWidth="1"/>
    <col min="3" max="3" width="11.453125" style="3" customWidth="1"/>
    <col min="4" max="4" width="2.81640625" style="3" customWidth="1"/>
    <col min="5" max="12" width="10" style="3" customWidth="1"/>
    <col min="13" max="13" width="2.81640625" style="3" customWidth="1"/>
    <col min="14" max="14" width="11.7265625" style="3" customWidth="1"/>
    <col min="15" max="15" width="2.81640625" style="3" customWidth="1"/>
    <col min="16" max="20" width="10" style="3" customWidth="1"/>
    <col min="21" max="21" width="10" style="162" customWidth="1"/>
    <col min="22" max="22" width="10" style="239" customWidth="1"/>
    <col min="23" max="24" width="10" style="3" customWidth="1"/>
    <col min="25" max="25" width="5.81640625" style="3" bestFit="1" customWidth="1"/>
    <col min="26" max="26" width="11.26953125" style="3" customWidth="1"/>
    <col min="27" max="27" width="11.1796875" style="3" customWidth="1"/>
    <col min="28" max="28" width="2.81640625" style="3" customWidth="1"/>
    <col min="29" max="29" width="11.453125" style="3" customWidth="1"/>
    <col min="30" max="30" width="2.81640625" style="3" customWidth="1"/>
    <col min="31" max="31" width="8.54296875" style="3" customWidth="1"/>
    <col min="32" max="32" width="7.81640625" style="3" customWidth="1"/>
    <col min="33" max="36" width="11.1796875" style="3" bestFit="1" customWidth="1"/>
    <col min="37" max="37" width="10.54296875" style="3" bestFit="1" customWidth="1"/>
    <col min="38" max="38" width="10.54296875" style="3" customWidth="1"/>
    <col min="39" max="39" width="9.26953125" style="3" bestFit="1" customWidth="1"/>
    <col min="40" max="40" width="11.7265625" style="3" bestFit="1" customWidth="1"/>
    <col min="41" max="41" width="2.81640625" style="3" customWidth="1"/>
    <col min="42" max="57" width="11.453125" style="3" customWidth="1"/>
    <col min="58" max="58" width="2.81640625" style="3" customWidth="1"/>
    <col min="59" max="59" width="10.1796875" style="3" customWidth="1"/>
    <col min="60" max="60" width="7" style="3" customWidth="1"/>
    <col min="61" max="62" width="9.54296875" style="3" customWidth="1"/>
    <col min="63" max="64" width="9.453125" style="3" customWidth="1"/>
    <col min="65" max="68" width="9.1796875" style="3" customWidth="1"/>
    <col min="69" max="70" width="10.453125" style="3" customWidth="1"/>
    <col min="71" max="71" width="10.26953125" style="3" customWidth="1"/>
    <col min="72" max="72" width="10.1796875" style="3" customWidth="1"/>
    <col min="73" max="73" width="2.81640625" style="3" customWidth="1"/>
    <col min="74" max="107" width="12.81640625" style="3" customWidth="1"/>
    <col min="108" max="108" width="3" style="3" customWidth="1"/>
    <col min="109" max="110" width="12.81640625" style="3" customWidth="1"/>
    <col min="111" max="111" width="9.1796875" style="3" customWidth="1"/>
    <col min="112" max="16384" width="9.1796875" style="3"/>
  </cols>
  <sheetData>
    <row r="1" spans="1:110" ht="13" x14ac:dyDescent="0.3">
      <c r="A1" s="8"/>
      <c r="B1" s="8"/>
      <c r="C1" s="8"/>
      <c r="D1" s="8"/>
      <c r="E1" s="8"/>
      <c r="F1" s="8"/>
      <c r="G1" s="8"/>
      <c r="H1" s="8"/>
      <c r="I1" s="8"/>
      <c r="J1" s="8"/>
      <c r="K1" s="8"/>
      <c r="L1" s="8"/>
      <c r="M1" s="8"/>
      <c r="N1" s="8"/>
      <c r="O1" s="8"/>
      <c r="P1" s="449" t="s">
        <v>31</v>
      </c>
      <c r="Q1" s="449"/>
      <c r="R1" s="449"/>
      <c r="S1" s="454" t="s">
        <v>473</v>
      </c>
      <c r="T1" s="449"/>
      <c r="U1" s="159"/>
      <c r="V1" s="449" t="s">
        <v>474</v>
      </c>
      <c r="W1" s="449"/>
      <c r="X1" s="8"/>
      <c r="Y1" s="449" t="s">
        <v>24</v>
      </c>
      <c r="Z1" s="449"/>
      <c r="AA1" s="449"/>
      <c r="AB1" s="31"/>
      <c r="AC1" s="8"/>
      <c r="AD1" s="8"/>
      <c r="AE1" s="8"/>
      <c r="AF1" s="8"/>
      <c r="AG1" s="8" t="s">
        <v>181</v>
      </c>
      <c r="AH1" s="8"/>
      <c r="AI1" s="8"/>
      <c r="AJ1" s="8"/>
      <c r="AK1" s="8"/>
      <c r="AL1" s="8"/>
      <c r="AM1" s="8"/>
      <c r="AN1" s="8"/>
      <c r="AO1" s="8"/>
      <c r="AP1" s="8" t="s">
        <v>77</v>
      </c>
      <c r="AQ1" s="8"/>
      <c r="AR1" s="8" t="s">
        <v>33</v>
      </c>
      <c r="AS1" s="8"/>
      <c r="AT1" s="8"/>
      <c r="AU1" s="8"/>
      <c r="AV1" s="8"/>
      <c r="AW1" s="8" t="s">
        <v>186</v>
      </c>
      <c r="AX1" s="8"/>
      <c r="AY1" s="8"/>
      <c r="AZ1" s="8"/>
      <c r="BA1" s="8"/>
      <c r="BB1" s="8"/>
      <c r="BC1" s="8"/>
      <c r="BD1" s="8"/>
      <c r="BE1" s="8"/>
      <c r="BF1" s="8"/>
      <c r="BG1" s="8"/>
      <c r="BH1" s="8"/>
      <c r="BI1" s="449" t="s">
        <v>489</v>
      </c>
      <c r="BJ1" s="449"/>
      <c r="BK1" s="449"/>
      <c r="BL1" s="449"/>
      <c r="BM1" s="449"/>
      <c r="BN1" s="449"/>
      <c r="BO1" s="449"/>
      <c r="BP1" s="449"/>
      <c r="BQ1" s="450"/>
      <c r="BR1" s="450"/>
      <c r="BS1" s="450"/>
      <c r="BT1" s="450"/>
      <c r="BU1" s="8"/>
      <c r="BV1" s="451" t="s">
        <v>298</v>
      </c>
      <c r="BW1" s="405"/>
      <c r="BX1" s="405"/>
      <c r="BY1" s="31"/>
      <c r="BZ1" s="31"/>
      <c r="CA1" s="8"/>
      <c r="CB1" s="8"/>
      <c r="CC1" s="31"/>
      <c r="CD1" s="31"/>
      <c r="CE1" s="31"/>
      <c r="CF1" s="31"/>
      <c r="CG1" s="31"/>
      <c r="CH1" s="31"/>
      <c r="CI1" s="31"/>
      <c r="CJ1" s="31"/>
      <c r="CK1" s="8"/>
      <c r="CL1" s="8"/>
      <c r="CM1" s="8"/>
      <c r="CN1" s="449" t="s">
        <v>312</v>
      </c>
      <c r="CO1" s="449"/>
      <c r="CP1" s="449"/>
      <c r="CQ1" s="450"/>
      <c r="CR1" s="450"/>
      <c r="CS1" s="450"/>
      <c r="CT1" s="450"/>
      <c r="CU1" s="450"/>
      <c r="CV1" s="450"/>
      <c r="CW1" s="57"/>
      <c r="CX1" s="57"/>
      <c r="CY1" s="57"/>
      <c r="CZ1" s="57"/>
      <c r="DA1" s="57"/>
      <c r="DB1" s="57"/>
      <c r="DC1" s="8"/>
      <c r="DD1" s="8"/>
      <c r="DE1" s="8" t="s">
        <v>254</v>
      </c>
      <c r="DF1" s="8"/>
    </row>
    <row r="2" spans="1:110" ht="13" x14ac:dyDescent="0.3">
      <c r="A2" s="8"/>
      <c r="B2" s="8"/>
      <c r="C2" s="8"/>
      <c r="D2" s="8"/>
      <c r="E2" s="230" t="str">
        <f>Overview!$A$22</f>
        <v>Spearman</v>
      </c>
      <c r="F2" s="230" t="str">
        <f>Overview!$A$23</f>
        <v>Archer</v>
      </c>
      <c r="G2" s="230" t="str">
        <f>Overview!$A$24</f>
        <v>Knight</v>
      </c>
      <c r="H2" s="230" t="str">
        <f>Overview!$A$25</f>
        <v>Cavalry</v>
      </c>
      <c r="I2" s="230" t="s">
        <v>25</v>
      </c>
      <c r="J2" s="230" t="s">
        <v>1091</v>
      </c>
      <c r="K2" s="230" t="s">
        <v>26</v>
      </c>
      <c r="L2" s="230" t="s">
        <v>27</v>
      </c>
      <c r="M2" s="8"/>
      <c r="N2" s="8"/>
      <c r="O2" s="8"/>
      <c r="P2" s="31"/>
      <c r="Q2" s="31"/>
      <c r="R2" s="31"/>
      <c r="S2" s="231"/>
      <c r="T2" s="31"/>
      <c r="U2" s="159"/>
      <c r="V2" s="31"/>
      <c r="W2" s="31"/>
      <c r="X2" s="8"/>
      <c r="Y2" s="8"/>
      <c r="Z2" s="8"/>
      <c r="AA2" s="8"/>
      <c r="AB2" s="8"/>
      <c r="AC2" s="8"/>
      <c r="AD2" s="8"/>
      <c r="AE2" s="8"/>
      <c r="AF2" s="8"/>
      <c r="AG2" s="230" t="str">
        <f>Overview!$A$22</f>
        <v>Spearman</v>
      </c>
      <c r="AH2" s="230" t="str">
        <f>Overview!$A$23</f>
        <v>Archer</v>
      </c>
      <c r="AI2" s="230" t="str">
        <f>Overview!$A$24</f>
        <v>Knight</v>
      </c>
      <c r="AJ2" s="230" t="str">
        <f>Overview!$A$25</f>
        <v>Cavalry</v>
      </c>
      <c r="AK2" s="230" t="s">
        <v>25</v>
      </c>
      <c r="AL2" s="230" t="s">
        <v>1091</v>
      </c>
      <c r="AM2" s="230" t="s">
        <v>26</v>
      </c>
      <c r="AN2" s="230" t="s">
        <v>27</v>
      </c>
      <c r="AO2" s="8"/>
      <c r="AP2" s="8"/>
      <c r="AQ2" s="232" t="str">
        <f>INDEX(Constants!A133:B153,MATCH(race,Constants!A133:A153,0),2)</f>
        <v>Ore</v>
      </c>
      <c r="AR2" s="8"/>
      <c r="AS2" s="232" t="str">
        <f>AQ2</f>
        <v>Ore</v>
      </c>
      <c r="AT2" s="8"/>
      <c r="AU2" s="8"/>
      <c r="AV2" s="8"/>
      <c r="AW2" s="230" t="s">
        <v>24</v>
      </c>
      <c r="AX2" s="230" t="str">
        <f>Overview!$A$22</f>
        <v>Spearman</v>
      </c>
      <c r="AY2" s="230" t="str">
        <f>Overview!$A$23</f>
        <v>Archer</v>
      </c>
      <c r="AZ2" s="230" t="str">
        <f>Overview!$A$24</f>
        <v>Knight</v>
      </c>
      <c r="BA2" s="230" t="str">
        <f>Overview!$A$25</f>
        <v>Cavalry</v>
      </c>
      <c r="BB2" s="230" t="s">
        <v>25</v>
      </c>
      <c r="BC2" s="230" t="s">
        <v>1091</v>
      </c>
      <c r="BD2" s="230" t="s">
        <v>26</v>
      </c>
      <c r="BE2" s="230" t="s">
        <v>27</v>
      </c>
      <c r="BF2" s="8"/>
      <c r="BG2" s="8"/>
      <c r="BH2" s="8"/>
      <c r="BI2" s="31"/>
      <c r="BJ2" s="31"/>
      <c r="BK2" s="31"/>
      <c r="BL2" s="31"/>
      <c r="BM2" s="31"/>
      <c r="BN2" s="31"/>
      <c r="BO2" s="31"/>
      <c r="BP2" s="31"/>
      <c r="BQ2" s="57"/>
      <c r="BR2" s="57"/>
      <c r="BS2" s="57"/>
      <c r="BT2" s="57"/>
      <c r="BU2" s="8"/>
      <c r="BV2" s="8"/>
      <c r="BY2" s="31"/>
      <c r="BZ2" s="31"/>
      <c r="CA2" s="8"/>
      <c r="CB2" s="8"/>
      <c r="CC2" s="31"/>
      <c r="CD2" s="31"/>
      <c r="CE2" s="31"/>
      <c r="CF2" s="31"/>
      <c r="CG2" s="31"/>
      <c r="CH2" s="31"/>
      <c r="CI2" s="31"/>
      <c r="CJ2" s="31"/>
      <c r="CK2" s="8"/>
      <c r="CL2" s="8"/>
      <c r="CM2" s="8"/>
      <c r="CN2" s="31"/>
      <c r="CO2" s="31"/>
      <c r="CP2" s="31"/>
      <c r="CQ2" s="57"/>
      <c r="CR2" s="57"/>
      <c r="CS2" s="57"/>
      <c r="CT2" s="57"/>
      <c r="CU2" s="57"/>
      <c r="CV2" s="57"/>
      <c r="CW2" s="57"/>
      <c r="CX2" s="57"/>
      <c r="CY2" s="57"/>
      <c r="CZ2" s="57"/>
      <c r="DA2" s="57"/>
      <c r="DB2" s="57"/>
      <c r="DC2" s="8"/>
      <c r="DD2" s="8"/>
      <c r="DE2" s="8"/>
      <c r="DF2" s="8"/>
    </row>
    <row r="3" spans="1:110" ht="30" customHeight="1" x14ac:dyDescent="0.25">
      <c r="A3" s="128" t="s">
        <v>0</v>
      </c>
      <c r="B3" s="128" t="s">
        <v>22</v>
      </c>
      <c r="C3" s="128" t="s">
        <v>188</v>
      </c>
      <c r="D3" s="128" t="s">
        <v>773</v>
      </c>
      <c r="E3" s="128" t="s">
        <v>769</v>
      </c>
      <c r="F3" s="128" t="s">
        <v>770</v>
      </c>
      <c r="G3" s="128" t="s">
        <v>771</v>
      </c>
      <c r="H3" s="128" t="s">
        <v>772</v>
      </c>
      <c r="I3" s="128" t="s">
        <v>25</v>
      </c>
      <c r="J3" s="128" t="s">
        <v>1091</v>
      </c>
      <c r="K3" s="128" t="s">
        <v>26</v>
      </c>
      <c r="L3" s="128" t="s">
        <v>27</v>
      </c>
      <c r="M3" s="128" t="s">
        <v>774</v>
      </c>
      <c r="N3" s="128" t="s">
        <v>231</v>
      </c>
      <c r="O3" s="128" t="s">
        <v>775</v>
      </c>
      <c r="P3" s="128" t="s">
        <v>189</v>
      </c>
      <c r="Q3" s="128" t="s">
        <v>800</v>
      </c>
      <c r="R3" s="128" t="s">
        <v>228</v>
      </c>
      <c r="S3" s="233" t="s">
        <v>475</v>
      </c>
      <c r="T3" s="128" t="s">
        <v>472</v>
      </c>
      <c r="U3" s="128" t="s">
        <v>801</v>
      </c>
      <c r="V3" s="234" t="s">
        <v>869</v>
      </c>
      <c r="W3" s="128" t="s">
        <v>870</v>
      </c>
      <c r="X3" s="128" t="s">
        <v>1</v>
      </c>
      <c r="Y3" s="128" t="s">
        <v>180</v>
      </c>
      <c r="Z3" s="128" t="s">
        <v>179</v>
      </c>
      <c r="AA3" s="128" t="s">
        <v>24</v>
      </c>
      <c r="AB3" s="128" t="s">
        <v>790</v>
      </c>
      <c r="AC3" s="128" t="s">
        <v>184</v>
      </c>
      <c r="AD3" s="128" t="s">
        <v>791</v>
      </c>
      <c r="AE3" s="128" t="s">
        <v>855</v>
      </c>
      <c r="AF3" s="128" t="s">
        <v>311</v>
      </c>
      <c r="AG3" s="128" t="s">
        <v>784</v>
      </c>
      <c r="AH3" s="128" t="s">
        <v>785</v>
      </c>
      <c r="AI3" s="128" t="s">
        <v>786</v>
      </c>
      <c r="AJ3" s="128" t="s">
        <v>787</v>
      </c>
      <c r="AK3" s="128" t="s">
        <v>788</v>
      </c>
      <c r="AL3" s="128" t="s">
        <v>1090</v>
      </c>
      <c r="AM3" s="128" t="s">
        <v>789</v>
      </c>
      <c r="AN3" s="128" t="s">
        <v>1089</v>
      </c>
      <c r="AO3" s="128" t="s">
        <v>792</v>
      </c>
      <c r="AP3" s="128" t="s">
        <v>2</v>
      </c>
      <c r="AQ3" s="233" t="s">
        <v>1009</v>
      </c>
      <c r="AR3" s="128" t="s">
        <v>802</v>
      </c>
      <c r="AS3" s="233" t="s">
        <v>1010</v>
      </c>
      <c r="AT3" s="128" t="s">
        <v>1047</v>
      </c>
      <c r="AU3" s="128" t="s">
        <v>1049</v>
      </c>
      <c r="AV3" s="128" t="s">
        <v>777</v>
      </c>
      <c r="AW3" s="128" t="s">
        <v>793</v>
      </c>
      <c r="AX3" s="128" t="s">
        <v>794</v>
      </c>
      <c r="AY3" s="128" t="s">
        <v>795</v>
      </c>
      <c r="AZ3" s="128" t="s">
        <v>796</v>
      </c>
      <c r="BA3" s="128" t="s">
        <v>797</v>
      </c>
      <c r="BB3" s="128" t="s">
        <v>798</v>
      </c>
      <c r="BC3" s="128" t="s">
        <v>1092</v>
      </c>
      <c r="BD3" s="128" t="s">
        <v>799</v>
      </c>
      <c r="BE3" s="128" t="s">
        <v>1093</v>
      </c>
      <c r="BF3" s="128" t="s">
        <v>778</v>
      </c>
      <c r="BG3" s="128" t="s">
        <v>232</v>
      </c>
      <c r="BH3" s="128" t="s">
        <v>354</v>
      </c>
      <c r="BI3" s="128" t="s">
        <v>490</v>
      </c>
      <c r="BJ3" s="128" t="s">
        <v>491</v>
      </c>
      <c r="BK3" s="128" t="s">
        <v>492</v>
      </c>
      <c r="BL3" s="128" t="s">
        <v>493</v>
      </c>
      <c r="BM3" s="128" t="s">
        <v>494</v>
      </c>
      <c r="BN3" s="128" t="s">
        <v>495</v>
      </c>
      <c r="BO3" s="128" t="s">
        <v>496</v>
      </c>
      <c r="BP3" s="128" t="s">
        <v>497</v>
      </c>
      <c r="BQ3" s="128" t="s">
        <v>898</v>
      </c>
      <c r="BR3" s="128" t="s">
        <v>1094</v>
      </c>
      <c r="BS3" s="128" t="s">
        <v>899</v>
      </c>
      <c r="BT3" s="128" t="s">
        <v>900</v>
      </c>
      <c r="BU3" s="128" t="s">
        <v>901</v>
      </c>
      <c r="BV3" s="128" t="s">
        <v>245</v>
      </c>
      <c r="BW3" s="128" t="s">
        <v>297</v>
      </c>
      <c r="BX3" s="128" t="s">
        <v>124</v>
      </c>
      <c r="BY3" s="128" t="s">
        <v>1012</v>
      </c>
      <c r="BZ3" s="128" t="s">
        <v>1011</v>
      </c>
      <c r="CA3" s="128" t="s">
        <v>139</v>
      </c>
      <c r="CB3" s="128" t="s">
        <v>132</v>
      </c>
      <c r="CC3" s="128" t="s">
        <v>1073</v>
      </c>
      <c r="CD3" s="128" t="s">
        <v>1077</v>
      </c>
      <c r="CE3" s="128" t="s">
        <v>328</v>
      </c>
      <c r="CF3" s="128" t="s">
        <v>329</v>
      </c>
      <c r="CG3" s="128" t="s">
        <v>333</v>
      </c>
      <c r="CH3" s="128" t="s">
        <v>334</v>
      </c>
      <c r="CI3" s="128" t="s">
        <v>143</v>
      </c>
      <c r="CJ3" s="128" t="s">
        <v>499</v>
      </c>
      <c r="CK3" s="235" t="s">
        <v>779</v>
      </c>
      <c r="CL3" s="235" t="s">
        <v>780</v>
      </c>
      <c r="CM3" s="235" t="s">
        <v>781</v>
      </c>
      <c r="CN3" s="128" t="s">
        <v>1013</v>
      </c>
      <c r="CO3" s="128" t="s">
        <v>884</v>
      </c>
      <c r="CP3" s="128" t="s">
        <v>885</v>
      </c>
      <c r="CQ3" s="128" t="s">
        <v>886</v>
      </c>
      <c r="CR3" s="128" t="s">
        <v>887</v>
      </c>
      <c r="CS3" s="128" t="s">
        <v>888</v>
      </c>
      <c r="CT3" s="128" t="s">
        <v>889</v>
      </c>
      <c r="CU3" s="128" t="s">
        <v>890</v>
      </c>
      <c r="CV3" s="128" t="s">
        <v>891</v>
      </c>
      <c r="CW3" s="128" t="s">
        <v>892</v>
      </c>
      <c r="CX3" s="128" t="s">
        <v>893</v>
      </c>
      <c r="CY3" s="128" t="s">
        <v>894</v>
      </c>
      <c r="CZ3" s="235" t="s">
        <v>782</v>
      </c>
      <c r="DA3" s="128" t="s">
        <v>1084</v>
      </c>
      <c r="DB3" s="235" t="s">
        <v>783</v>
      </c>
      <c r="DC3" s="128" t="s">
        <v>895</v>
      </c>
      <c r="DD3" s="128" t="s">
        <v>1050</v>
      </c>
      <c r="DE3" s="128" t="s">
        <v>896</v>
      </c>
      <c r="DF3" s="128" t="s">
        <v>897</v>
      </c>
    </row>
    <row r="4" spans="1:110" x14ac:dyDescent="0.25">
      <c r="A4" s="130" t="e">
        <f>#REF!</f>
        <v>#REF!</v>
      </c>
      <c r="B4" s="236" t="e">
        <f>SUM(#REF!)+SUM(#REF!)+#REF!</f>
        <v>#REF!</v>
      </c>
      <c r="C4" s="132" t="e">
        <f>#REF!</f>
        <v>#REF!</v>
      </c>
      <c r="D4" s="134"/>
      <c r="E4" s="377" t="e">
        <f>start_op_specs -#REF!</f>
        <v>#REF!</v>
      </c>
      <c r="F4" s="377" t="e">
        <f>start_dp_specs -#REF!+days_late*days_late_def_specs</f>
        <v>#REF!</v>
      </c>
      <c r="G4" s="377" t="e">
        <f>start_elite1s -#REF!</f>
        <v>#REF!</v>
      </c>
      <c r="H4" s="377" t="e">
        <f>start_elite2s -#REF!</f>
        <v>#REF!</v>
      </c>
      <c r="I4" s="378" t="e">
        <f>start_spies -#REF!-#REF!</f>
        <v>#REF!</v>
      </c>
      <c r="J4" s="378" t="e">
        <f>start_ass -#REF!</f>
        <v>#REF!</v>
      </c>
      <c r="K4" s="378" t="e">
        <f>start_wizards  -#REF! -#REF!</f>
        <v>#REF!</v>
      </c>
      <c r="L4" s="377" t="e">
        <f>start_ams  -#REF!</f>
        <v>#REF!</v>
      </c>
      <c r="M4" s="134"/>
      <c r="N4" s="39" t="e">
        <f>#REF!</f>
        <v>#REF!</v>
      </c>
      <c r="O4" s="134"/>
      <c r="P4" s="237" t="e">
        <f>#REF!*spec_op+#REF!*(elite1_base_op)+#REF!*(elite2_base_op+dark_elf*#REF!+icekin*#REF!+woodie*#REF!+orc*#REF!)+kobold*#REF!</f>
        <v>#REF!</v>
      </c>
      <c r="Q4" s="132" t="e">
        <f>race_offense+#REF!+ROUND(MIN(gn_bonus*#REF!/#REF!,gn_bonus_cap),4)+MAX(IF(#REF!&gt;0,warsong_bonus),IF(#REF!&gt;0,howling_op_bonus),IF(#REF!&gt;0,nightfall_bonus),IF(#REF!&gt;0,#REF!)) +#REF!/ 100*prestige_offense_bonus + tech_5_4*#REF! + tech_7_4*#REF!</f>
        <v>#REF!</v>
      </c>
      <c r="R4" s="237" t="e">
        <f>#REF!*(1+#REF!)</f>
        <v>#REF!</v>
      </c>
      <c r="S4" s="237" t="e">
        <f>#REF!*spec_dp+#REF!*(elite1_base_dp+woodie*#REF!+sylvan*#REF!+gnome*#REF!+icekin*#REF!+nox*#REF!)+#REF!*(elite2_base_dp+woodie*#REF!) + fh_peas_dp*MIN(#REF!,20*#REF!)+kobold*#REF!</f>
        <v>#REF!</v>
      </c>
      <c r="T4" s="237" t="e">
        <f>#REF!+#REF!</f>
        <v>#REF!</v>
      </c>
      <c r="U4" s="238" t="e">
        <f>race_defense +#REF! + ROUND( MIN(gt_bonus*#REF!/#REF!,gt_bonus_cap), 4) + IF(#REF!&gt;0,howling_dp_bonus,IF(#REF!&gt;0,ares_call_bonus))</f>
        <v>#REF!</v>
      </c>
      <c r="V4" s="239" t="e">
        <f>#REF! * (1 +#REF!)</f>
        <v>#REF!</v>
      </c>
      <c r="W4" s="237" t="e">
        <f>#REF! * (1 +#REF!)</f>
        <v>#REF!</v>
      </c>
      <c r="X4" s="237" t="e">
        <f>#REF!</f>
        <v>#REF!</v>
      </c>
      <c r="Y4" s="240"/>
      <c r="Z4" s="135" t="e">
        <f>IF(#REF!&lt;&gt;"",#REF!,0.35)</f>
        <v>#REF!</v>
      </c>
      <c r="AA4" s="360" t="e">
        <f>start_draftees - SUM(#REF!,#REF!) -#REF! + SUM(#REF!) -#REF!+MIN(13,days_late)*days_late_draftees</f>
        <v>#REF!</v>
      </c>
      <c r="AB4" s="133"/>
      <c r="AC4" s="132" t="e">
        <f>(#REF!+#REF!)/(#REF!-#REF!*20)</f>
        <v>#REF!</v>
      </c>
      <c r="AD4" s="236"/>
      <c r="AE4" s="236" t="e">
        <f>#REF!</f>
        <v>#REF!</v>
      </c>
      <c r="AF4" s="131" t="e">
        <f>#REF!</f>
        <v>#REF!</v>
      </c>
      <c r="AG4" s="164"/>
      <c r="AH4" s="164"/>
      <c r="AI4" s="164"/>
      <c r="AJ4" s="164"/>
      <c r="AK4" s="164"/>
      <c r="AL4" s="164"/>
      <c r="AM4" s="164"/>
      <c r="AN4" s="164"/>
      <c r="AO4" s="134"/>
      <c r="AP4" s="39" t="e">
        <f>#REF!</f>
        <v>#REF!</v>
      </c>
      <c r="AQ4" s="39" t="e">
        <f>INDEX(#REF!:#REF!,COUNTA(#REF!:#REF!),MATCH(Military!$AQ$2,#REF!,0))</f>
        <v>#REF!</v>
      </c>
      <c r="AR4" s="39" t="e">
        <f>#REF!*#REF!+#REF!*#REF!+#REF!*#REF!+#REF!*#REF!+#REF!*#REF!+#REF!*#REF!+#REF!*#REF!</f>
        <v>#REF!</v>
      </c>
      <c r="AS4" s="39" t="e">
        <f>#REF!*#REF!+#REF!*#REF!+#REF!*#REF!+#REF!*#REF!</f>
        <v>#REF!</v>
      </c>
      <c r="AT4" s="134" t="e">
        <f>#REF!</f>
        <v>#REF!</v>
      </c>
      <c r="AU4" s="143" t="e">
        <f>#REF!</f>
        <v>#REF!</v>
      </c>
      <c r="AV4" s="39" t="e">
        <f>#REF!</f>
        <v>#REF!</v>
      </c>
      <c r="AW4" s="164"/>
      <c r="AX4" s="164"/>
      <c r="AY4" s="164"/>
      <c r="AZ4" s="164"/>
      <c r="BA4" s="164"/>
      <c r="BB4" s="164"/>
      <c r="BC4" s="164"/>
      <c r="BD4" s="164"/>
      <c r="BE4" s="164"/>
      <c r="BF4" s="134"/>
      <c r="BG4" s="132" t="e">
        <f>#REF!/#REF!</f>
        <v>#REF!</v>
      </c>
      <c r="BH4" s="132" t="e">
        <f>#REF!/#REF!</f>
        <v>#REF!</v>
      </c>
      <c r="BI4" s="39" t="e">
        <f>ROUNDUP((1-MIN(#REF!*smithy_bonus,smithy_bonus_cap) + tech_3_5*#REF! + tech_5_3*#REF! + tech_5_5*#REF!)*spec_op_plat,0)</f>
        <v>#REF!</v>
      </c>
      <c r="BJ4" s="39" t="e">
        <f>ROUNDUP(IF(race="Gnome",1,(1-MIN(#REF!*smithy_bonus,smithy_bonus_cap) + tech_3_5*#REF! + tech_5_3*#REF! + tech_5_5*#REF!))*spec_op_ore,0)</f>
        <v>#REF!</v>
      </c>
      <c r="BK4" s="39" t="e">
        <f>ROUNDUP((1-MIN(#REF!*smithy_bonus,smithy_bonus_cap) + tech_3_5*#REF! + tech_5_3*#REF! + tech_5_5*#REF!)*spec_dp_plat,0)</f>
        <v>#REF!</v>
      </c>
      <c r="BL4" s="39" t="e">
        <f>ROUNDUP(IF(race="Gnome",1,(1-MIN(#REF!*smithy_bonus,smithy_bonus_cap) + tech_3_5*#REF! + tech_5_3*#REF! + tech_5_5*#REF!))*spec_dp_ore,0)</f>
        <v>#REF!</v>
      </c>
      <c r="BM4" s="39" t="e">
        <f>ROUNDUP((1-MIN(#REF!*smithy_bonus,smithy_bonus_cap) + tech_3_5*#REF! + tech_5_3*#REF! + tech_5_5*#REF!)*elite1_plat,0)</f>
        <v>#REF!</v>
      </c>
      <c r="BN4" s="39" t="e">
        <f>ROUNDUP(IF(race="Gnome",1,(1-MIN(#REF!*smithy_bonus,smithy_bonus_cap) + tech_3_5*#REF! + tech_5_3*#REF! + tech_5_5*#REF!))*elite1_ore,0)</f>
        <v>#REF!</v>
      </c>
      <c r="BO4" s="39" t="e">
        <f>ROUNDUP((1-MIN(#REF!*smithy_bonus,smithy_bonus_cap) + tech_3_5*#REF! + tech_5_3*#REF! + tech_5_5*#REF!)*elite2_plat,0)</f>
        <v>#REF!</v>
      </c>
      <c r="BP4" s="39" t="e">
        <f>ROUNDUP(IF(race="Gnome",1,(1-MIN(#REF!*smithy_bonus,smithy_bonus_cap) + tech_3_5*#REF! + tech_5_3*#REF! + tech_5_5*#REF!))*elite2_ore,0)</f>
        <v>#REF!</v>
      </c>
      <c r="BQ4" s="39" t="e">
        <f>ROUNDUP((1-MIN(ROUND(fh_spy_cost_red*#REF!,4),fh_spy_cost_cap)+ tech_1_9*#REF! + tech_9_1*#REF!)*spy_plat,0)</f>
        <v>#REF!</v>
      </c>
      <c r="BR4" s="39" t="e">
        <f>ROUNDUP((1-MIN(ROUND(fh_spy_cost_red*#REF!,4),fh_spy_cost_cap)+ tech_1_9*#REF! + tech_9_1*#REF!)*archspy_plat,0)</f>
        <v>#REF!</v>
      </c>
      <c r="BS4" s="39" t="e">
        <f>ROUNDUP((1-MIN(ROUND(wg_wiz_cost_bonus*#REF!,4),wg_wiz_cost_cap) + tech_1_9_2*#REF! + tech_9_1_2*#REF!)*wizard_plat,0)</f>
        <v>#REF!</v>
      </c>
      <c r="BT4" s="39" t="e">
        <f>ROUNDUP((1-MIN(ROUND(wg_wiz_cost_bonus*#REF!,4),wg_wiz_cost_cap) + tech_1_9_2*#REF! + tech_9_1_2*#REF!)*archmage_plat,0)</f>
        <v>#REF!</v>
      </c>
      <c r="BU4" s="134"/>
      <c r="BV4" s="132" t="e">
        <f>#REF!/#REF!</f>
        <v>#REF!</v>
      </c>
      <c r="BW4" s="132" t="e">
        <f>#REF!</f>
        <v>#REF!</v>
      </c>
      <c r="BX4" s="241" t="e">
        <f>IF(mystic_cap="none",#REF!/mystic_bonus,MIN(mystic_cap,#REF!/mystic_bonus))</f>
        <v>#REF!</v>
      </c>
      <c r="BY4" s="241" t="e">
        <f>IF(druid_op_cap="none",#REF!/druid_op_bonus,MIN(druid_op_cap,#REF!/druid_op_bonus))</f>
        <v>#REF!</v>
      </c>
      <c r="BZ4" s="241" t="e">
        <f>IF(druid_dp_cap="none",#REF!/druid_dp_bonus,MIN(druid_dp_cap,#REF!/druid_dp_bonus))</f>
        <v>#REF!</v>
      </c>
      <c r="CA4" s="241" t="e">
        <f>MIN(dryad_cap,#REF!/dryad_bonus)</f>
        <v>#REF!</v>
      </c>
      <c r="CB4" s="241" t="e">
        <f>MIN(rocka_cap,#REF!/rocka_bonus)</f>
        <v>#REF!</v>
      </c>
      <c r="CC4" s="241" t="e">
        <f>MIN(adept_op_cap,#REF!/adept_op_bonus)</f>
        <v>#REF!</v>
      </c>
      <c r="CD4" s="241" t="e">
        <f>MIN(adept_dp_cap,#REF!/adept_dp_bonus)</f>
        <v>#REF!</v>
      </c>
      <c r="CE4" s="39" t="e">
        <f>MIN(#REF!,#REF!)*2</f>
        <v>#REF!</v>
      </c>
      <c r="CF4" s="39" t="e">
        <f>MIN(#REF!,#REF!)*2</f>
        <v>#REF!</v>
      </c>
      <c r="CG4" s="241" t="e">
        <f>MIN(frost_mage_cap,#REF!/frost_mage_bonus)</f>
        <v>#REF!</v>
      </c>
      <c r="CH4" s="3" t="e">
        <f>MIN(ice_elem_cap,#REF!*ice_elem_bonus)</f>
        <v>#REF!</v>
      </c>
      <c r="CI4" s="241">
        <f t="shared" ref="CI4:CI35" si="0">MIN(bone_breaker_cap,250/bone_breaker_bonus)</f>
        <v>0.83333333333333337</v>
      </c>
      <c r="CJ4" s="241" t="e">
        <f>MIN(nox_nightshade_cap,#REF!/#REF!/nox_nightshade_swamp_bonus)</f>
        <v>#REF!</v>
      </c>
      <c r="CK4" s="242"/>
      <c r="CL4" s="242"/>
      <c r="CM4" s="242"/>
      <c r="CN4" s="241" t="e">
        <f>MIN(6,#REF!+Races!$F$19)*1.8 +  IF(#REF!+Races!$F$19&gt;6,(#REF!+Races!$F$19-6)*0.2,0) - Races!$I$19</f>
        <v>#REF!</v>
      </c>
      <c r="CO4" s="241" t="e">
        <f>1.8 * MIN(MAX(#REF!+Races!$E$20,#REF!+Races!$F$20),6)  +  0.45 * MIN(MIN(#REF!+Races!$E$20,#REF!+Races!$F$20),6)  +  0.2 * ( MAX(#REF!+Races!$E$20-6,0) + MAX(#REF!+Races!$F$20-6,0) )  -  Races!$I$20</f>
        <v>#REF!</v>
      </c>
      <c r="CP4" s="39" t="e">
        <f>#REF!*#REF!+#REF!*#REF!</f>
        <v>#REF!</v>
      </c>
      <c r="CQ4" s="145" t="e">
        <f>MIN(6,#REF!+Races!$F$35)*1.8 +  IF(#REF!+Races!$F$35&gt;6,(#REF!+Races!$F$35-6)*0.2,0) - Races!$I$19</f>
        <v>#REF!</v>
      </c>
      <c r="CR4" s="39" t="e">
        <f>sylvan*(#REF!*#REF!)</f>
        <v>#REF!</v>
      </c>
      <c r="CS4" s="145" t="e">
        <f>1.8 * MIN(MAX(Races!$E$27,#REF!+Races!$F$27),6)  +  0.45 * MIN(MIN(Races!$E$27,#REF!+Races!$F$27),6)  +  0.2 * ( MAX(Races!$E$27-6,0) + MAX(#REF!+Races!$F$27-6,0) )  -  Races!$I$20</f>
        <v>#REF!</v>
      </c>
      <c r="CT4" s="39" t="e">
        <f>gnome*(#REF!*#REF!)</f>
        <v>#REF!</v>
      </c>
      <c r="CU4" s="145" t="e">
        <f>1.8 * MIN(MAX(#REF!+Races!$E$47,#REF!+Races!$F$47),6)  +  0.45 * MIN(MIN(#REF!+Races!$E$47,#REF!+Races!$F$47),6)  +  0.2 * ( MAX(#REF!+Races!$E$47-6,0) + MAX(#REF!+Races!$F$47-6,0) )  -  Races!$I$47</f>
        <v>#REF!</v>
      </c>
      <c r="CV4" s="39" t="e">
        <f>dark_elf*(#REF!*#REF!)</f>
        <v>#REF!</v>
      </c>
      <c r="CW4" s="241" t="e">
        <f>1.8 * MIN(MAX(#REF!+Races!$F$71,Races!$E$71),6)  +  0.45 * MIN(MIN(#REF!+Races!$F$71,Races!$E$71),6)  +  0.2 * ( MAX(#REF!+Races!$F$71-6,0) + MAX(Races!$E$71-6,0) )  -  Races!$I$71</f>
        <v>#REF!</v>
      </c>
      <c r="CX4" s="241" t="e">
        <f>1.8 * MIN(MAX(#REF!+Races!$E$71,Races!$F$71),6)  +  0.45 * MIN(MIN(#REF!+Races!$E$71,Races!$F$71),6)  +  0.2 * ( MAX(#REF!+Races!$E$71-6,0) + MAX(Races!$F$71-6,0) )  -  Races!$I$71</f>
        <v>#REF!</v>
      </c>
      <c r="CY4" s="39" t="e">
        <f>#REF!*#REF!+#REF!*#REF!</f>
        <v>#REF!</v>
      </c>
      <c r="CZ4" s="243"/>
      <c r="DA4" s="135" t="e">
        <f>MIN(SUM(#REF!)/#REF!/favorable_terrain_bonus/100,favorable_terrain_max)</f>
        <v>#REF!</v>
      </c>
      <c r="DB4" s="243"/>
      <c r="DC4"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4" s="134"/>
      <c r="DE4" s="244" t="e">
        <f>(#REF!+2*#REF!)/#REF!</f>
        <v>#REF!</v>
      </c>
      <c r="DF4" s="244" t="e">
        <f>#REF!*(1+race_wizard_strength+IF(#REF!&gt;72,tech_magical_weaponry_wiz*#REF!,0))</f>
        <v>#REF!</v>
      </c>
    </row>
    <row r="5" spans="1:110" x14ac:dyDescent="0.25">
      <c r="A5" s="130" t="e">
        <f>#REF!</f>
        <v>#REF!</v>
      </c>
      <c r="B5" s="236" t="e">
        <f ca="1">SUM(#REF!)+SUM(OFFSET(#REF!,-1,0):#REF!)+#REF!</f>
        <v>#REF!</v>
      </c>
      <c r="C5" s="132" t="e">
        <f>#REF!</f>
        <v>#REF!</v>
      </c>
      <c r="D5" s="134"/>
      <c r="E5" s="3" t="e">
        <f ca="1">OFFSET(#REF!,-1,0) -#REF!</f>
        <v>#REF!</v>
      </c>
      <c r="F5" s="3" t="e">
        <f ca="1">OFFSET(#REF!,-1,0)-#REF!</f>
        <v>#REF!</v>
      </c>
      <c r="G5" s="3" t="e">
        <f ca="1">OFFSET(#REF!,-1,0)-#REF!</f>
        <v>#REF!</v>
      </c>
      <c r="H5" s="3" t="e">
        <f ca="1">OFFSET(#REF!,-1,0)-#REF!</f>
        <v>#REF!</v>
      </c>
      <c r="I5" s="3" t="e">
        <f ca="1">OFFSET(#REF!,-1,0)-#REF!-#REF!</f>
        <v>#REF!</v>
      </c>
      <c r="J5" s="3" t="e">
        <f ca="1">OFFSET(#REF!,-1,0)-#REF!</f>
        <v>#REF!</v>
      </c>
      <c r="K5" s="3" t="e">
        <f ca="1">OFFSET(#REF!,-1,0)-#REF!-#REF!</f>
        <v>#REF!</v>
      </c>
      <c r="L5" s="3" t="e">
        <f ca="1">OFFSET(#REF!,-1,0)-#REF!</f>
        <v>#REF!</v>
      </c>
      <c r="M5" s="134"/>
      <c r="N5" s="39" t="e">
        <f>#REF!</f>
        <v>#REF!</v>
      </c>
      <c r="O5" s="134"/>
      <c r="P5" s="237" t="e">
        <f>#REF!*spec_op+#REF!*(elite1_base_op)+#REF!*(elite2_base_op+dark_elf*#REF!+icekin*#REF!+woodie*#REF!+orc*#REF!)+kobold*#REF!</f>
        <v>#REF!</v>
      </c>
      <c r="Q5" s="132" t="e">
        <f>race_offense+#REF!+ROUND(MIN(gn_bonus*#REF!/#REF!,gn_bonus_cap),4)+MAX(IF(#REF!&gt;0,warsong_bonus),IF(#REF!&gt;0,howling_op_bonus),IF(#REF!&gt;0,nightfall_bonus),IF(#REF!&gt;0,#REF!)) +#REF!/ 100*prestige_offense_bonus + tech_5_4*#REF! + tech_7_4*#REF!</f>
        <v>#REF!</v>
      </c>
      <c r="R5" s="237" t="e">
        <f>#REF!*(1+#REF!)</f>
        <v>#REF!</v>
      </c>
      <c r="S5" s="237" t="e">
        <f>#REF!*spec_dp+#REF!*(elite1_base_dp+woodie*#REF!+sylvan*#REF!+gnome*#REF!+icekin*#REF!+nox*#REF!)+#REF!*(elite2_base_dp+woodie*#REF!) + fh_peas_dp*MIN(#REF!,20*#REF!)+kobold*#REF!</f>
        <v>#REF!</v>
      </c>
      <c r="T5" s="237" t="e">
        <f>#REF!+#REF!</f>
        <v>#REF!</v>
      </c>
      <c r="U5" s="238" t="e">
        <f>race_defense +#REF! + ROUND( MIN(gt_bonus*#REF!/#REF!,gt_bonus_cap), 4) + IF(#REF!&gt;0,howling_dp_bonus,IF(#REF!&gt;0,ares_call_bonus))</f>
        <v>#REF!</v>
      </c>
      <c r="V5" s="239" t="e">
        <f>#REF! * (1 +#REF!)</f>
        <v>#REF!</v>
      </c>
      <c r="W5" s="237" t="e">
        <f>#REF! * (1 +#REF!)</f>
        <v>#REF!</v>
      </c>
      <c r="X5" s="237" t="e">
        <f>#REF!</f>
        <v>#REF!</v>
      </c>
      <c r="Y5" s="240"/>
      <c r="Z5" s="135" t="e">
        <f ca="1">IF(#REF!&lt;&gt;"",#REF!,OFFSET(#REF!,-1,0))</f>
        <v>#REF!</v>
      </c>
      <c r="AA5" s="39" t="e">
        <f ca="1">OFFSET(#REF!,-1,0)+OFFSET(#REF!,-1,0) - SUM(#REF!,#REF!) -#REF! + SUM(#REF!) -#REF!</f>
        <v>#REF!</v>
      </c>
      <c r="AB5" s="133"/>
      <c r="AC5" s="132" t="e">
        <f>(#REF!+#REF!)/(#REF!-#REF!*20)</f>
        <v>#REF!</v>
      </c>
      <c r="AD5" s="130"/>
      <c r="AE5" s="236" t="e">
        <f>#REF!</f>
        <v>#REF!</v>
      </c>
      <c r="AF5" s="131" t="e">
        <f>#REF!</f>
        <v>#REF!</v>
      </c>
      <c r="AG5" s="164"/>
      <c r="AH5" s="164"/>
      <c r="AI5" s="164"/>
      <c r="AJ5" s="164"/>
      <c r="AK5" s="164"/>
      <c r="AL5" s="164"/>
      <c r="AM5" s="164"/>
      <c r="AN5" s="164"/>
      <c r="AO5" s="134"/>
      <c r="AP5" s="39" t="e">
        <f>#REF!</f>
        <v>#REF!</v>
      </c>
      <c r="AQ5" s="39" t="e">
        <f>INDEX(#REF!:#REF!,COUNTA(#REF!:#REF!),MATCH(Military!$AQ$2,#REF!,0))</f>
        <v>#REF!</v>
      </c>
      <c r="AR5" s="39" t="e">
        <f>#REF!*#REF!+#REF!*#REF!+#REF!*#REF!+#REF!*#REF!+#REF!*#REF!+#REF!*#REF!+#REF!*#REF!</f>
        <v>#REF!</v>
      </c>
      <c r="AS5" s="39" t="e">
        <f>#REF!*#REF!+#REF!*#REF!+#REF!*#REF!+#REF!*#REF!</f>
        <v>#REF!</v>
      </c>
      <c r="AT5" s="134" t="e">
        <f>#REF!</f>
        <v>#REF!</v>
      </c>
      <c r="AU5" s="143" t="e">
        <f>#REF!</f>
        <v>#REF!</v>
      </c>
      <c r="AV5" s="39" t="e">
        <f>#REF!</f>
        <v>#REF!</v>
      </c>
      <c r="AW5" s="146"/>
      <c r="AX5" s="164"/>
      <c r="AY5" s="164"/>
      <c r="AZ5" s="164"/>
      <c r="BA5" s="164"/>
      <c r="BB5" s="164"/>
      <c r="BC5" s="164"/>
      <c r="BD5" s="164"/>
      <c r="BE5" s="164"/>
      <c r="BF5" s="134"/>
      <c r="BG5" s="132" t="e">
        <f>#REF!/#REF!</f>
        <v>#REF!</v>
      </c>
      <c r="BH5" s="132" t="e">
        <f>#REF!/#REF!</f>
        <v>#REF!</v>
      </c>
      <c r="BI5" s="39" t="e">
        <f>ROUNDUP((1-MIN(#REF!*smithy_bonus,smithy_bonus_cap) + tech_3_5*#REF! + tech_5_3*#REF! + tech_5_5*#REF!)*spec_op_plat,0)</f>
        <v>#REF!</v>
      </c>
      <c r="BJ5" s="39" t="e">
        <f>ROUNDUP(IF(race="Gnome",1,(1-MIN(#REF!*smithy_bonus,smithy_bonus_cap) + tech_3_5*#REF! + tech_5_3*#REF! + tech_5_5*#REF!))*spec_op_ore,0)</f>
        <v>#REF!</v>
      </c>
      <c r="BK5" s="39" t="e">
        <f>ROUNDUP((1-MIN(#REF!*smithy_bonus,smithy_bonus_cap) + tech_3_5*#REF! + tech_5_3*#REF! + tech_5_5*#REF!)*spec_dp_plat,0)</f>
        <v>#REF!</v>
      </c>
      <c r="BL5" s="39" t="e">
        <f>ROUNDUP(IF(race="Gnome",1,(1-MIN(#REF!*smithy_bonus,smithy_bonus_cap) + tech_3_5*#REF! + tech_5_3*#REF! + tech_5_5*#REF!))*spec_dp_ore,0)</f>
        <v>#REF!</v>
      </c>
      <c r="BM5" s="39" t="e">
        <f>ROUNDUP((1-MIN(#REF!*smithy_bonus,smithy_bonus_cap) + tech_3_5*#REF! + tech_5_3*#REF! + tech_5_5*#REF!)*elite1_plat,0)</f>
        <v>#REF!</v>
      </c>
      <c r="BN5" s="39" t="e">
        <f>ROUNDUP(IF(race="Gnome",1,(1-MIN(#REF!*smithy_bonus,smithy_bonus_cap) + tech_3_5*#REF! + tech_5_3*#REF! + tech_5_5*#REF!))*elite1_ore,0)</f>
        <v>#REF!</v>
      </c>
      <c r="BO5" s="39" t="e">
        <f>ROUNDUP((1-MIN(#REF!*smithy_bonus,smithy_bonus_cap) + tech_3_5*#REF! + tech_5_3*#REF! + tech_5_5*#REF!)*elite2_plat,0)</f>
        <v>#REF!</v>
      </c>
      <c r="BP5" s="39" t="e">
        <f>ROUNDUP(IF(race="Gnome",1,(1-MIN(#REF!*smithy_bonus,smithy_bonus_cap) + tech_3_5*#REF! + tech_5_3*#REF! + tech_5_5*#REF!))*elite2_ore,0)</f>
        <v>#REF!</v>
      </c>
      <c r="BQ5" s="39" t="e">
        <f>ROUNDUP((1-MIN(ROUND(fh_spy_cost_red*#REF!,4),fh_spy_cost_cap)+ tech_1_9*#REF! + tech_9_1*#REF!)*spy_plat,0)</f>
        <v>#REF!</v>
      </c>
      <c r="BR5" s="39" t="e">
        <f>ROUNDUP((1-MIN(ROUND(fh_spy_cost_red*#REF!,4),fh_spy_cost_cap)+ tech_1_9*#REF! + tech_9_1*#REF!)*archspy_plat,0)</f>
        <v>#REF!</v>
      </c>
      <c r="BS5" s="39" t="e">
        <f>ROUNDUP((1-MIN(ROUND(wg_wiz_cost_bonus*#REF!,4),wg_wiz_cost_cap) + tech_1_9_2*#REF! + tech_9_1_2*#REF!)*wizard_plat,0)</f>
        <v>#REF!</v>
      </c>
      <c r="BT5" s="39" t="e">
        <f>ROUNDUP((1-MIN(ROUND(wg_wiz_cost_bonus*#REF!,4),wg_wiz_cost_cap) + tech_1_9_2*#REF! + tech_9_1_2*#REF!)*archmage_plat,0)</f>
        <v>#REF!</v>
      </c>
      <c r="BU5" s="134"/>
      <c r="BV5" s="132" t="e">
        <f>#REF!/#REF!</f>
        <v>#REF!</v>
      </c>
      <c r="BW5" s="132" t="e">
        <f>#REF!</f>
        <v>#REF!</v>
      </c>
      <c r="BX5" s="241" t="e">
        <f>IF(mystic_cap="none",#REF!/mystic_bonus,MIN(mystic_cap,#REF!/mystic_bonus))</f>
        <v>#REF!</v>
      </c>
      <c r="BY5" s="241" t="e">
        <f>IF(druid_op_cap="none",#REF!/druid_op_bonus,MIN(druid_op_cap,#REF!/druid_op_bonus))</f>
        <v>#REF!</v>
      </c>
      <c r="BZ5" s="241" t="e">
        <f>IF(druid_dp_cap="none",#REF!/druid_dp_bonus,MIN(druid_dp_cap,#REF!/druid_dp_bonus))</f>
        <v>#REF!</v>
      </c>
      <c r="CA5" s="241" t="e">
        <f>MIN(dryad_cap,#REF!/dryad_bonus)</f>
        <v>#REF!</v>
      </c>
      <c r="CB5" s="241" t="e">
        <f>MIN(rocka_cap,#REF!/rocka_bonus)</f>
        <v>#REF!</v>
      </c>
      <c r="CC5" s="241" t="e">
        <f>MIN(adept_op_cap,#REF!/adept_op_bonus)</f>
        <v>#REF!</v>
      </c>
      <c r="CD5" s="241" t="e">
        <f>MIN(adept_dp_cap,#REF!/adept_dp_bonus)</f>
        <v>#REF!</v>
      </c>
      <c r="CE5" s="39" t="e">
        <f>MIN(#REF!,#REF!)*2</f>
        <v>#REF!</v>
      </c>
      <c r="CF5" s="39" t="e">
        <f>MIN(#REF!,#REF!)*2</f>
        <v>#REF!</v>
      </c>
      <c r="CG5" s="241" t="e">
        <f>MIN(frost_mage_cap,#REF!/frost_mage_bonus)</f>
        <v>#REF!</v>
      </c>
      <c r="CH5" s="3" t="e">
        <f>MIN(ice_elem_cap,#REF!*ice_elem_bonus)</f>
        <v>#REF!</v>
      </c>
      <c r="CI5" s="241">
        <f t="shared" si="0"/>
        <v>0.83333333333333337</v>
      </c>
      <c r="CJ5" s="241" t="e">
        <f>MIN(nox_nightshade_cap,#REF!/#REF!/nox_nightshade_swamp_bonus)</f>
        <v>#REF!</v>
      </c>
      <c r="CK5" s="242" t="s">
        <v>92</v>
      </c>
      <c r="CL5" s="242" t="b">
        <f t="shared" ref="CL5:CL12" si="1">race=CK5</f>
        <v>0</v>
      </c>
      <c r="CM5" s="242"/>
      <c r="CN5" s="241" t="e">
        <f>MIN(6,#REF!+Races!$F$19)*1.8 +  IF(#REF!+Races!$F$19&gt;6,(#REF!+Races!$F$19-6)*0.2,0) - Races!$I$19</f>
        <v>#REF!</v>
      </c>
      <c r="CO5" s="241" t="e">
        <f>1.8 * MIN(MAX(#REF!+Races!$E$20,#REF!+Races!$F$20),6)  +  0.45 * MIN(MIN(#REF!+Races!$E$20,#REF!+Races!$F$20),6)  +  0.2 * ( MAX(#REF!+Races!$E$20-6,0) + MAX(#REF!+Races!$F$20-6,0) )  -  Races!$I$20</f>
        <v>#REF!</v>
      </c>
      <c r="CP5" s="39" t="e">
        <f>#REF!*#REF!+#REF!*#REF!</f>
        <v>#REF!</v>
      </c>
      <c r="CQ5" s="145" t="e">
        <f>MIN(6,#REF!+Races!$F$35)*1.8 +  IF(#REF!+Races!$F$35&gt;6,(#REF!+Races!$F$35-6)*0.2,0) - Races!$I$19</f>
        <v>#REF!</v>
      </c>
      <c r="CR5" s="39" t="e">
        <f>sylvan*(#REF!*#REF!)</f>
        <v>#REF!</v>
      </c>
      <c r="CS5" s="145" t="e">
        <f>1.8 * MIN(MAX(Races!$E$27,#REF!+Races!$F$27),6)  +  0.45 * MIN(MIN(Races!$E$27,#REF!+Races!$F$27),6)  +  0.2 * ( MAX(Races!$E$27-6,0) + MAX(#REF!+Races!$F$27-6,0) )  -  Races!$I$20</f>
        <v>#REF!</v>
      </c>
      <c r="CT5" s="39" t="e">
        <f>gnome*(#REF!*#REF!)</f>
        <v>#REF!</v>
      </c>
      <c r="CU5" s="145" t="e">
        <f>1.8 * MIN(MAX(#REF!+Races!$E$47,#REF!+Races!$F$47),6)  +  0.45 * MIN(MIN(#REF!+Races!$E$47,#REF!+Races!$F$47),6)  +  0.2 * ( MAX(#REF!+Races!$E$47-6,0) + MAX(#REF!+Races!$F$47-6,0) )  -  Races!$I$47</f>
        <v>#REF!</v>
      </c>
      <c r="CV5" s="39" t="e">
        <f>dark_elf*(#REF!*#REF!)</f>
        <v>#REF!</v>
      </c>
      <c r="CW5" s="145" t="e">
        <f>1.8 * MIN(MAX(#REF!+Races!$F$71,Races!$E$71),6)  +  0.45 * MIN(MIN(#REF!+Races!$F$71,Races!$E$71),6)  +  0.2 * ( MAX(#REF!+Races!$F$71-6,0) + MAX(Races!$E$71-6,0) )  -  Races!$I$71</f>
        <v>#REF!</v>
      </c>
      <c r="CX5" s="145" t="e">
        <f>1.8 * MIN(MAX(#REF!+Races!$E$71,Races!$F$71),6)  +  0.45 * MIN(MIN(#REF!+Races!$E$71,Races!$F$71),6)  +  0.2 * ( MAX(#REF!+Races!$E$71-6,0) + MAX(Races!$F$71-6,0) )  -  Races!$I$71</f>
        <v>#REF!</v>
      </c>
      <c r="CY5" s="39" t="e">
        <f>#REF!*#REF!+#REF!*#REF!</f>
        <v>#REF!</v>
      </c>
      <c r="CZ5" s="243"/>
      <c r="DA5" s="135" t="e">
        <f>MIN(SUM(#REF!)/#REF!/favorable_terrain_bonus/100,favorable_terrain_max)</f>
        <v>#REF!</v>
      </c>
      <c r="DB5" s="243"/>
      <c r="DC5"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5" s="134"/>
      <c r="DE5" s="244" t="e">
        <f>(#REF!+2*#REF!)/#REF!</f>
        <v>#REF!</v>
      </c>
      <c r="DF5" s="244" t="e">
        <f>#REF!*(1+race_wizard_strength+IF(#REF!&gt;72,tech_magical_weaponry_wiz*#REF!,0))</f>
        <v>#REF!</v>
      </c>
    </row>
    <row r="6" spans="1:110" x14ac:dyDescent="0.25">
      <c r="A6" s="130" t="e">
        <f>#REF!</f>
        <v>#REF!</v>
      </c>
      <c r="B6" s="236" t="e">
        <f ca="1">SUM(#REF!)+SUM(OFFSET(#REF!,-2,0):#REF!)+#REF!</f>
        <v>#REF!</v>
      </c>
      <c r="C6" s="132" t="e">
        <f>#REF!</f>
        <v>#REF!</v>
      </c>
      <c r="D6" s="134"/>
      <c r="E6" s="3" t="e">
        <f ca="1">OFFSET(#REF!,-1,0) -#REF!</f>
        <v>#REF!</v>
      </c>
      <c r="F6" s="3" t="e">
        <f ca="1">OFFSET(#REF!,-1,0)-#REF!</f>
        <v>#REF!</v>
      </c>
      <c r="G6" s="3" t="e">
        <f ca="1">OFFSET(#REF!,-1,0)-#REF!</f>
        <v>#REF!</v>
      </c>
      <c r="H6" s="3" t="e">
        <f ca="1">OFFSET(#REF!,-1,0)-#REF!</f>
        <v>#REF!</v>
      </c>
      <c r="I6" s="3" t="e">
        <f ca="1">OFFSET(#REF!,-1,0)-#REF!-#REF!</f>
        <v>#REF!</v>
      </c>
      <c r="J6" s="3" t="e">
        <f ca="1">OFFSET(#REF!,-1,0)-#REF!</f>
        <v>#REF!</v>
      </c>
      <c r="K6" s="3" t="e">
        <f ca="1">OFFSET(#REF!,-1,0)-#REF!-#REF!</f>
        <v>#REF!</v>
      </c>
      <c r="L6" s="3" t="e">
        <f ca="1">OFFSET(#REF!,-1,0)-#REF!</f>
        <v>#REF!</v>
      </c>
      <c r="M6" s="134"/>
      <c r="N6" s="39" t="e">
        <f>#REF!</f>
        <v>#REF!</v>
      </c>
      <c r="O6" s="134"/>
      <c r="P6" s="237" t="e">
        <f>#REF!*spec_op+#REF!*(elite1_base_op)+#REF!*(elite2_base_op+dark_elf*#REF!+icekin*#REF!+woodie*#REF!+orc*#REF!)+kobold*#REF!</f>
        <v>#REF!</v>
      </c>
      <c r="Q6" s="132" t="e">
        <f>race_offense+#REF!+ROUND(MIN(gn_bonus*#REF!/#REF!,gn_bonus_cap),4)+MAX(IF(#REF!&gt;0,warsong_bonus),IF(#REF!&gt;0,howling_op_bonus),IF(#REF!&gt;0,nightfall_bonus),IF(#REF!&gt;0,#REF!)) +#REF!/ 100*prestige_offense_bonus + tech_5_4*#REF! + tech_7_4*#REF!</f>
        <v>#REF!</v>
      </c>
      <c r="R6" s="237" t="e">
        <f>#REF!*(1+#REF!)</f>
        <v>#REF!</v>
      </c>
      <c r="S6" s="237" t="e">
        <f>#REF!*spec_dp+#REF!*(elite1_base_dp+woodie*#REF!+sylvan*#REF!+gnome*#REF!+icekin*#REF!+nox*#REF!)+#REF!*(elite2_base_dp+woodie*#REF!) + fh_peas_dp*MIN(#REF!,20*#REF!)+kobold*#REF!</f>
        <v>#REF!</v>
      </c>
      <c r="T6" s="237" t="e">
        <f>#REF!+#REF!</f>
        <v>#REF!</v>
      </c>
      <c r="U6" s="238" t="e">
        <f>race_defense +#REF! + ROUND( MIN(gt_bonus*#REF!/#REF!,gt_bonus_cap), 4) + IF(#REF!&gt;0,howling_dp_bonus,IF(#REF!&gt;0,ares_call_bonus))</f>
        <v>#REF!</v>
      </c>
      <c r="V6" s="239" t="e">
        <f>#REF! * (1 +#REF!)</f>
        <v>#REF!</v>
      </c>
      <c r="W6" s="237" t="e">
        <f>#REF! * (1 +#REF!)</f>
        <v>#REF!</v>
      </c>
      <c r="X6" s="237" t="e">
        <f>#REF!</f>
        <v>#REF!</v>
      </c>
      <c r="Y6" s="240"/>
      <c r="Z6" s="135" t="e">
        <f ca="1">IF(#REF!&lt;&gt;"",#REF!,OFFSET(#REF!,-1,0))</f>
        <v>#REF!</v>
      </c>
      <c r="AA6" s="39" t="e">
        <f ca="1">OFFSET(#REF!,-1,0)+OFFSET(#REF!,-1,0) - SUM(#REF!,#REF!) -#REF! + SUM(#REF!) -#REF!</f>
        <v>#REF!</v>
      </c>
      <c r="AB6" s="133"/>
      <c r="AC6" s="132" t="e">
        <f>(#REF!+#REF!)/(#REF!-#REF!*20)</f>
        <v>#REF!</v>
      </c>
      <c r="AD6" s="130"/>
      <c r="AE6" s="236" t="e">
        <f>#REF!</f>
        <v>#REF!</v>
      </c>
      <c r="AF6" s="131" t="e">
        <f>#REF!</f>
        <v>#REF!</v>
      </c>
      <c r="AG6" s="164"/>
      <c r="AH6" s="164"/>
      <c r="AI6" s="164"/>
      <c r="AJ6" s="164"/>
      <c r="AK6" s="164"/>
      <c r="AL6" s="164"/>
      <c r="AM6" s="164"/>
      <c r="AN6" s="164"/>
      <c r="AO6" s="134"/>
      <c r="AP6" s="39" t="e">
        <f>#REF!</f>
        <v>#REF!</v>
      </c>
      <c r="AQ6" s="39" t="e">
        <f>INDEX(#REF!:#REF!,COUNTA(#REF!:#REF!),MATCH(Military!$AQ$2,#REF!,0))</f>
        <v>#REF!</v>
      </c>
      <c r="AR6" s="39" t="e">
        <f>#REF!*#REF!+#REF!*#REF!+#REF!*#REF!+#REF!*#REF!+#REF!*#REF!+#REF!*#REF!+#REF!*#REF!</f>
        <v>#REF!</v>
      </c>
      <c r="AS6" s="39" t="e">
        <f>#REF!*#REF!+#REF!*#REF!+#REF!*#REF!+#REF!*#REF!</f>
        <v>#REF!</v>
      </c>
      <c r="AT6" s="134" t="e">
        <f>#REF!</f>
        <v>#REF!</v>
      </c>
      <c r="AU6" s="143" t="e">
        <f>#REF!</f>
        <v>#REF!</v>
      </c>
      <c r="AV6" s="39" t="e">
        <f>#REF!</f>
        <v>#REF!</v>
      </c>
      <c r="AW6" s="164"/>
      <c r="AX6" s="164"/>
      <c r="AY6" s="164"/>
      <c r="AZ6" s="164"/>
      <c r="BA6" s="164"/>
      <c r="BB6" s="164"/>
      <c r="BC6" s="164"/>
      <c r="BD6" s="164"/>
      <c r="BE6" s="164"/>
      <c r="BF6" s="134"/>
      <c r="BG6" s="132" t="e">
        <f>#REF!/#REF!</f>
        <v>#REF!</v>
      </c>
      <c r="BH6" s="132" t="e">
        <f>#REF!/#REF!</f>
        <v>#REF!</v>
      </c>
      <c r="BI6" s="39" t="e">
        <f>ROUNDUP((1-MIN(#REF!*smithy_bonus,smithy_bonus_cap) + tech_3_5*#REF! + tech_5_3*#REF! + tech_5_5*#REF!)*spec_op_plat,0)</f>
        <v>#REF!</v>
      </c>
      <c r="BJ6" s="39" t="e">
        <f>ROUNDUP(IF(race="Gnome",1,(1-MIN(#REF!*smithy_bonus,smithy_bonus_cap) + tech_3_5*#REF! + tech_5_3*#REF! + tech_5_5*#REF!))*spec_op_ore,0)</f>
        <v>#REF!</v>
      </c>
      <c r="BK6" s="39" t="e">
        <f>ROUNDUP((1-MIN(#REF!*smithy_bonus,smithy_bonus_cap) + tech_3_5*#REF! + tech_5_3*#REF! + tech_5_5*#REF!)*spec_dp_plat,0)</f>
        <v>#REF!</v>
      </c>
      <c r="BL6" s="39" t="e">
        <f>ROUNDUP(IF(race="Gnome",1,(1-MIN(#REF!*smithy_bonus,smithy_bonus_cap) + tech_3_5*#REF! + tech_5_3*#REF! + tech_5_5*#REF!))*spec_dp_ore,0)</f>
        <v>#REF!</v>
      </c>
      <c r="BM6" s="39" t="e">
        <f>ROUNDUP((1-MIN(#REF!*smithy_bonus,smithy_bonus_cap) + tech_3_5*#REF! + tech_5_3*#REF! + tech_5_5*#REF!)*elite1_plat,0)</f>
        <v>#REF!</v>
      </c>
      <c r="BN6" s="39" t="e">
        <f>ROUNDUP(IF(race="Gnome",1,(1-MIN(#REF!*smithy_bonus,smithy_bonus_cap) + tech_3_5*#REF! + tech_5_3*#REF! + tech_5_5*#REF!))*elite1_ore,0)</f>
        <v>#REF!</v>
      </c>
      <c r="BO6" s="39" t="e">
        <f>ROUNDUP((1-MIN(#REF!*smithy_bonus,smithy_bonus_cap) + tech_3_5*#REF! + tech_5_3*#REF! + tech_5_5*#REF!)*elite2_plat,0)</f>
        <v>#REF!</v>
      </c>
      <c r="BP6" s="39" t="e">
        <f>ROUNDUP(IF(race="Gnome",1,(1-MIN(#REF!*smithy_bonus,smithy_bonus_cap) + tech_3_5*#REF! + tech_5_3*#REF! + tech_5_5*#REF!))*elite2_ore,0)</f>
        <v>#REF!</v>
      </c>
      <c r="BQ6" s="39" t="e">
        <f>ROUNDUP((1-MIN(ROUND(fh_spy_cost_red*#REF!,4),fh_spy_cost_cap)+ tech_1_9*#REF! + tech_9_1*#REF!)*spy_plat,0)</f>
        <v>#REF!</v>
      </c>
      <c r="BR6" s="39" t="e">
        <f>ROUNDUP((1-MIN(ROUND(fh_spy_cost_red*#REF!,4),fh_spy_cost_cap)+ tech_1_9*#REF! + tech_9_1*#REF!)*archspy_plat,0)</f>
        <v>#REF!</v>
      </c>
      <c r="BS6" s="39" t="e">
        <f>ROUNDUP((1-MIN(ROUND(wg_wiz_cost_bonus*#REF!,4),wg_wiz_cost_cap) + tech_1_9_2*#REF! + tech_9_1_2*#REF!)*wizard_plat,0)</f>
        <v>#REF!</v>
      </c>
      <c r="BT6" s="39" t="e">
        <f>ROUNDUP((1-MIN(ROUND(wg_wiz_cost_bonus*#REF!,4),wg_wiz_cost_cap) + tech_1_9_2*#REF! + tech_9_1_2*#REF!)*archmage_plat,0)</f>
        <v>#REF!</v>
      </c>
      <c r="BU6" s="134"/>
      <c r="BV6" s="132" t="e">
        <f>#REF!/#REF!</f>
        <v>#REF!</v>
      </c>
      <c r="BW6" s="132" t="e">
        <f>#REF!</f>
        <v>#REF!</v>
      </c>
      <c r="BX6" s="241" t="e">
        <f>IF(mystic_cap="none",#REF!/mystic_bonus,MIN(mystic_cap,#REF!/mystic_bonus))</f>
        <v>#REF!</v>
      </c>
      <c r="BY6" s="241" t="e">
        <f>IF(druid_op_cap="none",#REF!/druid_op_bonus,MIN(druid_op_cap,#REF!/druid_op_bonus))</f>
        <v>#REF!</v>
      </c>
      <c r="BZ6" s="241" t="e">
        <f>IF(druid_dp_cap="none",#REF!/druid_dp_bonus,MIN(druid_dp_cap,#REF!/druid_dp_bonus))</f>
        <v>#REF!</v>
      </c>
      <c r="CA6" s="241" t="e">
        <f>MIN(dryad_cap,#REF!/dryad_bonus)</f>
        <v>#REF!</v>
      </c>
      <c r="CB6" s="241" t="e">
        <f>MIN(rocka_cap,#REF!/rocka_bonus)</f>
        <v>#REF!</v>
      </c>
      <c r="CC6" s="241" t="e">
        <f>MIN(adept_op_cap,#REF!/adept_op_bonus)</f>
        <v>#REF!</v>
      </c>
      <c r="CD6" s="241" t="e">
        <f>MIN(adept_dp_cap,#REF!/adept_dp_bonus)</f>
        <v>#REF!</v>
      </c>
      <c r="CE6" s="39" t="e">
        <f>MIN(#REF!,#REF!)*2</f>
        <v>#REF!</v>
      </c>
      <c r="CF6" s="39" t="e">
        <f>MIN(#REF!,#REF!)*2</f>
        <v>#REF!</v>
      </c>
      <c r="CG6" s="241" t="e">
        <f>MIN(frost_mage_cap,#REF!/frost_mage_bonus)</f>
        <v>#REF!</v>
      </c>
      <c r="CH6" s="3" t="e">
        <f>MIN(ice_elem_cap,#REF!*ice_elem_bonus)</f>
        <v>#REF!</v>
      </c>
      <c r="CI6" s="241">
        <f t="shared" si="0"/>
        <v>0.83333333333333337</v>
      </c>
      <c r="CJ6" s="241" t="e">
        <f>MIN(nox_nightshade_cap,#REF!/#REF!/nox_nightshade_swamp_bonus)</f>
        <v>#REF!</v>
      </c>
      <c r="CK6" s="242" t="s">
        <v>96</v>
      </c>
      <c r="CL6" s="242" t="b">
        <f t="shared" si="1"/>
        <v>0</v>
      </c>
      <c r="CM6" s="242"/>
      <c r="CN6" s="241" t="e">
        <f>MIN(6,#REF!+Races!$F$19)*1.8 +  IF(#REF!+Races!$F$19&gt;6,(#REF!+Races!$F$19-6)*0.2,0) - Races!$I$19</f>
        <v>#REF!</v>
      </c>
      <c r="CO6" s="241" t="e">
        <f>1.8 * MIN(MAX(#REF!+Races!$E$20,#REF!+Races!$F$20),6)  +  0.45 * MIN(MIN(#REF!+Races!$E$20,#REF!+Races!$F$20),6)  +  0.2 * ( MAX(#REF!+Races!$E$20-6,0) + MAX(#REF!+Races!$F$20-6,0) )  -  Races!$I$20</f>
        <v>#REF!</v>
      </c>
      <c r="CP6" s="39" t="e">
        <f>#REF!*#REF!+#REF!*#REF!</f>
        <v>#REF!</v>
      </c>
      <c r="CQ6" s="145" t="e">
        <f>MIN(6,#REF!+Races!$F$35)*1.8 +  IF(#REF!+Races!$F$35&gt;6,(#REF!+Races!$F$35-6)*0.2,0) - Races!$I$19</f>
        <v>#REF!</v>
      </c>
      <c r="CR6" s="39" t="e">
        <f>sylvan*(#REF!*#REF!)</f>
        <v>#REF!</v>
      </c>
      <c r="CS6" s="145" t="e">
        <f>1.8 * MIN(MAX(Races!$E$27,#REF!+Races!$F$27),6)  +  0.45 * MIN(MIN(Races!$E$27,#REF!+Races!$F$27),6)  +  0.2 * ( MAX(Races!$E$27-6,0) + MAX(#REF!+Races!$F$27-6,0) )  -  Races!$I$20</f>
        <v>#REF!</v>
      </c>
      <c r="CT6" s="39" t="e">
        <f>gnome*(#REF!*#REF!)</f>
        <v>#REF!</v>
      </c>
      <c r="CU6" s="145" t="e">
        <f>1.8 * MIN(MAX(#REF!+Races!$E$47,#REF!+Races!$F$47),6)  +  0.45 * MIN(MIN(#REF!+Races!$E$47,#REF!+Races!$F$47),6)  +  0.2 * ( MAX(#REF!+Races!$E$47-6,0) + MAX(#REF!+Races!$F$47-6,0) )  -  Races!$I$47</f>
        <v>#REF!</v>
      </c>
      <c r="CV6" s="39" t="e">
        <f>dark_elf*(#REF!*#REF!)</f>
        <v>#REF!</v>
      </c>
      <c r="CW6" s="145" t="e">
        <f>1.8 * MIN(MAX(#REF!+Races!$F$71,Races!$E$71),6)  +  0.45 * MIN(MIN(#REF!+Races!$F$71,Races!$E$71),6)  +  0.2 * ( MAX(#REF!+Races!$F$71-6,0) + MAX(Races!$E$71-6,0) )  -  Races!$I$71</f>
        <v>#REF!</v>
      </c>
      <c r="CX6" s="145" t="e">
        <f>1.8 * MIN(MAX(#REF!+Races!$E$71,Races!$F$71),6)  +  0.45 * MIN(MIN(#REF!+Races!$E$71,Races!$F$71),6)  +  0.2 * ( MAX(#REF!+Races!$E$71-6,0) + MAX(Races!$F$71-6,0) )  -  Races!$I$71</f>
        <v>#REF!</v>
      </c>
      <c r="CY6" s="39" t="e">
        <f>#REF!*#REF!+#REF!*#REF!</f>
        <v>#REF!</v>
      </c>
      <c r="CZ6" s="243"/>
      <c r="DA6" s="135" t="e">
        <f>MIN(SUM(#REF!)/#REF!/favorable_terrain_bonus/100,favorable_terrain_max)</f>
        <v>#REF!</v>
      </c>
      <c r="DB6" s="243"/>
      <c r="DC6"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6" s="134"/>
      <c r="DE6" s="244" t="e">
        <f>(#REF!+2*#REF!)/#REF!</f>
        <v>#REF!</v>
      </c>
      <c r="DF6" s="244" t="e">
        <f>#REF!*(1+race_wizard_strength+IF(#REF!&gt;72,tech_magical_weaponry_wiz*#REF!,0))</f>
        <v>#REF!</v>
      </c>
    </row>
    <row r="7" spans="1:110" x14ac:dyDescent="0.25">
      <c r="A7" s="130" t="e">
        <f>#REF!</f>
        <v>#REF!</v>
      </c>
      <c r="B7" s="236" t="e">
        <f ca="1">SUM(#REF!)+SUM(OFFSET(#REF!,-3,0):#REF!)+#REF!</f>
        <v>#REF!</v>
      </c>
      <c r="C7" s="132" t="e">
        <f>#REF!</f>
        <v>#REF!</v>
      </c>
      <c r="D7" s="134"/>
      <c r="E7" s="3" t="e">
        <f ca="1">OFFSET(#REF!,-1,0) -#REF!</f>
        <v>#REF!</v>
      </c>
      <c r="F7" s="3" t="e">
        <f ca="1">OFFSET(#REF!,-1,0)-#REF!</f>
        <v>#REF!</v>
      </c>
      <c r="G7" s="3" t="e">
        <f ca="1">OFFSET(#REF!,-1,0)-#REF!</f>
        <v>#REF!</v>
      </c>
      <c r="H7" s="3" t="e">
        <f ca="1">OFFSET(#REF!,-1,0)-#REF!</f>
        <v>#REF!</v>
      </c>
      <c r="I7" s="3" t="e">
        <f ca="1">OFFSET(#REF!,-1,0)-#REF!-#REF!</f>
        <v>#REF!</v>
      </c>
      <c r="J7" s="3" t="e">
        <f ca="1">OFFSET(#REF!,-1,0)-#REF!</f>
        <v>#REF!</v>
      </c>
      <c r="K7" s="3" t="e">
        <f ca="1">OFFSET(#REF!,-1,0)-#REF!-#REF!</f>
        <v>#REF!</v>
      </c>
      <c r="L7" s="3" t="e">
        <f ca="1">OFFSET(#REF!,-1,0)-#REF!</f>
        <v>#REF!</v>
      </c>
      <c r="M7" s="134"/>
      <c r="N7" s="39" t="e">
        <f>#REF!</f>
        <v>#REF!</v>
      </c>
      <c r="O7" s="134"/>
      <c r="P7" s="237" t="e">
        <f>#REF!*spec_op+#REF!*(elite1_base_op)+#REF!*(elite2_base_op+dark_elf*#REF!+icekin*#REF!+woodie*#REF!+orc*#REF!)+kobold*#REF!</f>
        <v>#REF!</v>
      </c>
      <c r="Q7" s="132" t="e">
        <f>race_offense+#REF!+ROUND(MIN(gn_bonus*#REF!/#REF!,gn_bonus_cap),4)+MAX(IF(#REF!&gt;0,warsong_bonus),IF(#REF!&gt;0,howling_op_bonus),IF(#REF!&gt;0,nightfall_bonus),IF(#REF!&gt;0,#REF!)) +#REF!/ 100*prestige_offense_bonus + tech_5_4*#REF! + tech_7_4*#REF!</f>
        <v>#REF!</v>
      </c>
      <c r="R7" s="237" t="e">
        <f>#REF!*(1+#REF!)</f>
        <v>#REF!</v>
      </c>
      <c r="S7" s="237" t="e">
        <f>#REF!*spec_dp+#REF!*(elite1_base_dp+woodie*#REF!+sylvan*#REF!+gnome*#REF!+icekin*#REF!+nox*#REF!)+#REF!*(elite2_base_dp+woodie*#REF!) + fh_peas_dp*MIN(#REF!,20*#REF!)+kobold*#REF!</f>
        <v>#REF!</v>
      </c>
      <c r="T7" s="237" t="e">
        <f>#REF!+#REF!</f>
        <v>#REF!</v>
      </c>
      <c r="U7" s="238" t="e">
        <f>race_defense +#REF! + ROUND( MIN(gt_bonus*#REF!/#REF!,gt_bonus_cap), 4) + IF(#REF!&gt;0,howling_dp_bonus,IF(#REF!&gt;0,ares_call_bonus))</f>
        <v>#REF!</v>
      </c>
      <c r="V7" s="239" t="e">
        <f>#REF! * (1 +#REF!)</f>
        <v>#REF!</v>
      </c>
      <c r="W7" s="237" t="e">
        <f>#REF! * (1 +#REF!)</f>
        <v>#REF!</v>
      </c>
      <c r="X7" s="237" t="e">
        <f>#REF!</f>
        <v>#REF!</v>
      </c>
      <c r="Y7" s="240"/>
      <c r="Z7" s="135" t="e">
        <f ca="1">IF(#REF!&lt;&gt;"",#REF!,OFFSET(#REF!,-1,0))</f>
        <v>#REF!</v>
      </c>
      <c r="AA7" s="39" t="e">
        <f ca="1">OFFSET(#REF!,-1,0)+OFFSET(#REF!,-1,0) - SUM(#REF!,#REF!) -#REF! + SUM(#REF!) -#REF!</f>
        <v>#REF!</v>
      </c>
      <c r="AB7" s="133"/>
      <c r="AC7" s="132" t="e">
        <f>(#REF!+#REF!)/(#REF!-#REF!*20)</f>
        <v>#REF!</v>
      </c>
      <c r="AD7" s="130"/>
      <c r="AE7" s="236" t="e">
        <f>#REF!</f>
        <v>#REF!</v>
      </c>
      <c r="AF7" s="131" t="e">
        <f>#REF!</f>
        <v>#REF!</v>
      </c>
      <c r="AG7" s="164"/>
      <c r="AH7" s="164"/>
      <c r="AI7" s="164"/>
      <c r="AJ7" s="164"/>
      <c r="AK7" s="164"/>
      <c r="AL7" s="164"/>
      <c r="AM7" s="164"/>
      <c r="AN7" s="164"/>
      <c r="AO7" s="134"/>
      <c r="AP7" s="39" t="e">
        <f>#REF!</f>
        <v>#REF!</v>
      </c>
      <c r="AQ7" s="39" t="e">
        <f>INDEX(#REF!:#REF!,COUNTA(#REF!:#REF!),MATCH(Military!$AQ$2,#REF!,0))</f>
        <v>#REF!</v>
      </c>
      <c r="AR7" s="39" t="e">
        <f>#REF!*#REF!+#REF!*#REF!+#REF!*#REF!+#REF!*#REF!+#REF!*#REF!+#REF!*#REF!+#REF!*#REF!</f>
        <v>#REF!</v>
      </c>
      <c r="AS7" s="39" t="e">
        <f>#REF!*#REF!+#REF!*#REF!+#REF!*#REF!+#REF!*#REF!</f>
        <v>#REF!</v>
      </c>
      <c r="AT7" s="134" t="e">
        <f>#REF!</f>
        <v>#REF!</v>
      </c>
      <c r="AU7" s="143" t="e">
        <f>#REF!</f>
        <v>#REF!</v>
      </c>
      <c r="AV7" s="39" t="e">
        <f>#REF!</f>
        <v>#REF!</v>
      </c>
      <c r="AW7" s="164"/>
      <c r="AX7" s="164"/>
      <c r="AY7" s="164"/>
      <c r="AZ7" s="164"/>
      <c r="BA7" s="164"/>
      <c r="BB7" s="164"/>
      <c r="BC7" s="164"/>
      <c r="BD7" s="164"/>
      <c r="BE7" s="164"/>
      <c r="BF7" s="134"/>
      <c r="BG7" s="132" t="e">
        <f>#REF!/#REF!</f>
        <v>#REF!</v>
      </c>
      <c r="BH7" s="132" t="e">
        <f>#REF!/#REF!</f>
        <v>#REF!</v>
      </c>
      <c r="BI7" s="39" t="e">
        <f>ROUNDUP((1-MIN(#REF!*smithy_bonus,smithy_bonus_cap) + tech_3_5*#REF! + tech_5_3*#REF! + tech_5_5*#REF!)*spec_op_plat,0)</f>
        <v>#REF!</v>
      </c>
      <c r="BJ7" s="39" t="e">
        <f>ROUNDUP(IF(race="Gnome",1,(1-MIN(#REF!*smithy_bonus,smithy_bonus_cap) + tech_3_5*#REF! + tech_5_3*#REF! + tech_5_5*#REF!))*spec_op_ore,0)</f>
        <v>#REF!</v>
      </c>
      <c r="BK7" s="39" t="e">
        <f>ROUNDUP((1-MIN(#REF!*smithy_bonus,smithy_bonus_cap) + tech_3_5*#REF! + tech_5_3*#REF! + tech_5_5*#REF!)*spec_dp_plat,0)</f>
        <v>#REF!</v>
      </c>
      <c r="BL7" s="39" t="e">
        <f>ROUNDUP(IF(race="Gnome",1,(1-MIN(#REF!*smithy_bonus,smithy_bonus_cap) + tech_3_5*#REF! + tech_5_3*#REF! + tech_5_5*#REF!))*spec_dp_ore,0)</f>
        <v>#REF!</v>
      </c>
      <c r="BM7" s="39" t="e">
        <f>ROUNDUP((1-MIN(#REF!*smithy_bonus,smithy_bonus_cap) + tech_3_5*#REF! + tech_5_3*#REF! + tech_5_5*#REF!)*elite1_plat,0)</f>
        <v>#REF!</v>
      </c>
      <c r="BN7" s="39" t="e">
        <f>ROUNDUP(IF(race="Gnome",1,(1-MIN(#REF!*smithy_bonus,smithy_bonus_cap) + tech_3_5*#REF! + tech_5_3*#REF! + tech_5_5*#REF!))*elite1_ore,0)</f>
        <v>#REF!</v>
      </c>
      <c r="BO7" s="39" t="e">
        <f>ROUNDUP((1-MIN(#REF!*smithy_bonus,smithy_bonus_cap) + tech_3_5*#REF! + tech_5_3*#REF! + tech_5_5*#REF!)*elite2_plat,0)</f>
        <v>#REF!</v>
      </c>
      <c r="BP7" s="39" t="e">
        <f>ROUNDUP(IF(race="Gnome",1,(1-MIN(#REF!*smithy_bonus,smithy_bonus_cap) + tech_3_5*#REF! + tech_5_3*#REF! + tech_5_5*#REF!))*elite2_ore,0)</f>
        <v>#REF!</v>
      </c>
      <c r="BQ7" s="39" t="e">
        <f>ROUNDUP((1-MIN(ROUND(fh_spy_cost_red*#REF!,4),fh_spy_cost_cap)+ tech_1_9*#REF! + tech_9_1*#REF!)*spy_plat,0)</f>
        <v>#REF!</v>
      </c>
      <c r="BR7" s="39" t="e">
        <f>ROUNDUP((1-MIN(ROUND(fh_spy_cost_red*#REF!,4),fh_spy_cost_cap)+ tech_1_9*#REF! + tech_9_1*#REF!)*archspy_plat,0)</f>
        <v>#REF!</v>
      </c>
      <c r="BS7" s="39" t="e">
        <f>ROUNDUP((1-MIN(ROUND(wg_wiz_cost_bonus*#REF!,4),wg_wiz_cost_cap) + tech_1_9_2*#REF! + tech_9_1_2*#REF!)*wizard_plat,0)</f>
        <v>#REF!</v>
      </c>
      <c r="BT7" s="39" t="e">
        <f>ROUNDUP((1-MIN(ROUND(wg_wiz_cost_bonus*#REF!,4),wg_wiz_cost_cap) + tech_1_9_2*#REF! + tech_9_1_2*#REF!)*archmage_plat,0)</f>
        <v>#REF!</v>
      </c>
      <c r="BU7" s="134"/>
      <c r="BV7" s="132" t="e">
        <f>#REF!/#REF!</f>
        <v>#REF!</v>
      </c>
      <c r="BW7" s="132" t="e">
        <f>#REF!</f>
        <v>#REF!</v>
      </c>
      <c r="BX7" s="241" t="e">
        <f>IF(mystic_cap="none",#REF!/mystic_bonus,MIN(mystic_cap,#REF!/mystic_bonus))</f>
        <v>#REF!</v>
      </c>
      <c r="BY7" s="241" t="e">
        <f>IF(druid_op_cap="none",#REF!/druid_op_bonus,MIN(druid_op_cap,#REF!/druid_op_bonus))</f>
        <v>#REF!</v>
      </c>
      <c r="BZ7" s="241" t="e">
        <f>IF(druid_dp_cap="none",#REF!/druid_dp_bonus,MIN(druid_dp_cap,#REF!/druid_dp_bonus))</f>
        <v>#REF!</v>
      </c>
      <c r="CA7" s="241" t="e">
        <f>MIN(dryad_cap,#REF!/dryad_bonus)</f>
        <v>#REF!</v>
      </c>
      <c r="CB7" s="241" t="e">
        <f>MIN(rocka_cap,#REF!/rocka_bonus)</f>
        <v>#REF!</v>
      </c>
      <c r="CC7" s="241" t="e">
        <f>MIN(adept_op_cap,#REF!/adept_op_bonus)</f>
        <v>#REF!</v>
      </c>
      <c r="CD7" s="241" t="e">
        <f>MIN(adept_dp_cap,#REF!/adept_dp_bonus)</f>
        <v>#REF!</v>
      </c>
      <c r="CE7" s="39" t="e">
        <f>MIN(#REF!,#REF!)*2</f>
        <v>#REF!</v>
      </c>
      <c r="CF7" s="39" t="e">
        <f>MIN(#REF!,#REF!)*2</f>
        <v>#REF!</v>
      </c>
      <c r="CG7" s="241" t="e">
        <f>MIN(frost_mage_cap,#REF!/frost_mage_bonus)</f>
        <v>#REF!</v>
      </c>
      <c r="CH7" s="3" t="e">
        <f>MIN(ice_elem_cap,#REF!*ice_elem_bonus)</f>
        <v>#REF!</v>
      </c>
      <c r="CI7" s="241">
        <f t="shared" si="0"/>
        <v>0.83333333333333337</v>
      </c>
      <c r="CJ7" s="241" t="e">
        <f>MIN(nox_nightshade_cap,#REF!/#REF!/nox_nightshade_swamp_bonus)</f>
        <v>#REF!</v>
      </c>
      <c r="CK7" s="242" t="s">
        <v>94</v>
      </c>
      <c r="CL7" s="242" t="b">
        <f t="shared" si="1"/>
        <v>0</v>
      </c>
      <c r="CM7" s="242"/>
      <c r="CN7" s="241" t="e">
        <f>MIN(6,#REF!+Races!$F$19)*1.8 +  IF(#REF!+Races!$F$19&gt;6,(#REF!+Races!$F$19-6)*0.2,0) - Races!$I$19</f>
        <v>#REF!</v>
      </c>
      <c r="CO7" s="241" t="e">
        <f>1.8 * MIN(MAX(#REF!+Races!$E$20,#REF!+Races!$F$20),6)  +  0.45 * MIN(MIN(#REF!+Races!$E$20,#REF!+Races!$F$20),6)  +  0.2 * ( MAX(#REF!+Races!$E$20-6,0) + MAX(#REF!+Races!$F$20-6,0) )  -  Races!$I$20</f>
        <v>#REF!</v>
      </c>
      <c r="CP7" s="39" t="e">
        <f>#REF!*#REF!+#REF!*#REF!</f>
        <v>#REF!</v>
      </c>
      <c r="CQ7" s="145" t="e">
        <f>MIN(6,#REF!+Races!$F$35)*1.8 +  IF(#REF!+Races!$F$35&gt;6,(#REF!+Races!$F$35-6)*0.2,0) - Races!$I$19</f>
        <v>#REF!</v>
      </c>
      <c r="CR7" s="39" t="e">
        <f>sylvan*(#REF!*#REF!)</f>
        <v>#REF!</v>
      </c>
      <c r="CS7" s="145" t="e">
        <f>1.8 * MIN(MAX(Races!$E$27,#REF!+Races!$F$27),6)  +  0.45 * MIN(MIN(Races!$E$27,#REF!+Races!$F$27),6)  +  0.2 * ( MAX(Races!$E$27-6,0) + MAX(#REF!+Races!$F$27-6,0) )  -  Races!$I$20</f>
        <v>#REF!</v>
      </c>
      <c r="CT7" s="39" t="e">
        <f>gnome*(#REF!*#REF!)</f>
        <v>#REF!</v>
      </c>
      <c r="CU7" s="145" t="e">
        <f>1.8 * MIN(MAX(#REF!+Races!$E$47,#REF!+Races!$F$47),6)  +  0.45 * MIN(MIN(#REF!+Races!$E$47,#REF!+Races!$F$47),6)  +  0.2 * ( MAX(#REF!+Races!$E$47-6,0) + MAX(#REF!+Races!$F$47-6,0) )  -  Races!$I$47</f>
        <v>#REF!</v>
      </c>
      <c r="CV7" s="39" t="e">
        <f>dark_elf*(#REF!*#REF!)</f>
        <v>#REF!</v>
      </c>
      <c r="CW7" s="145" t="e">
        <f>1.8 * MIN(MAX(#REF!+Races!$F$71,Races!$E$71),6)  +  0.45 * MIN(MIN(#REF!+Races!$F$71,Races!$E$71),6)  +  0.2 * ( MAX(#REF!+Races!$F$71-6,0) + MAX(Races!$E$71-6,0) )  -  Races!$I$71</f>
        <v>#REF!</v>
      </c>
      <c r="CX7" s="145" t="e">
        <f>1.8 * MIN(MAX(#REF!+Races!$E$71,Races!$F$71),6)  +  0.45 * MIN(MIN(#REF!+Races!$E$71,Races!$F$71),6)  +  0.2 * ( MAX(#REF!+Races!$E$71-6,0) + MAX(Races!$F$71-6,0) )  -  Races!$I$71</f>
        <v>#REF!</v>
      </c>
      <c r="CY7" s="39" t="e">
        <f>#REF!*#REF!+#REF!*#REF!</f>
        <v>#REF!</v>
      </c>
      <c r="CZ7" s="243"/>
      <c r="DA7" s="135" t="e">
        <f>MIN(SUM(#REF!)/#REF!/favorable_terrain_bonus/100,favorable_terrain_max)</f>
        <v>#REF!</v>
      </c>
      <c r="DB7" s="243"/>
      <c r="DC7"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7" s="134"/>
      <c r="DE7" s="244" t="e">
        <f>(#REF!+2*#REF!)/#REF!</f>
        <v>#REF!</v>
      </c>
      <c r="DF7" s="244" t="e">
        <f>#REF!*(1+race_wizard_strength+IF(#REF!&gt;72,tech_magical_weaponry_wiz*#REF!,0))</f>
        <v>#REF!</v>
      </c>
    </row>
    <row r="8" spans="1:110" x14ac:dyDescent="0.25">
      <c r="A8" s="130" t="e">
        <f>#REF!</f>
        <v>#REF!</v>
      </c>
      <c r="B8" s="236" t="e">
        <f ca="1">SUM(#REF!)+SUM(OFFSET(#REF!,-4,0):#REF!)+#REF!</f>
        <v>#REF!</v>
      </c>
      <c r="C8" s="132" t="e">
        <f>#REF!</f>
        <v>#REF!</v>
      </c>
      <c r="D8" s="134"/>
      <c r="E8" s="3" t="e">
        <f ca="1">OFFSET(#REF!,-1,0) -#REF!</f>
        <v>#REF!</v>
      </c>
      <c r="F8" s="3" t="e">
        <f ca="1">OFFSET(#REF!,-1,0)-#REF!</f>
        <v>#REF!</v>
      </c>
      <c r="G8" s="3" t="e">
        <f ca="1">OFFSET(#REF!,-1,0)-#REF!</f>
        <v>#REF!</v>
      </c>
      <c r="H8" s="3" t="e">
        <f ca="1">OFFSET(#REF!,-1,0)-#REF!</f>
        <v>#REF!</v>
      </c>
      <c r="I8" s="3" t="e">
        <f ca="1">OFFSET(#REF!,-1,0)-#REF!-#REF!</f>
        <v>#REF!</v>
      </c>
      <c r="J8" s="3" t="e">
        <f ca="1">OFFSET(#REF!,-1,0)-#REF!</f>
        <v>#REF!</v>
      </c>
      <c r="K8" s="3" t="e">
        <f ca="1">OFFSET(#REF!,-1,0)-#REF!-#REF!</f>
        <v>#REF!</v>
      </c>
      <c r="L8" s="3" t="e">
        <f ca="1">OFFSET(#REF!,-1,0)-#REF!</f>
        <v>#REF!</v>
      </c>
      <c r="M8" s="134"/>
      <c r="N8" s="39" t="e">
        <f>#REF!</f>
        <v>#REF!</v>
      </c>
      <c r="O8" s="134"/>
      <c r="P8" s="237" t="e">
        <f>#REF!*spec_op+#REF!*(elite1_base_op)+#REF!*(elite2_base_op+dark_elf*#REF!+icekin*#REF!+woodie*#REF!+orc*#REF!)+kobold*#REF!</f>
        <v>#REF!</v>
      </c>
      <c r="Q8" s="132" t="e">
        <f>race_offense+#REF!+ROUND(MIN(gn_bonus*#REF!/#REF!,gn_bonus_cap),4)+MAX(IF(#REF!&gt;0,warsong_bonus),IF(#REF!&gt;0,howling_op_bonus),IF(#REF!&gt;0,nightfall_bonus),IF(#REF!&gt;0,#REF!)) +#REF!/ 100*prestige_offense_bonus + tech_5_4*#REF! + tech_7_4*#REF!</f>
        <v>#REF!</v>
      </c>
      <c r="R8" s="237" t="e">
        <f>#REF!*(1+#REF!)</f>
        <v>#REF!</v>
      </c>
      <c r="S8" s="237" t="e">
        <f>#REF!*spec_dp+#REF!*(elite1_base_dp+woodie*#REF!+sylvan*#REF!+gnome*#REF!+icekin*#REF!+nox*#REF!)+#REF!*(elite2_base_dp+woodie*#REF!) + fh_peas_dp*MIN(#REF!,20*#REF!)+kobold*#REF!</f>
        <v>#REF!</v>
      </c>
      <c r="T8" s="237" t="e">
        <f>#REF!+#REF!</f>
        <v>#REF!</v>
      </c>
      <c r="U8" s="238" t="e">
        <f>race_defense +#REF! + ROUND( MIN(gt_bonus*#REF!/#REF!,gt_bonus_cap), 4) + IF(#REF!&gt;0,howling_dp_bonus,IF(#REF!&gt;0,ares_call_bonus))</f>
        <v>#REF!</v>
      </c>
      <c r="V8" s="239" t="e">
        <f>#REF! * (1 +#REF!)</f>
        <v>#REF!</v>
      </c>
      <c r="W8" s="237" t="e">
        <f>#REF! * (1 +#REF!)</f>
        <v>#REF!</v>
      </c>
      <c r="X8" s="237" t="e">
        <f>#REF!</f>
        <v>#REF!</v>
      </c>
      <c r="Y8" s="240"/>
      <c r="Z8" s="135" t="e">
        <f ca="1">IF(#REF!&lt;&gt;"",#REF!,OFFSET(#REF!,-1,0))</f>
        <v>#REF!</v>
      </c>
      <c r="AA8" s="39" t="e">
        <f ca="1">OFFSET(#REF!,-1,0)+OFFSET(#REF!,-1,0) - SUM(#REF!,#REF!) -#REF! + SUM(#REF!) -#REF!</f>
        <v>#REF!</v>
      </c>
      <c r="AB8" s="133"/>
      <c r="AC8" s="132" t="e">
        <f>(#REF!+#REF!)/(#REF!-#REF!*20)</f>
        <v>#REF!</v>
      </c>
      <c r="AD8" s="130"/>
      <c r="AE8" s="236" t="e">
        <f>#REF!</f>
        <v>#REF!</v>
      </c>
      <c r="AF8" s="131" t="e">
        <f>#REF!</f>
        <v>#REF!</v>
      </c>
      <c r="AG8" s="164"/>
      <c r="AH8" s="164"/>
      <c r="AI8" s="164"/>
      <c r="AJ8" s="164"/>
      <c r="AK8" s="164"/>
      <c r="AL8" s="164"/>
      <c r="AM8" s="164"/>
      <c r="AN8" s="164"/>
      <c r="AO8" s="134"/>
      <c r="AP8" s="39" t="e">
        <f>#REF!</f>
        <v>#REF!</v>
      </c>
      <c r="AQ8" s="39" t="e">
        <f>INDEX(#REF!:#REF!,COUNTA(#REF!:#REF!),MATCH(Military!$AQ$2,#REF!,0))</f>
        <v>#REF!</v>
      </c>
      <c r="AR8" s="39" t="e">
        <f>#REF!*#REF!+#REF!*#REF!+#REF!*#REF!+#REF!*#REF!+#REF!*#REF!+#REF!*#REF!+#REF!*#REF!</f>
        <v>#REF!</v>
      </c>
      <c r="AS8" s="39" t="e">
        <f>#REF!*#REF!+#REF!*#REF!+#REF!*#REF!+#REF!*#REF!</f>
        <v>#REF!</v>
      </c>
      <c r="AT8" s="134" t="e">
        <f>#REF!</f>
        <v>#REF!</v>
      </c>
      <c r="AU8" s="143" t="e">
        <f>#REF!</f>
        <v>#REF!</v>
      </c>
      <c r="AV8" s="39" t="e">
        <f>#REF!</f>
        <v>#REF!</v>
      </c>
      <c r="AW8" s="164"/>
      <c r="AX8" s="164"/>
      <c r="AY8" s="164"/>
      <c r="AZ8" s="164"/>
      <c r="BA8" s="164"/>
      <c r="BB8" s="164"/>
      <c r="BC8" s="164"/>
      <c r="BD8" s="164"/>
      <c r="BE8" s="164"/>
      <c r="BF8" s="134"/>
      <c r="BG8" s="132" t="e">
        <f>#REF!/#REF!</f>
        <v>#REF!</v>
      </c>
      <c r="BH8" s="132" t="e">
        <f>#REF!/#REF!</f>
        <v>#REF!</v>
      </c>
      <c r="BI8" s="39" t="e">
        <f>ROUNDUP((1-MIN(#REF!*smithy_bonus,smithy_bonus_cap) + tech_3_5*#REF! + tech_5_3*#REF! + tech_5_5*#REF!)*spec_op_plat,0)</f>
        <v>#REF!</v>
      </c>
      <c r="BJ8" s="39" t="e">
        <f>ROUNDUP(IF(race="Gnome",1,(1-MIN(#REF!*smithy_bonus,smithy_bonus_cap) + tech_3_5*#REF! + tech_5_3*#REF! + tech_5_5*#REF!))*spec_op_ore,0)</f>
        <v>#REF!</v>
      </c>
      <c r="BK8" s="39" t="e">
        <f>ROUNDUP((1-MIN(#REF!*smithy_bonus,smithy_bonus_cap) + tech_3_5*#REF! + tech_5_3*#REF! + tech_5_5*#REF!)*spec_dp_plat,0)</f>
        <v>#REF!</v>
      </c>
      <c r="BL8" s="39" t="e">
        <f>ROUNDUP(IF(race="Gnome",1,(1-MIN(#REF!*smithy_bonus,smithy_bonus_cap) + tech_3_5*#REF! + tech_5_3*#REF! + tech_5_5*#REF!))*spec_dp_ore,0)</f>
        <v>#REF!</v>
      </c>
      <c r="BM8" s="39" t="e">
        <f>ROUNDUP((1-MIN(#REF!*smithy_bonus,smithy_bonus_cap) + tech_3_5*#REF! + tech_5_3*#REF! + tech_5_5*#REF!)*elite1_plat,0)</f>
        <v>#REF!</v>
      </c>
      <c r="BN8" s="39" t="e">
        <f>ROUNDUP(IF(race="Gnome",1,(1-MIN(#REF!*smithy_bonus,smithy_bonus_cap) + tech_3_5*#REF! + tech_5_3*#REF! + tech_5_5*#REF!))*elite1_ore,0)</f>
        <v>#REF!</v>
      </c>
      <c r="BO8" s="39" t="e">
        <f>ROUNDUP((1-MIN(#REF!*smithy_bonus,smithy_bonus_cap) + tech_3_5*#REF! + tech_5_3*#REF! + tech_5_5*#REF!)*elite2_plat,0)</f>
        <v>#REF!</v>
      </c>
      <c r="BP8" s="39" t="e">
        <f>ROUNDUP(IF(race="Gnome",1,(1-MIN(#REF!*smithy_bonus,smithy_bonus_cap) + tech_3_5*#REF! + tech_5_3*#REF! + tech_5_5*#REF!))*elite2_ore,0)</f>
        <v>#REF!</v>
      </c>
      <c r="BQ8" s="39" t="e">
        <f>ROUNDUP((1-MIN(ROUND(fh_spy_cost_red*#REF!,4),fh_spy_cost_cap)+ tech_1_9*#REF! + tech_9_1*#REF!)*spy_plat,0)</f>
        <v>#REF!</v>
      </c>
      <c r="BR8" s="39" t="e">
        <f>ROUNDUP((1-MIN(ROUND(fh_spy_cost_red*#REF!,4),fh_spy_cost_cap)+ tech_1_9*#REF! + tech_9_1*#REF!)*archspy_plat,0)</f>
        <v>#REF!</v>
      </c>
      <c r="BS8" s="39" t="e">
        <f>ROUNDUP((1-MIN(ROUND(wg_wiz_cost_bonus*#REF!,4),wg_wiz_cost_cap) + tech_1_9_2*#REF! + tech_9_1_2*#REF!)*wizard_plat,0)</f>
        <v>#REF!</v>
      </c>
      <c r="BT8" s="39" t="e">
        <f>ROUNDUP((1-MIN(ROUND(wg_wiz_cost_bonus*#REF!,4),wg_wiz_cost_cap) + tech_1_9_2*#REF! + tech_9_1_2*#REF!)*archmage_plat,0)</f>
        <v>#REF!</v>
      </c>
      <c r="BU8" s="134"/>
      <c r="BV8" s="132" t="e">
        <f>#REF!/#REF!</f>
        <v>#REF!</v>
      </c>
      <c r="BW8" s="132" t="e">
        <f>#REF!</f>
        <v>#REF!</v>
      </c>
      <c r="BX8" s="241" t="e">
        <f>IF(mystic_cap="none",#REF!/mystic_bonus,MIN(mystic_cap,#REF!/mystic_bonus))</f>
        <v>#REF!</v>
      </c>
      <c r="BY8" s="241" t="e">
        <f>IF(druid_op_cap="none",#REF!/druid_op_bonus,MIN(druid_op_cap,#REF!/druid_op_bonus))</f>
        <v>#REF!</v>
      </c>
      <c r="BZ8" s="241" t="e">
        <f>IF(druid_dp_cap="none",#REF!/druid_dp_bonus,MIN(druid_dp_cap,#REF!/druid_dp_bonus))</f>
        <v>#REF!</v>
      </c>
      <c r="CA8" s="241" t="e">
        <f>MIN(dryad_cap,#REF!/dryad_bonus)</f>
        <v>#REF!</v>
      </c>
      <c r="CB8" s="241" t="e">
        <f>MIN(rocka_cap,#REF!/rocka_bonus)</f>
        <v>#REF!</v>
      </c>
      <c r="CC8" s="241" t="e">
        <f>MIN(adept_op_cap,#REF!/adept_op_bonus)</f>
        <v>#REF!</v>
      </c>
      <c r="CD8" s="241" t="e">
        <f>MIN(adept_dp_cap,#REF!/adept_dp_bonus)</f>
        <v>#REF!</v>
      </c>
      <c r="CE8" s="39" t="e">
        <f>MIN(#REF!,#REF!)*2</f>
        <v>#REF!</v>
      </c>
      <c r="CF8" s="39" t="e">
        <f>MIN(#REF!,#REF!)*2</f>
        <v>#REF!</v>
      </c>
      <c r="CG8" s="241" t="e">
        <f>MIN(frost_mage_cap,#REF!/frost_mage_bonus)</f>
        <v>#REF!</v>
      </c>
      <c r="CH8" s="3" t="e">
        <f>MIN(ice_elem_cap,#REF!*ice_elem_bonus)</f>
        <v>#REF!</v>
      </c>
      <c r="CI8" s="241">
        <f t="shared" si="0"/>
        <v>0.83333333333333337</v>
      </c>
      <c r="CJ8" s="241" t="e">
        <f>MIN(nox_nightshade_cap,#REF!/#REF!/nox_nightshade_swamp_bonus)</f>
        <v>#REF!</v>
      </c>
      <c r="CK8" s="242" t="s">
        <v>99</v>
      </c>
      <c r="CL8" s="242" t="b">
        <f t="shared" si="1"/>
        <v>0</v>
      </c>
      <c r="CM8" s="242"/>
      <c r="CN8" s="241" t="e">
        <f>MIN(6,#REF!+Races!$F$19)*1.8 +  IF(#REF!+Races!$F$19&gt;6,(#REF!+Races!$F$19-6)*0.2,0) - Races!$I$19</f>
        <v>#REF!</v>
      </c>
      <c r="CO8" s="241" t="e">
        <f>1.8 * MIN(MAX(#REF!+Races!$E$20,#REF!+Races!$F$20),6)  +  0.45 * MIN(MIN(#REF!+Races!$E$20,#REF!+Races!$F$20),6)  +  0.2 * ( MAX(#REF!+Races!$E$20-6,0) + MAX(#REF!+Races!$F$20-6,0) )  -  Races!$I$20</f>
        <v>#REF!</v>
      </c>
      <c r="CP8" s="39" t="e">
        <f>#REF!*#REF!+#REF!*#REF!</f>
        <v>#REF!</v>
      </c>
      <c r="CQ8" s="145" t="e">
        <f>MIN(6,#REF!+Races!$F$35)*1.8 +  IF(#REF!+Races!$F$35&gt;6,(#REF!+Races!$F$35-6)*0.2,0) - Races!$I$19</f>
        <v>#REF!</v>
      </c>
      <c r="CR8" s="39" t="e">
        <f>sylvan*(#REF!*#REF!)</f>
        <v>#REF!</v>
      </c>
      <c r="CS8" s="145" t="e">
        <f>1.8 * MIN(MAX(Races!$E$27,#REF!+Races!$F$27),6)  +  0.45 * MIN(MIN(Races!$E$27,#REF!+Races!$F$27),6)  +  0.2 * ( MAX(Races!$E$27-6,0) + MAX(#REF!+Races!$F$27-6,0) )  -  Races!$I$20</f>
        <v>#REF!</v>
      </c>
      <c r="CT8" s="39" t="e">
        <f>gnome*(#REF!*#REF!)</f>
        <v>#REF!</v>
      </c>
      <c r="CU8" s="145" t="e">
        <f>1.8 * MIN(MAX(#REF!+Races!$E$47,#REF!+Races!$F$47),6)  +  0.45 * MIN(MIN(#REF!+Races!$E$47,#REF!+Races!$F$47),6)  +  0.2 * ( MAX(#REF!+Races!$E$47-6,0) + MAX(#REF!+Races!$F$47-6,0) )  -  Races!$I$47</f>
        <v>#REF!</v>
      </c>
      <c r="CV8" s="39" t="e">
        <f>dark_elf*(#REF!*#REF!)</f>
        <v>#REF!</v>
      </c>
      <c r="CW8" s="145" t="e">
        <f>1.8 * MIN(MAX(#REF!+Races!$F$71,Races!$E$71),6)  +  0.45 * MIN(MIN(#REF!+Races!$F$71,Races!$E$71),6)  +  0.2 * ( MAX(#REF!+Races!$F$71-6,0) + MAX(Races!$E$71-6,0) )  -  Races!$I$71</f>
        <v>#REF!</v>
      </c>
      <c r="CX8" s="145" t="e">
        <f>1.8 * MIN(MAX(#REF!+Races!$E$71,Races!$F$71),6)  +  0.45 * MIN(MIN(#REF!+Races!$E$71,Races!$F$71),6)  +  0.2 * ( MAX(#REF!+Races!$E$71-6,0) + MAX(Races!$F$71-6,0) )  -  Races!$I$71</f>
        <v>#REF!</v>
      </c>
      <c r="CY8" s="39" t="e">
        <f>#REF!*#REF!+#REF!*#REF!</f>
        <v>#REF!</v>
      </c>
      <c r="CZ8" s="243"/>
      <c r="DA8" s="135" t="e">
        <f>MIN(SUM(#REF!)/#REF!/favorable_terrain_bonus/100,favorable_terrain_max)</f>
        <v>#REF!</v>
      </c>
      <c r="DB8" s="243"/>
      <c r="DC8"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8" s="134"/>
      <c r="DE8" s="244" t="e">
        <f>(#REF!+2*#REF!)/#REF!</f>
        <v>#REF!</v>
      </c>
      <c r="DF8" s="244" t="e">
        <f>#REF!*(1+race_wizard_strength+IF(#REF!&gt;72,tech_magical_weaponry_wiz*#REF!,0))</f>
        <v>#REF!</v>
      </c>
    </row>
    <row r="9" spans="1:110" x14ac:dyDescent="0.25">
      <c r="A9" s="130" t="e">
        <f>#REF!</f>
        <v>#REF!</v>
      </c>
      <c r="B9" s="236" t="e">
        <f ca="1">SUM(#REF!)+SUM(OFFSET(#REF!,-5,0):#REF!)+#REF!</f>
        <v>#REF!</v>
      </c>
      <c r="C9" s="132" t="e">
        <f>#REF!</f>
        <v>#REF!</v>
      </c>
      <c r="D9" s="134"/>
      <c r="E9" s="3" t="e">
        <f ca="1">OFFSET(#REF!,-1,0) -#REF!</f>
        <v>#REF!</v>
      </c>
      <c r="F9" s="3" t="e">
        <f ca="1">OFFSET(#REF!,-1,0)-#REF!</f>
        <v>#REF!</v>
      </c>
      <c r="G9" s="3" t="e">
        <f ca="1">OFFSET(#REF!,-1,0)-#REF!</f>
        <v>#REF!</v>
      </c>
      <c r="H9" s="3" t="e">
        <f ca="1">OFFSET(#REF!,-1,0)-#REF!</f>
        <v>#REF!</v>
      </c>
      <c r="I9" s="3" t="e">
        <f ca="1">OFFSET(#REF!,-1,0)-#REF!-#REF!</f>
        <v>#REF!</v>
      </c>
      <c r="J9" s="3" t="e">
        <f ca="1">OFFSET(#REF!,-1,0)-#REF!</f>
        <v>#REF!</v>
      </c>
      <c r="K9" s="3" t="e">
        <f ca="1">OFFSET(#REF!,-1,0)-#REF!-#REF!</f>
        <v>#REF!</v>
      </c>
      <c r="L9" s="3" t="e">
        <f ca="1">OFFSET(#REF!,-1,0)-#REF!</f>
        <v>#REF!</v>
      </c>
      <c r="M9" s="134"/>
      <c r="N9" s="39" t="e">
        <f>#REF!</f>
        <v>#REF!</v>
      </c>
      <c r="O9" s="134"/>
      <c r="P9" s="237" t="e">
        <f>#REF!*spec_op+#REF!*(elite1_base_op)+#REF!*(elite2_base_op+dark_elf*#REF!+icekin*#REF!+woodie*#REF!+orc*#REF!)+kobold*#REF!</f>
        <v>#REF!</v>
      </c>
      <c r="Q9" s="132" t="e">
        <f>race_offense+#REF!+ROUND(MIN(gn_bonus*#REF!/#REF!,gn_bonus_cap),4)+MAX(IF(#REF!&gt;0,warsong_bonus),IF(#REF!&gt;0,howling_op_bonus),IF(#REF!&gt;0,nightfall_bonus),IF(#REF!&gt;0,#REF!)) +#REF!/ 100*prestige_offense_bonus + tech_5_4*#REF! + tech_7_4*#REF!</f>
        <v>#REF!</v>
      </c>
      <c r="R9" s="237" t="e">
        <f>#REF!*(1+#REF!)</f>
        <v>#REF!</v>
      </c>
      <c r="S9" s="237" t="e">
        <f>#REF!*spec_dp+#REF!*(elite1_base_dp+woodie*#REF!+sylvan*#REF!+gnome*#REF!+icekin*#REF!+nox*#REF!)+#REF!*(elite2_base_dp+woodie*#REF!) + fh_peas_dp*MIN(#REF!,20*#REF!)+kobold*#REF!</f>
        <v>#REF!</v>
      </c>
      <c r="T9" s="237" t="e">
        <f>#REF!+#REF!</f>
        <v>#REF!</v>
      </c>
      <c r="U9" s="238" t="e">
        <f>race_defense +#REF! + ROUND( MIN(gt_bonus*#REF!/#REF!,gt_bonus_cap), 4) + IF(#REF!&gt;0,howling_dp_bonus,IF(#REF!&gt;0,ares_call_bonus))</f>
        <v>#REF!</v>
      </c>
      <c r="V9" s="239" t="e">
        <f>#REF! * (1 +#REF!)</f>
        <v>#REF!</v>
      </c>
      <c r="W9" s="237" t="e">
        <f>#REF! * (1 +#REF!)</f>
        <v>#REF!</v>
      </c>
      <c r="X9" s="237" t="e">
        <f>#REF!</f>
        <v>#REF!</v>
      </c>
      <c r="Y9" s="240"/>
      <c r="Z9" s="135" t="e">
        <f ca="1">IF(#REF!&lt;&gt;"",#REF!,OFFSET(#REF!,-1,0))</f>
        <v>#REF!</v>
      </c>
      <c r="AA9" s="39" t="e">
        <f ca="1">OFFSET(#REF!,-1,0)+OFFSET(#REF!,-1,0) - SUM(#REF!,#REF!) -#REF! + SUM(#REF!) -#REF!</f>
        <v>#REF!</v>
      </c>
      <c r="AB9" s="133"/>
      <c r="AC9" s="132" t="e">
        <f>(#REF!+#REF!)/(#REF!-#REF!*20)</f>
        <v>#REF!</v>
      </c>
      <c r="AD9" s="130"/>
      <c r="AE9" s="236" t="e">
        <f>#REF!</f>
        <v>#REF!</v>
      </c>
      <c r="AF9" s="131" t="e">
        <f>#REF!</f>
        <v>#REF!</v>
      </c>
      <c r="AG9" s="164"/>
      <c r="AH9" s="164"/>
      <c r="AI9" s="164"/>
      <c r="AJ9" s="164"/>
      <c r="AK9" s="164"/>
      <c r="AL9" s="164"/>
      <c r="AM9" s="164"/>
      <c r="AN9" s="164"/>
      <c r="AO9" s="134"/>
      <c r="AP9" s="39" t="e">
        <f>#REF!</f>
        <v>#REF!</v>
      </c>
      <c r="AQ9" s="39" t="e">
        <f>INDEX(#REF!:#REF!,COUNTA(#REF!:#REF!),MATCH(Military!$AQ$2,#REF!,0))</f>
        <v>#REF!</v>
      </c>
      <c r="AR9" s="39" t="e">
        <f>#REF!*#REF!+#REF!*#REF!+#REF!*#REF!+#REF!*#REF!+#REF!*#REF!+#REF!*#REF!+#REF!*#REF!</f>
        <v>#REF!</v>
      </c>
      <c r="AS9" s="39" t="e">
        <f>#REF!*#REF!+#REF!*#REF!+#REF!*#REF!+#REF!*#REF!</f>
        <v>#REF!</v>
      </c>
      <c r="AT9" s="134" t="e">
        <f>#REF!</f>
        <v>#REF!</v>
      </c>
      <c r="AU9" s="143" t="e">
        <f>#REF!</f>
        <v>#REF!</v>
      </c>
      <c r="AV9" s="39" t="e">
        <f>#REF!</f>
        <v>#REF!</v>
      </c>
      <c r="AW9" s="164"/>
      <c r="AX9" s="164"/>
      <c r="AY9" s="164"/>
      <c r="AZ9" s="164"/>
      <c r="BA9" s="164"/>
      <c r="BB9" s="164"/>
      <c r="BC9" s="164"/>
      <c r="BD9" s="164"/>
      <c r="BE9" s="164"/>
      <c r="BF9" s="134"/>
      <c r="BG9" s="132" t="e">
        <f>#REF!/#REF!</f>
        <v>#REF!</v>
      </c>
      <c r="BH9" s="132" t="e">
        <f>#REF!/#REF!</f>
        <v>#REF!</v>
      </c>
      <c r="BI9" s="39" t="e">
        <f>ROUNDUP((1-MIN(#REF!*smithy_bonus,smithy_bonus_cap) + tech_3_5*#REF! + tech_5_3*#REF! + tech_5_5*#REF!)*spec_op_plat,0)</f>
        <v>#REF!</v>
      </c>
      <c r="BJ9" s="39" t="e">
        <f>ROUNDUP(IF(race="Gnome",1,(1-MIN(#REF!*smithy_bonus,smithy_bonus_cap) + tech_3_5*#REF! + tech_5_3*#REF! + tech_5_5*#REF!))*spec_op_ore,0)</f>
        <v>#REF!</v>
      </c>
      <c r="BK9" s="39" t="e">
        <f>ROUNDUP((1-MIN(#REF!*smithy_bonus,smithy_bonus_cap) + tech_3_5*#REF! + tech_5_3*#REF! + tech_5_5*#REF!)*spec_dp_plat,0)</f>
        <v>#REF!</v>
      </c>
      <c r="BL9" s="39" t="e">
        <f>ROUNDUP(IF(race="Gnome",1,(1-MIN(#REF!*smithy_bonus,smithy_bonus_cap) + tech_3_5*#REF! + tech_5_3*#REF! + tech_5_5*#REF!))*spec_dp_ore,0)</f>
        <v>#REF!</v>
      </c>
      <c r="BM9" s="39" t="e">
        <f>ROUNDUP((1-MIN(#REF!*smithy_bonus,smithy_bonus_cap) + tech_3_5*#REF! + tech_5_3*#REF! + tech_5_5*#REF!)*elite1_plat,0)</f>
        <v>#REF!</v>
      </c>
      <c r="BN9" s="39" t="e">
        <f>ROUNDUP(IF(race="Gnome",1,(1-MIN(#REF!*smithy_bonus,smithy_bonus_cap) + tech_3_5*#REF! + tech_5_3*#REF! + tech_5_5*#REF!))*elite1_ore,0)</f>
        <v>#REF!</v>
      </c>
      <c r="BO9" s="39" t="e">
        <f>ROUNDUP((1-MIN(#REF!*smithy_bonus,smithy_bonus_cap) + tech_3_5*#REF! + tech_5_3*#REF! + tech_5_5*#REF!)*elite2_plat,0)</f>
        <v>#REF!</v>
      </c>
      <c r="BP9" s="39" t="e">
        <f>ROUNDUP(IF(race="Gnome",1,(1-MIN(#REF!*smithy_bonus,smithy_bonus_cap) + tech_3_5*#REF! + tech_5_3*#REF! + tech_5_5*#REF!))*elite2_ore,0)</f>
        <v>#REF!</v>
      </c>
      <c r="BQ9" s="39" t="e">
        <f>ROUNDUP((1-MIN(ROUND(fh_spy_cost_red*#REF!,4),fh_spy_cost_cap)+ tech_1_9*#REF! + tech_9_1*#REF!)*spy_plat,0)</f>
        <v>#REF!</v>
      </c>
      <c r="BR9" s="39" t="e">
        <f>ROUNDUP((1-MIN(ROUND(fh_spy_cost_red*#REF!,4),fh_spy_cost_cap)+ tech_1_9*#REF! + tech_9_1*#REF!)*archspy_plat,0)</f>
        <v>#REF!</v>
      </c>
      <c r="BS9" s="39" t="e">
        <f>ROUNDUP((1-MIN(ROUND(wg_wiz_cost_bonus*#REF!,4),wg_wiz_cost_cap) + tech_1_9_2*#REF! + tech_9_1_2*#REF!)*wizard_plat,0)</f>
        <v>#REF!</v>
      </c>
      <c r="BT9" s="39" t="e">
        <f>ROUNDUP((1-MIN(ROUND(wg_wiz_cost_bonus*#REF!,4),wg_wiz_cost_cap) + tech_1_9_2*#REF! + tech_9_1_2*#REF!)*archmage_plat,0)</f>
        <v>#REF!</v>
      </c>
      <c r="BU9" s="134"/>
      <c r="BV9" s="132" t="e">
        <f>#REF!/#REF!</f>
        <v>#REF!</v>
      </c>
      <c r="BW9" s="132" t="e">
        <f>#REF!</f>
        <v>#REF!</v>
      </c>
      <c r="BX9" s="241" t="e">
        <f>IF(mystic_cap="none",#REF!/mystic_bonus,MIN(mystic_cap,#REF!/mystic_bonus))</f>
        <v>#REF!</v>
      </c>
      <c r="BY9" s="241" t="e">
        <f>IF(druid_op_cap="none",#REF!/druid_op_bonus,MIN(druid_op_cap,#REF!/druid_op_bonus))</f>
        <v>#REF!</v>
      </c>
      <c r="BZ9" s="241" t="e">
        <f>IF(druid_dp_cap="none",#REF!/druid_dp_bonus,MIN(druid_dp_cap,#REF!/druid_dp_bonus))</f>
        <v>#REF!</v>
      </c>
      <c r="CA9" s="241" t="e">
        <f>MIN(dryad_cap,#REF!/dryad_bonus)</f>
        <v>#REF!</v>
      </c>
      <c r="CB9" s="241" t="e">
        <f>MIN(rocka_cap,#REF!/rocka_bonus)</f>
        <v>#REF!</v>
      </c>
      <c r="CC9" s="241" t="e">
        <f>MIN(adept_op_cap,#REF!/adept_op_bonus)</f>
        <v>#REF!</v>
      </c>
      <c r="CD9" s="241" t="e">
        <f>MIN(adept_dp_cap,#REF!/adept_dp_bonus)</f>
        <v>#REF!</v>
      </c>
      <c r="CE9" s="39" t="e">
        <f>MIN(#REF!,#REF!)*2</f>
        <v>#REF!</v>
      </c>
      <c r="CF9" s="39" t="e">
        <f>MIN(#REF!,#REF!)*2</f>
        <v>#REF!</v>
      </c>
      <c r="CG9" s="241" t="e">
        <f>MIN(frost_mage_cap,#REF!/frost_mage_bonus)</f>
        <v>#REF!</v>
      </c>
      <c r="CH9" s="3" t="e">
        <f>MIN(ice_elem_cap,#REF!*ice_elem_bonus)</f>
        <v>#REF!</v>
      </c>
      <c r="CI9" s="241">
        <f t="shared" si="0"/>
        <v>0.83333333333333337</v>
      </c>
      <c r="CJ9" s="241" t="e">
        <f>MIN(nox_nightshade_cap,#REF!/#REF!/nox_nightshade_swamp_bonus)</f>
        <v>#REF!</v>
      </c>
      <c r="CK9" s="242" t="s">
        <v>102</v>
      </c>
      <c r="CL9" s="242" t="b">
        <f t="shared" si="1"/>
        <v>0</v>
      </c>
      <c r="CM9" s="242"/>
      <c r="CN9" s="241" t="e">
        <f>MIN(6,#REF!+Races!$F$19)*1.8 +  IF(#REF!+Races!$F$19&gt;6,(#REF!+Races!$F$19-6)*0.2,0) - Races!$I$19</f>
        <v>#REF!</v>
      </c>
      <c r="CO9" s="241" t="e">
        <f>1.8 * MIN(MAX(#REF!+Races!$E$20,#REF!+Races!$F$20),6)  +  0.45 * MIN(MIN(#REF!+Races!$E$20,#REF!+Races!$F$20),6)  +  0.2 * ( MAX(#REF!+Races!$E$20-6,0) + MAX(#REF!+Races!$F$20-6,0) )  -  Races!$I$20</f>
        <v>#REF!</v>
      </c>
      <c r="CP9" s="39" t="e">
        <f>#REF!*#REF!+#REF!*#REF!</f>
        <v>#REF!</v>
      </c>
      <c r="CQ9" s="145" t="e">
        <f>MIN(6,#REF!+Races!$F$35)*1.8 +  IF(#REF!+Races!$F$35&gt;6,(#REF!+Races!$F$35-6)*0.2,0) - Races!$I$19</f>
        <v>#REF!</v>
      </c>
      <c r="CR9" s="39" t="e">
        <f>sylvan*(#REF!*#REF!)</f>
        <v>#REF!</v>
      </c>
      <c r="CS9" s="145" t="e">
        <f>1.8 * MIN(MAX(Races!$E$27,#REF!+Races!$F$27),6)  +  0.45 * MIN(MIN(Races!$E$27,#REF!+Races!$F$27),6)  +  0.2 * ( MAX(Races!$E$27-6,0) + MAX(#REF!+Races!$F$27-6,0) )  -  Races!$I$20</f>
        <v>#REF!</v>
      </c>
      <c r="CT9" s="39" t="e">
        <f>gnome*(#REF!*#REF!)</f>
        <v>#REF!</v>
      </c>
      <c r="CU9" s="145" t="e">
        <f>1.8 * MIN(MAX(#REF!+Races!$E$47,#REF!+Races!$F$47),6)  +  0.45 * MIN(MIN(#REF!+Races!$E$47,#REF!+Races!$F$47),6)  +  0.2 * ( MAX(#REF!+Races!$E$47-6,0) + MAX(#REF!+Races!$F$47-6,0) )  -  Races!$I$47</f>
        <v>#REF!</v>
      </c>
      <c r="CV9" s="39" t="e">
        <f>dark_elf*(#REF!*#REF!)</f>
        <v>#REF!</v>
      </c>
      <c r="CW9" s="145" t="e">
        <f>1.8 * MIN(MAX(#REF!+Races!$F$71,Races!$E$71),6)  +  0.45 * MIN(MIN(#REF!+Races!$F$71,Races!$E$71),6)  +  0.2 * ( MAX(#REF!+Races!$F$71-6,0) + MAX(Races!$E$71-6,0) )  -  Races!$I$71</f>
        <v>#REF!</v>
      </c>
      <c r="CX9" s="145" t="e">
        <f>1.8 * MIN(MAX(#REF!+Races!$E$71,Races!$F$71),6)  +  0.45 * MIN(MIN(#REF!+Races!$E$71,Races!$F$71),6)  +  0.2 * ( MAX(#REF!+Races!$E$71-6,0) + MAX(Races!$F$71-6,0) )  -  Races!$I$71</f>
        <v>#REF!</v>
      </c>
      <c r="CY9" s="39" t="e">
        <f>#REF!*#REF!+#REF!*#REF!</f>
        <v>#REF!</v>
      </c>
      <c r="CZ9" s="243"/>
      <c r="DA9" s="135" t="e">
        <f>MIN(SUM(#REF!)/#REF!/favorable_terrain_bonus/100,favorable_terrain_max)</f>
        <v>#REF!</v>
      </c>
      <c r="DB9" s="243"/>
      <c r="DC9"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9" s="134"/>
      <c r="DE9" s="244" t="e">
        <f>(#REF!+2*#REF!)/#REF!</f>
        <v>#REF!</v>
      </c>
      <c r="DF9" s="244" t="e">
        <f>#REF!*(1+race_wizard_strength+IF(#REF!&gt;72,tech_magical_weaponry_wiz*#REF!,0))</f>
        <v>#REF!</v>
      </c>
    </row>
    <row r="10" spans="1:110" x14ac:dyDescent="0.25">
      <c r="A10" s="130" t="e">
        <f>#REF!</f>
        <v>#REF!</v>
      </c>
      <c r="B10" s="236" t="e">
        <f ca="1">SUM(#REF!)+SUM(OFFSET(#REF!,-6,0):#REF!)+#REF!</f>
        <v>#REF!</v>
      </c>
      <c r="C10" s="132" t="e">
        <f>#REF!</f>
        <v>#REF!</v>
      </c>
      <c r="D10" s="134"/>
      <c r="E10" s="3" t="e">
        <f ca="1">OFFSET(#REF!,-1,0) -#REF!</f>
        <v>#REF!</v>
      </c>
      <c r="F10" s="3" t="e">
        <f ca="1">OFFSET(#REF!,-1,0)-#REF!</f>
        <v>#REF!</v>
      </c>
      <c r="G10" s="3" t="e">
        <f ca="1">OFFSET(#REF!,-1,0)-#REF!</f>
        <v>#REF!</v>
      </c>
      <c r="H10" s="3" t="e">
        <f ca="1">OFFSET(#REF!,-1,0)-#REF!</f>
        <v>#REF!</v>
      </c>
      <c r="I10" s="3" t="e">
        <f ca="1">OFFSET(#REF!,-1,0)-#REF!-#REF!</f>
        <v>#REF!</v>
      </c>
      <c r="J10" s="3" t="e">
        <f ca="1">OFFSET(#REF!,-1,0)-#REF!</f>
        <v>#REF!</v>
      </c>
      <c r="K10" s="3" t="e">
        <f ca="1">OFFSET(#REF!,-1,0)-#REF!-#REF!</f>
        <v>#REF!</v>
      </c>
      <c r="L10" s="3" t="e">
        <f ca="1">OFFSET(#REF!,-1,0)-#REF!</f>
        <v>#REF!</v>
      </c>
      <c r="M10" s="134"/>
      <c r="N10" s="39" t="e">
        <f>#REF!</f>
        <v>#REF!</v>
      </c>
      <c r="O10" s="134"/>
      <c r="P10" s="237" t="e">
        <f>#REF!*spec_op+#REF!*(elite1_base_op)+#REF!*(elite2_base_op+dark_elf*#REF!+icekin*#REF!+woodie*#REF!+orc*#REF!)+kobold*#REF!</f>
        <v>#REF!</v>
      </c>
      <c r="Q10" s="132" t="e">
        <f>race_offense+#REF!+ROUND(MIN(gn_bonus*#REF!/#REF!,gn_bonus_cap),4)+MAX(IF(#REF!&gt;0,warsong_bonus),IF(#REF!&gt;0,howling_op_bonus),IF(#REF!&gt;0,nightfall_bonus),IF(#REF!&gt;0,#REF!)) +#REF!/ 100*prestige_offense_bonus + tech_5_4*#REF! + tech_7_4*#REF!</f>
        <v>#REF!</v>
      </c>
      <c r="R10" s="237" t="e">
        <f>#REF!*(1+#REF!)</f>
        <v>#REF!</v>
      </c>
      <c r="S10" s="237" t="e">
        <f>#REF!*spec_dp+#REF!*(elite1_base_dp+woodie*#REF!+sylvan*#REF!+gnome*#REF!+icekin*#REF!+nox*#REF!)+#REF!*(elite2_base_dp+woodie*#REF!) + fh_peas_dp*MIN(#REF!,20*#REF!)+kobold*#REF!</f>
        <v>#REF!</v>
      </c>
      <c r="T10" s="237" t="e">
        <f>#REF!+#REF!</f>
        <v>#REF!</v>
      </c>
      <c r="U10" s="238" t="e">
        <f>race_defense +#REF! + ROUND( MIN(gt_bonus*#REF!/#REF!,gt_bonus_cap), 4) + IF(#REF!&gt;0,howling_dp_bonus,IF(#REF!&gt;0,ares_call_bonus))</f>
        <v>#REF!</v>
      </c>
      <c r="V10" s="239" t="e">
        <f>#REF! * (1 +#REF!)</f>
        <v>#REF!</v>
      </c>
      <c r="W10" s="237" t="e">
        <f>#REF! * (1 +#REF!)</f>
        <v>#REF!</v>
      </c>
      <c r="X10" s="237" t="e">
        <f>#REF!</f>
        <v>#REF!</v>
      </c>
      <c r="Y10" s="240"/>
      <c r="Z10" s="135" t="e">
        <f ca="1">IF(#REF!&lt;&gt;"",#REF!,OFFSET(#REF!,-1,0))</f>
        <v>#REF!</v>
      </c>
      <c r="AA10" s="39" t="e">
        <f ca="1">OFFSET(#REF!,-1,0)+OFFSET(#REF!,-1,0) - SUM(#REF!,#REF!) -#REF! + SUM(#REF!) -#REF!</f>
        <v>#REF!</v>
      </c>
      <c r="AB10" s="133"/>
      <c r="AC10" s="132" t="e">
        <f>(#REF!+#REF!)/(#REF!-#REF!*20)</f>
        <v>#REF!</v>
      </c>
      <c r="AD10" s="130"/>
      <c r="AE10" s="236" t="e">
        <f>#REF!</f>
        <v>#REF!</v>
      </c>
      <c r="AF10" s="131" t="e">
        <f>#REF!</f>
        <v>#REF!</v>
      </c>
      <c r="AG10" s="164"/>
      <c r="AH10" s="164"/>
      <c r="AI10" s="164"/>
      <c r="AJ10" s="164"/>
      <c r="AK10" s="164"/>
      <c r="AL10" s="164"/>
      <c r="AM10" s="164"/>
      <c r="AN10" s="164"/>
      <c r="AO10" s="134"/>
      <c r="AP10" s="39" t="e">
        <f>#REF!</f>
        <v>#REF!</v>
      </c>
      <c r="AQ10" s="39" t="e">
        <f>INDEX(#REF!:#REF!,COUNTA(#REF!:#REF!),MATCH(Military!$AQ$2,#REF!,0))</f>
        <v>#REF!</v>
      </c>
      <c r="AR10" s="39" t="e">
        <f>#REF!*#REF!+#REF!*#REF!+#REF!*#REF!+#REF!*#REF!+#REF!*#REF!+#REF!*#REF!+#REF!*#REF!</f>
        <v>#REF!</v>
      </c>
      <c r="AS10" s="39" t="e">
        <f>#REF!*#REF!+#REF!*#REF!+#REF!*#REF!+#REF!*#REF!</f>
        <v>#REF!</v>
      </c>
      <c r="AT10" s="134" t="e">
        <f>#REF!</f>
        <v>#REF!</v>
      </c>
      <c r="AU10" s="143" t="e">
        <f>#REF!</f>
        <v>#REF!</v>
      </c>
      <c r="AV10" s="39" t="e">
        <f>#REF!</f>
        <v>#REF!</v>
      </c>
      <c r="AW10" s="164"/>
      <c r="AX10" s="164"/>
      <c r="AY10" s="164"/>
      <c r="AZ10" s="164"/>
      <c r="BA10" s="164"/>
      <c r="BB10" s="164"/>
      <c r="BC10" s="164"/>
      <c r="BD10" s="164"/>
      <c r="BE10" s="164"/>
      <c r="BF10" s="134"/>
      <c r="BG10" s="132" t="e">
        <f>#REF!/#REF!</f>
        <v>#REF!</v>
      </c>
      <c r="BH10" s="132" t="e">
        <f>#REF!/#REF!</f>
        <v>#REF!</v>
      </c>
      <c r="BI10" s="39" t="e">
        <f>ROUNDUP((1-MIN(#REF!*smithy_bonus,smithy_bonus_cap) + tech_3_5*#REF! + tech_5_3*#REF! + tech_5_5*#REF!)*spec_op_plat,0)</f>
        <v>#REF!</v>
      </c>
      <c r="BJ10" s="39" t="e">
        <f>ROUNDUP(IF(race="Gnome",1,(1-MIN(#REF!*smithy_bonus,smithy_bonus_cap) + tech_3_5*#REF! + tech_5_3*#REF! + tech_5_5*#REF!))*spec_op_ore,0)</f>
        <v>#REF!</v>
      </c>
      <c r="BK10" s="39" t="e">
        <f>ROUNDUP((1-MIN(#REF!*smithy_bonus,smithy_bonus_cap) + tech_3_5*#REF! + tech_5_3*#REF! + tech_5_5*#REF!)*spec_dp_plat,0)</f>
        <v>#REF!</v>
      </c>
      <c r="BL10" s="39" t="e">
        <f>ROUNDUP(IF(race="Gnome",1,(1-MIN(#REF!*smithy_bonus,smithy_bonus_cap) + tech_3_5*#REF! + tech_5_3*#REF! + tech_5_5*#REF!))*spec_dp_ore,0)</f>
        <v>#REF!</v>
      </c>
      <c r="BM10" s="39" t="e">
        <f>ROUNDUP((1-MIN(#REF!*smithy_bonus,smithy_bonus_cap) + tech_3_5*#REF! + tech_5_3*#REF! + tech_5_5*#REF!)*elite1_plat,0)</f>
        <v>#REF!</v>
      </c>
      <c r="BN10" s="39" t="e">
        <f>ROUNDUP(IF(race="Gnome",1,(1-MIN(#REF!*smithy_bonus,smithy_bonus_cap) + tech_3_5*#REF! + tech_5_3*#REF! + tech_5_5*#REF!))*elite1_ore,0)</f>
        <v>#REF!</v>
      </c>
      <c r="BO10" s="39" t="e">
        <f>ROUNDUP((1-MIN(#REF!*smithy_bonus,smithy_bonus_cap) + tech_3_5*#REF! + tech_5_3*#REF! + tech_5_5*#REF!)*elite2_plat,0)</f>
        <v>#REF!</v>
      </c>
      <c r="BP10" s="39" t="e">
        <f>ROUNDUP(IF(race="Gnome",1,(1-MIN(#REF!*smithy_bonus,smithy_bonus_cap) + tech_3_5*#REF! + tech_5_3*#REF! + tech_5_5*#REF!))*elite2_ore,0)</f>
        <v>#REF!</v>
      </c>
      <c r="BQ10" s="39" t="e">
        <f>ROUNDUP((1-MIN(ROUND(fh_spy_cost_red*#REF!,4),fh_spy_cost_cap)+ tech_1_9*#REF! + tech_9_1*#REF!)*spy_plat,0)</f>
        <v>#REF!</v>
      </c>
      <c r="BR10" s="39" t="e">
        <f>ROUNDUP((1-MIN(ROUND(fh_spy_cost_red*#REF!,4),fh_spy_cost_cap)+ tech_1_9*#REF! + tech_9_1*#REF!)*archspy_plat,0)</f>
        <v>#REF!</v>
      </c>
      <c r="BS10" s="39" t="e">
        <f>ROUNDUP((1-MIN(ROUND(wg_wiz_cost_bonus*#REF!,4),wg_wiz_cost_cap) + tech_1_9_2*#REF! + tech_9_1_2*#REF!)*wizard_plat,0)</f>
        <v>#REF!</v>
      </c>
      <c r="BT10" s="39" t="e">
        <f>ROUNDUP((1-MIN(ROUND(wg_wiz_cost_bonus*#REF!,4),wg_wiz_cost_cap) + tech_1_9_2*#REF! + tech_9_1_2*#REF!)*archmage_plat,0)</f>
        <v>#REF!</v>
      </c>
      <c r="BU10" s="134"/>
      <c r="BV10" s="132" t="e">
        <f>#REF!/#REF!</f>
        <v>#REF!</v>
      </c>
      <c r="BW10" s="132" t="e">
        <f>#REF!</f>
        <v>#REF!</v>
      </c>
      <c r="BX10" s="241" t="e">
        <f>IF(mystic_cap="none",#REF!/mystic_bonus,MIN(mystic_cap,#REF!/mystic_bonus))</f>
        <v>#REF!</v>
      </c>
      <c r="BY10" s="241" t="e">
        <f>IF(druid_op_cap="none",#REF!/druid_op_bonus,MIN(druid_op_cap,#REF!/druid_op_bonus))</f>
        <v>#REF!</v>
      </c>
      <c r="BZ10" s="241" t="e">
        <f>IF(druid_dp_cap="none",#REF!/druid_dp_bonus,MIN(druid_dp_cap,#REF!/druid_dp_bonus))</f>
        <v>#REF!</v>
      </c>
      <c r="CA10" s="241" t="e">
        <f>MIN(dryad_cap,#REF!/dryad_bonus)</f>
        <v>#REF!</v>
      </c>
      <c r="CB10" s="241" t="e">
        <f>MIN(rocka_cap,#REF!/rocka_bonus)</f>
        <v>#REF!</v>
      </c>
      <c r="CC10" s="241" t="e">
        <f>MIN(adept_op_cap,#REF!/adept_op_bonus)</f>
        <v>#REF!</v>
      </c>
      <c r="CD10" s="241" t="e">
        <f>MIN(adept_dp_cap,#REF!/adept_dp_bonus)</f>
        <v>#REF!</v>
      </c>
      <c r="CE10" s="39" t="e">
        <f>MIN(#REF!,#REF!)*2</f>
        <v>#REF!</v>
      </c>
      <c r="CF10" s="39" t="e">
        <f>MIN(#REF!,#REF!)*2</f>
        <v>#REF!</v>
      </c>
      <c r="CG10" s="241" t="e">
        <f>MIN(frost_mage_cap,#REF!/frost_mage_bonus)</f>
        <v>#REF!</v>
      </c>
      <c r="CH10" s="3" t="e">
        <f>MIN(ice_elem_cap,#REF!*ice_elem_bonus)</f>
        <v>#REF!</v>
      </c>
      <c r="CI10" s="241">
        <f t="shared" si="0"/>
        <v>0.83333333333333337</v>
      </c>
      <c r="CJ10" s="241" t="e">
        <f>MIN(nox_nightshade_cap,#REF!/#REF!/nox_nightshade_swamp_bonus)</f>
        <v>#REF!</v>
      </c>
      <c r="CK10" s="242" t="s">
        <v>330</v>
      </c>
      <c r="CL10" s="242" t="b">
        <f t="shared" si="1"/>
        <v>0</v>
      </c>
      <c r="CM10" s="242"/>
      <c r="CN10" s="241" t="e">
        <f>MIN(6,#REF!+Races!$F$19)*1.8 +  IF(#REF!+Races!$F$19&gt;6,(#REF!+Races!$F$19-6)*0.2,0) - Races!$I$19</f>
        <v>#REF!</v>
      </c>
      <c r="CO10" s="241" t="e">
        <f>1.8 * MIN(MAX(#REF!+Races!$E$20,#REF!+Races!$F$20),6)  +  0.45 * MIN(MIN(#REF!+Races!$E$20,#REF!+Races!$F$20),6)  +  0.2 * ( MAX(#REF!+Races!$E$20-6,0) + MAX(#REF!+Races!$F$20-6,0) )  -  Races!$I$20</f>
        <v>#REF!</v>
      </c>
      <c r="CP10" s="39" t="e">
        <f>#REF!*#REF!+#REF!*#REF!</f>
        <v>#REF!</v>
      </c>
      <c r="CQ10" s="145" t="e">
        <f>MIN(6,#REF!+Races!$F$35)*1.8 +  IF(#REF!+Races!$F$35&gt;6,(#REF!+Races!$F$35-6)*0.2,0) - Races!$I$19</f>
        <v>#REF!</v>
      </c>
      <c r="CR10" s="39" t="e">
        <f>sylvan*(#REF!*#REF!)</f>
        <v>#REF!</v>
      </c>
      <c r="CS10" s="145" t="e">
        <f>1.8 * MIN(MAX(Races!$E$27,#REF!+Races!$F$27),6)  +  0.45 * MIN(MIN(Races!$E$27,#REF!+Races!$F$27),6)  +  0.2 * ( MAX(Races!$E$27-6,0) + MAX(#REF!+Races!$F$27-6,0) )  -  Races!$I$20</f>
        <v>#REF!</v>
      </c>
      <c r="CT10" s="39" t="e">
        <f>gnome*(#REF!*#REF!)</f>
        <v>#REF!</v>
      </c>
      <c r="CU10" s="145" t="e">
        <f>1.8 * MIN(MAX(#REF!+Races!$E$47,#REF!+Races!$F$47),6)  +  0.45 * MIN(MIN(#REF!+Races!$E$47,#REF!+Races!$F$47),6)  +  0.2 * ( MAX(#REF!+Races!$E$47-6,0) + MAX(#REF!+Races!$F$47-6,0) )  -  Races!$I$47</f>
        <v>#REF!</v>
      </c>
      <c r="CV10" s="39" t="e">
        <f>dark_elf*(#REF!*#REF!)</f>
        <v>#REF!</v>
      </c>
      <c r="CW10" s="145" t="e">
        <f>1.8 * MIN(MAX(#REF!+Races!$F$71,Races!$E$71),6)  +  0.45 * MIN(MIN(#REF!+Races!$F$71,Races!$E$71),6)  +  0.2 * ( MAX(#REF!+Races!$F$71-6,0) + MAX(Races!$E$71-6,0) )  -  Races!$I$71</f>
        <v>#REF!</v>
      </c>
      <c r="CX10" s="145" t="e">
        <f>1.8 * MIN(MAX(#REF!+Races!$E$71,Races!$F$71),6)  +  0.45 * MIN(MIN(#REF!+Races!$E$71,Races!$F$71),6)  +  0.2 * ( MAX(#REF!+Races!$E$71-6,0) + MAX(Races!$F$71-6,0) )  -  Races!$I$71</f>
        <v>#REF!</v>
      </c>
      <c r="CY10" s="39" t="e">
        <f>#REF!*#REF!+#REF!*#REF!</f>
        <v>#REF!</v>
      </c>
      <c r="CZ10" s="243"/>
      <c r="DA10" s="135" t="e">
        <f>MIN(SUM(#REF!)/#REF!/favorable_terrain_bonus/100,favorable_terrain_max)</f>
        <v>#REF!</v>
      </c>
      <c r="DB10" s="243"/>
      <c r="DC10"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0" s="134"/>
      <c r="DE10" s="244" t="e">
        <f>(#REF!+2*#REF!)/#REF!</f>
        <v>#REF!</v>
      </c>
      <c r="DF10" s="244" t="e">
        <f>#REF!*(1+race_wizard_strength+IF(#REF!&gt;72,tech_magical_weaponry_wiz*#REF!,0))</f>
        <v>#REF!</v>
      </c>
    </row>
    <row r="11" spans="1:110" x14ac:dyDescent="0.25">
      <c r="A11" s="130" t="e">
        <f>#REF!</f>
        <v>#REF!</v>
      </c>
      <c r="B11" s="236" t="e">
        <f ca="1">SUM(#REF!)+SUM(OFFSET(#REF!,-7,0):#REF!)+#REF!</f>
        <v>#REF!</v>
      </c>
      <c r="C11" s="132" t="e">
        <f>#REF!</f>
        <v>#REF!</v>
      </c>
      <c r="D11" s="134"/>
      <c r="E11" s="3" t="e">
        <f ca="1">OFFSET(#REF!,-1,0) -#REF!</f>
        <v>#REF!</v>
      </c>
      <c r="F11" s="3" t="e">
        <f ca="1">OFFSET(#REF!,-1,0)-#REF!</f>
        <v>#REF!</v>
      </c>
      <c r="G11" s="3" t="e">
        <f ca="1">OFFSET(#REF!,-1,0)-#REF!</f>
        <v>#REF!</v>
      </c>
      <c r="H11" s="3" t="e">
        <f ca="1">OFFSET(#REF!,-1,0)-#REF!</f>
        <v>#REF!</v>
      </c>
      <c r="I11" s="3" t="e">
        <f ca="1">OFFSET(#REF!,-1,0)-#REF!-#REF!</f>
        <v>#REF!</v>
      </c>
      <c r="J11" s="3" t="e">
        <f ca="1">OFFSET(#REF!,-1,0)-#REF!</f>
        <v>#REF!</v>
      </c>
      <c r="K11" s="3" t="e">
        <f ca="1">OFFSET(#REF!,-1,0)-#REF!-#REF!</f>
        <v>#REF!</v>
      </c>
      <c r="L11" s="3" t="e">
        <f ca="1">OFFSET(#REF!,-1,0)-#REF!</f>
        <v>#REF!</v>
      </c>
      <c r="M11" s="134"/>
      <c r="N11" s="39" t="e">
        <f>#REF!</f>
        <v>#REF!</v>
      </c>
      <c r="O11" s="134"/>
      <c r="P11" s="237" t="e">
        <f>#REF!*spec_op+#REF!*(elite1_base_op)+#REF!*(elite2_base_op+dark_elf*#REF!+icekin*#REF!+woodie*#REF!+orc*#REF!)+kobold*#REF!</f>
        <v>#REF!</v>
      </c>
      <c r="Q11" s="132" t="e">
        <f>race_offense+#REF!+ROUND(MIN(gn_bonus*#REF!/#REF!,gn_bonus_cap),4)+MAX(IF(#REF!&gt;0,warsong_bonus),IF(#REF!&gt;0,howling_op_bonus),IF(#REF!&gt;0,nightfall_bonus),IF(#REF!&gt;0,#REF!)) +#REF!/ 100*prestige_offense_bonus + tech_5_4*#REF! + tech_7_4*#REF!</f>
        <v>#REF!</v>
      </c>
      <c r="R11" s="237" t="e">
        <f>#REF!*(1+#REF!)</f>
        <v>#REF!</v>
      </c>
      <c r="S11" s="237" t="e">
        <f>#REF!*spec_dp+#REF!*(elite1_base_dp+woodie*#REF!+sylvan*#REF!+gnome*#REF!+icekin*#REF!+nox*#REF!)+#REF!*(elite2_base_dp+woodie*#REF!) + fh_peas_dp*MIN(#REF!,20*#REF!)+kobold*#REF!</f>
        <v>#REF!</v>
      </c>
      <c r="T11" s="237" t="e">
        <f>#REF!+#REF!</f>
        <v>#REF!</v>
      </c>
      <c r="U11" s="238" t="e">
        <f>race_defense +#REF! + ROUND( MIN(gt_bonus*#REF!/#REF!,gt_bonus_cap), 4) + IF(#REF!&gt;0,howling_dp_bonus,IF(#REF!&gt;0,ares_call_bonus))</f>
        <v>#REF!</v>
      </c>
      <c r="V11" s="239" t="e">
        <f>#REF! * (1 +#REF!)</f>
        <v>#REF!</v>
      </c>
      <c r="W11" s="237" t="e">
        <f>#REF! * (1 +#REF!)</f>
        <v>#REF!</v>
      </c>
      <c r="X11" s="237" t="e">
        <f>#REF!</f>
        <v>#REF!</v>
      </c>
      <c r="Y11" s="240"/>
      <c r="Z11" s="135" t="e">
        <f ca="1">IF(#REF!&lt;&gt;"",#REF!,OFFSET(#REF!,-1,0))</f>
        <v>#REF!</v>
      </c>
      <c r="AA11" s="39" t="e">
        <f ca="1">OFFSET(#REF!,-1,0)+OFFSET(#REF!,-1,0) - SUM(#REF!,#REF!) -#REF! + SUM(#REF!) -#REF!</f>
        <v>#REF!</v>
      </c>
      <c r="AB11" s="133"/>
      <c r="AC11" s="132" t="e">
        <f>(#REF!+#REF!)/(#REF!-#REF!*20)</f>
        <v>#REF!</v>
      </c>
      <c r="AD11" s="130"/>
      <c r="AE11" s="236" t="e">
        <f>#REF!</f>
        <v>#REF!</v>
      </c>
      <c r="AF11" s="131" t="e">
        <f>#REF!</f>
        <v>#REF!</v>
      </c>
      <c r="AG11" s="164"/>
      <c r="AH11" s="164"/>
      <c r="AI11" s="164"/>
      <c r="AJ11" s="164"/>
      <c r="AK11" s="164"/>
      <c r="AL11" s="164"/>
      <c r="AM11" s="164"/>
      <c r="AN11" s="164"/>
      <c r="AO11" s="134"/>
      <c r="AP11" s="39" t="e">
        <f>#REF!</f>
        <v>#REF!</v>
      </c>
      <c r="AQ11" s="39" t="e">
        <f>INDEX(#REF!:#REF!,COUNTA(#REF!:#REF!),MATCH(Military!$AQ$2,#REF!,0))</f>
        <v>#REF!</v>
      </c>
      <c r="AR11" s="39" t="e">
        <f>#REF!*#REF!+#REF!*#REF!+#REF!*#REF!+#REF!*#REF!+#REF!*#REF!+#REF!*#REF!+#REF!*#REF!</f>
        <v>#REF!</v>
      </c>
      <c r="AS11" s="39" t="e">
        <f>#REF!*#REF!+#REF!*#REF!+#REF!*#REF!+#REF!*#REF!</f>
        <v>#REF!</v>
      </c>
      <c r="AT11" s="134" t="e">
        <f>#REF!</f>
        <v>#REF!</v>
      </c>
      <c r="AU11" s="143" t="e">
        <f>#REF!</f>
        <v>#REF!</v>
      </c>
      <c r="AV11" s="39" t="e">
        <f>#REF!</f>
        <v>#REF!</v>
      </c>
      <c r="AW11" s="164"/>
      <c r="AX11" s="164"/>
      <c r="AY11" s="164"/>
      <c r="AZ11" s="164"/>
      <c r="BA11" s="164"/>
      <c r="BB11" s="164"/>
      <c r="BC11" s="164"/>
      <c r="BD11" s="164"/>
      <c r="BE11" s="164"/>
      <c r="BF11" s="134"/>
      <c r="BG11" s="132" t="e">
        <f>#REF!/#REF!</f>
        <v>#REF!</v>
      </c>
      <c r="BH11" s="132" t="e">
        <f>#REF!/#REF!</f>
        <v>#REF!</v>
      </c>
      <c r="BI11" s="39" t="e">
        <f>ROUNDUP((1-MIN(#REF!*smithy_bonus,smithy_bonus_cap) + tech_3_5*#REF! + tech_5_3*#REF! + tech_5_5*#REF!)*spec_op_plat,0)</f>
        <v>#REF!</v>
      </c>
      <c r="BJ11" s="39" t="e">
        <f>ROUNDUP(IF(race="Gnome",1,(1-MIN(#REF!*smithy_bonus,smithy_bonus_cap) + tech_3_5*#REF! + tech_5_3*#REF! + tech_5_5*#REF!))*spec_op_ore,0)</f>
        <v>#REF!</v>
      </c>
      <c r="BK11" s="39" t="e">
        <f>ROUNDUP((1-MIN(#REF!*smithy_bonus,smithy_bonus_cap) + tech_3_5*#REF! + tech_5_3*#REF! + tech_5_5*#REF!)*spec_dp_plat,0)</f>
        <v>#REF!</v>
      </c>
      <c r="BL11" s="39" t="e">
        <f>ROUNDUP(IF(race="Gnome",1,(1-MIN(#REF!*smithy_bonus,smithy_bonus_cap) + tech_3_5*#REF! + tech_5_3*#REF! + tech_5_5*#REF!))*spec_dp_ore,0)</f>
        <v>#REF!</v>
      </c>
      <c r="BM11" s="39" t="e">
        <f>ROUNDUP((1-MIN(#REF!*smithy_bonus,smithy_bonus_cap) + tech_3_5*#REF! + tech_5_3*#REF! + tech_5_5*#REF!)*elite1_plat,0)</f>
        <v>#REF!</v>
      </c>
      <c r="BN11" s="39" t="e">
        <f>ROUNDUP(IF(race="Gnome",1,(1-MIN(#REF!*smithy_bonus,smithy_bonus_cap) + tech_3_5*#REF! + tech_5_3*#REF! + tech_5_5*#REF!))*elite1_ore,0)</f>
        <v>#REF!</v>
      </c>
      <c r="BO11" s="39" t="e">
        <f>ROUNDUP((1-MIN(#REF!*smithy_bonus,smithy_bonus_cap) + tech_3_5*#REF! + tech_5_3*#REF! + tech_5_5*#REF!)*elite2_plat,0)</f>
        <v>#REF!</v>
      </c>
      <c r="BP11" s="39" t="e">
        <f>ROUNDUP(IF(race="Gnome",1,(1-MIN(#REF!*smithy_bonus,smithy_bonus_cap) + tech_3_5*#REF! + tech_5_3*#REF! + tech_5_5*#REF!))*elite2_ore,0)</f>
        <v>#REF!</v>
      </c>
      <c r="BQ11" s="39" t="e">
        <f>ROUNDUP((1-MIN(ROUND(fh_spy_cost_red*#REF!,4),fh_spy_cost_cap)+ tech_1_9*#REF! + tech_9_1*#REF!)*spy_plat,0)</f>
        <v>#REF!</v>
      </c>
      <c r="BR11" s="39" t="e">
        <f>ROUNDUP((1-MIN(ROUND(fh_spy_cost_red*#REF!,4),fh_spy_cost_cap)+ tech_1_9*#REF! + tech_9_1*#REF!)*archspy_plat,0)</f>
        <v>#REF!</v>
      </c>
      <c r="BS11" s="39" t="e">
        <f>ROUNDUP((1-MIN(ROUND(wg_wiz_cost_bonus*#REF!,4),wg_wiz_cost_cap) + tech_1_9_2*#REF! + tech_9_1_2*#REF!)*wizard_plat,0)</f>
        <v>#REF!</v>
      </c>
      <c r="BT11" s="39" t="e">
        <f>ROUNDUP((1-MIN(ROUND(wg_wiz_cost_bonus*#REF!,4),wg_wiz_cost_cap) + tech_1_9_2*#REF! + tech_9_1_2*#REF!)*archmage_plat,0)</f>
        <v>#REF!</v>
      </c>
      <c r="BU11" s="134"/>
      <c r="BV11" s="132" t="e">
        <f>#REF!/#REF!</f>
        <v>#REF!</v>
      </c>
      <c r="BW11" s="132" t="e">
        <f>#REF!</f>
        <v>#REF!</v>
      </c>
      <c r="BX11" s="241" t="e">
        <f>IF(mystic_cap="none",#REF!/mystic_bonus,MIN(mystic_cap,#REF!/mystic_bonus))</f>
        <v>#REF!</v>
      </c>
      <c r="BY11" s="241" t="e">
        <f>IF(druid_op_cap="none",#REF!/druid_op_bonus,MIN(druid_op_cap,#REF!/druid_op_bonus))</f>
        <v>#REF!</v>
      </c>
      <c r="BZ11" s="241" t="e">
        <f>IF(druid_dp_cap="none",#REF!/druid_dp_bonus,MIN(druid_dp_cap,#REF!/druid_dp_bonus))</f>
        <v>#REF!</v>
      </c>
      <c r="CA11" s="241" t="e">
        <f>MIN(dryad_cap,#REF!/dryad_bonus)</f>
        <v>#REF!</v>
      </c>
      <c r="CB11" s="241" t="e">
        <f>MIN(rocka_cap,#REF!/rocka_bonus)</f>
        <v>#REF!</v>
      </c>
      <c r="CC11" s="241" t="e">
        <f>MIN(adept_op_cap,#REF!/adept_op_bonus)</f>
        <v>#REF!</v>
      </c>
      <c r="CD11" s="241" t="e">
        <f>MIN(adept_dp_cap,#REF!/adept_dp_bonus)</f>
        <v>#REF!</v>
      </c>
      <c r="CE11" s="39" t="e">
        <f>MIN(#REF!,#REF!)*2</f>
        <v>#REF!</v>
      </c>
      <c r="CF11" s="39" t="e">
        <f>MIN(#REF!,#REF!)*2</f>
        <v>#REF!</v>
      </c>
      <c r="CG11" s="241" t="e">
        <f>MIN(frost_mage_cap,#REF!/frost_mage_bonus)</f>
        <v>#REF!</v>
      </c>
      <c r="CH11" s="3" t="e">
        <f>MIN(ice_elem_cap,#REF!*ice_elem_bonus)</f>
        <v>#REF!</v>
      </c>
      <c r="CI11" s="241">
        <f t="shared" si="0"/>
        <v>0.83333333333333337</v>
      </c>
      <c r="CJ11" s="241" t="e">
        <f>MIN(nox_nightshade_cap,#REF!/#REF!/nox_nightshade_swamp_bonus)</f>
        <v>#REF!</v>
      </c>
      <c r="CK11" s="242" t="s">
        <v>143</v>
      </c>
      <c r="CL11" s="242" t="b">
        <f t="shared" si="1"/>
        <v>0</v>
      </c>
      <c r="CM11" s="242"/>
      <c r="CN11" s="241" t="e">
        <f>MIN(6,#REF!+Races!$F$19)*1.8 +  IF(#REF!+Races!$F$19&gt;6,(#REF!+Races!$F$19-6)*0.2,0) - Races!$I$19</f>
        <v>#REF!</v>
      </c>
      <c r="CO11" s="241" t="e">
        <f>1.8 * MIN(MAX(#REF!+Races!$E$20,#REF!+Races!$F$20),6)  +  0.45 * MIN(MIN(#REF!+Races!$E$20,#REF!+Races!$F$20),6)  +  0.2 * ( MAX(#REF!+Races!$E$20-6,0) + MAX(#REF!+Races!$F$20-6,0) )  -  Races!$I$20</f>
        <v>#REF!</v>
      </c>
      <c r="CP11" s="39" t="e">
        <f>#REF!*#REF!+#REF!*#REF!</f>
        <v>#REF!</v>
      </c>
      <c r="CQ11" s="145" t="e">
        <f>MIN(6,#REF!+Races!$F$35)*1.8 +  IF(#REF!+Races!$F$35&gt;6,(#REF!+Races!$F$35-6)*0.2,0) - Races!$I$19</f>
        <v>#REF!</v>
      </c>
      <c r="CR11" s="39" t="e">
        <f>sylvan*(#REF!*#REF!)</f>
        <v>#REF!</v>
      </c>
      <c r="CS11" s="145" t="e">
        <f>1.8 * MIN(MAX(Races!$E$27,#REF!+Races!$F$27),6)  +  0.45 * MIN(MIN(Races!$E$27,#REF!+Races!$F$27),6)  +  0.2 * ( MAX(Races!$E$27-6,0) + MAX(#REF!+Races!$F$27-6,0) )  -  Races!$I$20</f>
        <v>#REF!</v>
      </c>
      <c r="CT11" s="39" t="e">
        <f>gnome*(#REF!*#REF!)</f>
        <v>#REF!</v>
      </c>
      <c r="CU11" s="145" t="e">
        <f>1.8 * MIN(MAX(#REF!+Races!$E$47,#REF!+Races!$F$47),6)  +  0.45 * MIN(MIN(#REF!+Races!$E$47,#REF!+Races!$F$47),6)  +  0.2 * ( MAX(#REF!+Races!$E$47-6,0) + MAX(#REF!+Races!$F$47-6,0) )  -  Races!$I$47</f>
        <v>#REF!</v>
      </c>
      <c r="CV11" s="39" t="e">
        <f>dark_elf*(#REF!*#REF!)</f>
        <v>#REF!</v>
      </c>
      <c r="CW11" s="145" t="e">
        <f>1.8 * MIN(MAX(#REF!+Races!$F$71,Races!$E$71),6)  +  0.45 * MIN(MIN(#REF!+Races!$F$71,Races!$E$71),6)  +  0.2 * ( MAX(#REF!+Races!$F$71-6,0) + MAX(Races!$E$71-6,0) )  -  Races!$I$71</f>
        <v>#REF!</v>
      </c>
      <c r="CX11" s="145" t="e">
        <f>1.8 * MIN(MAX(#REF!+Races!$E$71,Races!$F$71),6)  +  0.45 * MIN(MIN(#REF!+Races!$E$71,Races!$F$71),6)  +  0.2 * ( MAX(#REF!+Races!$E$71-6,0) + MAX(Races!$F$71-6,0) )  -  Races!$I$71</f>
        <v>#REF!</v>
      </c>
      <c r="CY11" s="39" t="e">
        <f>#REF!*#REF!+#REF!*#REF!</f>
        <v>#REF!</v>
      </c>
      <c r="CZ11" s="243"/>
      <c r="DA11" s="135" t="e">
        <f>MIN(SUM(#REF!)/#REF!/favorable_terrain_bonus/100,favorable_terrain_max)</f>
        <v>#REF!</v>
      </c>
      <c r="DB11" s="243"/>
      <c r="DC11"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1" s="134"/>
      <c r="DE11" s="244" t="e">
        <f>(#REF!+2*#REF!)/#REF!</f>
        <v>#REF!</v>
      </c>
      <c r="DF11" s="244" t="e">
        <f>#REF!*(1+race_wizard_strength+IF(#REF!&gt;72,tech_magical_weaponry_wiz*#REF!,0))</f>
        <v>#REF!</v>
      </c>
    </row>
    <row r="12" spans="1:110" x14ac:dyDescent="0.25">
      <c r="A12" s="130" t="e">
        <f>#REF!</f>
        <v>#REF!</v>
      </c>
      <c r="B12" s="236" t="e">
        <f ca="1">SUM(#REF!)+SUM(OFFSET(#REF!,-8,0):#REF!)+#REF!</f>
        <v>#REF!</v>
      </c>
      <c r="C12" s="132" t="e">
        <f>#REF!</f>
        <v>#REF!</v>
      </c>
      <c r="D12" s="134"/>
      <c r="E12" s="3" t="e">
        <f ca="1">OFFSET(#REF!,-1,0) -#REF!</f>
        <v>#REF!</v>
      </c>
      <c r="F12" s="3" t="e">
        <f ca="1">OFFSET(#REF!,-1,0)-#REF!</f>
        <v>#REF!</v>
      </c>
      <c r="G12" s="3" t="e">
        <f ca="1">OFFSET(#REF!,-1,0)-#REF!</f>
        <v>#REF!</v>
      </c>
      <c r="H12" s="3" t="e">
        <f ca="1">OFFSET(#REF!,-1,0)-#REF!</f>
        <v>#REF!</v>
      </c>
      <c r="I12" s="3" t="e">
        <f ca="1">OFFSET(#REF!,-1,0)-#REF!-#REF!</f>
        <v>#REF!</v>
      </c>
      <c r="J12" s="3" t="e">
        <f ca="1">OFFSET(#REF!,-1,0)-#REF!</f>
        <v>#REF!</v>
      </c>
      <c r="K12" s="3" t="e">
        <f ca="1">OFFSET(#REF!,-1,0)-#REF!-#REF!</f>
        <v>#REF!</v>
      </c>
      <c r="L12" s="3" t="e">
        <f ca="1">OFFSET(#REF!,-1,0)-#REF!</f>
        <v>#REF!</v>
      </c>
      <c r="M12" s="134"/>
      <c r="N12" s="39" t="e">
        <f>#REF!</f>
        <v>#REF!</v>
      </c>
      <c r="O12" s="134"/>
      <c r="P12" s="237" t="e">
        <f>#REF!*spec_op+#REF!*(elite1_base_op)+#REF!*(elite2_base_op+dark_elf*#REF!+icekin*#REF!+woodie*#REF!+orc*#REF!)+kobold*#REF!</f>
        <v>#REF!</v>
      </c>
      <c r="Q12" s="132" t="e">
        <f>race_offense+#REF!+ROUND(MIN(gn_bonus*#REF!/#REF!,gn_bonus_cap),4)+MAX(IF(#REF!&gt;0,warsong_bonus),IF(#REF!&gt;0,howling_op_bonus),IF(#REF!&gt;0,nightfall_bonus),IF(#REF!&gt;0,#REF!)) +#REF!/ 100*prestige_offense_bonus + tech_5_4*#REF! + tech_7_4*#REF!</f>
        <v>#REF!</v>
      </c>
      <c r="R12" s="237" t="e">
        <f>#REF!*(1+#REF!)</f>
        <v>#REF!</v>
      </c>
      <c r="S12" s="237" t="e">
        <f>#REF!*spec_dp+#REF!*(elite1_base_dp+woodie*#REF!+sylvan*#REF!+gnome*#REF!+icekin*#REF!+nox*#REF!)+#REF!*(elite2_base_dp+woodie*#REF!) + fh_peas_dp*MIN(#REF!,20*#REF!)+kobold*#REF!</f>
        <v>#REF!</v>
      </c>
      <c r="T12" s="237" t="e">
        <f>#REF!+#REF!</f>
        <v>#REF!</v>
      </c>
      <c r="U12" s="238" t="e">
        <f>race_defense +#REF! + ROUND( MIN(gt_bonus*#REF!/#REF!,gt_bonus_cap), 4) + IF(#REF!&gt;0,howling_dp_bonus,IF(#REF!&gt;0,ares_call_bonus))</f>
        <v>#REF!</v>
      </c>
      <c r="V12" s="239" t="e">
        <f>#REF! * (1 +#REF!)</f>
        <v>#REF!</v>
      </c>
      <c r="W12" s="237" t="e">
        <f>#REF! * (1 +#REF!)</f>
        <v>#REF!</v>
      </c>
      <c r="X12" s="237" t="e">
        <f>#REF!</f>
        <v>#REF!</v>
      </c>
      <c r="Y12" s="240"/>
      <c r="Z12" s="135" t="e">
        <f ca="1">IF(#REF!&lt;&gt;"",#REF!,OFFSET(#REF!,-1,0))</f>
        <v>#REF!</v>
      </c>
      <c r="AA12" s="39" t="e">
        <f ca="1">OFFSET(#REF!,-1,0)+OFFSET(#REF!,-1,0) - SUM(#REF!,#REF!) -#REF! + SUM(#REF!) -#REF!</f>
        <v>#REF!</v>
      </c>
      <c r="AB12" s="133"/>
      <c r="AC12" s="132" t="e">
        <f>(#REF!+#REF!)/(#REF!-#REF!*20)</f>
        <v>#REF!</v>
      </c>
      <c r="AD12" s="130"/>
      <c r="AE12" s="236" t="e">
        <f>#REF!</f>
        <v>#REF!</v>
      </c>
      <c r="AF12" s="131" t="e">
        <f>#REF!</f>
        <v>#REF!</v>
      </c>
      <c r="AG12" s="164"/>
      <c r="AH12" s="164"/>
      <c r="AI12" s="164"/>
      <c r="AJ12" s="164"/>
      <c r="AK12" s="164"/>
      <c r="AL12" s="164"/>
      <c r="AM12" s="164"/>
      <c r="AN12" s="164"/>
      <c r="AO12" s="134"/>
      <c r="AP12" s="39" t="e">
        <f>#REF!</f>
        <v>#REF!</v>
      </c>
      <c r="AQ12" s="39" t="e">
        <f>INDEX(#REF!:#REF!,COUNTA(#REF!:#REF!),MATCH(Military!$AQ$2,#REF!,0))</f>
        <v>#REF!</v>
      </c>
      <c r="AR12" s="39" t="e">
        <f>#REF!*#REF!+#REF!*#REF!+#REF!*#REF!+#REF!*#REF!+#REF!*#REF!+#REF!*#REF!+#REF!*#REF!</f>
        <v>#REF!</v>
      </c>
      <c r="AS12" s="39" t="e">
        <f>#REF!*#REF!+#REF!*#REF!+#REF!*#REF!+#REF!*#REF!</f>
        <v>#REF!</v>
      </c>
      <c r="AT12" s="134" t="e">
        <f>#REF!</f>
        <v>#REF!</v>
      </c>
      <c r="AU12" s="143" t="e">
        <f>#REF!</f>
        <v>#REF!</v>
      </c>
      <c r="AV12" s="39" t="e">
        <f>#REF!</f>
        <v>#REF!</v>
      </c>
      <c r="AW12" s="164"/>
      <c r="AX12" s="164"/>
      <c r="AY12" s="164"/>
      <c r="AZ12" s="164"/>
      <c r="BA12" s="164"/>
      <c r="BB12" s="164"/>
      <c r="BC12" s="164"/>
      <c r="BD12" s="164"/>
      <c r="BE12" s="164"/>
      <c r="BF12" s="134"/>
      <c r="BG12" s="132" t="e">
        <f>#REF!/#REF!</f>
        <v>#REF!</v>
      </c>
      <c r="BH12" s="132" t="e">
        <f>#REF!/#REF!</f>
        <v>#REF!</v>
      </c>
      <c r="BI12" s="39" t="e">
        <f>ROUNDUP((1-MIN(#REF!*smithy_bonus,smithy_bonus_cap) + tech_3_5*#REF! + tech_5_3*#REF! + tech_5_5*#REF!)*spec_op_plat,0)</f>
        <v>#REF!</v>
      </c>
      <c r="BJ12" s="39" t="e">
        <f>ROUNDUP(IF(race="Gnome",1,(1-MIN(#REF!*smithy_bonus,smithy_bonus_cap) + tech_3_5*#REF! + tech_5_3*#REF! + tech_5_5*#REF!))*spec_op_ore,0)</f>
        <v>#REF!</v>
      </c>
      <c r="BK12" s="39" t="e">
        <f>ROUNDUP((1-MIN(#REF!*smithy_bonus,smithy_bonus_cap) + tech_3_5*#REF! + tech_5_3*#REF! + tech_5_5*#REF!)*spec_dp_plat,0)</f>
        <v>#REF!</v>
      </c>
      <c r="BL12" s="39" t="e">
        <f>ROUNDUP(IF(race="Gnome",1,(1-MIN(#REF!*smithy_bonus,smithy_bonus_cap) + tech_3_5*#REF! + tech_5_3*#REF! + tech_5_5*#REF!))*spec_dp_ore,0)</f>
        <v>#REF!</v>
      </c>
      <c r="BM12" s="39" t="e">
        <f>ROUNDUP((1-MIN(#REF!*smithy_bonus,smithy_bonus_cap) + tech_3_5*#REF! + tech_5_3*#REF! + tech_5_5*#REF!)*elite1_plat,0)</f>
        <v>#REF!</v>
      </c>
      <c r="BN12" s="39" t="e">
        <f>ROUNDUP(IF(race="Gnome",1,(1-MIN(#REF!*smithy_bonus,smithy_bonus_cap) + tech_3_5*#REF! + tech_5_3*#REF! + tech_5_5*#REF!))*elite1_ore,0)</f>
        <v>#REF!</v>
      </c>
      <c r="BO12" s="39" t="e">
        <f>ROUNDUP((1-MIN(#REF!*smithy_bonus,smithy_bonus_cap) + tech_3_5*#REF! + tech_5_3*#REF! + tech_5_5*#REF!)*elite2_plat,0)</f>
        <v>#REF!</v>
      </c>
      <c r="BP12" s="39" t="e">
        <f>ROUNDUP(IF(race="Gnome",1,(1-MIN(#REF!*smithy_bonus,smithy_bonus_cap) + tech_3_5*#REF! + tech_5_3*#REF! + tech_5_5*#REF!))*elite2_ore,0)</f>
        <v>#REF!</v>
      </c>
      <c r="BQ12" s="39" t="e">
        <f>ROUNDUP((1-MIN(ROUND(fh_spy_cost_red*#REF!,4),fh_spy_cost_cap)+ tech_1_9*#REF! + tech_9_1*#REF!)*spy_plat,0)</f>
        <v>#REF!</v>
      </c>
      <c r="BR12" s="39" t="e">
        <f>ROUNDUP((1-MIN(ROUND(fh_spy_cost_red*#REF!,4),fh_spy_cost_cap)+ tech_1_9*#REF! + tech_9_1*#REF!)*archspy_plat,0)</f>
        <v>#REF!</v>
      </c>
      <c r="BS12" s="39" t="e">
        <f>ROUNDUP((1-MIN(ROUND(wg_wiz_cost_bonus*#REF!,4),wg_wiz_cost_cap) + tech_1_9_2*#REF! + tech_9_1_2*#REF!)*wizard_plat,0)</f>
        <v>#REF!</v>
      </c>
      <c r="BT12" s="39" t="e">
        <f>ROUNDUP((1-MIN(ROUND(wg_wiz_cost_bonus*#REF!,4),wg_wiz_cost_cap) + tech_1_9_2*#REF! + tech_9_1_2*#REF!)*archmage_plat,0)</f>
        <v>#REF!</v>
      </c>
      <c r="BU12" s="134"/>
      <c r="BV12" s="132" t="e">
        <f>#REF!/#REF!</f>
        <v>#REF!</v>
      </c>
      <c r="BW12" s="132" t="e">
        <f>#REF!</f>
        <v>#REF!</v>
      </c>
      <c r="BX12" s="241" t="e">
        <f>IF(mystic_cap="none",#REF!/mystic_bonus,MIN(mystic_cap,#REF!/mystic_bonus))</f>
        <v>#REF!</v>
      </c>
      <c r="BY12" s="241" t="e">
        <f>IF(druid_op_cap="none",#REF!/druid_op_bonus,MIN(druid_op_cap,#REF!/druid_op_bonus))</f>
        <v>#REF!</v>
      </c>
      <c r="BZ12" s="241" t="e">
        <f>IF(druid_dp_cap="none",#REF!/druid_dp_bonus,MIN(druid_dp_cap,#REF!/druid_dp_bonus))</f>
        <v>#REF!</v>
      </c>
      <c r="CA12" s="241" t="e">
        <f>MIN(dryad_cap,#REF!/dryad_bonus)</f>
        <v>#REF!</v>
      </c>
      <c r="CB12" s="241" t="e">
        <f>MIN(rocka_cap,#REF!/rocka_bonus)</f>
        <v>#REF!</v>
      </c>
      <c r="CC12" s="241" t="e">
        <f>MIN(adept_op_cap,#REF!/adept_op_bonus)</f>
        <v>#REF!</v>
      </c>
      <c r="CD12" s="241" t="e">
        <f>MIN(adept_dp_cap,#REF!/adept_dp_bonus)</f>
        <v>#REF!</v>
      </c>
      <c r="CE12" s="39" t="e">
        <f>MIN(#REF!,#REF!)*2</f>
        <v>#REF!</v>
      </c>
      <c r="CF12" s="39" t="e">
        <f>MIN(#REF!,#REF!)*2</f>
        <v>#REF!</v>
      </c>
      <c r="CG12" s="241" t="e">
        <f>MIN(frost_mage_cap,#REF!/frost_mage_bonus)</f>
        <v>#REF!</v>
      </c>
      <c r="CH12" s="3" t="e">
        <f>MIN(ice_elem_cap,#REF!*ice_elem_bonus)</f>
        <v>#REF!</v>
      </c>
      <c r="CI12" s="241">
        <f t="shared" si="0"/>
        <v>0.83333333333333337</v>
      </c>
      <c r="CJ12" s="241" t="e">
        <f>MIN(nox_nightshade_cap,#REF!/#REF!/nox_nightshade_swamp_bonus)</f>
        <v>#REF!</v>
      </c>
      <c r="CK12" s="242" t="s">
        <v>499</v>
      </c>
      <c r="CL12" s="242" t="b">
        <f t="shared" si="1"/>
        <v>0</v>
      </c>
      <c r="CM12" s="242"/>
      <c r="CN12" s="241" t="e">
        <f>MIN(6,#REF!+Races!$F$19)*1.8 +  IF(#REF!+Races!$F$19&gt;6,(#REF!+Races!$F$19-6)*0.2,0) - Races!$I$19</f>
        <v>#REF!</v>
      </c>
      <c r="CO12" s="241" t="e">
        <f>1.8 * MIN(MAX(#REF!+Races!$E$20,#REF!+Races!$F$20),6)  +  0.45 * MIN(MIN(#REF!+Races!$E$20,#REF!+Races!$F$20),6)  +  0.2 * ( MAX(#REF!+Races!$E$20-6,0) + MAX(#REF!+Races!$F$20-6,0) )  -  Races!$I$20</f>
        <v>#REF!</v>
      </c>
      <c r="CP12" s="39" t="e">
        <f>#REF!*#REF!+#REF!*#REF!</f>
        <v>#REF!</v>
      </c>
      <c r="CQ12" s="145" t="e">
        <f>MIN(6,#REF!+Races!$F$35)*1.8 +  IF(#REF!+Races!$F$35&gt;6,(#REF!+Races!$F$35-6)*0.2,0) - Races!$I$19</f>
        <v>#REF!</v>
      </c>
      <c r="CR12" s="39" t="e">
        <f>sylvan*(#REF!*#REF!)</f>
        <v>#REF!</v>
      </c>
      <c r="CS12" s="145" t="e">
        <f>1.8 * MIN(MAX(Races!$E$27,#REF!+Races!$F$27),6)  +  0.45 * MIN(MIN(Races!$E$27,#REF!+Races!$F$27),6)  +  0.2 * ( MAX(Races!$E$27-6,0) + MAX(#REF!+Races!$F$27-6,0) )  -  Races!$I$20</f>
        <v>#REF!</v>
      </c>
      <c r="CT12" s="39" t="e">
        <f>gnome*(#REF!*#REF!)</f>
        <v>#REF!</v>
      </c>
      <c r="CU12" s="145" t="e">
        <f>1.8 * MIN(MAX(#REF!+Races!$E$47,#REF!+Races!$F$47),6)  +  0.45 * MIN(MIN(#REF!+Races!$E$47,#REF!+Races!$F$47),6)  +  0.2 * ( MAX(#REF!+Races!$E$47-6,0) + MAX(#REF!+Races!$F$47-6,0) )  -  Races!$I$47</f>
        <v>#REF!</v>
      </c>
      <c r="CV12" s="39" t="e">
        <f>dark_elf*(#REF!*#REF!)</f>
        <v>#REF!</v>
      </c>
      <c r="CW12" s="145" t="e">
        <f>1.8 * MIN(MAX(#REF!+Races!$F$71,Races!$E$71),6)  +  0.45 * MIN(MIN(#REF!+Races!$F$71,Races!$E$71),6)  +  0.2 * ( MAX(#REF!+Races!$F$71-6,0) + MAX(Races!$E$71-6,0) )  -  Races!$I$71</f>
        <v>#REF!</v>
      </c>
      <c r="CX12" s="145" t="e">
        <f>1.8 * MIN(MAX(#REF!+Races!$E$71,Races!$F$71),6)  +  0.45 * MIN(MIN(#REF!+Races!$E$71,Races!$F$71),6)  +  0.2 * ( MAX(#REF!+Races!$E$71-6,0) + MAX(Races!$F$71-6,0) )  -  Races!$I$71</f>
        <v>#REF!</v>
      </c>
      <c r="CY12" s="39" t="e">
        <f>#REF!*#REF!+#REF!*#REF!</f>
        <v>#REF!</v>
      </c>
      <c r="CZ12" s="243"/>
      <c r="DA12" s="135" t="e">
        <f>MIN(SUM(#REF!)/#REF!/favorable_terrain_bonus/100,favorable_terrain_max)</f>
        <v>#REF!</v>
      </c>
      <c r="DB12" s="243"/>
      <c r="DC12"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2" s="134"/>
      <c r="DE12" s="244" t="e">
        <f>(#REF!+2*#REF!)/#REF!</f>
        <v>#REF!</v>
      </c>
      <c r="DF12" s="244" t="e">
        <f>#REF!*(1+race_wizard_strength+IF(#REF!&gt;72,tech_magical_weaponry_wiz*#REF!,0))</f>
        <v>#REF!</v>
      </c>
    </row>
    <row r="13" spans="1:110" x14ac:dyDescent="0.25">
      <c r="A13" s="130" t="e">
        <f>#REF!</f>
        <v>#REF!</v>
      </c>
      <c r="B13" s="236" t="e">
        <f ca="1">SUM(#REF!)+SUM(OFFSET(#REF!,-8,0):#REF!) + SUM(OFFSET(#REF!,-9,0):#REF!) +#REF!</f>
        <v>#REF!</v>
      </c>
      <c r="C13" s="132" t="e">
        <f>#REF!</f>
        <v>#REF!</v>
      </c>
      <c r="D13" s="134"/>
      <c r="E13" s="3" t="e">
        <f ca="1">OFFSET(#REF!,-1,0) + OFFSET(#REF!,-9,0) -#REF!</f>
        <v>#REF!</v>
      </c>
      <c r="F13" s="3" t="e">
        <f ca="1">OFFSET(#REF!,-1,0) + OFFSET(#REF!,-9,0)-#REF!</f>
        <v>#REF!</v>
      </c>
      <c r="G13" s="3" t="e">
        <f ca="1">OFFSET(#REF!,-1,0)-#REF!</f>
        <v>#REF!</v>
      </c>
      <c r="H13" s="3" t="e">
        <f ca="1">OFFSET(#REF!,-1,0)-#REF!</f>
        <v>#REF!</v>
      </c>
      <c r="I13" s="3" t="e">
        <f ca="1">OFFSET(#REF!,-1,0)-#REF!-#REF!</f>
        <v>#REF!</v>
      </c>
      <c r="J13" s="3" t="e">
        <f ca="1">OFFSET(#REF!,-1,0)-#REF!</f>
        <v>#REF!</v>
      </c>
      <c r="K13" s="3" t="e">
        <f ca="1">OFFSET(#REF!,-1,0)-#REF!-#REF!</f>
        <v>#REF!</v>
      </c>
      <c r="L13" s="3" t="e">
        <f ca="1">OFFSET(#REF!,-1,0)-#REF!</f>
        <v>#REF!</v>
      </c>
      <c r="M13" s="134"/>
      <c r="N13" s="39" t="e">
        <f>#REF!</f>
        <v>#REF!</v>
      </c>
      <c r="O13" s="134"/>
      <c r="P13" s="237" t="e">
        <f>#REF!*spec_op+#REF!*(elite1_base_op)+#REF!*(elite2_base_op+dark_elf*#REF!+icekin*#REF!+woodie*#REF!+orc*#REF!)+kobold*#REF!</f>
        <v>#REF!</v>
      </c>
      <c r="Q13" s="132" t="e">
        <f>race_offense+#REF!+ROUND(MIN(gn_bonus*#REF!/#REF!,gn_bonus_cap),4)+MAX(IF(#REF!&gt;0,warsong_bonus),IF(#REF!&gt;0,howling_op_bonus),IF(#REF!&gt;0,nightfall_bonus),IF(#REF!&gt;0,#REF!)) +#REF!/ 100*prestige_offense_bonus + tech_5_4*#REF! + tech_7_4*#REF!</f>
        <v>#REF!</v>
      </c>
      <c r="R13" s="237" t="e">
        <f>#REF!*(1+#REF!)</f>
        <v>#REF!</v>
      </c>
      <c r="S13" s="237" t="e">
        <f>#REF!*spec_dp+#REF!*(elite1_base_dp+woodie*#REF!+sylvan*#REF!+gnome*#REF!+icekin*#REF!+nox*#REF!)+#REF!*(elite2_base_dp+woodie*#REF!) + fh_peas_dp*MIN(#REF!,20*#REF!)+kobold*#REF!</f>
        <v>#REF!</v>
      </c>
      <c r="T13" s="237" t="e">
        <f>#REF!+#REF!</f>
        <v>#REF!</v>
      </c>
      <c r="U13" s="238" t="e">
        <f>race_defense +#REF! + ROUND( MIN(gt_bonus*#REF!/#REF!,gt_bonus_cap), 4) + IF(#REF!&gt;0,howling_dp_bonus,IF(#REF!&gt;0,ares_call_bonus))</f>
        <v>#REF!</v>
      </c>
      <c r="V13" s="239" t="e">
        <f>#REF! * (1 +#REF!)</f>
        <v>#REF!</v>
      </c>
      <c r="W13" s="237" t="e">
        <f>#REF! * (1 +#REF!)</f>
        <v>#REF!</v>
      </c>
      <c r="X13" s="237" t="e">
        <f>#REF!</f>
        <v>#REF!</v>
      </c>
      <c r="Y13" s="240"/>
      <c r="Z13" s="135" t="e">
        <f ca="1">IF(#REF!&lt;&gt;"",#REF!,OFFSET(#REF!,-1,0))</f>
        <v>#REF!</v>
      </c>
      <c r="AA13" s="39" t="e">
        <f ca="1">OFFSET(#REF!,-1,0)+OFFSET(#REF!,-1,0) - SUM(#REF!,#REF!) -#REF! + SUM(#REF!) -#REF!</f>
        <v>#REF!</v>
      </c>
      <c r="AB13" s="133"/>
      <c r="AC13" s="132" t="e">
        <f>(#REF!+#REF!)/(#REF!-#REF!*20)</f>
        <v>#REF!</v>
      </c>
      <c r="AD13" s="130"/>
      <c r="AE13" s="236" t="e">
        <f>#REF!</f>
        <v>#REF!</v>
      </c>
      <c r="AF13" s="131" t="e">
        <f>#REF!</f>
        <v>#REF!</v>
      </c>
      <c r="AG13" s="164"/>
      <c r="AH13" s="164"/>
      <c r="AI13" s="164"/>
      <c r="AJ13" s="164"/>
      <c r="AK13" s="164"/>
      <c r="AL13" s="164"/>
      <c r="AM13" s="164"/>
      <c r="AN13" s="164"/>
      <c r="AO13" s="134"/>
      <c r="AP13" s="39" t="e">
        <f>#REF!</f>
        <v>#REF!</v>
      </c>
      <c r="AQ13" s="39" t="e">
        <f>INDEX(#REF!:#REF!,COUNTA(#REF!:#REF!),MATCH(Military!$AQ$2,#REF!,0))</f>
        <v>#REF!</v>
      </c>
      <c r="AR13" s="39" t="e">
        <f>#REF!*#REF!+#REF!*#REF!+#REF!*#REF!+#REF!*#REF!+#REF!*#REF!+#REF!*#REF!+#REF!*#REF!</f>
        <v>#REF!</v>
      </c>
      <c r="AS13" s="39" t="e">
        <f>#REF!*#REF!+#REF!*#REF!+#REF!*#REF!+#REF!*#REF!</f>
        <v>#REF!</v>
      </c>
      <c r="AT13" s="134" t="e">
        <f>#REF!</f>
        <v>#REF!</v>
      </c>
      <c r="AU13" s="143" t="e">
        <f>#REF!</f>
        <v>#REF!</v>
      </c>
      <c r="AV13" s="39" t="e">
        <f>#REF!</f>
        <v>#REF!</v>
      </c>
      <c r="AW13" s="164"/>
      <c r="AX13" s="164"/>
      <c r="AY13" s="164"/>
      <c r="AZ13" s="164"/>
      <c r="BA13" s="164"/>
      <c r="BB13" s="164"/>
      <c r="BC13" s="164"/>
      <c r="BD13" s="164"/>
      <c r="BE13" s="164"/>
      <c r="BF13" s="134"/>
      <c r="BG13" s="132" t="e">
        <f>#REF!/#REF!</f>
        <v>#REF!</v>
      </c>
      <c r="BH13" s="132" t="e">
        <f>#REF!/#REF!</f>
        <v>#REF!</v>
      </c>
      <c r="BI13" s="39" t="e">
        <f>ROUNDUP((1-MIN(#REF!*smithy_bonus,smithy_bonus_cap) + tech_3_5*#REF! + tech_5_3*#REF! + tech_5_5*#REF!)*spec_op_plat,0)</f>
        <v>#REF!</v>
      </c>
      <c r="BJ13" s="39" t="e">
        <f>ROUNDUP(IF(race="Gnome",1,(1-MIN(#REF!*smithy_bonus,smithy_bonus_cap) + tech_3_5*#REF! + tech_5_3*#REF! + tech_5_5*#REF!))*spec_op_ore,0)</f>
        <v>#REF!</v>
      </c>
      <c r="BK13" s="39" t="e">
        <f>ROUNDUP((1-MIN(#REF!*smithy_bonus,smithy_bonus_cap) + tech_3_5*#REF! + tech_5_3*#REF! + tech_5_5*#REF!)*spec_dp_plat,0)</f>
        <v>#REF!</v>
      </c>
      <c r="BL13" s="39" t="e">
        <f>ROUNDUP(IF(race="Gnome",1,(1-MIN(#REF!*smithy_bonus,smithy_bonus_cap) + tech_3_5*#REF! + tech_5_3*#REF! + tech_5_5*#REF!))*spec_dp_ore,0)</f>
        <v>#REF!</v>
      </c>
      <c r="BM13" s="39" t="e">
        <f>ROUNDUP((1-MIN(#REF!*smithy_bonus,smithy_bonus_cap) + tech_3_5*#REF! + tech_5_3*#REF! + tech_5_5*#REF!)*elite1_plat,0)</f>
        <v>#REF!</v>
      </c>
      <c r="BN13" s="39" t="e">
        <f>ROUNDUP(IF(race="Gnome",1,(1-MIN(#REF!*smithy_bonus,smithy_bonus_cap) + tech_3_5*#REF! + tech_5_3*#REF! + tech_5_5*#REF!))*elite1_ore,0)</f>
        <v>#REF!</v>
      </c>
      <c r="BO13" s="39" t="e">
        <f>ROUNDUP((1-MIN(#REF!*smithy_bonus,smithy_bonus_cap) + tech_3_5*#REF! + tech_5_3*#REF! + tech_5_5*#REF!)*elite2_plat,0)</f>
        <v>#REF!</v>
      </c>
      <c r="BP13" s="39" t="e">
        <f>ROUNDUP(IF(race="Gnome",1,(1-MIN(#REF!*smithy_bonus,smithy_bonus_cap) + tech_3_5*#REF! + tech_5_3*#REF! + tech_5_5*#REF!))*elite2_ore,0)</f>
        <v>#REF!</v>
      </c>
      <c r="BQ13" s="39" t="e">
        <f>ROUNDUP((1-MIN(ROUND(fh_spy_cost_red*#REF!,4),fh_spy_cost_cap)+ tech_1_9*#REF! + tech_9_1*#REF!)*spy_plat,0)</f>
        <v>#REF!</v>
      </c>
      <c r="BR13" s="39" t="e">
        <f>ROUNDUP((1-MIN(ROUND(fh_spy_cost_red*#REF!,4),fh_spy_cost_cap)+ tech_1_9*#REF! + tech_9_1*#REF!)*archspy_plat,0)</f>
        <v>#REF!</v>
      </c>
      <c r="BS13" s="39" t="e">
        <f>ROUNDUP((1-MIN(ROUND(wg_wiz_cost_bonus*#REF!,4),wg_wiz_cost_cap) + tech_1_9_2*#REF! + tech_9_1_2*#REF!)*wizard_plat,0)</f>
        <v>#REF!</v>
      </c>
      <c r="BT13" s="39" t="e">
        <f>ROUNDUP((1-MIN(ROUND(wg_wiz_cost_bonus*#REF!,4),wg_wiz_cost_cap) + tech_1_9_2*#REF! + tech_9_1_2*#REF!)*archmage_plat,0)</f>
        <v>#REF!</v>
      </c>
      <c r="BU13" s="134"/>
      <c r="BV13" s="132" t="e">
        <f>#REF!/#REF!</f>
        <v>#REF!</v>
      </c>
      <c r="BW13" s="132" t="e">
        <f>#REF!</f>
        <v>#REF!</v>
      </c>
      <c r="BX13" s="241" t="e">
        <f>IF(mystic_cap="none",#REF!/mystic_bonus,MIN(mystic_cap,#REF!/mystic_bonus))</f>
        <v>#REF!</v>
      </c>
      <c r="BY13" s="241" t="e">
        <f>IF(druid_op_cap="none",#REF!/druid_op_bonus,MIN(druid_op_cap,#REF!/druid_op_bonus))</f>
        <v>#REF!</v>
      </c>
      <c r="BZ13" s="241" t="e">
        <f>IF(druid_dp_cap="none",#REF!/druid_dp_bonus,MIN(druid_dp_cap,#REF!/druid_dp_bonus))</f>
        <v>#REF!</v>
      </c>
      <c r="CA13" s="241" t="e">
        <f>MIN(dryad_cap,#REF!/dryad_bonus)</f>
        <v>#REF!</v>
      </c>
      <c r="CB13" s="241" t="e">
        <f>MIN(rocka_cap,#REF!/rocka_bonus)</f>
        <v>#REF!</v>
      </c>
      <c r="CC13" s="241" t="e">
        <f>MIN(adept_op_cap,#REF!/adept_op_bonus)</f>
        <v>#REF!</v>
      </c>
      <c r="CD13" s="241" t="e">
        <f>MIN(adept_dp_cap,#REF!/adept_dp_bonus)</f>
        <v>#REF!</v>
      </c>
      <c r="CE13" s="39" t="e">
        <f>MIN(#REF!,#REF!)*2</f>
        <v>#REF!</v>
      </c>
      <c r="CF13" s="39" t="e">
        <f>MIN(#REF!,#REF!)*2</f>
        <v>#REF!</v>
      </c>
      <c r="CG13" s="241" t="e">
        <f>MIN(frost_mage_cap,#REF!/frost_mage_bonus)</f>
        <v>#REF!</v>
      </c>
      <c r="CH13" s="3" t="e">
        <f>MIN(ice_elem_cap,#REF!*ice_elem_bonus)</f>
        <v>#REF!</v>
      </c>
      <c r="CI13" s="241">
        <f t="shared" si="0"/>
        <v>0.83333333333333337</v>
      </c>
      <c r="CJ13" s="241" t="e">
        <f>MIN(nox_nightshade_cap,#REF!/#REF!/nox_nightshade_swamp_bonus)</f>
        <v>#REF!</v>
      </c>
      <c r="CK13" s="242"/>
      <c r="CL13" s="242"/>
      <c r="CM13" s="242"/>
      <c r="CN13" s="241" t="e">
        <f>MIN(6,#REF!+Races!$F$19)*1.8 +  IF(#REF!+Races!$F$19&gt;6,(#REF!+Races!$F$19-6)*0.2,0) - Races!$I$19</f>
        <v>#REF!</v>
      </c>
      <c r="CO13" s="241" t="e">
        <f>1.8 * MIN(MAX(#REF!+Races!$E$20,#REF!+Races!$F$20),6)  +  0.45 * MIN(MIN(#REF!+Races!$E$20,#REF!+Races!$F$20),6)  +  0.2 * ( MAX(#REF!+Races!$E$20-6,0) + MAX(#REF!+Races!$F$20-6,0) )  -  Races!$I$20</f>
        <v>#REF!</v>
      </c>
      <c r="CP13" s="39" t="e">
        <f>#REF!*#REF!+#REF!*#REF!</f>
        <v>#REF!</v>
      </c>
      <c r="CQ13" s="145" t="e">
        <f>MIN(6,#REF!+Races!$F$35)*1.8 +  IF(#REF!+Races!$F$35&gt;6,(#REF!+Races!$F$35-6)*0.2,0) - Races!$I$19</f>
        <v>#REF!</v>
      </c>
      <c r="CR13" s="39" t="e">
        <f>sylvan*(#REF!*#REF!)</f>
        <v>#REF!</v>
      </c>
      <c r="CS13" s="145" t="e">
        <f>1.8 * MIN(MAX(Races!$E$27,#REF!+Races!$F$27),6)  +  0.45 * MIN(MIN(Races!$E$27,#REF!+Races!$F$27),6)  +  0.2 * ( MAX(Races!$E$27-6,0) + MAX(#REF!+Races!$F$27-6,0) )  -  Races!$I$20</f>
        <v>#REF!</v>
      </c>
      <c r="CT13" s="39" t="e">
        <f>gnome*(#REF!*#REF!)</f>
        <v>#REF!</v>
      </c>
      <c r="CU13" s="145" t="e">
        <f>1.8 * MIN(MAX(#REF!+Races!$E$47,#REF!+Races!$F$47),6)  +  0.45 * MIN(MIN(#REF!+Races!$E$47,#REF!+Races!$F$47),6)  +  0.2 * ( MAX(#REF!+Races!$E$47-6,0) + MAX(#REF!+Races!$F$47-6,0) )  -  Races!$I$47</f>
        <v>#REF!</v>
      </c>
      <c r="CV13" s="39" t="e">
        <f>dark_elf*(#REF!*#REF!)</f>
        <v>#REF!</v>
      </c>
      <c r="CW13" s="145" t="e">
        <f>1.8 * MIN(MAX(#REF!+Races!$F$71,Races!$E$71),6)  +  0.45 * MIN(MIN(#REF!+Races!$F$71,Races!$E$71),6)  +  0.2 * ( MAX(#REF!+Races!$F$71-6,0) + MAX(Races!$E$71-6,0) )  -  Races!$I$71</f>
        <v>#REF!</v>
      </c>
      <c r="CX13" s="145" t="e">
        <f>1.8 * MIN(MAX(#REF!+Races!$E$71,Races!$F$71),6)  +  0.45 * MIN(MIN(#REF!+Races!$E$71,Races!$F$71),6)  +  0.2 * ( MAX(#REF!+Races!$E$71-6,0) + MAX(Races!$F$71-6,0) )  -  Races!$I$71</f>
        <v>#REF!</v>
      </c>
      <c r="CY13" s="39" t="e">
        <f>#REF!*#REF!+#REF!*#REF!</f>
        <v>#REF!</v>
      </c>
      <c r="CZ13" s="243"/>
      <c r="DA13" s="135" t="e">
        <f>MIN(SUM(#REF!)/#REF!/favorable_terrain_bonus/100,favorable_terrain_max)</f>
        <v>#REF!</v>
      </c>
      <c r="DB13" s="243"/>
      <c r="DC13"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3" s="134"/>
      <c r="DE13" s="244" t="e">
        <f>(#REF!+2*#REF!)/#REF!</f>
        <v>#REF!</v>
      </c>
      <c r="DF13" s="244" t="e">
        <f>#REF!*(1+race_wizard_strength+IF(#REF!&gt;72,tech_magical_weaponry_wiz*#REF!,0))</f>
        <v>#REF!</v>
      </c>
    </row>
    <row r="14" spans="1:110" x14ac:dyDescent="0.25">
      <c r="A14" s="130" t="e">
        <f>#REF!</f>
        <v>#REF!</v>
      </c>
      <c r="B14" s="236" t="e">
        <f ca="1">SUM(#REF!)+SUM(OFFSET(#REF!,-8,0):#REF!) + SUM(OFFSET(#REF!,-10,0):#REF!) +#REF!</f>
        <v>#REF!</v>
      </c>
      <c r="C14" s="132" t="e">
        <f>#REF!</f>
        <v>#REF!</v>
      </c>
      <c r="D14" s="134"/>
      <c r="E14" s="3" t="e">
        <f ca="1">OFFSET(#REF!,-1,0) + OFFSET(#REF!,-9,0) -#REF!</f>
        <v>#REF!</v>
      </c>
      <c r="F14" s="3" t="e">
        <f ca="1">OFFSET(#REF!,-1,0) + OFFSET(#REF!,-9,0)-#REF!</f>
        <v>#REF!</v>
      </c>
      <c r="G14" s="3" t="e">
        <f ca="1">OFFSET(#REF!,-1,0)-#REF!</f>
        <v>#REF!</v>
      </c>
      <c r="H14" s="3" t="e">
        <f ca="1">OFFSET(#REF!,-1,0)-#REF!</f>
        <v>#REF!</v>
      </c>
      <c r="I14" s="3" t="e">
        <f ca="1">OFFSET(#REF!,-1,0)-#REF!-#REF!</f>
        <v>#REF!</v>
      </c>
      <c r="J14" s="3" t="e">
        <f ca="1">OFFSET(#REF!,-1,0)-#REF!</f>
        <v>#REF!</v>
      </c>
      <c r="K14" s="3" t="e">
        <f ca="1">OFFSET(#REF!,-1,0)-#REF!-#REF!</f>
        <v>#REF!</v>
      </c>
      <c r="L14" s="3" t="e">
        <f ca="1">OFFSET(#REF!,-1,0)-#REF!</f>
        <v>#REF!</v>
      </c>
      <c r="M14" s="134"/>
      <c r="N14" s="39" t="e">
        <f>#REF!</f>
        <v>#REF!</v>
      </c>
      <c r="O14" s="134"/>
      <c r="P14" s="237" t="e">
        <f>#REF!*spec_op+#REF!*(elite1_base_op)+#REF!*(elite2_base_op+dark_elf*#REF!+icekin*#REF!+woodie*#REF!+orc*#REF!)+kobold*#REF!</f>
        <v>#REF!</v>
      </c>
      <c r="Q14" s="132" t="e">
        <f>race_offense+#REF!+ROUND(MIN(gn_bonus*#REF!/#REF!,gn_bonus_cap),4)+MAX(IF(#REF!&gt;0,warsong_bonus),IF(#REF!&gt;0,howling_op_bonus),IF(#REF!&gt;0,nightfall_bonus),IF(#REF!&gt;0,#REF!)) +#REF!/ 100*prestige_offense_bonus + tech_5_4*#REF! + tech_7_4*#REF!</f>
        <v>#REF!</v>
      </c>
      <c r="R14" s="237" t="e">
        <f>#REF!*(1+#REF!)</f>
        <v>#REF!</v>
      </c>
      <c r="S14" s="237" t="e">
        <f>#REF!*spec_dp+#REF!*(elite1_base_dp+woodie*#REF!+sylvan*#REF!+gnome*#REF!+icekin*#REF!+nox*#REF!)+#REF!*(elite2_base_dp+woodie*#REF!) + fh_peas_dp*MIN(#REF!,20*#REF!)+kobold*#REF!</f>
        <v>#REF!</v>
      </c>
      <c r="T14" s="237" t="e">
        <f>#REF!+#REF!</f>
        <v>#REF!</v>
      </c>
      <c r="U14" s="238" t="e">
        <f>race_defense +#REF! + ROUND( MIN(gt_bonus*#REF!/#REF!,gt_bonus_cap), 4) + IF(#REF!&gt;0,howling_dp_bonus,IF(#REF!&gt;0,ares_call_bonus))</f>
        <v>#REF!</v>
      </c>
      <c r="V14" s="239" t="e">
        <f>#REF! * (1 +#REF!)</f>
        <v>#REF!</v>
      </c>
      <c r="W14" s="237" t="e">
        <f>#REF! * (1 +#REF!)</f>
        <v>#REF!</v>
      </c>
      <c r="X14" s="237" t="e">
        <f>#REF!</f>
        <v>#REF!</v>
      </c>
      <c r="Y14" s="240"/>
      <c r="Z14" s="135" t="e">
        <f ca="1">IF(#REF!&lt;&gt;"",#REF!,OFFSET(#REF!,-1,0))</f>
        <v>#REF!</v>
      </c>
      <c r="AA14" s="39" t="e">
        <f ca="1">OFFSET(#REF!,-1,0)+OFFSET(#REF!,-1,0) - SUM(#REF!,#REF!) -#REF! + SUM(#REF!) -#REF!</f>
        <v>#REF!</v>
      </c>
      <c r="AB14" s="133"/>
      <c r="AC14" s="132" t="e">
        <f>(#REF!+#REF!)/(#REF!-#REF!*20)</f>
        <v>#REF!</v>
      </c>
      <c r="AD14" s="130"/>
      <c r="AE14" s="236" t="e">
        <f>#REF!</f>
        <v>#REF!</v>
      </c>
      <c r="AF14" s="131" t="e">
        <f>#REF!</f>
        <v>#REF!</v>
      </c>
      <c r="AG14" s="164"/>
      <c r="AH14" s="164"/>
      <c r="AI14" s="164"/>
      <c r="AJ14" s="164"/>
      <c r="AK14" s="164"/>
      <c r="AL14" s="164"/>
      <c r="AM14" s="164"/>
      <c r="AN14" s="164"/>
      <c r="AO14" s="134"/>
      <c r="AP14" s="39" t="e">
        <f>#REF!</f>
        <v>#REF!</v>
      </c>
      <c r="AQ14" s="39" t="e">
        <f>INDEX(#REF!:#REF!,COUNTA(#REF!:#REF!),MATCH(Military!$AQ$2,#REF!,0))</f>
        <v>#REF!</v>
      </c>
      <c r="AR14" s="39" t="e">
        <f>#REF!*#REF!+#REF!*#REF!+#REF!*#REF!+#REF!*#REF!+#REF!*#REF!+#REF!*#REF!+#REF!*#REF!</f>
        <v>#REF!</v>
      </c>
      <c r="AS14" s="39" t="e">
        <f>#REF!*#REF!+#REF!*#REF!+#REF!*#REF!+#REF!*#REF!</f>
        <v>#REF!</v>
      </c>
      <c r="AT14" s="134" t="e">
        <f>#REF!</f>
        <v>#REF!</v>
      </c>
      <c r="AU14" s="143" t="e">
        <f>#REF!</f>
        <v>#REF!</v>
      </c>
      <c r="AV14" s="39" t="e">
        <f>#REF!</f>
        <v>#REF!</v>
      </c>
      <c r="AW14" s="164"/>
      <c r="AX14" s="164"/>
      <c r="AY14" s="164"/>
      <c r="AZ14" s="164"/>
      <c r="BA14" s="164"/>
      <c r="BB14" s="164"/>
      <c r="BC14" s="164"/>
      <c r="BD14" s="164"/>
      <c r="BE14" s="164"/>
      <c r="BF14" s="134"/>
      <c r="BG14" s="132" t="e">
        <f>#REF!/#REF!</f>
        <v>#REF!</v>
      </c>
      <c r="BH14" s="132" t="e">
        <f>#REF!/#REF!</f>
        <v>#REF!</v>
      </c>
      <c r="BI14" s="39" t="e">
        <f>ROUNDUP((1-MIN(#REF!*smithy_bonus,smithy_bonus_cap) + tech_3_5*#REF! + tech_5_3*#REF! + tech_5_5*#REF!)*spec_op_plat,0)</f>
        <v>#REF!</v>
      </c>
      <c r="BJ14" s="39" t="e">
        <f>ROUNDUP(IF(race="Gnome",1,(1-MIN(#REF!*smithy_bonus,smithy_bonus_cap) + tech_3_5*#REF! + tech_5_3*#REF! + tech_5_5*#REF!))*spec_op_ore,0)</f>
        <v>#REF!</v>
      </c>
      <c r="BK14" s="39" t="e">
        <f>ROUNDUP((1-MIN(#REF!*smithy_bonus,smithy_bonus_cap) + tech_3_5*#REF! + tech_5_3*#REF! + tech_5_5*#REF!)*spec_dp_plat,0)</f>
        <v>#REF!</v>
      </c>
      <c r="BL14" s="39" t="e">
        <f>ROUNDUP(IF(race="Gnome",1,(1-MIN(#REF!*smithy_bonus,smithy_bonus_cap) + tech_3_5*#REF! + tech_5_3*#REF! + tech_5_5*#REF!))*spec_dp_ore,0)</f>
        <v>#REF!</v>
      </c>
      <c r="BM14" s="39" t="e">
        <f>ROUNDUP((1-MIN(#REF!*smithy_bonus,smithy_bonus_cap) + tech_3_5*#REF! + tech_5_3*#REF! + tech_5_5*#REF!)*elite1_plat,0)</f>
        <v>#REF!</v>
      </c>
      <c r="BN14" s="39" t="e">
        <f>ROUNDUP(IF(race="Gnome",1,(1-MIN(#REF!*smithy_bonus,smithy_bonus_cap) + tech_3_5*#REF! + tech_5_3*#REF! + tech_5_5*#REF!))*elite1_ore,0)</f>
        <v>#REF!</v>
      </c>
      <c r="BO14" s="39" t="e">
        <f>ROUNDUP((1-MIN(#REF!*smithy_bonus,smithy_bonus_cap) + tech_3_5*#REF! + tech_5_3*#REF! + tech_5_5*#REF!)*elite2_plat,0)</f>
        <v>#REF!</v>
      </c>
      <c r="BP14" s="39" t="e">
        <f>ROUNDUP(IF(race="Gnome",1,(1-MIN(#REF!*smithy_bonus,smithy_bonus_cap) + tech_3_5*#REF! + tech_5_3*#REF! + tech_5_5*#REF!))*elite2_ore,0)</f>
        <v>#REF!</v>
      </c>
      <c r="BQ14" s="39" t="e">
        <f>ROUNDUP((1-MIN(ROUND(fh_spy_cost_red*#REF!,4),fh_spy_cost_cap)+ tech_1_9*#REF! + tech_9_1*#REF!)*spy_plat,0)</f>
        <v>#REF!</v>
      </c>
      <c r="BR14" s="39" t="e">
        <f>ROUNDUP((1-MIN(ROUND(fh_spy_cost_red*#REF!,4),fh_spy_cost_cap)+ tech_1_9*#REF! + tech_9_1*#REF!)*archspy_plat,0)</f>
        <v>#REF!</v>
      </c>
      <c r="BS14" s="39" t="e">
        <f>ROUNDUP((1-MIN(ROUND(wg_wiz_cost_bonus*#REF!,4),wg_wiz_cost_cap) + tech_1_9_2*#REF! + tech_9_1_2*#REF!)*wizard_plat,0)</f>
        <v>#REF!</v>
      </c>
      <c r="BT14" s="39" t="e">
        <f>ROUNDUP((1-MIN(ROUND(wg_wiz_cost_bonus*#REF!,4),wg_wiz_cost_cap) + tech_1_9_2*#REF! + tech_9_1_2*#REF!)*archmage_plat,0)</f>
        <v>#REF!</v>
      </c>
      <c r="BU14" s="134"/>
      <c r="BV14" s="132" t="e">
        <f>#REF!/#REF!</f>
        <v>#REF!</v>
      </c>
      <c r="BW14" s="132" t="e">
        <f>#REF!</f>
        <v>#REF!</v>
      </c>
      <c r="BX14" s="241" t="e">
        <f>IF(mystic_cap="none",#REF!/mystic_bonus,MIN(mystic_cap,#REF!/mystic_bonus))</f>
        <v>#REF!</v>
      </c>
      <c r="BY14" s="241" t="e">
        <f>IF(druid_op_cap="none",#REF!/druid_op_bonus,MIN(druid_op_cap,#REF!/druid_op_bonus))</f>
        <v>#REF!</v>
      </c>
      <c r="BZ14" s="241" t="e">
        <f>IF(druid_dp_cap="none",#REF!/druid_dp_bonus,MIN(druid_dp_cap,#REF!/druid_dp_bonus))</f>
        <v>#REF!</v>
      </c>
      <c r="CA14" s="241" t="e">
        <f>MIN(dryad_cap,#REF!/dryad_bonus)</f>
        <v>#REF!</v>
      </c>
      <c r="CB14" s="241" t="e">
        <f>MIN(rocka_cap,#REF!/rocka_bonus)</f>
        <v>#REF!</v>
      </c>
      <c r="CC14" s="241" t="e">
        <f>MIN(adept_op_cap,#REF!/adept_op_bonus)</f>
        <v>#REF!</v>
      </c>
      <c r="CD14" s="241" t="e">
        <f>MIN(adept_dp_cap,#REF!/adept_dp_bonus)</f>
        <v>#REF!</v>
      </c>
      <c r="CE14" s="39" t="e">
        <f>MIN(#REF!,#REF!)*2</f>
        <v>#REF!</v>
      </c>
      <c r="CF14" s="39" t="e">
        <f>MIN(#REF!,#REF!)*2</f>
        <v>#REF!</v>
      </c>
      <c r="CG14" s="241" t="e">
        <f>MIN(frost_mage_cap,#REF!/frost_mage_bonus)</f>
        <v>#REF!</v>
      </c>
      <c r="CH14" s="3" t="e">
        <f>MIN(ice_elem_cap,#REF!*ice_elem_bonus)</f>
        <v>#REF!</v>
      </c>
      <c r="CI14" s="241">
        <f t="shared" si="0"/>
        <v>0.83333333333333337</v>
      </c>
      <c r="CJ14" s="241" t="e">
        <f>MIN(nox_nightshade_cap,#REF!/#REF!/nox_nightshade_swamp_bonus)</f>
        <v>#REF!</v>
      </c>
      <c r="CK14" s="242"/>
      <c r="CL14" s="242"/>
      <c r="CM14" s="242"/>
      <c r="CN14" s="241" t="e">
        <f>MIN(6,#REF!+Races!$F$19)*1.8 +  IF(#REF!+Races!$F$19&gt;6,(#REF!+Races!$F$19-6)*0.2,0) - Races!$I$19</f>
        <v>#REF!</v>
      </c>
      <c r="CO14" s="241" t="e">
        <f>1.8 * MIN(MAX(#REF!+Races!$E$20,#REF!+Races!$F$20),6)  +  0.45 * MIN(MIN(#REF!+Races!$E$20,#REF!+Races!$F$20),6)  +  0.2 * ( MAX(#REF!+Races!$E$20-6,0) + MAX(#REF!+Races!$F$20-6,0) )  -  Races!$I$20</f>
        <v>#REF!</v>
      </c>
      <c r="CP14" s="39" t="e">
        <f>#REF!*#REF!+#REF!*#REF!</f>
        <v>#REF!</v>
      </c>
      <c r="CQ14" s="145" t="e">
        <f>MIN(6,#REF!+Races!$F$35)*1.8 +  IF(#REF!+Races!$F$35&gt;6,(#REF!+Races!$F$35-6)*0.2,0) - Races!$I$19</f>
        <v>#REF!</v>
      </c>
      <c r="CR14" s="39" t="e">
        <f>sylvan*(#REF!*#REF!)</f>
        <v>#REF!</v>
      </c>
      <c r="CS14" s="145" t="e">
        <f>1.8 * MIN(MAX(Races!$E$27,#REF!+Races!$F$27),6)  +  0.45 * MIN(MIN(Races!$E$27,#REF!+Races!$F$27),6)  +  0.2 * ( MAX(Races!$E$27-6,0) + MAX(#REF!+Races!$F$27-6,0) )  -  Races!$I$20</f>
        <v>#REF!</v>
      </c>
      <c r="CT14" s="39" t="e">
        <f>gnome*(#REF!*#REF!)</f>
        <v>#REF!</v>
      </c>
      <c r="CU14" s="145" t="e">
        <f>1.8 * MIN(MAX(#REF!+Races!$E$47,#REF!+Races!$F$47),6)  +  0.45 * MIN(MIN(#REF!+Races!$E$47,#REF!+Races!$F$47),6)  +  0.2 * ( MAX(#REF!+Races!$E$47-6,0) + MAX(#REF!+Races!$F$47-6,0) )  -  Races!$I$47</f>
        <v>#REF!</v>
      </c>
      <c r="CV14" s="39" t="e">
        <f>dark_elf*(#REF!*#REF!)</f>
        <v>#REF!</v>
      </c>
      <c r="CW14" s="145" t="e">
        <f>1.8 * MIN(MAX(#REF!+Races!$F$71,Races!$E$71),6)  +  0.45 * MIN(MIN(#REF!+Races!$F$71,Races!$E$71),6)  +  0.2 * ( MAX(#REF!+Races!$F$71-6,0) + MAX(Races!$E$71-6,0) )  -  Races!$I$71</f>
        <v>#REF!</v>
      </c>
      <c r="CX14" s="145" t="e">
        <f>1.8 * MIN(MAX(#REF!+Races!$E$71,Races!$F$71),6)  +  0.45 * MIN(MIN(#REF!+Races!$E$71,Races!$F$71),6)  +  0.2 * ( MAX(#REF!+Races!$E$71-6,0) + MAX(Races!$F$71-6,0) )  -  Races!$I$71</f>
        <v>#REF!</v>
      </c>
      <c r="CY14" s="39" t="e">
        <f>#REF!*#REF!+#REF!*#REF!</f>
        <v>#REF!</v>
      </c>
      <c r="CZ14" s="243"/>
      <c r="DA14" s="135" t="e">
        <f>MIN(SUM(#REF!)/#REF!/favorable_terrain_bonus/100,favorable_terrain_max)</f>
        <v>#REF!</v>
      </c>
      <c r="DB14" s="243"/>
      <c r="DC14"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4" s="134"/>
      <c r="DE14" s="244" t="e">
        <f>(#REF!+2*#REF!)/#REF!</f>
        <v>#REF!</v>
      </c>
      <c r="DF14" s="244" t="e">
        <f>#REF!*(1+race_wizard_strength+IF(#REF!&gt;72,tech_magical_weaponry_wiz*#REF!,0))</f>
        <v>#REF!</v>
      </c>
    </row>
    <row r="15" spans="1:110" x14ac:dyDescent="0.25">
      <c r="A15" s="130" t="e">
        <f>#REF!</f>
        <v>#REF!</v>
      </c>
      <c r="B15" s="236" t="e">
        <f ca="1">SUM(#REF!)+SUM(OFFSET(#REF!,-8,0):#REF!) + SUM(OFFSET(#REF!,-11,0):#REF!) +#REF!</f>
        <v>#REF!</v>
      </c>
      <c r="C15" s="132" t="e">
        <f>#REF!</f>
        <v>#REF!</v>
      </c>
      <c r="D15" s="134"/>
      <c r="E15" s="3" t="e">
        <f ca="1">OFFSET(#REF!,-1,0) + OFFSET(#REF!,-9,0) -#REF!</f>
        <v>#REF!</v>
      </c>
      <c r="F15" s="3" t="e">
        <f ca="1">OFFSET(#REF!,-1,0) + OFFSET(#REF!,-9,0)-#REF!</f>
        <v>#REF!</v>
      </c>
      <c r="G15" s="3" t="e">
        <f ca="1">OFFSET(#REF!,-1,0)-#REF!</f>
        <v>#REF!</v>
      </c>
      <c r="H15" s="3" t="e">
        <f ca="1">OFFSET(#REF!,-1,0)-#REF!</f>
        <v>#REF!</v>
      </c>
      <c r="I15" s="3" t="e">
        <f ca="1">OFFSET(#REF!,-1,0)-#REF!-#REF!</f>
        <v>#REF!</v>
      </c>
      <c r="J15" s="3" t="e">
        <f ca="1">OFFSET(#REF!,-1,0)-#REF!</f>
        <v>#REF!</v>
      </c>
      <c r="K15" s="3" t="e">
        <f ca="1">OFFSET(#REF!,-1,0)-#REF!-#REF!</f>
        <v>#REF!</v>
      </c>
      <c r="L15" s="3" t="e">
        <f ca="1">OFFSET(#REF!,-1,0)-#REF!</f>
        <v>#REF!</v>
      </c>
      <c r="M15" s="134"/>
      <c r="N15" s="39" t="e">
        <f>#REF!</f>
        <v>#REF!</v>
      </c>
      <c r="O15" s="134"/>
      <c r="P15" s="237" t="e">
        <f>#REF!*spec_op+#REF!*(elite1_base_op)+#REF!*(elite2_base_op+dark_elf*#REF!+icekin*#REF!+woodie*#REF!+orc*#REF!)+kobold*#REF!</f>
        <v>#REF!</v>
      </c>
      <c r="Q15" s="132" t="e">
        <f>race_offense+#REF!+ROUND(MIN(gn_bonus*#REF!/#REF!,gn_bonus_cap),4)+MAX(IF(#REF!&gt;0,warsong_bonus),IF(#REF!&gt;0,howling_op_bonus),IF(#REF!&gt;0,nightfall_bonus),IF(#REF!&gt;0,#REF!)) +#REF!/ 100*prestige_offense_bonus + tech_5_4*#REF! + tech_7_4*#REF!</f>
        <v>#REF!</v>
      </c>
      <c r="R15" s="237" t="e">
        <f>#REF!*(1+#REF!)</f>
        <v>#REF!</v>
      </c>
      <c r="S15" s="237" t="e">
        <f>#REF!*spec_dp+#REF!*(elite1_base_dp+woodie*#REF!+sylvan*#REF!+gnome*#REF!+icekin*#REF!+nox*#REF!)+#REF!*(elite2_base_dp+woodie*#REF!) + fh_peas_dp*MIN(#REF!,20*#REF!)+kobold*#REF!</f>
        <v>#REF!</v>
      </c>
      <c r="T15" s="237" t="e">
        <f>#REF!+#REF!</f>
        <v>#REF!</v>
      </c>
      <c r="U15" s="238" t="e">
        <f>race_defense +#REF! + ROUND( MIN(gt_bonus*#REF!/#REF!,gt_bonus_cap), 4) + IF(#REF!&gt;0,howling_dp_bonus,IF(#REF!&gt;0,ares_call_bonus))</f>
        <v>#REF!</v>
      </c>
      <c r="V15" s="239" t="e">
        <f>#REF! * (1 +#REF!)</f>
        <v>#REF!</v>
      </c>
      <c r="W15" s="237" t="e">
        <f>#REF! * (1 +#REF!)</f>
        <v>#REF!</v>
      </c>
      <c r="X15" s="237" t="e">
        <f>#REF!</f>
        <v>#REF!</v>
      </c>
      <c r="Y15" s="240"/>
      <c r="Z15" s="135" t="e">
        <f ca="1">IF(#REF!&lt;&gt;"",#REF!,OFFSET(#REF!,-1,0))</f>
        <v>#REF!</v>
      </c>
      <c r="AA15" s="39" t="e">
        <f ca="1">OFFSET(#REF!,-1,0)+OFFSET(#REF!,-1,0) - SUM(#REF!,#REF!) -#REF! + SUM(#REF!) -#REF!</f>
        <v>#REF!</v>
      </c>
      <c r="AB15" s="133"/>
      <c r="AC15" s="132" t="e">
        <f>(#REF!+#REF!)/(#REF!-#REF!*20)</f>
        <v>#REF!</v>
      </c>
      <c r="AD15" s="130"/>
      <c r="AE15" s="236" t="e">
        <f>#REF!</f>
        <v>#REF!</v>
      </c>
      <c r="AF15" s="131" t="e">
        <f>#REF!</f>
        <v>#REF!</v>
      </c>
      <c r="AG15" s="164"/>
      <c r="AH15" s="164"/>
      <c r="AI15" s="164"/>
      <c r="AJ15" s="164"/>
      <c r="AK15" s="164"/>
      <c r="AL15" s="164"/>
      <c r="AM15" s="164"/>
      <c r="AN15" s="164"/>
      <c r="AO15" s="134"/>
      <c r="AP15" s="39" t="e">
        <f>#REF!</f>
        <v>#REF!</v>
      </c>
      <c r="AQ15" s="39" t="e">
        <f>INDEX(#REF!:#REF!,COUNTA(#REF!:#REF!),MATCH(Military!$AQ$2,#REF!,0))</f>
        <v>#REF!</v>
      </c>
      <c r="AR15" s="39" t="e">
        <f>#REF!*#REF!+#REF!*#REF!+#REF!*#REF!+#REF!*#REF!+#REF!*#REF!+#REF!*#REF!+#REF!*#REF!</f>
        <v>#REF!</v>
      </c>
      <c r="AS15" s="39" t="e">
        <f>#REF!*#REF!+#REF!*#REF!+#REF!*#REF!+#REF!*#REF!</f>
        <v>#REF!</v>
      </c>
      <c r="AT15" s="134" t="e">
        <f>#REF!</f>
        <v>#REF!</v>
      </c>
      <c r="AU15" s="143" t="e">
        <f>#REF!</f>
        <v>#REF!</v>
      </c>
      <c r="AV15" s="39" t="e">
        <f>#REF!</f>
        <v>#REF!</v>
      </c>
      <c r="AW15" s="164"/>
      <c r="AX15" s="164"/>
      <c r="AY15" s="164"/>
      <c r="AZ15" s="164"/>
      <c r="BA15" s="164"/>
      <c r="BB15" s="164"/>
      <c r="BC15" s="164"/>
      <c r="BD15" s="164"/>
      <c r="BE15" s="164"/>
      <c r="BF15" s="134"/>
      <c r="BG15" s="132" t="e">
        <f>#REF!/#REF!</f>
        <v>#REF!</v>
      </c>
      <c r="BH15" s="132" t="e">
        <f>#REF!/#REF!</f>
        <v>#REF!</v>
      </c>
      <c r="BI15" s="39" t="e">
        <f>ROUNDUP((1-MIN(#REF!*smithy_bonus,smithy_bonus_cap) + tech_3_5*#REF! + tech_5_3*#REF! + tech_5_5*#REF!)*spec_op_plat,0)</f>
        <v>#REF!</v>
      </c>
      <c r="BJ15" s="39" t="e">
        <f>ROUNDUP(IF(race="Gnome",1,(1-MIN(#REF!*smithy_bonus,smithy_bonus_cap) + tech_3_5*#REF! + tech_5_3*#REF! + tech_5_5*#REF!))*spec_op_ore,0)</f>
        <v>#REF!</v>
      </c>
      <c r="BK15" s="39" t="e">
        <f>ROUNDUP((1-MIN(#REF!*smithy_bonus,smithy_bonus_cap) + tech_3_5*#REF! + tech_5_3*#REF! + tech_5_5*#REF!)*spec_dp_plat,0)</f>
        <v>#REF!</v>
      </c>
      <c r="BL15" s="39" t="e">
        <f>ROUNDUP(IF(race="Gnome",1,(1-MIN(#REF!*smithy_bonus,smithy_bonus_cap) + tech_3_5*#REF! + tech_5_3*#REF! + tech_5_5*#REF!))*spec_dp_ore,0)</f>
        <v>#REF!</v>
      </c>
      <c r="BM15" s="39" t="e">
        <f>ROUNDUP((1-MIN(#REF!*smithy_bonus,smithy_bonus_cap) + tech_3_5*#REF! + tech_5_3*#REF! + tech_5_5*#REF!)*elite1_plat,0)</f>
        <v>#REF!</v>
      </c>
      <c r="BN15" s="39" t="e">
        <f>ROUNDUP(IF(race="Gnome",1,(1-MIN(#REF!*smithy_bonus,smithy_bonus_cap) + tech_3_5*#REF! + tech_5_3*#REF! + tech_5_5*#REF!))*elite1_ore,0)</f>
        <v>#REF!</v>
      </c>
      <c r="BO15" s="39" t="e">
        <f>ROUNDUP((1-MIN(#REF!*smithy_bonus,smithy_bonus_cap) + tech_3_5*#REF! + tech_5_3*#REF! + tech_5_5*#REF!)*elite2_plat,0)</f>
        <v>#REF!</v>
      </c>
      <c r="BP15" s="39" t="e">
        <f>ROUNDUP(IF(race="Gnome",1,(1-MIN(#REF!*smithy_bonus,smithy_bonus_cap) + tech_3_5*#REF! + tech_5_3*#REF! + tech_5_5*#REF!))*elite2_ore,0)</f>
        <v>#REF!</v>
      </c>
      <c r="BQ15" s="39" t="e">
        <f>ROUNDUP((1-MIN(ROUND(fh_spy_cost_red*#REF!,4),fh_spy_cost_cap)+ tech_1_9*#REF! + tech_9_1*#REF!)*spy_plat,0)</f>
        <v>#REF!</v>
      </c>
      <c r="BR15" s="39" t="e">
        <f>ROUNDUP((1-MIN(ROUND(fh_spy_cost_red*#REF!,4),fh_spy_cost_cap)+ tech_1_9*#REF! + tech_9_1*#REF!)*archspy_plat,0)</f>
        <v>#REF!</v>
      </c>
      <c r="BS15" s="39" t="e">
        <f>ROUNDUP((1-MIN(ROUND(wg_wiz_cost_bonus*#REF!,4),wg_wiz_cost_cap) + tech_1_9_2*#REF! + tech_9_1_2*#REF!)*wizard_plat,0)</f>
        <v>#REF!</v>
      </c>
      <c r="BT15" s="39" t="e">
        <f>ROUNDUP((1-MIN(ROUND(wg_wiz_cost_bonus*#REF!,4),wg_wiz_cost_cap) + tech_1_9_2*#REF! + tech_9_1_2*#REF!)*archmage_plat,0)</f>
        <v>#REF!</v>
      </c>
      <c r="BU15" s="134"/>
      <c r="BV15" s="132" t="e">
        <f>#REF!/#REF!</f>
        <v>#REF!</v>
      </c>
      <c r="BW15" s="132" t="e">
        <f>#REF!</f>
        <v>#REF!</v>
      </c>
      <c r="BX15" s="241" t="e">
        <f>IF(mystic_cap="none",#REF!/mystic_bonus,MIN(mystic_cap,#REF!/mystic_bonus))</f>
        <v>#REF!</v>
      </c>
      <c r="BY15" s="241" t="e">
        <f>IF(druid_op_cap="none",#REF!/druid_op_bonus,MIN(druid_op_cap,#REF!/druid_op_bonus))</f>
        <v>#REF!</v>
      </c>
      <c r="BZ15" s="241" t="e">
        <f>IF(druid_dp_cap="none",#REF!/druid_dp_bonus,MIN(druid_dp_cap,#REF!/druid_dp_bonus))</f>
        <v>#REF!</v>
      </c>
      <c r="CA15" s="241" t="e">
        <f>MIN(dryad_cap,#REF!/dryad_bonus)</f>
        <v>#REF!</v>
      </c>
      <c r="CB15" s="241" t="e">
        <f>MIN(rocka_cap,#REF!/rocka_bonus)</f>
        <v>#REF!</v>
      </c>
      <c r="CC15" s="241" t="e">
        <f>MIN(adept_op_cap,#REF!/adept_op_bonus)</f>
        <v>#REF!</v>
      </c>
      <c r="CD15" s="241" t="e">
        <f>MIN(adept_dp_cap,#REF!/adept_dp_bonus)</f>
        <v>#REF!</v>
      </c>
      <c r="CE15" s="39" t="e">
        <f>MIN(#REF!,#REF!)*2</f>
        <v>#REF!</v>
      </c>
      <c r="CF15" s="39" t="e">
        <f>MIN(#REF!,#REF!)*2</f>
        <v>#REF!</v>
      </c>
      <c r="CG15" s="241" t="e">
        <f>MIN(frost_mage_cap,#REF!/frost_mage_bonus)</f>
        <v>#REF!</v>
      </c>
      <c r="CH15" s="3" t="e">
        <f>MIN(ice_elem_cap,#REF!*ice_elem_bonus)</f>
        <v>#REF!</v>
      </c>
      <c r="CI15" s="241">
        <f t="shared" si="0"/>
        <v>0.83333333333333337</v>
      </c>
      <c r="CJ15" s="241" t="e">
        <f>MIN(nox_nightshade_cap,#REF!/#REF!/nox_nightshade_swamp_bonus)</f>
        <v>#REF!</v>
      </c>
      <c r="CK15" s="242"/>
      <c r="CL15" s="242"/>
      <c r="CM15" s="242"/>
      <c r="CN15" s="241" t="e">
        <f>MIN(6,#REF!+Races!$F$19)*1.8 +  IF(#REF!+Races!$F$19&gt;6,(#REF!+Races!$F$19-6)*0.2,0) - Races!$I$19</f>
        <v>#REF!</v>
      </c>
      <c r="CO15" s="241" t="e">
        <f>1.8 * MIN(MAX(#REF!+Races!$E$20,#REF!+Races!$F$20),6)  +  0.45 * MIN(MIN(#REF!+Races!$E$20,#REF!+Races!$F$20),6)  +  0.2 * ( MAX(#REF!+Races!$E$20-6,0) + MAX(#REF!+Races!$F$20-6,0) )  -  Races!$I$20</f>
        <v>#REF!</v>
      </c>
      <c r="CP15" s="39" t="e">
        <f>#REF!*#REF!+#REF!*#REF!</f>
        <v>#REF!</v>
      </c>
      <c r="CQ15" s="145" t="e">
        <f>MIN(6,#REF!+Races!$F$35)*1.8 +  IF(#REF!+Races!$F$35&gt;6,(#REF!+Races!$F$35-6)*0.2,0) - Races!$I$19</f>
        <v>#REF!</v>
      </c>
      <c r="CR15" s="39" t="e">
        <f>sylvan*(#REF!*#REF!)</f>
        <v>#REF!</v>
      </c>
      <c r="CS15" s="145" t="e">
        <f>1.8 * MIN(MAX(Races!$E$27,#REF!+Races!$F$27),6)  +  0.45 * MIN(MIN(Races!$E$27,#REF!+Races!$F$27),6)  +  0.2 * ( MAX(Races!$E$27-6,0) + MAX(#REF!+Races!$F$27-6,0) )  -  Races!$I$20</f>
        <v>#REF!</v>
      </c>
      <c r="CT15" s="39" t="e">
        <f>gnome*(#REF!*#REF!)</f>
        <v>#REF!</v>
      </c>
      <c r="CU15" s="145" t="e">
        <f>1.8 * MIN(MAX(#REF!+Races!$E$47,#REF!+Races!$F$47),6)  +  0.45 * MIN(MIN(#REF!+Races!$E$47,#REF!+Races!$F$47),6)  +  0.2 * ( MAX(#REF!+Races!$E$47-6,0) + MAX(#REF!+Races!$F$47-6,0) )  -  Races!$I$47</f>
        <v>#REF!</v>
      </c>
      <c r="CV15" s="39" t="e">
        <f>dark_elf*(#REF!*#REF!)</f>
        <v>#REF!</v>
      </c>
      <c r="CW15" s="145" t="e">
        <f>1.8 * MIN(MAX(#REF!+Races!$F$71,Races!$E$71),6)  +  0.45 * MIN(MIN(#REF!+Races!$F$71,Races!$E$71),6)  +  0.2 * ( MAX(#REF!+Races!$F$71-6,0) + MAX(Races!$E$71-6,0) )  -  Races!$I$71</f>
        <v>#REF!</v>
      </c>
      <c r="CX15" s="145" t="e">
        <f>1.8 * MIN(MAX(#REF!+Races!$E$71,Races!$F$71),6)  +  0.45 * MIN(MIN(#REF!+Races!$E$71,Races!$F$71),6)  +  0.2 * ( MAX(#REF!+Races!$E$71-6,0) + MAX(Races!$F$71-6,0) )  -  Races!$I$71</f>
        <v>#REF!</v>
      </c>
      <c r="CY15" s="39" t="e">
        <f>#REF!*#REF!+#REF!*#REF!</f>
        <v>#REF!</v>
      </c>
      <c r="CZ15" s="243"/>
      <c r="DA15" s="135" t="e">
        <f>MIN(SUM(#REF!)/#REF!/favorable_terrain_bonus/100,favorable_terrain_max)</f>
        <v>#REF!</v>
      </c>
      <c r="DB15" s="243"/>
      <c r="DC15"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5" s="134"/>
      <c r="DE15" s="244" t="e">
        <f>(#REF!+2*#REF!)/#REF!</f>
        <v>#REF!</v>
      </c>
      <c r="DF15" s="244" t="e">
        <f>#REF!*(1+race_wizard_strength+IF(#REF!&gt;72,tech_magical_weaponry_wiz*#REF!,0))</f>
        <v>#REF!</v>
      </c>
    </row>
    <row r="16" spans="1:110" x14ac:dyDescent="0.25">
      <c r="A16" s="130" t="e">
        <f>#REF!</f>
        <v>#REF!</v>
      </c>
      <c r="B16" s="236" t="e">
        <f ca="1">SUM(#REF!)+SUM(OFFSET(#REF!,-8,0):#REF!) + SUM(OFFSET(#REF!,-11,0):#REF!) +#REF!</f>
        <v>#REF!</v>
      </c>
      <c r="C16" s="132" t="e">
        <f>#REF!</f>
        <v>#REF!</v>
      </c>
      <c r="D16" s="134"/>
      <c r="E16" s="3" t="e">
        <f ca="1">OFFSET(#REF!,-1,0) + OFFSET(#REF!,-9,0) -#REF!</f>
        <v>#REF!</v>
      </c>
      <c r="F16" s="3" t="e">
        <f ca="1">OFFSET(#REF!,-1,0) + OFFSET(#REF!,-9,0)-#REF!</f>
        <v>#REF!</v>
      </c>
      <c r="G16" s="3" t="e">
        <f ca="1">OFFSET(#REF!,-1,0) + OFFSET(#REF!,-12,0)-#REF!</f>
        <v>#REF!</v>
      </c>
      <c r="H16" s="3" t="e">
        <f ca="1">OFFSET(#REF!,-1,0) + OFFSET(#REF!,-12,0)-#REF!</f>
        <v>#REF!</v>
      </c>
      <c r="I16" s="3" t="e">
        <f ca="1">OFFSET(#REF!,-1,0) + OFFSET(#REF!,-12,0) -#REF!-#REF!</f>
        <v>#REF!</v>
      </c>
      <c r="J16" s="3" t="e">
        <f ca="1">OFFSET(#REF!,-1,0) + OFFSET(#REF!,-12,0) -#REF!</f>
        <v>#REF!</v>
      </c>
      <c r="K16" s="3" t="e">
        <f ca="1">OFFSET(#REF!,-1,0) + OFFSET(#REF!,-12,0) -#REF!-#REF!</f>
        <v>#REF!</v>
      </c>
      <c r="L16" s="3" t="e">
        <f ca="1">OFFSET(#REF!,-1,0) + OFFSET(#REF!,-12,0) -#REF!</f>
        <v>#REF!</v>
      </c>
      <c r="M16" s="134"/>
      <c r="N16" s="39" t="e">
        <f>#REF!</f>
        <v>#REF!</v>
      </c>
      <c r="O16" s="134"/>
      <c r="P16" s="237" t="e">
        <f>#REF!*spec_op+#REF!*(elite1_base_op)+#REF!*(elite2_base_op+dark_elf*#REF!+icekin*#REF!+woodie*#REF!+orc*#REF!)+kobold*#REF!</f>
        <v>#REF!</v>
      </c>
      <c r="Q16" s="132" t="e">
        <f>race_offense+#REF!+ROUND(MIN(gn_bonus*#REF!/#REF!,gn_bonus_cap),4)+MAX(IF(#REF!&gt;0,warsong_bonus),IF(#REF!&gt;0,howling_op_bonus),IF(#REF!&gt;0,nightfall_bonus),IF(#REF!&gt;0,#REF!)) +#REF!/ 100*prestige_offense_bonus + tech_5_4*#REF! + tech_7_4*#REF!</f>
        <v>#REF!</v>
      </c>
      <c r="R16" s="237" t="e">
        <f>#REF!*(1+#REF!)</f>
        <v>#REF!</v>
      </c>
      <c r="S16" s="237" t="e">
        <f>#REF!*spec_dp+#REF!*(elite1_base_dp+woodie*#REF!+sylvan*#REF!+gnome*#REF!+icekin*#REF!+nox*#REF!)+#REF!*(elite2_base_dp+woodie*#REF!) + fh_peas_dp*MIN(#REF!,20*#REF!)+kobold*#REF!</f>
        <v>#REF!</v>
      </c>
      <c r="T16" s="237" t="e">
        <f>#REF!+#REF!</f>
        <v>#REF!</v>
      </c>
      <c r="U16" s="238" t="e">
        <f>race_defense +#REF! + ROUND( MIN(gt_bonus*#REF!/#REF!,gt_bonus_cap), 4) + IF(#REF!&gt;0,howling_dp_bonus,IF(#REF!&gt;0,ares_call_bonus))</f>
        <v>#REF!</v>
      </c>
      <c r="V16" s="239" t="e">
        <f>#REF! * (1 +#REF!)</f>
        <v>#REF!</v>
      </c>
      <c r="W16" s="237" t="e">
        <f>#REF! * (1 +#REF!)</f>
        <v>#REF!</v>
      </c>
      <c r="X16" s="237" t="e">
        <f>#REF!</f>
        <v>#REF!</v>
      </c>
      <c r="Y16" s="240"/>
      <c r="Z16" s="135" t="e">
        <f ca="1">IF(#REF!&lt;&gt;"",#REF!,OFFSET(#REF!,-1,0))</f>
        <v>#REF!</v>
      </c>
      <c r="AA16" s="39" t="e">
        <f ca="1">OFFSET(#REF!,-1,0)+OFFSET(#REF!,-1,0) - SUM(#REF!,#REF!) -#REF! + SUM(#REF!) -#REF!</f>
        <v>#REF!</v>
      </c>
      <c r="AB16" s="133"/>
      <c r="AC16" s="132" t="e">
        <f>(#REF!+#REF!)/(#REF!-#REF!*20)</f>
        <v>#REF!</v>
      </c>
      <c r="AD16" s="236"/>
      <c r="AE16" s="236" t="e">
        <f>#REF!</f>
        <v>#REF!</v>
      </c>
      <c r="AF16" s="131" t="e">
        <f>#REF!</f>
        <v>#REF!</v>
      </c>
      <c r="AG16" s="164"/>
      <c r="AH16" s="164"/>
      <c r="AI16" s="164"/>
      <c r="AJ16" s="164"/>
      <c r="AK16" s="164"/>
      <c r="AL16" s="164"/>
      <c r="AM16" s="164"/>
      <c r="AN16" s="164"/>
      <c r="AO16" s="134"/>
      <c r="AP16" s="39" t="e">
        <f>#REF!</f>
        <v>#REF!</v>
      </c>
      <c r="AQ16" s="39" t="e">
        <f>INDEX(#REF!:#REF!,COUNTA(#REF!:#REF!),MATCH(Military!$AQ$2,#REF!,0))</f>
        <v>#REF!</v>
      </c>
      <c r="AR16" s="39" t="e">
        <f>#REF!*#REF!+#REF!*#REF!+#REF!*#REF!+#REF!*#REF!+#REF!*#REF!+#REF!*#REF!+#REF!*#REF!</f>
        <v>#REF!</v>
      </c>
      <c r="AS16" s="39" t="e">
        <f>#REF!*#REF!+#REF!*#REF!+#REF!*#REF!+#REF!*#REF!</f>
        <v>#REF!</v>
      </c>
      <c r="AT16" s="134" t="e">
        <f>#REF!</f>
        <v>#REF!</v>
      </c>
      <c r="AU16" s="143" t="e">
        <f>#REF!</f>
        <v>#REF!</v>
      </c>
      <c r="AV16" s="39" t="e">
        <f>#REF!</f>
        <v>#REF!</v>
      </c>
      <c r="AW16" s="164"/>
      <c r="AX16" s="164"/>
      <c r="AY16" s="164"/>
      <c r="AZ16" s="164"/>
      <c r="BA16" s="164"/>
      <c r="BB16" s="164"/>
      <c r="BC16" s="164"/>
      <c r="BD16" s="164"/>
      <c r="BE16" s="164"/>
      <c r="BF16" s="134"/>
      <c r="BG16" s="132" t="e">
        <f>#REF!/#REF!</f>
        <v>#REF!</v>
      </c>
      <c r="BH16" s="132" t="e">
        <f>#REF!/#REF!</f>
        <v>#REF!</v>
      </c>
      <c r="BI16" s="39" t="e">
        <f>ROUNDUP((1-MIN(#REF!*smithy_bonus,smithy_bonus_cap) + tech_3_5*#REF! + tech_5_3*#REF! + tech_5_5*#REF!)*spec_op_plat,0)</f>
        <v>#REF!</v>
      </c>
      <c r="BJ16" s="39" t="e">
        <f>ROUNDUP(IF(race="Gnome",1,(1-MIN(#REF!*smithy_bonus,smithy_bonus_cap) + tech_3_5*#REF! + tech_5_3*#REF! + tech_5_5*#REF!))*spec_op_ore,0)</f>
        <v>#REF!</v>
      </c>
      <c r="BK16" s="39" t="e">
        <f>ROUNDUP((1-MIN(#REF!*smithy_bonus,smithy_bonus_cap) + tech_3_5*#REF! + tech_5_3*#REF! + tech_5_5*#REF!)*spec_dp_plat,0)</f>
        <v>#REF!</v>
      </c>
      <c r="BL16" s="39" t="e">
        <f>ROUNDUP(IF(race="Gnome",1,(1-MIN(#REF!*smithy_bonus,smithy_bonus_cap) + tech_3_5*#REF! + tech_5_3*#REF! + tech_5_5*#REF!))*spec_dp_ore,0)</f>
        <v>#REF!</v>
      </c>
      <c r="BM16" s="39" t="e">
        <f>ROUNDUP((1-MIN(#REF!*smithy_bonus,smithy_bonus_cap) + tech_3_5*#REF! + tech_5_3*#REF! + tech_5_5*#REF!)*elite1_plat,0)</f>
        <v>#REF!</v>
      </c>
      <c r="BN16" s="39" t="e">
        <f>ROUNDUP(IF(race="Gnome",1,(1-MIN(#REF!*smithy_bonus,smithy_bonus_cap) + tech_3_5*#REF! + tech_5_3*#REF! + tech_5_5*#REF!))*elite1_ore,0)</f>
        <v>#REF!</v>
      </c>
      <c r="BO16" s="39" t="e">
        <f>ROUNDUP((1-MIN(#REF!*smithy_bonus,smithy_bonus_cap) + tech_3_5*#REF! + tech_5_3*#REF! + tech_5_5*#REF!)*elite2_plat,0)</f>
        <v>#REF!</v>
      </c>
      <c r="BP16" s="39" t="e">
        <f>ROUNDUP(IF(race="Gnome",1,(1-MIN(#REF!*smithy_bonus,smithy_bonus_cap) + tech_3_5*#REF! + tech_5_3*#REF! + tech_5_5*#REF!))*elite2_ore,0)</f>
        <v>#REF!</v>
      </c>
      <c r="BQ16" s="39" t="e">
        <f>ROUNDUP((1-MIN(ROUND(fh_spy_cost_red*#REF!,4),fh_spy_cost_cap)+ tech_1_9*#REF! + tech_9_1*#REF!)*spy_plat,0)</f>
        <v>#REF!</v>
      </c>
      <c r="BR16" s="39" t="e">
        <f>ROUNDUP((1-MIN(ROUND(fh_spy_cost_red*#REF!,4),fh_spy_cost_cap)+ tech_1_9*#REF! + tech_9_1*#REF!)*archspy_plat,0)</f>
        <v>#REF!</v>
      </c>
      <c r="BS16" s="39" t="e">
        <f>ROUNDUP((1-MIN(ROUND(wg_wiz_cost_bonus*#REF!,4),wg_wiz_cost_cap) + tech_1_9_2*#REF! + tech_9_1_2*#REF!)*wizard_plat,0)</f>
        <v>#REF!</v>
      </c>
      <c r="BT16" s="39" t="e">
        <f>ROUNDUP((1-MIN(ROUND(wg_wiz_cost_bonus*#REF!,4),wg_wiz_cost_cap) + tech_1_9_2*#REF! + tech_9_1_2*#REF!)*archmage_plat,0)</f>
        <v>#REF!</v>
      </c>
      <c r="BU16" s="134"/>
      <c r="BV16" s="132" t="e">
        <f>#REF!/#REF!</f>
        <v>#REF!</v>
      </c>
      <c r="BW16" s="132" t="e">
        <f>#REF!</f>
        <v>#REF!</v>
      </c>
      <c r="BX16" s="241" t="e">
        <f>IF(mystic_cap="none",#REF!/mystic_bonus,MIN(mystic_cap,#REF!/mystic_bonus))</f>
        <v>#REF!</v>
      </c>
      <c r="BY16" s="241" t="e">
        <f>IF(druid_op_cap="none",#REF!/druid_op_bonus,MIN(druid_op_cap,#REF!/druid_op_bonus))</f>
        <v>#REF!</v>
      </c>
      <c r="BZ16" s="241" t="e">
        <f>IF(druid_dp_cap="none",#REF!/druid_dp_bonus,MIN(druid_dp_cap,#REF!/druid_dp_bonus))</f>
        <v>#REF!</v>
      </c>
      <c r="CA16" s="241" t="e">
        <f>MIN(dryad_cap,#REF!/dryad_bonus)</f>
        <v>#REF!</v>
      </c>
      <c r="CB16" s="241" t="e">
        <f>MIN(rocka_cap,#REF!/rocka_bonus)</f>
        <v>#REF!</v>
      </c>
      <c r="CC16" s="241" t="e">
        <f>MIN(adept_op_cap,#REF!/adept_op_bonus)</f>
        <v>#REF!</v>
      </c>
      <c r="CD16" s="241" t="e">
        <f>MIN(adept_dp_cap,#REF!/adept_dp_bonus)</f>
        <v>#REF!</v>
      </c>
      <c r="CE16" s="39" t="e">
        <f>MIN(#REF!,#REF!)*2</f>
        <v>#REF!</v>
      </c>
      <c r="CF16" s="39" t="e">
        <f>MIN(#REF!,#REF!)*2</f>
        <v>#REF!</v>
      </c>
      <c r="CG16" s="241" t="e">
        <f>MIN(frost_mage_cap,#REF!/frost_mage_bonus)</f>
        <v>#REF!</v>
      </c>
      <c r="CH16" s="3" t="e">
        <f>MIN(ice_elem_cap,#REF!*ice_elem_bonus)</f>
        <v>#REF!</v>
      </c>
      <c r="CI16" s="241">
        <f t="shared" si="0"/>
        <v>0.83333333333333337</v>
      </c>
      <c r="CJ16" s="241" t="e">
        <f>MIN(nox_nightshade_cap,#REF!/#REF!/nox_nightshade_swamp_bonus)</f>
        <v>#REF!</v>
      </c>
      <c r="CK16" s="242"/>
      <c r="CL16" s="242"/>
      <c r="CM16" s="242"/>
      <c r="CN16" s="241" t="e">
        <f>MIN(6,#REF!+Races!$F$19)*1.8 +  IF(#REF!+Races!$F$19&gt;6,(#REF!+Races!$F$19-6)*0.2,0) - Races!$I$19</f>
        <v>#REF!</v>
      </c>
      <c r="CO16" s="241" t="e">
        <f>1.8 * MIN(MAX(#REF!+Races!$E$20,#REF!+Races!$F$20),6)  +  0.45 * MIN(MIN(#REF!+Races!$E$20,#REF!+Races!$F$20),6)  +  0.2 * ( MAX(#REF!+Races!$E$20-6,0) + MAX(#REF!+Races!$F$20-6,0) )  -  Races!$I$20</f>
        <v>#REF!</v>
      </c>
      <c r="CP16" s="39" t="e">
        <f>#REF!*#REF!+#REF!*#REF!</f>
        <v>#REF!</v>
      </c>
      <c r="CQ16" s="145" t="e">
        <f>MIN(6,#REF!+Races!$F$35)*1.8 +  IF(#REF!+Races!$F$35&gt;6,(#REF!+Races!$F$35-6)*0.2,0) - Races!$I$19</f>
        <v>#REF!</v>
      </c>
      <c r="CR16" s="39" t="e">
        <f>sylvan*(#REF!*#REF!)</f>
        <v>#REF!</v>
      </c>
      <c r="CS16" s="145" t="e">
        <f>1.8 * MIN(MAX(Races!$E$27,#REF!+Races!$F$27),6)  +  0.45 * MIN(MIN(Races!$E$27,#REF!+Races!$F$27),6)  +  0.2 * ( MAX(Races!$E$27-6,0) + MAX(#REF!+Races!$F$27-6,0) )  -  Races!$I$20</f>
        <v>#REF!</v>
      </c>
      <c r="CT16" s="39" t="e">
        <f>gnome*(#REF!*#REF!)</f>
        <v>#REF!</v>
      </c>
      <c r="CU16" s="145" t="e">
        <f>1.8 * MIN(MAX(#REF!+Races!$E$47,#REF!+Races!$F$47),6)  +  0.45 * MIN(MIN(#REF!+Races!$E$47,#REF!+Races!$F$47),6)  +  0.2 * ( MAX(#REF!+Races!$E$47-6,0) + MAX(#REF!+Races!$F$47-6,0) )  -  Races!$I$47</f>
        <v>#REF!</v>
      </c>
      <c r="CV16" s="39" t="e">
        <f>dark_elf*(#REF!*#REF!)</f>
        <v>#REF!</v>
      </c>
      <c r="CW16" s="145" t="e">
        <f>1.8 * MIN(MAX(#REF!+Races!$F$71,Races!$E$71),6)  +  0.45 * MIN(MIN(#REF!+Races!$F$71,Races!$E$71),6)  +  0.2 * ( MAX(#REF!+Races!$F$71-6,0) + MAX(Races!$E$71-6,0) )  -  Races!$I$71</f>
        <v>#REF!</v>
      </c>
      <c r="CX16" s="145" t="e">
        <f>1.8 * MIN(MAX(#REF!+Races!$E$71,Races!$F$71),6)  +  0.45 * MIN(MIN(#REF!+Races!$E$71,Races!$F$71),6)  +  0.2 * ( MAX(#REF!+Races!$E$71-6,0) + MAX(Races!$F$71-6,0) )  -  Races!$I$71</f>
        <v>#REF!</v>
      </c>
      <c r="CY16" s="39" t="e">
        <f>#REF!*#REF!+#REF!*#REF!</f>
        <v>#REF!</v>
      </c>
      <c r="CZ16" s="243"/>
      <c r="DA16" s="135" t="e">
        <f>MIN(SUM(#REF!)/#REF!/favorable_terrain_bonus/100,favorable_terrain_max)</f>
        <v>#REF!</v>
      </c>
      <c r="DB16" s="243"/>
      <c r="DC16"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6" s="134"/>
      <c r="DE16" s="244" t="e">
        <f>(#REF!+2*#REF!)/#REF!</f>
        <v>#REF!</v>
      </c>
      <c r="DF16" s="244" t="e">
        <f>#REF!*(1+race_wizard_strength+IF(#REF!&gt;72,tech_magical_weaponry_wiz*#REF!,0))</f>
        <v>#REF!</v>
      </c>
    </row>
    <row r="17" spans="1:110" x14ac:dyDescent="0.25">
      <c r="A17" s="130" t="e">
        <f>#REF!</f>
        <v>#REF!</v>
      </c>
      <c r="B17" s="236" t="e">
        <f ca="1">SUM(#REF!)+SUM(OFFSET(#REF!,-8,0):#REF!) + SUM(OFFSET(#REF!,-11,0):#REF!) +#REF!</f>
        <v>#REF!</v>
      </c>
      <c r="C17" s="132" t="e">
        <f>#REF!</f>
        <v>#REF!</v>
      </c>
      <c r="D17" s="134"/>
      <c r="E17" s="3" t="e">
        <f ca="1">OFFSET(#REF!,-1,0) + OFFSET(#REF!,-9,0) -#REF!</f>
        <v>#REF!</v>
      </c>
      <c r="F17" s="3" t="e">
        <f ca="1">OFFSET(#REF!,-1,0) + OFFSET(#REF!,-9,0)-#REF!</f>
        <v>#REF!</v>
      </c>
      <c r="G17" s="3" t="e">
        <f ca="1">OFFSET(#REF!,-1,0) + OFFSET(#REF!,-12,0)-#REF!</f>
        <v>#REF!</v>
      </c>
      <c r="H17" s="3" t="e">
        <f ca="1">OFFSET(#REF!,-1,0) + OFFSET(#REF!,-12,0)-#REF!</f>
        <v>#REF!</v>
      </c>
      <c r="I17" s="3" t="e">
        <f ca="1">OFFSET(#REF!,-1,0) + OFFSET(#REF!,-12,0) -#REF!-#REF!</f>
        <v>#REF!</v>
      </c>
      <c r="J17" s="3" t="e">
        <f ca="1">OFFSET(#REF!,-1,0) + OFFSET(#REF!,-12,0) -#REF!</f>
        <v>#REF!</v>
      </c>
      <c r="K17" s="3" t="e">
        <f ca="1">OFFSET(#REF!,-1,0) + OFFSET(#REF!,-12,0) -#REF!-#REF!</f>
        <v>#REF!</v>
      </c>
      <c r="L17" s="3" t="e">
        <f ca="1">OFFSET(#REF!,-1,0) + OFFSET(#REF!,-12,0) -#REF!</f>
        <v>#REF!</v>
      </c>
      <c r="M17" s="134"/>
      <c r="N17" s="39" t="e">
        <f>#REF!</f>
        <v>#REF!</v>
      </c>
      <c r="O17" s="134"/>
      <c r="P17" s="237" t="e">
        <f>#REF!*spec_op+#REF!*(elite1_base_op)+#REF!*(elite2_base_op+dark_elf*#REF!+icekin*#REF!+woodie*#REF!+orc*#REF!)+kobold*#REF!</f>
        <v>#REF!</v>
      </c>
      <c r="Q17" s="132" t="e">
        <f>race_offense+#REF!+ROUND(MIN(gn_bonus*#REF!/#REF!,gn_bonus_cap),4)+MAX(IF(#REF!&gt;0,warsong_bonus),IF(#REF!&gt;0,howling_op_bonus),IF(#REF!&gt;0,nightfall_bonus),IF(#REF!&gt;0,#REF!)) +#REF!/ 100*prestige_offense_bonus + tech_5_4*#REF! + tech_7_4*#REF!</f>
        <v>#REF!</v>
      </c>
      <c r="R17" s="237" t="e">
        <f>#REF!*(1+#REF!)</f>
        <v>#REF!</v>
      </c>
      <c r="S17" s="237" t="e">
        <f>#REF!*spec_dp+#REF!*(elite1_base_dp+woodie*#REF!+sylvan*#REF!+gnome*#REF!+icekin*#REF!+nox*#REF!)+#REF!*(elite2_base_dp+woodie*#REF!) + fh_peas_dp*MIN(#REF!,20*#REF!)+kobold*#REF!</f>
        <v>#REF!</v>
      </c>
      <c r="T17" s="237" t="e">
        <f>#REF!+#REF!</f>
        <v>#REF!</v>
      </c>
      <c r="U17" s="238" t="e">
        <f>race_defense +#REF! + ROUND( MIN(gt_bonus*#REF!/#REF!,gt_bonus_cap), 4) + IF(#REF!&gt;0,howling_dp_bonus,IF(#REF!&gt;0,ares_call_bonus))</f>
        <v>#REF!</v>
      </c>
      <c r="V17" s="239" t="e">
        <f>#REF! * (1 +#REF!)</f>
        <v>#REF!</v>
      </c>
      <c r="W17" s="237" t="e">
        <f>#REF! * (1 +#REF!)</f>
        <v>#REF!</v>
      </c>
      <c r="X17" s="237" t="e">
        <f>#REF!</f>
        <v>#REF!</v>
      </c>
      <c r="Y17" s="240"/>
      <c r="Z17" s="135" t="e">
        <f ca="1">IF(#REF!&lt;&gt;"",#REF!,OFFSET(#REF!,-1,0))</f>
        <v>#REF!</v>
      </c>
      <c r="AA17" s="39" t="e">
        <f ca="1">OFFSET(#REF!,-1,0)+OFFSET(#REF!,-1,0) - SUM(#REF!,#REF!) -#REF! + SUM(#REF!) -#REF!</f>
        <v>#REF!</v>
      </c>
      <c r="AB17" s="133"/>
      <c r="AC17" s="132" t="e">
        <f>(#REF!+#REF!)/(#REF!-#REF!*20)</f>
        <v>#REF!</v>
      </c>
      <c r="AD17" s="130"/>
      <c r="AE17" s="236" t="e">
        <f>#REF!</f>
        <v>#REF!</v>
      </c>
      <c r="AF17" s="131" t="e">
        <f>#REF!</f>
        <v>#REF!</v>
      </c>
      <c r="AG17" s="164"/>
      <c r="AH17" s="164"/>
      <c r="AI17" s="164"/>
      <c r="AJ17" s="164"/>
      <c r="AK17" s="164"/>
      <c r="AL17" s="164"/>
      <c r="AM17" s="164"/>
      <c r="AN17" s="164"/>
      <c r="AO17" s="134"/>
      <c r="AP17" s="39" t="e">
        <f>#REF!</f>
        <v>#REF!</v>
      </c>
      <c r="AQ17" s="39" t="e">
        <f>INDEX(#REF!:#REF!,COUNTA(#REF!:#REF!),MATCH(Military!$AQ$2,#REF!,0))</f>
        <v>#REF!</v>
      </c>
      <c r="AR17" s="39" t="e">
        <f>#REF!*#REF!+#REF!*#REF!+#REF!*#REF!+#REF!*#REF!+#REF!*#REF!+#REF!*#REF!+#REF!*#REF!</f>
        <v>#REF!</v>
      </c>
      <c r="AS17" s="39" t="e">
        <f>#REF!*#REF!+#REF!*#REF!+#REF!*#REF!+#REF!*#REF!</f>
        <v>#REF!</v>
      </c>
      <c r="AT17" s="134" t="e">
        <f>#REF!</f>
        <v>#REF!</v>
      </c>
      <c r="AU17" s="143" t="e">
        <f>#REF!</f>
        <v>#REF!</v>
      </c>
      <c r="AV17" s="39" t="e">
        <f>#REF!</f>
        <v>#REF!</v>
      </c>
      <c r="AW17" s="164"/>
      <c r="AX17" s="164"/>
      <c r="AY17" s="164"/>
      <c r="AZ17" s="164"/>
      <c r="BA17" s="164"/>
      <c r="BB17" s="164"/>
      <c r="BC17" s="164"/>
      <c r="BD17" s="164"/>
      <c r="BE17" s="164"/>
      <c r="BF17" s="134"/>
      <c r="BG17" s="132" t="e">
        <f>#REF!/#REF!</f>
        <v>#REF!</v>
      </c>
      <c r="BH17" s="132" t="e">
        <f>#REF!/#REF!</f>
        <v>#REF!</v>
      </c>
      <c r="BI17" s="39" t="e">
        <f>ROUNDUP((1-MIN(#REF!*smithy_bonus,smithy_bonus_cap) + tech_3_5*#REF! + tech_5_3*#REF! + tech_5_5*#REF!)*spec_op_plat,0)</f>
        <v>#REF!</v>
      </c>
      <c r="BJ17" s="39" t="e">
        <f>ROUNDUP(IF(race="Gnome",1,(1-MIN(#REF!*smithy_bonus,smithy_bonus_cap) + tech_3_5*#REF! + tech_5_3*#REF! + tech_5_5*#REF!))*spec_op_ore,0)</f>
        <v>#REF!</v>
      </c>
      <c r="BK17" s="39" t="e">
        <f>ROUNDUP((1-MIN(#REF!*smithy_bonus,smithy_bonus_cap) + tech_3_5*#REF! + tech_5_3*#REF! + tech_5_5*#REF!)*spec_dp_plat,0)</f>
        <v>#REF!</v>
      </c>
      <c r="BL17" s="39" t="e">
        <f>ROUNDUP(IF(race="Gnome",1,(1-MIN(#REF!*smithy_bonus,smithy_bonus_cap) + tech_3_5*#REF! + tech_5_3*#REF! + tech_5_5*#REF!))*spec_dp_ore,0)</f>
        <v>#REF!</v>
      </c>
      <c r="BM17" s="39" t="e">
        <f>ROUNDUP((1-MIN(#REF!*smithy_bonus,smithy_bonus_cap) + tech_3_5*#REF! + tech_5_3*#REF! + tech_5_5*#REF!)*elite1_plat,0)</f>
        <v>#REF!</v>
      </c>
      <c r="BN17" s="39" t="e">
        <f>ROUNDUP(IF(race="Gnome",1,(1-MIN(#REF!*smithy_bonus,smithy_bonus_cap) + tech_3_5*#REF! + tech_5_3*#REF! + tech_5_5*#REF!))*elite1_ore,0)</f>
        <v>#REF!</v>
      </c>
      <c r="BO17" s="39" t="e">
        <f>ROUNDUP((1-MIN(#REF!*smithy_bonus,smithy_bonus_cap) + tech_3_5*#REF! + tech_5_3*#REF! + tech_5_5*#REF!)*elite2_plat,0)</f>
        <v>#REF!</v>
      </c>
      <c r="BP17" s="39" t="e">
        <f>ROUNDUP(IF(race="Gnome",1,(1-MIN(#REF!*smithy_bonus,smithy_bonus_cap) + tech_3_5*#REF! + tech_5_3*#REF! + tech_5_5*#REF!))*elite2_ore,0)</f>
        <v>#REF!</v>
      </c>
      <c r="BQ17" s="39" t="e">
        <f>ROUNDUP((1-MIN(ROUND(fh_spy_cost_red*#REF!,4),fh_spy_cost_cap)+ tech_1_9*#REF! + tech_9_1*#REF!)*spy_plat,0)</f>
        <v>#REF!</v>
      </c>
      <c r="BR17" s="39" t="e">
        <f>ROUNDUP((1-MIN(ROUND(fh_spy_cost_red*#REF!,4),fh_spy_cost_cap)+ tech_1_9*#REF! + tech_9_1*#REF!)*archspy_plat,0)</f>
        <v>#REF!</v>
      </c>
      <c r="BS17" s="39" t="e">
        <f>ROUNDUP((1-MIN(ROUND(wg_wiz_cost_bonus*#REF!,4),wg_wiz_cost_cap) + tech_1_9_2*#REF! + tech_9_1_2*#REF!)*wizard_plat,0)</f>
        <v>#REF!</v>
      </c>
      <c r="BT17" s="39" t="e">
        <f>ROUNDUP((1-MIN(ROUND(wg_wiz_cost_bonus*#REF!,4),wg_wiz_cost_cap) + tech_1_9_2*#REF! + tech_9_1_2*#REF!)*archmage_plat,0)</f>
        <v>#REF!</v>
      </c>
      <c r="BU17" s="134"/>
      <c r="BV17" s="132" t="e">
        <f>#REF!/#REF!</f>
        <v>#REF!</v>
      </c>
      <c r="BW17" s="132" t="e">
        <f>#REF!</f>
        <v>#REF!</v>
      </c>
      <c r="BX17" s="241" t="e">
        <f>IF(mystic_cap="none",#REF!/mystic_bonus,MIN(mystic_cap,#REF!/mystic_bonus))</f>
        <v>#REF!</v>
      </c>
      <c r="BY17" s="241" t="e">
        <f>IF(druid_op_cap="none",#REF!/druid_op_bonus,MIN(druid_op_cap,#REF!/druid_op_bonus))</f>
        <v>#REF!</v>
      </c>
      <c r="BZ17" s="241" t="e">
        <f>IF(druid_dp_cap="none",#REF!/druid_dp_bonus,MIN(druid_dp_cap,#REF!/druid_dp_bonus))</f>
        <v>#REF!</v>
      </c>
      <c r="CA17" s="241" t="e">
        <f>MIN(dryad_cap,#REF!/dryad_bonus)</f>
        <v>#REF!</v>
      </c>
      <c r="CB17" s="241" t="e">
        <f>MIN(rocka_cap,#REF!/rocka_bonus)</f>
        <v>#REF!</v>
      </c>
      <c r="CC17" s="241" t="e">
        <f>MIN(adept_op_cap,#REF!/adept_op_bonus)</f>
        <v>#REF!</v>
      </c>
      <c r="CD17" s="241" t="e">
        <f>MIN(adept_dp_cap,#REF!/adept_dp_bonus)</f>
        <v>#REF!</v>
      </c>
      <c r="CE17" s="39" t="e">
        <f>MIN(#REF!,#REF!)*2</f>
        <v>#REF!</v>
      </c>
      <c r="CF17" s="39" t="e">
        <f>MIN(#REF!,#REF!)*2</f>
        <v>#REF!</v>
      </c>
      <c r="CG17" s="241" t="e">
        <f>MIN(frost_mage_cap,#REF!/frost_mage_bonus)</f>
        <v>#REF!</v>
      </c>
      <c r="CH17" s="3" t="e">
        <f>MIN(ice_elem_cap,#REF!*ice_elem_bonus)</f>
        <v>#REF!</v>
      </c>
      <c r="CI17" s="241">
        <f t="shared" si="0"/>
        <v>0.83333333333333337</v>
      </c>
      <c r="CJ17" s="241" t="e">
        <f>MIN(nox_nightshade_cap,#REF!/#REF!/nox_nightshade_swamp_bonus)</f>
        <v>#REF!</v>
      </c>
      <c r="CK17" s="242" t="s">
        <v>520</v>
      </c>
      <c r="CL17" s="242"/>
      <c r="CM17" s="242"/>
      <c r="CN17" s="241" t="e">
        <f>MIN(6,#REF!+Races!$F$19)*1.8 +  IF(#REF!+Races!$F$19&gt;6,(#REF!+Races!$F$19-6)*0.2,0) - Races!$I$19</f>
        <v>#REF!</v>
      </c>
      <c r="CO17" s="241" t="e">
        <f>1.8 * MIN(MAX(#REF!+Races!$E$20,#REF!+Races!$F$20),6)  +  0.45 * MIN(MIN(#REF!+Races!$E$20,#REF!+Races!$F$20),6)  +  0.2 * ( MAX(#REF!+Races!$E$20-6,0) + MAX(#REF!+Races!$F$20-6,0) )  -  Races!$I$20</f>
        <v>#REF!</v>
      </c>
      <c r="CP17" s="39" t="e">
        <f>#REF!*#REF!+#REF!*#REF!</f>
        <v>#REF!</v>
      </c>
      <c r="CQ17" s="145" t="e">
        <f>MIN(6,#REF!+Races!$F$35)*1.8 +  IF(#REF!+Races!$F$35&gt;6,(#REF!+Races!$F$35-6)*0.2,0) - Races!$I$19</f>
        <v>#REF!</v>
      </c>
      <c r="CR17" s="39" t="e">
        <f>sylvan*(#REF!*#REF!)</f>
        <v>#REF!</v>
      </c>
      <c r="CS17" s="145" t="e">
        <f>1.8 * MIN(MAX(Races!$E$27,#REF!+Races!$F$27),6)  +  0.45 * MIN(MIN(Races!$E$27,#REF!+Races!$F$27),6)  +  0.2 * ( MAX(Races!$E$27-6,0) + MAX(#REF!+Races!$F$27-6,0) )  -  Races!$I$20</f>
        <v>#REF!</v>
      </c>
      <c r="CT17" s="39" t="e">
        <f>gnome*(#REF!*#REF!)</f>
        <v>#REF!</v>
      </c>
      <c r="CU17" s="145" t="e">
        <f>1.8 * MIN(MAX(#REF!+Races!$E$47,#REF!+Races!$F$47),6)  +  0.45 * MIN(MIN(#REF!+Races!$E$47,#REF!+Races!$F$47),6)  +  0.2 * ( MAX(#REF!+Races!$E$47-6,0) + MAX(#REF!+Races!$F$47-6,0) )  -  Races!$I$47</f>
        <v>#REF!</v>
      </c>
      <c r="CV17" s="39" t="e">
        <f>dark_elf*(#REF!*#REF!)</f>
        <v>#REF!</v>
      </c>
      <c r="CW17" s="145" t="e">
        <f>1.8 * MIN(MAX(#REF!+Races!$F$71,Races!$E$71),6)  +  0.45 * MIN(MIN(#REF!+Races!$F$71,Races!$E$71),6)  +  0.2 * ( MAX(#REF!+Races!$F$71-6,0) + MAX(Races!$E$71-6,0) )  -  Races!$I$71</f>
        <v>#REF!</v>
      </c>
      <c r="CX17" s="145" t="e">
        <f>1.8 * MIN(MAX(#REF!+Races!$E$71,Races!$F$71),6)  +  0.45 * MIN(MIN(#REF!+Races!$E$71,Races!$F$71),6)  +  0.2 * ( MAX(#REF!+Races!$E$71-6,0) + MAX(Races!$F$71-6,0) )  -  Races!$I$71</f>
        <v>#REF!</v>
      </c>
      <c r="CY17" s="39" t="e">
        <f>#REF!*#REF!+#REF!*#REF!</f>
        <v>#REF!</v>
      </c>
      <c r="CZ17" s="243"/>
      <c r="DA17" s="135" t="e">
        <f>MIN(SUM(#REF!)/#REF!/favorable_terrain_bonus/100,favorable_terrain_max)</f>
        <v>#REF!</v>
      </c>
      <c r="DB17" s="243"/>
      <c r="DC17"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7" s="134"/>
      <c r="DE17" s="244" t="e">
        <f>(#REF!+2*#REF!)/#REF!</f>
        <v>#REF!</v>
      </c>
      <c r="DF17" s="244" t="e">
        <f>#REF!*(1+race_wizard_strength+IF(#REF!&gt;72,tech_magical_weaponry_wiz*#REF!,0))</f>
        <v>#REF!</v>
      </c>
    </row>
    <row r="18" spans="1:110" x14ac:dyDescent="0.25">
      <c r="A18" s="130" t="e">
        <f>#REF!</f>
        <v>#REF!</v>
      </c>
      <c r="B18" s="236" t="e">
        <f ca="1">SUM(#REF!)+SUM(OFFSET(#REF!,-8,0):#REF!) + SUM(OFFSET(#REF!,-11,0):#REF!) +#REF!</f>
        <v>#REF!</v>
      </c>
      <c r="C18" s="132" t="e">
        <f>#REF!</f>
        <v>#REF!</v>
      </c>
      <c r="D18" s="134"/>
      <c r="E18" s="3" t="e">
        <f ca="1">OFFSET(#REF!,-1,0) + OFFSET(#REF!,-9,0) -#REF!</f>
        <v>#REF!</v>
      </c>
      <c r="F18" s="3" t="e">
        <f ca="1">OFFSET(#REF!,-1,0) + OFFSET(#REF!,-9,0)-#REF!</f>
        <v>#REF!</v>
      </c>
      <c r="G18" s="3" t="e">
        <f ca="1">OFFSET(#REF!,-1,0) + OFFSET(#REF!,-12,0)-#REF!</f>
        <v>#REF!</v>
      </c>
      <c r="H18" s="3" t="e">
        <f ca="1">OFFSET(#REF!,-1,0) + OFFSET(#REF!,-12,0)-#REF!</f>
        <v>#REF!</v>
      </c>
      <c r="I18" s="3" t="e">
        <f ca="1">OFFSET(#REF!,-1,0) + OFFSET(#REF!,-12,0) -#REF!-#REF!</f>
        <v>#REF!</v>
      </c>
      <c r="J18" s="3" t="e">
        <f ca="1">OFFSET(#REF!,-1,0) + OFFSET(#REF!,-12,0) -#REF!</f>
        <v>#REF!</v>
      </c>
      <c r="K18" s="3" t="e">
        <f ca="1">OFFSET(#REF!,-1,0) + OFFSET(#REF!,-12,0) -#REF!-#REF!</f>
        <v>#REF!</v>
      </c>
      <c r="L18" s="3" t="e">
        <f ca="1">OFFSET(#REF!,-1,0) + OFFSET(#REF!,-12,0) -#REF!</f>
        <v>#REF!</v>
      </c>
      <c r="M18" s="134"/>
      <c r="N18" s="39" t="e">
        <f>#REF!</f>
        <v>#REF!</v>
      </c>
      <c r="O18" s="134"/>
      <c r="P18" s="237" t="e">
        <f>#REF!*spec_op+#REF!*(elite1_base_op)+#REF!*(elite2_base_op+dark_elf*#REF!+icekin*#REF!+woodie*#REF!+orc*#REF!)+kobold*#REF!</f>
        <v>#REF!</v>
      </c>
      <c r="Q18" s="132" t="e">
        <f>race_offense+#REF!+ROUND(MIN(gn_bonus*#REF!/#REF!,gn_bonus_cap),4)+MAX(IF(#REF!&gt;0,warsong_bonus),IF(#REF!&gt;0,howling_op_bonus),IF(#REF!&gt;0,nightfall_bonus),IF(#REF!&gt;0,#REF!)) +#REF!/ 100*prestige_offense_bonus + tech_5_4*#REF! + tech_7_4*#REF!</f>
        <v>#REF!</v>
      </c>
      <c r="R18" s="237" t="e">
        <f>#REF!*(1+#REF!)</f>
        <v>#REF!</v>
      </c>
      <c r="S18" s="237" t="e">
        <f>#REF!*spec_dp+#REF!*(elite1_base_dp+woodie*#REF!+sylvan*#REF!+gnome*#REF!+icekin*#REF!+nox*#REF!)+#REF!*(elite2_base_dp+woodie*#REF!) + fh_peas_dp*MIN(#REF!,20*#REF!)+kobold*#REF!</f>
        <v>#REF!</v>
      </c>
      <c r="T18" s="237" t="e">
        <f>#REF!+#REF!</f>
        <v>#REF!</v>
      </c>
      <c r="U18" s="238" t="e">
        <f>race_defense +#REF! + ROUND( MIN(gt_bonus*#REF!/#REF!,gt_bonus_cap), 4) + IF(#REF!&gt;0,howling_dp_bonus,IF(#REF!&gt;0,ares_call_bonus))</f>
        <v>#REF!</v>
      </c>
      <c r="V18" s="239" t="e">
        <f>#REF! * (1 +#REF!)</f>
        <v>#REF!</v>
      </c>
      <c r="W18" s="237" t="e">
        <f>#REF! * (1 +#REF!)</f>
        <v>#REF!</v>
      </c>
      <c r="X18" s="237" t="e">
        <f>#REF!</f>
        <v>#REF!</v>
      </c>
      <c r="Y18" s="240"/>
      <c r="Z18" s="135" t="e">
        <f ca="1">IF(#REF!&lt;&gt;"",#REF!,OFFSET(#REF!,-1,0))</f>
        <v>#REF!</v>
      </c>
      <c r="AA18" s="39" t="e">
        <f ca="1">OFFSET(#REF!,-1,0)+OFFSET(#REF!,-1,0) - SUM(#REF!,#REF!) -#REF! + SUM(#REF!) -#REF!</f>
        <v>#REF!</v>
      </c>
      <c r="AB18" s="133"/>
      <c r="AC18" s="132" t="e">
        <f>(#REF!+#REF!)/(#REF!-#REF!*20)</f>
        <v>#REF!</v>
      </c>
      <c r="AD18" s="130"/>
      <c r="AE18" s="236" t="e">
        <f>#REF!</f>
        <v>#REF!</v>
      </c>
      <c r="AF18" s="131" t="e">
        <f>#REF!</f>
        <v>#REF!</v>
      </c>
      <c r="AG18" s="164"/>
      <c r="AH18" s="164"/>
      <c r="AI18" s="164"/>
      <c r="AJ18" s="164"/>
      <c r="AK18" s="164"/>
      <c r="AL18" s="164"/>
      <c r="AM18" s="164"/>
      <c r="AN18" s="164"/>
      <c r="AO18" s="134"/>
      <c r="AP18" s="39" t="e">
        <f>#REF!</f>
        <v>#REF!</v>
      </c>
      <c r="AQ18" s="39" t="e">
        <f>INDEX(#REF!:#REF!,COUNTA(#REF!:#REF!),MATCH(Military!$AQ$2,#REF!,0))</f>
        <v>#REF!</v>
      </c>
      <c r="AR18" s="39" t="e">
        <f>#REF!*#REF!+#REF!*#REF!+#REF!*#REF!+#REF!*#REF!+#REF!*#REF!+#REF!*#REF!+#REF!*#REF!</f>
        <v>#REF!</v>
      </c>
      <c r="AS18" s="39" t="e">
        <f>#REF!*#REF!+#REF!*#REF!+#REF!*#REF!+#REF!*#REF!</f>
        <v>#REF!</v>
      </c>
      <c r="AT18" s="134" t="e">
        <f>#REF!</f>
        <v>#REF!</v>
      </c>
      <c r="AU18" s="143" t="e">
        <f>#REF!</f>
        <v>#REF!</v>
      </c>
      <c r="AV18" s="39" t="e">
        <f>#REF!</f>
        <v>#REF!</v>
      </c>
      <c r="AW18" s="164"/>
      <c r="AX18" s="164"/>
      <c r="AY18" s="164"/>
      <c r="AZ18" s="164"/>
      <c r="BA18" s="164"/>
      <c r="BB18" s="164"/>
      <c r="BC18" s="164"/>
      <c r="BD18" s="164"/>
      <c r="BE18" s="164"/>
      <c r="BF18" s="134"/>
      <c r="BG18" s="132" t="e">
        <f>#REF!/#REF!</f>
        <v>#REF!</v>
      </c>
      <c r="BH18" s="132" t="e">
        <f>#REF!/#REF!</f>
        <v>#REF!</v>
      </c>
      <c r="BI18" s="39" t="e">
        <f>ROUNDUP((1-MIN(#REF!*smithy_bonus,smithy_bonus_cap) + tech_3_5*#REF! + tech_5_3*#REF! + tech_5_5*#REF!)*spec_op_plat,0)</f>
        <v>#REF!</v>
      </c>
      <c r="BJ18" s="39" t="e">
        <f>ROUNDUP(IF(race="Gnome",1,(1-MIN(#REF!*smithy_bonus,smithy_bonus_cap) + tech_3_5*#REF! + tech_5_3*#REF! + tech_5_5*#REF!))*spec_op_ore,0)</f>
        <v>#REF!</v>
      </c>
      <c r="BK18" s="39" t="e">
        <f>ROUNDUP((1-MIN(#REF!*smithy_bonus,smithy_bonus_cap) + tech_3_5*#REF! + tech_5_3*#REF! + tech_5_5*#REF!)*spec_dp_plat,0)</f>
        <v>#REF!</v>
      </c>
      <c r="BL18" s="39" t="e">
        <f>ROUNDUP(IF(race="Gnome",1,(1-MIN(#REF!*smithy_bonus,smithy_bonus_cap) + tech_3_5*#REF! + tech_5_3*#REF! + tech_5_5*#REF!))*spec_dp_ore,0)</f>
        <v>#REF!</v>
      </c>
      <c r="BM18" s="39" t="e">
        <f>ROUNDUP((1-MIN(#REF!*smithy_bonus,smithy_bonus_cap) + tech_3_5*#REF! + tech_5_3*#REF! + tech_5_5*#REF!)*elite1_plat,0)</f>
        <v>#REF!</v>
      </c>
      <c r="BN18" s="39" t="e">
        <f>ROUNDUP(IF(race="Gnome",1,(1-MIN(#REF!*smithy_bonus,smithy_bonus_cap) + tech_3_5*#REF! + tech_5_3*#REF! + tech_5_5*#REF!))*elite1_ore,0)</f>
        <v>#REF!</v>
      </c>
      <c r="BO18" s="39" t="e">
        <f>ROUNDUP((1-MIN(#REF!*smithy_bonus,smithy_bonus_cap) + tech_3_5*#REF! + tech_5_3*#REF! + tech_5_5*#REF!)*elite2_plat,0)</f>
        <v>#REF!</v>
      </c>
      <c r="BP18" s="39" t="e">
        <f>ROUNDUP(IF(race="Gnome",1,(1-MIN(#REF!*smithy_bonus,smithy_bonus_cap) + tech_3_5*#REF! + tech_5_3*#REF! + tech_5_5*#REF!))*elite2_ore,0)</f>
        <v>#REF!</v>
      </c>
      <c r="BQ18" s="39" t="e">
        <f>ROUNDUP((1-MIN(ROUND(fh_spy_cost_red*#REF!,4),fh_spy_cost_cap)+ tech_1_9*#REF! + tech_9_1*#REF!)*spy_plat,0)</f>
        <v>#REF!</v>
      </c>
      <c r="BR18" s="39" t="e">
        <f>ROUNDUP((1-MIN(ROUND(fh_spy_cost_red*#REF!,4),fh_spy_cost_cap)+ tech_1_9*#REF! + tech_9_1*#REF!)*archspy_plat,0)</f>
        <v>#REF!</v>
      </c>
      <c r="BS18" s="39" t="e">
        <f>ROUNDUP((1-MIN(ROUND(wg_wiz_cost_bonus*#REF!,4),wg_wiz_cost_cap) + tech_1_9_2*#REF! + tech_9_1_2*#REF!)*wizard_plat,0)</f>
        <v>#REF!</v>
      </c>
      <c r="BT18" s="39" t="e">
        <f>ROUNDUP((1-MIN(ROUND(wg_wiz_cost_bonus*#REF!,4),wg_wiz_cost_cap) + tech_1_9_2*#REF! + tech_9_1_2*#REF!)*archmage_plat,0)</f>
        <v>#REF!</v>
      </c>
      <c r="BU18" s="134"/>
      <c r="BV18" s="132" t="e">
        <f>#REF!/#REF!</f>
        <v>#REF!</v>
      </c>
      <c r="BW18" s="132" t="e">
        <f>#REF!</f>
        <v>#REF!</v>
      </c>
      <c r="BX18" s="241" t="e">
        <f>IF(mystic_cap="none",#REF!/mystic_bonus,MIN(mystic_cap,#REF!/mystic_bonus))</f>
        <v>#REF!</v>
      </c>
      <c r="BY18" s="241" t="e">
        <f>IF(druid_op_cap="none",#REF!/druid_op_bonus,MIN(druid_op_cap,#REF!/druid_op_bonus))</f>
        <v>#REF!</v>
      </c>
      <c r="BZ18" s="241" t="e">
        <f>IF(druid_dp_cap="none",#REF!/druid_dp_bonus,MIN(druid_dp_cap,#REF!/druid_dp_bonus))</f>
        <v>#REF!</v>
      </c>
      <c r="CA18" s="241" t="e">
        <f>MIN(dryad_cap,#REF!/dryad_bonus)</f>
        <v>#REF!</v>
      </c>
      <c r="CB18" s="241" t="e">
        <f>MIN(rocka_cap,#REF!/rocka_bonus)</f>
        <v>#REF!</v>
      </c>
      <c r="CC18" s="241" t="e">
        <f>MIN(adept_op_cap,#REF!/adept_op_bonus)</f>
        <v>#REF!</v>
      </c>
      <c r="CD18" s="241" t="e">
        <f>MIN(adept_dp_cap,#REF!/adept_dp_bonus)</f>
        <v>#REF!</v>
      </c>
      <c r="CE18" s="39" t="e">
        <f>MIN(#REF!,#REF!)*2</f>
        <v>#REF!</v>
      </c>
      <c r="CF18" s="39" t="e">
        <f>MIN(#REF!,#REF!)*2</f>
        <v>#REF!</v>
      </c>
      <c r="CG18" s="241" t="e">
        <f>MIN(frost_mage_cap,#REF!/frost_mage_bonus)</f>
        <v>#REF!</v>
      </c>
      <c r="CH18" s="3" t="e">
        <f>MIN(ice_elem_cap,#REF!*ice_elem_bonus)</f>
        <v>#REF!</v>
      </c>
      <c r="CI18" s="241">
        <f t="shared" si="0"/>
        <v>0.83333333333333337</v>
      </c>
      <c r="CJ18" s="241" t="e">
        <f>MIN(nox_nightshade_cap,#REF!/#REF!/nox_nightshade_swamp_bonus)</f>
        <v>#REF!</v>
      </c>
      <c r="CK18" s="242" t="s">
        <v>521</v>
      </c>
      <c r="CL18" s="242">
        <f>VLOOKUP(Overview!$A24,Races!$D$4:$H$116,2,FALSE)</f>
        <v>2</v>
      </c>
      <c r="CM18" s="242"/>
      <c r="CN18" s="241" t="e">
        <f>MIN(6,#REF!+Races!$F$19)*1.8 +  IF(#REF!+Races!$F$19&gt;6,(#REF!+Races!$F$19-6)*0.2,0) - Races!$I$19</f>
        <v>#REF!</v>
      </c>
      <c r="CO18" s="241" t="e">
        <f>1.8 * MIN(MAX(#REF!+Races!$E$20,#REF!+Races!$F$20),6)  +  0.45 * MIN(MIN(#REF!+Races!$E$20,#REF!+Races!$F$20),6)  +  0.2 * ( MAX(#REF!+Races!$E$20-6,0) + MAX(#REF!+Races!$F$20-6,0) )  -  Races!$I$20</f>
        <v>#REF!</v>
      </c>
      <c r="CP18" s="39" t="e">
        <f>#REF!*#REF!+#REF!*#REF!</f>
        <v>#REF!</v>
      </c>
      <c r="CQ18" s="145" t="e">
        <f>MIN(6,#REF!+Races!$F$35)*1.8 +  IF(#REF!+Races!$F$35&gt;6,(#REF!+Races!$F$35-6)*0.2,0) - Races!$I$19</f>
        <v>#REF!</v>
      </c>
      <c r="CR18" s="39" t="e">
        <f>sylvan*(#REF!*#REF!)</f>
        <v>#REF!</v>
      </c>
      <c r="CS18" s="145" t="e">
        <f>1.8 * MIN(MAX(Races!$E$27,#REF!+Races!$F$27),6)  +  0.45 * MIN(MIN(Races!$E$27,#REF!+Races!$F$27),6)  +  0.2 * ( MAX(Races!$E$27-6,0) + MAX(#REF!+Races!$F$27-6,0) )  -  Races!$I$20</f>
        <v>#REF!</v>
      </c>
      <c r="CT18" s="39" t="e">
        <f>gnome*(#REF!*#REF!)</f>
        <v>#REF!</v>
      </c>
      <c r="CU18" s="145" t="e">
        <f>1.8 * MIN(MAX(#REF!+Races!$E$47,#REF!+Races!$F$47),6)  +  0.45 * MIN(MIN(#REF!+Races!$E$47,#REF!+Races!$F$47),6)  +  0.2 * ( MAX(#REF!+Races!$E$47-6,0) + MAX(#REF!+Races!$F$47-6,0) )  -  Races!$I$47</f>
        <v>#REF!</v>
      </c>
      <c r="CV18" s="39" t="e">
        <f>dark_elf*(#REF!*#REF!)</f>
        <v>#REF!</v>
      </c>
      <c r="CW18" s="145" t="e">
        <f>1.8 * MIN(MAX(#REF!+Races!$F$71,Races!$E$71),6)  +  0.45 * MIN(MIN(#REF!+Races!$F$71,Races!$E$71),6)  +  0.2 * ( MAX(#REF!+Races!$F$71-6,0) + MAX(Races!$E$71-6,0) )  -  Races!$I$71</f>
        <v>#REF!</v>
      </c>
      <c r="CX18" s="145" t="e">
        <f>1.8 * MIN(MAX(#REF!+Races!$E$71,Races!$F$71),6)  +  0.45 * MIN(MIN(#REF!+Races!$E$71,Races!$F$71),6)  +  0.2 * ( MAX(#REF!+Races!$E$71-6,0) + MAX(Races!$F$71-6,0) )  -  Races!$I$71</f>
        <v>#REF!</v>
      </c>
      <c r="CY18" s="39" t="e">
        <f>#REF!*#REF!+#REF!*#REF!</f>
        <v>#REF!</v>
      </c>
      <c r="CZ18" s="243"/>
      <c r="DA18" s="135" t="e">
        <f>MIN(SUM(#REF!)/#REF!/favorable_terrain_bonus/100,favorable_terrain_max)</f>
        <v>#REF!</v>
      </c>
      <c r="DB18" s="243"/>
      <c r="DC18"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8" s="134"/>
      <c r="DE18" s="244" t="e">
        <f>(#REF!+2*#REF!)/#REF!</f>
        <v>#REF!</v>
      </c>
      <c r="DF18" s="244" t="e">
        <f>#REF!*(1+race_wizard_strength+IF(#REF!&gt;72,tech_magical_weaponry_wiz*#REF!,0))</f>
        <v>#REF!</v>
      </c>
    </row>
    <row r="19" spans="1:110" x14ac:dyDescent="0.25">
      <c r="A19" s="130" t="e">
        <f>#REF!</f>
        <v>#REF!</v>
      </c>
      <c r="B19" s="236" t="e">
        <f ca="1">SUM(#REF!)+SUM(OFFSET(#REF!,-8,0):#REF!) + SUM(OFFSET(#REF!,-11,0):#REF!) +#REF!</f>
        <v>#REF!</v>
      </c>
      <c r="C19" s="132" t="e">
        <f>#REF!</f>
        <v>#REF!</v>
      </c>
      <c r="D19" s="134"/>
      <c r="E19" s="3" t="e">
        <f ca="1">OFFSET(#REF!,-1,0) + OFFSET(#REF!,-9,0) -#REF!</f>
        <v>#REF!</v>
      </c>
      <c r="F19" s="3" t="e">
        <f ca="1">OFFSET(#REF!,-1,0) + OFFSET(#REF!,-9,0)-#REF!</f>
        <v>#REF!</v>
      </c>
      <c r="G19" s="3" t="e">
        <f ca="1">OFFSET(#REF!,-1,0) + OFFSET(#REF!,-12,0)-#REF!</f>
        <v>#REF!</v>
      </c>
      <c r="H19" s="3" t="e">
        <f ca="1">OFFSET(#REF!,-1,0) + OFFSET(#REF!,-12,0)-#REF!</f>
        <v>#REF!</v>
      </c>
      <c r="I19" s="3" t="e">
        <f ca="1">OFFSET(#REF!,-1,0) + OFFSET(#REF!,-12,0) -#REF!-#REF!</f>
        <v>#REF!</v>
      </c>
      <c r="J19" s="3" t="e">
        <f ca="1">OFFSET(#REF!,-1,0) + OFFSET(#REF!,-12,0) -#REF!</f>
        <v>#REF!</v>
      </c>
      <c r="K19" s="3" t="e">
        <f ca="1">OFFSET(#REF!,-1,0) + OFFSET(#REF!,-12,0) -#REF!-#REF!</f>
        <v>#REF!</v>
      </c>
      <c r="L19" s="3" t="e">
        <f ca="1">OFFSET(#REF!,-1,0) + OFFSET(#REF!,-12,0) -#REF!</f>
        <v>#REF!</v>
      </c>
      <c r="M19" s="134"/>
      <c r="N19" s="39" t="e">
        <f>#REF!</f>
        <v>#REF!</v>
      </c>
      <c r="O19" s="134"/>
      <c r="P19" s="237" t="e">
        <f>#REF!*spec_op+#REF!*(elite1_base_op)+#REF!*(elite2_base_op+dark_elf*#REF!+icekin*#REF!+woodie*#REF!+orc*#REF!)+kobold*#REF!</f>
        <v>#REF!</v>
      </c>
      <c r="Q19" s="132" t="e">
        <f>race_offense+#REF!+ROUND(MIN(gn_bonus*#REF!/#REF!,gn_bonus_cap),4)+MAX(IF(#REF!&gt;0,warsong_bonus),IF(#REF!&gt;0,howling_op_bonus),IF(#REF!&gt;0,nightfall_bonus),IF(#REF!&gt;0,#REF!)) +#REF!/ 100*prestige_offense_bonus + tech_5_4*#REF! + tech_7_4*#REF!</f>
        <v>#REF!</v>
      </c>
      <c r="R19" s="237" t="e">
        <f>#REF!*(1+#REF!)</f>
        <v>#REF!</v>
      </c>
      <c r="S19" s="237" t="e">
        <f>#REF!*spec_dp+#REF!*(elite1_base_dp+woodie*#REF!+sylvan*#REF!+gnome*#REF!+icekin*#REF!+nox*#REF!)+#REF!*(elite2_base_dp+woodie*#REF!) + fh_peas_dp*MIN(#REF!,20*#REF!)+kobold*#REF!</f>
        <v>#REF!</v>
      </c>
      <c r="T19" s="237" t="e">
        <f>#REF!+#REF!</f>
        <v>#REF!</v>
      </c>
      <c r="U19" s="238" t="e">
        <f>race_defense +#REF! + ROUND( MIN(gt_bonus*#REF!/#REF!,gt_bonus_cap), 4) + IF(#REF!&gt;0,howling_dp_bonus,IF(#REF!&gt;0,ares_call_bonus))</f>
        <v>#REF!</v>
      </c>
      <c r="V19" s="239" t="e">
        <f>#REF! * (1 +#REF!)</f>
        <v>#REF!</v>
      </c>
      <c r="W19" s="237" t="e">
        <f>#REF! * (1 +#REF!)</f>
        <v>#REF!</v>
      </c>
      <c r="X19" s="237" t="e">
        <f>#REF!</f>
        <v>#REF!</v>
      </c>
      <c r="Y19" s="240"/>
      <c r="Z19" s="135" t="e">
        <f ca="1">IF(#REF!&lt;&gt;"",#REF!,OFFSET(#REF!,-1,0))</f>
        <v>#REF!</v>
      </c>
      <c r="AA19" s="39" t="e">
        <f ca="1">OFFSET(#REF!,-1,0)+OFFSET(#REF!,-1,0) - SUM(#REF!,#REF!) -#REF! + SUM(#REF!) -#REF!</f>
        <v>#REF!</v>
      </c>
      <c r="AB19" s="133"/>
      <c r="AC19" s="132" t="e">
        <f>(#REF!+#REF!)/(#REF!-#REF!*20)</f>
        <v>#REF!</v>
      </c>
      <c r="AD19" s="130"/>
      <c r="AE19" s="236" t="e">
        <f>#REF!</f>
        <v>#REF!</v>
      </c>
      <c r="AF19" s="131" t="e">
        <f>#REF!</f>
        <v>#REF!</v>
      </c>
      <c r="AG19" s="164"/>
      <c r="AH19" s="164"/>
      <c r="AI19" s="164"/>
      <c r="AJ19" s="164"/>
      <c r="AK19" s="164"/>
      <c r="AL19" s="164"/>
      <c r="AM19" s="164"/>
      <c r="AN19" s="164"/>
      <c r="AO19" s="134"/>
      <c r="AP19" s="39" t="e">
        <f>#REF!</f>
        <v>#REF!</v>
      </c>
      <c r="AQ19" s="39" t="e">
        <f>INDEX(#REF!:#REF!,COUNTA(#REF!:#REF!),MATCH(Military!$AQ$2,#REF!,0))</f>
        <v>#REF!</v>
      </c>
      <c r="AR19" s="39" t="e">
        <f>#REF!*#REF!+#REF!*#REF!+#REF!*#REF!+#REF!*#REF!+#REF!*#REF!+#REF!*#REF!+#REF!*#REF!</f>
        <v>#REF!</v>
      </c>
      <c r="AS19" s="39" t="e">
        <f>#REF!*#REF!+#REF!*#REF!+#REF!*#REF!+#REF!*#REF!</f>
        <v>#REF!</v>
      </c>
      <c r="AT19" s="134" t="e">
        <f>#REF!</f>
        <v>#REF!</v>
      </c>
      <c r="AU19" s="143" t="e">
        <f>#REF!</f>
        <v>#REF!</v>
      </c>
      <c r="AV19" s="39" t="e">
        <f>#REF!</f>
        <v>#REF!</v>
      </c>
      <c r="AW19" s="164"/>
      <c r="AX19" s="164"/>
      <c r="AY19" s="164"/>
      <c r="AZ19" s="164"/>
      <c r="BA19" s="164"/>
      <c r="BB19" s="164"/>
      <c r="BC19" s="164"/>
      <c r="BD19" s="164"/>
      <c r="BE19" s="164"/>
      <c r="BF19" s="134"/>
      <c r="BG19" s="132" t="e">
        <f>#REF!/#REF!</f>
        <v>#REF!</v>
      </c>
      <c r="BH19" s="132" t="e">
        <f>#REF!/#REF!</f>
        <v>#REF!</v>
      </c>
      <c r="BI19" s="39" t="e">
        <f>ROUNDUP((1-MIN(#REF!*smithy_bonus,smithy_bonus_cap) + tech_3_5*#REF! + tech_5_3*#REF! + tech_5_5*#REF!)*spec_op_plat,0)</f>
        <v>#REF!</v>
      </c>
      <c r="BJ19" s="39" t="e">
        <f>ROUNDUP(IF(race="Gnome",1,(1-MIN(#REF!*smithy_bonus,smithy_bonus_cap) + tech_3_5*#REF! + tech_5_3*#REF! + tech_5_5*#REF!))*spec_op_ore,0)</f>
        <v>#REF!</v>
      </c>
      <c r="BK19" s="39" t="e">
        <f>ROUNDUP((1-MIN(#REF!*smithy_bonus,smithy_bonus_cap) + tech_3_5*#REF! + tech_5_3*#REF! + tech_5_5*#REF!)*spec_dp_plat,0)</f>
        <v>#REF!</v>
      </c>
      <c r="BL19" s="39" t="e">
        <f>ROUNDUP(IF(race="Gnome",1,(1-MIN(#REF!*smithy_bonus,smithy_bonus_cap) + tech_3_5*#REF! + tech_5_3*#REF! + tech_5_5*#REF!))*spec_dp_ore,0)</f>
        <v>#REF!</v>
      </c>
      <c r="BM19" s="39" t="e">
        <f>ROUNDUP((1-MIN(#REF!*smithy_bonus,smithy_bonus_cap) + tech_3_5*#REF! + tech_5_3*#REF! + tech_5_5*#REF!)*elite1_plat,0)</f>
        <v>#REF!</v>
      </c>
      <c r="BN19" s="39" t="e">
        <f>ROUNDUP(IF(race="Gnome",1,(1-MIN(#REF!*smithy_bonus,smithy_bonus_cap) + tech_3_5*#REF! + tech_5_3*#REF! + tech_5_5*#REF!))*elite1_ore,0)</f>
        <v>#REF!</v>
      </c>
      <c r="BO19" s="39" t="e">
        <f>ROUNDUP((1-MIN(#REF!*smithy_bonus,smithy_bonus_cap) + tech_3_5*#REF! + tech_5_3*#REF! + tech_5_5*#REF!)*elite2_plat,0)</f>
        <v>#REF!</v>
      </c>
      <c r="BP19" s="39" t="e">
        <f>ROUNDUP(IF(race="Gnome",1,(1-MIN(#REF!*smithy_bonus,smithy_bonus_cap) + tech_3_5*#REF! + tech_5_3*#REF! + tech_5_5*#REF!))*elite2_ore,0)</f>
        <v>#REF!</v>
      </c>
      <c r="BQ19" s="39" t="e">
        <f>ROUNDUP((1-MIN(ROUND(fh_spy_cost_red*#REF!,4),fh_spy_cost_cap)+ tech_1_9*#REF! + tech_9_1*#REF!)*spy_plat,0)</f>
        <v>#REF!</v>
      </c>
      <c r="BR19" s="39" t="e">
        <f>ROUNDUP((1-MIN(ROUND(fh_spy_cost_red*#REF!,4),fh_spy_cost_cap)+ tech_1_9*#REF! + tech_9_1*#REF!)*archspy_plat,0)</f>
        <v>#REF!</v>
      </c>
      <c r="BS19" s="39" t="e">
        <f>ROUNDUP((1-MIN(ROUND(wg_wiz_cost_bonus*#REF!,4),wg_wiz_cost_cap) + tech_1_9_2*#REF! + tech_9_1_2*#REF!)*wizard_plat,0)</f>
        <v>#REF!</v>
      </c>
      <c r="BT19" s="39" t="e">
        <f>ROUNDUP((1-MIN(ROUND(wg_wiz_cost_bonus*#REF!,4),wg_wiz_cost_cap) + tech_1_9_2*#REF! + tech_9_1_2*#REF!)*archmage_plat,0)</f>
        <v>#REF!</v>
      </c>
      <c r="BU19" s="134"/>
      <c r="BV19" s="132" t="e">
        <f>#REF!/#REF!</f>
        <v>#REF!</v>
      </c>
      <c r="BW19" s="132" t="e">
        <f>#REF!</f>
        <v>#REF!</v>
      </c>
      <c r="BX19" s="241" t="e">
        <f>IF(mystic_cap="none",#REF!/mystic_bonus,MIN(mystic_cap,#REF!/mystic_bonus))</f>
        <v>#REF!</v>
      </c>
      <c r="BY19" s="241" t="e">
        <f>IF(druid_op_cap="none",#REF!/druid_op_bonus,MIN(druid_op_cap,#REF!/druid_op_bonus))</f>
        <v>#REF!</v>
      </c>
      <c r="BZ19" s="241" t="e">
        <f>IF(druid_dp_cap="none",#REF!/druid_dp_bonus,MIN(druid_dp_cap,#REF!/druid_dp_bonus))</f>
        <v>#REF!</v>
      </c>
      <c r="CA19" s="241" t="e">
        <f>MIN(dryad_cap,#REF!/dryad_bonus)</f>
        <v>#REF!</v>
      </c>
      <c r="CB19" s="241" t="e">
        <f>MIN(rocka_cap,#REF!/rocka_bonus)</f>
        <v>#REF!</v>
      </c>
      <c r="CC19" s="241" t="e">
        <f>MIN(adept_op_cap,#REF!/adept_op_bonus)</f>
        <v>#REF!</v>
      </c>
      <c r="CD19" s="241" t="e">
        <f>MIN(adept_dp_cap,#REF!/adept_dp_bonus)</f>
        <v>#REF!</v>
      </c>
      <c r="CE19" s="39" t="e">
        <f>MIN(#REF!,#REF!)*2</f>
        <v>#REF!</v>
      </c>
      <c r="CF19" s="39" t="e">
        <f>MIN(#REF!,#REF!)*2</f>
        <v>#REF!</v>
      </c>
      <c r="CG19" s="241" t="e">
        <f>MIN(frost_mage_cap,#REF!/frost_mage_bonus)</f>
        <v>#REF!</v>
      </c>
      <c r="CH19" s="3" t="e">
        <f>MIN(ice_elem_cap,#REF!*ice_elem_bonus)</f>
        <v>#REF!</v>
      </c>
      <c r="CI19" s="241">
        <f t="shared" si="0"/>
        <v>0.83333333333333337</v>
      </c>
      <c r="CJ19" s="241" t="e">
        <f>MIN(nox_nightshade_cap,#REF!/#REF!/nox_nightshade_swamp_bonus)</f>
        <v>#REF!</v>
      </c>
      <c r="CK19" s="242" t="s">
        <v>522</v>
      </c>
      <c r="CL19" s="242">
        <f>VLOOKUP(Overview!$A24,Races!$D$4:$H$116,3,FALSE)</f>
        <v>6</v>
      </c>
      <c r="CM19" s="242"/>
      <c r="CN19" s="241" t="e">
        <f>MIN(6,#REF!+Races!$F$19)*1.8 +  IF(#REF!+Races!$F$19&gt;6,(#REF!+Races!$F$19-6)*0.2,0) - Races!$I$19</f>
        <v>#REF!</v>
      </c>
      <c r="CO19" s="241" t="e">
        <f>1.8 * MIN(MAX(#REF!+Races!$E$20,#REF!+Races!$F$20),6)  +  0.45 * MIN(MIN(#REF!+Races!$E$20,#REF!+Races!$F$20),6)  +  0.2 * ( MAX(#REF!+Races!$E$20-6,0) + MAX(#REF!+Races!$F$20-6,0) )  -  Races!$I$20</f>
        <v>#REF!</v>
      </c>
      <c r="CP19" s="39" t="e">
        <f>#REF!*#REF!+#REF!*#REF!</f>
        <v>#REF!</v>
      </c>
      <c r="CQ19" s="145" t="e">
        <f>MIN(6,#REF!+Races!$F$35)*1.8 +  IF(#REF!+Races!$F$35&gt;6,(#REF!+Races!$F$35-6)*0.2,0) - Races!$I$19</f>
        <v>#REF!</v>
      </c>
      <c r="CR19" s="39" t="e">
        <f>sylvan*(#REF!*#REF!)</f>
        <v>#REF!</v>
      </c>
      <c r="CS19" s="145" t="e">
        <f>1.8 * MIN(MAX(Races!$E$27,#REF!+Races!$F$27),6)  +  0.45 * MIN(MIN(Races!$E$27,#REF!+Races!$F$27),6)  +  0.2 * ( MAX(Races!$E$27-6,0) + MAX(#REF!+Races!$F$27-6,0) )  -  Races!$I$20</f>
        <v>#REF!</v>
      </c>
      <c r="CT19" s="39" t="e">
        <f>gnome*(#REF!*#REF!)</f>
        <v>#REF!</v>
      </c>
      <c r="CU19" s="145" t="e">
        <f>1.8 * MIN(MAX(#REF!+Races!$E$47,#REF!+Races!$F$47),6)  +  0.45 * MIN(MIN(#REF!+Races!$E$47,#REF!+Races!$F$47),6)  +  0.2 * ( MAX(#REF!+Races!$E$47-6,0) + MAX(#REF!+Races!$F$47-6,0) )  -  Races!$I$47</f>
        <v>#REF!</v>
      </c>
      <c r="CV19" s="39" t="e">
        <f>dark_elf*(#REF!*#REF!)</f>
        <v>#REF!</v>
      </c>
      <c r="CW19" s="145" t="e">
        <f>1.8 * MIN(MAX(#REF!+Races!$F$71,Races!$E$71),6)  +  0.45 * MIN(MIN(#REF!+Races!$F$71,Races!$E$71),6)  +  0.2 * ( MAX(#REF!+Races!$F$71-6,0) + MAX(Races!$E$71-6,0) )  -  Races!$I$71</f>
        <v>#REF!</v>
      </c>
      <c r="CX19" s="145" t="e">
        <f>1.8 * MIN(MAX(#REF!+Races!$E$71,Races!$F$71),6)  +  0.45 * MIN(MIN(#REF!+Races!$E$71,Races!$F$71),6)  +  0.2 * ( MAX(#REF!+Races!$E$71-6,0) + MAX(Races!$F$71-6,0) )  -  Races!$I$71</f>
        <v>#REF!</v>
      </c>
      <c r="CY19" s="39" t="e">
        <f>#REF!*#REF!+#REF!*#REF!</f>
        <v>#REF!</v>
      </c>
      <c r="CZ19" s="243"/>
      <c r="DA19" s="135" t="e">
        <f>MIN(SUM(#REF!)/#REF!/favorable_terrain_bonus/100,favorable_terrain_max)</f>
        <v>#REF!</v>
      </c>
      <c r="DB19" s="243"/>
      <c r="DC19"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9" s="134"/>
      <c r="DE19" s="244" t="e">
        <f>(#REF!+2*#REF!)/#REF!</f>
        <v>#REF!</v>
      </c>
      <c r="DF19" s="244" t="e">
        <f>#REF!*(1+race_wizard_strength+IF(#REF!&gt;72,tech_magical_weaponry_wiz*#REF!,0))</f>
        <v>#REF!</v>
      </c>
    </row>
    <row r="20" spans="1:110" x14ac:dyDescent="0.25">
      <c r="A20" s="130" t="e">
        <f>#REF!</f>
        <v>#REF!</v>
      </c>
      <c r="B20" s="236" t="e">
        <f ca="1">SUM(#REF!)+SUM(OFFSET(#REF!,-8,0):#REF!) + SUM(OFFSET(#REF!,-11,0):#REF!) +#REF!</f>
        <v>#REF!</v>
      </c>
      <c r="C20" s="132" t="e">
        <f>#REF!</f>
        <v>#REF!</v>
      </c>
      <c r="D20" s="134"/>
      <c r="E20" s="3" t="e">
        <f ca="1">OFFSET(#REF!,-1,0) + OFFSET(#REF!,-9,0) -#REF!</f>
        <v>#REF!</v>
      </c>
      <c r="F20" s="3" t="e">
        <f ca="1">OFFSET(#REF!,-1,0) + OFFSET(#REF!,-9,0)-#REF!</f>
        <v>#REF!</v>
      </c>
      <c r="G20" s="3" t="e">
        <f ca="1">OFFSET(#REF!,-1,0) + OFFSET(#REF!,-12,0)-#REF!</f>
        <v>#REF!</v>
      </c>
      <c r="H20" s="3" t="e">
        <f ca="1">OFFSET(#REF!,-1,0) + OFFSET(#REF!,-12,0)-#REF!</f>
        <v>#REF!</v>
      </c>
      <c r="I20" s="3" t="e">
        <f ca="1">OFFSET(#REF!,-1,0) + OFFSET(#REF!,-12,0) -#REF!-#REF!</f>
        <v>#REF!</v>
      </c>
      <c r="J20" s="3" t="e">
        <f ca="1">OFFSET(#REF!,-1,0) + OFFSET(#REF!,-12,0) -#REF!</f>
        <v>#REF!</v>
      </c>
      <c r="K20" s="3" t="e">
        <f ca="1">OFFSET(#REF!,-1,0) + OFFSET(#REF!,-12,0) -#REF!-#REF!</f>
        <v>#REF!</v>
      </c>
      <c r="L20" s="3" t="e">
        <f ca="1">OFFSET(#REF!,-1,0) + OFFSET(#REF!,-12,0) -#REF!</f>
        <v>#REF!</v>
      </c>
      <c r="M20" s="134"/>
      <c r="N20" s="39" t="e">
        <f>#REF!</f>
        <v>#REF!</v>
      </c>
      <c r="O20" s="134"/>
      <c r="P20" s="237" t="e">
        <f>#REF!*spec_op+#REF!*(elite1_base_op)+#REF!*(elite2_base_op+dark_elf*#REF!+icekin*#REF!+woodie*#REF!+orc*#REF!)+kobold*#REF!</f>
        <v>#REF!</v>
      </c>
      <c r="Q20" s="132" t="e">
        <f>race_offense+#REF!+ROUND(MIN(gn_bonus*#REF!/#REF!,gn_bonus_cap),4)+MAX(IF(#REF!&gt;0,warsong_bonus),IF(#REF!&gt;0,howling_op_bonus),IF(#REF!&gt;0,nightfall_bonus),IF(#REF!&gt;0,#REF!)) +#REF!/ 100*prestige_offense_bonus + tech_5_4*#REF! + tech_7_4*#REF!</f>
        <v>#REF!</v>
      </c>
      <c r="R20" s="237" t="e">
        <f>#REF!*(1+#REF!)</f>
        <v>#REF!</v>
      </c>
      <c r="S20" s="237" t="e">
        <f>#REF!*spec_dp+#REF!*(elite1_base_dp+woodie*#REF!+sylvan*#REF!+gnome*#REF!+icekin*#REF!+nox*#REF!)+#REF!*(elite2_base_dp+woodie*#REF!) + fh_peas_dp*MIN(#REF!,20*#REF!)+kobold*#REF!</f>
        <v>#REF!</v>
      </c>
      <c r="T20" s="237" t="e">
        <f>#REF!+#REF!</f>
        <v>#REF!</v>
      </c>
      <c r="U20" s="238" t="e">
        <f>race_defense +#REF! + ROUND( MIN(gt_bonus*#REF!/#REF!,gt_bonus_cap), 4) + IF(#REF!&gt;0,howling_dp_bonus,IF(#REF!&gt;0,ares_call_bonus))</f>
        <v>#REF!</v>
      </c>
      <c r="V20" s="239" t="e">
        <f>#REF! * (1 +#REF!)</f>
        <v>#REF!</v>
      </c>
      <c r="W20" s="237" t="e">
        <f>#REF! * (1 +#REF!)</f>
        <v>#REF!</v>
      </c>
      <c r="X20" s="237" t="e">
        <f>#REF!</f>
        <v>#REF!</v>
      </c>
      <c r="Y20" s="240"/>
      <c r="Z20" s="135" t="e">
        <f ca="1">IF(#REF!&lt;&gt;"",#REF!,OFFSET(#REF!,-1,0))</f>
        <v>#REF!</v>
      </c>
      <c r="AA20" s="39" t="e">
        <f ca="1">OFFSET(#REF!,-1,0)+OFFSET(#REF!,-1,0) - SUM(#REF!,#REF!) -#REF! + SUM(#REF!) -#REF!</f>
        <v>#REF!</v>
      </c>
      <c r="AB20" s="133"/>
      <c r="AC20" s="132" t="e">
        <f>(#REF!+#REF!)/(#REF!-#REF!*20)</f>
        <v>#REF!</v>
      </c>
      <c r="AD20" s="130"/>
      <c r="AE20" s="236" t="e">
        <f>#REF!</f>
        <v>#REF!</v>
      </c>
      <c r="AF20" s="131" t="e">
        <f>#REF!</f>
        <v>#REF!</v>
      </c>
      <c r="AG20" s="164"/>
      <c r="AH20" s="164"/>
      <c r="AI20" s="164"/>
      <c r="AJ20" s="164"/>
      <c r="AK20" s="164"/>
      <c r="AL20" s="164"/>
      <c r="AM20" s="164"/>
      <c r="AN20" s="164"/>
      <c r="AO20" s="134"/>
      <c r="AP20" s="39" t="e">
        <f>#REF!</f>
        <v>#REF!</v>
      </c>
      <c r="AQ20" s="39" t="e">
        <f>INDEX(#REF!:#REF!,COUNTA(#REF!:#REF!),MATCH(Military!$AQ$2,#REF!,0))</f>
        <v>#REF!</v>
      </c>
      <c r="AR20" s="39" t="e">
        <f>#REF!*#REF!+#REF!*#REF!+#REF!*#REF!+#REF!*#REF!+#REF!*#REF!+#REF!*#REF!+#REF!*#REF!</f>
        <v>#REF!</v>
      </c>
      <c r="AS20" s="39" t="e">
        <f>#REF!*#REF!+#REF!*#REF!+#REF!*#REF!+#REF!*#REF!</f>
        <v>#REF!</v>
      </c>
      <c r="AT20" s="134" t="e">
        <f>#REF!</f>
        <v>#REF!</v>
      </c>
      <c r="AU20" s="143" t="e">
        <f>#REF!</f>
        <v>#REF!</v>
      </c>
      <c r="AV20" s="39" t="e">
        <f>#REF!</f>
        <v>#REF!</v>
      </c>
      <c r="AW20" s="164"/>
      <c r="AX20" s="164"/>
      <c r="AY20" s="164"/>
      <c r="AZ20" s="164"/>
      <c r="BA20" s="164"/>
      <c r="BB20" s="164"/>
      <c r="BC20" s="164"/>
      <c r="BD20" s="164"/>
      <c r="BE20" s="164"/>
      <c r="BF20" s="134"/>
      <c r="BG20" s="132" t="e">
        <f>#REF!/#REF!</f>
        <v>#REF!</v>
      </c>
      <c r="BH20" s="132" t="e">
        <f>#REF!/#REF!</f>
        <v>#REF!</v>
      </c>
      <c r="BI20" s="39" t="e">
        <f>ROUNDUP((1-MIN(#REF!*smithy_bonus,smithy_bonus_cap) + tech_3_5*#REF! + tech_5_3*#REF! + tech_5_5*#REF!)*spec_op_plat,0)</f>
        <v>#REF!</v>
      </c>
      <c r="BJ20" s="39" t="e">
        <f>ROUNDUP(IF(race="Gnome",1,(1-MIN(#REF!*smithy_bonus,smithy_bonus_cap) + tech_3_5*#REF! + tech_5_3*#REF! + tech_5_5*#REF!))*spec_op_ore,0)</f>
        <v>#REF!</v>
      </c>
      <c r="BK20" s="39" t="e">
        <f>ROUNDUP((1-MIN(#REF!*smithy_bonus,smithy_bonus_cap) + tech_3_5*#REF! + tech_5_3*#REF! + tech_5_5*#REF!)*spec_dp_plat,0)</f>
        <v>#REF!</v>
      </c>
      <c r="BL20" s="39" t="e">
        <f>ROUNDUP(IF(race="Gnome",1,(1-MIN(#REF!*smithy_bonus,smithy_bonus_cap) + tech_3_5*#REF! + tech_5_3*#REF! + tech_5_5*#REF!))*spec_dp_ore,0)</f>
        <v>#REF!</v>
      </c>
      <c r="BM20" s="39" t="e">
        <f>ROUNDUP((1-MIN(#REF!*smithy_bonus,smithy_bonus_cap) + tech_3_5*#REF! + tech_5_3*#REF! + tech_5_5*#REF!)*elite1_plat,0)</f>
        <v>#REF!</v>
      </c>
      <c r="BN20" s="39" t="e">
        <f>ROUNDUP(IF(race="Gnome",1,(1-MIN(#REF!*smithy_bonus,smithy_bonus_cap) + tech_3_5*#REF! + tech_5_3*#REF! + tech_5_5*#REF!))*elite1_ore,0)</f>
        <v>#REF!</v>
      </c>
      <c r="BO20" s="39" t="e">
        <f>ROUNDUP((1-MIN(#REF!*smithy_bonus,smithy_bonus_cap) + tech_3_5*#REF! + tech_5_3*#REF! + tech_5_5*#REF!)*elite2_plat,0)</f>
        <v>#REF!</v>
      </c>
      <c r="BP20" s="39" t="e">
        <f>ROUNDUP(IF(race="Gnome",1,(1-MIN(#REF!*smithy_bonus,smithy_bonus_cap) + tech_3_5*#REF! + tech_5_3*#REF! + tech_5_5*#REF!))*elite2_ore,0)</f>
        <v>#REF!</v>
      </c>
      <c r="BQ20" s="39" t="e">
        <f>ROUNDUP((1-MIN(ROUND(fh_spy_cost_red*#REF!,4),fh_spy_cost_cap)+ tech_1_9*#REF! + tech_9_1*#REF!)*spy_plat,0)</f>
        <v>#REF!</v>
      </c>
      <c r="BR20" s="39" t="e">
        <f>ROUNDUP((1-MIN(ROUND(fh_spy_cost_red*#REF!,4),fh_spy_cost_cap)+ tech_1_9*#REF! + tech_9_1*#REF!)*archspy_plat,0)</f>
        <v>#REF!</v>
      </c>
      <c r="BS20" s="39" t="e">
        <f>ROUNDUP((1-MIN(ROUND(wg_wiz_cost_bonus*#REF!,4),wg_wiz_cost_cap) + tech_1_9_2*#REF! + tech_9_1_2*#REF!)*wizard_plat,0)</f>
        <v>#REF!</v>
      </c>
      <c r="BT20" s="39" t="e">
        <f>ROUNDUP((1-MIN(ROUND(wg_wiz_cost_bonus*#REF!,4),wg_wiz_cost_cap) + tech_1_9_2*#REF! + tech_9_1_2*#REF!)*archmage_plat,0)</f>
        <v>#REF!</v>
      </c>
      <c r="BU20" s="134"/>
      <c r="BV20" s="132" t="e">
        <f>#REF!/#REF!</f>
        <v>#REF!</v>
      </c>
      <c r="BW20" s="132" t="e">
        <f>#REF!</f>
        <v>#REF!</v>
      </c>
      <c r="BX20" s="241" t="e">
        <f>IF(mystic_cap="none",#REF!/mystic_bonus,MIN(mystic_cap,#REF!/mystic_bonus))</f>
        <v>#REF!</v>
      </c>
      <c r="BY20" s="241" t="e">
        <f>IF(druid_op_cap="none",#REF!/druid_op_bonus,MIN(druid_op_cap,#REF!/druid_op_bonus))</f>
        <v>#REF!</v>
      </c>
      <c r="BZ20" s="241" t="e">
        <f>IF(druid_dp_cap="none",#REF!/druid_dp_bonus,MIN(druid_dp_cap,#REF!/druid_dp_bonus))</f>
        <v>#REF!</v>
      </c>
      <c r="CA20" s="241" t="e">
        <f>MIN(dryad_cap,#REF!/dryad_bonus)</f>
        <v>#REF!</v>
      </c>
      <c r="CB20" s="241" t="e">
        <f>MIN(rocka_cap,#REF!/rocka_bonus)</f>
        <v>#REF!</v>
      </c>
      <c r="CC20" s="241" t="e">
        <f>MIN(adept_op_cap,#REF!/adept_op_bonus)</f>
        <v>#REF!</v>
      </c>
      <c r="CD20" s="241" t="e">
        <f>MIN(adept_dp_cap,#REF!/adept_dp_bonus)</f>
        <v>#REF!</v>
      </c>
      <c r="CE20" s="39" t="e">
        <f>MIN(#REF!,#REF!)*2</f>
        <v>#REF!</v>
      </c>
      <c r="CF20" s="39" t="e">
        <f>MIN(#REF!,#REF!)*2</f>
        <v>#REF!</v>
      </c>
      <c r="CG20" s="241" t="e">
        <f>MIN(frost_mage_cap,#REF!/frost_mage_bonus)</f>
        <v>#REF!</v>
      </c>
      <c r="CH20" s="3" t="e">
        <f>MIN(ice_elem_cap,#REF!*ice_elem_bonus)</f>
        <v>#REF!</v>
      </c>
      <c r="CI20" s="241">
        <f t="shared" si="0"/>
        <v>0.83333333333333337</v>
      </c>
      <c r="CJ20" s="241" t="e">
        <f>MIN(nox_nightshade_cap,#REF!/#REF!/nox_nightshade_swamp_bonus)</f>
        <v>#REF!</v>
      </c>
      <c r="CK20" s="242" t="s">
        <v>524</v>
      </c>
      <c r="CL20" s="242">
        <f>VLOOKUP(Overview!$A25,Races!$D$4:$H$116,2,FALSE)</f>
        <v>6</v>
      </c>
      <c r="CM20" s="242"/>
      <c r="CN20" s="241" t="e">
        <f>MIN(6,#REF!+Races!$F$19)*1.8 +  IF(#REF!+Races!$F$19&gt;6,(#REF!+Races!$F$19-6)*0.2,0) - Races!$I$19</f>
        <v>#REF!</v>
      </c>
      <c r="CO20" s="241" t="e">
        <f>1.8 * MIN(MAX(#REF!+Races!$E$20,#REF!+Races!$F$20),6)  +  0.45 * MIN(MIN(#REF!+Races!$E$20,#REF!+Races!$F$20),6)  +  0.2 * ( MAX(#REF!+Races!$E$20-6,0) + MAX(#REF!+Races!$F$20-6,0) )  -  Races!$I$20</f>
        <v>#REF!</v>
      </c>
      <c r="CP20" s="39" t="e">
        <f>#REF!*#REF!+#REF!*#REF!</f>
        <v>#REF!</v>
      </c>
      <c r="CQ20" s="145" t="e">
        <f>MIN(6,#REF!+Races!$F$35)*1.8 +  IF(#REF!+Races!$F$35&gt;6,(#REF!+Races!$F$35-6)*0.2,0) - Races!$I$19</f>
        <v>#REF!</v>
      </c>
      <c r="CR20" s="39" t="e">
        <f>sylvan*(#REF!*#REF!)</f>
        <v>#REF!</v>
      </c>
      <c r="CS20" s="145" t="e">
        <f>1.8 * MIN(MAX(Races!$E$27,#REF!+Races!$F$27),6)  +  0.45 * MIN(MIN(Races!$E$27,#REF!+Races!$F$27),6)  +  0.2 * ( MAX(Races!$E$27-6,0) + MAX(#REF!+Races!$F$27-6,0) )  -  Races!$I$20</f>
        <v>#REF!</v>
      </c>
      <c r="CT20" s="39" t="e">
        <f>gnome*(#REF!*#REF!)</f>
        <v>#REF!</v>
      </c>
      <c r="CU20" s="145" t="e">
        <f>1.8 * MIN(MAX(#REF!+Races!$E$47,#REF!+Races!$F$47),6)  +  0.45 * MIN(MIN(#REF!+Races!$E$47,#REF!+Races!$F$47),6)  +  0.2 * ( MAX(#REF!+Races!$E$47-6,0) + MAX(#REF!+Races!$F$47-6,0) )  -  Races!$I$47</f>
        <v>#REF!</v>
      </c>
      <c r="CV20" s="39" t="e">
        <f>dark_elf*(#REF!*#REF!)</f>
        <v>#REF!</v>
      </c>
      <c r="CW20" s="145" t="e">
        <f>1.8 * MIN(MAX(#REF!+Races!$F$71,Races!$E$71),6)  +  0.45 * MIN(MIN(#REF!+Races!$F$71,Races!$E$71),6)  +  0.2 * ( MAX(#REF!+Races!$F$71-6,0) + MAX(Races!$E$71-6,0) )  -  Races!$I$71</f>
        <v>#REF!</v>
      </c>
      <c r="CX20" s="145" t="e">
        <f>1.8 * MIN(MAX(#REF!+Races!$E$71,Races!$F$71),6)  +  0.45 * MIN(MIN(#REF!+Races!$E$71,Races!$F$71),6)  +  0.2 * ( MAX(#REF!+Races!$E$71-6,0) + MAX(Races!$F$71-6,0) )  -  Races!$I$71</f>
        <v>#REF!</v>
      </c>
      <c r="CY20" s="39" t="e">
        <f>#REF!*#REF!+#REF!*#REF!</f>
        <v>#REF!</v>
      </c>
      <c r="CZ20" s="243"/>
      <c r="DA20" s="135" t="e">
        <f>MIN(SUM(#REF!)/#REF!/favorable_terrain_bonus/100,favorable_terrain_max)</f>
        <v>#REF!</v>
      </c>
      <c r="DB20" s="243"/>
      <c r="DC20"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20" s="134"/>
      <c r="DE20" s="244" t="e">
        <f>(#REF!+2*#REF!)/#REF!</f>
        <v>#REF!</v>
      </c>
      <c r="DF20" s="244" t="e">
        <f>#REF!*(1+race_wizard_strength+IF(#REF!&gt;72,tech_magical_weaponry_wiz*#REF!,0))</f>
        <v>#REF!</v>
      </c>
    </row>
    <row r="21" spans="1:110" x14ac:dyDescent="0.25">
      <c r="A21" s="130" t="e">
        <f>#REF!</f>
        <v>#REF!</v>
      </c>
      <c r="B21" s="236" t="e">
        <f ca="1">SUM(#REF!)+SUM(OFFSET(#REF!,-8,0):#REF!) + SUM(OFFSET(#REF!,-11,0):#REF!) +#REF!</f>
        <v>#REF!</v>
      </c>
      <c r="C21" s="132" t="e">
        <f>#REF!</f>
        <v>#REF!</v>
      </c>
      <c r="D21" s="134"/>
      <c r="E21" s="3" t="e">
        <f ca="1">OFFSET(#REF!,-1,0) + OFFSET(#REF!,-9,0) -#REF!</f>
        <v>#REF!</v>
      </c>
      <c r="F21" s="3" t="e">
        <f ca="1">OFFSET(#REF!,-1,0) + OFFSET(#REF!,-9,0)-#REF!</f>
        <v>#REF!</v>
      </c>
      <c r="G21" s="3" t="e">
        <f ca="1">OFFSET(#REF!,-1,0) + OFFSET(#REF!,-12,0)-#REF!</f>
        <v>#REF!</v>
      </c>
      <c r="H21" s="3" t="e">
        <f ca="1">OFFSET(#REF!,-1,0) + OFFSET(#REF!,-12,0)-#REF!</f>
        <v>#REF!</v>
      </c>
      <c r="I21" s="3" t="e">
        <f ca="1">OFFSET(#REF!,-1,0) + OFFSET(#REF!,-12,0) -#REF!-#REF!</f>
        <v>#REF!</v>
      </c>
      <c r="J21" s="3" t="e">
        <f ca="1">OFFSET(#REF!,-1,0) + OFFSET(#REF!,-12,0) -#REF!</f>
        <v>#REF!</v>
      </c>
      <c r="K21" s="3" t="e">
        <f ca="1">OFFSET(#REF!,-1,0) + OFFSET(#REF!,-12,0) -#REF!-#REF!</f>
        <v>#REF!</v>
      </c>
      <c r="L21" s="3" t="e">
        <f ca="1">OFFSET(#REF!,-1,0) + OFFSET(#REF!,-12,0) -#REF!</f>
        <v>#REF!</v>
      </c>
      <c r="M21" s="134"/>
      <c r="N21" s="39" t="e">
        <f>#REF!</f>
        <v>#REF!</v>
      </c>
      <c r="O21" s="134"/>
      <c r="P21" s="237" t="e">
        <f>#REF!*spec_op+#REF!*(elite1_base_op)+#REF!*(elite2_base_op+dark_elf*#REF!+icekin*#REF!+woodie*#REF!+orc*#REF!)+kobold*#REF!</f>
        <v>#REF!</v>
      </c>
      <c r="Q21" s="132" t="e">
        <f>race_offense+#REF!+ROUND(MIN(gn_bonus*#REF!/#REF!,gn_bonus_cap),4)+MAX(IF(#REF!&gt;0,warsong_bonus),IF(#REF!&gt;0,howling_op_bonus),IF(#REF!&gt;0,nightfall_bonus),IF(#REF!&gt;0,#REF!)) +#REF!/ 100*prestige_offense_bonus + tech_5_4*#REF! + tech_7_4*#REF!</f>
        <v>#REF!</v>
      </c>
      <c r="R21" s="237" t="e">
        <f>#REF!*(1+#REF!)</f>
        <v>#REF!</v>
      </c>
      <c r="S21" s="237" t="e">
        <f>#REF!*spec_dp+#REF!*(elite1_base_dp+woodie*#REF!+sylvan*#REF!+gnome*#REF!+icekin*#REF!+nox*#REF!)+#REF!*(elite2_base_dp+woodie*#REF!) + fh_peas_dp*MIN(#REF!,20*#REF!)+kobold*#REF!</f>
        <v>#REF!</v>
      </c>
      <c r="T21" s="237" t="e">
        <f>#REF!+#REF!</f>
        <v>#REF!</v>
      </c>
      <c r="U21" s="238" t="e">
        <f>race_defense +#REF! + ROUND( MIN(gt_bonus*#REF!/#REF!,gt_bonus_cap), 4) + IF(#REF!&gt;0,howling_dp_bonus,IF(#REF!&gt;0,ares_call_bonus))</f>
        <v>#REF!</v>
      </c>
      <c r="V21" s="239" t="e">
        <f>#REF! * (1 +#REF!)</f>
        <v>#REF!</v>
      </c>
      <c r="W21" s="237" t="e">
        <f>#REF! * (1 +#REF!)</f>
        <v>#REF!</v>
      </c>
      <c r="X21" s="237" t="e">
        <f>#REF!</f>
        <v>#REF!</v>
      </c>
      <c r="Y21" s="240"/>
      <c r="Z21" s="135" t="e">
        <f ca="1">IF(#REF!&lt;&gt;"",#REF!,OFFSET(#REF!,-1,0))</f>
        <v>#REF!</v>
      </c>
      <c r="AA21" s="39" t="e">
        <f ca="1">OFFSET(#REF!,-1,0)+OFFSET(#REF!,-1,0) - SUM(#REF!,#REF!) -#REF! + SUM(#REF!) -#REF!</f>
        <v>#REF!</v>
      </c>
      <c r="AB21" s="133"/>
      <c r="AC21" s="132" t="e">
        <f>(#REF!+#REF!)/(#REF!-#REF!*20)</f>
        <v>#REF!</v>
      </c>
      <c r="AD21" s="130"/>
      <c r="AE21" s="236" t="e">
        <f>#REF!</f>
        <v>#REF!</v>
      </c>
      <c r="AF21" s="131" t="e">
        <f>#REF!</f>
        <v>#REF!</v>
      </c>
      <c r="AG21" s="164"/>
      <c r="AH21" s="164"/>
      <c r="AI21" s="164"/>
      <c r="AJ21" s="164"/>
      <c r="AK21" s="164"/>
      <c r="AL21" s="164"/>
      <c r="AM21" s="164"/>
      <c r="AN21" s="164"/>
      <c r="AO21" s="134"/>
      <c r="AP21" s="39" t="e">
        <f>#REF!</f>
        <v>#REF!</v>
      </c>
      <c r="AQ21" s="39" t="e">
        <f>INDEX(#REF!:#REF!,COUNTA(#REF!:#REF!),MATCH(Military!$AQ$2,#REF!,0))</f>
        <v>#REF!</v>
      </c>
      <c r="AR21" s="39" t="e">
        <f>#REF!*#REF!+#REF!*#REF!+#REF!*#REF!+#REF!*#REF!+#REF!*#REF!+#REF!*#REF!+#REF!*#REF!</f>
        <v>#REF!</v>
      </c>
      <c r="AS21" s="39" t="e">
        <f>#REF!*#REF!+#REF!*#REF!+#REF!*#REF!+#REF!*#REF!</f>
        <v>#REF!</v>
      </c>
      <c r="AT21" s="134" t="e">
        <f>#REF!</f>
        <v>#REF!</v>
      </c>
      <c r="AU21" s="143" t="e">
        <f>#REF!</f>
        <v>#REF!</v>
      </c>
      <c r="AV21" s="39" t="e">
        <f>#REF!</f>
        <v>#REF!</v>
      </c>
      <c r="AW21" s="164"/>
      <c r="AX21" s="164"/>
      <c r="AY21" s="164"/>
      <c r="AZ21" s="164"/>
      <c r="BA21" s="164"/>
      <c r="BB21" s="164"/>
      <c r="BC21" s="164"/>
      <c r="BD21" s="164"/>
      <c r="BE21" s="164"/>
      <c r="BF21" s="134"/>
      <c r="BG21" s="132" t="e">
        <f>#REF!/#REF!</f>
        <v>#REF!</v>
      </c>
      <c r="BH21" s="132" t="e">
        <f>#REF!/#REF!</f>
        <v>#REF!</v>
      </c>
      <c r="BI21" s="39" t="e">
        <f>ROUNDUP((1-MIN(#REF!*smithy_bonus,smithy_bonus_cap) + tech_3_5*#REF! + tech_5_3*#REF! + tech_5_5*#REF!)*spec_op_plat,0)</f>
        <v>#REF!</v>
      </c>
      <c r="BJ21" s="39" t="e">
        <f>ROUNDUP(IF(race="Gnome",1,(1-MIN(#REF!*smithy_bonus,smithy_bonus_cap) + tech_3_5*#REF! + tech_5_3*#REF! + tech_5_5*#REF!))*spec_op_ore,0)</f>
        <v>#REF!</v>
      </c>
      <c r="BK21" s="39" t="e">
        <f>ROUNDUP((1-MIN(#REF!*smithy_bonus,smithy_bonus_cap) + tech_3_5*#REF! + tech_5_3*#REF! + tech_5_5*#REF!)*spec_dp_plat,0)</f>
        <v>#REF!</v>
      </c>
      <c r="BL21" s="39" t="e">
        <f>ROUNDUP(IF(race="Gnome",1,(1-MIN(#REF!*smithy_bonus,smithy_bonus_cap) + tech_3_5*#REF! + tech_5_3*#REF! + tech_5_5*#REF!))*spec_dp_ore,0)</f>
        <v>#REF!</v>
      </c>
      <c r="BM21" s="39" t="e">
        <f>ROUNDUP((1-MIN(#REF!*smithy_bonus,smithy_bonus_cap) + tech_3_5*#REF! + tech_5_3*#REF! + tech_5_5*#REF!)*elite1_plat,0)</f>
        <v>#REF!</v>
      </c>
      <c r="BN21" s="39" t="e">
        <f>ROUNDUP(IF(race="Gnome",1,(1-MIN(#REF!*smithy_bonus,smithy_bonus_cap) + tech_3_5*#REF! + tech_5_3*#REF! + tech_5_5*#REF!))*elite1_ore,0)</f>
        <v>#REF!</v>
      </c>
      <c r="BO21" s="39" t="e">
        <f>ROUNDUP((1-MIN(#REF!*smithy_bonus,smithy_bonus_cap) + tech_3_5*#REF! + tech_5_3*#REF! + tech_5_5*#REF!)*elite2_plat,0)</f>
        <v>#REF!</v>
      </c>
      <c r="BP21" s="39" t="e">
        <f>ROUNDUP(IF(race="Gnome",1,(1-MIN(#REF!*smithy_bonus,smithy_bonus_cap) + tech_3_5*#REF! + tech_5_3*#REF! + tech_5_5*#REF!))*elite2_ore,0)</f>
        <v>#REF!</v>
      </c>
      <c r="BQ21" s="39" t="e">
        <f>ROUNDUP((1-MIN(ROUND(fh_spy_cost_red*#REF!,4),fh_spy_cost_cap)+ tech_1_9*#REF! + tech_9_1*#REF!)*spy_plat,0)</f>
        <v>#REF!</v>
      </c>
      <c r="BR21" s="39" t="e">
        <f>ROUNDUP((1-MIN(ROUND(fh_spy_cost_red*#REF!,4),fh_spy_cost_cap)+ tech_1_9*#REF! + tech_9_1*#REF!)*archspy_plat,0)</f>
        <v>#REF!</v>
      </c>
      <c r="BS21" s="39" t="e">
        <f>ROUNDUP((1-MIN(ROUND(wg_wiz_cost_bonus*#REF!,4),wg_wiz_cost_cap) + tech_1_9_2*#REF! + tech_9_1_2*#REF!)*wizard_plat,0)</f>
        <v>#REF!</v>
      </c>
      <c r="BT21" s="39" t="e">
        <f>ROUNDUP((1-MIN(ROUND(wg_wiz_cost_bonus*#REF!,4),wg_wiz_cost_cap) + tech_1_9_2*#REF! + tech_9_1_2*#REF!)*archmage_plat,0)</f>
        <v>#REF!</v>
      </c>
      <c r="BU21" s="134"/>
      <c r="BV21" s="132" t="e">
        <f>#REF!/#REF!</f>
        <v>#REF!</v>
      </c>
      <c r="BW21" s="132" t="e">
        <f>#REF!</f>
        <v>#REF!</v>
      </c>
      <c r="BX21" s="241" t="e">
        <f>IF(mystic_cap="none",#REF!/mystic_bonus,MIN(mystic_cap,#REF!/mystic_bonus))</f>
        <v>#REF!</v>
      </c>
      <c r="BY21" s="241" t="e">
        <f>IF(druid_op_cap="none",#REF!/druid_op_bonus,MIN(druid_op_cap,#REF!/druid_op_bonus))</f>
        <v>#REF!</v>
      </c>
      <c r="BZ21" s="241" t="e">
        <f>IF(druid_dp_cap="none",#REF!/druid_dp_bonus,MIN(druid_dp_cap,#REF!/druid_dp_bonus))</f>
        <v>#REF!</v>
      </c>
      <c r="CA21" s="241" t="e">
        <f>MIN(dryad_cap,#REF!/dryad_bonus)</f>
        <v>#REF!</v>
      </c>
      <c r="CB21" s="241" t="e">
        <f>MIN(rocka_cap,#REF!/rocka_bonus)</f>
        <v>#REF!</v>
      </c>
      <c r="CC21" s="241" t="e">
        <f>MIN(adept_op_cap,#REF!/adept_op_bonus)</f>
        <v>#REF!</v>
      </c>
      <c r="CD21" s="241" t="e">
        <f>MIN(adept_dp_cap,#REF!/adept_dp_bonus)</f>
        <v>#REF!</v>
      </c>
      <c r="CE21" s="39" t="e">
        <f>MIN(#REF!,#REF!)*2</f>
        <v>#REF!</v>
      </c>
      <c r="CF21" s="39" t="e">
        <f>MIN(#REF!,#REF!)*2</f>
        <v>#REF!</v>
      </c>
      <c r="CG21" s="241" t="e">
        <f>MIN(frost_mage_cap,#REF!/frost_mage_bonus)</f>
        <v>#REF!</v>
      </c>
      <c r="CH21" s="3" t="e">
        <f>MIN(ice_elem_cap,#REF!*ice_elem_bonus)</f>
        <v>#REF!</v>
      </c>
      <c r="CI21" s="241">
        <f t="shared" si="0"/>
        <v>0.83333333333333337</v>
      </c>
      <c r="CJ21" s="241" t="e">
        <f>MIN(nox_nightshade_cap,#REF!/#REF!/nox_nightshade_swamp_bonus)</f>
        <v>#REF!</v>
      </c>
      <c r="CK21" s="242" t="s">
        <v>523</v>
      </c>
      <c r="CL21" s="242">
        <f>VLOOKUP(Overview!$A25,Races!$D$4:$H$116,3,FALSE)</f>
        <v>3</v>
      </c>
      <c r="CM21" s="242"/>
      <c r="CN21" s="241" t="e">
        <f>MIN(6,#REF!+Races!$F$19)*1.8 +  IF(#REF!+Races!$F$19&gt;6,(#REF!+Races!$F$19-6)*0.2,0) - Races!$I$19</f>
        <v>#REF!</v>
      </c>
      <c r="CO21" s="241" t="e">
        <f>1.8 * MIN(MAX(#REF!+Races!$E$20,#REF!+Races!$F$20),6)  +  0.45 * MIN(MIN(#REF!+Races!$E$20,#REF!+Races!$F$20),6)  +  0.2 * ( MAX(#REF!+Races!$E$20-6,0) + MAX(#REF!+Races!$F$20-6,0) )  -  Races!$I$20</f>
        <v>#REF!</v>
      </c>
      <c r="CP21" s="39" t="e">
        <f>#REF!*#REF!+#REF!*#REF!</f>
        <v>#REF!</v>
      </c>
      <c r="CQ21" s="145" t="e">
        <f>MIN(6,#REF!+Races!$F$35)*1.8 +  IF(#REF!+Races!$F$35&gt;6,(#REF!+Races!$F$35-6)*0.2,0) - Races!$I$19</f>
        <v>#REF!</v>
      </c>
      <c r="CR21" s="39" t="e">
        <f>sylvan*(#REF!*#REF!)</f>
        <v>#REF!</v>
      </c>
      <c r="CS21" s="145" t="e">
        <f>1.8 * MIN(MAX(Races!$E$27,#REF!+Races!$F$27),6)  +  0.45 * MIN(MIN(Races!$E$27,#REF!+Races!$F$27),6)  +  0.2 * ( MAX(Races!$E$27-6,0) + MAX(#REF!+Races!$F$27-6,0) )  -  Races!$I$20</f>
        <v>#REF!</v>
      </c>
      <c r="CT21" s="39" t="e">
        <f>gnome*(#REF!*#REF!)</f>
        <v>#REF!</v>
      </c>
      <c r="CU21" s="145" t="e">
        <f>1.8 * MIN(MAX(#REF!+Races!$E$47,#REF!+Races!$F$47),6)  +  0.45 * MIN(MIN(#REF!+Races!$E$47,#REF!+Races!$F$47),6)  +  0.2 * ( MAX(#REF!+Races!$E$47-6,0) + MAX(#REF!+Races!$F$47-6,0) )  -  Races!$I$47</f>
        <v>#REF!</v>
      </c>
      <c r="CV21" s="39" t="e">
        <f>dark_elf*(#REF!*#REF!)</f>
        <v>#REF!</v>
      </c>
      <c r="CW21" s="145" t="e">
        <f>1.8 * MIN(MAX(#REF!+Races!$F$71,Races!$E$71),6)  +  0.45 * MIN(MIN(#REF!+Races!$F$71,Races!$E$71),6)  +  0.2 * ( MAX(#REF!+Races!$F$71-6,0) + MAX(Races!$E$71-6,0) )  -  Races!$I$71</f>
        <v>#REF!</v>
      </c>
      <c r="CX21" s="145" t="e">
        <f>1.8 * MIN(MAX(#REF!+Races!$E$71,Races!$F$71),6)  +  0.45 * MIN(MIN(#REF!+Races!$E$71,Races!$F$71),6)  +  0.2 * ( MAX(#REF!+Races!$E$71-6,0) + MAX(Races!$F$71-6,0) )  -  Races!$I$71</f>
        <v>#REF!</v>
      </c>
      <c r="CY21" s="39" t="e">
        <f>#REF!*#REF!+#REF!*#REF!</f>
        <v>#REF!</v>
      </c>
      <c r="CZ21" s="243"/>
      <c r="DA21" s="135" t="e">
        <f>MIN(SUM(#REF!)/#REF!/favorable_terrain_bonus/100,favorable_terrain_max)</f>
        <v>#REF!</v>
      </c>
      <c r="DB21" s="243"/>
      <c r="DC21"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21" s="134"/>
      <c r="DE21" s="244" t="e">
        <f>(#REF!+2*#REF!)/#REF!</f>
        <v>#REF!</v>
      </c>
      <c r="DF21" s="244" t="e">
        <f>#REF!*(1+race_wizard_strength+IF(#REF!&gt;72,tech_magical_weaponry_wiz*#REF!,0))</f>
        <v>#REF!</v>
      </c>
    </row>
    <row r="22" spans="1:110" x14ac:dyDescent="0.25">
      <c r="A22" s="130" t="e">
        <f>#REF!</f>
        <v>#REF!</v>
      </c>
      <c r="B22" s="236" t="e">
        <f ca="1">SUM(#REF!)+SUM(OFFSET(#REF!,-8,0):#REF!) + SUM(OFFSET(#REF!,-11,0):#REF!) +#REF!</f>
        <v>#REF!</v>
      </c>
      <c r="C22" s="132" t="e">
        <f>#REF!</f>
        <v>#REF!</v>
      </c>
      <c r="D22" s="134"/>
      <c r="E22" s="3" t="e">
        <f ca="1">OFFSET(#REF!,-1,0) + OFFSET(#REF!,-9,0) -#REF!</f>
        <v>#REF!</v>
      </c>
      <c r="F22" s="3" t="e">
        <f ca="1">OFFSET(#REF!,-1,0) + OFFSET(#REF!,-9,0)-#REF!</f>
        <v>#REF!</v>
      </c>
      <c r="G22" s="3" t="e">
        <f ca="1">OFFSET(#REF!,-1,0) + OFFSET(#REF!,-12,0)-#REF!</f>
        <v>#REF!</v>
      </c>
      <c r="H22" s="3" t="e">
        <f ca="1">OFFSET(#REF!,-1,0) + OFFSET(#REF!,-12,0)-#REF!</f>
        <v>#REF!</v>
      </c>
      <c r="I22" s="3" t="e">
        <f ca="1">OFFSET(#REF!,-1,0) + OFFSET(#REF!,-12,0) -#REF!-#REF!</f>
        <v>#REF!</v>
      </c>
      <c r="J22" s="3" t="e">
        <f ca="1">OFFSET(#REF!,-1,0) + OFFSET(#REF!,-12,0) -#REF!</f>
        <v>#REF!</v>
      </c>
      <c r="K22" s="3" t="e">
        <f ca="1">OFFSET(#REF!,-1,0) + OFFSET(#REF!,-12,0) -#REF!-#REF!</f>
        <v>#REF!</v>
      </c>
      <c r="L22" s="3" t="e">
        <f ca="1">OFFSET(#REF!,-1,0) + OFFSET(#REF!,-12,0) -#REF!</f>
        <v>#REF!</v>
      </c>
      <c r="M22" s="134"/>
      <c r="N22" s="39" t="e">
        <f>#REF!</f>
        <v>#REF!</v>
      </c>
      <c r="O22" s="134"/>
      <c r="P22" s="237" t="e">
        <f>#REF!*spec_op+#REF!*(elite1_base_op)+#REF!*(elite2_base_op+dark_elf*#REF!+icekin*#REF!+woodie*#REF!+orc*#REF!)+kobold*#REF!</f>
        <v>#REF!</v>
      </c>
      <c r="Q22" s="132" t="e">
        <f>race_offense+#REF!+ROUND(MIN(gn_bonus*#REF!/#REF!,gn_bonus_cap),4)+MAX(IF(#REF!&gt;0,warsong_bonus),IF(#REF!&gt;0,howling_op_bonus),IF(#REF!&gt;0,nightfall_bonus),IF(#REF!&gt;0,#REF!)) +#REF!/ 100*prestige_offense_bonus + tech_5_4*#REF! + tech_7_4*#REF!</f>
        <v>#REF!</v>
      </c>
      <c r="R22" s="237" t="e">
        <f>#REF!*(1+#REF!)</f>
        <v>#REF!</v>
      </c>
      <c r="S22" s="237" t="e">
        <f>#REF!*spec_dp+#REF!*(elite1_base_dp+woodie*#REF!+sylvan*#REF!+gnome*#REF!+icekin*#REF!+nox*#REF!)+#REF!*(elite2_base_dp+woodie*#REF!) + fh_peas_dp*MIN(#REF!,20*#REF!)+kobold*#REF!</f>
        <v>#REF!</v>
      </c>
      <c r="T22" s="237" t="e">
        <f>#REF!+#REF!</f>
        <v>#REF!</v>
      </c>
      <c r="U22" s="238" t="e">
        <f>race_defense +#REF! + ROUND( MIN(gt_bonus*#REF!/#REF!,gt_bonus_cap), 4) + IF(#REF!&gt;0,howling_dp_bonus,IF(#REF!&gt;0,ares_call_bonus))</f>
        <v>#REF!</v>
      </c>
      <c r="V22" s="239" t="e">
        <f>#REF! * (1 +#REF!)</f>
        <v>#REF!</v>
      </c>
      <c r="W22" s="237" t="e">
        <f>#REF! * (1 +#REF!)</f>
        <v>#REF!</v>
      </c>
      <c r="X22" s="237" t="e">
        <f>#REF!</f>
        <v>#REF!</v>
      </c>
      <c r="Y22" s="240"/>
      <c r="Z22" s="135" t="e">
        <f ca="1">IF(#REF!&lt;&gt;"",#REF!,OFFSET(#REF!,-1,0))</f>
        <v>#REF!</v>
      </c>
      <c r="AA22" s="39" t="e">
        <f ca="1">OFFSET(#REF!,-1,0)+OFFSET(#REF!,-1,0) - SUM(#REF!,#REF!) -#REF! + SUM(#REF!) -#REF!</f>
        <v>#REF!</v>
      </c>
      <c r="AB22" s="133"/>
      <c r="AC22" s="132" t="e">
        <f>(#REF!+#REF!)/(#REF!-#REF!*20)</f>
        <v>#REF!</v>
      </c>
      <c r="AD22" s="130"/>
      <c r="AE22" s="236" t="e">
        <f>#REF!</f>
        <v>#REF!</v>
      </c>
      <c r="AF22" s="131" t="e">
        <f>#REF!</f>
        <v>#REF!</v>
      </c>
      <c r="AG22" s="164"/>
      <c r="AH22" s="164"/>
      <c r="AI22" s="164"/>
      <c r="AJ22" s="164"/>
      <c r="AK22" s="164"/>
      <c r="AL22" s="164"/>
      <c r="AM22" s="164"/>
      <c r="AN22" s="164"/>
      <c r="AO22" s="134"/>
      <c r="AP22" s="39" t="e">
        <f>#REF!</f>
        <v>#REF!</v>
      </c>
      <c r="AQ22" s="39" t="e">
        <f>INDEX(#REF!:#REF!,COUNTA(#REF!:#REF!),MATCH(Military!$AQ$2,#REF!,0))</f>
        <v>#REF!</v>
      </c>
      <c r="AR22" s="39" t="e">
        <f>#REF!*#REF!+#REF!*#REF!+#REF!*#REF!+#REF!*#REF!+#REF!*#REF!+#REF!*#REF!+#REF!*#REF!</f>
        <v>#REF!</v>
      </c>
      <c r="AS22" s="39" t="e">
        <f>#REF!*#REF!+#REF!*#REF!+#REF!*#REF!+#REF!*#REF!</f>
        <v>#REF!</v>
      </c>
      <c r="AT22" s="134" t="e">
        <f>#REF!</f>
        <v>#REF!</v>
      </c>
      <c r="AU22" s="143" t="e">
        <f>#REF!</f>
        <v>#REF!</v>
      </c>
      <c r="AV22" s="39" t="e">
        <f>#REF!</f>
        <v>#REF!</v>
      </c>
      <c r="AW22" s="164"/>
      <c r="AX22" s="164"/>
      <c r="AY22" s="164"/>
      <c r="AZ22" s="164"/>
      <c r="BA22" s="164"/>
      <c r="BB22" s="164"/>
      <c r="BC22" s="164"/>
      <c r="BD22" s="164"/>
      <c r="BE22" s="164"/>
      <c r="BF22" s="134"/>
      <c r="BG22" s="132" t="e">
        <f>#REF!/#REF!</f>
        <v>#REF!</v>
      </c>
      <c r="BH22" s="132" t="e">
        <f>#REF!/#REF!</f>
        <v>#REF!</v>
      </c>
      <c r="BI22" s="39" t="e">
        <f>ROUNDUP((1-MIN(#REF!*smithy_bonus,smithy_bonus_cap) + tech_3_5*#REF! + tech_5_3*#REF! + tech_5_5*#REF!)*spec_op_plat,0)</f>
        <v>#REF!</v>
      </c>
      <c r="BJ22" s="39" t="e">
        <f>ROUNDUP(IF(race="Gnome",1,(1-MIN(#REF!*smithy_bonus,smithy_bonus_cap) + tech_3_5*#REF! + tech_5_3*#REF! + tech_5_5*#REF!))*spec_op_ore,0)</f>
        <v>#REF!</v>
      </c>
      <c r="BK22" s="39" t="e">
        <f>ROUNDUP((1-MIN(#REF!*smithy_bonus,smithy_bonus_cap) + tech_3_5*#REF! + tech_5_3*#REF! + tech_5_5*#REF!)*spec_dp_plat,0)</f>
        <v>#REF!</v>
      </c>
      <c r="BL22" s="39" t="e">
        <f>ROUNDUP(IF(race="Gnome",1,(1-MIN(#REF!*smithy_bonus,smithy_bonus_cap) + tech_3_5*#REF! + tech_5_3*#REF! + tech_5_5*#REF!))*spec_dp_ore,0)</f>
        <v>#REF!</v>
      </c>
      <c r="BM22" s="39" t="e">
        <f>ROUNDUP((1-MIN(#REF!*smithy_bonus,smithy_bonus_cap) + tech_3_5*#REF! + tech_5_3*#REF! + tech_5_5*#REF!)*elite1_plat,0)</f>
        <v>#REF!</v>
      </c>
      <c r="BN22" s="39" t="e">
        <f>ROUNDUP(IF(race="Gnome",1,(1-MIN(#REF!*smithy_bonus,smithy_bonus_cap) + tech_3_5*#REF! + tech_5_3*#REF! + tech_5_5*#REF!))*elite1_ore,0)</f>
        <v>#REF!</v>
      </c>
      <c r="BO22" s="39" t="e">
        <f>ROUNDUP((1-MIN(#REF!*smithy_bonus,smithy_bonus_cap) + tech_3_5*#REF! + tech_5_3*#REF! + tech_5_5*#REF!)*elite2_plat,0)</f>
        <v>#REF!</v>
      </c>
      <c r="BP22" s="39" t="e">
        <f>ROUNDUP(IF(race="Gnome",1,(1-MIN(#REF!*smithy_bonus,smithy_bonus_cap) + tech_3_5*#REF! + tech_5_3*#REF! + tech_5_5*#REF!))*elite2_ore,0)</f>
        <v>#REF!</v>
      </c>
      <c r="BQ22" s="39" t="e">
        <f>ROUNDUP((1-MIN(ROUND(fh_spy_cost_red*#REF!,4),fh_spy_cost_cap)+ tech_1_9*#REF! + tech_9_1*#REF!)*spy_plat,0)</f>
        <v>#REF!</v>
      </c>
      <c r="BR22" s="39" t="e">
        <f>ROUNDUP((1-MIN(ROUND(fh_spy_cost_red*#REF!,4),fh_spy_cost_cap)+ tech_1_9*#REF! + tech_9_1*#REF!)*archspy_plat,0)</f>
        <v>#REF!</v>
      </c>
      <c r="BS22" s="39" t="e">
        <f>ROUNDUP((1-MIN(ROUND(wg_wiz_cost_bonus*#REF!,4),wg_wiz_cost_cap) + tech_1_9_2*#REF! + tech_9_1_2*#REF!)*wizard_plat,0)</f>
        <v>#REF!</v>
      </c>
      <c r="BT22" s="39" t="e">
        <f>ROUNDUP((1-MIN(ROUND(wg_wiz_cost_bonus*#REF!,4),wg_wiz_cost_cap) + tech_1_9_2*#REF! + tech_9_1_2*#REF!)*archmage_plat,0)</f>
        <v>#REF!</v>
      </c>
      <c r="BU22" s="134"/>
      <c r="BV22" s="132" t="e">
        <f>#REF!/#REF!</f>
        <v>#REF!</v>
      </c>
      <c r="BW22" s="132" t="e">
        <f>#REF!</f>
        <v>#REF!</v>
      </c>
      <c r="BX22" s="241" t="e">
        <f>IF(mystic_cap="none",#REF!/mystic_bonus,MIN(mystic_cap,#REF!/mystic_bonus))</f>
        <v>#REF!</v>
      </c>
      <c r="BY22" s="241" t="e">
        <f>IF(druid_op_cap="none",#REF!/druid_op_bonus,MIN(druid_op_cap,#REF!/druid_op_bonus))</f>
        <v>#REF!</v>
      </c>
      <c r="BZ22" s="241" t="e">
        <f>IF(druid_dp_cap="none",#REF!/druid_dp_bonus,MIN(druid_dp_cap,#REF!/druid_dp_bonus))</f>
        <v>#REF!</v>
      </c>
      <c r="CA22" s="241" t="e">
        <f>MIN(dryad_cap,#REF!/dryad_bonus)</f>
        <v>#REF!</v>
      </c>
      <c r="CB22" s="241" t="e">
        <f>MIN(rocka_cap,#REF!/rocka_bonus)</f>
        <v>#REF!</v>
      </c>
      <c r="CC22" s="241" t="e">
        <f>MIN(adept_op_cap,#REF!/adept_op_bonus)</f>
        <v>#REF!</v>
      </c>
      <c r="CD22" s="241" t="e">
        <f>MIN(adept_dp_cap,#REF!/adept_dp_bonus)</f>
        <v>#REF!</v>
      </c>
      <c r="CE22" s="39" t="e">
        <f>MIN(#REF!,#REF!)*2</f>
        <v>#REF!</v>
      </c>
      <c r="CF22" s="39" t="e">
        <f>MIN(#REF!,#REF!)*2</f>
        <v>#REF!</v>
      </c>
      <c r="CG22" s="241" t="e">
        <f>MIN(frost_mage_cap,#REF!/frost_mage_bonus)</f>
        <v>#REF!</v>
      </c>
      <c r="CH22" s="3" t="e">
        <f>MIN(ice_elem_cap,#REF!*ice_elem_bonus)</f>
        <v>#REF!</v>
      </c>
      <c r="CI22" s="241">
        <f t="shared" si="0"/>
        <v>0.83333333333333337</v>
      </c>
      <c r="CJ22" s="241" t="e">
        <f>MIN(nox_nightshade_cap,#REF!/#REF!/nox_nightshade_swamp_bonus)</f>
        <v>#REF!</v>
      </c>
      <c r="CK22" s="242"/>
      <c r="CL22" s="242"/>
      <c r="CM22" s="242"/>
      <c r="CN22" s="241" t="e">
        <f>MIN(6,#REF!+Races!$F$19)*1.8 +  IF(#REF!+Races!$F$19&gt;6,(#REF!+Races!$F$19-6)*0.2,0) - Races!$I$19</f>
        <v>#REF!</v>
      </c>
      <c r="CO22" s="241" t="e">
        <f>1.8 * MIN(MAX(#REF!+Races!$E$20,#REF!+Races!$F$20),6)  +  0.45 * MIN(MIN(#REF!+Races!$E$20,#REF!+Races!$F$20),6)  +  0.2 * ( MAX(#REF!+Races!$E$20-6,0) + MAX(#REF!+Races!$F$20-6,0) )  -  Races!$I$20</f>
        <v>#REF!</v>
      </c>
      <c r="CP22" s="39" t="e">
        <f>#REF!*#REF!+#REF!*#REF!</f>
        <v>#REF!</v>
      </c>
      <c r="CQ22" s="145" t="e">
        <f>MIN(6,#REF!+Races!$F$35)*1.8 +  IF(#REF!+Races!$F$35&gt;6,(#REF!+Races!$F$35-6)*0.2,0) - Races!$I$19</f>
        <v>#REF!</v>
      </c>
      <c r="CR22" s="39" t="e">
        <f>sylvan*(#REF!*#REF!)</f>
        <v>#REF!</v>
      </c>
      <c r="CS22" s="145" t="e">
        <f>1.8 * MIN(MAX(Races!$E$27,#REF!+Races!$F$27),6)  +  0.45 * MIN(MIN(Races!$E$27,#REF!+Races!$F$27),6)  +  0.2 * ( MAX(Races!$E$27-6,0) + MAX(#REF!+Races!$F$27-6,0) )  -  Races!$I$20</f>
        <v>#REF!</v>
      </c>
      <c r="CT22" s="39" t="e">
        <f>gnome*(#REF!*#REF!)</f>
        <v>#REF!</v>
      </c>
      <c r="CU22" s="145" t="e">
        <f>1.8 * MIN(MAX(#REF!+Races!$E$47,#REF!+Races!$F$47),6)  +  0.45 * MIN(MIN(#REF!+Races!$E$47,#REF!+Races!$F$47),6)  +  0.2 * ( MAX(#REF!+Races!$E$47-6,0) + MAX(#REF!+Races!$F$47-6,0) )  -  Races!$I$47</f>
        <v>#REF!</v>
      </c>
      <c r="CV22" s="39" t="e">
        <f>dark_elf*(#REF!*#REF!)</f>
        <v>#REF!</v>
      </c>
      <c r="CW22" s="145" t="e">
        <f>1.8 * MIN(MAX(#REF!+Races!$F$71,Races!$E$71),6)  +  0.45 * MIN(MIN(#REF!+Races!$F$71,Races!$E$71),6)  +  0.2 * ( MAX(#REF!+Races!$F$71-6,0) + MAX(Races!$E$71-6,0) )  -  Races!$I$71</f>
        <v>#REF!</v>
      </c>
      <c r="CX22" s="145" t="e">
        <f>1.8 * MIN(MAX(#REF!+Races!$E$71,Races!$F$71),6)  +  0.45 * MIN(MIN(#REF!+Races!$E$71,Races!$F$71),6)  +  0.2 * ( MAX(#REF!+Races!$E$71-6,0) + MAX(Races!$F$71-6,0) )  -  Races!$I$71</f>
        <v>#REF!</v>
      </c>
      <c r="CY22" s="39" t="e">
        <f>#REF!*#REF!+#REF!*#REF!</f>
        <v>#REF!</v>
      </c>
      <c r="CZ22" s="243"/>
      <c r="DA22" s="135" t="e">
        <f>MIN(SUM(#REF!)/#REF!/favorable_terrain_bonus/100,favorable_terrain_max)</f>
        <v>#REF!</v>
      </c>
      <c r="DB22" s="243"/>
      <c r="DC22"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22" s="134"/>
      <c r="DE22" s="244" t="e">
        <f>(#REF!+2*#REF!)/#REF!</f>
        <v>#REF!</v>
      </c>
      <c r="DF22" s="244" t="e">
        <f>#REF!*(1+race_wizard_strength+IF(#REF!&gt;72,tech_magical_weaponry_wiz*#REF!,0))</f>
        <v>#REF!</v>
      </c>
    </row>
    <row r="23" spans="1:110" x14ac:dyDescent="0.25">
      <c r="A23" s="130" t="e">
        <f>#REF!</f>
        <v>#REF!</v>
      </c>
      <c r="B23" s="236" t="e">
        <f ca="1">SUM(#REF!)+SUM(OFFSET(#REF!,-8,0):#REF!) + SUM(OFFSET(#REF!,-11,0):#REF!) +#REF!</f>
        <v>#REF!</v>
      </c>
      <c r="C23" s="132" t="e">
        <f>#REF!</f>
        <v>#REF!</v>
      </c>
      <c r="D23" s="134"/>
      <c r="E23" s="3" t="e">
        <f ca="1">OFFSET(#REF!,-1,0) + OFFSET(#REF!,-9,0) -#REF!</f>
        <v>#REF!</v>
      </c>
      <c r="F23" s="3" t="e">
        <f ca="1">OFFSET(#REF!,-1,0) + OFFSET(#REF!,-9,0)-#REF!</f>
        <v>#REF!</v>
      </c>
      <c r="G23" s="3" t="e">
        <f ca="1">OFFSET(#REF!,-1,0) + OFFSET(#REF!,-12,0)-#REF!</f>
        <v>#REF!</v>
      </c>
      <c r="H23" s="3" t="e">
        <f ca="1">OFFSET(#REF!,-1,0) + OFFSET(#REF!,-12,0)-#REF!</f>
        <v>#REF!</v>
      </c>
      <c r="I23" s="3" t="e">
        <f ca="1">OFFSET(#REF!,-1,0) + OFFSET(#REF!,-12,0) -#REF!-#REF!</f>
        <v>#REF!</v>
      </c>
      <c r="J23" s="3" t="e">
        <f ca="1">OFFSET(#REF!,-1,0) + OFFSET(#REF!,-12,0) -#REF!</f>
        <v>#REF!</v>
      </c>
      <c r="K23" s="3" t="e">
        <f ca="1">OFFSET(#REF!,-1,0) + OFFSET(#REF!,-12,0) -#REF!-#REF!</f>
        <v>#REF!</v>
      </c>
      <c r="L23" s="3" t="e">
        <f ca="1">OFFSET(#REF!,-1,0) + OFFSET(#REF!,-12,0) -#REF!</f>
        <v>#REF!</v>
      </c>
      <c r="M23" s="134"/>
      <c r="N23" s="39" t="e">
        <f>#REF!</f>
        <v>#REF!</v>
      </c>
      <c r="O23" s="134"/>
      <c r="P23" s="237" t="e">
        <f>#REF!*spec_op+#REF!*(elite1_base_op)+#REF!*(elite2_base_op+dark_elf*#REF!+icekin*#REF!+woodie*#REF!+orc*#REF!)+kobold*#REF!</f>
        <v>#REF!</v>
      </c>
      <c r="Q23" s="132" t="e">
        <f>race_offense+#REF!+ROUND(MIN(gn_bonus*#REF!/#REF!,gn_bonus_cap),4)+MAX(IF(#REF!&gt;0,warsong_bonus),IF(#REF!&gt;0,howling_op_bonus),IF(#REF!&gt;0,nightfall_bonus),IF(#REF!&gt;0,#REF!)) +#REF!/ 100*prestige_offense_bonus + tech_5_4*#REF! + tech_7_4*#REF!</f>
        <v>#REF!</v>
      </c>
      <c r="R23" s="237" t="e">
        <f>#REF!*(1+#REF!)</f>
        <v>#REF!</v>
      </c>
      <c r="S23" s="237" t="e">
        <f>#REF!*spec_dp+#REF!*(elite1_base_dp+woodie*#REF!+sylvan*#REF!+gnome*#REF!+icekin*#REF!+nox*#REF!)+#REF!*(elite2_base_dp+woodie*#REF!) + fh_peas_dp*MIN(#REF!,20*#REF!)+kobold*#REF!</f>
        <v>#REF!</v>
      </c>
      <c r="T23" s="237" t="e">
        <f>#REF!+#REF!</f>
        <v>#REF!</v>
      </c>
      <c r="U23" s="238" t="e">
        <f>race_defense +#REF! + ROUND( MIN(gt_bonus*#REF!/#REF!,gt_bonus_cap), 4) + IF(#REF!&gt;0,howling_dp_bonus,IF(#REF!&gt;0,ares_call_bonus))</f>
        <v>#REF!</v>
      </c>
      <c r="V23" s="239" t="e">
        <f>#REF! * (1 +#REF!)</f>
        <v>#REF!</v>
      </c>
      <c r="W23" s="237" t="e">
        <f>#REF! * (1 +#REF!)</f>
        <v>#REF!</v>
      </c>
      <c r="X23" s="237" t="e">
        <f>#REF!</f>
        <v>#REF!</v>
      </c>
      <c r="Y23" s="240"/>
      <c r="Z23" s="135" t="e">
        <f ca="1">IF(#REF!&lt;&gt;"",#REF!,OFFSET(#REF!,-1,0))</f>
        <v>#REF!</v>
      </c>
      <c r="AA23" s="39" t="e">
        <f ca="1">OFFSET(#REF!,-1,0)+OFFSET(#REF!,-1,0) - SUM(#REF!,#REF!) -#REF! + SUM(#REF!) -#REF!</f>
        <v>#REF!</v>
      </c>
      <c r="AB23" s="133"/>
      <c r="AC23" s="132" t="e">
        <f>(#REF!+#REF!)/(#REF!-#REF!*20)</f>
        <v>#REF!</v>
      </c>
      <c r="AD23" s="130"/>
      <c r="AE23" s="236" t="e">
        <f>#REF!</f>
        <v>#REF!</v>
      </c>
      <c r="AF23" s="131" t="e">
        <f>#REF!</f>
        <v>#REF!</v>
      </c>
      <c r="AG23" s="164"/>
      <c r="AH23" s="164"/>
      <c r="AI23" s="164"/>
      <c r="AJ23" s="164"/>
      <c r="AK23" s="164"/>
      <c r="AL23" s="164"/>
      <c r="AM23" s="164"/>
      <c r="AN23" s="164"/>
      <c r="AO23" s="134"/>
      <c r="AP23" s="39" t="e">
        <f>#REF!</f>
        <v>#REF!</v>
      </c>
      <c r="AQ23" s="39" t="e">
        <f>INDEX(#REF!:#REF!,COUNTA(#REF!:#REF!),MATCH(Military!$AQ$2,#REF!,0))</f>
        <v>#REF!</v>
      </c>
      <c r="AR23" s="39" t="e">
        <f>#REF!*#REF!+#REF!*#REF!+#REF!*#REF!+#REF!*#REF!+#REF!*#REF!+#REF!*#REF!+#REF!*#REF!</f>
        <v>#REF!</v>
      </c>
      <c r="AS23" s="39" t="e">
        <f>#REF!*#REF!+#REF!*#REF!+#REF!*#REF!+#REF!*#REF!</f>
        <v>#REF!</v>
      </c>
      <c r="AT23" s="134" t="e">
        <f>#REF!</f>
        <v>#REF!</v>
      </c>
      <c r="AU23" s="143" t="e">
        <f>#REF!</f>
        <v>#REF!</v>
      </c>
      <c r="AV23" s="39" t="e">
        <f>#REF!</f>
        <v>#REF!</v>
      </c>
      <c r="AW23" s="164"/>
      <c r="AX23" s="164"/>
      <c r="AY23" s="164"/>
      <c r="AZ23" s="164"/>
      <c r="BA23" s="164"/>
      <c r="BB23" s="164"/>
      <c r="BC23" s="164"/>
      <c r="BD23" s="164"/>
      <c r="BE23" s="164"/>
      <c r="BF23" s="134"/>
      <c r="BG23" s="132" t="e">
        <f>#REF!/#REF!</f>
        <v>#REF!</v>
      </c>
      <c r="BH23" s="132" t="e">
        <f>#REF!/#REF!</f>
        <v>#REF!</v>
      </c>
      <c r="BI23" s="39" t="e">
        <f>ROUNDUP((1-MIN(#REF!*smithy_bonus,smithy_bonus_cap) + tech_3_5*#REF! + tech_5_3*#REF! + tech_5_5*#REF!)*spec_op_plat,0)</f>
        <v>#REF!</v>
      </c>
      <c r="BJ23" s="39" t="e">
        <f>ROUNDUP(IF(race="Gnome",1,(1-MIN(#REF!*smithy_bonus,smithy_bonus_cap) + tech_3_5*#REF! + tech_5_3*#REF! + tech_5_5*#REF!))*spec_op_ore,0)</f>
        <v>#REF!</v>
      </c>
      <c r="BK23" s="39" t="e">
        <f>ROUNDUP((1-MIN(#REF!*smithy_bonus,smithy_bonus_cap) + tech_3_5*#REF! + tech_5_3*#REF! + tech_5_5*#REF!)*spec_dp_plat,0)</f>
        <v>#REF!</v>
      </c>
      <c r="BL23" s="39" t="e">
        <f>ROUNDUP(IF(race="Gnome",1,(1-MIN(#REF!*smithy_bonus,smithy_bonus_cap) + tech_3_5*#REF! + tech_5_3*#REF! + tech_5_5*#REF!))*spec_dp_ore,0)</f>
        <v>#REF!</v>
      </c>
      <c r="BM23" s="39" t="e">
        <f>ROUNDUP((1-MIN(#REF!*smithy_bonus,smithy_bonus_cap) + tech_3_5*#REF! + tech_5_3*#REF! + tech_5_5*#REF!)*elite1_plat,0)</f>
        <v>#REF!</v>
      </c>
      <c r="BN23" s="39" t="e">
        <f>ROUNDUP(IF(race="Gnome",1,(1-MIN(#REF!*smithy_bonus,smithy_bonus_cap) + tech_3_5*#REF! + tech_5_3*#REF! + tech_5_5*#REF!))*elite1_ore,0)</f>
        <v>#REF!</v>
      </c>
      <c r="BO23" s="39" t="e">
        <f>ROUNDUP((1-MIN(#REF!*smithy_bonus,smithy_bonus_cap) + tech_3_5*#REF! + tech_5_3*#REF! + tech_5_5*#REF!)*elite2_plat,0)</f>
        <v>#REF!</v>
      </c>
      <c r="BP23" s="39" t="e">
        <f>ROUNDUP(IF(race="Gnome",1,(1-MIN(#REF!*smithy_bonus,smithy_bonus_cap) + tech_3_5*#REF! + tech_5_3*#REF! + tech_5_5*#REF!))*elite2_ore,0)</f>
        <v>#REF!</v>
      </c>
      <c r="BQ23" s="39" t="e">
        <f>ROUNDUP((1-MIN(ROUND(fh_spy_cost_red*#REF!,4),fh_spy_cost_cap)+ tech_1_9*#REF! + tech_9_1*#REF!)*spy_plat,0)</f>
        <v>#REF!</v>
      </c>
      <c r="BR23" s="39" t="e">
        <f>ROUNDUP((1-MIN(ROUND(fh_spy_cost_red*#REF!,4),fh_spy_cost_cap)+ tech_1_9*#REF! + tech_9_1*#REF!)*archspy_plat,0)</f>
        <v>#REF!</v>
      </c>
      <c r="BS23" s="39" t="e">
        <f>ROUNDUP((1-MIN(ROUND(wg_wiz_cost_bonus*#REF!,4),wg_wiz_cost_cap) + tech_1_9_2*#REF! + tech_9_1_2*#REF!)*wizard_plat,0)</f>
        <v>#REF!</v>
      </c>
      <c r="BT23" s="39" t="e">
        <f>ROUNDUP((1-MIN(ROUND(wg_wiz_cost_bonus*#REF!,4),wg_wiz_cost_cap) + tech_1_9_2*#REF! + tech_9_1_2*#REF!)*archmage_plat,0)</f>
        <v>#REF!</v>
      </c>
      <c r="BU23" s="134"/>
      <c r="BV23" s="132" t="e">
        <f>#REF!/#REF!</f>
        <v>#REF!</v>
      </c>
      <c r="BW23" s="132" t="e">
        <f>#REF!</f>
        <v>#REF!</v>
      </c>
      <c r="BX23" s="241" t="e">
        <f>IF(mystic_cap="none",#REF!/mystic_bonus,MIN(mystic_cap,#REF!/mystic_bonus))</f>
        <v>#REF!</v>
      </c>
      <c r="BY23" s="241" t="e">
        <f>IF(druid_op_cap="none",#REF!/druid_op_bonus,MIN(druid_op_cap,#REF!/druid_op_bonus))</f>
        <v>#REF!</v>
      </c>
      <c r="BZ23" s="241" t="e">
        <f>IF(druid_dp_cap="none",#REF!/druid_dp_bonus,MIN(druid_dp_cap,#REF!/druid_dp_bonus))</f>
        <v>#REF!</v>
      </c>
      <c r="CA23" s="241" t="e">
        <f>MIN(dryad_cap,#REF!/dryad_bonus)</f>
        <v>#REF!</v>
      </c>
      <c r="CB23" s="241" t="e">
        <f>MIN(rocka_cap,#REF!/rocka_bonus)</f>
        <v>#REF!</v>
      </c>
      <c r="CC23" s="241" t="e">
        <f>MIN(adept_op_cap,#REF!/adept_op_bonus)</f>
        <v>#REF!</v>
      </c>
      <c r="CD23" s="241" t="e">
        <f>MIN(adept_dp_cap,#REF!/adept_dp_bonus)</f>
        <v>#REF!</v>
      </c>
      <c r="CE23" s="39" t="e">
        <f>MIN(#REF!,#REF!)*2</f>
        <v>#REF!</v>
      </c>
      <c r="CF23" s="39" t="e">
        <f>MIN(#REF!,#REF!)*2</f>
        <v>#REF!</v>
      </c>
      <c r="CG23" s="241" t="e">
        <f>MIN(frost_mage_cap,#REF!/frost_mage_bonus)</f>
        <v>#REF!</v>
      </c>
      <c r="CH23" s="3" t="e">
        <f>MIN(ice_elem_cap,#REF!*ice_elem_bonus)</f>
        <v>#REF!</v>
      </c>
      <c r="CI23" s="241">
        <f t="shared" si="0"/>
        <v>0.83333333333333337</v>
      </c>
      <c r="CJ23" s="241" t="e">
        <f>MIN(nox_nightshade_cap,#REF!/#REF!/nox_nightshade_swamp_bonus)</f>
        <v>#REF!</v>
      </c>
      <c r="CK23" s="242"/>
      <c r="CL23" s="242"/>
      <c r="CM23" s="242"/>
      <c r="CN23" s="241" t="e">
        <f>MIN(6,#REF!+Races!$F$19)*1.8 +  IF(#REF!+Races!$F$19&gt;6,(#REF!+Races!$F$19-6)*0.2,0) - Races!$I$19</f>
        <v>#REF!</v>
      </c>
      <c r="CO23" s="241" t="e">
        <f>1.8 * MIN(MAX(#REF!+Races!$E$20,#REF!+Races!$F$20),6)  +  0.45 * MIN(MIN(#REF!+Races!$E$20,#REF!+Races!$F$20),6)  +  0.2 * ( MAX(#REF!+Races!$E$20-6,0) + MAX(#REF!+Races!$F$20-6,0) )  -  Races!$I$20</f>
        <v>#REF!</v>
      </c>
      <c r="CP23" s="39" t="e">
        <f>#REF!*#REF!+#REF!*#REF!</f>
        <v>#REF!</v>
      </c>
      <c r="CQ23" s="145" t="e">
        <f>MIN(6,#REF!+Races!$F$35)*1.8 +  IF(#REF!+Races!$F$35&gt;6,(#REF!+Races!$F$35-6)*0.2,0) - Races!$I$19</f>
        <v>#REF!</v>
      </c>
      <c r="CR23" s="39" t="e">
        <f>sylvan*(#REF!*#REF!)</f>
        <v>#REF!</v>
      </c>
      <c r="CS23" s="145" t="e">
        <f>1.8 * MIN(MAX(Races!$E$27,#REF!+Races!$F$27),6)  +  0.45 * MIN(MIN(Races!$E$27,#REF!+Races!$F$27),6)  +  0.2 * ( MAX(Races!$E$27-6,0) + MAX(#REF!+Races!$F$27-6,0) )  -  Races!$I$20</f>
        <v>#REF!</v>
      </c>
      <c r="CT23" s="39" t="e">
        <f>gnome*(#REF!*#REF!)</f>
        <v>#REF!</v>
      </c>
      <c r="CU23" s="145" t="e">
        <f>1.8 * MIN(MAX(#REF!+Races!$E$47,#REF!+Races!$F$47),6)  +  0.45 * MIN(MIN(#REF!+Races!$E$47,#REF!+Races!$F$47),6)  +  0.2 * ( MAX(#REF!+Races!$E$47-6,0) + MAX(#REF!+Races!$F$47-6,0) )  -  Races!$I$47</f>
        <v>#REF!</v>
      </c>
      <c r="CV23" s="39" t="e">
        <f>dark_elf*(#REF!*#REF!)</f>
        <v>#REF!</v>
      </c>
      <c r="CW23" s="145" t="e">
        <f>1.8 * MIN(MAX(#REF!+Races!$F$71,Races!$E$71),6)  +  0.45 * MIN(MIN(#REF!+Races!$F$71,Races!$E$71),6)  +  0.2 * ( MAX(#REF!+Races!$F$71-6,0) + MAX(Races!$E$71-6,0) )  -  Races!$I$71</f>
        <v>#REF!</v>
      </c>
      <c r="CX23" s="145" t="e">
        <f>1.8 * MIN(MAX(#REF!+Races!$E$71,Races!$F$71),6)  +  0.45 * MIN(MIN(#REF!+Races!$E$71,Races!$F$71),6)  +  0.2 * ( MAX(#REF!+Races!$E$71-6,0) + MAX(Races!$F$71-6,0) )  -  Races!$I$71</f>
        <v>#REF!</v>
      </c>
      <c r="CY23" s="39" t="e">
        <f>#REF!*#REF!+#REF!*#REF!</f>
        <v>#REF!</v>
      </c>
      <c r="CZ23" s="243"/>
      <c r="DA23" s="135" t="e">
        <f>MIN(SUM(#REF!)/#REF!/favorable_terrain_bonus/100,favorable_terrain_max)</f>
        <v>#REF!</v>
      </c>
      <c r="DB23" s="243"/>
      <c r="DC23"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23" s="134"/>
      <c r="DE23" s="244" t="e">
        <f>(#REF!+2*#REF!)/#REF!</f>
        <v>#REF!</v>
      </c>
      <c r="DF23" s="244" t="e">
        <f>#REF!*(1+race_wizard_strength+IF(#REF!&gt;72,tech_magical_weaponry_wiz*#REF!,0))</f>
        <v>#REF!</v>
      </c>
    </row>
    <row r="24" spans="1:110" x14ac:dyDescent="0.25">
      <c r="A24" s="130" t="e">
        <f>#REF!</f>
        <v>#REF!</v>
      </c>
      <c r="B24" s="236" t="e">
        <f ca="1">SUM(#REF!)+SUM(OFFSET(#REF!,-8,0):#REF!) + SUM(OFFSET(#REF!,-11,0):#REF!) +#REF!</f>
        <v>#REF!</v>
      </c>
      <c r="C24" s="132" t="e">
        <f>#REF!</f>
        <v>#REF!</v>
      </c>
      <c r="D24" s="134"/>
      <c r="E24" s="3" t="e">
        <f ca="1">OFFSET(#REF!,-1,0) + OFFSET(#REF!,-9,0) -#REF!</f>
        <v>#REF!</v>
      </c>
      <c r="F24" s="3" t="e">
        <f ca="1">OFFSET(#REF!,-1,0) + OFFSET(#REF!,-9,0)-#REF!</f>
        <v>#REF!</v>
      </c>
      <c r="G24" s="3" t="e">
        <f ca="1">OFFSET(#REF!,-1,0) + OFFSET(#REF!,-12,0)-#REF!</f>
        <v>#REF!</v>
      </c>
      <c r="H24" s="3" t="e">
        <f ca="1">OFFSET(#REF!,-1,0) + OFFSET(#REF!,-12,0)-#REF!</f>
        <v>#REF!</v>
      </c>
      <c r="I24" s="3" t="e">
        <f ca="1">OFFSET(#REF!,-1,0) + OFFSET(#REF!,-12,0) -#REF!-#REF!</f>
        <v>#REF!</v>
      </c>
      <c r="J24" s="3" t="e">
        <f ca="1">OFFSET(#REF!,-1,0) + OFFSET(#REF!,-12,0) -#REF!</f>
        <v>#REF!</v>
      </c>
      <c r="K24" s="3" t="e">
        <f ca="1">OFFSET(#REF!,-1,0) + OFFSET(#REF!,-12,0) -#REF!-#REF!</f>
        <v>#REF!</v>
      </c>
      <c r="L24" s="3" t="e">
        <f ca="1">OFFSET(#REF!,-1,0) + OFFSET(#REF!,-12,0) -#REF!</f>
        <v>#REF!</v>
      </c>
      <c r="M24" s="134"/>
      <c r="N24" s="39" t="e">
        <f>#REF!</f>
        <v>#REF!</v>
      </c>
      <c r="O24" s="134"/>
      <c r="P24" s="237" t="e">
        <f>#REF!*spec_op+#REF!*(elite1_base_op)+#REF!*(elite2_base_op+dark_elf*#REF!+icekin*#REF!+woodie*#REF!+orc*#REF!)+kobold*#REF!</f>
        <v>#REF!</v>
      </c>
      <c r="Q24" s="132" t="e">
        <f>race_offense+#REF!+ROUND(MIN(gn_bonus*#REF!/#REF!,gn_bonus_cap),4)+MAX(IF(#REF!&gt;0,warsong_bonus),IF(#REF!&gt;0,howling_op_bonus),IF(#REF!&gt;0,nightfall_bonus),IF(#REF!&gt;0,#REF!)) +#REF!/ 100*prestige_offense_bonus + tech_5_4*#REF! + tech_7_4*#REF!</f>
        <v>#REF!</v>
      </c>
      <c r="R24" s="237" t="e">
        <f>#REF!*(1+#REF!)</f>
        <v>#REF!</v>
      </c>
      <c r="S24" s="237" t="e">
        <f>#REF!*spec_dp+#REF!*(elite1_base_dp+woodie*#REF!+sylvan*#REF!+gnome*#REF!+icekin*#REF!+nox*#REF!)+#REF!*(elite2_base_dp+woodie*#REF!) + fh_peas_dp*MIN(#REF!,20*#REF!)+kobold*#REF!</f>
        <v>#REF!</v>
      </c>
      <c r="T24" s="237" t="e">
        <f>#REF!+#REF!</f>
        <v>#REF!</v>
      </c>
      <c r="U24" s="238" t="e">
        <f>race_defense +#REF! + ROUND( MIN(gt_bonus*#REF!/#REF!,gt_bonus_cap), 4) + IF(#REF!&gt;0,howling_dp_bonus,IF(#REF!&gt;0,ares_call_bonus))</f>
        <v>#REF!</v>
      </c>
      <c r="V24" s="239" t="e">
        <f>#REF! * (1 +#REF!)</f>
        <v>#REF!</v>
      </c>
      <c r="W24" s="237" t="e">
        <f>#REF! * (1 +#REF!)</f>
        <v>#REF!</v>
      </c>
      <c r="X24" s="237" t="e">
        <f>#REF!</f>
        <v>#REF!</v>
      </c>
      <c r="Y24" s="240"/>
      <c r="Z24" s="135" t="e">
        <f ca="1">IF(#REF!&lt;&gt;"",#REF!,OFFSET(#REF!,-1,0))</f>
        <v>#REF!</v>
      </c>
      <c r="AA24" s="39" t="e">
        <f ca="1">OFFSET(#REF!,-1,0)+OFFSET(#REF!,-1,0) - SUM(#REF!,#REF!) -#REF! + SUM(#REF!) -#REF!</f>
        <v>#REF!</v>
      </c>
      <c r="AB24" s="133"/>
      <c r="AC24" s="132" t="e">
        <f>(#REF!+#REF!)/(#REF!-#REF!*20)</f>
        <v>#REF!</v>
      </c>
      <c r="AD24" s="130"/>
      <c r="AE24" s="236" t="e">
        <f>#REF!</f>
        <v>#REF!</v>
      </c>
      <c r="AF24" s="131" t="e">
        <f>#REF!</f>
        <v>#REF!</v>
      </c>
      <c r="AG24" s="164"/>
      <c r="AH24" s="164"/>
      <c r="AI24" s="164"/>
      <c r="AJ24" s="164"/>
      <c r="AK24" s="164"/>
      <c r="AL24" s="164"/>
      <c r="AM24" s="164"/>
      <c r="AN24" s="164"/>
      <c r="AO24" s="134"/>
      <c r="AP24" s="39" t="e">
        <f>#REF!</f>
        <v>#REF!</v>
      </c>
      <c r="AQ24" s="39" t="e">
        <f>INDEX(#REF!:#REF!,COUNTA(#REF!:#REF!),MATCH(Military!$AQ$2,#REF!,0))</f>
        <v>#REF!</v>
      </c>
      <c r="AR24" s="39" t="e">
        <f>#REF!*#REF!+#REF!*#REF!+#REF!*#REF!+#REF!*#REF!+#REF!*#REF!+#REF!*#REF!+#REF!*#REF!</f>
        <v>#REF!</v>
      </c>
      <c r="AS24" s="39" t="e">
        <f>#REF!*#REF!+#REF!*#REF!+#REF!*#REF!+#REF!*#REF!</f>
        <v>#REF!</v>
      </c>
      <c r="AT24" s="134" t="e">
        <f>#REF!</f>
        <v>#REF!</v>
      </c>
      <c r="AU24" s="143" t="e">
        <f>#REF!</f>
        <v>#REF!</v>
      </c>
      <c r="AV24" s="39" t="e">
        <f>#REF!</f>
        <v>#REF!</v>
      </c>
      <c r="AW24" s="164"/>
      <c r="AX24" s="164"/>
      <c r="AY24" s="164"/>
      <c r="AZ24" s="164"/>
      <c r="BA24" s="164"/>
      <c r="BB24" s="164"/>
      <c r="BC24" s="164"/>
      <c r="BD24" s="164"/>
      <c r="BE24" s="164"/>
      <c r="BF24" s="134"/>
      <c r="BG24" s="132" t="e">
        <f>#REF!/#REF!</f>
        <v>#REF!</v>
      </c>
      <c r="BH24" s="132" t="e">
        <f>#REF!/#REF!</f>
        <v>#REF!</v>
      </c>
      <c r="BI24" s="39" t="e">
        <f>ROUNDUP((1-MIN(#REF!*smithy_bonus,smithy_bonus_cap) + tech_3_5*#REF! + tech_5_3*#REF! + tech_5_5*#REF!)*spec_op_plat,0)</f>
        <v>#REF!</v>
      </c>
      <c r="BJ24" s="39" t="e">
        <f>ROUNDUP(IF(race="Gnome",1,(1-MIN(#REF!*smithy_bonus,smithy_bonus_cap) + tech_3_5*#REF! + tech_5_3*#REF! + tech_5_5*#REF!))*spec_op_ore,0)</f>
        <v>#REF!</v>
      </c>
      <c r="BK24" s="39" t="e">
        <f>ROUNDUP((1-MIN(#REF!*smithy_bonus,smithy_bonus_cap) + tech_3_5*#REF! + tech_5_3*#REF! + tech_5_5*#REF!)*spec_dp_plat,0)</f>
        <v>#REF!</v>
      </c>
      <c r="BL24" s="39" t="e">
        <f>ROUNDUP(IF(race="Gnome",1,(1-MIN(#REF!*smithy_bonus,smithy_bonus_cap) + tech_3_5*#REF! + tech_5_3*#REF! + tech_5_5*#REF!))*spec_dp_ore,0)</f>
        <v>#REF!</v>
      </c>
      <c r="BM24" s="39" t="e">
        <f>ROUNDUP((1-MIN(#REF!*smithy_bonus,smithy_bonus_cap) + tech_3_5*#REF! + tech_5_3*#REF! + tech_5_5*#REF!)*elite1_plat,0)</f>
        <v>#REF!</v>
      </c>
      <c r="BN24" s="39" t="e">
        <f>ROUNDUP(IF(race="Gnome",1,(1-MIN(#REF!*smithy_bonus,smithy_bonus_cap) + tech_3_5*#REF! + tech_5_3*#REF! + tech_5_5*#REF!))*elite1_ore,0)</f>
        <v>#REF!</v>
      </c>
      <c r="BO24" s="39" t="e">
        <f>ROUNDUP((1-MIN(#REF!*smithy_bonus,smithy_bonus_cap) + tech_3_5*#REF! + tech_5_3*#REF! + tech_5_5*#REF!)*elite2_plat,0)</f>
        <v>#REF!</v>
      </c>
      <c r="BP24" s="39" t="e">
        <f>ROUNDUP(IF(race="Gnome",1,(1-MIN(#REF!*smithy_bonus,smithy_bonus_cap) + tech_3_5*#REF! + tech_5_3*#REF! + tech_5_5*#REF!))*elite2_ore,0)</f>
        <v>#REF!</v>
      </c>
      <c r="BQ24" s="39" t="e">
        <f>ROUNDUP((1-MIN(ROUND(fh_spy_cost_red*#REF!,4),fh_spy_cost_cap)+ tech_1_9*#REF! + tech_9_1*#REF!)*spy_plat,0)</f>
        <v>#REF!</v>
      </c>
      <c r="BR24" s="39" t="e">
        <f>ROUNDUP((1-MIN(ROUND(fh_spy_cost_red*#REF!,4),fh_spy_cost_cap)+ tech_1_9*#REF! + tech_9_1*#REF!)*archspy_plat,0)</f>
        <v>#REF!</v>
      </c>
      <c r="BS24" s="39" t="e">
        <f>ROUNDUP((1-MIN(ROUND(wg_wiz_cost_bonus*#REF!,4),wg_wiz_cost_cap) + tech_1_9_2*#REF! + tech_9_1_2*#REF!)*wizard_plat,0)</f>
        <v>#REF!</v>
      </c>
      <c r="BT24" s="39" t="e">
        <f>ROUNDUP((1-MIN(ROUND(wg_wiz_cost_bonus*#REF!,4),wg_wiz_cost_cap) + tech_1_9_2*#REF! + tech_9_1_2*#REF!)*archmage_plat,0)</f>
        <v>#REF!</v>
      </c>
      <c r="BU24" s="134"/>
      <c r="BV24" s="132" t="e">
        <f>#REF!/#REF!</f>
        <v>#REF!</v>
      </c>
      <c r="BW24" s="132" t="e">
        <f>#REF!</f>
        <v>#REF!</v>
      </c>
      <c r="BX24" s="241" t="e">
        <f>IF(mystic_cap="none",#REF!/mystic_bonus,MIN(mystic_cap,#REF!/mystic_bonus))</f>
        <v>#REF!</v>
      </c>
      <c r="BY24" s="241" t="e">
        <f>IF(druid_op_cap="none",#REF!/druid_op_bonus,MIN(druid_op_cap,#REF!/druid_op_bonus))</f>
        <v>#REF!</v>
      </c>
      <c r="BZ24" s="241" t="e">
        <f>IF(druid_dp_cap="none",#REF!/druid_dp_bonus,MIN(druid_dp_cap,#REF!/druid_dp_bonus))</f>
        <v>#REF!</v>
      </c>
      <c r="CA24" s="241" t="e">
        <f>MIN(dryad_cap,#REF!/dryad_bonus)</f>
        <v>#REF!</v>
      </c>
      <c r="CB24" s="241" t="e">
        <f>MIN(rocka_cap,#REF!/rocka_bonus)</f>
        <v>#REF!</v>
      </c>
      <c r="CC24" s="241" t="e">
        <f>MIN(adept_op_cap,#REF!/adept_op_bonus)</f>
        <v>#REF!</v>
      </c>
      <c r="CD24" s="241" t="e">
        <f>MIN(adept_dp_cap,#REF!/adept_dp_bonus)</f>
        <v>#REF!</v>
      </c>
      <c r="CE24" s="39" t="e">
        <f>MIN(#REF!,#REF!)*2</f>
        <v>#REF!</v>
      </c>
      <c r="CF24" s="39" t="e">
        <f>MIN(#REF!,#REF!)*2</f>
        <v>#REF!</v>
      </c>
      <c r="CG24" s="241" t="e">
        <f>MIN(frost_mage_cap,#REF!/frost_mage_bonus)</f>
        <v>#REF!</v>
      </c>
      <c r="CH24" s="3" t="e">
        <f>MIN(ice_elem_cap,#REF!*ice_elem_bonus)</f>
        <v>#REF!</v>
      </c>
      <c r="CI24" s="241">
        <f t="shared" si="0"/>
        <v>0.83333333333333337</v>
      </c>
      <c r="CJ24" s="241" t="e">
        <f>MIN(nox_nightshade_cap,#REF!/#REF!/nox_nightshade_swamp_bonus)</f>
        <v>#REF!</v>
      </c>
      <c r="CK24" s="242" t="s">
        <v>3</v>
      </c>
      <c r="CL24" s="242" t="b">
        <f>CK24=secondary_resource</f>
        <v>1</v>
      </c>
      <c r="CM24" s="242"/>
      <c r="CN24" s="241" t="e">
        <f>MIN(6,#REF!+Races!$F$19)*1.8 +  IF(#REF!+Races!$F$19&gt;6,(#REF!+Races!$F$19-6)*0.2,0) - Races!$I$19</f>
        <v>#REF!</v>
      </c>
      <c r="CO24" s="241" t="e">
        <f>1.8 * MIN(MAX(#REF!+Races!$E$20,#REF!+Races!$F$20),6)  +  0.45 * MIN(MIN(#REF!+Races!$E$20,#REF!+Races!$F$20),6)  +  0.2 * ( MAX(#REF!+Races!$E$20-6,0) + MAX(#REF!+Races!$F$20-6,0) )  -  Races!$I$20</f>
        <v>#REF!</v>
      </c>
      <c r="CP24" s="39" t="e">
        <f>#REF!*#REF!+#REF!*#REF!</f>
        <v>#REF!</v>
      </c>
      <c r="CQ24" s="145" t="e">
        <f>MIN(6,#REF!+Races!$F$35)*1.8 +  IF(#REF!+Races!$F$35&gt;6,(#REF!+Races!$F$35-6)*0.2,0) - Races!$I$19</f>
        <v>#REF!</v>
      </c>
      <c r="CR24" s="39" t="e">
        <f>sylvan*(#REF!*#REF!)</f>
        <v>#REF!</v>
      </c>
      <c r="CS24" s="145" t="e">
        <f>1.8 * MIN(MAX(Races!$E$27,#REF!+Races!$F$27),6)  +  0.45 * MIN(MIN(Races!$E$27,#REF!+Races!$F$27),6)  +  0.2 * ( MAX(Races!$E$27-6,0) + MAX(#REF!+Races!$F$27-6,0) )  -  Races!$I$20</f>
        <v>#REF!</v>
      </c>
      <c r="CT24" s="39" t="e">
        <f>gnome*(#REF!*#REF!)</f>
        <v>#REF!</v>
      </c>
      <c r="CU24" s="145" t="e">
        <f>1.8 * MIN(MAX(#REF!+Races!$E$47,#REF!+Races!$F$47),6)  +  0.45 * MIN(MIN(#REF!+Races!$E$47,#REF!+Races!$F$47),6)  +  0.2 * ( MAX(#REF!+Races!$E$47-6,0) + MAX(#REF!+Races!$F$47-6,0) )  -  Races!$I$47</f>
        <v>#REF!</v>
      </c>
      <c r="CV24" s="39" t="e">
        <f>dark_elf*(#REF!*#REF!)</f>
        <v>#REF!</v>
      </c>
      <c r="CW24" s="145" t="e">
        <f>1.8 * MIN(MAX(#REF!+Races!$F$71,Races!$E$71),6)  +  0.45 * MIN(MIN(#REF!+Races!$F$71,Races!$E$71),6)  +  0.2 * ( MAX(#REF!+Races!$F$71-6,0) + MAX(Races!$E$71-6,0) )  -  Races!$I$71</f>
        <v>#REF!</v>
      </c>
      <c r="CX24" s="145" t="e">
        <f>1.8 * MIN(MAX(#REF!+Races!$E$71,Races!$F$71),6)  +  0.45 * MIN(MIN(#REF!+Races!$E$71,Races!$F$71),6)  +  0.2 * ( MAX(#REF!+Races!$E$71-6,0) + MAX(Races!$F$71-6,0) )  -  Races!$I$71</f>
        <v>#REF!</v>
      </c>
      <c r="CY24" s="39" t="e">
        <f>#REF!*#REF!+#REF!*#REF!</f>
        <v>#REF!</v>
      </c>
      <c r="CZ24" s="243"/>
      <c r="DA24" s="135" t="e">
        <f>MIN(SUM(#REF!)/#REF!/favorable_terrain_bonus/100,favorable_terrain_max)</f>
        <v>#REF!</v>
      </c>
      <c r="DB24" s="243"/>
      <c r="DC24"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24" s="134"/>
      <c r="DE24" s="244" t="e">
        <f>(#REF!+2*#REF!)/#REF!</f>
        <v>#REF!</v>
      </c>
      <c r="DF24" s="244" t="e">
        <f>#REF!*(1+race_wizard_strength+IF(#REF!&gt;72,tech_magical_weaponry_wiz*#REF!,0))</f>
        <v>#REF!</v>
      </c>
    </row>
    <row r="25" spans="1:110" x14ac:dyDescent="0.25">
      <c r="A25" s="130" t="e">
        <f>#REF!</f>
        <v>#REF!</v>
      </c>
      <c r="B25" s="236" t="e">
        <f ca="1">SUM(#REF!)+SUM(OFFSET(#REF!,-8,0):#REF!) + SUM(OFFSET(#REF!,-11,0):#REF!) +#REF!</f>
        <v>#REF!</v>
      </c>
      <c r="C25" s="132" t="e">
        <f>#REF!</f>
        <v>#REF!</v>
      </c>
      <c r="D25" s="134"/>
      <c r="E25" s="3" t="e">
        <f ca="1">OFFSET(#REF!,-1,0) + OFFSET(#REF!,-9,0) -#REF!</f>
        <v>#REF!</v>
      </c>
      <c r="F25" s="3" t="e">
        <f ca="1">OFFSET(#REF!,-1,0) + OFFSET(#REF!,-9,0)-#REF!</f>
        <v>#REF!</v>
      </c>
      <c r="G25" s="3" t="e">
        <f ca="1">OFFSET(#REF!,-1,0) + OFFSET(#REF!,-12,0)-#REF!</f>
        <v>#REF!</v>
      </c>
      <c r="H25" s="3" t="e">
        <f ca="1">OFFSET(#REF!,-1,0) + OFFSET(#REF!,-12,0)-#REF!</f>
        <v>#REF!</v>
      </c>
      <c r="I25" s="3" t="e">
        <f ca="1">OFFSET(#REF!,-1,0) + OFFSET(#REF!,-12,0) -#REF!-#REF!</f>
        <v>#REF!</v>
      </c>
      <c r="J25" s="3" t="e">
        <f ca="1">OFFSET(#REF!,-1,0) + OFFSET(#REF!,-12,0) -#REF!</f>
        <v>#REF!</v>
      </c>
      <c r="K25" s="3" t="e">
        <f ca="1">OFFSET(#REF!,-1,0) + OFFSET(#REF!,-12,0) -#REF!-#REF!</f>
        <v>#REF!</v>
      </c>
      <c r="L25" s="3" t="e">
        <f ca="1">OFFSET(#REF!,-1,0) + OFFSET(#REF!,-12,0) -#REF!</f>
        <v>#REF!</v>
      </c>
      <c r="M25" s="134"/>
      <c r="N25" s="39" t="e">
        <f>#REF!</f>
        <v>#REF!</v>
      </c>
      <c r="O25" s="134"/>
      <c r="P25" s="237" t="e">
        <f>#REF!*spec_op+#REF!*(elite1_base_op)+#REF!*(elite2_base_op+dark_elf*#REF!+icekin*#REF!+woodie*#REF!+orc*#REF!)+kobold*#REF!</f>
        <v>#REF!</v>
      </c>
      <c r="Q25" s="132" t="e">
        <f>race_offense+#REF!+ROUND(MIN(gn_bonus*#REF!/#REF!,gn_bonus_cap),4)+MAX(IF(#REF!&gt;0,warsong_bonus),IF(#REF!&gt;0,howling_op_bonus),IF(#REF!&gt;0,nightfall_bonus),IF(#REF!&gt;0,#REF!)) +#REF!/ 100*prestige_offense_bonus + tech_5_4*#REF! + tech_7_4*#REF!</f>
        <v>#REF!</v>
      </c>
      <c r="R25" s="237" t="e">
        <f>#REF!*(1+#REF!)</f>
        <v>#REF!</v>
      </c>
      <c r="S25" s="237" t="e">
        <f>#REF!*spec_dp+#REF!*(elite1_base_dp+woodie*#REF!+sylvan*#REF!+gnome*#REF!+icekin*#REF!+nox*#REF!)+#REF!*(elite2_base_dp+woodie*#REF!) + fh_peas_dp*MIN(#REF!,20*#REF!)+kobold*#REF!</f>
        <v>#REF!</v>
      </c>
      <c r="T25" s="237" t="e">
        <f>#REF!+#REF!</f>
        <v>#REF!</v>
      </c>
      <c r="U25" s="238" t="e">
        <f>race_defense +#REF! + ROUND( MIN(gt_bonus*#REF!/#REF!,gt_bonus_cap), 4) + IF(#REF!&gt;0,howling_dp_bonus,IF(#REF!&gt;0,ares_call_bonus))</f>
        <v>#REF!</v>
      </c>
      <c r="V25" s="239" t="e">
        <f>#REF! * (1 +#REF!)</f>
        <v>#REF!</v>
      </c>
      <c r="W25" s="237" t="e">
        <f>#REF! * (1 +#REF!)</f>
        <v>#REF!</v>
      </c>
      <c r="X25" s="237" t="e">
        <f>#REF!</f>
        <v>#REF!</v>
      </c>
      <c r="Y25" s="240"/>
      <c r="Z25" s="135" t="e">
        <f ca="1">IF(#REF!&lt;&gt;"",#REF!,OFFSET(#REF!,-1,0))</f>
        <v>#REF!</v>
      </c>
      <c r="AA25" s="39" t="e">
        <f ca="1">OFFSET(#REF!,-1,0)+OFFSET(#REF!,-1,0) - SUM(#REF!,#REF!) -#REF! + SUM(#REF!) -#REF!</f>
        <v>#REF!</v>
      </c>
      <c r="AB25" s="133"/>
      <c r="AC25" s="132" t="e">
        <f>(#REF!+#REF!)/(#REF!-#REF!*20)</f>
        <v>#REF!</v>
      </c>
      <c r="AD25" s="130"/>
      <c r="AE25" s="236" t="e">
        <f>#REF!</f>
        <v>#REF!</v>
      </c>
      <c r="AF25" s="131" t="e">
        <f>#REF!</f>
        <v>#REF!</v>
      </c>
      <c r="AG25" s="164"/>
      <c r="AH25" s="164"/>
      <c r="AI25" s="164"/>
      <c r="AJ25" s="164"/>
      <c r="AK25" s="164"/>
      <c r="AL25" s="164"/>
      <c r="AM25" s="164"/>
      <c r="AN25" s="164"/>
      <c r="AO25" s="134"/>
      <c r="AP25" s="39" t="e">
        <f>#REF!</f>
        <v>#REF!</v>
      </c>
      <c r="AQ25" s="39" t="e">
        <f>INDEX(#REF!:#REF!,COUNTA(#REF!:#REF!),MATCH(Military!$AQ$2,#REF!,0))</f>
        <v>#REF!</v>
      </c>
      <c r="AR25" s="39" t="e">
        <f>#REF!*#REF!+#REF!*#REF!+#REF!*#REF!+#REF!*#REF!+#REF!*#REF!+#REF!*#REF!+#REF!*#REF!</f>
        <v>#REF!</v>
      </c>
      <c r="AS25" s="39" t="e">
        <f>#REF!*#REF!+#REF!*#REF!+#REF!*#REF!+#REF!*#REF!</f>
        <v>#REF!</v>
      </c>
      <c r="AT25" s="134" t="e">
        <f>#REF!</f>
        <v>#REF!</v>
      </c>
      <c r="AU25" s="143" t="e">
        <f>#REF!</f>
        <v>#REF!</v>
      </c>
      <c r="AV25" s="39" t="e">
        <f>#REF!</f>
        <v>#REF!</v>
      </c>
      <c r="AW25" s="164"/>
      <c r="AX25" s="164"/>
      <c r="AY25" s="164"/>
      <c r="AZ25" s="164"/>
      <c r="BA25" s="164"/>
      <c r="BB25" s="164"/>
      <c r="BC25" s="164"/>
      <c r="BD25" s="164"/>
      <c r="BE25" s="164"/>
      <c r="BF25" s="134"/>
      <c r="BG25" s="132" t="e">
        <f>#REF!/#REF!</f>
        <v>#REF!</v>
      </c>
      <c r="BH25" s="132" t="e">
        <f>#REF!/#REF!</f>
        <v>#REF!</v>
      </c>
      <c r="BI25" s="39" t="e">
        <f>ROUNDUP((1-MIN(#REF!*smithy_bonus,smithy_bonus_cap) + tech_3_5*#REF! + tech_5_3*#REF! + tech_5_5*#REF!)*spec_op_plat,0)</f>
        <v>#REF!</v>
      </c>
      <c r="BJ25" s="39" t="e">
        <f>ROUNDUP(IF(race="Gnome",1,(1-MIN(#REF!*smithy_bonus,smithy_bonus_cap) + tech_3_5*#REF! + tech_5_3*#REF! + tech_5_5*#REF!))*spec_op_ore,0)</f>
        <v>#REF!</v>
      </c>
      <c r="BK25" s="39" t="e">
        <f>ROUNDUP((1-MIN(#REF!*smithy_bonus,smithy_bonus_cap) + tech_3_5*#REF! + tech_5_3*#REF! + tech_5_5*#REF!)*spec_dp_plat,0)</f>
        <v>#REF!</v>
      </c>
      <c r="BL25" s="39" t="e">
        <f>ROUNDUP(IF(race="Gnome",1,(1-MIN(#REF!*smithy_bonus,smithy_bonus_cap) + tech_3_5*#REF! + tech_5_3*#REF! + tech_5_5*#REF!))*spec_dp_ore,0)</f>
        <v>#REF!</v>
      </c>
      <c r="BM25" s="39" t="e">
        <f>ROUNDUP((1-MIN(#REF!*smithy_bonus,smithy_bonus_cap) + tech_3_5*#REF! + tech_5_3*#REF! + tech_5_5*#REF!)*elite1_plat,0)</f>
        <v>#REF!</v>
      </c>
      <c r="BN25" s="39" t="e">
        <f>ROUNDUP(IF(race="Gnome",1,(1-MIN(#REF!*smithy_bonus,smithy_bonus_cap) + tech_3_5*#REF! + tech_5_3*#REF! + tech_5_5*#REF!))*elite1_ore,0)</f>
        <v>#REF!</v>
      </c>
      <c r="BO25" s="39" t="e">
        <f>ROUNDUP((1-MIN(#REF!*smithy_bonus,smithy_bonus_cap) + tech_3_5*#REF! + tech_5_3*#REF! + tech_5_5*#REF!)*elite2_plat,0)</f>
        <v>#REF!</v>
      </c>
      <c r="BP25" s="39" t="e">
        <f>ROUNDUP(IF(race="Gnome",1,(1-MIN(#REF!*smithy_bonus,smithy_bonus_cap) + tech_3_5*#REF! + tech_5_3*#REF! + tech_5_5*#REF!))*elite2_ore,0)</f>
        <v>#REF!</v>
      </c>
      <c r="BQ25" s="39" t="e">
        <f>ROUNDUP((1-MIN(ROUND(fh_spy_cost_red*#REF!,4),fh_spy_cost_cap)+ tech_1_9*#REF! + tech_9_1*#REF!)*spy_plat,0)</f>
        <v>#REF!</v>
      </c>
      <c r="BR25" s="39" t="e">
        <f>ROUNDUP((1-MIN(ROUND(fh_spy_cost_red*#REF!,4),fh_spy_cost_cap)+ tech_1_9*#REF! + tech_9_1*#REF!)*archspy_plat,0)</f>
        <v>#REF!</v>
      </c>
      <c r="BS25" s="39" t="e">
        <f>ROUNDUP((1-MIN(ROUND(wg_wiz_cost_bonus*#REF!,4),wg_wiz_cost_cap) + tech_1_9_2*#REF! + tech_9_1_2*#REF!)*wizard_plat,0)</f>
        <v>#REF!</v>
      </c>
      <c r="BT25" s="39" t="e">
        <f>ROUNDUP((1-MIN(ROUND(wg_wiz_cost_bonus*#REF!,4),wg_wiz_cost_cap) + tech_1_9_2*#REF! + tech_9_1_2*#REF!)*archmage_plat,0)</f>
        <v>#REF!</v>
      </c>
      <c r="BU25" s="134"/>
      <c r="BV25" s="132" t="e">
        <f>#REF!/#REF!</f>
        <v>#REF!</v>
      </c>
      <c r="BW25" s="132" t="e">
        <f>#REF!</f>
        <v>#REF!</v>
      </c>
      <c r="BX25" s="241" t="e">
        <f>IF(mystic_cap="none",#REF!/mystic_bonus,MIN(mystic_cap,#REF!/mystic_bonus))</f>
        <v>#REF!</v>
      </c>
      <c r="BY25" s="241" t="e">
        <f>IF(druid_op_cap="none",#REF!/druid_op_bonus,MIN(druid_op_cap,#REF!/druid_op_bonus))</f>
        <v>#REF!</v>
      </c>
      <c r="BZ25" s="241" t="e">
        <f>IF(druid_dp_cap="none",#REF!/druid_dp_bonus,MIN(druid_dp_cap,#REF!/druid_dp_bonus))</f>
        <v>#REF!</v>
      </c>
      <c r="CA25" s="241" t="e">
        <f>MIN(dryad_cap,#REF!/dryad_bonus)</f>
        <v>#REF!</v>
      </c>
      <c r="CB25" s="241" t="e">
        <f>MIN(rocka_cap,#REF!/rocka_bonus)</f>
        <v>#REF!</v>
      </c>
      <c r="CC25" s="241" t="e">
        <f>MIN(adept_op_cap,#REF!/adept_op_bonus)</f>
        <v>#REF!</v>
      </c>
      <c r="CD25" s="241" t="e">
        <f>MIN(adept_dp_cap,#REF!/adept_dp_bonus)</f>
        <v>#REF!</v>
      </c>
      <c r="CE25" s="39" t="e">
        <f>MIN(#REF!,#REF!)*2</f>
        <v>#REF!</v>
      </c>
      <c r="CF25" s="39" t="e">
        <f>MIN(#REF!,#REF!)*2</f>
        <v>#REF!</v>
      </c>
      <c r="CG25" s="241" t="e">
        <f>MIN(frost_mage_cap,#REF!/frost_mage_bonus)</f>
        <v>#REF!</v>
      </c>
      <c r="CH25" s="3" t="e">
        <f>MIN(ice_elem_cap,#REF!*ice_elem_bonus)</f>
        <v>#REF!</v>
      </c>
      <c r="CI25" s="241">
        <f t="shared" si="0"/>
        <v>0.83333333333333337</v>
      </c>
      <c r="CJ25" s="241" t="e">
        <f>MIN(nox_nightshade_cap,#REF!/#REF!/nox_nightshade_swamp_bonus)</f>
        <v>#REF!</v>
      </c>
      <c r="CK25" s="242" t="s">
        <v>7</v>
      </c>
      <c r="CL25" s="242" t="b">
        <f>CK25=secondary_resource</f>
        <v>0</v>
      </c>
      <c r="CM25" s="242"/>
      <c r="CN25" s="241" t="e">
        <f>MIN(6,#REF!+Races!$F$19)*1.8 +  IF(#REF!+Races!$F$19&gt;6,(#REF!+Races!$F$19-6)*0.2,0) - Races!$I$19</f>
        <v>#REF!</v>
      </c>
      <c r="CO25" s="241" t="e">
        <f>1.8 * MIN(MAX(#REF!+Races!$E$20,#REF!+Races!$F$20),6)  +  0.45 * MIN(MIN(#REF!+Races!$E$20,#REF!+Races!$F$20),6)  +  0.2 * ( MAX(#REF!+Races!$E$20-6,0) + MAX(#REF!+Races!$F$20-6,0) )  -  Races!$I$20</f>
        <v>#REF!</v>
      </c>
      <c r="CP25" s="39" t="e">
        <f>#REF!*#REF!+#REF!*#REF!</f>
        <v>#REF!</v>
      </c>
      <c r="CQ25" s="145" t="e">
        <f>MIN(6,#REF!+Races!$F$35)*1.8 +  IF(#REF!+Races!$F$35&gt;6,(#REF!+Races!$F$35-6)*0.2,0) - Races!$I$19</f>
        <v>#REF!</v>
      </c>
      <c r="CR25" s="39" t="e">
        <f>sylvan*(#REF!*#REF!)</f>
        <v>#REF!</v>
      </c>
      <c r="CS25" s="145" t="e">
        <f>1.8 * MIN(MAX(Races!$E$27,#REF!+Races!$F$27),6)  +  0.45 * MIN(MIN(Races!$E$27,#REF!+Races!$F$27),6)  +  0.2 * ( MAX(Races!$E$27-6,0) + MAX(#REF!+Races!$F$27-6,0) )  -  Races!$I$20</f>
        <v>#REF!</v>
      </c>
      <c r="CT25" s="39" t="e">
        <f>gnome*(#REF!*#REF!)</f>
        <v>#REF!</v>
      </c>
      <c r="CU25" s="145" t="e">
        <f>1.8 * MIN(MAX(#REF!+Races!$E$47,#REF!+Races!$F$47),6)  +  0.45 * MIN(MIN(#REF!+Races!$E$47,#REF!+Races!$F$47),6)  +  0.2 * ( MAX(#REF!+Races!$E$47-6,0) + MAX(#REF!+Races!$F$47-6,0) )  -  Races!$I$47</f>
        <v>#REF!</v>
      </c>
      <c r="CV25" s="39" t="e">
        <f>dark_elf*(#REF!*#REF!)</f>
        <v>#REF!</v>
      </c>
      <c r="CW25" s="145" t="e">
        <f>1.8 * MIN(MAX(#REF!+Races!$F$71,Races!$E$71),6)  +  0.45 * MIN(MIN(#REF!+Races!$F$71,Races!$E$71),6)  +  0.2 * ( MAX(#REF!+Races!$F$71-6,0) + MAX(Races!$E$71-6,0) )  -  Races!$I$71</f>
        <v>#REF!</v>
      </c>
      <c r="CX25" s="145" t="e">
        <f>1.8 * MIN(MAX(#REF!+Races!$E$71,Races!$F$71),6)  +  0.45 * MIN(MIN(#REF!+Races!$E$71,Races!$F$71),6)  +  0.2 * ( MAX(#REF!+Races!$E$71-6,0) + MAX(Races!$F$71-6,0) )  -  Races!$I$71</f>
        <v>#REF!</v>
      </c>
      <c r="CY25" s="39" t="e">
        <f>#REF!*#REF!+#REF!*#REF!</f>
        <v>#REF!</v>
      </c>
      <c r="CZ25" s="243"/>
      <c r="DA25" s="135" t="e">
        <f>MIN(SUM(#REF!)/#REF!/favorable_terrain_bonus/100,favorable_terrain_max)</f>
        <v>#REF!</v>
      </c>
      <c r="DB25" s="243"/>
      <c r="DC25"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25" s="134"/>
      <c r="DE25" s="244" t="e">
        <f>(#REF!+2*#REF!)/#REF!</f>
        <v>#REF!</v>
      </c>
      <c r="DF25" s="244" t="e">
        <f>#REF!*(1+race_wizard_strength+IF(#REF!&gt;72,tech_magical_weaponry_wiz*#REF!,0))</f>
        <v>#REF!</v>
      </c>
    </row>
    <row r="26" spans="1:110" x14ac:dyDescent="0.25">
      <c r="A26" s="130" t="e">
        <f>#REF!</f>
        <v>#REF!</v>
      </c>
      <c r="B26" s="236" t="e">
        <f ca="1">SUM(#REF!)+SUM(OFFSET(#REF!,-8,0):#REF!) + SUM(OFFSET(#REF!,-11,0):#REF!) +#REF!</f>
        <v>#REF!</v>
      </c>
      <c r="C26" s="132" t="e">
        <f>#REF!</f>
        <v>#REF!</v>
      </c>
      <c r="D26" s="134"/>
      <c r="E26" s="3" t="e">
        <f ca="1">OFFSET(#REF!,-1,0) + OFFSET(#REF!,-9,0) -#REF!</f>
        <v>#REF!</v>
      </c>
      <c r="F26" s="3" t="e">
        <f ca="1">OFFSET(#REF!,-1,0) + OFFSET(#REF!,-9,0)-#REF!</f>
        <v>#REF!</v>
      </c>
      <c r="G26" s="3" t="e">
        <f ca="1">OFFSET(#REF!,-1,0) + OFFSET(#REF!,-12,0)-#REF!</f>
        <v>#REF!</v>
      </c>
      <c r="H26" s="3" t="e">
        <f ca="1">OFFSET(#REF!,-1,0) + OFFSET(#REF!,-12,0)-#REF!</f>
        <v>#REF!</v>
      </c>
      <c r="I26" s="3" t="e">
        <f ca="1">OFFSET(#REF!,-1,0) + OFFSET(#REF!,-12,0) -#REF!-#REF!</f>
        <v>#REF!</v>
      </c>
      <c r="J26" s="3" t="e">
        <f ca="1">OFFSET(#REF!,-1,0) + OFFSET(#REF!,-12,0) -#REF!</f>
        <v>#REF!</v>
      </c>
      <c r="K26" s="3" t="e">
        <f ca="1">OFFSET(#REF!,-1,0) + OFFSET(#REF!,-12,0) -#REF!-#REF!</f>
        <v>#REF!</v>
      </c>
      <c r="L26" s="3" t="e">
        <f ca="1">OFFSET(#REF!,-1,0) + OFFSET(#REF!,-12,0) -#REF!</f>
        <v>#REF!</v>
      </c>
      <c r="M26" s="134"/>
      <c r="N26" s="39" t="e">
        <f>#REF!</f>
        <v>#REF!</v>
      </c>
      <c r="O26" s="134"/>
      <c r="P26" s="237" t="e">
        <f>#REF!*spec_op+#REF!*(elite1_base_op)+#REF!*(elite2_base_op+dark_elf*#REF!+icekin*#REF!+woodie*#REF!+orc*#REF!)+kobold*#REF!</f>
        <v>#REF!</v>
      </c>
      <c r="Q26" s="132" t="e">
        <f>race_offense+#REF!+ROUND(MIN(gn_bonus*#REF!/#REF!,gn_bonus_cap),4)+MAX(IF(#REF!&gt;0,warsong_bonus),IF(#REF!&gt;0,howling_op_bonus),IF(#REF!&gt;0,nightfall_bonus),IF(#REF!&gt;0,#REF!)) +#REF!/ 100*prestige_offense_bonus + tech_5_4*#REF! + tech_7_4*#REF!</f>
        <v>#REF!</v>
      </c>
      <c r="R26" s="237" t="e">
        <f>#REF!*(1+#REF!)</f>
        <v>#REF!</v>
      </c>
      <c r="S26" s="237" t="e">
        <f>#REF!*spec_dp+#REF!*(elite1_base_dp+woodie*#REF!+sylvan*#REF!+gnome*#REF!+icekin*#REF!+nox*#REF!)+#REF!*(elite2_base_dp+woodie*#REF!) + fh_peas_dp*MIN(#REF!,20*#REF!)+kobold*#REF!</f>
        <v>#REF!</v>
      </c>
      <c r="T26" s="237" t="e">
        <f>#REF!+#REF!</f>
        <v>#REF!</v>
      </c>
      <c r="U26" s="238" t="e">
        <f>race_defense +#REF! + ROUND( MIN(gt_bonus*#REF!/#REF!,gt_bonus_cap), 4) + IF(#REF!&gt;0,howling_dp_bonus,IF(#REF!&gt;0,ares_call_bonus))</f>
        <v>#REF!</v>
      </c>
      <c r="V26" s="239" t="e">
        <f>#REF! * (1 +#REF!)</f>
        <v>#REF!</v>
      </c>
      <c r="W26" s="237" t="e">
        <f>#REF! * (1 +#REF!)</f>
        <v>#REF!</v>
      </c>
      <c r="X26" s="237" t="e">
        <f>#REF!</f>
        <v>#REF!</v>
      </c>
      <c r="Y26" s="240"/>
      <c r="Z26" s="135" t="e">
        <f ca="1">IF(#REF!&lt;&gt;"",#REF!,OFFSET(#REF!,-1,0))</f>
        <v>#REF!</v>
      </c>
      <c r="AA26" s="39" t="e">
        <f ca="1">OFFSET(#REF!,-1,0)+OFFSET(#REF!,-1,0) - SUM(#REF!,#REF!) -#REF! + SUM(#REF!) -#REF!</f>
        <v>#REF!</v>
      </c>
      <c r="AB26" s="133"/>
      <c r="AC26" s="132" t="e">
        <f>(#REF!+#REF!)/(#REF!-#REF!*20)</f>
        <v>#REF!</v>
      </c>
      <c r="AD26" s="130"/>
      <c r="AE26" s="236" t="e">
        <f>#REF!</f>
        <v>#REF!</v>
      </c>
      <c r="AF26" s="131" t="e">
        <f>#REF!</f>
        <v>#REF!</v>
      </c>
      <c r="AG26" s="164"/>
      <c r="AH26" s="164"/>
      <c r="AI26" s="164"/>
      <c r="AJ26" s="164"/>
      <c r="AK26" s="164"/>
      <c r="AL26" s="164"/>
      <c r="AM26" s="164"/>
      <c r="AN26" s="164"/>
      <c r="AO26" s="134"/>
      <c r="AP26" s="39" t="e">
        <f>#REF!</f>
        <v>#REF!</v>
      </c>
      <c r="AQ26" s="39" t="e">
        <f>INDEX(#REF!:#REF!,COUNTA(#REF!:#REF!),MATCH(Military!$AQ$2,#REF!,0))</f>
        <v>#REF!</v>
      </c>
      <c r="AR26" s="39" t="e">
        <f>#REF!*#REF!+#REF!*#REF!+#REF!*#REF!+#REF!*#REF!+#REF!*#REF!+#REF!*#REF!+#REF!*#REF!</f>
        <v>#REF!</v>
      </c>
      <c r="AS26" s="39" t="e">
        <f>#REF!*#REF!+#REF!*#REF!+#REF!*#REF!+#REF!*#REF!</f>
        <v>#REF!</v>
      </c>
      <c r="AT26" s="134" t="e">
        <f>#REF!</f>
        <v>#REF!</v>
      </c>
      <c r="AU26" s="143" t="e">
        <f>#REF!</f>
        <v>#REF!</v>
      </c>
      <c r="AV26" s="39" t="e">
        <f>#REF!</f>
        <v>#REF!</v>
      </c>
      <c r="AW26" s="164"/>
      <c r="AX26" s="164"/>
      <c r="AY26" s="164"/>
      <c r="AZ26" s="164"/>
      <c r="BA26" s="164"/>
      <c r="BB26" s="164"/>
      <c r="BC26" s="164"/>
      <c r="BD26" s="164"/>
      <c r="BE26" s="164"/>
      <c r="BF26" s="134"/>
      <c r="BG26" s="132" t="e">
        <f>#REF!/#REF!</f>
        <v>#REF!</v>
      </c>
      <c r="BH26" s="132" t="e">
        <f>#REF!/#REF!</f>
        <v>#REF!</v>
      </c>
      <c r="BI26" s="39" t="e">
        <f>ROUNDUP((1-MIN(#REF!*smithy_bonus,smithy_bonus_cap) + tech_3_5*#REF! + tech_5_3*#REF! + tech_5_5*#REF!)*spec_op_plat,0)</f>
        <v>#REF!</v>
      </c>
      <c r="BJ26" s="39" t="e">
        <f>ROUNDUP(IF(race="Gnome",1,(1-MIN(#REF!*smithy_bonus,smithy_bonus_cap) + tech_3_5*#REF! + tech_5_3*#REF! + tech_5_5*#REF!))*spec_op_ore,0)</f>
        <v>#REF!</v>
      </c>
      <c r="BK26" s="39" t="e">
        <f>ROUNDUP((1-MIN(#REF!*smithy_bonus,smithy_bonus_cap) + tech_3_5*#REF! + tech_5_3*#REF! + tech_5_5*#REF!)*spec_dp_plat,0)</f>
        <v>#REF!</v>
      </c>
      <c r="BL26" s="39" t="e">
        <f>ROUNDUP(IF(race="Gnome",1,(1-MIN(#REF!*smithy_bonus,smithy_bonus_cap) + tech_3_5*#REF! + tech_5_3*#REF! + tech_5_5*#REF!))*spec_dp_ore,0)</f>
        <v>#REF!</v>
      </c>
      <c r="BM26" s="39" t="e">
        <f>ROUNDUP((1-MIN(#REF!*smithy_bonus,smithy_bonus_cap) + tech_3_5*#REF! + tech_5_3*#REF! + tech_5_5*#REF!)*elite1_plat,0)</f>
        <v>#REF!</v>
      </c>
      <c r="BN26" s="39" t="e">
        <f>ROUNDUP(IF(race="Gnome",1,(1-MIN(#REF!*smithy_bonus,smithy_bonus_cap) + tech_3_5*#REF! + tech_5_3*#REF! + tech_5_5*#REF!))*elite1_ore,0)</f>
        <v>#REF!</v>
      </c>
      <c r="BO26" s="39" t="e">
        <f>ROUNDUP((1-MIN(#REF!*smithy_bonus,smithy_bonus_cap) + tech_3_5*#REF! + tech_5_3*#REF! + tech_5_5*#REF!)*elite2_plat,0)</f>
        <v>#REF!</v>
      </c>
      <c r="BP26" s="39" t="e">
        <f>ROUNDUP(IF(race="Gnome",1,(1-MIN(#REF!*smithy_bonus,smithy_bonus_cap) + tech_3_5*#REF! + tech_5_3*#REF! + tech_5_5*#REF!))*elite2_ore,0)</f>
        <v>#REF!</v>
      </c>
      <c r="BQ26" s="39" t="e">
        <f>ROUNDUP((1-MIN(ROUND(fh_spy_cost_red*#REF!,4),fh_spy_cost_cap)+ tech_1_9*#REF! + tech_9_1*#REF!)*spy_plat,0)</f>
        <v>#REF!</v>
      </c>
      <c r="BR26" s="39" t="e">
        <f>ROUNDUP((1-MIN(ROUND(fh_spy_cost_red*#REF!,4),fh_spy_cost_cap)+ tech_1_9*#REF! + tech_9_1*#REF!)*archspy_plat,0)</f>
        <v>#REF!</v>
      </c>
      <c r="BS26" s="39" t="e">
        <f>ROUNDUP((1-MIN(ROUND(wg_wiz_cost_bonus*#REF!,4),wg_wiz_cost_cap) + tech_1_9_2*#REF! + tech_9_1_2*#REF!)*wizard_plat,0)</f>
        <v>#REF!</v>
      </c>
      <c r="BT26" s="39" t="e">
        <f>ROUNDUP((1-MIN(ROUND(wg_wiz_cost_bonus*#REF!,4),wg_wiz_cost_cap) + tech_1_9_2*#REF! + tech_9_1_2*#REF!)*archmage_plat,0)</f>
        <v>#REF!</v>
      </c>
      <c r="BU26" s="134"/>
      <c r="BV26" s="132" t="e">
        <f>#REF!/#REF!</f>
        <v>#REF!</v>
      </c>
      <c r="BW26" s="132" t="e">
        <f>#REF!</f>
        <v>#REF!</v>
      </c>
      <c r="BX26" s="241" t="e">
        <f>IF(mystic_cap="none",#REF!/mystic_bonus,MIN(mystic_cap,#REF!/mystic_bonus))</f>
        <v>#REF!</v>
      </c>
      <c r="BY26" s="241" t="e">
        <f>IF(druid_op_cap="none",#REF!/druid_op_bonus,MIN(druid_op_cap,#REF!/druid_op_bonus))</f>
        <v>#REF!</v>
      </c>
      <c r="BZ26" s="241" t="e">
        <f>IF(druid_dp_cap="none",#REF!/druid_dp_bonus,MIN(druid_dp_cap,#REF!/druid_dp_bonus))</f>
        <v>#REF!</v>
      </c>
      <c r="CA26" s="241" t="e">
        <f>MIN(dryad_cap,#REF!/dryad_bonus)</f>
        <v>#REF!</v>
      </c>
      <c r="CB26" s="241" t="e">
        <f>MIN(rocka_cap,#REF!/rocka_bonus)</f>
        <v>#REF!</v>
      </c>
      <c r="CC26" s="241" t="e">
        <f>MIN(adept_op_cap,#REF!/adept_op_bonus)</f>
        <v>#REF!</v>
      </c>
      <c r="CD26" s="241" t="e">
        <f>MIN(adept_dp_cap,#REF!/adept_dp_bonus)</f>
        <v>#REF!</v>
      </c>
      <c r="CE26" s="39" t="e">
        <f>MIN(#REF!,#REF!)*2</f>
        <v>#REF!</v>
      </c>
      <c r="CF26" s="39" t="e">
        <f>MIN(#REF!,#REF!)*2</f>
        <v>#REF!</v>
      </c>
      <c r="CG26" s="241" t="e">
        <f>MIN(frost_mage_cap,#REF!/frost_mage_bonus)</f>
        <v>#REF!</v>
      </c>
      <c r="CH26" s="3" t="e">
        <f>MIN(ice_elem_cap,#REF!*ice_elem_bonus)</f>
        <v>#REF!</v>
      </c>
      <c r="CI26" s="241">
        <f t="shared" si="0"/>
        <v>0.83333333333333337</v>
      </c>
      <c r="CJ26" s="241" t="e">
        <f>MIN(nox_nightshade_cap,#REF!/#REF!/nox_nightshade_swamp_bonus)</f>
        <v>#REF!</v>
      </c>
      <c r="CK26" s="242" t="s">
        <v>12</v>
      </c>
      <c r="CL26" s="242" t="b">
        <f>CK26=secondary_resource</f>
        <v>0</v>
      </c>
      <c r="CM26" s="242"/>
      <c r="CN26" s="241" t="e">
        <f>MIN(6,#REF!+Races!$F$19)*1.8 +  IF(#REF!+Races!$F$19&gt;6,(#REF!+Races!$F$19-6)*0.2,0) - Races!$I$19</f>
        <v>#REF!</v>
      </c>
      <c r="CO26" s="241" t="e">
        <f>1.8 * MIN(MAX(#REF!+Races!$E$20,#REF!+Races!$F$20),6)  +  0.45 * MIN(MIN(#REF!+Races!$E$20,#REF!+Races!$F$20),6)  +  0.2 * ( MAX(#REF!+Races!$E$20-6,0) + MAX(#REF!+Races!$F$20-6,0) )  -  Races!$I$20</f>
        <v>#REF!</v>
      </c>
      <c r="CP26" s="39" t="e">
        <f>#REF!*#REF!+#REF!*#REF!</f>
        <v>#REF!</v>
      </c>
      <c r="CQ26" s="145" t="e">
        <f>MIN(6,#REF!+Races!$F$35)*1.8 +  IF(#REF!+Races!$F$35&gt;6,(#REF!+Races!$F$35-6)*0.2,0) - Races!$I$19</f>
        <v>#REF!</v>
      </c>
      <c r="CR26" s="39" t="e">
        <f>sylvan*(#REF!*#REF!)</f>
        <v>#REF!</v>
      </c>
      <c r="CS26" s="145" t="e">
        <f>1.8 * MIN(MAX(Races!$E$27,#REF!+Races!$F$27),6)  +  0.45 * MIN(MIN(Races!$E$27,#REF!+Races!$F$27),6)  +  0.2 * ( MAX(Races!$E$27-6,0) + MAX(#REF!+Races!$F$27-6,0) )  -  Races!$I$20</f>
        <v>#REF!</v>
      </c>
      <c r="CT26" s="39" t="e">
        <f>gnome*(#REF!*#REF!)</f>
        <v>#REF!</v>
      </c>
      <c r="CU26" s="145" t="e">
        <f>1.8 * MIN(MAX(#REF!+Races!$E$47,#REF!+Races!$F$47),6)  +  0.45 * MIN(MIN(#REF!+Races!$E$47,#REF!+Races!$F$47),6)  +  0.2 * ( MAX(#REF!+Races!$E$47-6,0) + MAX(#REF!+Races!$F$47-6,0) )  -  Races!$I$47</f>
        <v>#REF!</v>
      </c>
      <c r="CV26" s="39" t="e">
        <f>dark_elf*(#REF!*#REF!)</f>
        <v>#REF!</v>
      </c>
      <c r="CW26" s="145" t="e">
        <f>1.8 * MIN(MAX(#REF!+Races!$F$71,Races!$E$71),6)  +  0.45 * MIN(MIN(#REF!+Races!$F$71,Races!$E$71),6)  +  0.2 * ( MAX(#REF!+Races!$F$71-6,0) + MAX(Races!$E$71-6,0) )  -  Races!$I$71</f>
        <v>#REF!</v>
      </c>
      <c r="CX26" s="145" t="e">
        <f>1.8 * MIN(MAX(#REF!+Races!$E$71,Races!$F$71),6)  +  0.45 * MIN(MIN(#REF!+Races!$E$71,Races!$F$71),6)  +  0.2 * ( MAX(#REF!+Races!$E$71-6,0) + MAX(Races!$F$71-6,0) )  -  Races!$I$71</f>
        <v>#REF!</v>
      </c>
      <c r="CY26" s="39" t="e">
        <f>#REF!*#REF!+#REF!*#REF!</f>
        <v>#REF!</v>
      </c>
      <c r="CZ26" s="243"/>
      <c r="DA26" s="135" t="e">
        <f>MIN(SUM(#REF!)/#REF!/favorable_terrain_bonus/100,favorable_terrain_max)</f>
        <v>#REF!</v>
      </c>
      <c r="DB26" s="243"/>
      <c r="DC26"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26" s="134"/>
      <c r="DE26" s="244" t="e">
        <f>(#REF!+2*#REF!)/#REF!</f>
        <v>#REF!</v>
      </c>
      <c r="DF26" s="244" t="e">
        <f>#REF!*(1+race_wizard_strength+IF(#REF!&gt;72,tech_magical_weaponry_wiz*#REF!,0))</f>
        <v>#REF!</v>
      </c>
    </row>
    <row r="27" spans="1:110" x14ac:dyDescent="0.25">
      <c r="A27" s="130" t="e">
        <f>#REF!</f>
        <v>#REF!</v>
      </c>
      <c r="B27" s="236" t="e">
        <f ca="1">SUM(#REF!)+SUM(OFFSET(#REF!,-8,0):#REF!) + SUM(OFFSET(#REF!,-11,0):#REF!) +#REF!</f>
        <v>#REF!</v>
      </c>
      <c r="C27" s="132" t="e">
        <f>#REF!</f>
        <v>#REF!</v>
      </c>
      <c r="D27" s="134"/>
      <c r="E27" s="3" t="e">
        <f ca="1">OFFSET(#REF!,-1,0) + OFFSET(#REF!,-9,0) -#REF!</f>
        <v>#REF!</v>
      </c>
      <c r="F27" s="3" t="e">
        <f ca="1">OFFSET(#REF!,-1,0) + OFFSET(#REF!,-9,0)-#REF!</f>
        <v>#REF!</v>
      </c>
      <c r="G27" s="3" t="e">
        <f ca="1">OFFSET(#REF!,-1,0) + OFFSET(#REF!,-12,0)-#REF!</f>
        <v>#REF!</v>
      </c>
      <c r="H27" s="3" t="e">
        <f ca="1">OFFSET(#REF!,-1,0) + OFFSET(#REF!,-12,0)-#REF!</f>
        <v>#REF!</v>
      </c>
      <c r="I27" s="3" t="e">
        <f ca="1">OFFSET(#REF!,-1,0) + OFFSET(#REF!,-12,0) -#REF!-#REF!</f>
        <v>#REF!</v>
      </c>
      <c r="J27" s="3" t="e">
        <f ca="1">OFFSET(#REF!,-1,0) + OFFSET(#REF!,-12,0) -#REF!</f>
        <v>#REF!</v>
      </c>
      <c r="K27" s="3" t="e">
        <f ca="1">OFFSET(#REF!,-1,0) + OFFSET(#REF!,-12,0) -#REF!-#REF!</f>
        <v>#REF!</v>
      </c>
      <c r="L27" s="3" t="e">
        <f ca="1">OFFSET(#REF!,-1,0) + OFFSET(#REF!,-12,0) -#REF!</f>
        <v>#REF!</v>
      </c>
      <c r="M27" s="134"/>
      <c r="N27" s="39" t="e">
        <f>#REF!</f>
        <v>#REF!</v>
      </c>
      <c r="O27" s="134"/>
      <c r="P27" s="237" t="e">
        <f>#REF!*spec_op+#REF!*(elite1_base_op)+#REF!*(elite2_base_op+dark_elf*#REF!+icekin*#REF!+woodie*#REF!+orc*#REF!)+kobold*#REF!</f>
        <v>#REF!</v>
      </c>
      <c r="Q27" s="132" t="e">
        <f>race_offense+#REF!+ROUND(MIN(gn_bonus*#REF!/#REF!,gn_bonus_cap),4)+MAX(IF(#REF!&gt;0,warsong_bonus),IF(#REF!&gt;0,howling_op_bonus),IF(#REF!&gt;0,nightfall_bonus),IF(#REF!&gt;0,#REF!)) +#REF!/ 100*prestige_offense_bonus + tech_5_4*#REF! + tech_7_4*#REF!</f>
        <v>#REF!</v>
      </c>
      <c r="R27" s="237" t="e">
        <f>#REF!*(1+#REF!)</f>
        <v>#REF!</v>
      </c>
      <c r="S27" s="237" t="e">
        <f>#REF!*spec_dp+#REF!*(elite1_base_dp+woodie*#REF!+sylvan*#REF!+gnome*#REF!+icekin*#REF!+nox*#REF!)+#REF!*(elite2_base_dp+woodie*#REF!) + fh_peas_dp*MIN(#REF!,20*#REF!)+kobold*#REF!</f>
        <v>#REF!</v>
      </c>
      <c r="T27" s="237" t="e">
        <f>#REF!+#REF!</f>
        <v>#REF!</v>
      </c>
      <c r="U27" s="238" t="e">
        <f>race_defense +#REF! + ROUND( MIN(gt_bonus*#REF!/#REF!,gt_bonus_cap), 4) + IF(#REF!&gt;0,howling_dp_bonus,IF(#REF!&gt;0,ares_call_bonus))</f>
        <v>#REF!</v>
      </c>
      <c r="V27" s="239" t="e">
        <f>#REF! * (1 +#REF!)</f>
        <v>#REF!</v>
      </c>
      <c r="W27" s="237" t="e">
        <f>#REF! * (1 +#REF!)</f>
        <v>#REF!</v>
      </c>
      <c r="X27" s="237" t="e">
        <f>#REF!</f>
        <v>#REF!</v>
      </c>
      <c r="Y27" s="240"/>
      <c r="Z27" s="135" t="e">
        <f ca="1">IF(#REF!&lt;&gt;"",#REF!,OFFSET(#REF!,-1,0))</f>
        <v>#REF!</v>
      </c>
      <c r="AA27" s="39" t="e">
        <f ca="1">OFFSET(#REF!,-1,0)+OFFSET(#REF!,-1,0) - SUM(#REF!,#REF!) -#REF! + SUM(#REF!) -#REF!</f>
        <v>#REF!</v>
      </c>
      <c r="AB27" s="133"/>
      <c r="AC27" s="132" t="e">
        <f>(#REF!+#REF!)/(#REF!-#REF!*20)</f>
        <v>#REF!</v>
      </c>
      <c r="AD27" s="130"/>
      <c r="AE27" s="236" t="e">
        <f>#REF!</f>
        <v>#REF!</v>
      </c>
      <c r="AF27" s="131" t="e">
        <f>#REF!</f>
        <v>#REF!</v>
      </c>
      <c r="AG27" s="164"/>
      <c r="AH27" s="164"/>
      <c r="AI27" s="164"/>
      <c r="AJ27" s="164"/>
      <c r="AK27" s="164"/>
      <c r="AL27" s="164"/>
      <c r="AM27" s="164"/>
      <c r="AN27" s="164"/>
      <c r="AO27" s="134"/>
      <c r="AP27" s="39" t="e">
        <f>#REF!</f>
        <v>#REF!</v>
      </c>
      <c r="AQ27" s="39" t="e">
        <f>INDEX(#REF!:#REF!,COUNTA(#REF!:#REF!),MATCH(Military!$AQ$2,#REF!,0))</f>
        <v>#REF!</v>
      </c>
      <c r="AR27" s="39" t="e">
        <f>#REF!*#REF!+#REF!*#REF!+#REF!*#REF!+#REF!*#REF!+#REF!*#REF!+#REF!*#REF!+#REF!*#REF!</f>
        <v>#REF!</v>
      </c>
      <c r="AS27" s="39" t="e">
        <f>#REF!*#REF!+#REF!*#REF!+#REF!*#REF!+#REF!*#REF!</f>
        <v>#REF!</v>
      </c>
      <c r="AT27" s="134" t="e">
        <f>#REF!</f>
        <v>#REF!</v>
      </c>
      <c r="AU27" s="143" t="e">
        <f>#REF!</f>
        <v>#REF!</v>
      </c>
      <c r="AV27" s="39" t="e">
        <f>#REF!</f>
        <v>#REF!</v>
      </c>
      <c r="AW27" s="164"/>
      <c r="AX27" s="164"/>
      <c r="AY27" s="164"/>
      <c r="AZ27" s="164"/>
      <c r="BA27" s="164"/>
      <c r="BB27" s="164"/>
      <c r="BC27" s="164"/>
      <c r="BD27" s="164"/>
      <c r="BE27" s="164"/>
      <c r="BF27" s="134"/>
      <c r="BG27" s="132" t="e">
        <f>#REF!/#REF!</f>
        <v>#REF!</v>
      </c>
      <c r="BH27" s="132" t="e">
        <f>#REF!/#REF!</f>
        <v>#REF!</v>
      </c>
      <c r="BI27" s="39" t="e">
        <f>ROUNDUP((1-MIN(#REF!*smithy_bonus,smithy_bonus_cap) + tech_3_5*#REF! + tech_5_3*#REF! + tech_5_5*#REF!)*spec_op_plat,0)</f>
        <v>#REF!</v>
      </c>
      <c r="BJ27" s="39" t="e">
        <f>ROUNDUP(IF(race="Gnome",1,(1-MIN(#REF!*smithy_bonus,smithy_bonus_cap) + tech_3_5*#REF! + tech_5_3*#REF! + tech_5_5*#REF!))*spec_op_ore,0)</f>
        <v>#REF!</v>
      </c>
      <c r="BK27" s="39" t="e">
        <f>ROUNDUP((1-MIN(#REF!*smithy_bonus,smithy_bonus_cap) + tech_3_5*#REF! + tech_5_3*#REF! + tech_5_5*#REF!)*spec_dp_plat,0)</f>
        <v>#REF!</v>
      </c>
      <c r="BL27" s="39" t="e">
        <f>ROUNDUP(IF(race="Gnome",1,(1-MIN(#REF!*smithy_bonus,smithy_bonus_cap) + tech_3_5*#REF! + tech_5_3*#REF! + tech_5_5*#REF!))*spec_dp_ore,0)</f>
        <v>#REF!</v>
      </c>
      <c r="BM27" s="39" t="e">
        <f>ROUNDUP((1-MIN(#REF!*smithy_bonus,smithy_bonus_cap) + tech_3_5*#REF! + tech_5_3*#REF! + tech_5_5*#REF!)*elite1_plat,0)</f>
        <v>#REF!</v>
      </c>
      <c r="BN27" s="39" t="e">
        <f>ROUNDUP(IF(race="Gnome",1,(1-MIN(#REF!*smithy_bonus,smithy_bonus_cap) + tech_3_5*#REF! + tech_5_3*#REF! + tech_5_5*#REF!))*elite1_ore,0)</f>
        <v>#REF!</v>
      </c>
      <c r="BO27" s="39" t="e">
        <f>ROUNDUP((1-MIN(#REF!*smithy_bonus,smithy_bonus_cap) + tech_3_5*#REF! + tech_5_3*#REF! + tech_5_5*#REF!)*elite2_plat,0)</f>
        <v>#REF!</v>
      </c>
      <c r="BP27" s="39" t="e">
        <f>ROUNDUP(IF(race="Gnome",1,(1-MIN(#REF!*smithy_bonus,smithy_bonus_cap) + tech_3_5*#REF! + tech_5_3*#REF! + tech_5_5*#REF!))*elite2_ore,0)</f>
        <v>#REF!</v>
      </c>
      <c r="BQ27" s="39" t="e">
        <f>ROUNDUP((1-MIN(ROUND(fh_spy_cost_red*#REF!,4),fh_spy_cost_cap)+ tech_1_9*#REF! + tech_9_1*#REF!)*spy_plat,0)</f>
        <v>#REF!</v>
      </c>
      <c r="BR27" s="39" t="e">
        <f>ROUNDUP((1-MIN(ROUND(fh_spy_cost_red*#REF!,4),fh_spy_cost_cap)+ tech_1_9*#REF! + tech_9_1*#REF!)*archspy_plat,0)</f>
        <v>#REF!</v>
      </c>
      <c r="BS27" s="39" t="e">
        <f>ROUNDUP((1-MIN(ROUND(wg_wiz_cost_bonus*#REF!,4),wg_wiz_cost_cap) + tech_1_9_2*#REF! + tech_9_1_2*#REF!)*wizard_plat,0)</f>
        <v>#REF!</v>
      </c>
      <c r="BT27" s="39" t="e">
        <f>ROUNDUP((1-MIN(ROUND(wg_wiz_cost_bonus*#REF!,4),wg_wiz_cost_cap) + tech_1_9_2*#REF! + tech_9_1_2*#REF!)*archmage_plat,0)</f>
        <v>#REF!</v>
      </c>
      <c r="BU27" s="134"/>
      <c r="BV27" s="132" t="e">
        <f>#REF!/#REF!</f>
        <v>#REF!</v>
      </c>
      <c r="BW27" s="132" t="e">
        <f>#REF!</f>
        <v>#REF!</v>
      </c>
      <c r="BX27" s="241" t="e">
        <f>IF(mystic_cap="none",#REF!/mystic_bonus,MIN(mystic_cap,#REF!/mystic_bonus))</f>
        <v>#REF!</v>
      </c>
      <c r="BY27" s="241" t="e">
        <f>IF(druid_op_cap="none",#REF!/druid_op_bonus,MIN(druid_op_cap,#REF!/druid_op_bonus))</f>
        <v>#REF!</v>
      </c>
      <c r="BZ27" s="241" t="e">
        <f>IF(druid_dp_cap="none",#REF!/druid_dp_bonus,MIN(druid_dp_cap,#REF!/druid_dp_bonus))</f>
        <v>#REF!</v>
      </c>
      <c r="CA27" s="241" t="e">
        <f>MIN(dryad_cap,#REF!/dryad_bonus)</f>
        <v>#REF!</v>
      </c>
      <c r="CB27" s="241" t="e">
        <f>MIN(rocka_cap,#REF!/rocka_bonus)</f>
        <v>#REF!</v>
      </c>
      <c r="CC27" s="241" t="e">
        <f>MIN(adept_op_cap,#REF!/adept_op_bonus)</f>
        <v>#REF!</v>
      </c>
      <c r="CD27" s="241" t="e">
        <f>MIN(adept_dp_cap,#REF!/adept_dp_bonus)</f>
        <v>#REF!</v>
      </c>
      <c r="CE27" s="39" t="e">
        <f>MIN(#REF!,#REF!)*2</f>
        <v>#REF!</v>
      </c>
      <c r="CF27" s="39" t="e">
        <f>MIN(#REF!,#REF!)*2</f>
        <v>#REF!</v>
      </c>
      <c r="CG27" s="241" t="e">
        <f>MIN(frost_mage_cap,#REF!/frost_mage_bonus)</f>
        <v>#REF!</v>
      </c>
      <c r="CH27" s="3" t="e">
        <f>MIN(ice_elem_cap,#REF!*ice_elem_bonus)</f>
        <v>#REF!</v>
      </c>
      <c r="CI27" s="241">
        <f t="shared" si="0"/>
        <v>0.83333333333333337</v>
      </c>
      <c r="CJ27" s="241" t="e">
        <f>MIN(nox_nightshade_cap,#REF!/#REF!/nox_nightshade_swamp_bonus)</f>
        <v>#REF!</v>
      </c>
      <c r="CK27" s="242"/>
      <c r="CL27" s="242"/>
      <c r="CM27" s="242"/>
      <c r="CN27" s="241" t="e">
        <f>MIN(6,#REF!+Races!$F$19)*1.8 +  IF(#REF!+Races!$F$19&gt;6,(#REF!+Races!$F$19-6)*0.2,0) - Races!$I$19</f>
        <v>#REF!</v>
      </c>
      <c r="CO27" s="241" t="e">
        <f>1.8 * MIN(MAX(#REF!+Races!$E$20,#REF!+Races!$F$20),6)  +  0.45 * MIN(MIN(#REF!+Races!$E$20,#REF!+Races!$F$20),6)  +  0.2 * ( MAX(#REF!+Races!$E$20-6,0) + MAX(#REF!+Races!$F$20-6,0) )  -  Races!$I$20</f>
        <v>#REF!</v>
      </c>
      <c r="CP27" s="39" t="e">
        <f>#REF!*#REF!+#REF!*#REF!</f>
        <v>#REF!</v>
      </c>
      <c r="CQ27" s="145" t="e">
        <f>MIN(6,#REF!+Races!$F$35)*1.8 +  IF(#REF!+Races!$F$35&gt;6,(#REF!+Races!$F$35-6)*0.2,0) - Races!$I$19</f>
        <v>#REF!</v>
      </c>
      <c r="CR27" s="39" t="e">
        <f>sylvan*(#REF!*#REF!)</f>
        <v>#REF!</v>
      </c>
      <c r="CS27" s="145" t="e">
        <f>1.8 * MIN(MAX(Races!$E$27,#REF!+Races!$F$27),6)  +  0.45 * MIN(MIN(Races!$E$27,#REF!+Races!$F$27),6)  +  0.2 * ( MAX(Races!$E$27-6,0) + MAX(#REF!+Races!$F$27-6,0) )  -  Races!$I$20</f>
        <v>#REF!</v>
      </c>
      <c r="CT27" s="39" t="e">
        <f>gnome*(#REF!*#REF!)</f>
        <v>#REF!</v>
      </c>
      <c r="CU27" s="145" t="e">
        <f>1.8 * MIN(MAX(#REF!+Races!$E$47,#REF!+Races!$F$47),6)  +  0.45 * MIN(MIN(#REF!+Races!$E$47,#REF!+Races!$F$47),6)  +  0.2 * ( MAX(#REF!+Races!$E$47-6,0) + MAX(#REF!+Races!$F$47-6,0) )  -  Races!$I$47</f>
        <v>#REF!</v>
      </c>
      <c r="CV27" s="39" t="e">
        <f>dark_elf*(#REF!*#REF!)</f>
        <v>#REF!</v>
      </c>
      <c r="CW27" s="145" t="e">
        <f>1.8 * MIN(MAX(#REF!+Races!$F$71,Races!$E$71),6)  +  0.45 * MIN(MIN(#REF!+Races!$F$71,Races!$E$71),6)  +  0.2 * ( MAX(#REF!+Races!$F$71-6,0) + MAX(Races!$E$71-6,0) )  -  Races!$I$71</f>
        <v>#REF!</v>
      </c>
      <c r="CX27" s="145" t="e">
        <f>1.8 * MIN(MAX(#REF!+Races!$E$71,Races!$F$71),6)  +  0.45 * MIN(MIN(#REF!+Races!$E$71,Races!$F$71),6)  +  0.2 * ( MAX(#REF!+Races!$E$71-6,0) + MAX(Races!$F$71-6,0) )  -  Races!$I$71</f>
        <v>#REF!</v>
      </c>
      <c r="CY27" s="39" t="e">
        <f>#REF!*#REF!+#REF!*#REF!</f>
        <v>#REF!</v>
      </c>
      <c r="CZ27" s="243"/>
      <c r="DA27" s="135" t="e">
        <f>MIN(SUM(#REF!)/#REF!/favorable_terrain_bonus/100,favorable_terrain_max)</f>
        <v>#REF!</v>
      </c>
      <c r="DB27" s="243"/>
      <c r="DC27"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27" s="134"/>
      <c r="DE27" s="244" t="e">
        <f>(#REF!+2*#REF!)/#REF!</f>
        <v>#REF!</v>
      </c>
      <c r="DF27" s="244" t="e">
        <f>#REF!*(1+race_wizard_strength+IF(#REF!&gt;72,tech_magical_weaponry_wiz*#REF!,0))</f>
        <v>#REF!</v>
      </c>
    </row>
    <row r="28" spans="1:110" x14ac:dyDescent="0.25">
      <c r="A28" s="130" t="e">
        <f>#REF!</f>
        <v>#REF!</v>
      </c>
      <c r="B28" s="236" t="e">
        <f ca="1">SUM(#REF!)+SUM(OFFSET(#REF!,-8,0):#REF!) + SUM(OFFSET(#REF!,-11,0):#REF!) +#REF!</f>
        <v>#REF!</v>
      </c>
      <c r="C28" s="132" t="e">
        <f>#REF!</f>
        <v>#REF!</v>
      </c>
      <c r="D28" s="134"/>
      <c r="E28" s="3" t="e">
        <f ca="1">OFFSET(#REF!,-1,0) + OFFSET(#REF!,-9,0) -#REF!</f>
        <v>#REF!</v>
      </c>
      <c r="F28" s="3" t="e">
        <f ca="1">OFFSET(#REF!,-1,0) + OFFSET(#REF!,-9,0)-#REF!</f>
        <v>#REF!</v>
      </c>
      <c r="G28" s="3" t="e">
        <f ca="1">OFFSET(#REF!,-1,0) + OFFSET(#REF!,-12,0)-#REF!</f>
        <v>#REF!</v>
      </c>
      <c r="H28" s="3" t="e">
        <f ca="1">OFFSET(#REF!,-1,0) + OFFSET(#REF!,-12,0)-#REF!</f>
        <v>#REF!</v>
      </c>
      <c r="I28" s="3" t="e">
        <f ca="1">OFFSET(#REF!,-1,0) + OFFSET(#REF!,-12,0) -#REF!-#REF!</f>
        <v>#REF!</v>
      </c>
      <c r="J28" s="3" t="e">
        <f ca="1">OFFSET(#REF!,-1,0) + OFFSET(#REF!,-12,0) -#REF!</f>
        <v>#REF!</v>
      </c>
      <c r="K28" s="3" t="e">
        <f ca="1">OFFSET(#REF!,-1,0) + OFFSET(#REF!,-12,0) -#REF!-#REF!</f>
        <v>#REF!</v>
      </c>
      <c r="L28" s="3" t="e">
        <f ca="1">OFFSET(#REF!,-1,0) + OFFSET(#REF!,-12,0) -#REF!</f>
        <v>#REF!</v>
      </c>
      <c r="M28" s="134"/>
      <c r="N28" s="39" t="e">
        <f>#REF!</f>
        <v>#REF!</v>
      </c>
      <c r="O28" s="134"/>
      <c r="P28" s="237" t="e">
        <f>#REF!*spec_op+#REF!*(elite1_base_op)+#REF!*(elite2_base_op+dark_elf*#REF!+icekin*#REF!+woodie*#REF!+orc*#REF!)+kobold*#REF!</f>
        <v>#REF!</v>
      </c>
      <c r="Q28" s="132" t="e">
        <f>race_offense+#REF!+ROUND(MIN(gn_bonus*#REF!/#REF!,gn_bonus_cap),4)+MAX(IF(#REF!&gt;0,warsong_bonus),IF(#REF!&gt;0,howling_op_bonus),IF(#REF!&gt;0,nightfall_bonus),IF(#REF!&gt;0,#REF!)) +#REF!/ 100*prestige_offense_bonus + tech_5_4*#REF! + tech_7_4*#REF!</f>
        <v>#REF!</v>
      </c>
      <c r="R28" s="237" t="e">
        <f>#REF!*(1+#REF!)</f>
        <v>#REF!</v>
      </c>
      <c r="S28" s="237" t="e">
        <f>#REF!*spec_dp+#REF!*(elite1_base_dp+woodie*#REF!+sylvan*#REF!+gnome*#REF!+icekin*#REF!+nox*#REF!)+#REF!*(elite2_base_dp+woodie*#REF!) + fh_peas_dp*MIN(#REF!,20*#REF!)+kobold*#REF!</f>
        <v>#REF!</v>
      </c>
      <c r="T28" s="237" t="e">
        <f>#REF!+#REF!</f>
        <v>#REF!</v>
      </c>
      <c r="U28" s="238" t="e">
        <f>race_defense +#REF! + ROUND( MIN(gt_bonus*#REF!/#REF!,gt_bonus_cap), 4) + IF(#REF!&gt;0,howling_dp_bonus,IF(#REF!&gt;0,ares_call_bonus))</f>
        <v>#REF!</v>
      </c>
      <c r="V28" s="239" t="e">
        <f>#REF! * (1 +#REF!)</f>
        <v>#REF!</v>
      </c>
      <c r="W28" s="237" t="e">
        <f>#REF! * (1 +#REF!)</f>
        <v>#REF!</v>
      </c>
      <c r="X28" s="237" t="e">
        <f>#REF!</f>
        <v>#REF!</v>
      </c>
      <c r="Y28" s="240"/>
      <c r="Z28" s="135" t="e">
        <f ca="1">IF(#REF!&lt;&gt;"",#REF!,OFFSET(#REF!,-1,0))</f>
        <v>#REF!</v>
      </c>
      <c r="AA28" s="39" t="e">
        <f ca="1">OFFSET(#REF!,-1,0)+OFFSET(#REF!,-1,0) - SUM(#REF!,#REF!) -#REF! + SUM(#REF!) -#REF!</f>
        <v>#REF!</v>
      </c>
      <c r="AB28" s="133"/>
      <c r="AC28" s="132" t="e">
        <f>(#REF!+#REF!)/(#REF!-#REF!*20)</f>
        <v>#REF!</v>
      </c>
      <c r="AD28" s="130"/>
      <c r="AE28" s="236" t="e">
        <f>#REF!</f>
        <v>#REF!</v>
      </c>
      <c r="AF28" s="131" t="e">
        <f>#REF!</f>
        <v>#REF!</v>
      </c>
      <c r="AG28" s="164"/>
      <c r="AH28" s="164"/>
      <c r="AI28" s="164"/>
      <c r="AJ28" s="164"/>
      <c r="AK28" s="164"/>
      <c r="AL28" s="164"/>
      <c r="AM28" s="164"/>
      <c r="AN28" s="164"/>
      <c r="AO28" s="134"/>
      <c r="AP28" s="39" t="e">
        <f>#REF!</f>
        <v>#REF!</v>
      </c>
      <c r="AQ28" s="39" t="e">
        <f>INDEX(#REF!:#REF!,COUNTA(#REF!:#REF!),MATCH(Military!$AQ$2,#REF!,0))</f>
        <v>#REF!</v>
      </c>
      <c r="AR28" s="39" t="e">
        <f>#REF!*#REF!+#REF!*#REF!+#REF!*#REF!+#REF!*#REF!+#REF!*#REF!+#REF!*#REF!+#REF!*#REF!</f>
        <v>#REF!</v>
      </c>
      <c r="AS28" s="39" t="e">
        <f>#REF!*#REF!+#REF!*#REF!+#REF!*#REF!+#REF!*#REF!</f>
        <v>#REF!</v>
      </c>
      <c r="AT28" s="134" t="e">
        <f>#REF!</f>
        <v>#REF!</v>
      </c>
      <c r="AU28" s="143" t="e">
        <f>#REF!</f>
        <v>#REF!</v>
      </c>
      <c r="AV28" s="39" t="e">
        <f>#REF!</f>
        <v>#REF!</v>
      </c>
      <c r="AW28" s="164"/>
      <c r="AX28" s="164"/>
      <c r="AY28" s="164"/>
      <c r="AZ28" s="164"/>
      <c r="BA28" s="164"/>
      <c r="BB28" s="164"/>
      <c r="BC28" s="164"/>
      <c r="BD28" s="164"/>
      <c r="BE28" s="164"/>
      <c r="BF28" s="134"/>
      <c r="BG28" s="132" t="e">
        <f>#REF!/#REF!</f>
        <v>#REF!</v>
      </c>
      <c r="BH28" s="132" t="e">
        <f>#REF!/#REF!</f>
        <v>#REF!</v>
      </c>
      <c r="BI28" s="39" t="e">
        <f>ROUNDUP((1-MIN(#REF!*smithy_bonus,smithy_bonus_cap) + tech_3_5*#REF! + tech_5_3*#REF! + tech_5_5*#REF!)*spec_op_plat,0)</f>
        <v>#REF!</v>
      </c>
      <c r="BJ28" s="39" t="e">
        <f>ROUNDUP(IF(race="Gnome",1,(1-MIN(#REF!*smithy_bonus,smithy_bonus_cap) + tech_3_5*#REF! + tech_5_3*#REF! + tech_5_5*#REF!))*spec_op_ore,0)</f>
        <v>#REF!</v>
      </c>
      <c r="BK28" s="39" t="e">
        <f>ROUNDUP((1-MIN(#REF!*smithy_bonus,smithy_bonus_cap) + tech_3_5*#REF! + tech_5_3*#REF! + tech_5_5*#REF!)*spec_dp_plat,0)</f>
        <v>#REF!</v>
      </c>
      <c r="BL28" s="39" t="e">
        <f>ROUNDUP(IF(race="Gnome",1,(1-MIN(#REF!*smithy_bonus,smithy_bonus_cap) + tech_3_5*#REF! + tech_5_3*#REF! + tech_5_5*#REF!))*spec_dp_ore,0)</f>
        <v>#REF!</v>
      </c>
      <c r="BM28" s="39" t="e">
        <f>ROUNDUP((1-MIN(#REF!*smithy_bonus,smithy_bonus_cap) + tech_3_5*#REF! + tech_5_3*#REF! + tech_5_5*#REF!)*elite1_plat,0)</f>
        <v>#REF!</v>
      </c>
      <c r="BN28" s="39" t="e">
        <f>ROUNDUP(IF(race="Gnome",1,(1-MIN(#REF!*smithy_bonus,smithy_bonus_cap) + tech_3_5*#REF! + tech_5_3*#REF! + tech_5_5*#REF!))*elite1_ore,0)</f>
        <v>#REF!</v>
      </c>
      <c r="BO28" s="39" t="e">
        <f>ROUNDUP((1-MIN(#REF!*smithy_bonus,smithy_bonus_cap) + tech_3_5*#REF! + tech_5_3*#REF! + tech_5_5*#REF!)*elite2_plat,0)</f>
        <v>#REF!</v>
      </c>
      <c r="BP28" s="39" t="e">
        <f>ROUNDUP(IF(race="Gnome",1,(1-MIN(#REF!*smithy_bonus,smithy_bonus_cap) + tech_3_5*#REF! + tech_5_3*#REF! + tech_5_5*#REF!))*elite2_ore,0)</f>
        <v>#REF!</v>
      </c>
      <c r="BQ28" s="39" t="e">
        <f>ROUNDUP((1-MIN(ROUND(fh_spy_cost_red*#REF!,4),fh_spy_cost_cap)+ tech_1_9*#REF! + tech_9_1*#REF!)*spy_plat,0)</f>
        <v>#REF!</v>
      </c>
      <c r="BR28" s="39" t="e">
        <f>ROUNDUP((1-MIN(ROUND(fh_spy_cost_red*#REF!,4),fh_spy_cost_cap)+ tech_1_9*#REF! + tech_9_1*#REF!)*archspy_plat,0)</f>
        <v>#REF!</v>
      </c>
      <c r="BS28" s="39" t="e">
        <f>ROUNDUP((1-MIN(ROUND(wg_wiz_cost_bonus*#REF!,4),wg_wiz_cost_cap) + tech_1_9_2*#REF! + tech_9_1_2*#REF!)*wizard_plat,0)</f>
        <v>#REF!</v>
      </c>
      <c r="BT28" s="39" t="e">
        <f>ROUNDUP((1-MIN(ROUND(wg_wiz_cost_bonus*#REF!,4),wg_wiz_cost_cap) + tech_1_9_2*#REF! + tech_9_1_2*#REF!)*archmage_plat,0)</f>
        <v>#REF!</v>
      </c>
      <c r="BU28" s="134"/>
      <c r="BV28" s="132" t="e">
        <f>#REF!/#REF!</f>
        <v>#REF!</v>
      </c>
      <c r="BW28" s="132" t="e">
        <f>#REF!</f>
        <v>#REF!</v>
      </c>
      <c r="BX28" s="241" t="e">
        <f>IF(mystic_cap="none",#REF!/mystic_bonus,MIN(mystic_cap,#REF!/mystic_bonus))</f>
        <v>#REF!</v>
      </c>
      <c r="BY28" s="241" t="e">
        <f>IF(druid_op_cap="none",#REF!/druid_op_bonus,MIN(druid_op_cap,#REF!/druid_op_bonus))</f>
        <v>#REF!</v>
      </c>
      <c r="BZ28" s="241" t="e">
        <f>IF(druid_dp_cap="none",#REF!/druid_dp_bonus,MIN(druid_dp_cap,#REF!/druid_dp_bonus))</f>
        <v>#REF!</v>
      </c>
      <c r="CA28" s="241" t="e">
        <f>MIN(dryad_cap,#REF!/dryad_bonus)</f>
        <v>#REF!</v>
      </c>
      <c r="CB28" s="241" t="e">
        <f>MIN(rocka_cap,#REF!/rocka_bonus)</f>
        <v>#REF!</v>
      </c>
      <c r="CC28" s="241" t="e">
        <f>MIN(adept_op_cap,#REF!/adept_op_bonus)</f>
        <v>#REF!</v>
      </c>
      <c r="CD28" s="241" t="e">
        <f>MIN(adept_dp_cap,#REF!/adept_dp_bonus)</f>
        <v>#REF!</v>
      </c>
      <c r="CE28" s="39" t="e">
        <f>MIN(#REF!,#REF!)*2</f>
        <v>#REF!</v>
      </c>
      <c r="CF28" s="39" t="e">
        <f>MIN(#REF!,#REF!)*2</f>
        <v>#REF!</v>
      </c>
      <c r="CG28" s="241" t="e">
        <f>MIN(frost_mage_cap,#REF!/frost_mage_bonus)</f>
        <v>#REF!</v>
      </c>
      <c r="CH28" s="3" t="e">
        <f>MIN(ice_elem_cap,#REF!*ice_elem_bonus)</f>
        <v>#REF!</v>
      </c>
      <c r="CI28" s="241">
        <f t="shared" si="0"/>
        <v>0.83333333333333337</v>
      </c>
      <c r="CJ28" s="241" t="e">
        <f>MIN(nox_nightshade_cap,#REF!/#REF!/nox_nightshade_swamp_bonus)</f>
        <v>#REF!</v>
      </c>
      <c r="CK28" s="242"/>
      <c r="CL28" s="242"/>
      <c r="CM28" s="242"/>
      <c r="CN28" s="241" t="e">
        <f>MIN(6,#REF!+Races!$F$19)*1.8 +  IF(#REF!+Races!$F$19&gt;6,(#REF!+Races!$F$19-6)*0.2,0) - Races!$I$19</f>
        <v>#REF!</v>
      </c>
      <c r="CO28" s="241" t="e">
        <f>1.8 * MIN(MAX(#REF!+Races!$E$20,#REF!+Races!$F$20),6)  +  0.45 * MIN(MIN(#REF!+Races!$E$20,#REF!+Races!$F$20),6)  +  0.2 * ( MAX(#REF!+Races!$E$20-6,0) + MAX(#REF!+Races!$F$20-6,0) )  -  Races!$I$20</f>
        <v>#REF!</v>
      </c>
      <c r="CP28" s="39" t="e">
        <f>#REF!*#REF!+#REF!*#REF!</f>
        <v>#REF!</v>
      </c>
      <c r="CQ28" s="145" t="e">
        <f>MIN(6,#REF!+Races!$F$35)*1.8 +  IF(#REF!+Races!$F$35&gt;6,(#REF!+Races!$F$35-6)*0.2,0) - Races!$I$19</f>
        <v>#REF!</v>
      </c>
      <c r="CR28" s="39" t="e">
        <f>sylvan*(#REF!*#REF!)</f>
        <v>#REF!</v>
      </c>
      <c r="CS28" s="145" t="e">
        <f>1.8 * MIN(MAX(Races!$E$27,#REF!+Races!$F$27),6)  +  0.45 * MIN(MIN(Races!$E$27,#REF!+Races!$F$27),6)  +  0.2 * ( MAX(Races!$E$27-6,0) + MAX(#REF!+Races!$F$27-6,0) )  -  Races!$I$20</f>
        <v>#REF!</v>
      </c>
      <c r="CT28" s="39" t="e">
        <f>gnome*(#REF!*#REF!)</f>
        <v>#REF!</v>
      </c>
      <c r="CU28" s="145" t="e">
        <f>1.8 * MIN(MAX(#REF!+Races!$E$47,#REF!+Races!$F$47),6)  +  0.45 * MIN(MIN(#REF!+Races!$E$47,#REF!+Races!$F$47),6)  +  0.2 * ( MAX(#REF!+Races!$E$47-6,0) + MAX(#REF!+Races!$F$47-6,0) )  -  Races!$I$47</f>
        <v>#REF!</v>
      </c>
      <c r="CV28" s="39" t="e">
        <f>dark_elf*(#REF!*#REF!)</f>
        <v>#REF!</v>
      </c>
      <c r="CW28" s="145" t="e">
        <f>1.8 * MIN(MAX(#REF!+Races!$F$71,Races!$E$71),6)  +  0.45 * MIN(MIN(#REF!+Races!$F$71,Races!$E$71),6)  +  0.2 * ( MAX(#REF!+Races!$F$71-6,0) + MAX(Races!$E$71-6,0) )  -  Races!$I$71</f>
        <v>#REF!</v>
      </c>
      <c r="CX28" s="145" t="e">
        <f>1.8 * MIN(MAX(#REF!+Races!$E$71,Races!$F$71),6)  +  0.45 * MIN(MIN(#REF!+Races!$E$71,Races!$F$71),6)  +  0.2 * ( MAX(#REF!+Races!$E$71-6,0) + MAX(Races!$F$71-6,0) )  -  Races!$I$71</f>
        <v>#REF!</v>
      </c>
      <c r="CY28" s="39" t="e">
        <f>#REF!*#REF!+#REF!*#REF!</f>
        <v>#REF!</v>
      </c>
      <c r="CZ28" s="243"/>
      <c r="DA28" s="135" t="e">
        <f>MIN(SUM(#REF!)/#REF!/favorable_terrain_bonus/100,favorable_terrain_max)</f>
        <v>#REF!</v>
      </c>
      <c r="DB28" s="243"/>
      <c r="DC28"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28" s="134"/>
      <c r="DE28" s="244" t="e">
        <f>(#REF!+2*#REF!)/#REF!</f>
        <v>#REF!</v>
      </c>
      <c r="DF28" s="244" t="e">
        <f>#REF!*(1+race_wizard_strength+IF(#REF!&gt;72,tech_magical_weaponry_wiz*#REF!,0))</f>
        <v>#REF!</v>
      </c>
    </row>
    <row r="29" spans="1:110" x14ac:dyDescent="0.25">
      <c r="A29" s="130" t="e">
        <f>#REF!</f>
        <v>#REF!</v>
      </c>
      <c r="B29" s="236" t="e">
        <f ca="1">SUM(#REF!)+SUM(OFFSET(#REF!,-8,0):#REF!) + SUM(OFFSET(#REF!,-11,0):#REF!) +#REF!</f>
        <v>#REF!</v>
      </c>
      <c r="C29" s="132" t="e">
        <f>#REF!</f>
        <v>#REF!</v>
      </c>
      <c r="D29" s="134"/>
      <c r="E29" s="3" t="e">
        <f ca="1">OFFSET(#REF!,-1,0) + OFFSET(#REF!,-9,0) -#REF!</f>
        <v>#REF!</v>
      </c>
      <c r="F29" s="3" t="e">
        <f ca="1">OFFSET(#REF!,-1,0) + OFFSET(#REF!,-9,0)-#REF!</f>
        <v>#REF!</v>
      </c>
      <c r="G29" s="3" t="e">
        <f ca="1">OFFSET(#REF!,-1,0) + OFFSET(#REF!,-12,0)-#REF!</f>
        <v>#REF!</v>
      </c>
      <c r="H29" s="3" t="e">
        <f ca="1">OFFSET(#REF!,-1,0) + OFFSET(#REF!,-12,0)-#REF!</f>
        <v>#REF!</v>
      </c>
      <c r="I29" s="3" t="e">
        <f ca="1">OFFSET(#REF!,-1,0) + OFFSET(#REF!,-12,0) -#REF!-#REF!</f>
        <v>#REF!</v>
      </c>
      <c r="J29" s="3" t="e">
        <f ca="1">OFFSET(#REF!,-1,0) + OFFSET(#REF!,-12,0) -#REF!</f>
        <v>#REF!</v>
      </c>
      <c r="K29" s="3" t="e">
        <f ca="1">OFFSET(#REF!,-1,0) + OFFSET(#REF!,-12,0) -#REF!-#REF!</f>
        <v>#REF!</v>
      </c>
      <c r="L29" s="3" t="e">
        <f ca="1">OFFSET(#REF!,-1,0) + OFFSET(#REF!,-12,0) -#REF!</f>
        <v>#REF!</v>
      </c>
      <c r="M29" s="134"/>
      <c r="N29" s="39" t="e">
        <f>#REF!</f>
        <v>#REF!</v>
      </c>
      <c r="O29" s="134"/>
      <c r="P29" s="237" t="e">
        <f>#REF!*spec_op+#REF!*(elite1_base_op)+#REF!*(elite2_base_op+dark_elf*#REF!+icekin*#REF!+woodie*#REF!+orc*#REF!)+kobold*#REF!</f>
        <v>#REF!</v>
      </c>
      <c r="Q29" s="132" t="e">
        <f>race_offense+#REF!+ROUND(MIN(gn_bonus*#REF!/#REF!,gn_bonus_cap),4)+MAX(IF(#REF!&gt;0,warsong_bonus),IF(#REF!&gt;0,howling_op_bonus),IF(#REF!&gt;0,nightfall_bonus),IF(#REF!&gt;0,#REF!)) +#REF!/ 100*prestige_offense_bonus + tech_5_4*#REF! + tech_7_4*#REF!</f>
        <v>#REF!</v>
      </c>
      <c r="R29" s="237" t="e">
        <f>#REF!*(1+#REF!)</f>
        <v>#REF!</v>
      </c>
      <c r="S29" s="237" t="e">
        <f>#REF!*spec_dp+#REF!*(elite1_base_dp+woodie*#REF!+sylvan*#REF!+gnome*#REF!+icekin*#REF!+nox*#REF!)+#REF!*(elite2_base_dp+woodie*#REF!) + fh_peas_dp*MIN(#REF!,20*#REF!)+kobold*#REF!</f>
        <v>#REF!</v>
      </c>
      <c r="T29" s="237" t="e">
        <f>#REF!+#REF!</f>
        <v>#REF!</v>
      </c>
      <c r="U29" s="238" t="e">
        <f>race_defense +#REF! + ROUND( MIN(gt_bonus*#REF!/#REF!,gt_bonus_cap), 4) + IF(#REF!&gt;0,howling_dp_bonus,IF(#REF!&gt;0,ares_call_bonus))</f>
        <v>#REF!</v>
      </c>
      <c r="V29" s="239" t="e">
        <f>#REF! * (1 +#REF!)</f>
        <v>#REF!</v>
      </c>
      <c r="W29" s="237" t="e">
        <f>#REF! * (1 +#REF!)</f>
        <v>#REF!</v>
      </c>
      <c r="X29" s="237" t="e">
        <f>#REF!</f>
        <v>#REF!</v>
      </c>
      <c r="Y29" s="240"/>
      <c r="Z29" s="135" t="e">
        <f ca="1">IF(#REF!&lt;&gt;"",#REF!,OFFSET(#REF!,-1,0))</f>
        <v>#REF!</v>
      </c>
      <c r="AA29" s="39" t="e">
        <f ca="1">OFFSET(#REF!,-1,0)+OFFSET(#REF!,-1,0) - SUM(#REF!,#REF!) -#REF! + SUM(#REF!) -#REF!</f>
        <v>#REF!</v>
      </c>
      <c r="AB29" s="133"/>
      <c r="AC29" s="132" t="e">
        <f>(#REF!+#REF!)/(#REF!-#REF!*20)</f>
        <v>#REF!</v>
      </c>
      <c r="AD29" s="130"/>
      <c r="AE29" s="236" t="e">
        <f>#REF!</f>
        <v>#REF!</v>
      </c>
      <c r="AF29" s="131" t="e">
        <f>#REF!</f>
        <v>#REF!</v>
      </c>
      <c r="AG29" s="164"/>
      <c r="AH29" s="164"/>
      <c r="AI29" s="164"/>
      <c r="AJ29" s="164"/>
      <c r="AK29" s="164"/>
      <c r="AL29" s="164"/>
      <c r="AM29" s="164"/>
      <c r="AN29" s="164"/>
      <c r="AO29" s="134"/>
      <c r="AP29" s="39" t="e">
        <f>#REF!</f>
        <v>#REF!</v>
      </c>
      <c r="AQ29" s="39" t="e">
        <f>INDEX(#REF!:#REF!,COUNTA(#REF!:#REF!),MATCH(Military!$AQ$2,#REF!,0))</f>
        <v>#REF!</v>
      </c>
      <c r="AR29" s="39" t="e">
        <f>#REF!*#REF!+#REF!*#REF!+#REF!*#REF!+#REF!*#REF!+#REF!*#REF!+#REF!*#REF!+#REF!*#REF!</f>
        <v>#REF!</v>
      </c>
      <c r="AS29" s="39" t="e">
        <f>#REF!*#REF!+#REF!*#REF!+#REF!*#REF!+#REF!*#REF!</f>
        <v>#REF!</v>
      </c>
      <c r="AT29" s="134" t="e">
        <f>#REF!</f>
        <v>#REF!</v>
      </c>
      <c r="AU29" s="143" t="e">
        <f>#REF!</f>
        <v>#REF!</v>
      </c>
      <c r="AV29" s="39" t="e">
        <f>#REF!</f>
        <v>#REF!</v>
      </c>
      <c r="AW29" s="164"/>
      <c r="AX29" s="164"/>
      <c r="AY29" s="164"/>
      <c r="AZ29" s="164"/>
      <c r="BA29" s="164"/>
      <c r="BB29" s="164"/>
      <c r="BC29" s="164"/>
      <c r="BD29" s="164"/>
      <c r="BE29" s="164"/>
      <c r="BF29" s="134"/>
      <c r="BG29" s="132" t="e">
        <f>#REF!/#REF!</f>
        <v>#REF!</v>
      </c>
      <c r="BH29" s="132" t="e">
        <f>#REF!/#REF!</f>
        <v>#REF!</v>
      </c>
      <c r="BI29" s="39" t="e">
        <f>ROUNDUP((1-MIN(#REF!*smithy_bonus,smithy_bonus_cap) + tech_3_5*#REF! + tech_5_3*#REF! + tech_5_5*#REF!)*spec_op_plat,0)</f>
        <v>#REF!</v>
      </c>
      <c r="BJ29" s="39" t="e">
        <f>ROUNDUP(IF(race="Gnome",1,(1-MIN(#REF!*smithy_bonus,smithy_bonus_cap) + tech_3_5*#REF! + tech_5_3*#REF! + tech_5_5*#REF!))*spec_op_ore,0)</f>
        <v>#REF!</v>
      </c>
      <c r="BK29" s="39" t="e">
        <f>ROUNDUP((1-MIN(#REF!*smithy_bonus,smithy_bonus_cap) + tech_3_5*#REF! + tech_5_3*#REF! + tech_5_5*#REF!)*spec_dp_plat,0)</f>
        <v>#REF!</v>
      </c>
      <c r="BL29" s="39" t="e">
        <f>ROUNDUP(IF(race="Gnome",1,(1-MIN(#REF!*smithy_bonus,smithy_bonus_cap) + tech_3_5*#REF! + tech_5_3*#REF! + tech_5_5*#REF!))*spec_dp_ore,0)</f>
        <v>#REF!</v>
      </c>
      <c r="BM29" s="39" t="e">
        <f>ROUNDUP((1-MIN(#REF!*smithy_bonus,smithy_bonus_cap) + tech_3_5*#REF! + tech_5_3*#REF! + tech_5_5*#REF!)*elite1_plat,0)</f>
        <v>#REF!</v>
      </c>
      <c r="BN29" s="39" t="e">
        <f>ROUNDUP(IF(race="Gnome",1,(1-MIN(#REF!*smithy_bonus,smithy_bonus_cap) + tech_3_5*#REF! + tech_5_3*#REF! + tech_5_5*#REF!))*elite1_ore,0)</f>
        <v>#REF!</v>
      </c>
      <c r="BO29" s="39" t="e">
        <f>ROUNDUP((1-MIN(#REF!*smithy_bonus,smithy_bonus_cap) + tech_3_5*#REF! + tech_5_3*#REF! + tech_5_5*#REF!)*elite2_plat,0)</f>
        <v>#REF!</v>
      </c>
      <c r="BP29" s="39" t="e">
        <f>ROUNDUP(IF(race="Gnome",1,(1-MIN(#REF!*smithy_bonus,smithy_bonus_cap) + tech_3_5*#REF! + tech_5_3*#REF! + tech_5_5*#REF!))*elite2_ore,0)</f>
        <v>#REF!</v>
      </c>
      <c r="BQ29" s="39" t="e">
        <f>ROUNDUP((1-MIN(ROUND(fh_spy_cost_red*#REF!,4),fh_spy_cost_cap)+ tech_1_9*#REF! + tech_9_1*#REF!)*spy_plat,0)</f>
        <v>#REF!</v>
      </c>
      <c r="BR29" s="39" t="e">
        <f>ROUNDUP((1-MIN(ROUND(fh_spy_cost_red*#REF!,4),fh_spy_cost_cap)+ tech_1_9*#REF! + tech_9_1*#REF!)*archspy_plat,0)</f>
        <v>#REF!</v>
      </c>
      <c r="BS29" s="39" t="e">
        <f>ROUNDUP((1-MIN(ROUND(wg_wiz_cost_bonus*#REF!,4),wg_wiz_cost_cap) + tech_1_9_2*#REF! + tech_9_1_2*#REF!)*wizard_plat,0)</f>
        <v>#REF!</v>
      </c>
      <c r="BT29" s="39" t="e">
        <f>ROUNDUP((1-MIN(ROUND(wg_wiz_cost_bonus*#REF!,4),wg_wiz_cost_cap) + tech_1_9_2*#REF! + tech_9_1_2*#REF!)*archmage_plat,0)</f>
        <v>#REF!</v>
      </c>
      <c r="BU29" s="134"/>
      <c r="BV29" s="132" t="e">
        <f>#REF!/#REF!</f>
        <v>#REF!</v>
      </c>
      <c r="BW29" s="132" t="e">
        <f>#REF!</f>
        <v>#REF!</v>
      </c>
      <c r="BX29" s="241" t="e">
        <f>IF(mystic_cap="none",#REF!/mystic_bonus,MIN(mystic_cap,#REF!/mystic_bonus))</f>
        <v>#REF!</v>
      </c>
      <c r="BY29" s="241" t="e">
        <f>IF(druid_op_cap="none",#REF!/druid_op_bonus,MIN(druid_op_cap,#REF!/druid_op_bonus))</f>
        <v>#REF!</v>
      </c>
      <c r="BZ29" s="241" t="e">
        <f>IF(druid_dp_cap="none",#REF!/druid_dp_bonus,MIN(druid_dp_cap,#REF!/druid_dp_bonus))</f>
        <v>#REF!</v>
      </c>
      <c r="CA29" s="241" t="e">
        <f>MIN(dryad_cap,#REF!/dryad_bonus)</f>
        <v>#REF!</v>
      </c>
      <c r="CB29" s="241" t="e">
        <f>MIN(rocka_cap,#REF!/rocka_bonus)</f>
        <v>#REF!</v>
      </c>
      <c r="CC29" s="241" t="e">
        <f>MIN(adept_op_cap,#REF!/adept_op_bonus)</f>
        <v>#REF!</v>
      </c>
      <c r="CD29" s="241" t="e">
        <f>MIN(adept_dp_cap,#REF!/adept_dp_bonus)</f>
        <v>#REF!</v>
      </c>
      <c r="CE29" s="39" t="e">
        <f>MIN(#REF!,#REF!)*2</f>
        <v>#REF!</v>
      </c>
      <c r="CF29" s="39" t="e">
        <f>MIN(#REF!,#REF!)*2</f>
        <v>#REF!</v>
      </c>
      <c r="CG29" s="241" t="e">
        <f>MIN(frost_mage_cap,#REF!/frost_mage_bonus)</f>
        <v>#REF!</v>
      </c>
      <c r="CH29" s="3" t="e">
        <f>MIN(ice_elem_cap,#REF!*ice_elem_bonus)</f>
        <v>#REF!</v>
      </c>
      <c r="CI29" s="241">
        <f t="shared" si="0"/>
        <v>0.83333333333333337</v>
      </c>
      <c r="CJ29" s="241" t="e">
        <f>MIN(nox_nightshade_cap,#REF!/#REF!/nox_nightshade_swamp_bonus)</f>
        <v>#REF!</v>
      </c>
      <c r="CK29" s="242"/>
      <c r="CL29" s="242"/>
      <c r="CM29" s="242"/>
      <c r="CN29" s="241" t="e">
        <f>MIN(6,#REF!+Races!$F$19)*1.8 +  IF(#REF!+Races!$F$19&gt;6,(#REF!+Races!$F$19-6)*0.2,0) - Races!$I$19</f>
        <v>#REF!</v>
      </c>
      <c r="CO29" s="241" t="e">
        <f>1.8 * MIN(MAX(#REF!+Races!$E$20,#REF!+Races!$F$20),6)  +  0.45 * MIN(MIN(#REF!+Races!$E$20,#REF!+Races!$F$20),6)  +  0.2 * ( MAX(#REF!+Races!$E$20-6,0) + MAX(#REF!+Races!$F$20-6,0) )  -  Races!$I$20</f>
        <v>#REF!</v>
      </c>
      <c r="CP29" s="39" t="e">
        <f>#REF!*#REF!+#REF!*#REF!</f>
        <v>#REF!</v>
      </c>
      <c r="CQ29" s="145" t="e">
        <f>MIN(6,#REF!+Races!$F$35)*1.8 +  IF(#REF!+Races!$F$35&gt;6,(#REF!+Races!$F$35-6)*0.2,0) - Races!$I$19</f>
        <v>#REF!</v>
      </c>
      <c r="CR29" s="39" t="e">
        <f>sylvan*(#REF!*#REF!)</f>
        <v>#REF!</v>
      </c>
      <c r="CS29" s="145" t="e">
        <f>1.8 * MIN(MAX(Races!$E$27,#REF!+Races!$F$27),6)  +  0.45 * MIN(MIN(Races!$E$27,#REF!+Races!$F$27),6)  +  0.2 * ( MAX(Races!$E$27-6,0) + MAX(#REF!+Races!$F$27-6,0) )  -  Races!$I$20</f>
        <v>#REF!</v>
      </c>
      <c r="CT29" s="39" t="e">
        <f>gnome*(#REF!*#REF!)</f>
        <v>#REF!</v>
      </c>
      <c r="CU29" s="145" t="e">
        <f>1.8 * MIN(MAX(#REF!+Races!$E$47,#REF!+Races!$F$47),6)  +  0.45 * MIN(MIN(#REF!+Races!$E$47,#REF!+Races!$F$47),6)  +  0.2 * ( MAX(#REF!+Races!$E$47-6,0) + MAX(#REF!+Races!$F$47-6,0) )  -  Races!$I$47</f>
        <v>#REF!</v>
      </c>
      <c r="CV29" s="39" t="e">
        <f>dark_elf*(#REF!*#REF!)</f>
        <v>#REF!</v>
      </c>
      <c r="CW29" s="145" t="e">
        <f>1.8 * MIN(MAX(#REF!+Races!$F$71,Races!$E$71),6)  +  0.45 * MIN(MIN(#REF!+Races!$F$71,Races!$E$71),6)  +  0.2 * ( MAX(#REF!+Races!$F$71-6,0) + MAX(Races!$E$71-6,0) )  -  Races!$I$71</f>
        <v>#REF!</v>
      </c>
      <c r="CX29" s="145" t="e">
        <f>1.8 * MIN(MAX(#REF!+Races!$E$71,Races!$F$71),6)  +  0.45 * MIN(MIN(#REF!+Races!$E$71,Races!$F$71),6)  +  0.2 * ( MAX(#REF!+Races!$E$71-6,0) + MAX(Races!$F$71-6,0) )  -  Races!$I$71</f>
        <v>#REF!</v>
      </c>
      <c r="CY29" s="39" t="e">
        <f>#REF!*#REF!+#REF!*#REF!</f>
        <v>#REF!</v>
      </c>
      <c r="CZ29" s="243"/>
      <c r="DA29" s="135" t="e">
        <f>MIN(SUM(#REF!)/#REF!/favorable_terrain_bonus/100,favorable_terrain_max)</f>
        <v>#REF!</v>
      </c>
      <c r="DB29" s="243"/>
      <c r="DC29"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29" s="134"/>
      <c r="DE29" s="244" t="e">
        <f>(#REF!+2*#REF!)/#REF!</f>
        <v>#REF!</v>
      </c>
      <c r="DF29" s="244" t="e">
        <f>#REF!*(1+race_wizard_strength+IF(#REF!&gt;72,tech_magical_weaponry_wiz*#REF!,0))</f>
        <v>#REF!</v>
      </c>
    </row>
    <row r="30" spans="1:110" x14ac:dyDescent="0.25">
      <c r="A30" s="130" t="e">
        <f>#REF!</f>
        <v>#REF!</v>
      </c>
      <c r="B30" s="236" t="e">
        <f ca="1">SUM(#REF!)+SUM(OFFSET(#REF!,-8,0):#REF!) + SUM(OFFSET(#REF!,-11,0):#REF!) +#REF!</f>
        <v>#REF!</v>
      </c>
      <c r="C30" s="132" t="e">
        <f>#REF!</f>
        <v>#REF!</v>
      </c>
      <c r="D30" s="134"/>
      <c r="E30" s="3" t="e">
        <f ca="1">OFFSET(#REF!,-1,0) + OFFSET(#REF!,-9,0) -#REF!</f>
        <v>#REF!</v>
      </c>
      <c r="F30" s="3" t="e">
        <f ca="1">OFFSET(#REF!,-1,0) + OFFSET(#REF!,-9,0)-#REF!</f>
        <v>#REF!</v>
      </c>
      <c r="G30" s="3" t="e">
        <f ca="1">OFFSET(#REF!,-1,0) + OFFSET(#REF!,-12,0)-#REF!</f>
        <v>#REF!</v>
      </c>
      <c r="H30" s="3" t="e">
        <f ca="1">OFFSET(#REF!,-1,0) + OFFSET(#REF!,-12,0)-#REF!</f>
        <v>#REF!</v>
      </c>
      <c r="I30" s="3" t="e">
        <f ca="1">OFFSET(#REF!,-1,0) + OFFSET(#REF!,-12,0) -#REF!-#REF!</f>
        <v>#REF!</v>
      </c>
      <c r="J30" s="3" t="e">
        <f ca="1">OFFSET(#REF!,-1,0) + OFFSET(#REF!,-12,0) -#REF!</f>
        <v>#REF!</v>
      </c>
      <c r="K30" s="3" t="e">
        <f ca="1">OFFSET(#REF!,-1,0) + OFFSET(#REF!,-12,0) -#REF!-#REF!</f>
        <v>#REF!</v>
      </c>
      <c r="L30" s="3" t="e">
        <f ca="1">OFFSET(#REF!,-1,0) + OFFSET(#REF!,-12,0) -#REF!</f>
        <v>#REF!</v>
      </c>
      <c r="M30" s="134"/>
      <c r="N30" s="39" t="e">
        <f>#REF!</f>
        <v>#REF!</v>
      </c>
      <c r="O30" s="134"/>
      <c r="P30" s="237" t="e">
        <f>#REF!*spec_op+#REF!*(elite1_base_op)+#REF!*(elite2_base_op+dark_elf*#REF!+icekin*#REF!+woodie*#REF!+orc*#REF!)+kobold*#REF!</f>
        <v>#REF!</v>
      </c>
      <c r="Q30" s="132" t="e">
        <f>race_offense+#REF!+ROUND(MIN(gn_bonus*#REF!/#REF!,gn_bonus_cap),4)+MAX(IF(#REF!&gt;0,warsong_bonus),IF(#REF!&gt;0,howling_op_bonus),IF(#REF!&gt;0,nightfall_bonus),IF(#REF!&gt;0,#REF!)) +#REF!/ 100*prestige_offense_bonus + tech_5_4*#REF! + tech_7_4*#REF!</f>
        <v>#REF!</v>
      </c>
      <c r="R30" s="237" t="e">
        <f>#REF!*(1+#REF!)</f>
        <v>#REF!</v>
      </c>
      <c r="S30" s="237" t="e">
        <f>#REF!*spec_dp+#REF!*(elite1_base_dp+woodie*#REF!+sylvan*#REF!+gnome*#REF!+icekin*#REF!+nox*#REF!)+#REF!*(elite2_base_dp+woodie*#REF!) + fh_peas_dp*MIN(#REF!,20*#REF!)+kobold*#REF!</f>
        <v>#REF!</v>
      </c>
      <c r="T30" s="237" t="e">
        <f>#REF!+#REF!</f>
        <v>#REF!</v>
      </c>
      <c r="U30" s="238" t="e">
        <f>race_defense +#REF! + ROUND( MIN(gt_bonus*#REF!/#REF!,gt_bonus_cap), 4) + IF(#REF!&gt;0,howling_dp_bonus,IF(#REF!&gt;0,ares_call_bonus))</f>
        <v>#REF!</v>
      </c>
      <c r="V30" s="239" t="e">
        <f>#REF! * (1 +#REF!)</f>
        <v>#REF!</v>
      </c>
      <c r="W30" s="237" t="e">
        <f>#REF! * (1 +#REF!)</f>
        <v>#REF!</v>
      </c>
      <c r="X30" s="237" t="e">
        <f>#REF!</f>
        <v>#REF!</v>
      </c>
      <c r="Y30" s="240"/>
      <c r="Z30" s="135" t="e">
        <f ca="1">IF(#REF!&lt;&gt;"",#REF!,OFFSET(#REF!,-1,0))</f>
        <v>#REF!</v>
      </c>
      <c r="AA30" s="39" t="e">
        <f ca="1">OFFSET(#REF!,-1,0)+OFFSET(#REF!,-1,0) - SUM(#REF!,#REF!) -#REF! + SUM(#REF!) -#REF!</f>
        <v>#REF!</v>
      </c>
      <c r="AB30" s="133"/>
      <c r="AC30" s="132" t="e">
        <f>(#REF!+#REF!)/(#REF!-#REF!*20)</f>
        <v>#REF!</v>
      </c>
      <c r="AD30" s="130"/>
      <c r="AE30" s="236" t="e">
        <f>#REF!</f>
        <v>#REF!</v>
      </c>
      <c r="AF30" s="131" t="e">
        <f>#REF!</f>
        <v>#REF!</v>
      </c>
      <c r="AG30" s="164"/>
      <c r="AH30" s="164"/>
      <c r="AI30" s="164"/>
      <c r="AJ30" s="164"/>
      <c r="AK30" s="164"/>
      <c r="AL30" s="164"/>
      <c r="AM30" s="164"/>
      <c r="AN30" s="164"/>
      <c r="AO30" s="134"/>
      <c r="AP30" s="39" t="e">
        <f>#REF!</f>
        <v>#REF!</v>
      </c>
      <c r="AQ30" s="39" t="e">
        <f>INDEX(#REF!:#REF!,COUNTA(#REF!:#REF!),MATCH(Military!$AQ$2,#REF!,0))</f>
        <v>#REF!</v>
      </c>
      <c r="AR30" s="39" t="e">
        <f>#REF!*#REF!+#REF!*#REF!+#REF!*#REF!+#REF!*#REF!+#REF!*#REF!+#REF!*#REF!+#REF!*#REF!</f>
        <v>#REF!</v>
      </c>
      <c r="AS30" s="39" t="e">
        <f>#REF!*#REF!+#REF!*#REF!+#REF!*#REF!+#REF!*#REF!</f>
        <v>#REF!</v>
      </c>
      <c r="AT30" s="134" t="e">
        <f>#REF!</f>
        <v>#REF!</v>
      </c>
      <c r="AU30" s="143" t="e">
        <f>#REF!</f>
        <v>#REF!</v>
      </c>
      <c r="AV30" s="39" t="e">
        <f>#REF!</f>
        <v>#REF!</v>
      </c>
      <c r="AW30" s="164"/>
      <c r="AX30" s="164"/>
      <c r="AY30" s="164"/>
      <c r="AZ30" s="164"/>
      <c r="BA30" s="164"/>
      <c r="BB30" s="164"/>
      <c r="BC30" s="164"/>
      <c r="BD30" s="164"/>
      <c r="BE30" s="164"/>
      <c r="BF30" s="134"/>
      <c r="BG30" s="132" t="e">
        <f>#REF!/#REF!</f>
        <v>#REF!</v>
      </c>
      <c r="BH30" s="132" t="e">
        <f>#REF!/#REF!</f>
        <v>#REF!</v>
      </c>
      <c r="BI30" s="39" t="e">
        <f>ROUNDUP((1-MIN(#REF!*smithy_bonus,smithy_bonus_cap) + tech_3_5*#REF! + tech_5_3*#REF! + tech_5_5*#REF!)*spec_op_plat,0)</f>
        <v>#REF!</v>
      </c>
      <c r="BJ30" s="39" t="e">
        <f>ROUNDUP(IF(race="Gnome",1,(1-MIN(#REF!*smithy_bonus,smithy_bonus_cap) + tech_3_5*#REF! + tech_5_3*#REF! + tech_5_5*#REF!))*spec_op_ore,0)</f>
        <v>#REF!</v>
      </c>
      <c r="BK30" s="39" t="e">
        <f>ROUNDUP((1-MIN(#REF!*smithy_bonus,smithy_bonus_cap) + tech_3_5*#REF! + tech_5_3*#REF! + tech_5_5*#REF!)*spec_dp_plat,0)</f>
        <v>#REF!</v>
      </c>
      <c r="BL30" s="39" t="e">
        <f>ROUNDUP(IF(race="Gnome",1,(1-MIN(#REF!*smithy_bonus,smithy_bonus_cap) + tech_3_5*#REF! + tech_5_3*#REF! + tech_5_5*#REF!))*spec_dp_ore,0)</f>
        <v>#REF!</v>
      </c>
      <c r="BM30" s="39" t="e">
        <f>ROUNDUP((1-MIN(#REF!*smithy_bonus,smithy_bonus_cap) + tech_3_5*#REF! + tech_5_3*#REF! + tech_5_5*#REF!)*elite1_plat,0)</f>
        <v>#REF!</v>
      </c>
      <c r="BN30" s="39" t="e">
        <f>ROUNDUP(IF(race="Gnome",1,(1-MIN(#REF!*smithy_bonus,smithy_bonus_cap) + tech_3_5*#REF! + tech_5_3*#REF! + tech_5_5*#REF!))*elite1_ore,0)</f>
        <v>#REF!</v>
      </c>
      <c r="BO30" s="39" t="e">
        <f>ROUNDUP((1-MIN(#REF!*smithy_bonus,smithy_bonus_cap) + tech_3_5*#REF! + tech_5_3*#REF! + tech_5_5*#REF!)*elite2_plat,0)</f>
        <v>#REF!</v>
      </c>
      <c r="BP30" s="39" t="e">
        <f>ROUNDUP(IF(race="Gnome",1,(1-MIN(#REF!*smithy_bonus,smithy_bonus_cap) + tech_3_5*#REF! + tech_5_3*#REF! + tech_5_5*#REF!))*elite2_ore,0)</f>
        <v>#REF!</v>
      </c>
      <c r="BQ30" s="39" t="e">
        <f>ROUNDUP((1-MIN(ROUND(fh_spy_cost_red*#REF!,4),fh_spy_cost_cap)+ tech_1_9*#REF! + tech_9_1*#REF!)*spy_plat,0)</f>
        <v>#REF!</v>
      </c>
      <c r="BR30" s="39" t="e">
        <f>ROUNDUP((1-MIN(ROUND(fh_spy_cost_red*#REF!,4),fh_spy_cost_cap)+ tech_1_9*#REF! + tech_9_1*#REF!)*archspy_plat,0)</f>
        <v>#REF!</v>
      </c>
      <c r="BS30" s="39" t="e">
        <f>ROUNDUP((1-MIN(ROUND(wg_wiz_cost_bonus*#REF!,4),wg_wiz_cost_cap) + tech_1_9_2*#REF! + tech_9_1_2*#REF!)*wizard_plat,0)</f>
        <v>#REF!</v>
      </c>
      <c r="BT30" s="39" t="e">
        <f>ROUNDUP((1-MIN(ROUND(wg_wiz_cost_bonus*#REF!,4),wg_wiz_cost_cap) + tech_1_9_2*#REF! + tech_9_1_2*#REF!)*archmage_plat,0)</f>
        <v>#REF!</v>
      </c>
      <c r="BU30" s="134"/>
      <c r="BV30" s="132" t="e">
        <f>#REF!/#REF!</f>
        <v>#REF!</v>
      </c>
      <c r="BW30" s="132" t="e">
        <f>#REF!</f>
        <v>#REF!</v>
      </c>
      <c r="BX30" s="241" t="e">
        <f>IF(mystic_cap="none",#REF!/mystic_bonus,MIN(mystic_cap,#REF!/mystic_bonus))</f>
        <v>#REF!</v>
      </c>
      <c r="BY30" s="241" t="e">
        <f>IF(druid_op_cap="none",#REF!/druid_op_bonus,MIN(druid_op_cap,#REF!/druid_op_bonus))</f>
        <v>#REF!</v>
      </c>
      <c r="BZ30" s="241" t="e">
        <f>IF(druid_dp_cap="none",#REF!/druid_dp_bonus,MIN(druid_dp_cap,#REF!/druid_dp_bonus))</f>
        <v>#REF!</v>
      </c>
      <c r="CA30" s="241" t="e">
        <f>MIN(dryad_cap,#REF!/dryad_bonus)</f>
        <v>#REF!</v>
      </c>
      <c r="CB30" s="241" t="e">
        <f>MIN(rocka_cap,#REF!/rocka_bonus)</f>
        <v>#REF!</v>
      </c>
      <c r="CC30" s="241" t="e">
        <f>MIN(adept_op_cap,#REF!/adept_op_bonus)</f>
        <v>#REF!</v>
      </c>
      <c r="CD30" s="241" t="e">
        <f>MIN(adept_dp_cap,#REF!/adept_dp_bonus)</f>
        <v>#REF!</v>
      </c>
      <c r="CE30" s="39" t="e">
        <f>MIN(#REF!,#REF!)*2</f>
        <v>#REF!</v>
      </c>
      <c r="CF30" s="39" t="e">
        <f>MIN(#REF!,#REF!)*2</f>
        <v>#REF!</v>
      </c>
      <c r="CG30" s="241" t="e">
        <f>MIN(frost_mage_cap,#REF!/frost_mage_bonus)</f>
        <v>#REF!</v>
      </c>
      <c r="CH30" s="3" t="e">
        <f>MIN(ice_elem_cap,#REF!*ice_elem_bonus)</f>
        <v>#REF!</v>
      </c>
      <c r="CI30" s="241">
        <f t="shared" si="0"/>
        <v>0.83333333333333337</v>
      </c>
      <c r="CJ30" s="241" t="e">
        <f>MIN(nox_nightshade_cap,#REF!/#REF!/nox_nightshade_swamp_bonus)</f>
        <v>#REF!</v>
      </c>
      <c r="CK30" s="242"/>
      <c r="CL30" s="242"/>
      <c r="CM30" s="242"/>
      <c r="CN30" s="241" t="e">
        <f>MIN(6,#REF!+Races!$F$19)*1.8 +  IF(#REF!+Races!$F$19&gt;6,(#REF!+Races!$F$19-6)*0.2,0) - Races!$I$19</f>
        <v>#REF!</v>
      </c>
      <c r="CO30" s="241" t="e">
        <f>1.8 * MIN(MAX(#REF!+Races!$E$20,#REF!+Races!$F$20),6)  +  0.45 * MIN(MIN(#REF!+Races!$E$20,#REF!+Races!$F$20),6)  +  0.2 * ( MAX(#REF!+Races!$E$20-6,0) + MAX(#REF!+Races!$F$20-6,0) )  -  Races!$I$20</f>
        <v>#REF!</v>
      </c>
      <c r="CP30" s="39" t="e">
        <f>#REF!*#REF!+#REF!*#REF!</f>
        <v>#REF!</v>
      </c>
      <c r="CQ30" s="145" t="e">
        <f>MIN(6,#REF!+Races!$F$35)*1.8 +  IF(#REF!+Races!$F$35&gt;6,(#REF!+Races!$F$35-6)*0.2,0) - Races!$I$19</f>
        <v>#REF!</v>
      </c>
      <c r="CR30" s="39" t="e">
        <f>sylvan*(#REF!*#REF!)</f>
        <v>#REF!</v>
      </c>
      <c r="CS30" s="145" t="e">
        <f>1.8 * MIN(MAX(Races!$E$27,#REF!+Races!$F$27),6)  +  0.45 * MIN(MIN(Races!$E$27,#REF!+Races!$F$27),6)  +  0.2 * ( MAX(Races!$E$27-6,0) + MAX(#REF!+Races!$F$27-6,0) )  -  Races!$I$20</f>
        <v>#REF!</v>
      </c>
      <c r="CT30" s="39" t="e">
        <f>gnome*(#REF!*#REF!)</f>
        <v>#REF!</v>
      </c>
      <c r="CU30" s="145" t="e">
        <f>1.8 * MIN(MAX(#REF!+Races!$E$47,#REF!+Races!$F$47),6)  +  0.45 * MIN(MIN(#REF!+Races!$E$47,#REF!+Races!$F$47),6)  +  0.2 * ( MAX(#REF!+Races!$E$47-6,0) + MAX(#REF!+Races!$F$47-6,0) )  -  Races!$I$47</f>
        <v>#REF!</v>
      </c>
      <c r="CV30" s="39" t="e">
        <f>dark_elf*(#REF!*#REF!)</f>
        <v>#REF!</v>
      </c>
      <c r="CW30" s="145" t="e">
        <f>1.8 * MIN(MAX(#REF!+Races!$F$71,Races!$E$71),6)  +  0.45 * MIN(MIN(#REF!+Races!$F$71,Races!$E$71),6)  +  0.2 * ( MAX(#REF!+Races!$F$71-6,0) + MAX(Races!$E$71-6,0) )  -  Races!$I$71</f>
        <v>#REF!</v>
      </c>
      <c r="CX30" s="145" t="e">
        <f>1.8 * MIN(MAX(#REF!+Races!$E$71,Races!$F$71),6)  +  0.45 * MIN(MIN(#REF!+Races!$E$71,Races!$F$71),6)  +  0.2 * ( MAX(#REF!+Races!$E$71-6,0) + MAX(Races!$F$71-6,0) )  -  Races!$I$71</f>
        <v>#REF!</v>
      </c>
      <c r="CY30" s="39" t="e">
        <f>#REF!*#REF!+#REF!*#REF!</f>
        <v>#REF!</v>
      </c>
      <c r="CZ30" s="243"/>
      <c r="DA30" s="135" t="e">
        <f>MIN(SUM(#REF!)/#REF!/favorable_terrain_bonus/100,favorable_terrain_max)</f>
        <v>#REF!</v>
      </c>
      <c r="DB30" s="243"/>
      <c r="DC30"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30" s="134"/>
      <c r="DE30" s="244" t="e">
        <f>(#REF!+2*#REF!)/#REF!</f>
        <v>#REF!</v>
      </c>
      <c r="DF30" s="244" t="e">
        <f>#REF!*(1+race_wizard_strength+IF(#REF!&gt;72,tech_magical_weaponry_wiz*#REF!,0))</f>
        <v>#REF!</v>
      </c>
    </row>
    <row r="31" spans="1:110" x14ac:dyDescent="0.25">
      <c r="A31" s="130" t="e">
        <f>#REF!</f>
        <v>#REF!</v>
      </c>
      <c r="B31" s="236" t="e">
        <f ca="1">SUM(#REF!)+SUM(OFFSET(#REF!,-8,0):#REF!) + SUM(OFFSET(#REF!,-11,0):#REF!) +#REF!</f>
        <v>#REF!</v>
      </c>
      <c r="C31" s="132" t="e">
        <f>#REF!</f>
        <v>#REF!</v>
      </c>
      <c r="D31" s="134"/>
      <c r="E31" s="3" t="e">
        <f ca="1">OFFSET(#REF!,-1,0) + OFFSET(#REF!,-9,0) -#REF!</f>
        <v>#REF!</v>
      </c>
      <c r="F31" s="3" t="e">
        <f ca="1">OFFSET(#REF!,-1,0) + OFFSET(#REF!,-9,0)-#REF!</f>
        <v>#REF!</v>
      </c>
      <c r="G31" s="3" t="e">
        <f ca="1">OFFSET(#REF!,-1,0) + OFFSET(#REF!,-12,0)-#REF!</f>
        <v>#REF!</v>
      </c>
      <c r="H31" s="3" t="e">
        <f ca="1">OFFSET(#REF!,-1,0) + OFFSET(#REF!,-12,0)-#REF!</f>
        <v>#REF!</v>
      </c>
      <c r="I31" s="3" t="e">
        <f ca="1">OFFSET(#REF!,-1,0) + OFFSET(#REF!,-12,0) -#REF!-#REF!</f>
        <v>#REF!</v>
      </c>
      <c r="J31" s="3" t="e">
        <f ca="1">OFFSET(#REF!,-1,0) + OFFSET(#REF!,-12,0) -#REF!</f>
        <v>#REF!</v>
      </c>
      <c r="K31" s="3" t="e">
        <f ca="1">OFFSET(#REF!,-1,0) + OFFSET(#REF!,-12,0) -#REF!-#REF!</f>
        <v>#REF!</v>
      </c>
      <c r="L31" s="3" t="e">
        <f ca="1">OFFSET(#REF!,-1,0) + OFFSET(#REF!,-12,0) -#REF!</f>
        <v>#REF!</v>
      </c>
      <c r="M31" s="134"/>
      <c r="N31" s="39" t="e">
        <f>#REF!</f>
        <v>#REF!</v>
      </c>
      <c r="O31" s="134"/>
      <c r="P31" s="237" t="e">
        <f>#REF!*spec_op+#REF!*(elite1_base_op)+#REF!*(elite2_base_op+dark_elf*#REF!+icekin*#REF!+woodie*#REF!+orc*#REF!)+kobold*#REF!</f>
        <v>#REF!</v>
      </c>
      <c r="Q31" s="132" t="e">
        <f>race_offense+#REF!+ROUND(MIN(gn_bonus*#REF!/#REF!,gn_bonus_cap),4)+MAX(IF(#REF!&gt;0,warsong_bonus),IF(#REF!&gt;0,howling_op_bonus),IF(#REF!&gt;0,nightfall_bonus),IF(#REF!&gt;0,#REF!)) +#REF!/ 100*prestige_offense_bonus + tech_5_4*#REF! + tech_7_4*#REF!</f>
        <v>#REF!</v>
      </c>
      <c r="R31" s="237" t="e">
        <f>#REF!*(1+#REF!)</f>
        <v>#REF!</v>
      </c>
      <c r="S31" s="237" t="e">
        <f>#REF!*spec_dp+#REF!*(elite1_base_dp+woodie*#REF!+sylvan*#REF!+gnome*#REF!+icekin*#REF!+nox*#REF!)+#REF!*(elite2_base_dp+woodie*#REF!) + fh_peas_dp*MIN(#REF!,20*#REF!)+kobold*#REF!</f>
        <v>#REF!</v>
      </c>
      <c r="T31" s="237" t="e">
        <f>#REF!+#REF!</f>
        <v>#REF!</v>
      </c>
      <c r="U31" s="238" t="e">
        <f>race_defense +#REF! + ROUND( MIN(gt_bonus*#REF!/#REF!,gt_bonus_cap), 4) + IF(#REF!&gt;0,howling_dp_bonus,IF(#REF!&gt;0,ares_call_bonus))</f>
        <v>#REF!</v>
      </c>
      <c r="V31" s="239" t="e">
        <f>#REF! * (1 +#REF!)</f>
        <v>#REF!</v>
      </c>
      <c r="W31" s="237" t="e">
        <f>#REF! * (1 +#REF!)</f>
        <v>#REF!</v>
      </c>
      <c r="X31" s="237" t="e">
        <f>#REF!</f>
        <v>#REF!</v>
      </c>
      <c r="Y31" s="240"/>
      <c r="Z31" s="135" t="e">
        <f ca="1">IF(#REF!&lt;&gt;"",#REF!,OFFSET(#REF!,-1,0))</f>
        <v>#REF!</v>
      </c>
      <c r="AA31" s="39" t="e">
        <f ca="1">OFFSET(#REF!,-1,0)+OFFSET(#REF!,-1,0) - SUM(#REF!,#REF!) -#REF! + SUM(#REF!) -#REF!</f>
        <v>#REF!</v>
      </c>
      <c r="AB31" s="133"/>
      <c r="AC31" s="132" t="e">
        <f>(#REF!+#REF!)/(#REF!-#REF!*20)</f>
        <v>#REF!</v>
      </c>
      <c r="AD31" s="130"/>
      <c r="AE31" s="236" t="e">
        <f>#REF!</f>
        <v>#REF!</v>
      </c>
      <c r="AF31" s="131" t="e">
        <f>#REF!</f>
        <v>#REF!</v>
      </c>
      <c r="AG31" s="164"/>
      <c r="AH31" s="164"/>
      <c r="AI31" s="164"/>
      <c r="AJ31" s="164"/>
      <c r="AK31" s="164"/>
      <c r="AL31" s="164"/>
      <c r="AM31" s="164"/>
      <c r="AN31" s="164"/>
      <c r="AO31" s="134"/>
      <c r="AP31" s="39" t="e">
        <f>#REF!</f>
        <v>#REF!</v>
      </c>
      <c r="AQ31" s="39" t="e">
        <f>INDEX(#REF!:#REF!,COUNTA(#REF!:#REF!),MATCH(Military!$AQ$2,#REF!,0))</f>
        <v>#REF!</v>
      </c>
      <c r="AR31" s="39" t="e">
        <f>#REF!*#REF!+#REF!*#REF!+#REF!*#REF!+#REF!*#REF!+#REF!*#REF!+#REF!*#REF!+#REF!*#REF!</f>
        <v>#REF!</v>
      </c>
      <c r="AS31" s="39" t="e">
        <f>#REF!*#REF!+#REF!*#REF!+#REF!*#REF!+#REF!*#REF!</f>
        <v>#REF!</v>
      </c>
      <c r="AT31" s="134" t="e">
        <f>#REF!</f>
        <v>#REF!</v>
      </c>
      <c r="AU31" s="143" t="e">
        <f>#REF!</f>
        <v>#REF!</v>
      </c>
      <c r="AV31" s="39" t="e">
        <f>#REF!</f>
        <v>#REF!</v>
      </c>
      <c r="AW31" s="164"/>
      <c r="AX31" s="164"/>
      <c r="AY31" s="164"/>
      <c r="AZ31" s="164"/>
      <c r="BA31" s="164"/>
      <c r="BB31" s="164"/>
      <c r="BC31" s="164"/>
      <c r="BD31" s="164"/>
      <c r="BE31" s="164"/>
      <c r="BF31" s="134"/>
      <c r="BG31" s="132" t="e">
        <f>#REF!/#REF!</f>
        <v>#REF!</v>
      </c>
      <c r="BH31" s="132" t="e">
        <f>#REF!/#REF!</f>
        <v>#REF!</v>
      </c>
      <c r="BI31" s="39" t="e">
        <f>ROUNDUP((1-MIN(#REF!*smithy_bonus,smithy_bonus_cap) + tech_3_5*#REF! + tech_5_3*#REF! + tech_5_5*#REF!)*spec_op_plat,0)</f>
        <v>#REF!</v>
      </c>
      <c r="BJ31" s="39" t="e">
        <f>ROUNDUP(IF(race="Gnome",1,(1-MIN(#REF!*smithy_bonus,smithy_bonus_cap) + tech_3_5*#REF! + tech_5_3*#REF! + tech_5_5*#REF!))*spec_op_ore,0)</f>
        <v>#REF!</v>
      </c>
      <c r="BK31" s="39" t="e">
        <f>ROUNDUP((1-MIN(#REF!*smithy_bonus,smithy_bonus_cap) + tech_3_5*#REF! + tech_5_3*#REF! + tech_5_5*#REF!)*spec_dp_plat,0)</f>
        <v>#REF!</v>
      </c>
      <c r="BL31" s="39" t="e">
        <f>ROUNDUP(IF(race="Gnome",1,(1-MIN(#REF!*smithy_bonus,smithy_bonus_cap) + tech_3_5*#REF! + tech_5_3*#REF! + tech_5_5*#REF!))*spec_dp_ore,0)</f>
        <v>#REF!</v>
      </c>
      <c r="BM31" s="39" t="e">
        <f>ROUNDUP((1-MIN(#REF!*smithy_bonus,smithy_bonus_cap) + tech_3_5*#REF! + tech_5_3*#REF! + tech_5_5*#REF!)*elite1_plat,0)</f>
        <v>#REF!</v>
      </c>
      <c r="BN31" s="39" t="e">
        <f>ROUNDUP(IF(race="Gnome",1,(1-MIN(#REF!*smithy_bonus,smithy_bonus_cap) + tech_3_5*#REF! + tech_5_3*#REF! + tech_5_5*#REF!))*elite1_ore,0)</f>
        <v>#REF!</v>
      </c>
      <c r="BO31" s="39" t="e">
        <f>ROUNDUP((1-MIN(#REF!*smithy_bonus,smithy_bonus_cap) + tech_3_5*#REF! + tech_5_3*#REF! + tech_5_5*#REF!)*elite2_plat,0)</f>
        <v>#REF!</v>
      </c>
      <c r="BP31" s="39" t="e">
        <f>ROUNDUP(IF(race="Gnome",1,(1-MIN(#REF!*smithy_bonus,smithy_bonus_cap) + tech_3_5*#REF! + tech_5_3*#REF! + tech_5_5*#REF!))*elite2_ore,0)</f>
        <v>#REF!</v>
      </c>
      <c r="BQ31" s="39" t="e">
        <f>ROUNDUP((1-MIN(ROUND(fh_spy_cost_red*#REF!,4),fh_spy_cost_cap)+ tech_1_9*#REF! + tech_9_1*#REF!)*spy_plat,0)</f>
        <v>#REF!</v>
      </c>
      <c r="BR31" s="39" t="e">
        <f>ROUNDUP((1-MIN(ROUND(fh_spy_cost_red*#REF!,4),fh_spy_cost_cap)+ tech_1_9*#REF! + tech_9_1*#REF!)*archspy_plat,0)</f>
        <v>#REF!</v>
      </c>
      <c r="BS31" s="39" t="e">
        <f>ROUNDUP((1-MIN(ROUND(wg_wiz_cost_bonus*#REF!,4),wg_wiz_cost_cap) + tech_1_9_2*#REF! + tech_9_1_2*#REF!)*wizard_plat,0)</f>
        <v>#REF!</v>
      </c>
      <c r="BT31" s="39" t="e">
        <f>ROUNDUP((1-MIN(ROUND(wg_wiz_cost_bonus*#REF!,4),wg_wiz_cost_cap) + tech_1_9_2*#REF! + tech_9_1_2*#REF!)*archmage_plat,0)</f>
        <v>#REF!</v>
      </c>
      <c r="BU31" s="134"/>
      <c r="BV31" s="132" t="e">
        <f>#REF!/#REF!</f>
        <v>#REF!</v>
      </c>
      <c r="BW31" s="132" t="e">
        <f>#REF!</f>
        <v>#REF!</v>
      </c>
      <c r="BX31" s="241" t="e">
        <f>IF(mystic_cap="none",#REF!/mystic_bonus,MIN(mystic_cap,#REF!/mystic_bonus))</f>
        <v>#REF!</v>
      </c>
      <c r="BY31" s="241" t="e">
        <f>IF(druid_op_cap="none",#REF!/druid_op_bonus,MIN(druid_op_cap,#REF!/druid_op_bonus))</f>
        <v>#REF!</v>
      </c>
      <c r="BZ31" s="241" t="e">
        <f>IF(druid_dp_cap="none",#REF!/druid_dp_bonus,MIN(druid_dp_cap,#REF!/druid_dp_bonus))</f>
        <v>#REF!</v>
      </c>
      <c r="CA31" s="241" t="e">
        <f>MIN(dryad_cap,#REF!/dryad_bonus)</f>
        <v>#REF!</v>
      </c>
      <c r="CB31" s="241" t="e">
        <f>MIN(rocka_cap,#REF!/rocka_bonus)</f>
        <v>#REF!</v>
      </c>
      <c r="CC31" s="241" t="e">
        <f>MIN(adept_op_cap,#REF!/adept_op_bonus)</f>
        <v>#REF!</v>
      </c>
      <c r="CD31" s="241" t="e">
        <f>MIN(adept_dp_cap,#REF!/adept_dp_bonus)</f>
        <v>#REF!</v>
      </c>
      <c r="CE31" s="39" t="e">
        <f>MIN(#REF!,#REF!)*2</f>
        <v>#REF!</v>
      </c>
      <c r="CF31" s="39" t="e">
        <f>MIN(#REF!,#REF!)*2</f>
        <v>#REF!</v>
      </c>
      <c r="CG31" s="241" t="e">
        <f>MIN(frost_mage_cap,#REF!/frost_mage_bonus)</f>
        <v>#REF!</v>
      </c>
      <c r="CH31" s="3" t="e">
        <f>MIN(ice_elem_cap,#REF!*ice_elem_bonus)</f>
        <v>#REF!</v>
      </c>
      <c r="CI31" s="241">
        <f t="shared" si="0"/>
        <v>0.83333333333333337</v>
      </c>
      <c r="CJ31" s="241" t="e">
        <f>MIN(nox_nightshade_cap,#REF!/#REF!/nox_nightshade_swamp_bonus)</f>
        <v>#REF!</v>
      </c>
      <c r="CK31" s="242"/>
      <c r="CL31" s="242"/>
      <c r="CM31" s="242"/>
      <c r="CN31" s="241" t="e">
        <f>MIN(6,#REF!+Races!$F$19)*1.8 +  IF(#REF!+Races!$F$19&gt;6,(#REF!+Races!$F$19-6)*0.2,0) - Races!$I$19</f>
        <v>#REF!</v>
      </c>
      <c r="CO31" s="241" t="e">
        <f>1.8 * MIN(MAX(#REF!+Races!$E$20,#REF!+Races!$F$20),6)  +  0.45 * MIN(MIN(#REF!+Races!$E$20,#REF!+Races!$F$20),6)  +  0.2 * ( MAX(#REF!+Races!$E$20-6,0) + MAX(#REF!+Races!$F$20-6,0) )  -  Races!$I$20</f>
        <v>#REF!</v>
      </c>
      <c r="CP31" s="39" t="e">
        <f>#REF!*#REF!+#REF!*#REF!</f>
        <v>#REF!</v>
      </c>
      <c r="CQ31" s="145" t="e">
        <f>MIN(6,#REF!+Races!$F$35)*1.8 +  IF(#REF!+Races!$F$35&gt;6,(#REF!+Races!$F$35-6)*0.2,0) - Races!$I$19</f>
        <v>#REF!</v>
      </c>
      <c r="CR31" s="39" t="e">
        <f>sylvan*(#REF!*#REF!)</f>
        <v>#REF!</v>
      </c>
      <c r="CS31" s="145" t="e">
        <f>1.8 * MIN(MAX(Races!$E$27,#REF!+Races!$F$27),6)  +  0.45 * MIN(MIN(Races!$E$27,#REF!+Races!$F$27),6)  +  0.2 * ( MAX(Races!$E$27-6,0) + MAX(#REF!+Races!$F$27-6,0) )  -  Races!$I$20</f>
        <v>#REF!</v>
      </c>
      <c r="CT31" s="39" t="e">
        <f>gnome*(#REF!*#REF!)</f>
        <v>#REF!</v>
      </c>
      <c r="CU31" s="145" t="e">
        <f>1.8 * MIN(MAX(#REF!+Races!$E$47,#REF!+Races!$F$47),6)  +  0.45 * MIN(MIN(#REF!+Races!$E$47,#REF!+Races!$F$47),6)  +  0.2 * ( MAX(#REF!+Races!$E$47-6,0) + MAX(#REF!+Races!$F$47-6,0) )  -  Races!$I$47</f>
        <v>#REF!</v>
      </c>
      <c r="CV31" s="39" t="e">
        <f>dark_elf*(#REF!*#REF!)</f>
        <v>#REF!</v>
      </c>
      <c r="CW31" s="145" t="e">
        <f>1.8 * MIN(MAX(#REF!+Races!$F$71,Races!$E$71),6)  +  0.45 * MIN(MIN(#REF!+Races!$F$71,Races!$E$71),6)  +  0.2 * ( MAX(#REF!+Races!$F$71-6,0) + MAX(Races!$E$71-6,0) )  -  Races!$I$71</f>
        <v>#REF!</v>
      </c>
      <c r="CX31" s="145" t="e">
        <f>1.8 * MIN(MAX(#REF!+Races!$E$71,Races!$F$71),6)  +  0.45 * MIN(MIN(#REF!+Races!$E$71,Races!$F$71),6)  +  0.2 * ( MAX(#REF!+Races!$E$71-6,0) + MAX(Races!$F$71-6,0) )  -  Races!$I$71</f>
        <v>#REF!</v>
      </c>
      <c r="CY31" s="39" t="e">
        <f>#REF!*#REF!+#REF!*#REF!</f>
        <v>#REF!</v>
      </c>
      <c r="CZ31" s="243"/>
      <c r="DA31" s="135" t="e">
        <f>MIN(SUM(#REF!)/#REF!/favorable_terrain_bonus/100,favorable_terrain_max)</f>
        <v>#REF!</v>
      </c>
      <c r="DB31" s="243"/>
      <c r="DC31"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31" s="134"/>
      <c r="DE31" s="244" t="e">
        <f>(#REF!+2*#REF!)/#REF!</f>
        <v>#REF!</v>
      </c>
      <c r="DF31" s="244" t="e">
        <f>#REF!*(1+race_wizard_strength+IF(#REF!&gt;72,tech_magical_weaponry_wiz*#REF!,0))</f>
        <v>#REF!</v>
      </c>
    </row>
    <row r="32" spans="1:110" x14ac:dyDescent="0.25">
      <c r="A32" s="130" t="e">
        <f>#REF!</f>
        <v>#REF!</v>
      </c>
      <c r="B32" s="236" t="e">
        <f ca="1">SUM(#REF!)+SUM(OFFSET(#REF!,-8,0):#REF!) + SUM(OFFSET(#REF!,-11,0):#REF!) +#REF!</f>
        <v>#REF!</v>
      </c>
      <c r="C32" s="132" t="e">
        <f>#REF!</f>
        <v>#REF!</v>
      </c>
      <c r="D32" s="134"/>
      <c r="E32" s="3" t="e">
        <f ca="1">OFFSET(#REF!,-1,0) + OFFSET(#REF!,-9,0) -#REF!</f>
        <v>#REF!</v>
      </c>
      <c r="F32" s="3" t="e">
        <f ca="1">OFFSET(#REF!,-1,0) + OFFSET(#REF!,-9,0)-#REF!</f>
        <v>#REF!</v>
      </c>
      <c r="G32" s="3" t="e">
        <f ca="1">OFFSET(#REF!,-1,0) + OFFSET(#REF!,-12,0)-#REF!</f>
        <v>#REF!</v>
      </c>
      <c r="H32" s="3" t="e">
        <f ca="1">OFFSET(#REF!,-1,0) + OFFSET(#REF!,-12,0)-#REF!</f>
        <v>#REF!</v>
      </c>
      <c r="I32" s="3" t="e">
        <f ca="1">OFFSET(#REF!,-1,0) + OFFSET(#REF!,-12,0) -#REF!-#REF!</f>
        <v>#REF!</v>
      </c>
      <c r="J32" s="3" t="e">
        <f ca="1">OFFSET(#REF!,-1,0) + OFFSET(#REF!,-12,0) -#REF!</f>
        <v>#REF!</v>
      </c>
      <c r="K32" s="3" t="e">
        <f ca="1">OFFSET(#REF!,-1,0) + OFFSET(#REF!,-12,0) -#REF!-#REF!</f>
        <v>#REF!</v>
      </c>
      <c r="L32" s="3" t="e">
        <f ca="1">OFFSET(#REF!,-1,0) + OFFSET(#REF!,-12,0) -#REF!</f>
        <v>#REF!</v>
      </c>
      <c r="M32" s="134"/>
      <c r="N32" s="39" t="e">
        <f>#REF!</f>
        <v>#REF!</v>
      </c>
      <c r="O32" s="134"/>
      <c r="P32" s="237" t="e">
        <f>#REF!*spec_op+#REF!*(elite1_base_op)+#REF!*(elite2_base_op+dark_elf*#REF!+icekin*#REF!+woodie*#REF!+orc*#REF!)+kobold*#REF!</f>
        <v>#REF!</v>
      </c>
      <c r="Q32" s="132" t="e">
        <f>race_offense+#REF!+ROUND(MIN(gn_bonus*#REF!/#REF!,gn_bonus_cap),4)+MAX(IF(#REF!&gt;0,warsong_bonus),IF(#REF!&gt;0,howling_op_bonus),IF(#REF!&gt;0,nightfall_bonus),IF(#REF!&gt;0,#REF!)) +#REF!/ 100*prestige_offense_bonus + tech_5_4*#REF! + tech_7_4*#REF!</f>
        <v>#REF!</v>
      </c>
      <c r="R32" s="237" t="e">
        <f>#REF!*(1+#REF!)</f>
        <v>#REF!</v>
      </c>
      <c r="S32" s="237" t="e">
        <f>#REF!*spec_dp+#REF!*(elite1_base_dp+woodie*#REF!+sylvan*#REF!+gnome*#REF!+icekin*#REF!+nox*#REF!)+#REF!*(elite2_base_dp+woodie*#REF!) + fh_peas_dp*MIN(#REF!,20*#REF!)+kobold*#REF!</f>
        <v>#REF!</v>
      </c>
      <c r="T32" s="237" t="e">
        <f>#REF!+#REF!</f>
        <v>#REF!</v>
      </c>
      <c r="U32" s="238" t="e">
        <f>race_defense +#REF! + ROUND( MIN(gt_bonus*#REF!/#REF!,gt_bonus_cap), 4) + IF(#REF!&gt;0,howling_dp_bonus,IF(#REF!&gt;0,ares_call_bonus))</f>
        <v>#REF!</v>
      </c>
      <c r="V32" s="239" t="e">
        <f>#REF! * (1 +#REF!)</f>
        <v>#REF!</v>
      </c>
      <c r="W32" s="237" t="e">
        <f>#REF! * (1 +#REF!)</f>
        <v>#REF!</v>
      </c>
      <c r="X32" s="237" t="e">
        <f>#REF!</f>
        <v>#REF!</v>
      </c>
      <c r="Y32" s="240"/>
      <c r="Z32" s="135" t="e">
        <f ca="1">IF(#REF!&lt;&gt;"",#REF!,OFFSET(#REF!,-1,0))</f>
        <v>#REF!</v>
      </c>
      <c r="AA32" s="39" t="e">
        <f ca="1">OFFSET(#REF!,-1,0)+OFFSET(#REF!,-1,0) - SUM(#REF!,#REF!) -#REF! + SUM(#REF!) -#REF!</f>
        <v>#REF!</v>
      </c>
      <c r="AB32" s="133"/>
      <c r="AC32" s="132" t="e">
        <f>(#REF!+#REF!)/(#REF!-#REF!*20)</f>
        <v>#REF!</v>
      </c>
      <c r="AD32" s="130"/>
      <c r="AE32" s="236" t="e">
        <f>#REF!</f>
        <v>#REF!</v>
      </c>
      <c r="AF32" s="131" t="e">
        <f>#REF!</f>
        <v>#REF!</v>
      </c>
      <c r="AG32" s="164"/>
      <c r="AH32" s="164"/>
      <c r="AI32" s="164"/>
      <c r="AJ32" s="164"/>
      <c r="AK32" s="164"/>
      <c r="AL32" s="164"/>
      <c r="AM32" s="164"/>
      <c r="AN32" s="164"/>
      <c r="AO32" s="134"/>
      <c r="AP32" s="39" t="e">
        <f>#REF!</f>
        <v>#REF!</v>
      </c>
      <c r="AQ32" s="39" t="e">
        <f>INDEX(#REF!:#REF!,COUNTA(#REF!:#REF!),MATCH(Military!$AQ$2,#REF!,0))</f>
        <v>#REF!</v>
      </c>
      <c r="AR32" s="39" t="e">
        <f>#REF!*#REF!+#REF!*#REF!+#REF!*#REF!+#REF!*#REF!+#REF!*#REF!+#REF!*#REF!+#REF!*#REF!</f>
        <v>#REF!</v>
      </c>
      <c r="AS32" s="39" t="e">
        <f>#REF!*#REF!+#REF!*#REF!+#REF!*#REF!+#REF!*#REF!</f>
        <v>#REF!</v>
      </c>
      <c r="AT32" s="134" t="e">
        <f>#REF!</f>
        <v>#REF!</v>
      </c>
      <c r="AU32" s="143" t="e">
        <f>#REF!</f>
        <v>#REF!</v>
      </c>
      <c r="AV32" s="39" t="e">
        <f>#REF!</f>
        <v>#REF!</v>
      </c>
      <c r="AW32" s="164"/>
      <c r="AX32" s="164"/>
      <c r="AY32" s="164"/>
      <c r="AZ32" s="164"/>
      <c r="BA32" s="164"/>
      <c r="BB32" s="164"/>
      <c r="BC32" s="164"/>
      <c r="BD32" s="164"/>
      <c r="BE32" s="164"/>
      <c r="BF32" s="134"/>
      <c r="BG32" s="132" t="e">
        <f>#REF!/#REF!</f>
        <v>#REF!</v>
      </c>
      <c r="BH32" s="132" t="e">
        <f>#REF!/#REF!</f>
        <v>#REF!</v>
      </c>
      <c r="BI32" s="39" t="e">
        <f>ROUNDUP((1-MIN(#REF!*smithy_bonus,smithy_bonus_cap) + tech_3_5*#REF! + tech_5_3*#REF! + tech_5_5*#REF!)*spec_op_plat,0)</f>
        <v>#REF!</v>
      </c>
      <c r="BJ32" s="39" t="e">
        <f>ROUNDUP(IF(race="Gnome",1,(1-MIN(#REF!*smithy_bonus,smithy_bonus_cap) + tech_3_5*#REF! + tech_5_3*#REF! + tech_5_5*#REF!))*spec_op_ore,0)</f>
        <v>#REF!</v>
      </c>
      <c r="BK32" s="39" t="e">
        <f>ROUNDUP((1-MIN(#REF!*smithy_bonus,smithy_bonus_cap) + tech_3_5*#REF! + tech_5_3*#REF! + tech_5_5*#REF!)*spec_dp_plat,0)</f>
        <v>#REF!</v>
      </c>
      <c r="BL32" s="39" t="e">
        <f>ROUNDUP(IF(race="Gnome",1,(1-MIN(#REF!*smithy_bonus,smithy_bonus_cap) + tech_3_5*#REF! + tech_5_3*#REF! + tech_5_5*#REF!))*spec_dp_ore,0)</f>
        <v>#REF!</v>
      </c>
      <c r="BM32" s="39" t="e">
        <f>ROUNDUP((1-MIN(#REF!*smithy_bonus,smithy_bonus_cap) + tech_3_5*#REF! + tech_5_3*#REF! + tech_5_5*#REF!)*elite1_plat,0)</f>
        <v>#REF!</v>
      </c>
      <c r="BN32" s="39" t="e">
        <f>ROUNDUP(IF(race="Gnome",1,(1-MIN(#REF!*smithy_bonus,smithy_bonus_cap) + tech_3_5*#REF! + tech_5_3*#REF! + tech_5_5*#REF!))*elite1_ore,0)</f>
        <v>#REF!</v>
      </c>
      <c r="BO32" s="39" t="e">
        <f>ROUNDUP((1-MIN(#REF!*smithy_bonus,smithy_bonus_cap) + tech_3_5*#REF! + tech_5_3*#REF! + tech_5_5*#REF!)*elite2_plat,0)</f>
        <v>#REF!</v>
      </c>
      <c r="BP32" s="39" t="e">
        <f>ROUNDUP(IF(race="Gnome",1,(1-MIN(#REF!*smithy_bonus,smithy_bonus_cap) + tech_3_5*#REF! + tech_5_3*#REF! + tech_5_5*#REF!))*elite2_ore,0)</f>
        <v>#REF!</v>
      </c>
      <c r="BQ32" s="39" t="e">
        <f>ROUNDUP((1-MIN(ROUND(fh_spy_cost_red*#REF!,4),fh_spy_cost_cap)+ tech_1_9*#REF! + tech_9_1*#REF!)*spy_plat,0)</f>
        <v>#REF!</v>
      </c>
      <c r="BR32" s="39" t="e">
        <f>ROUNDUP((1-MIN(ROUND(fh_spy_cost_red*#REF!,4),fh_spy_cost_cap)+ tech_1_9*#REF! + tech_9_1*#REF!)*archspy_plat,0)</f>
        <v>#REF!</v>
      </c>
      <c r="BS32" s="39" t="e">
        <f>ROUNDUP((1-MIN(ROUND(wg_wiz_cost_bonus*#REF!,4),wg_wiz_cost_cap) + tech_1_9_2*#REF! + tech_9_1_2*#REF!)*wizard_plat,0)</f>
        <v>#REF!</v>
      </c>
      <c r="BT32" s="39" t="e">
        <f>ROUNDUP((1-MIN(ROUND(wg_wiz_cost_bonus*#REF!,4),wg_wiz_cost_cap) + tech_1_9_2*#REF! + tech_9_1_2*#REF!)*archmage_plat,0)</f>
        <v>#REF!</v>
      </c>
      <c r="BU32" s="134"/>
      <c r="BV32" s="132" t="e">
        <f>#REF!/#REF!</f>
        <v>#REF!</v>
      </c>
      <c r="BW32" s="132" t="e">
        <f>#REF!</f>
        <v>#REF!</v>
      </c>
      <c r="BX32" s="241" t="e">
        <f>IF(mystic_cap="none",#REF!/mystic_bonus,MIN(mystic_cap,#REF!/mystic_bonus))</f>
        <v>#REF!</v>
      </c>
      <c r="BY32" s="241" t="e">
        <f>IF(druid_op_cap="none",#REF!/druid_op_bonus,MIN(druid_op_cap,#REF!/druid_op_bonus))</f>
        <v>#REF!</v>
      </c>
      <c r="BZ32" s="241" t="e">
        <f>IF(druid_dp_cap="none",#REF!/druid_dp_bonus,MIN(druid_dp_cap,#REF!/druid_dp_bonus))</f>
        <v>#REF!</v>
      </c>
      <c r="CA32" s="241" t="e">
        <f>MIN(dryad_cap,#REF!/dryad_bonus)</f>
        <v>#REF!</v>
      </c>
      <c r="CB32" s="241" t="e">
        <f>MIN(rocka_cap,#REF!/rocka_bonus)</f>
        <v>#REF!</v>
      </c>
      <c r="CC32" s="241" t="e">
        <f>MIN(adept_op_cap,#REF!/adept_op_bonus)</f>
        <v>#REF!</v>
      </c>
      <c r="CD32" s="241" t="e">
        <f>MIN(adept_dp_cap,#REF!/adept_dp_bonus)</f>
        <v>#REF!</v>
      </c>
      <c r="CE32" s="39" t="e">
        <f>MIN(#REF!,#REF!)*2</f>
        <v>#REF!</v>
      </c>
      <c r="CF32" s="39" t="e">
        <f>MIN(#REF!,#REF!)*2</f>
        <v>#REF!</v>
      </c>
      <c r="CG32" s="241" t="e">
        <f>MIN(frost_mage_cap,#REF!/frost_mage_bonus)</f>
        <v>#REF!</v>
      </c>
      <c r="CH32" s="3" t="e">
        <f>MIN(ice_elem_cap,#REF!*ice_elem_bonus)</f>
        <v>#REF!</v>
      </c>
      <c r="CI32" s="241">
        <f t="shared" si="0"/>
        <v>0.83333333333333337</v>
      </c>
      <c r="CJ32" s="241" t="e">
        <f>MIN(nox_nightshade_cap,#REF!/#REF!/nox_nightshade_swamp_bonus)</f>
        <v>#REF!</v>
      </c>
      <c r="CK32" s="242"/>
      <c r="CL32" s="242"/>
      <c r="CM32" s="242"/>
      <c r="CN32" s="241" t="e">
        <f>MIN(6,#REF!+Races!$F$19)*1.8 +  IF(#REF!+Races!$F$19&gt;6,(#REF!+Races!$F$19-6)*0.2,0) - Races!$I$19</f>
        <v>#REF!</v>
      </c>
      <c r="CO32" s="241" t="e">
        <f>1.8 * MIN(MAX(#REF!+Races!$E$20,#REF!+Races!$F$20),6)  +  0.45 * MIN(MIN(#REF!+Races!$E$20,#REF!+Races!$F$20),6)  +  0.2 * ( MAX(#REF!+Races!$E$20-6,0) + MAX(#REF!+Races!$F$20-6,0) )  -  Races!$I$20</f>
        <v>#REF!</v>
      </c>
      <c r="CP32" s="39" t="e">
        <f>#REF!*#REF!+#REF!*#REF!</f>
        <v>#REF!</v>
      </c>
      <c r="CQ32" s="145" t="e">
        <f>MIN(6,#REF!+Races!$F$35)*1.8 +  IF(#REF!+Races!$F$35&gt;6,(#REF!+Races!$F$35-6)*0.2,0) - Races!$I$19</f>
        <v>#REF!</v>
      </c>
      <c r="CR32" s="39" t="e">
        <f>sylvan*(#REF!*#REF!)</f>
        <v>#REF!</v>
      </c>
      <c r="CS32" s="145" t="e">
        <f>1.8 * MIN(MAX(Races!$E$27,#REF!+Races!$F$27),6)  +  0.45 * MIN(MIN(Races!$E$27,#REF!+Races!$F$27),6)  +  0.2 * ( MAX(Races!$E$27-6,0) + MAX(#REF!+Races!$F$27-6,0) )  -  Races!$I$20</f>
        <v>#REF!</v>
      </c>
      <c r="CT32" s="39" t="e">
        <f>gnome*(#REF!*#REF!)</f>
        <v>#REF!</v>
      </c>
      <c r="CU32" s="145" t="e">
        <f>1.8 * MIN(MAX(#REF!+Races!$E$47,#REF!+Races!$F$47),6)  +  0.45 * MIN(MIN(#REF!+Races!$E$47,#REF!+Races!$F$47),6)  +  0.2 * ( MAX(#REF!+Races!$E$47-6,0) + MAX(#REF!+Races!$F$47-6,0) )  -  Races!$I$47</f>
        <v>#REF!</v>
      </c>
      <c r="CV32" s="39" t="e">
        <f>dark_elf*(#REF!*#REF!)</f>
        <v>#REF!</v>
      </c>
      <c r="CW32" s="145" t="e">
        <f>1.8 * MIN(MAX(#REF!+Races!$F$71,Races!$E$71),6)  +  0.45 * MIN(MIN(#REF!+Races!$F$71,Races!$E$71),6)  +  0.2 * ( MAX(#REF!+Races!$F$71-6,0) + MAX(Races!$E$71-6,0) )  -  Races!$I$71</f>
        <v>#REF!</v>
      </c>
      <c r="CX32" s="145" t="e">
        <f>1.8 * MIN(MAX(#REF!+Races!$E$71,Races!$F$71),6)  +  0.45 * MIN(MIN(#REF!+Races!$E$71,Races!$F$71),6)  +  0.2 * ( MAX(#REF!+Races!$E$71-6,0) + MAX(Races!$F$71-6,0) )  -  Races!$I$71</f>
        <v>#REF!</v>
      </c>
      <c r="CY32" s="39" t="e">
        <f>#REF!*#REF!+#REF!*#REF!</f>
        <v>#REF!</v>
      </c>
      <c r="CZ32" s="243"/>
      <c r="DA32" s="135" t="e">
        <f>MIN(SUM(#REF!)/#REF!/favorable_terrain_bonus/100,favorable_terrain_max)</f>
        <v>#REF!</v>
      </c>
      <c r="DB32" s="243"/>
      <c r="DC32"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32" s="134"/>
      <c r="DE32" s="244" t="e">
        <f>(#REF!+2*#REF!)/#REF!</f>
        <v>#REF!</v>
      </c>
      <c r="DF32" s="244" t="e">
        <f>#REF!*(1+race_wizard_strength+IF(#REF!&gt;72,tech_magical_weaponry_wiz*#REF!,0))</f>
        <v>#REF!</v>
      </c>
    </row>
    <row r="33" spans="1:110" x14ac:dyDescent="0.25">
      <c r="A33" s="130" t="e">
        <f>#REF!</f>
        <v>#REF!</v>
      </c>
      <c r="B33" s="236" t="e">
        <f ca="1">SUM(#REF!)+SUM(OFFSET(#REF!,-8,0):#REF!) + SUM(OFFSET(#REF!,-11,0):#REF!) +#REF!</f>
        <v>#REF!</v>
      </c>
      <c r="C33" s="132" t="e">
        <f>#REF!</f>
        <v>#REF!</v>
      </c>
      <c r="D33" s="134"/>
      <c r="E33" s="3" t="e">
        <f ca="1">OFFSET(#REF!,-1,0) + OFFSET(#REF!,-9,0) -#REF!</f>
        <v>#REF!</v>
      </c>
      <c r="F33" s="3" t="e">
        <f ca="1">OFFSET(#REF!,-1,0) + OFFSET(#REF!,-9,0)-#REF!</f>
        <v>#REF!</v>
      </c>
      <c r="G33" s="3" t="e">
        <f ca="1">OFFSET(#REF!,-1,0) + OFFSET(#REF!,-12,0)-#REF!</f>
        <v>#REF!</v>
      </c>
      <c r="H33" s="3" t="e">
        <f ca="1">OFFSET(#REF!,-1,0) + OFFSET(#REF!,-12,0)-#REF!</f>
        <v>#REF!</v>
      </c>
      <c r="I33" s="3" t="e">
        <f ca="1">OFFSET(#REF!,-1,0) + OFFSET(#REF!,-12,0) -#REF!-#REF!</f>
        <v>#REF!</v>
      </c>
      <c r="J33" s="3" t="e">
        <f ca="1">OFFSET(#REF!,-1,0) + OFFSET(#REF!,-12,0) -#REF!</f>
        <v>#REF!</v>
      </c>
      <c r="K33" s="3" t="e">
        <f ca="1">OFFSET(#REF!,-1,0) + OFFSET(#REF!,-12,0) -#REF!-#REF!</f>
        <v>#REF!</v>
      </c>
      <c r="L33" s="3" t="e">
        <f ca="1">OFFSET(#REF!,-1,0) + OFFSET(#REF!,-12,0) -#REF!</f>
        <v>#REF!</v>
      </c>
      <c r="M33" s="134"/>
      <c r="N33" s="39" t="e">
        <f>#REF!</f>
        <v>#REF!</v>
      </c>
      <c r="O33" s="134"/>
      <c r="P33" s="237" t="e">
        <f>#REF!*spec_op+#REF!*(elite1_base_op)+#REF!*(elite2_base_op+dark_elf*#REF!+icekin*#REF!+woodie*#REF!+orc*#REF!)+kobold*#REF!</f>
        <v>#REF!</v>
      </c>
      <c r="Q33" s="132" t="e">
        <f>race_offense+#REF!+ROUND(MIN(gn_bonus*#REF!/#REF!,gn_bonus_cap),4)+MAX(IF(#REF!&gt;0,warsong_bonus),IF(#REF!&gt;0,howling_op_bonus),IF(#REF!&gt;0,nightfall_bonus),IF(#REF!&gt;0,#REF!)) +#REF!/ 100*prestige_offense_bonus + tech_5_4*#REF! + tech_7_4*#REF!</f>
        <v>#REF!</v>
      </c>
      <c r="R33" s="237" t="e">
        <f>#REF!*(1+#REF!)</f>
        <v>#REF!</v>
      </c>
      <c r="S33" s="237" t="e">
        <f>#REF!*spec_dp+#REF!*(elite1_base_dp+woodie*#REF!+sylvan*#REF!+gnome*#REF!+icekin*#REF!+nox*#REF!)+#REF!*(elite2_base_dp+woodie*#REF!) + fh_peas_dp*MIN(#REF!,20*#REF!)+kobold*#REF!</f>
        <v>#REF!</v>
      </c>
      <c r="T33" s="237" t="e">
        <f>#REF!+#REF!</f>
        <v>#REF!</v>
      </c>
      <c r="U33" s="238" t="e">
        <f>race_defense +#REF! + ROUND( MIN(gt_bonus*#REF!/#REF!,gt_bonus_cap), 4) + IF(#REF!&gt;0,howling_dp_bonus,IF(#REF!&gt;0,ares_call_bonus))</f>
        <v>#REF!</v>
      </c>
      <c r="V33" s="239" t="e">
        <f>#REF! * (1 +#REF!)</f>
        <v>#REF!</v>
      </c>
      <c r="W33" s="237" t="e">
        <f>#REF! * (1 +#REF!)</f>
        <v>#REF!</v>
      </c>
      <c r="X33" s="237" t="e">
        <f>#REF!</f>
        <v>#REF!</v>
      </c>
      <c r="Y33" s="240"/>
      <c r="Z33" s="135" t="e">
        <f ca="1">IF(#REF!&lt;&gt;"",#REF!,OFFSET(#REF!,-1,0))</f>
        <v>#REF!</v>
      </c>
      <c r="AA33" s="39" t="e">
        <f ca="1">OFFSET(#REF!,-1,0)+OFFSET(#REF!,-1,0) - SUM(#REF!,#REF!) -#REF! + SUM(#REF!) -#REF!</f>
        <v>#REF!</v>
      </c>
      <c r="AB33" s="133"/>
      <c r="AC33" s="132" t="e">
        <f>(#REF!+#REF!)/(#REF!-#REF!*20)</f>
        <v>#REF!</v>
      </c>
      <c r="AD33" s="130"/>
      <c r="AE33" s="236" t="e">
        <f>#REF!</f>
        <v>#REF!</v>
      </c>
      <c r="AF33" s="131" t="e">
        <f>#REF!</f>
        <v>#REF!</v>
      </c>
      <c r="AG33" s="164"/>
      <c r="AH33" s="164"/>
      <c r="AI33" s="164"/>
      <c r="AJ33" s="164"/>
      <c r="AK33" s="164"/>
      <c r="AL33" s="164"/>
      <c r="AM33" s="164"/>
      <c r="AN33" s="164"/>
      <c r="AO33" s="134"/>
      <c r="AP33" s="39" t="e">
        <f>#REF!</f>
        <v>#REF!</v>
      </c>
      <c r="AQ33" s="39" t="e">
        <f>INDEX(#REF!:#REF!,COUNTA(#REF!:#REF!),MATCH(Military!$AQ$2,#REF!,0))</f>
        <v>#REF!</v>
      </c>
      <c r="AR33" s="39" t="e">
        <f>#REF!*#REF!+#REF!*#REF!+#REF!*#REF!+#REF!*#REF!+#REF!*#REF!+#REF!*#REF!+#REF!*#REF!</f>
        <v>#REF!</v>
      </c>
      <c r="AS33" s="39" t="e">
        <f>#REF!*#REF!+#REF!*#REF!+#REF!*#REF!+#REF!*#REF!</f>
        <v>#REF!</v>
      </c>
      <c r="AT33" s="134" t="e">
        <f>#REF!</f>
        <v>#REF!</v>
      </c>
      <c r="AU33" s="143" t="e">
        <f>#REF!</f>
        <v>#REF!</v>
      </c>
      <c r="AV33" s="39" t="e">
        <f>#REF!</f>
        <v>#REF!</v>
      </c>
      <c r="AW33" s="164"/>
      <c r="AX33" s="164"/>
      <c r="AY33" s="164"/>
      <c r="AZ33" s="164"/>
      <c r="BA33" s="164"/>
      <c r="BB33" s="164"/>
      <c r="BC33" s="164"/>
      <c r="BD33" s="164"/>
      <c r="BE33" s="164"/>
      <c r="BF33" s="134"/>
      <c r="BG33" s="132" t="e">
        <f>#REF!/#REF!</f>
        <v>#REF!</v>
      </c>
      <c r="BH33" s="132" t="e">
        <f>#REF!/#REF!</f>
        <v>#REF!</v>
      </c>
      <c r="BI33" s="39" t="e">
        <f>ROUNDUP((1-MIN(#REF!*smithy_bonus,smithy_bonus_cap) + tech_3_5*#REF! + tech_5_3*#REF! + tech_5_5*#REF!)*spec_op_plat,0)</f>
        <v>#REF!</v>
      </c>
      <c r="BJ33" s="39" t="e">
        <f>ROUNDUP(IF(race="Gnome",1,(1-MIN(#REF!*smithy_bonus,smithy_bonus_cap) + tech_3_5*#REF! + tech_5_3*#REF! + tech_5_5*#REF!))*spec_op_ore,0)</f>
        <v>#REF!</v>
      </c>
      <c r="BK33" s="39" t="e">
        <f>ROUNDUP((1-MIN(#REF!*smithy_bonus,smithy_bonus_cap) + tech_3_5*#REF! + tech_5_3*#REF! + tech_5_5*#REF!)*spec_dp_plat,0)</f>
        <v>#REF!</v>
      </c>
      <c r="BL33" s="39" t="e">
        <f>ROUNDUP(IF(race="Gnome",1,(1-MIN(#REF!*smithy_bonus,smithy_bonus_cap) + tech_3_5*#REF! + tech_5_3*#REF! + tech_5_5*#REF!))*spec_dp_ore,0)</f>
        <v>#REF!</v>
      </c>
      <c r="BM33" s="39" t="e">
        <f>ROUNDUP((1-MIN(#REF!*smithy_bonus,smithy_bonus_cap) + tech_3_5*#REF! + tech_5_3*#REF! + tech_5_5*#REF!)*elite1_plat,0)</f>
        <v>#REF!</v>
      </c>
      <c r="BN33" s="39" t="e">
        <f>ROUNDUP(IF(race="Gnome",1,(1-MIN(#REF!*smithy_bonus,smithy_bonus_cap) + tech_3_5*#REF! + tech_5_3*#REF! + tech_5_5*#REF!))*elite1_ore,0)</f>
        <v>#REF!</v>
      </c>
      <c r="BO33" s="39" t="e">
        <f>ROUNDUP((1-MIN(#REF!*smithy_bonus,smithy_bonus_cap) + tech_3_5*#REF! + tech_5_3*#REF! + tech_5_5*#REF!)*elite2_plat,0)</f>
        <v>#REF!</v>
      </c>
      <c r="BP33" s="39" t="e">
        <f>ROUNDUP(IF(race="Gnome",1,(1-MIN(#REF!*smithy_bonus,smithy_bonus_cap) + tech_3_5*#REF! + tech_5_3*#REF! + tech_5_5*#REF!))*elite2_ore,0)</f>
        <v>#REF!</v>
      </c>
      <c r="BQ33" s="39" t="e">
        <f>ROUNDUP((1-MIN(ROUND(fh_spy_cost_red*#REF!,4),fh_spy_cost_cap)+ tech_1_9*#REF! + tech_9_1*#REF!)*spy_plat,0)</f>
        <v>#REF!</v>
      </c>
      <c r="BR33" s="39" t="e">
        <f>ROUNDUP((1-MIN(ROUND(fh_spy_cost_red*#REF!,4),fh_spy_cost_cap)+ tech_1_9*#REF! + tech_9_1*#REF!)*archspy_plat,0)</f>
        <v>#REF!</v>
      </c>
      <c r="BS33" s="39" t="e">
        <f>ROUNDUP((1-MIN(ROUND(wg_wiz_cost_bonus*#REF!,4),wg_wiz_cost_cap) + tech_1_9_2*#REF! + tech_9_1_2*#REF!)*wizard_plat,0)</f>
        <v>#REF!</v>
      </c>
      <c r="BT33" s="39" t="e">
        <f>ROUNDUP((1-MIN(ROUND(wg_wiz_cost_bonus*#REF!,4),wg_wiz_cost_cap) + tech_1_9_2*#REF! + tech_9_1_2*#REF!)*archmage_plat,0)</f>
        <v>#REF!</v>
      </c>
      <c r="BU33" s="134"/>
      <c r="BV33" s="132" t="e">
        <f>#REF!/#REF!</f>
        <v>#REF!</v>
      </c>
      <c r="BW33" s="132" t="e">
        <f>#REF!</f>
        <v>#REF!</v>
      </c>
      <c r="BX33" s="241" t="e">
        <f>IF(mystic_cap="none",#REF!/mystic_bonus,MIN(mystic_cap,#REF!/mystic_bonus))</f>
        <v>#REF!</v>
      </c>
      <c r="BY33" s="241" t="e">
        <f>IF(druid_op_cap="none",#REF!/druid_op_bonus,MIN(druid_op_cap,#REF!/druid_op_bonus))</f>
        <v>#REF!</v>
      </c>
      <c r="BZ33" s="241" t="e">
        <f>IF(druid_dp_cap="none",#REF!/druid_dp_bonus,MIN(druid_dp_cap,#REF!/druid_dp_bonus))</f>
        <v>#REF!</v>
      </c>
      <c r="CA33" s="241" t="e">
        <f>MIN(dryad_cap,#REF!/dryad_bonus)</f>
        <v>#REF!</v>
      </c>
      <c r="CB33" s="241" t="e">
        <f>MIN(rocka_cap,#REF!/rocka_bonus)</f>
        <v>#REF!</v>
      </c>
      <c r="CC33" s="241" t="e">
        <f>MIN(adept_op_cap,#REF!/adept_op_bonus)</f>
        <v>#REF!</v>
      </c>
      <c r="CD33" s="241" t="e">
        <f>MIN(adept_dp_cap,#REF!/adept_dp_bonus)</f>
        <v>#REF!</v>
      </c>
      <c r="CE33" s="39" t="e">
        <f>MIN(#REF!,#REF!)*2</f>
        <v>#REF!</v>
      </c>
      <c r="CF33" s="39" t="e">
        <f>MIN(#REF!,#REF!)*2</f>
        <v>#REF!</v>
      </c>
      <c r="CG33" s="241" t="e">
        <f>MIN(frost_mage_cap,#REF!/frost_mage_bonus)</f>
        <v>#REF!</v>
      </c>
      <c r="CH33" s="3" t="e">
        <f>MIN(ice_elem_cap,#REF!*ice_elem_bonus)</f>
        <v>#REF!</v>
      </c>
      <c r="CI33" s="241">
        <f t="shared" si="0"/>
        <v>0.83333333333333337</v>
      </c>
      <c r="CJ33" s="241" t="e">
        <f>MIN(nox_nightshade_cap,#REF!/#REF!/nox_nightshade_swamp_bonus)</f>
        <v>#REF!</v>
      </c>
      <c r="CK33" s="242"/>
      <c r="CL33" s="242"/>
      <c r="CM33" s="242"/>
      <c r="CN33" s="241" t="e">
        <f>MIN(6,#REF!+Races!$F$19)*1.8 +  IF(#REF!+Races!$F$19&gt;6,(#REF!+Races!$F$19-6)*0.2,0) - Races!$I$19</f>
        <v>#REF!</v>
      </c>
      <c r="CO33" s="241" t="e">
        <f>1.8 * MIN(MAX(#REF!+Races!$E$20,#REF!+Races!$F$20),6)  +  0.45 * MIN(MIN(#REF!+Races!$E$20,#REF!+Races!$F$20),6)  +  0.2 * ( MAX(#REF!+Races!$E$20-6,0) + MAX(#REF!+Races!$F$20-6,0) )  -  Races!$I$20</f>
        <v>#REF!</v>
      </c>
      <c r="CP33" s="39" t="e">
        <f>#REF!*#REF!+#REF!*#REF!</f>
        <v>#REF!</v>
      </c>
      <c r="CQ33" s="145" t="e">
        <f>MIN(6,#REF!+Races!$F$35)*1.8 +  IF(#REF!+Races!$F$35&gt;6,(#REF!+Races!$F$35-6)*0.2,0) - Races!$I$19</f>
        <v>#REF!</v>
      </c>
      <c r="CR33" s="39" t="e">
        <f>sylvan*(#REF!*#REF!)</f>
        <v>#REF!</v>
      </c>
      <c r="CS33" s="145" t="e">
        <f>1.8 * MIN(MAX(Races!$E$27,#REF!+Races!$F$27),6)  +  0.45 * MIN(MIN(Races!$E$27,#REF!+Races!$F$27),6)  +  0.2 * ( MAX(Races!$E$27-6,0) + MAX(#REF!+Races!$F$27-6,0) )  -  Races!$I$20</f>
        <v>#REF!</v>
      </c>
      <c r="CT33" s="39" t="e">
        <f>gnome*(#REF!*#REF!)</f>
        <v>#REF!</v>
      </c>
      <c r="CU33" s="145" t="e">
        <f>1.8 * MIN(MAX(#REF!+Races!$E$47,#REF!+Races!$F$47),6)  +  0.45 * MIN(MIN(#REF!+Races!$E$47,#REF!+Races!$F$47),6)  +  0.2 * ( MAX(#REF!+Races!$E$47-6,0) + MAX(#REF!+Races!$F$47-6,0) )  -  Races!$I$47</f>
        <v>#REF!</v>
      </c>
      <c r="CV33" s="39" t="e">
        <f>dark_elf*(#REF!*#REF!)</f>
        <v>#REF!</v>
      </c>
      <c r="CW33" s="145" t="e">
        <f>1.8 * MIN(MAX(#REF!+Races!$F$71,Races!$E$71),6)  +  0.45 * MIN(MIN(#REF!+Races!$F$71,Races!$E$71),6)  +  0.2 * ( MAX(#REF!+Races!$F$71-6,0) + MAX(Races!$E$71-6,0) )  -  Races!$I$71</f>
        <v>#REF!</v>
      </c>
      <c r="CX33" s="145" t="e">
        <f>1.8 * MIN(MAX(#REF!+Races!$E$71,Races!$F$71),6)  +  0.45 * MIN(MIN(#REF!+Races!$E$71,Races!$F$71),6)  +  0.2 * ( MAX(#REF!+Races!$E$71-6,0) + MAX(Races!$F$71-6,0) )  -  Races!$I$71</f>
        <v>#REF!</v>
      </c>
      <c r="CY33" s="39" t="e">
        <f>#REF!*#REF!+#REF!*#REF!</f>
        <v>#REF!</v>
      </c>
      <c r="CZ33" s="243"/>
      <c r="DA33" s="135" t="e">
        <f>MIN(SUM(#REF!)/#REF!/favorable_terrain_bonus/100,favorable_terrain_max)</f>
        <v>#REF!</v>
      </c>
      <c r="DB33" s="243"/>
      <c r="DC33"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33" s="134"/>
      <c r="DE33" s="244" t="e">
        <f>(#REF!+2*#REF!)/#REF!</f>
        <v>#REF!</v>
      </c>
      <c r="DF33" s="244" t="e">
        <f>#REF!*(1+race_wizard_strength+IF(#REF!&gt;72,tech_magical_weaponry_wiz*#REF!,0))</f>
        <v>#REF!</v>
      </c>
    </row>
    <row r="34" spans="1:110" x14ac:dyDescent="0.25">
      <c r="A34" s="130" t="e">
        <f>#REF!</f>
        <v>#REF!</v>
      </c>
      <c r="B34" s="236" t="e">
        <f ca="1">SUM(#REF!)+SUM(OFFSET(#REF!,-8,0):#REF!) + SUM(OFFSET(#REF!,-11,0):#REF!) +#REF!</f>
        <v>#REF!</v>
      </c>
      <c r="C34" s="132" t="e">
        <f>#REF!</f>
        <v>#REF!</v>
      </c>
      <c r="D34" s="134"/>
      <c r="E34" s="3" t="e">
        <f ca="1">OFFSET(#REF!,-1,0) + OFFSET(#REF!,-9,0) -#REF!</f>
        <v>#REF!</v>
      </c>
      <c r="F34" s="3" t="e">
        <f ca="1">OFFSET(#REF!,-1,0) + OFFSET(#REF!,-9,0)-#REF!</f>
        <v>#REF!</v>
      </c>
      <c r="G34" s="3" t="e">
        <f ca="1">OFFSET(#REF!,-1,0) + OFFSET(#REF!,-12,0)-#REF!</f>
        <v>#REF!</v>
      </c>
      <c r="H34" s="3" t="e">
        <f ca="1">OFFSET(#REF!,-1,0) + OFFSET(#REF!,-12,0)-#REF!</f>
        <v>#REF!</v>
      </c>
      <c r="I34" s="3" t="e">
        <f ca="1">OFFSET(#REF!,-1,0) + OFFSET(#REF!,-12,0) -#REF!-#REF!</f>
        <v>#REF!</v>
      </c>
      <c r="J34" s="3" t="e">
        <f ca="1">OFFSET(#REF!,-1,0) + OFFSET(#REF!,-12,0) -#REF!</f>
        <v>#REF!</v>
      </c>
      <c r="K34" s="3" t="e">
        <f ca="1">OFFSET(#REF!,-1,0) + OFFSET(#REF!,-12,0) -#REF!-#REF!</f>
        <v>#REF!</v>
      </c>
      <c r="L34" s="3" t="e">
        <f ca="1">OFFSET(#REF!,-1,0) + OFFSET(#REF!,-12,0) -#REF!</f>
        <v>#REF!</v>
      </c>
      <c r="M34" s="134"/>
      <c r="N34" s="39" t="e">
        <f>#REF!</f>
        <v>#REF!</v>
      </c>
      <c r="O34" s="134"/>
      <c r="P34" s="237" t="e">
        <f>#REF!*spec_op+#REF!*(elite1_base_op)+#REF!*(elite2_base_op+dark_elf*#REF!+icekin*#REF!+woodie*#REF!+orc*#REF!)+kobold*#REF!</f>
        <v>#REF!</v>
      </c>
      <c r="Q34" s="132" t="e">
        <f>race_offense+#REF!+ROUND(MIN(gn_bonus*#REF!/#REF!,gn_bonus_cap),4)+MAX(IF(#REF!&gt;0,warsong_bonus),IF(#REF!&gt;0,howling_op_bonus),IF(#REF!&gt;0,nightfall_bonus),IF(#REF!&gt;0,#REF!)) +#REF!/ 100*prestige_offense_bonus + tech_5_4*#REF! + tech_7_4*#REF!</f>
        <v>#REF!</v>
      </c>
      <c r="R34" s="237" t="e">
        <f>#REF!*(1+#REF!)</f>
        <v>#REF!</v>
      </c>
      <c r="S34" s="237" t="e">
        <f>#REF!*spec_dp+#REF!*(elite1_base_dp+woodie*#REF!+sylvan*#REF!+gnome*#REF!+icekin*#REF!+nox*#REF!)+#REF!*(elite2_base_dp+woodie*#REF!) + fh_peas_dp*MIN(#REF!,20*#REF!)+kobold*#REF!</f>
        <v>#REF!</v>
      </c>
      <c r="T34" s="237" t="e">
        <f>#REF!+#REF!</f>
        <v>#REF!</v>
      </c>
      <c r="U34" s="238" t="e">
        <f>race_defense +#REF! + ROUND( MIN(gt_bonus*#REF!/#REF!,gt_bonus_cap), 4) + IF(#REF!&gt;0,howling_dp_bonus,IF(#REF!&gt;0,ares_call_bonus))</f>
        <v>#REF!</v>
      </c>
      <c r="V34" s="239" t="e">
        <f>#REF! * (1 +#REF!)</f>
        <v>#REF!</v>
      </c>
      <c r="W34" s="237" t="e">
        <f>#REF! * (1 +#REF!)</f>
        <v>#REF!</v>
      </c>
      <c r="X34" s="237" t="e">
        <f>#REF!</f>
        <v>#REF!</v>
      </c>
      <c r="Y34" s="240"/>
      <c r="Z34" s="135" t="e">
        <f ca="1">IF(#REF!&lt;&gt;"",#REF!,OFFSET(#REF!,-1,0))</f>
        <v>#REF!</v>
      </c>
      <c r="AA34" s="39" t="e">
        <f ca="1">OFFSET(#REF!,-1,0)+OFFSET(#REF!,-1,0) - SUM(#REF!,#REF!) -#REF! + SUM(#REF!) -#REF!</f>
        <v>#REF!</v>
      </c>
      <c r="AB34" s="133"/>
      <c r="AC34" s="132" t="e">
        <f>(#REF!+#REF!)/(#REF!-#REF!*20)</f>
        <v>#REF!</v>
      </c>
      <c r="AD34" s="130"/>
      <c r="AE34" s="236" t="e">
        <f>#REF!</f>
        <v>#REF!</v>
      </c>
      <c r="AF34" s="131" t="e">
        <f>#REF!</f>
        <v>#REF!</v>
      </c>
      <c r="AG34" s="164"/>
      <c r="AH34" s="164"/>
      <c r="AI34" s="164"/>
      <c r="AJ34" s="164"/>
      <c r="AK34" s="164"/>
      <c r="AL34" s="164"/>
      <c r="AM34" s="164"/>
      <c r="AN34" s="164"/>
      <c r="AO34" s="134"/>
      <c r="AP34" s="39" t="e">
        <f>#REF!</f>
        <v>#REF!</v>
      </c>
      <c r="AQ34" s="39" t="e">
        <f>INDEX(#REF!:#REF!,COUNTA(#REF!:#REF!),MATCH(Military!$AQ$2,#REF!,0))</f>
        <v>#REF!</v>
      </c>
      <c r="AR34" s="39" t="e">
        <f>#REF!*#REF!+#REF!*#REF!+#REF!*#REF!+#REF!*#REF!+#REF!*#REF!+#REF!*#REF!+#REF!*#REF!</f>
        <v>#REF!</v>
      </c>
      <c r="AS34" s="39" t="e">
        <f>#REF!*#REF!+#REF!*#REF!+#REF!*#REF!+#REF!*#REF!</f>
        <v>#REF!</v>
      </c>
      <c r="AT34" s="134" t="e">
        <f>#REF!</f>
        <v>#REF!</v>
      </c>
      <c r="AU34" s="143" t="e">
        <f>#REF!</f>
        <v>#REF!</v>
      </c>
      <c r="AV34" s="39" t="e">
        <f>#REF!</f>
        <v>#REF!</v>
      </c>
      <c r="AW34" s="164"/>
      <c r="AX34" s="164"/>
      <c r="AY34" s="164"/>
      <c r="AZ34" s="164"/>
      <c r="BA34" s="164"/>
      <c r="BB34" s="164"/>
      <c r="BC34" s="164"/>
      <c r="BD34" s="164"/>
      <c r="BE34" s="164"/>
      <c r="BF34" s="134"/>
      <c r="BG34" s="132" t="e">
        <f>#REF!/#REF!</f>
        <v>#REF!</v>
      </c>
      <c r="BH34" s="132" t="e">
        <f>#REF!/#REF!</f>
        <v>#REF!</v>
      </c>
      <c r="BI34" s="39" t="e">
        <f>ROUNDUP((1-MIN(#REF!*smithy_bonus,smithy_bonus_cap) + tech_3_5*#REF! + tech_5_3*#REF! + tech_5_5*#REF!)*spec_op_plat,0)</f>
        <v>#REF!</v>
      </c>
      <c r="BJ34" s="39" t="e">
        <f>ROUNDUP(IF(race="Gnome",1,(1-MIN(#REF!*smithy_bonus,smithy_bonus_cap) + tech_3_5*#REF! + tech_5_3*#REF! + tech_5_5*#REF!))*spec_op_ore,0)</f>
        <v>#REF!</v>
      </c>
      <c r="BK34" s="39" t="e">
        <f>ROUNDUP((1-MIN(#REF!*smithy_bonus,smithy_bonus_cap) + tech_3_5*#REF! + tech_5_3*#REF! + tech_5_5*#REF!)*spec_dp_plat,0)</f>
        <v>#REF!</v>
      </c>
      <c r="BL34" s="39" t="e">
        <f>ROUNDUP(IF(race="Gnome",1,(1-MIN(#REF!*smithy_bonus,smithy_bonus_cap) + tech_3_5*#REF! + tech_5_3*#REF! + tech_5_5*#REF!))*spec_dp_ore,0)</f>
        <v>#REF!</v>
      </c>
      <c r="BM34" s="39" t="e">
        <f>ROUNDUP((1-MIN(#REF!*smithy_bonus,smithy_bonus_cap) + tech_3_5*#REF! + tech_5_3*#REF! + tech_5_5*#REF!)*elite1_plat,0)</f>
        <v>#REF!</v>
      </c>
      <c r="BN34" s="39" t="e">
        <f>ROUNDUP(IF(race="Gnome",1,(1-MIN(#REF!*smithy_bonus,smithy_bonus_cap) + tech_3_5*#REF! + tech_5_3*#REF! + tech_5_5*#REF!))*elite1_ore,0)</f>
        <v>#REF!</v>
      </c>
      <c r="BO34" s="39" t="e">
        <f>ROUNDUP((1-MIN(#REF!*smithy_bonus,smithy_bonus_cap) + tech_3_5*#REF! + tech_5_3*#REF! + tech_5_5*#REF!)*elite2_plat,0)</f>
        <v>#REF!</v>
      </c>
      <c r="BP34" s="39" t="e">
        <f>ROUNDUP(IF(race="Gnome",1,(1-MIN(#REF!*smithy_bonus,smithy_bonus_cap) + tech_3_5*#REF! + tech_5_3*#REF! + tech_5_5*#REF!))*elite2_ore,0)</f>
        <v>#REF!</v>
      </c>
      <c r="BQ34" s="39" t="e">
        <f>ROUNDUP((1-MIN(ROUND(fh_spy_cost_red*#REF!,4),fh_spy_cost_cap)+ tech_1_9*#REF! + tech_9_1*#REF!)*spy_plat,0)</f>
        <v>#REF!</v>
      </c>
      <c r="BR34" s="39" t="e">
        <f>ROUNDUP((1-MIN(ROUND(fh_spy_cost_red*#REF!,4),fh_spy_cost_cap)+ tech_1_9*#REF! + tech_9_1*#REF!)*archspy_plat,0)</f>
        <v>#REF!</v>
      </c>
      <c r="BS34" s="39" t="e">
        <f>ROUNDUP((1-MIN(ROUND(wg_wiz_cost_bonus*#REF!,4),wg_wiz_cost_cap) + tech_1_9_2*#REF! + tech_9_1_2*#REF!)*wizard_plat,0)</f>
        <v>#REF!</v>
      </c>
      <c r="BT34" s="39" t="e">
        <f>ROUNDUP((1-MIN(ROUND(wg_wiz_cost_bonus*#REF!,4),wg_wiz_cost_cap) + tech_1_9_2*#REF! + tech_9_1_2*#REF!)*archmage_plat,0)</f>
        <v>#REF!</v>
      </c>
      <c r="BU34" s="134"/>
      <c r="BV34" s="132" t="e">
        <f>#REF!/#REF!</f>
        <v>#REF!</v>
      </c>
      <c r="BW34" s="132" t="e">
        <f>#REF!</f>
        <v>#REF!</v>
      </c>
      <c r="BX34" s="241" t="e">
        <f>IF(mystic_cap="none",#REF!/mystic_bonus,MIN(mystic_cap,#REF!/mystic_bonus))</f>
        <v>#REF!</v>
      </c>
      <c r="BY34" s="241" t="e">
        <f>IF(druid_op_cap="none",#REF!/druid_op_bonus,MIN(druid_op_cap,#REF!/druid_op_bonus))</f>
        <v>#REF!</v>
      </c>
      <c r="BZ34" s="241" t="e">
        <f>IF(druid_dp_cap="none",#REF!/druid_dp_bonus,MIN(druid_dp_cap,#REF!/druid_dp_bonus))</f>
        <v>#REF!</v>
      </c>
      <c r="CA34" s="241" t="e">
        <f>MIN(dryad_cap,#REF!/dryad_bonus)</f>
        <v>#REF!</v>
      </c>
      <c r="CB34" s="241" t="e">
        <f>MIN(rocka_cap,#REF!/rocka_bonus)</f>
        <v>#REF!</v>
      </c>
      <c r="CC34" s="241" t="e">
        <f>MIN(adept_op_cap,#REF!/adept_op_bonus)</f>
        <v>#REF!</v>
      </c>
      <c r="CD34" s="241" t="e">
        <f>MIN(adept_dp_cap,#REF!/adept_dp_bonus)</f>
        <v>#REF!</v>
      </c>
      <c r="CE34" s="39" t="e">
        <f>MIN(#REF!,#REF!)*2</f>
        <v>#REF!</v>
      </c>
      <c r="CF34" s="39" t="e">
        <f>MIN(#REF!,#REF!)*2</f>
        <v>#REF!</v>
      </c>
      <c r="CG34" s="241" t="e">
        <f>MIN(frost_mage_cap,#REF!/frost_mage_bonus)</f>
        <v>#REF!</v>
      </c>
      <c r="CH34" s="3" t="e">
        <f>MIN(ice_elem_cap,#REF!*ice_elem_bonus)</f>
        <v>#REF!</v>
      </c>
      <c r="CI34" s="241">
        <f t="shared" si="0"/>
        <v>0.83333333333333337</v>
      </c>
      <c r="CJ34" s="241" t="e">
        <f>MIN(nox_nightshade_cap,#REF!/#REF!/nox_nightshade_swamp_bonus)</f>
        <v>#REF!</v>
      </c>
      <c r="CK34" s="242"/>
      <c r="CL34" s="242"/>
      <c r="CM34" s="242"/>
      <c r="CN34" s="241" t="e">
        <f>MIN(6,#REF!+Races!$F$19)*1.8 +  IF(#REF!+Races!$F$19&gt;6,(#REF!+Races!$F$19-6)*0.2,0) - Races!$I$19</f>
        <v>#REF!</v>
      </c>
      <c r="CO34" s="241" t="e">
        <f>1.8 * MIN(MAX(#REF!+Races!$E$20,#REF!+Races!$F$20),6)  +  0.45 * MIN(MIN(#REF!+Races!$E$20,#REF!+Races!$F$20),6)  +  0.2 * ( MAX(#REF!+Races!$E$20-6,0) + MAX(#REF!+Races!$F$20-6,0) )  -  Races!$I$20</f>
        <v>#REF!</v>
      </c>
      <c r="CP34" s="39" t="e">
        <f>#REF!*#REF!+#REF!*#REF!</f>
        <v>#REF!</v>
      </c>
      <c r="CQ34" s="145" t="e">
        <f>MIN(6,#REF!+Races!$F$35)*1.8 +  IF(#REF!+Races!$F$35&gt;6,(#REF!+Races!$F$35-6)*0.2,0) - Races!$I$19</f>
        <v>#REF!</v>
      </c>
      <c r="CR34" s="39" t="e">
        <f>sylvan*(#REF!*#REF!)</f>
        <v>#REF!</v>
      </c>
      <c r="CS34" s="145" t="e">
        <f>1.8 * MIN(MAX(Races!$E$27,#REF!+Races!$F$27),6)  +  0.45 * MIN(MIN(Races!$E$27,#REF!+Races!$F$27),6)  +  0.2 * ( MAX(Races!$E$27-6,0) + MAX(#REF!+Races!$F$27-6,0) )  -  Races!$I$20</f>
        <v>#REF!</v>
      </c>
      <c r="CT34" s="39" t="e">
        <f>gnome*(#REF!*#REF!)</f>
        <v>#REF!</v>
      </c>
      <c r="CU34" s="145" t="e">
        <f>1.8 * MIN(MAX(#REF!+Races!$E$47,#REF!+Races!$F$47),6)  +  0.45 * MIN(MIN(#REF!+Races!$E$47,#REF!+Races!$F$47),6)  +  0.2 * ( MAX(#REF!+Races!$E$47-6,0) + MAX(#REF!+Races!$F$47-6,0) )  -  Races!$I$47</f>
        <v>#REF!</v>
      </c>
      <c r="CV34" s="39" t="e">
        <f>dark_elf*(#REF!*#REF!)</f>
        <v>#REF!</v>
      </c>
      <c r="CW34" s="145" t="e">
        <f>1.8 * MIN(MAX(#REF!+Races!$F$71,Races!$E$71),6)  +  0.45 * MIN(MIN(#REF!+Races!$F$71,Races!$E$71),6)  +  0.2 * ( MAX(#REF!+Races!$F$71-6,0) + MAX(Races!$E$71-6,0) )  -  Races!$I$71</f>
        <v>#REF!</v>
      </c>
      <c r="CX34" s="145" t="e">
        <f>1.8 * MIN(MAX(#REF!+Races!$E$71,Races!$F$71),6)  +  0.45 * MIN(MIN(#REF!+Races!$E$71,Races!$F$71),6)  +  0.2 * ( MAX(#REF!+Races!$E$71-6,0) + MAX(Races!$F$71-6,0) )  -  Races!$I$71</f>
        <v>#REF!</v>
      </c>
      <c r="CY34" s="39" t="e">
        <f>#REF!*#REF!+#REF!*#REF!</f>
        <v>#REF!</v>
      </c>
      <c r="CZ34" s="243"/>
      <c r="DA34" s="135" t="e">
        <f>MIN(SUM(#REF!)/#REF!/favorable_terrain_bonus/100,favorable_terrain_max)</f>
        <v>#REF!</v>
      </c>
      <c r="DB34" s="243"/>
      <c r="DC34"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34" s="134"/>
      <c r="DE34" s="244" t="e">
        <f>(#REF!+2*#REF!)/#REF!</f>
        <v>#REF!</v>
      </c>
      <c r="DF34" s="244" t="e">
        <f>#REF!*(1+race_wizard_strength+IF(#REF!&gt;72,tech_magical_weaponry_wiz*#REF!,0))</f>
        <v>#REF!</v>
      </c>
    </row>
    <row r="35" spans="1:110" x14ac:dyDescent="0.25">
      <c r="A35" s="130" t="e">
        <f>#REF!</f>
        <v>#REF!</v>
      </c>
      <c r="B35" s="236" t="e">
        <f ca="1">SUM(#REF!)+SUM(OFFSET(#REF!,-8,0):#REF!) + SUM(OFFSET(#REF!,-11,0):#REF!) +#REF!</f>
        <v>#REF!</v>
      </c>
      <c r="C35" s="132" t="e">
        <f>#REF!</f>
        <v>#REF!</v>
      </c>
      <c r="D35" s="134"/>
      <c r="E35" s="3" t="e">
        <f ca="1">OFFSET(#REF!,-1,0) + OFFSET(#REF!,-9,0) -#REF!</f>
        <v>#REF!</v>
      </c>
      <c r="F35" s="3" t="e">
        <f ca="1">OFFSET(#REF!,-1,0) + OFFSET(#REF!,-9,0)-#REF!</f>
        <v>#REF!</v>
      </c>
      <c r="G35" s="3" t="e">
        <f ca="1">OFFSET(#REF!,-1,0) + OFFSET(#REF!,-12,0)-#REF!</f>
        <v>#REF!</v>
      </c>
      <c r="H35" s="3" t="e">
        <f ca="1">OFFSET(#REF!,-1,0) + OFFSET(#REF!,-12,0)-#REF!</f>
        <v>#REF!</v>
      </c>
      <c r="I35" s="3" t="e">
        <f ca="1">OFFSET(#REF!,-1,0) + OFFSET(#REF!,-12,0) -#REF!-#REF!</f>
        <v>#REF!</v>
      </c>
      <c r="J35" s="3" t="e">
        <f ca="1">OFFSET(#REF!,-1,0) + OFFSET(#REF!,-12,0) -#REF!</f>
        <v>#REF!</v>
      </c>
      <c r="K35" s="3" t="e">
        <f ca="1">OFFSET(#REF!,-1,0) + OFFSET(#REF!,-12,0) -#REF!-#REF!</f>
        <v>#REF!</v>
      </c>
      <c r="L35" s="3" t="e">
        <f ca="1">OFFSET(#REF!,-1,0) + OFFSET(#REF!,-12,0) -#REF!</f>
        <v>#REF!</v>
      </c>
      <c r="M35" s="134"/>
      <c r="N35" s="39" t="e">
        <f>#REF!</f>
        <v>#REF!</v>
      </c>
      <c r="O35" s="134"/>
      <c r="P35" s="237" t="e">
        <f>#REF!*spec_op+#REF!*(elite1_base_op)+#REF!*(elite2_base_op+dark_elf*#REF!+icekin*#REF!+woodie*#REF!+orc*#REF!)+kobold*#REF!</f>
        <v>#REF!</v>
      </c>
      <c r="Q35" s="132" t="e">
        <f>race_offense+#REF!+ROUND(MIN(gn_bonus*#REF!/#REF!,gn_bonus_cap),4)+MAX(IF(#REF!&gt;0,warsong_bonus),IF(#REF!&gt;0,howling_op_bonus),IF(#REF!&gt;0,nightfall_bonus),IF(#REF!&gt;0,#REF!)) +#REF!/ 100*prestige_offense_bonus + tech_5_4*#REF! + tech_7_4*#REF!</f>
        <v>#REF!</v>
      </c>
      <c r="R35" s="237" t="e">
        <f>#REF!*(1+#REF!)</f>
        <v>#REF!</v>
      </c>
      <c r="S35" s="237" t="e">
        <f>#REF!*spec_dp+#REF!*(elite1_base_dp+woodie*#REF!+sylvan*#REF!+gnome*#REF!+icekin*#REF!+nox*#REF!)+#REF!*(elite2_base_dp+woodie*#REF!) + fh_peas_dp*MIN(#REF!,20*#REF!)+kobold*#REF!</f>
        <v>#REF!</v>
      </c>
      <c r="T35" s="237" t="e">
        <f>#REF!+#REF!</f>
        <v>#REF!</v>
      </c>
      <c r="U35" s="238" t="e">
        <f>race_defense +#REF! + ROUND( MIN(gt_bonus*#REF!/#REF!,gt_bonus_cap), 4) + IF(#REF!&gt;0,howling_dp_bonus,IF(#REF!&gt;0,ares_call_bonus))</f>
        <v>#REF!</v>
      </c>
      <c r="V35" s="239" t="e">
        <f>#REF! * (1 +#REF!)</f>
        <v>#REF!</v>
      </c>
      <c r="W35" s="237" t="e">
        <f>#REF! * (1 +#REF!)</f>
        <v>#REF!</v>
      </c>
      <c r="X35" s="237" t="e">
        <f>#REF!</f>
        <v>#REF!</v>
      </c>
      <c r="Y35" s="240"/>
      <c r="Z35" s="135" t="e">
        <f ca="1">IF(#REF!&lt;&gt;"",#REF!,OFFSET(#REF!,-1,0))</f>
        <v>#REF!</v>
      </c>
      <c r="AA35" s="39" t="e">
        <f ca="1">OFFSET(#REF!,-1,0)+OFFSET(#REF!,-1,0) - SUM(#REF!,#REF!) -#REF! + SUM(#REF!) -#REF!</f>
        <v>#REF!</v>
      </c>
      <c r="AB35" s="133"/>
      <c r="AC35" s="132" t="e">
        <f>(#REF!+#REF!)/(#REF!-#REF!*20)</f>
        <v>#REF!</v>
      </c>
      <c r="AD35" s="130"/>
      <c r="AE35" s="236" t="e">
        <f>#REF!</f>
        <v>#REF!</v>
      </c>
      <c r="AF35" s="131" t="e">
        <f>#REF!</f>
        <v>#REF!</v>
      </c>
      <c r="AG35" s="164"/>
      <c r="AH35" s="164"/>
      <c r="AI35" s="164"/>
      <c r="AJ35" s="164"/>
      <c r="AK35" s="164"/>
      <c r="AL35" s="164"/>
      <c r="AM35" s="164"/>
      <c r="AN35" s="164"/>
      <c r="AO35" s="134"/>
      <c r="AP35" s="39" t="e">
        <f>#REF!</f>
        <v>#REF!</v>
      </c>
      <c r="AQ35" s="39" t="e">
        <f>INDEX(#REF!:#REF!,COUNTA(#REF!:#REF!),MATCH(Military!$AQ$2,#REF!,0))</f>
        <v>#REF!</v>
      </c>
      <c r="AR35" s="39" t="e">
        <f>#REF!*#REF!+#REF!*#REF!+#REF!*#REF!+#REF!*#REF!+#REF!*#REF!+#REF!*#REF!+#REF!*#REF!</f>
        <v>#REF!</v>
      </c>
      <c r="AS35" s="39" t="e">
        <f>#REF!*#REF!+#REF!*#REF!+#REF!*#REF!+#REF!*#REF!</f>
        <v>#REF!</v>
      </c>
      <c r="AT35" s="134" t="e">
        <f>#REF!</f>
        <v>#REF!</v>
      </c>
      <c r="AU35" s="143" t="e">
        <f>#REF!</f>
        <v>#REF!</v>
      </c>
      <c r="AV35" s="39" t="e">
        <f>#REF!</f>
        <v>#REF!</v>
      </c>
      <c r="AW35" s="164"/>
      <c r="AX35" s="164"/>
      <c r="AY35" s="164"/>
      <c r="AZ35" s="164"/>
      <c r="BA35" s="164"/>
      <c r="BB35" s="164"/>
      <c r="BC35" s="164"/>
      <c r="BD35" s="164"/>
      <c r="BE35" s="164"/>
      <c r="BF35" s="134"/>
      <c r="BG35" s="132" t="e">
        <f>#REF!/#REF!</f>
        <v>#REF!</v>
      </c>
      <c r="BH35" s="132" t="e">
        <f>#REF!/#REF!</f>
        <v>#REF!</v>
      </c>
      <c r="BI35" s="39" t="e">
        <f>ROUNDUP((1-MIN(#REF!*smithy_bonus,smithy_bonus_cap) + tech_3_5*#REF! + tech_5_3*#REF! + tech_5_5*#REF!)*spec_op_plat,0)</f>
        <v>#REF!</v>
      </c>
      <c r="BJ35" s="39" t="e">
        <f>ROUNDUP(IF(race="Gnome",1,(1-MIN(#REF!*smithy_bonus,smithy_bonus_cap) + tech_3_5*#REF! + tech_5_3*#REF! + tech_5_5*#REF!))*spec_op_ore,0)</f>
        <v>#REF!</v>
      </c>
      <c r="BK35" s="39" t="e">
        <f>ROUNDUP((1-MIN(#REF!*smithy_bonus,smithy_bonus_cap) + tech_3_5*#REF! + tech_5_3*#REF! + tech_5_5*#REF!)*spec_dp_plat,0)</f>
        <v>#REF!</v>
      </c>
      <c r="BL35" s="39" t="e">
        <f>ROUNDUP(IF(race="Gnome",1,(1-MIN(#REF!*smithy_bonus,smithy_bonus_cap) + tech_3_5*#REF! + tech_5_3*#REF! + tech_5_5*#REF!))*spec_dp_ore,0)</f>
        <v>#REF!</v>
      </c>
      <c r="BM35" s="39" t="e">
        <f>ROUNDUP((1-MIN(#REF!*smithy_bonus,smithy_bonus_cap) + tech_3_5*#REF! + tech_5_3*#REF! + tech_5_5*#REF!)*elite1_plat,0)</f>
        <v>#REF!</v>
      </c>
      <c r="BN35" s="39" t="e">
        <f>ROUNDUP(IF(race="Gnome",1,(1-MIN(#REF!*smithy_bonus,smithy_bonus_cap) + tech_3_5*#REF! + tech_5_3*#REF! + tech_5_5*#REF!))*elite1_ore,0)</f>
        <v>#REF!</v>
      </c>
      <c r="BO35" s="39" t="e">
        <f>ROUNDUP((1-MIN(#REF!*smithy_bonus,smithy_bonus_cap) + tech_3_5*#REF! + tech_5_3*#REF! + tech_5_5*#REF!)*elite2_plat,0)</f>
        <v>#REF!</v>
      </c>
      <c r="BP35" s="39" t="e">
        <f>ROUNDUP(IF(race="Gnome",1,(1-MIN(#REF!*smithy_bonus,smithy_bonus_cap) + tech_3_5*#REF! + tech_5_3*#REF! + tech_5_5*#REF!))*elite2_ore,0)</f>
        <v>#REF!</v>
      </c>
      <c r="BQ35" s="39" t="e">
        <f>ROUNDUP((1-MIN(ROUND(fh_spy_cost_red*#REF!,4),fh_spy_cost_cap)+ tech_1_9*#REF! + tech_9_1*#REF!)*spy_plat,0)</f>
        <v>#REF!</v>
      </c>
      <c r="BR35" s="39" t="e">
        <f>ROUNDUP((1-MIN(ROUND(fh_spy_cost_red*#REF!,4),fh_spy_cost_cap)+ tech_1_9*#REF! + tech_9_1*#REF!)*archspy_plat,0)</f>
        <v>#REF!</v>
      </c>
      <c r="BS35" s="39" t="e">
        <f>ROUNDUP((1-MIN(ROUND(wg_wiz_cost_bonus*#REF!,4),wg_wiz_cost_cap) + tech_1_9_2*#REF! + tech_9_1_2*#REF!)*wizard_plat,0)</f>
        <v>#REF!</v>
      </c>
      <c r="BT35" s="39" t="e">
        <f>ROUNDUP((1-MIN(ROUND(wg_wiz_cost_bonus*#REF!,4),wg_wiz_cost_cap) + tech_1_9_2*#REF! + tech_9_1_2*#REF!)*archmage_plat,0)</f>
        <v>#REF!</v>
      </c>
      <c r="BU35" s="134"/>
      <c r="BV35" s="132" t="e">
        <f>#REF!/#REF!</f>
        <v>#REF!</v>
      </c>
      <c r="BW35" s="132" t="e">
        <f>#REF!</f>
        <v>#REF!</v>
      </c>
      <c r="BX35" s="241" t="e">
        <f>IF(mystic_cap="none",#REF!/mystic_bonus,MIN(mystic_cap,#REF!/mystic_bonus))</f>
        <v>#REF!</v>
      </c>
      <c r="BY35" s="241" t="e">
        <f>IF(druid_op_cap="none",#REF!/druid_op_bonus,MIN(druid_op_cap,#REF!/druid_op_bonus))</f>
        <v>#REF!</v>
      </c>
      <c r="BZ35" s="241" t="e">
        <f>IF(druid_dp_cap="none",#REF!/druid_dp_bonus,MIN(druid_dp_cap,#REF!/druid_dp_bonus))</f>
        <v>#REF!</v>
      </c>
      <c r="CA35" s="241" t="e">
        <f>MIN(dryad_cap,#REF!/dryad_bonus)</f>
        <v>#REF!</v>
      </c>
      <c r="CB35" s="241" t="e">
        <f>MIN(rocka_cap,#REF!/rocka_bonus)</f>
        <v>#REF!</v>
      </c>
      <c r="CC35" s="241" t="e">
        <f>MIN(adept_op_cap,#REF!/adept_op_bonus)</f>
        <v>#REF!</v>
      </c>
      <c r="CD35" s="241" t="e">
        <f>MIN(adept_dp_cap,#REF!/adept_dp_bonus)</f>
        <v>#REF!</v>
      </c>
      <c r="CE35" s="39" t="e">
        <f>MIN(#REF!,#REF!)*2</f>
        <v>#REF!</v>
      </c>
      <c r="CF35" s="39" t="e">
        <f>MIN(#REF!,#REF!)*2</f>
        <v>#REF!</v>
      </c>
      <c r="CG35" s="241" t="e">
        <f>MIN(frost_mage_cap,#REF!/frost_mage_bonus)</f>
        <v>#REF!</v>
      </c>
      <c r="CH35" s="3" t="e">
        <f>MIN(ice_elem_cap,#REF!*ice_elem_bonus)</f>
        <v>#REF!</v>
      </c>
      <c r="CI35" s="241">
        <f t="shared" si="0"/>
        <v>0.83333333333333337</v>
      </c>
      <c r="CJ35" s="241" t="e">
        <f>MIN(nox_nightshade_cap,#REF!/#REF!/nox_nightshade_swamp_bonus)</f>
        <v>#REF!</v>
      </c>
      <c r="CK35" s="242"/>
      <c r="CL35" s="242"/>
      <c r="CM35" s="242"/>
      <c r="CN35" s="241" t="e">
        <f>MIN(6,#REF!+Races!$F$19)*1.8 +  IF(#REF!+Races!$F$19&gt;6,(#REF!+Races!$F$19-6)*0.2,0) - Races!$I$19</f>
        <v>#REF!</v>
      </c>
      <c r="CO35" s="241" t="e">
        <f>1.8 * MIN(MAX(#REF!+Races!$E$20,#REF!+Races!$F$20),6)  +  0.45 * MIN(MIN(#REF!+Races!$E$20,#REF!+Races!$F$20),6)  +  0.2 * ( MAX(#REF!+Races!$E$20-6,0) + MAX(#REF!+Races!$F$20-6,0) )  -  Races!$I$20</f>
        <v>#REF!</v>
      </c>
      <c r="CP35" s="39" t="e">
        <f>#REF!*#REF!+#REF!*#REF!</f>
        <v>#REF!</v>
      </c>
      <c r="CQ35" s="145" t="e">
        <f>MIN(6,#REF!+Races!$F$35)*1.8 +  IF(#REF!+Races!$F$35&gt;6,(#REF!+Races!$F$35-6)*0.2,0) - Races!$I$19</f>
        <v>#REF!</v>
      </c>
      <c r="CR35" s="39" t="e">
        <f>sylvan*(#REF!*#REF!)</f>
        <v>#REF!</v>
      </c>
      <c r="CS35" s="145" t="e">
        <f>1.8 * MIN(MAX(Races!$E$27,#REF!+Races!$F$27),6)  +  0.45 * MIN(MIN(Races!$E$27,#REF!+Races!$F$27),6)  +  0.2 * ( MAX(Races!$E$27-6,0) + MAX(#REF!+Races!$F$27-6,0) )  -  Races!$I$20</f>
        <v>#REF!</v>
      </c>
      <c r="CT35" s="39" t="e">
        <f>gnome*(#REF!*#REF!)</f>
        <v>#REF!</v>
      </c>
      <c r="CU35" s="145" t="e">
        <f>1.8 * MIN(MAX(#REF!+Races!$E$47,#REF!+Races!$F$47),6)  +  0.45 * MIN(MIN(#REF!+Races!$E$47,#REF!+Races!$F$47),6)  +  0.2 * ( MAX(#REF!+Races!$E$47-6,0) + MAX(#REF!+Races!$F$47-6,0) )  -  Races!$I$47</f>
        <v>#REF!</v>
      </c>
      <c r="CV35" s="39" t="e">
        <f>dark_elf*(#REF!*#REF!)</f>
        <v>#REF!</v>
      </c>
      <c r="CW35" s="145" t="e">
        <f>1.8 * MIN(MAX(#REF!+Races!$F$71,Races!$E$71),6)  +  0.45 * MIN(MIN(#REF!+Races!$F$71,Races!$E$71),6)  +  0.2 * ( MAX(#REF!+Races!$F$71-6,0) + MAX(Races!$E$71-6,0) )  -  Races!$I$71</f>
        <v>#REF!</v>
      </c>
      <c r="CX35" s="145" t="e">
        <f>1.8 * MIN(MAX(#REF!+Races!$E$71,Races!$F$71),6)  +  0.45 * MIN(MIN(#REF!+Races!$E$71,Races!$F$71),6)  +  0.2 * ( MAX(#REF!+Races!$E$71-6,0) + MAX(Races!$F$71-6,0) )  -  Races!$I$71</f>
        <v>#REF!</v>
      </c>
      <c r="CY35" s="39" t="e">
        <f>#REF!*#REF!+#REF!*#REF!</f>
        <v>#REF!</v>
      </c>
      <c r="CZ35" s="243"/>
      <c r="DA35" s="135" t="e">
        <f>MIN(SUM(#REF!)/#REF!/favorable_terrain_bonus/100,favorable_terrain_max)</f>
        <v>#REF!</v>
      </c>
      <c r="DB35" s="243"/>
      <c r="DC35"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35" s="134"/>
      <c r="DE35" s="244" t="e">
        <f>(#REF!+2*#REF!)/#REF!</f>
        <v>#REF!</v>
      </c>
      <c r="DF35" s="244" t="e">
        <f>#REF!*(1+race_wizard_strength+IF(#REF!&gt;72,tech_magical_weaponry_wiz*#REF!,0))</f>
        <v>#REF!</v>
      </c>
    </row>
    <row r="36" spans="1:110" x14ac:dyDescent="0.25">
      <c r="A36" s="130" t="e">
        <f>#REF!</f>
        <v>#REF!</v>
      </c>
      <c r="B36" s="236" t="e">
        <f ca="1">SUM(#REF!)+SUM(OFFSET(#REF!,-8,0):#REF!) + SUM(OFFSET(#REF!,-11,0):#REF!) +#REF!</f>
        <v>#REF!</v>
      </c>
      <c r="C36" s="132" t="e">
        <f>#REF!</f>
        <v>#REF!</v>
      </c>
      <c r="D36" s="134"/>
      <c r="E36" s="3" t="e">
        <f ca="1">OFFSET(#REF!,-1,0) + OFFSET(#REF!,-9,0) -#REF!</f>
        <v>#REF!</v>
      </c>
      <c r="F36" s="3" t="e">
        <f ca="1">OFFSET(#REF!,-1,0) + OFFSET(#REF!,-9,0)-#REF!</f>
        <v>#REF!</v>
      </c>
      <c r="G36" s="3" t="e">
        <f ca="1">OFFSET(#REF!,-1,0) + OFFSET(#REF!,-12,0)-#REF!</f>
        <v>#REF!</v>
      </c>
      <c r="H36" s="3" t="e">
        <f ca="1">OFFSET(#REF!,-1,0) + OFFSET(#REF!,-12,0)-#REF!</f>
        <v>#REF!</v>
      </c>
      <c r="I36" s="3" t="e">
        <f ca="1">OFFSET(#REF!,-1,0) + OFFSET(#REF!,-12,0) -#REF!-#REF!</f>
        <v>#REF!</v>
      </c>
      <c r="J36" s="3" t="e">
        <f ca="1">OFFSET(#REF!,-1,0) + OFFSET(#REF!,-12,0) -#REF!</f>
        <v>#REF!</v>
      </c>
      <c r="K36" s="3" t="e">
        <f ca="1">OFFSET(#REF!,-1,0) + OFFSET(#REF!,-12,0) -#REF!-#REF!</f>
        <v>#REF!</v>
      </c>
      <c r="L36" s="3" t="e">
        <f ca="1">OFFSET(#REF!,-1,0) + OFFSET(#REF!,-12,0) -#REF!</f>
        <v>#REF!</v>
      </c>
      <c r="M36" s="134"/>
      <c r="N36" s="39" t="e">
        <f>#REF!</f>
        <v>#REF!</v>
      </c>
      <c r="O36" s="134"/>
      <c r="P36" s="237" t="e">
        <f>#REF!*spec_op+#REF!*(elite1_base_op)+#REF!*(elite2_base_op+dark_elf*#REF!+icekin*#REF!+woodie*#REF!+orc*#REF!)+kobold*#REF!</f>
        <v>#REF!</v>
      </c>
      <c r="Q36" s="132" t="e">
        <f>race_offense+#REF!+ROUND(MIN(gn_bonus*#REF!/#REF!,gn_bonus_cap),4)+MAX(IF(#REF!&gt;0,warsong_bonus),IF(#REF!&gt;0,howling_op_bonus),IF(#REF!&gt;0,nightfall_bonus),IF(#REF!&gt;0,#REF!)) +#REF!/ 100*prestige_offense_bonus + tech_5_4*#REF! + tech_7_4*#REF!</f>
        <v>#REF!</v>
      </c>
      <c r="R36" s="237" t="e">
        <f>#REF!*(1+#REF!)</f>
        <v>#REF!</v>
      </c>
      <c r="S36" s="237" t="e">
        <f>#REF!*spec_dp+#REF!*(elite1_base_dp+woodie*#REF!+sylvan*#REF!+gnome*#REF!+icekin*#REF!+nox*#REF!)+#REF!*(elite2_base_dp+woodie*#REF!) + fh_peas_dp*MIN(#REF!,20*#REF!)+kobold*#REF!</f>
        <v>#REF!</v>
      </c>
      <c r="T36" s="237" t="e">
        <f>#REF!+#REF!</f>
        <v>#REF!</v>
      </c>
      <c r="U36" s="238" t="e">
        <f>race_defense +#REF! + ROUND( MIN(gt_bonus*#REF!/#REF!,gt_bonus_cap), 4) + IF(#REF!&gt;0,howling_dp_bonus,IF(#REF!&gt;0,ares_call_bonus))</f>
        <v>#REF!</v>
      </c>
      <c r="V36" s="239" t="e">
        <f>#REF! * (1 +#REF!)</f>
        <v>#REF!</v>
      </c>
      <c r="W36" s="237" t="e">
        <f>#REF! * (1 +#REF!)</f>
        <v>#REF!</v>
      </c>
      <c r="X36" s="237" t="e">
        <f>#REF!</f>
        <v>#REF!</v>
      </c>
      <c r="Y36" s="240"/>
      <c r="Z36" s="135" t="e">
        <f ca="1">IF(#REF!&lt;&gt;"",#REF!,OFFSET(#REF!,-1,0))</f>
        <v>#REF!</v>
      </c>
      <c r="AA36" s="39" t="e">
        <f ca="1">OFFSET(#REF!,-1,0)+OFFSET(#REF!,-1,0) - SUM(#REF!,#REF!) -#REF! + SUM(#REF!) -#REF!</f>
        <v>#REF!</v>
      </c>
      <c r="AB36" s="133"/>
      <c r="AC36" s="132" t="e">
        <f>(#REF!+#REF!)/(#REF!-#REF!*20)</f>
        <v>#REF!</v>
      </c>
      <c r="AD36" s="130"/>
      <c r="AE36" s="236" t="e">
        <f>#REF!</f>
        <v>#REF!</v>
      </c>
      <c r="AF36" s="131" t="e">
        <f>#REF!</f>
        <v>#REF!</v>
      </c>
      <c r="AG36" s="164"/>
      <c r="AH36" s="164"/>
      <c r="AI36" s="164"/>
      <c r="AJ36" s="164"/>
      <c r="AK36" s="164"/>
      <c r="AL36" s="164"/>
      <c r="AM36" s="164"/>
      <c r="AN36" s="164"/>
      <c r="AO36" s="134"/>
      <c r="AP36" s="39" t="e">
        <f>#REF!</f>
        <v>#REF!</v>
      </c>
      <c r="AQ36" s="39" t="e">
        <f>INDEX(#REF!:#REF!,COUNTA(#REF!:#REF!),MATCH(Military!$AQ$2,#REF!,0))</f>
        <v>#REF!</v>
      </c>
      <c r="AR36" s="39" t="e">
        <f>#REF!*#REF!+#REF!*#REF!+#REF!*#REF!+#REF!*#REF!+#REF!*#REF!+#REF!*#REF!+#REF!*#REF!</f>
        <v>#REF!</v>
      </c>
      <c r="AS36" s="39" t="e">
        <f>#REF!*#REF!+#REF!*#REF!+#REF!*#REF!+#REF!*#REF!</f>
        <v>#REF!</v>
      </c>
      <c r="AT36" s="134" t="e">
        <f>#REF!</f>
        <v>#REF!</v>
      </c>
      <c r="AU36" s="143" t="e">
        <f>#REF!</f>
        <v>#REF!</v>
      </c>
      <c r="AV36" s="39" t="e">
        <f>#REF!</f>
        <v>#REF!</v>
      </c>
      <c r="AW36" s="164"/>
      <c r="AX36" s="164"/>
      <c r="AY36" s="164"/>
      <c r="AZ36" s="164"/>
      <c r="BA36" s="164"/>
      <c r="BB36" s="164"/>
      <c r="BC36" s="164"/>
      <c r="BD36" s="164"/>
      <c r="BE36" s="164"/>
      <c r="BF36" s="134"/>
      <c r="BG36" s="132" t="e">
        <f>#REF!/#REF!</f>
        <v>#REF!</v>
      </c>
      <c r="BH36" s="132" t="e">
        <f>#REF!/#REF!</f>
        <v>#REF!</v>
      </c>
      <c r="BI36" s="39" t="e">
        <f>ROUNDUP((1-MIN(#REF!*smithy_bonus,smithy_bonus_cap) + tech_3_5*#REF! + tech_5_3*#REF! + tech_5_5*#REF!)*spec_op_plat,0)</f>
        <v>#REF!</v>
      </c>
      <c r="BJ36" s="39" t="e">
        <f>ROUNDUP(IF(race="Gnome",1,(1-MIN(#REF!*smithy_bonus,smithy_bonus_cap) + tech_3_5*#REF! + tech_5_3*#REF! + tech_5_5*#REF!))*spec_op_ore,0)</f>
        <v>#REF!</v>
      </c>
      <c r="BK36" s="39" t="e">
        <f>ROUNDUP((1-MIN(#REF!*smithy_bonus,smithy_bonus_cap) + tech_3_5*#REF! + tech_5_3*#REF! + tech_5_5*#REF!)*spec_dp_plat,0)</f>
        <v>#REF!</v>
      </c>
      <c r="BL36" s="39" t="e">
        <f>ROUNDUP(IF(race="Gnome",1,(1-MIN(#REF!*smithy_bonus,smithy_bonus_cap) + tech_3_5*#REF! + tech_5_3*#REF! + tech_5_5*#REF!))*spec_dp_ore,0)</f>
        <v>#REF!</v>
      </c>
      <c r="BM36" s="39" t="e">
        <f>ROUNDUP((1-MIN(#REF!*smithy_bonus,smithy_bonus_cap) + tech_3_5*#REF! + tech_5_3*#REF! + tech_5_5*#REF!)*elite1_plat,0)</f>
        <v>#REF!</v>
      </c>
      <c r="BN36" s="39" t="e">
        <f>ROUNDUP(IF(race="Gnome",1,(1-MIN(#REF!*smithy_bonus,smithy_bonus_cap) + tech_3_5*#REF! + tech_5_3*#REF! + tech_5_5*#REF!))*elite1_ore,0)</f>
        <v>#REF!</v>
      </c>
      <c r="BO36" s="39" t="e">
        <f>ROUNDUP((1-MIN(#REF!*smithy_bonus,smithy_bonus_cap) + tech_3_5*#REF! + tech_5_3*#REF! + tech_5_5*#REF!)*elite2_plat,0)</f>
        <v>#REF!</v>
      </c>
      <c r="BP36" s="39" t="e">
        <f>ROUNDUP(IF(race="Gnome",1,(1-MIN(#REF!*smithy_bonus,smithy_bonus_cap) + tech_3_5*#REF! + tech_5_3*#REF! + tech_5_5*#REF!))*elite2_ore,0)</f>
        <v>#REF!</v>
      </c>
      <c r="BQ36" s="39" t="e">
        <f>ROUNDUP((1-MIN(ROUND(fh_spy_cost_red*#REF!,4),fh_spy_cost_cap)+ tech_1_9*#REF! + tech_9_1*#REF!)*spy_plat,0)</f>
        <v>#REF!</v>
      </c>
      <c r="BR36" s="39" t="e">
        <f>ROUNDUP((1-MIN(ROUND(fh_spy_cost_red*#REF!,4),fh_spy_cost_cap)+ tech_1_9*#REF! + tech_9_1*#REF!)*archspy_plat,0)</f>
        <v>#REF!</v>
      </c>
      <c r="BS36" s="39" t="e">
        <f>ROUNDUP((1-MIN(ROUND(wg_wiz_cost_bonus*#REF!,4),wg_wiz_cost_cap) + tech_1_9_2*#REF! + tech_9_1_2*#REF!)*wizard_plat,0)</f>
        <v>#REF!</v>
      </c>
      <c r="BT36" s="39" t="e">
        <f>ROUNDUP((1-MIN(ROUND(wg_wiz_cost_bonus*#REF!,4),wg_wiz_cost_cap) + tech_1_9_2*#REF! + tech_9_1_2*#REF!)*archmage_plat,0)</f>
        <v>#REF!</v>
      </c>
      <c r="BU36" s="134"/>
      <c r="BV36" s="132" t="e">
        <f>#REF!/#REF!</f>
        <v>#REF!</v>
      </c>
      <c r="BW36" s="132" t="e">
        <f>#REF!</f>
        <v>#REF!</v>
      </c>
      <c r="BX36" s="241" t="e">
        <f>IF(mystic_cap="none",#REF!/mystic_bonus,MIN(mystic_cap,#REF!/mystic_bonus))</f>
        <v>#REF!</v>
      </c>
      <c r="BY36" s="241" t="e">
        <f>IF(druid_op_cap="none",#REF!/druid_op_bonus,MIN(druid_op_cap,#REF!/druid_op_bonus))</f>
        <v>#REF!</v>
      </c>
      <c r="BZ36" s="241" t="e">
        <f>IF(druid_dp_cap="none",#REF!/druid_dp_bonus,MIN(druid_dp_cap,#REF!/druid_dp_bonus))</f>
        <v>#REF!</v>
      </c>
      <c r="CA36" s="241" t="e">
        <f>MIN(dryad_cap,#REF!/dryad_bonus)</f>
        <v>#REF!</v>
      </c>
      <c r="CB36" s="241" t="e">
        <f>MIN(rocka_cap,#REF!/rocka_bonus)</f>
        <v>#REF!</v>
      </c>
      <c r="CC36" s="241" t="e">
        <f>MIN(adept_op_cap,#REF!/adept_op_bonus)</f>
        <v>#REF!</v>
      </c>
      <c r="CD36" s="241" t="e">
        <f>MIN(adept_dp_cap,#REF!/adept_dp_bonus)</f>
        <v>#REF!</v>
      </c>
      <c r="CE36" s="39" t="e">
        <f>MIN(#REF!,#REF!)*2</f>
        <v>#REF!</v>
      </c>
      <c r="CF36" s="39" t="e">
        <f>MIN(#REF!,#REF!)*2</f>
        <v>#REF!</v>
      </c>
      <c r="CG36" s="241" t="e">
        <f>MIN(frost_mage_cap,#REF!/frost_mage_bonus)</f>
        <v>#REF!</v>
      </c>
      <c r="CH36" s="3" t="e">
        <f>MIN(ice_elem_cap,#REF!*ice_elem_bonus)</f>
        <v>#REF!</v>
      </c>
      <c r="CI36" s="241">
        <f t="shared" ref="CI36:CI67" si="2">MIN(bone_breaker_cap,250/bone_breaker_bonus)</f>
        <v>0.83333333333333337</v>
      </c>
      <c r="CJ36" s="241" t="e">
        <f>MIN(nox_nightshade_cap,#REF!/#REF!/nox_nightshade_swamp_bonus)</f>
        <v>#REF!</v>
      </c>
      <c r="CK36" s="242"/>
      <c r="CL36" s="242"/>
      <c r="CM36" s="242"/>
      <c r="CN36" s="241" t="e">
        <f>MIN(6,#REF!+Races!$F$19)*1.8 +  IF(#REF!+Races!$F$19&gt;6,(#REF!+Races!$F$19-6)*0.2,0) - Races!$I$19</f>
        <v>#REF!</v>
      </c>
      <c r="CO36" s="241" t="e">
        <f>1.8 * MIN(MAX(#REF!+Races!$E$20,#REF!+Races!$F$20),6)  +  0.45 * MIN(MIN(#REF!+Races!$E$20,#REF!+Races!$F$20),6)  +  0.2 * ( MAX(#REF!+Races!$E$20-6,0) + MAX(#REF!+Races!$F$20-6,0) )  -  Races!$I$20</f>
        <v>#REF!</v>
      </c>
      <c r="CP36" s="39" t="e">
        <f>#REF!*#REF!+#REF!*#REF!</f>
        <v>#REF!</v>
      </c>
      <c r="CQ36" s="145" t="e">
        <f>MIN(6,#REF!+Races!$F$35)*1.8 +  IF(#REF!+Races!$F$35&gt;6,(#REF!+Races!$F$35-6)*0.2,0) - Races!$I$19</f>
        <v>#REF!</v>
      </c>
      <c r="CR36" s="39" t="e">
        <f>sylvan*(#REF!*#REF!)</f>
        <v>#REF!</v>
      </c>
      <c r="CS36" s="145" t="e">
        <f>1.8 * MIN(MAX(Races!$E$27,#REF!+Races!$F$27),6)  +  0.45 * MIN(MIN(Races!$E$27,#REF!+Races!$F$27),6)  +  0.2 * ( MAX(Races!$E$27-6,0) + MAX(#REF!+Races!$F$27-6,0) )  -  Races!$I$20</f>
        <v>#REF!</v>
      </c>
      <c r="CT36" s="39" t="e">
        <f>gnome*(#REF!*#REF!)</f>
        <v>#REF!</v>
      </c>
      <c r="CU36" s="145" t="e">
        <f>1.8 * MIN(MAX(#REF!+Races!$E$47,#REF!+Races!$F$47),6)  +  0.45 * MIN(MIN(#REF!+Races!$E$47,#REF!+Races!$F$47),6)  +  0.2 * ( MAX(#REF!+Races!$E$47-6,0) + MAX(#REF!+Races!$F$47-6,0) )  -  Races!$I$47</f>
        <v>#REF!</v>
      </c>
      <c r="CV36" s="39" t="e">
        <f>dark_elf*(#REF!*#REF!)</f>
        <v>#REF!</v>
      </c>
      <c r="CW36" s="145" t="e">
        <f>1.8 * MIN(MAX(#REF!+Races!$F$71,Races!$E$71),6)  +  0.45 * MIN(MIN(#REF!+Races!$F$71,Races!$E$71),6)  +  0.2 * ( MAX(#REF!+Races!$F$71-6,0) + MAX(Races!$E$71-6,0) )  -  Races!$I$71</f>
        <v>#REF!</v>
      </c>
      <c r="CX36" s="145" t="e">
        <f>1.8 * MIN(MAX(#REF!+Races!$E$71,Races!$F$71),6)  +  0.45 * MIN(MIN(#REF!+Races!$E$71,Races!$F$71),6)  +  0.2 * ( MAX(#REF!+Races!$E$71-6,0) + MAX(Races!$F$71-6,0) )  -  Races!$I$71</f>
        <v>#REF!</v>
      </c>
      <c r="CY36" s="39" t="e">
        <f>#REF!*#REF!+#REF!*#REF!</f>
        <v>#REF!</v>
      </c>
      <c r="CZ36" s="243"/>
      <c r="DA36" s="135" t="e">
        <f>MIN(SUM(#REF!)/#REF!/favorable_terrain_bonus/100,favorable_terrain_max)</f>
        <v>#REF!</v>
      </c>
      <c r="DB36" s="243"/>
      <c r="DC36"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36" s="134"/>
      <c r="DE36" s="244" t="e">
        <f>(#REF!+2*#REF!)/#REF!</f>
        <v>#REF!</v>
      </c>
      <c r="DF36" s="244" t="e">
        <f>#REF!*(1+race_wizard_strength+IF(#REF!&gt;72,tech_magical_weaponry_wiz*#REF!,0))</f>
        <v>#REF!</v>
      </c>
    </row>
    <row r="37" spans="1:110" x14ac:dyDescent="0.25">
      <c r="A37" s="130" t="e">
        <f>#REF!</f>
        <v>#REF!</v>
      </c>
      <c r="B37" s="236" t="e">
        <f ca="1">SUM(#REF!)+SUM(OFFSET(#REF!,-8,0):#REF!) + SUM(OFFSET(#REF!,-11,0):#REF!) +#REF!</f>
        <v>#REF!</v>
      </c>
      <c r="C37" s="132" t="e">
        <f>#REF!</f>
        <v>#REF!</v>
      </c>
      <c r="D37" s="134"/>
      <c r="E37" s="3" t="e">
        <f ca="1">OFFSET(#REF!,-1,0) + OFFSET(#REF!,-9,0) -#REF!</f>
        <v>#REF!</v>
      </c>
      <c r="F37" s="3" t="e">
        <f ca="1">OFFSET(#REF!,-1,0) + OFFSET(#REF!,-9,0)-#REF!</f>
        <v>#REF!</v>
      </c>
      <c r="G37" s="3" t="e">
        <f ca="1">OFFSET(#REF!,-1,0) + OFFSET(#REF!,-12,0)-#REF!</f>
        <v>#REF!</v>
      </c>
      <c r="H37" s="3" t="e">
        <f ca="1">OFFSET(#REF!,-1,0) + OFFSET(#REF!,-12,0)-#REF!</f>
        <v>#REF!</v>
      </c>
      <c r="I37" s="3" t="e">
        <f ca="1">OFFSET(#REF!,-1,0) + OFFSET(#REF!,-12,0) -#REF!-#REF!</f>
        <v>#REF!</v>
      </c>
      <c r="J37" s="3" t="e">
        <f ca="1">OFFSET(#REF!,-1,0) + OFFSET(#REF!,-12,0) -#REF!</f>
        <v>#REF!</v>
      </c>
      <c r="K37" s="3" t="e">
        <f ca="1">OFFSET(#REF!,-1,0) + OFFSET(#REF!,-12,0) -#REF!-#REF!</f>
        <v>#REF!</v>
      </c>
      <c r="L37" s="3" t="e">
        <f ca="1">OFFSET(#REF!,-1,0) + OFFSET(#REF!,-12,0) -#REF!</f>
        <v>#REF!</v>
      </c>
      <c r="M37" s="134"/>
      <c r="N37" s="39" t="e">
        <f>#REF!</f>
        <v>#REF!</v>
      </c>
      <c r="O37" s="134"/>
      <c r="P37" s="237" t="e">
        <f>#REF!*spec_op+#REF!*(elite1_base_op)+#REF!*(elite2_base_op+dark_elf*#REF!+icekin*#REF!+woodie*#REF!+orc*#REF!)+kobold*#REF!</f>
        <v>#REF!</v>
      </c>
      <c r="Q37" s="132" t="e">
        <f>race_offense+#REF!+ROUND(MIN(gn_bonus*#REF!/#REF!,gn_bonus_cap),4)+MAX(IF(#REF!&gt;0,warsong_bonus),IF(#REF!&gt;0,howling_op_bonus),IF(#REF!&gt;0,nightfall_bonus),IF(#REF!&gt;0,#REF!)) +#REF!/ 100*prestige_offense_bonus + tech_5_4*#REF! + tech_7_4*#REF!</f>
        <v>#REF!</v>
      </c>
      <c r="R37" s="237" t="e">
        <f>#REF!*(1+#REF!)</f>
        <v>#REF!</v>
      </c>
      <c r="S37" s="237" t="e">
        <f>#REF!*spec_dp+#REF!*(elite1_base_dp+woodie*#REF!+sylvan*#REF!+gnome*#REF!+icekin*#REF!+nox*#REF!)+#REF!*(elite2_base_dp+woodie*#REF!) + fh_peas_dp*MIN(#REF!,20*#REF!)+kobold*#REF!</f>
        <v>#REF!</v>
      </c>
      <c r="T37" s="237" t="e">
        <f>#REF!+#REF!</f>
        <v>#REF!</v>
      </c>
      <c r="U37" s="238" t="e">
        <f>race_defense +#REF! + ROUND( MIN(gt_bonus*#REF!/#REF!,gt_bonus_cap), 4) + IF(#REF!&gt;0,howling_dp_bonus,IF(#REF!&gt;0,ares_call_bonus))</f>
        <v>#REF!</v>
      </c>
      <c r="V37" s="239" t="e">
        <f>#REF! * (1 +#REF!)</f>
        <v>#REF!</v>
      </c>
      <c r="W37" s="237" t="e">
        <f>#REF! * (1 +#REF!)</f>
        <v>#REF!</v>
      </c>
      <c r="X37" s="237" t="e">
        <f>#REF!</f>
        <v>#REF!</v>
      </c>
      <c r="Y37" s="240"/>
      <c r="Z37" s="135" t="e">
        <f ca="1">IF(#REF!&lt;&gt;"",#REF!,OFFSET(#REF!,-1,0))</f>
        <v>#REF!</v>
      </c>
      <c r="AA37" s="39" t="e">
        <f ca="1">OFFSET(#REF!,-1,0)+OFFSET(#REF!,-1,0) - SUM(#REF!,#REF!) -#REF! + SUM(#REF!) -#REF!</f>
        <v>#REF!</v>
      </c>
      <c r="AB37" s="133"/>
      <c r="AC37" s="132" t="e">
        <f>(#REF!+#REF!)/(#REF!-#REF!*20)</f>
        <v>#REF!</v>
      </c>
      <c r="AD37" s="130"/>
      <c r="AE37" s="236" t="e">
        <f>#REF!</f>
        <v>#REF!</v>
      </c>
      <c r="AF37" s="131" t="e">
        <f>#REF!</f>
        <v>#REF!</v>
      </c>
      <c r="AG37" s="164"/>
      <c r="AH37" s="164"/>
      <c r="AI37" s="164"/>
      <c r="AJ37" s="164"/>
      <c r="AK37" s="164"/>
      <c r="AL37" s="164"/>
      <c r="AM37" s="164"/>
      <c r="AN37" s="164"/>
      <c r="AO37" s="134"/>
      <c r="AP37" s="39" t="e">
        <f>#REF!</f>
        <v>#REF!</v>
      </c>
      <c r="AQ37" s="39" t="e">
        <f>INDEX(#REF!:#REF!,COUNTA(#REF!:#REF!),MATCH(Military!$AQ$2,#REF!,0))</f>
        <v>#REF!</v>
      </c>
      <c r="AR37" s="39" t="e">
        <f>#REF!*#REF!+#REF!*#REF!+#REF!*#REF!+#REF!*#REF!+#REF!*#REF!+#REF!*#REF!+#REF!*#REF!</f>
        <v>#REF!</v>
      </c>
      <c r="AS37" s="39" t="e">
        <f>#REF!*#REF!+#REF!*#REF!+#REF!*#REF!+#REF!*#REF!</f>
        <v>#REF!</v>
      </c>
      <c r="AT37" s="134" t="e">
        <f>#REF!</f>
        <v>#REF!</v>
      </c>
      <c r="AU37" s="143" t="e">
        <f>#REF!</f>
        <v>#REF!</v>
      </c>
      <c r="AV37" s="39" t="e">
        <f>#REF!</f>
        <v>#REF!</v>
      </c>
      <c r="AW37" s="164"/>
      <c r="AX37" s="164"/>
      <c r="AY37" s="164"/>
      <c r="AZ37" s="164"/>
      <c r="BA37" s="164"/>
      <c r="BB37" s="164"/>
      <c r="BC37" s="164"/>
      <c r="BD37" s="164"/>
      <c r="BE37" s="164"/>
      <c r="BF37" s="134"/>
      <c r="BG37" s="132" t="e">
        <f>#REF!/#REF!</f>
        <v>#REF!</v>
      </c>
      <c r="BH37" s="132" t="e">
        <f>#REF!/#REF!</f>
        <v>#REF!</v>
      </c>
      <c r="BI37" s="39" t="e">
        <f>ROUNDUP((1-MIN(#REF!*smithy_bonus,smithy_bonus_cap) + tech_3_5*#REF! + tech_5_3*#REF! + tech_5_5*#REF!)*spec_op_plat,0)</f>
        <v>#REF!</v>
      </c>
      <c r="BJ37" s="39" t="e">
        <f>ROUNDUP(IF(race="Gnome",1,(1-MIN(#REF!*smithy_bonus,smithy_bonus_cap) + tech_3_5*#REF! + tech_5_3*#REF! + tech_5_5*#REF!))*spec_op_ore,0)</f>
        <v>#REF!</v>
      </c>
      <c r="BK37" s="39" t="e">
        <f>ROUNDUP((1-MIN(#REF!*smithy_bonus,smithy_bonus_cap) + tech_3_5*#REF! + tech_5_3*#REF! + tech_5_5*#REF!)*spec_dp_plat,0)</f>
        <v>#REF!</v>
      </c>
      <c r="BL37" s="39" t="e">
        <f>ROUNDUP(IF(race="Gnome",1,(1-MIN(#REF!*smithy_bonus,smithy_bonus_cap) + tech_3_5*#REF! + tech_5_3*#REF! + tech_5_5*#REF!))*spec_dp_ore,0)</f>
        <v>#REF!</v>
      </c>
      <c r="BM37" s="39" t="e">
        <f>ROUNDUP((1-MIN(#REF!*smithy_bonus,smithy_bonus_cap) + tech_3_5*#REF! + tech_5_3*#REF! + tech_5_5*#REF!)*elite1_plat,0)</f>
        <v>#REF!</v>
      </c>
      <c r="BN37" s="39" t="e">
        <f>ROUNDUP(IF(race="Gnome",1,(1-MIN(#REF!*smithy_bonus,smithy_bonus_cap) + tech_3_5*#REF! + tech_5_3*#REF! + tech_5_5*#REF!))*elite1_ore,0)</f>
        <v>#REF!</v>
      </c>
      <c r="BO37" s="39" t="e">
        <f>ROUNDUP((1-MIN(#REF!*smithy_bonus,smithy_bonus_cap) + tech_3_5*#REF! + tech_5_3*#REF! + tech_5_5*#REF!)*elite2_plat,0)</f>
        <v>#REF!</v>
      </c>
      <c r="BP37" s="39" t="e">
        <f>ROUNDUP(IF(race="Gnome",1,(1-MIN(#REF!*smithy_bonus,smithy_bonus_cap) + tech_3_5*#REF! + tech_5_3*#REF! + tech_5_5*#REF!))*elite2_ore,0)</f>
        <v>#REF!</v>
      </c>
      <c r="BQ37" s="39" t="e">
        <f>ROUNDUP((1-MIN(ROUND(fh_spy_cost_red*#REF!,4),fh_spy_cost_cap)+ tech_1_9*#REF! + tech_9_1*#REF!)*spy_plat,0)</f>
        <v>#REF!</v>
      </c>
      <c r="BR37" s="39" t="e">
        <f>ROUNDUP((1-MIN(ROUND(fh_spy_cost_red*#REF!,4),fh_spy_cost_cap)+ tech_1_9*#REF! + tech_9_1*#REF!)*archspy_plat,0)</f>
        <v>#REF!</v>
      </c>
      <c r="BS37" s="39" t="e">
        <f>ROUNDUP((1-MIN(ROUND(wg_wiz_cost_bonus*#REF!,4),wg_wiz_cost_cap) + tech_1_9_2*#REF! + tech_9_1_2*#REF!)*wizard_plat,0)</f>
        <v>#REF!</v>
      </c>
      <c r="BT37" s="39" t="e">
        <f>ROUNDUP((1-MIN(ROUND(wg_wiz_cost_bonus*#REF!,4),wg_wiz_cost_cap) + tech_1_9_2*#REF! + tech_9_1_2*#REF!)*archmage_plat,0)</f>
        <v>#REF!</v>
      </c>
      <c r="BU37" s="134"/>
      <c r="BV37" s="132" t="e">
        <f>#REF!/#REF!</f>
        <v>#REF!</v>
      </c>
      <c r="BW37" s="132" t="e">
        <f>#REF!</f>
        <v>#REF!</v>
      </c>
      <c r="BX37" s="241" t="e">
        <f>IF(mystic_cap="none",#REF!/mystic_bonus,MIN(mystic_cap,#REF!/mystic_bonus))</f>
        <v>#REF!</v>
      </c>
      <c r="BY37" s="241" t="e">
        <f>IF(druid_op_cap="none",#REF!/druid_op_bonus,MIN(druid_op_cap,#REF!/druid_op_bonus))</f>
        <v>#REF!</v>
      </c>
      <c r="BZ37" s="241" t="e">
        <f>IF(druid_dp_cap="none",#REF!/druid_dp_bonus,MIN(druid_dp_cap,#REF!/druid_dp_bonus))</f>
        <v>#REF!</v>
      </c>
      <c r="CA37" s="241" t="e">
        <f>MIN(dryad_cap,#REF!/dryad_bonus)</f>
        <v>#REF!</v>
      </c>
      <c r="CB37" s="241" t="e">
        <f>MIN(rocka_cap,#REF!/rocka_bonus)</f>
        <v>#REF!</v>
      </c>
      <c r="CC37" s="241" t="e">
        <f>MIN(adept_op_cap,#REF!/adept_op_bonus)</f>
        <v>#REF!</v>
      </c>
      <c r="CD37" s="241" t="e">
        <f>MIN(adept_dp_cap,#REF!/adept_dp_bonus)</f>
        <v>#REF!</v>
      </c>
      <c r="CE37" s="39" t="e">
        <f>MIN(#REF!,#REF!)*2</f>
        <v>#REF!</v>
      </c>
      <c r="CF37" s="39" t="e">
        <f>MIN(#REF!,#REF!)*2</f>
        <v>#REF!</v>
      </c>
      <c r="CG37" s="241" t="e">
        <f>MIN(frost_mage_cap,#REF!/frost_mage_bonus)</f>
        <v>#REF!</v>
      </c>
      <c r="CH37" s="3" t="e">
        <f>MIN(ice_elem_cap,#REF!*ice_elem_bonus)</f>
        <v>#REF!</v>
      </c>
      <c r="CI37" s="241">
        <f t="shared" si="2"/>
        <v>0.83333333333333337</v>
      </c>
      <c r="CJ37" s="241" t="e">
        <f>MIN(nox_nightshade_cap,#REF!/#REF!/nox_nightshade_swamp_bonus)</f>
        <v>#REF!</v>
      </c>
      <c r="CK37" s="242"/>
      <c r="CL37" s="242"/>
      <c r="CM37" s="242"/>
      <c r="CN37" s="241" t="e">
        <f>MIN(6,#REF!+Races!$F$19)*1.8 +  IF(#REF!+Races!$F$19&gt;6,(#REF!+Races!$F$19-6)*0.2,0) - Races!$I$19</f>
        <v>#REF!</v>
      </c>
      <c r="CO37" s="241" t="e">
        <f>1.8 * MIN(MAX(#REF!+Races!$E$20,#REF!+Races!$F$20),6)  +  0.45 * MIN(MIN(#REF!+Races!$E$20,#REF!+Races!$F$20),6)  +  0.2 * ( MAX(#REF!+Races!$E$20-6,0) + MAX(#REF!+Races!$F$20-6,0) )  -  Races!$I$20</f>
        <v>#REF!</v>
      </c>
      <c r="CP37" s="39" t="e">
        <f>#REF!*#REF!+#REF!*#REF!</f>
        <v>#REF!</v>
      </c>
      <c r="CQ37" s="145" t="e">
        <f>MIN(6,#REF!+Races!$F$35)*1.8 +  IF(#REF!+Races!$F$35&gt;6,(#REF!+Races!$F$35-6)*0.2,0) - Races!$I$19</f>
        <v>#REF!</v>
      </c>
      <c r="CR37" s="39" t="e">
        <f>sylvan*(#REF!*#REF!)</f>
        <v>#REF!</v>
      </c>
      <c r="CS37" s="145" t="e">
        <f>1.8 * MIN(MAX(Races!$E$27,#REF!+Races!$F$27),6)  +  0.45 * MIN(MIN(Races!$E$27,#REF!+Races!$F$27),6)  +  0.2 * ( MAX(Races!$E$27-6,0) + MAX(#REF!+Races!$F$27-6,0) )  -  Races!$I$20</f>
        <v>#REF!</v>
      </c>
      <c r="CT37" s="39" t="e">
        <f>gnome*(#REF!*#REF!)</f>
        <v>#REF!</v>
      </c>
      <c r="CU37" s="145" t="e">
        <f>1.8 * MIN(MAX(#REF!+Races!$E$47,#REF!+Races!$F$47),6)  +  0.45 * MIN(MIN(#REF!+Races!$E$47,#REF!+Races!$F$47),6)  +  0.2 * ( MAX(#REF!+Races!$E$47-6,0) + MAX(#REF!+Races!$F$47-6,0) )  -  Races!$I$47</f>
        <v>#REF!</v>
      </c>
      <c r="CV37" s="39" t="e">
        <f>dark_elf*(#REF!*#REF!)</f>
        <v>#REF!</v>
      </c>
      <c r="CW37" s="145" t="e">
        <f>1.8 * MIN(MAX(#REF!+Races!$F$71,Races!$E$71),6)  +  0.45 * MIN(MIN(#REF!+Races!$F$71,Races!$E$71),6)  +  0.2 * ( MAX(#REF!+Races!$F$71-6,0) + MAX(Races!$E$71-6,0) )  -  Races!$I$71</f>
        <v>#REF!</v>
      </c>
      <c r="CX37" s="145" t="e">
        <f>1.8 * MIN(MAX(#REF!+Races!$E$71,Races!$F$71),6)  +  0.45 * MIN(MIN(#REF!+Races!$E$71,Races!$F$71),6)  +  0.2 * ( MAX(#REF!+Races!$E$71-6,0) + MAX(Races!$F$71-6,0) )  -  Races!$I$71</f>
        <v>#REF!</v>
      </c>
      <c r="CY37" s="39" t="e">
        <f>#REF!*#REF!+#REF!*#REF!</f>
        <v>#REF!</v>
      </c>
      <c r="CZ37" s="243"/>
      <c r="DA37" s="135" t="e">
        <f>MIN(SUM(#REF!)/#REF!/favorable_terrain_bonus/100,favorable_terrain_max)</f>
        <v>#REF!</v>
      </c>
      <c r="DB37" s="243"/>
      <c r="DC37"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37" s="134"/>
      <c r="DE37" s="244" t="e">
        <f>(#REF!+2*#REF!)/#REF!</f>
        <v>#REF!</v>
      </c>
      <c r="DF37" s="244" t="e">
        <f>#REF!*(1+race_wizard_strength+IF(#REF!&gt;72,tech_magical_weaponry_wiz*#REF!,0))</f>
        <v>#REF!</v>
      </c>
    </row>
    <row r="38" spans="1:110" x14ac:dyDescent="0.25">
      <c r="A38" s="130" t="e">
        <f>#REF!</f>
        <v>#REF!</v>
      </c>
      <c r="B38" s="236" t="e">
        <f ca="1">SUM(#REF!)+SUM(OFFSET(#REF!,-8,0):#REF!) + SUM(OFFSET(#REF!,-11,0):#REF!) +#REF!</f>
        <v>#REF!</v>
      </c>
      <c r="C38" s="132" t="e">
        <f>#REF!</f>
        <v>#REF!</v>
      </c>
      <c r="D38" s="134"/>
      <c r="E38" s="3" t="e">
        <f ca="1">OFFSET(#REF!,-1,0) + OFFSET(#REF!,-9,0) -#REF!</f>
        <v>#REF!</v>
      </c>
      <c r="F38" s="3" t="e">
        <f ca="1">OFFSET(#REF!,-1,0) + OFFSET(#REF!,-9,0)-#REF!</f>
        <v>#REF!</v>
      </c>
      <c r="G38" s="3" t="e">
        <f ca="1">OFFSET(#REF!,-1,0) + OFFSET(#REF!,-12,0)-#REF!</f>
        <v>#REF!</v>
      </c>
      <c r="H38" s="3" t="e">
        <f ca="1">OFFSET(#REF!,-1,0) + OFFSET(#REF!,-12,0)-#REF!</f>
        <v>#REF!</v>
      </c>
      <c r="I38" s="3" t="e">
        <f ca="1">OFFSET(#REF!,-1,0) + OFFSET(#REF!,-12,0) -#REF!-#REF!</f>
        <v>#REF!</v>
      </c>
      <c r="J38" s="3" t="e">
        <f ca="1">OFFSET(#REF!,-1,0) + OFFSET(#REF!,-12,0) -#REF!</f>
        <v>#REF!</v>
      </c>
      <c r="K38" s="3" t="e">
        <f ca="1">OFFSET(#REF!,-1,0) + OFFSET(#REF!,-12,0) -#REF!-#REF!</f>
        <v>#REF!</v>
      </c>
      <c r="L38" s="3" t="e">
        <f ca="1">OFFSET(#REF!,-1,0) + OFFSET(#REF!,-12,0) -#REF!</f>
        <v>#REF!</v>
      </c>
      <c r="M38" s="134"/>
      <c r="N38" s="39" t="e">
        <f>#REF!</f>
        <v>#REF!</v>
      </c>
      <c r="O38" s="134"/>
      <c r="P38" s="237" t="e">
        <f>#REF!*spec_op+#REF!*(elite1_base_op)+#REF!*(elite2_base_op+dark_elf*#REF!+icekin*#REF!+woodie*#REF!+orc*#REF!)+kobold*#REF!</f>
        <v>#REF!</v>
      </c>
      <c r="Q38" s="132" t="e">
        <f>race_offense+#REF!+ROUND(MIN(gn_bonus*#REF!/#REF!,gn_bonus_cap),4)+MAX(IF(#REF!&gt;0,warsong_bonus),IF(#REF!&gt;0,howling_op_bonus),IF(#REF!&gt;0,nightfall_bonus),IF(#REF!&gt;0,#REF!)) +#REF!/ 100*prestige_offense_bonus + tech_5_4*#REF! + tech_7_4*#REF!</f>
        <v>#REF!</v>
      </c>
      <c r="R38" s="237" t="e">
        <f>#REF!*(1+#REF!)</f>
        <v>#REF!</v>
      </c>
      <c r="S38" s="237" t="e">
        <f>#REF!*spec_dp+#REF!*(elite1_base_dp+woodie*#REF!+sylvan*#REF!+gnome*#REF!+icekin*#REF!+nox*#REF!)+#REF!*(elite2_base_dp+woodie*#REF!) + fh_peas_dp*MIN(#REF!,20*#REF!)+kobold*#REF!</f>
        <v>#REF!</v>
      </c>
      <c r="T38" s="237" t="e">
        <f>#REF!+#REF!</f>
        <v>#REF!</v>
      </c>
      <c r="U38" s="238" t="e">
        <f>race_defense +#REF! + ROUND( MIN(gt_bonus*#REF!/#REF!,gt_bonus_cap), 4) + IF(#REF!&gt;0,howling_dp_bonus,IF(#REF!&gt;0,ares_call_bonus))</f>
        <v>#REF!</v>
      </c>
      <c r="V38" s="239" t="e">
        <f>#REF! * (1 +#REF!)</f>
        <v>#REF!</v>
      </c>
      <c r="W38" s="237" t="e">
        <f>#REF! * (1 +#REF!)</f>
        <v>#REF!</v>
      </c>
      <c r="X38" s="237" t="e">
        <f>#REF!</f>
        <v>#REF!</v>
      </c>
      <c r="Y38" s="240"/>
      <c r="Z38" s="135" t="e">
        <f ca="1">IF(#REF!&lt;&gt;"",#REF!,OFFSET(#REF!,-1,0))</f>
        <v>#REF!</v>
      </c>
      <c r="AA38" s="39" t="e">
        <f ca="1">OFFSET(#REF!,-1,0)+OFFSET(#REF!,-1,0) - SUM(#REF!,#REF!) -#REF! + SUM(#REF!) -#REF!</f>
        <v>#REF!</v>
      </c>
      <c r="AB38" s="133"/>
      <c r="AC38" s="132" t="e">
        <f>(#REF!+#REF!)/(#REF!-#REF!*20)</f>
        <v>#REF!</v>
      </c>
      <c r="AD38" s="130"/>
      <c r="AE38" s="236" t="e">
        <f>#REF!</f>
        <v>#REF!</v>
      </c>
      <c r="AF38" s="131" t="e">
        <f>#REF!</f>
        <v>#REF!</v>
      </c>
      <c r="AG38" s="164"/>
      <c r="AH38" s="164"/>
      <c r="AI38" s="164"/>
      <c r="AJ38" s="164"/>
      <c r="AK38" s="164"/>
      <c r="AL38" s="164"/>
      <c r="AM38" s="164"/>
      <c r="AN38" s="164"/>
      <c r="AO38" s="134"/>
      <c r="AP38" s="39" t="e">
        <f>#REF!</f>
        <v>#REF!</v>
      </c>
      <c r="AQ38" s="39" t="e">
        <f>INDEX(#REF!:#REF!,COUNTA(#REF!:#REF!),MATCH(Military!$AQ$2,#REF!,0))</f>
        <v>#REF!</v>
      </c>
      <c r="AR38" s="39" t="e">
        <f>#REF!*#REF!+#REF!*#REF!+#REF!*#REF!+#REF!*#REF!+#REF!*#REF!+#REF!*#REF!+#REF!*#REF!</f>
        <v>#REF!</v>
      </c>
      <c r="AS38" s="39" t="e">
        <f>#REF!*#REF!+#REF!*#REF!+#REF!*#REF!+#REF!*#REF!</f>
        <v>#REF!</v>
      </c>
      <c r="AT38" s="134" t="e">
        <f>#REF!</f>
        <v>#REF!</v>
      </c>
      <c r="AU38" s="143" t="e">
        <f>#REF!</f>
        <v>#REF!</v>
      </c>
      <c r="AV38" s="39" t="e">
        <f>#REF!</f>
        <v>#REF!</v>
      </c>
      <c r="AW38" s="164"/>
      <c r="AX38" s="164"/>
      <c r="AY38" s="164"/>
      <c r="AZ38" s="164"/>
      <c r="BA38" s="164"/>
      <c r="BB38" s="164"/>
      <c r="BC38" s="164"/>
      <c r="BD38" s="164"/>
      <c r="BE38" s="164"/>
      <c r="BF38" s="134"/>
      <c r="BG38" s="132" t="e">
        <f>#REF!/#REF!</f>
        <v>#REF!</v>
      </c>
      <c r="BH38" s="132" t="e">
        <f>#REF!/#REF!</f>
        <v>#REF!</v>
      </c>
      <c r="BI38" s="39" t="e">
        <f>ROUNDUP((1-MIN(#REF!*smithy_bonus,smithy_bonus_cap) + tech_3_5*#REF! + tech_5_3*#REF! + tech_5_5*#REF!)*spec_op_plat,0)</f>
        <v>#REF!</v>
      </c>
      <c r="BJ38" s="39" t="e">
        <f>ROUNDUP(IF(race="Gnome",1,(1-MIN(#REF!*smithy_bonus,smithy_bonus_cap) + tech_3_5*#REF! + tech_5_3*#REF! + tech_5_5*#REF!))*spec_op_ore,0)</f>
        <v>#REF!</v>
      </c>
      <c r="BK38" s="39" t="e">
        <f>ROUNDUP((1-MIN(#REF!*smithy_bonus,smithy_bonus_cap) + tech_3_5*#REF! + tech_5_3*#REF! + tech_5_5*#REF!)*spec_dp_plat,0)</f>
        <v>#REF!</v>
      </c>
      <c r="BL38" s="39" t="e">
        <f>ROUNDUP(IF(race="Gnome",1,(1-MIN(#REF!*smithy_bonus,smithy_bonus_cap) + tech_3_5*#REF! + tech_5_3*#REF! + tech_5_5*#REF!))*spec_dp_ore,0)</f>
        <v>#REF!</v>
      </c>
      <c r="BM38" s="39" t="e">
        <f>ROUNDUP((1-MIN(#REF!*smithy_bonus,smithy_bonus_cap) + tech_3_5*#REF! + tech_5_3*#REF! + tech_5_5*#REF!)*elite1_plat,0)</f>
        <v>#REF!</v>
      </c>
      <c r="BN38" s="39" t="e">
        <f>ROUNDUP(IF(race="Gnome",1,(1-MIN(#REF!*smithy_bonus,smithy_bonus_cap) + tech_3_5*#REF! + tech_5_3*#REF! + tech_5_5*#REF!))*elite1_ore,0)</f>
        <v>#REF!</v>
      </c>
      <c r="BO38" s="39" t="e">
        <f>ROUNDUP((1-MIN(#REF!*smithy_bonus,smithy_bonus_cap) + tech_3_5*#REF! + tech_5_3*#REF! + tech_5_5*#REF!)*elite2_plat,0)</f>
        <v>#REF!</v>
      </c>
      <c r="BP38" s="39" t="e">
        <f>ROUNDUP(IF(race="Gnome",1,(1-MIN(#REF!*smithy_bonus,smithy_bonus_cap) + tech_3_5*#REF! + tech_5_3*#REF! + tech_5_5*#REF!))*elite2_ore,0)</f>
        <v>#REF!</v>
      </c>
      <c r="BQ38" s="39" t="e">
        <f>ROUNDUP((1-MIN(ROUND(fh_spy_cost_red*#REF!,4),fh_spy_cost_cap)+ tech_1_9*#REF! + tech_9_1*#REF!)*spy_plat,0)</f>
        <v>#REF!</v>
      </c>
      <c r="BR38" s="39" t="e">
        <f>ROUNDUP((1-MIN(ROUND(fh_spy_cost_red*#REF!,4),fh_spy_cost_cap)+ tech_1_9*#REF! + tech_9_1*#REF!)*archspy_plat,0)</f>
        <v>#REF!</v>
      </c>
      <c r="BS38" s="39" t="e">
        <f>ROUNDUP((1-MIN(ROUND(wg_wiz_cost_bonus*#REF!,4),wg_wiz_cost_cap) + tech_1_9_2*#REF! + tech_9_1_2*#REF!)*wizard_plat,0)</f>
        <v>#REF!</v>
      </c>
      <c r="BT38" s="39" t="e">
        <f>ROUNDUP((1-MIN(ROUND(wg_wiz_cost_bonus*#REF!,4),wg_wiz_cost_cap) + tech_1_9_2*#REF! + tech_9_1_2*#REF!)*archmage_plat,0)</f>
        <v>#REF!</v>
      </c>
      <c r="BU38" s="134"/>
      <c r="BV38" s="132" t="e">
        <f>#REF!/#REF!</f>
        <v>#REF!</v>
      </c>
      <c r="BW38" s="132" t="e">
        <f>#REF!</f>
        <v>#REF!</v>
      </c>
      <c r="BX38" s="241" t="e">
        <f>IF(mystic_cap="none",#REF!/mystic_bonus,MIN(mystic_cap,#REF!/mystic_bonus))</f>
        <v>#REF!</v>
      </c>
      <c r="BY38" s="241" t="e">
        <f>IF(druid_op_cap="none",#REF!/druid_op_bonus,MIN(druid_op_cap,#REF!/druid_op_bonus))</f>
        <v>#REF!</v>
      </c>
      <c r="BZ38" s="241" t="e">
        <f>IF(druid_dp_cap="none",#REF!/druid_dp_bonus,MIN(druid_dp_cap,#REF!/druid_dp_bonus))</f>
        <v>#REF!</v>
      </c>
      <c r="CA38" s="241" t="e">
        <f>MIN(dryad_cap,#REF!/dryad_bonus)</f>
        <v>#REF!</v>
      </c>
      <c r="CB38" s="241" t="e">
        <f>MIN(rocka_cap,#REF!/rocka_bonus)</f>
        <v>#REF!</v>
      </c>
      <c r="CC38" s="241" t="e">
        <f>MIN(adept_op_cap,#REF!/adept_op_bonus)</f>
        <v>#REF!</v>
      </c>
      <c r="CD38" s="241" t="e">
        <f>MIN(adept_dp_cap,#REF!/adept_dp_bonus)</f>
        <v>#REF!</v>
      </c>
      <c r="CE38" s="39" t="e">
        <f>MIN(#REF!,#REF!)*2</f>
        <v>#REF!</v>
      </c>
      <c r="CF38" s="39" t="e">
        <f>MIN(#REF!,#REF!)*2</f>
        <v>#REF!</v>
      </c>
      <c r="CG38" s="241" t="e">
        <f>MIN(frost_mage_cap,#REF!/frost_mage_bonus)</f>
        <v>#REF!</v>
      </c>
      <c r="CH38" s="3" t="e">
        <f>MIN(ice_elem_cap,#REF!*ice_elem_bonus)</f>
        <v>#REF!</v>
      </c>
      <c r="CI38" s="241">
        <f t="shared" si="2"/>
        <v>0.83333333333333337</v>
      </c>
      <c r="CJ38" s="241" t="e">
        <f>MIN(nox_nightshade_cap,#REF!/#REF!/nox_nightshade_swamp_bonus)</f>
        <v>#REF!</v>
      </c>
      <c r="CK38" s="242"/>
      <c r="CL38" s="242"/>
      <c r="CM38" s="242"/>
      <c r="CN38" s="241" t="e">
        <f>MIN(6,#REF!+Races!$F$19)*1.8 +  IF(#REF!+Races!$F$19&gt;6,(#REF!+Races!$F$19-6)*0.2,0) - Races!$I$19</f>
        <v>#REF!</v>
      </c>
      <c r="CO38" s="241" t="e">
        <f>1.8 * MIN(MAX(#REF!+Races!$E$20,#REF!+Races!$F$20),6)  +  0.45 * MIN(MIN(#REF!+Races!$E$20,#REF!+Races!$F$20),6)  +  0.2 * ( MAX(#REF!+Races!$E$20-6,0) + MAX(#REF!+Races!$F$20-6,0) )  -  Races!$I$20</f>
        <v>#REF!</v>
      </c>
      <c r="CP38" s="39" t="e">
        <f>#REF!*#REF!+#REF!*#REF!</f>
        <v>#REF!</v>
      </c>
      <c r="CQ38" s="145" t="e">
        <f>MIN(6,#REF!+Races!$F$35)*1.8 +  IF(#REF!+Races!$F$35&gt;6,(#REF!+Races!$F$35-6)*0.2,0) - Races!$I$19</f>
        <v>#REF!</v>
      </c>
      <c r="CR38" s="39" t="e">
        <f>sylvan*(#REF!*#REF!)</f>
        <v>#REF!</v>
      </c>
      <c r="CS38" s="145" t="e">
        <f>1.8 * MIN(MAX(Races!$E$27,#REF!+Races!$F$27),6)  +  0.45 * MIN(MIN(Races!$E$27,#REF!+Races!$F$27),6)  +  0.2 * ( MAX(Races!$E$27-6,0) + MAX(#REF!+Races!$F$27-6,0) )  -  Races!$I$20</f>
        <v>#REF!</v>
      </c>
      <c r="CT38" s="39" t="e">
        <f>gnome*(#REF!*#REF!)</f>
        <v>#REF!</v>
      </c>
      <c r="CU38" s="145" t="e">
        <f>1.8 * MIN(MAX(#REF!+Races!$E$47,#REF!+Races!$F$47),6)  +  0.45 * MIN(MIN(#REF!+Races!$E$47,#REF!+Races!$F$47),6)  +  0.2 * ( MAX(#REF!+Races!$E$47-6,0) + MAX(#REF!+Races!$F$47-6,0) )  -  Races!$I$47</f>
        <v>#REF!</v>
      </c>
      <c r="CV38" s="39" t="e">
        <f>dark_elf*(#REF!*#REF!)</f>
        <v>#REF!</v>
      </c>
      <c r="CW38" s="145" t="e">
        <f>1.8 * MIN(MAX(#REF!+Races!$F$71,Races!$E$71),6)  +  0.45 * MIN(MIN(#REF!+Races!$F$71,Races!$E$71),6)  +  0.2 * ( MAX(#REF!+Races!$F$71-6,0) + MAX(Races!$E$71-6,0) )  -  Races!$I$71</f>
        <v>#REF!</v>
      </c>
      <c r="CX38" s="145" t="e">
        <f>1.8 * MIN(MAX(#REF!+Races!$E$71,Races!$F$71),6)  +  0.45 * MIN(MIN(#REF!+Races!$E$71,Races!$F$71),6)  +  0.2 * ( MAX(#REF!+Races!$E$71-6,0) + MAX(Races!$F$71-6,0) )  -  Races!$I$71</f>
        <v>#REF!</v>
      </c>
      <c r="CY38" s="39" t="e">
        <f>#REF!*#REF!+#REF!*#REF!</f>
        <v>#REF!</v>
      </c>
      <c r="CZ38" s="243"/>
      <c r="DA38" s="135" t="e">
        <f>MIN(SUM(#REF!)/#REF!/favorable_terrain_bonus/100,favorable_terrain_max)</f>
        <v>#REF!</v>
      </c>
      <c r="DB38" s="243"/>
      <c r="DC38"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38" s="134"/>
      <c r="DE38" s="244" t="e">
        <f>(#REF!+2*#REF!)/#REF!</f>
        <v>#REF!</v>
      </c>
      <c r="DF38" s="244" t="e">
        <f>#REF!*(1+race_wizard_strength+IF(#REF!&gt;72,tech_magical_weaponry_wiz*#REF!,0))</f>
        <v>#REF!</v>
      </c>
    </row>
    <row r="39" spans="1:110" x14ac:dyDescent="0.25">
      <c r="A39" s="130" t="e">
        <f>#REF!</f>
        <v>#REF!</v>
      </c>
      <c r="B39" s="236" t="e">
        <f ca="1">SUM(#REF!)+SUM(OFFSET(#REF!,-8,0):#REF!) + SUM(OFFSET(#REF!,-11,0):#REF!) +#REF!</f>
        <v>#REF!</v>
      </c>
      <c r="C39" s="132" t="e">
        <f>#REF!</f>
        <v>#REF!</v>
      </c>
      <c r="D39" s="134"/>
      <c r="E39" s="3" t="e">
        <f ca="1">OFFSET(#REF!,-1,0) + OFFSET(#REF!,-9,0) -#REF!</f>
        <v>#REF!</v>
      </c>
      <c r="F39" s="3" t="e">
        <f ca="1">OFFSET(#REF!,-1,0) + OFFSET(#REF!,-9,0)-#REF!</f>
        <v>#REF!</v>
      </c>
      <c r="G39" s="3" t="e">
        <f ca="1">OFFSET(#REF!,-1,0) + OFFSET(#REF!,-12,0)-#REF!</f>
        <v>#REF!</v>
      </c>
      <c r="H39" s="3" t="e">
        <f ca="1">OFFSET(#REF!,-1,0) + OFFSET(#REF!,-12,0)-#REF!</f>
        <v>#REF!</v>
      </c>
      <c r="I39" s="3" t="e">
        <f ca="1">OFFSET(#REF!,-1,0) + OFFSET(#REF!,-12,0) -#REF!-#REF!</f>
        <v>#REF!</v>
      </c>
      <c r="J39" s="3" t="e">
        <f ca="1">OFFSET(#REF!,-1,0) + OFFSET(#REF!,-12,0) -#REF!</f>
        <v>#REF!</v>
      </c>
      <c r="K39" s="3" t="e">
        <f ca="1">OFFSET(#REF!,-1,0) + OFFSET(#REF!,-12,0) -#REF!-#REF!</f>
        <v>#REF!</v>
      </c>
      <c r="L39" s="3" t="e">
        <f ca="1">OFFSET(#REF!,-1,0) + OFFSET(#REF!,-12,0) -#REF!</f>
        <v>#REF!</v>
      </c>
      <c r="M39" s="134"/>
      <c r="N39" s="39" t="e">
        <f>#REF!</f>
        <v>#REF!</v>
      </c>
      <c r="O39" s="134"/>
      <c r="P39" s="237" t="e">
        <f>#REF!*spec_op+#REF!*(elite1_base_op)+#REF!*(elite2_base_op+dark_elf*#REF!+icekin*#REF!+woodie*#REF!+orc*#REF!)+kobold*#REF!</f>
        <v>#REF!</v>
      </c>
      <c r="Q39" s="132" t="e">
        <f>race_offense+#REF!+ROUND(MIN(gn_bonus*#REF!/#REF!,gn_bonus_cap),4)+MAX(IF(#REF!&gt;0,warsong_bonus),IF(#REF!&gt;0,howling_op_bonus),IF(#REF!&gt;0,nightfall_bonus),IF(#REF!&gt;0,#REF!)) +#REF!/ 100*prestige_offense_bonus + tech_5_4*#REF! + tech_7_4*#REF!</f>
        <v>#REF!</v>
      </c>
      <c r="R39" s="237" t="e">
        <f>#REF!*(1+#REF!)</f>
        <v>#REF!</v>
      </c>
      <c r="S39" s="237" t="e">
        <f>#REF!*spec_dp+#REF!*(elite1_base_dp+woodie*#REF!+sylvan*#REF!+gnome*#REF!+icekin*#REF!+nox*#REF!)+#REF!*(elite2_base_dp+woodie*#REF!) + fh_peas_dp*MIN(#REF!,20*#REF!)+kobold*#REF!</f>
        <v>#REF!</v>
      </c>
      <c r="T39" s="237" t="e">
        <f>#REF!+#REF!</f>
        <v>#REF!</v>
      </c>
      <c r="U39" s="238" t="e">
        <f>race_defense +#REF! + ROUND( MIN(gt_bonus*#REF!/#REF!,gt_bonus_cap), 4) + IF(#REF!&gt;0,howling_dp_bonus,IF(#REF!&gt;0,ares_call_bonus))</f>
        <v>#REF!</v>
      </c>
      <c r="V39" s="239" t="e">
        <f>#REF! * (1 +#REF!)</f>
        <v>#REF!</v>
      </c>
      <c r="W39" s="237" t="e">
        <f>#REF! * (1 +#REF!)</f>
        <v>#REF!</v>
      </c>
      <c r="X39" s="237" t="e">
        <f>#REF!</f>
        <v>#REF!</v>
      </c>
      <c r="Y39" s="240"/>
      <c r="Z39" s="135" t="e">
        <f ca="1">IF(#REF!&lt;&gt;"",#REF!,OFFSET(#REF!,-1,0))</f>
        <v>#REF!</v>
      </c>
      <c r="AA39" s="39" t="e">
        <f ca="1">OFFSET(#REF!,-1,0)+OFFSET(#REF!,-1,0) - SUM(#REF!,#REF!) -#REF! + SUM(#REF!) -#REF!</f>
        <v>#REF!</v>
      </c>
      <c r="AB39" s="133"/>
      <c r="AC39" s="132" t="e">
        <f>(#REF!+#REF!)/(#REF!-#REF!*20)</f>
        <v>#REF!</v>
      </c>
      <c r="AD39" s="130"/>
      <c r="AE39" s="236" t="e">
        <f>#REF!</f>
        <v>#REF!</v>
      </c>
      <c r="AF39" s="131" t="e">
        <f>#REF!</f>
        <v>#REF!</v>
      </c>
      <c r="AG39" s="164"/>
      <c r="AH39" s="164"/>
      <c r="AI39" s="164"/>
      <c r="AJ39" s="164"/>
      <c r="AK39" s="164"/>
      <c r="AL39" s="164"/>
      <c r="AM39" s="164"/>
      <c r="AN39" s="164"/>
      <c r="AO39" s="134"/>
      <c r="AP39" s="39" t="e">
        <f>#REF!</f>
        <v>#REF!</v>
      </c>
      <c r="AQ39" s="39" t="e">
        <f>INDEX(#REF!:#REF!,COUNTA(#REF!:#REF!),MATCH(Military!$AQ$2,#REF!,0))</f>
        <v>#REF!</v>
      </c>
      <c r="AR39" s="39" t="e">
        <f>#REF!*#REF!+#REF!*#REF!+#REF!*#REF!+#REF!*#REF!+#REF!*#REF!+#REF!*#REF!+#REF!*#REF!</f>
        <v>#REF!</v>
      </c>
      <c r="AS39" s="39" t="e">
        <f>#REF!*#REF!+#REF!*#REF!+#REF!*#REF!+#REF!*#REF!</f>
        <v>#REF!</v>
      </c>
      <c r="AT39" s="134" t="e">
        <f>#REF!</f>
        <v>#REF!</v>
      </c>
      <c r="AU39" s="143" t="e">
        <f>#REF!</f>
        <v>#REF!</v>
      </c>
      <c r="AV39" s="39" t="e">
        <f>#REF!</f>
        <v>#REF!</v>
      </c>
      <c r="AW39" s="164"/>
      <c r="AX39" s="164"/>
      <c r="AY39" s="164"/>
      <c r="AZ39" s="164"/>
      <c r="BA39" s="164"/>
      <c r="BB39" s="164"/>
      <c r="BC39" s="164"/>
      <c r="BD39" s="164"/>
      <c r="BE39" s="164"/>
      <c r="BF39" s="134"/>
      <c r="BG39" s="132" t="e">
        <f>#REF!/#REF!</f>
        <v>#REF!</v>
      </c>
      <c r="BH39" s="132" t="e">
        <f>#REF!/#REF!</f>
        <v>#REF!</v>
      </c>
      <c r="BI39" s="39" t="e">
        <f>ROUNDUP((1-MIN(#REF!*smithy_bonus,smithy_bonus_cap) + tech_3_5*#REF! + tech_5_3*#REF! + tech_5_5*#REF!)*spec_op_plat,0)</f>
        <v>#REF!</v>
      </c>
      <c r="BJ39" s="39" t="e">
        <f>ROUNDUP(IF(race="Gnome",1,(1-MIN(#REF!*smithy_bonus,smithy_bonus_cap) + tech_3_5*#REF! + tech_5_3*#REF! + tech_5_5*#REF!))*spec_op_ore,0)</f>
        <v>#REF!</v>
      </c>
      <c r="BK39" s="39" t="e">
        <f>ROUNDUP((1-MIN(#REF!*smithy_bonus,smithy_bonus_cap) + tech_3_5*#REF! + tech_5_3*#REF! + tech_5_5*#REF!)*spec_dp_plat,0)</f>
        <v>#REF!</v>
      </c>
      <c r="BL39" s="39" t="e">
        <f>ROUNDUP(IF(race="Gnome",1,(1-MIN(#REF!*smithy_bonus,smithy_bonus_cap) + tech_3_5*#REF! + tech_5_3*#REF! + tech_5_5*#REF!))*spec_dp_ore,0)</f>
        <v>#REF!</v>
      </c>
      <c r="BM39" s="39" t="e">
        <f>ROUNDUP((1-MIN(#REF!*smithy_bonus,smithy_bonus_cap) + tech_3_5*#REF! + tech_5_3*#REF! + tech_5_5*#REF!)*elite1_plat,0)</f>
        <v>#REF!</v>
      </c>
      <c r="BN39" s="39" t="e">
        <f>ROUNDUP(IF(race="Gnome",1,(1-MIN(#REF!*smithy_bonus,smithy_bonus_cap) + tech_3_5*#REF! + tech_5_3*#REF! + tech_5_5*#REF!))*elite1_ore,0)</f>
        <v>#REF!</v>
      </c>
      <c r="BO39" s="39" t="e">
        <f>ROUNDUP((1-MIN(#REF!*smithy_bonus,smithy_bonus_cap) + tech_3_5*#REF! + tech_5_3*#REF! + tech_5_5*#REF!)*elite2_plat,0)</f>
        <v>#REF!</v>
      </c>
      <c r="BP39" s="39" t="e">
        <f>ROUNDUP(IF(race="Gnome",1,(1-MIN(#REF!*smithy_bonus,smithy_bonus_cap) + tech_3_5*#REF! + tech_5_3*#REF! + tech_5_5*#REF!))*elite2_ore,0)</f>
        <v>#REF!</v>
      </c>
      <c r="BQ39" s="39" t="e">
        <f>ROUNDUP((1-MIN(ROUND(fh_spy_cost_red*#REF!,4),fh_spy_cost_cap)+ tech_1_9*#REF! + tech_9_1*#REF!)*spy_plat,0)</f>
        <v>#REF!</v>
      </c>
      <c r="BR39" s="39" t="e">
        <f>ROUNDUP((1-MIN(ROUND(fh_spy_cost_red*#REF!,4),fh_spy_cost_cap)+ tech_1_9*#REF! + tech_9_1*#REF!)*archspy_plat,0)</f>
        <v>#REF!</v>
      </c>
      <c r="BS39" s="39" t="e">
        <f>ROUNDUP((1-MIN(ROUND(wg_wiz_cost_bonus*#REF!,4),wg_wiz_cost_cap) + tech_1_9_2*#REF! + tech_9_1_2*#REF!)*wizard_plat,0)</f>
        <v>#REF!</v>
      </c>
      <c r="BT39" s="39" t="e">
        <f>ROUNDUP((1-MIN(ROUND(wg_wiz_cost_bonus*#REF!,4),wg_wiz_cost_cap) + tech_1_9_2*#REF! + tech_9_1_2*#REF!)*archmage_plat,0)</f>
        <v>#REF!</v>
      </c>
      <c r="BU39" s="134"/>
      <c r="BV39" s="132" t="e">
        <f>#REF!/#REF!</f>
        <v>#REF!</v>
      </c>
      <c r="BW39" s="132" t="e">
        <f>#REF!</f>
        <v>#REF!</v>
      </c>
      <c r="BX39" s="241" t="e">
        <f>IF(mystic_cap="none",#REF!/mystic_bonus,MIN(mystic_cap,#REF!/mystic_bonus))</f>
        <v>#REF!</v>
      </c>
      <c r="BY39" s="241" t="e">
        <f>IF(druid_op_cap="none",#REF!/druid_op_bonus,MIN(druid_op_cap,#REF!/druid_op_bonus))</f>
        <v>#REF!</v>
      </c>
      <c r="BZ39" s="241" t="e">
        <f>IF(druid_dp_cap="none",#REF!/druid_dp_bonus,MIN(druid_dp_cap,#REF!/druid_dp_bonus))</f>
        <v>#REF!</v>
      </c>
      <c r="CA39" s="241" t="e">
        <f>MIN(dryad_cap,#REF!/dryad_bonus)</f>
        <v>#REF!</v>
      </c>
      <c r="CB39" s="241" t="e">
        <f>MIN(rocka_cap,#REF!/rocka_bonus)</f>
        <v>#REF!</v>
      </c>
      <c r="CC39" s="241" t="e">
        <f>MIN(adept_op_cap,#REF!/adept_op_bonus)</f>
        <v>#REF!</v>
      </c>
      <c r="CD39" s="241" t="e">
        <f>MIN(adept_dp_cap,#REF!/adept_dp_bonus)</f>
        <v>#REF!</v>
      </c>
      <c r="CE39" s="39" t="e">
        <f>MIN(#REF!,#REF!)*2</f>
        <v>#REF!</v>
      </c>
      <c r="CF39" s="39" t="e">
        <f>MIN(#REF!,#REF!)*2</f>
        <v>#REF!</v>
      </c>
      <c r="CG39" s="241" t="e">
        <f>MIN(frost_mage_cap,#REF!/frost_mage_bonus)</f>
        <v>#REF!</v>
      </c>
      <c r="CH39" s="3" t="e">
        <f>MIN(ice_elem_cap,#REF!*ice_elem_bonus)</f>
        <v>#REF!</v>
      </c>
      <c r="CI39" s="241">
        <f t="shared" si="2"/>
        <v>0.83333333333333337</v>
      </c>
      <c r="CJ39" s="241" t="e">
        <f>MIN(nox_nightshade_cap,#REF!/#REF!/nox_nightshade_swamp_bonus)</f>
        <v>#REF!</v>
      </c>
      <c r="CK39" s="242"/>
      <c r="CL39" s="242"/>
      <c r="CM39" s="242"/>
      <c r="CN39" s="241" t="e">
        <f>MIN(6,#REF!+Races!$F$19)*1.8 +  IF(#REF!+Races!$F$19&gt;6,(#REF!+Races!$F$19-6)*0.2,0) - Races!$I$19</f>
        <v>#REF!</v>
      </c>
      <c r="CO39" s="241" t="e">
        <f>1.8 * MIN(MAX(#REF!+Races!$E$20,#REF!+Races!$F$20),6)  +  0.45 * MIN(MIN(#REF!+Races!$E$20,#REF!+Races!$F$20),6)  +  0.2 * ( MAX(#REF!+Races!$E$20-6,0) + MAX(#REF!+Races!$F$20-6,0) )  -  Races!$I$20</f>
        <v>#REF!</v>
      </c>
      <c r="CP39" s="39" t="e">
        <f>#REF!*#REF!+#REF!*#REF!</f>
        <v>#REF!</v>
      </c>
      <c r="CQ39" s="145" t="e">
        <f>MIN(6,#REF!+Races!$F$35)*1.8 +  IF(#REF!+Races!$F$35&gt;6,(#REF!+Races!$F$35-6)*0.2,0) - Races!$I$19</f>
        <v>#REF!</v>
      </c>
      <c r="CR39" s="39" t="e">
        <f>sylvan*(#REF!*#REF!)</f>
        <v>#REF!</v>
      </c>
      <c r="CS39" s="145" t="e">
        <f>1.8 * MIN(MAX(Races!$E$27,#REF!+Races!$F$27),6)  +  0.45 * MIN(MIN(Races!$E$27,#REF!+Races!$F$27),6)  +  0.2 * ( MAX(Races!$E$27-6,0) + MAX(#REF!+Races!$F$27-6,0) )  -  Races!$I$20</f>
        <v>#REF!</v>
      </c>
      <c r="CT39" s="39" t="e">
        <f>gnome*(#REF!*#REF!)</f>
        <v>#REF!</v>
      </c>
      <c r="CU39" s="145" t="e">
        <f>1.8 * MIN(MAX(#REF!+Races!$E$47,#REF!+Races!$F$47),6)  +  0.45 * MIN(MIN(#REF!+Races!$E$47,#REF!+Races!$F$47),6)  +  0.2 * ( MAX(#REF!+Races!$E$47-6,0) + MAX(#REF!+Races!$F$47-6,0) )  -  Races!$I$47</f>
        <v>#REF!</v>
      </c>
      <c r="CV39" s="39" t="e">
        <f>dark_elf*(#REF!*#REF!)</f>
        <v>#REF!</v>
      </c>
      <c r="CW39" s="145" t="e">
        <f>1.8 * MIN(MAX(#REF!+Races!$F$71,Races!$E$71),6)  +  0.45 * MIN(MIN(#REF!+Races!$F$71,Races!$E$71),6)  +  0.2 * ( MAX(#REF!+Races!$F$71-6,0) + MAX(Races!$E$71-6,0) )  -  Races!$I$71</f>
        <v>#REF!</v>
      </c>
      <c r="CX39" s="145" t="e">
        <f>1.8 * MIN(MAX(#REF!+Races!$E$71,Races!$F$71),6)  +  0.45 * MIN(MIN(#REF!+Races!$E$71,Races!$F$71),6)  +  0.2 * ( MAX(#REF!+Races!$E$71-6,0) + MAX(Races!$F$71-6,0) )  -  Races!$I$71</f>
        <v>#REF!</v>
      </c>
      <c r="CY39" s="39" t="e">
        <f>#REF!*#REF!+#REF!*#REF!</f>
        <v>#REF!</v>
      </c>
      <c r="CZ39" s="243"/>
      <c r="DA39" s="135" t="e">
        <f>MIN(SUM(#REF!)/#REF!/favorable_terrain_bonus/100,favorable_terrain_max)</f>
        <v>#REF!</v>
      </c>
      <c r="DB39" s="243"/>
      <c r="DC39"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39" s="134"/>
      <c r="DE39" s="244" t="e">
        <f>(#REF!+2*#REF!)/#REF!</f>
        <v>#REF!</v>
      </c>
      <c r="DF39" s="244" t="e">
        <f>#REF!*(1+race_wizard_strength+IF(#REF!&gt;72,tech_magical_weaponry_wiz*#REF!,0))</f>
        <v>#REF!</v>
      </c>
    </row>
    <row r="40" spans="1:110" x14ac:dyDescent="0.25">
      <c r="A40" s="130" t="e">
        <f>#REF!</f>
        <v>#REF!</v>
      </c>
      <c r="B40" s="236" t="e">
        <f ca="1">SUM(#REF!)+SUM(OFFSET(#REF!,-8,0):#REF!) + SUM(OFFSET(#REF!,-11,0):#REF!) +#REF!</f>
        <v>#REF!</v>
      </c>
      <c r="C40" s="132" t="e">
        <f>#REF!</f>
        <v>#REF!</v>
      </c>
      <c r="D40" s="134"/>
      <c r="E40" s="3" t="e">
        <f ca="1">OFFSET(#REF!,-1,0) + OFFSET(#REF!,-9,0) -#REF!</f>
        <v>#REF!</v>
      </c>
      <c r="F40" s="3" t="e">
        <f ca="1">OFFSET(#REF!,-1,0) + OFFSET(#REF!,-9,0)-#REF!</f>
        <v>#REF!</v>
      </c>
      <c r="G40" s="3" t="e">
        <f ca="1">OFFSET(#REF!,-1,0) + OFFSET(#REF!,-12,0)-#REF!</f>
        <v>#REF!</v>
      </c>
      <c r="H40" s="3" t="e">
        <f ca="1">OFFSET(#REF!,-1,0) + OFFSET(#REF!,-12,0)-#REF!</f>
        <v>#REF!</v>
      </c>
      <c r="I40" s="3" t="e">
        <f ca="1">OFFSET(#REF!,-1,0) + OFFSET(#REF!,-12,0) -#REF!-#REF!</f>
        <v>#REF!</v>
      </c>
      <c r="J40" s="3" t="e">
        <f ca="1">OFFSET(#REF!,-1,0) + OFFSET(#REF!,-12,0) -#REF!</f>
        <v>#REF!</v>
      </c>
      <c r="K40" s="3" t="e">
        <f ca="1">OFFSET(#REF!,-1,0) + OFFSET(#REF!,-12,0) -#REF!-#REF!</f>
        <v>#REF!</v>
      </c>
      <c r="L40" s="3" t="e">
        <f ca="1">OFFSET(#REF!,-1,0) + OFFSET(#REF!,-12,0) -#REF!</f>
        <v>#REF!</v>
      </c>
      <c r="M40" s="134"/>
      <c r="N40" s="39" t="e">
        <f>#REF!</f>
        <v>#REF!</v>
      </c>
      <c r="O40" s="134"/>
      <c r="P40" s="237" t="e">
        <f>#REF!*spec_op+#REF!*(elite1_base_op)+#REF!*(elite2_base_op+dark_elf*#REF!+icekin*#REF!+woodie*#REF!+orc*#REF!)+kobold*#REF!</f>
        <v>#REF!</v>
      </c>
      <c r="Q40" s="132" t="e">
        <f>race_offense+#REF!+ROUND(MIN(gn_bonus*#REF!/#REF!,gn_bonus_cap),4)+MAX(IF(#REF!&gt;0,warsong_bonus),IF(#REF!&gt;0,howling_op_bonus),IF(#REF!&gt;0,nightfall_bonus),IF(#REF!&gt;0,#REF!)) +#REF!/ 100*prestige_offense_bonus + tech_5_4*#REF! + tech_7_4*#REF!</f>
        <v>#REF!</v>
      </c>
      <c r="R40" s="237" t="e">
        <f>#REF!*(1+#REF!)</f>
        <v>#REF!</v>
      </c>
      <c r="S40" s="237" t="e">
        <f>#REF!*spec_dp+#REF!*(elite1_base_dp+woodie*#REF!+sylvan*#REF!+gnome*#REF!+icekin*#REF!+nox*#REF!)+#REF!*(elite2_base_dp+woodie*#REF!) + fh_peas_dp*MIN(#REF!,20*#REF!)+kobold*#REF!</f>
        <v>#REF!</v>
      </c>
      <c r="T40" s="237" t="e">
        <f>#REF!+#REF!</f>
        <v>#REF!</v>
      </c>
      <c r="U40" s="238" t="e">
        <f>race_defense +#REF! + ROUND( MIN(gt_bonus*#REF!/#REF!,gt_bonus_cap), 4) + IF(#REF!&gt;0,howling_dp_bonus,IF(#REF!&gt;0,ares_call_bonus))</f>
        <v>#REF!</v>
      </c>
      <c r="V40" s="239" t="e">
        <f>#REF! * (1 +#REF!)</f>
        <v>#REF!</v>
      </c>
      <c r="W40" s="237" t="e">
        <f>#REF! * (1 +#REF!)</f>
        <v>#REF!</v>
      </c>
      <c r="X40" s="237" t="e">
        <f>#REF!</f>
        <v>#REF!</v>
      </c>
      <c r="Y40" s="240"/>
      <c r="Z40" s="135" t="e">
        <f ca="1">IF(#REF!&lt;&gt;"",#REF!,OFFSET(#REF!,-1,0))</f>
        <v>#REF!</v>
      </c>
      <c r="AA40" s="39" t="e">
        <f ca="1">OFFSET(#REF!,-1,0)+OFFSET(#REF!,-1,0) - SUM(#REF!,#REF!) -#REF! + SUM(#REF!) -#REF!</f>
        <v>#REF!</v>
      </c>
      <c r="AB40" s="133"/>
      <c r="AC40" s="132" t="e">
        <f>(#REF!+#REF!)/(#REF!-#REF!*20)</f>
        <v>#REF!</v>
      </c>
      <c r="AD40" s="130"/>
      <c r="AE40" s="236" t="e">
        <f>#REF!</f>
        <v>#REF!</v>
      </c>
      <c r="AF40" s="131" t="e">
        <f>#REF!</f>
        <v>#REF!</v>
      </c>
      <c r="AG40" s="164"/>
      <c r="AH40" s="164"/>
      <c r="AI40" s="164"/>
      <c r="AJ40" s="164"/>
      <c r="AK40" s="164"/>
      <c r="AL40" s="164"/>
      <c r="AM40" s="164"/>
      <c r="AN40" s="164"/>
      <c r="AO40" s="134"/>
      <c r="AP40" s="39" t="e">
        <f>#REF!</f>
        <v>#REF!</v>
      </c>
      <c r="AQ40" s="39" t="e">
        <f>INDEX(#REF!:#REF!,COUNTA(#REF!:#REF!),MATCH(Military!$AQ$2,#REF!,0))</f>
        <v>#REF!</v>
      </c>
      <c r="AR40" s="39" t="e">
        <f>#REF!*#REF!+#REF!*#REF!+#REF!*#REF!+#REF!*#REF!+#REF!*#REF!+#REF!*#REF!+#REF!*#REF!</f>
        <v>#REF!</v>
      </c>
      <c r="AS40" s="39" t="e">
        <f>#REF!*#REF!+#REF!*#REF!+#REF!*#REF!+#REF!*#REF!</f>
        <v>#REF!</v>
      </c>
      <c r="AT40" s="134" t="e">
        <f>#REF!</f>
        <v>#REF!</v>
      </c>
      <c r="AU40" s="143" t="e">
        <f>#REF!</f>
        <v>#REF!</v>
      </c>
      <c r="AV40" s="39" t="e">
        <f>#REF!</f>
        <v>#REF!</v>
      </c>
      <c r="AW40" s="164"/>
      <c r="AX40" s="164"/>
      <c r="AY40" s="164"/>
      <c r="AZ40" s="164"/>
      <c r="BA40" s="164"/>
      <c r="BB40" s="164"/>
      <c r="BC40" s="164"/>
      <c r="BD40" s="164"/>
      <c r="BE40" s="164"/>
      <c r="BF40" s="134"/>
      <c r="BG40" s="132" t="e">
        <f>#REF!/#REF!</f>
        <v>#REF!</v>
      </c>
      <c r="BH40" s="132" t="e">
        <f>#REF!/#REF!</f>
        <v>#REF!</v>
      </c>
      <c r="BI40" s="39" t="e">
        <f>ROUNDUP((1-MIN(#REF!*smithy_bonus,smithy_bonus_cap) + tech_3_5*#REF! + tech_5_3*#REF! + tech_5_5*#REF!)*spec_op_plat,0)</f>
        <v>#REF!</v>
      </c>
      <c r="BJ40" s="39" t="e">
        <f>ROUNDUP(IF(race="Gnome",1,(1-MIN(#REF!*smithy_bonus,smithy_bonus_cap) + tech_3_5*#REF! + tech_5_3*#REF! + tech_5_5*#REF!))*spec_op_ore,0)</f>
        <v>#REF!</v>
      </c>
      <c r="BK40" s="39" t="e">
        <f>ROUNDUP((1-MIN(#REF!*smithy_bonus,smithy_bonus_cap) + tech_3_5*#REF! + tech_5_3*#REF! + tech_5_5*#REF!)*spec_dp_plat,0)</f>
        <v>#REF!</v>
      </c>
      <c r="BL40" s="39" t="e">
        <f>ROUNDUP(IF(race="Gnome",1,(1-MIN(#REF!*smithy_bonus,smithy_bonus_cap) + tech_3_5*#REF! + tech_5_3*#REF! + tech_5_5*#REF!))*spec_dp_ore,0)</f>
        <v>#REF!</v>
      </c>
      <c r="BM40" s="39" t="e">
        <f>ROUNDUP((1-MIN(#REF!*smithy_bonus,smithy_bonus_cap) + tech_3_5*#REF! + tech_5_3*#REF! + tech_5_5*#REF!)*elite1_plat,0)</f>
        <v>#REF!</v>
      </c>
      <c r="BN40" s="39" t="e">
        <f>ROUNDUP(IF(race="Gnome",1,(1-MIN(#REF!*smithy_bonus,smithy_bonus_cap) + tech_3_5*#REF! + tech_5_3*#REF! + tech_5_5*#REF!))*elite1_ore,0)</f>
        <v>#REF!</v>
      </c>
      <c r="BO40" s="39" t="e">
        <f>ROUNDUP((1-MIN(#REF!*smithy_bonus,smithy_bonus_cap) + tech_3_5*#REF! + tech_5_3*#REF! + tech_5_5*#REF!)*elite2_plat,0)</f>
        <v>#REF!</v>
      </c>
      <c r="BP40" s="39" t="e">
        <f>ROUNDUP(IF(race="Gnome",1,(1-MIN(#REF!*smithy_bonus,smithy_bonus_cap) + tech_3_5*#REF! + tech_5_3*#REF! + tech_5_5*#REF!))*elite2_ore,0)</f>
        <v>#REF!</v>
      </c>
      <c r="BQ40" s="39" t="e">
        <f>ROUNDUP((1-MIN(ROUND(fh_spy_cost_red*#REF!,4),fh_spy_cost_cap)+ tech_1_9*#REF! + tech_9_1*#REF!)*spy_plat,0)</f>
        <v>#REF!</v>
      </c>
      <c r="BR40" s="39" t="e">
        <f>ROUNDUP((1-MIN(ROUND(fh_spy_cost_red*#REF!,4),fh_spy_cost_cap)+ tech_1_9*#REF! + tech_9_1*#REF!)*archspy_plat,0)</f>
        <v>#REF!</v>
      </c>
      <c r="BS40" s="39" t="e">
        <f>ROUNDUP((1-MIN(ROUND(wg_wiz_cost_bonus*#REF!,4),wg_wiz_cost_cap) + tech_1_9_2*#REF! + tech_9_1_2*#REF!)*wizard_plat,0)</f>
        <v>#REF!</v>
      </c>
      <c r="BT40" s="39" t="e">
        <f>ROUNDUP((1-MIN(ROUND(wg_wiz_cost_bonus*#REF!,4),wg_wiz_cost_cap) + tech_1_9_2*#REF! + tech_9_1_2*#REF!)*archmage_plat,0)</f>
        <v>#REF!</v>
      </c>
      <c r="BU40" s="134"/>
      <c r="BV40" s="132" t="e">
        <f>#REF!/#REF!</f>
        <v>#REF!</v>
      </c>
      <c r="BW40" s="132" t="e">
        <f>#REF!</f>
        <v>#REF!</v>
      </c>
      <c r="BX40" s="241" t="e">
        <f>IF(mystic_cap="none",#REF!/mystic_bonus,MIN(mystic_cap,#REF!/mystic_bonus))</f>
        <v>#REF!</v>
      </c>
      <c r="BY40" s="241" t="e">
        <f>IF(druid_op_cap="none",#REF!/druid_op_bonus,MIN(druid_op_cap,#REF!/druid_op_bonus))</f>
        <v>#REF!</v>
      </c>
      <c r="BZ40" s="241" t="e">
        <f>IF(druid_dp_cap="none",#REF!/druid_dp_bonus,MIN(druid_dp_cap,#REF!/druid_dp_bonus))</f>
        <v>#REF!</v>
      </c>
      <c r="CA40" s="241" t="e">
        <f>MIN(dryad_cap,#REF!/dryad_bonus)</f>
        <v>#REF!</v>
      </c>
      <c r="CB40" s="241" t="e">
        <f>MIN(rocka_cap,#REF!/rocka_bonus)</f>
        <v>#REF!</v>
      </c>
      <c r="CC40" s="241" t="e">
        <f>MIN(adept_op_cap,#REF!/adept_op_bonus)</f>
        <v>#REF!</v>
      </c>
      <c r="CD40" s="241" t="e">
        <f>MIN(adept_dp_cap,#REF!/adept_dp_bonus)</f>
        <v>#REF!</v>
      </c>
      <c r="CE40" s="39" t="e">
        <f>MIN(#REF!,#REF!)*2</f>
        <v>#REF!</v>
      </c>
      <c r="CF40" s="39" t="e">
        <f>MIN(#REF!,#REF!)*2</f>
        <v>#REF!</v>
      </c>
      <c r="CG40" s="241" t="e">
        <f>MIN(frost_mage_cap,#REF!/frost_mage_bonus)</f>
        <v>#REF!</v>
      </c>
      <c r="CH40" s="3" t="e">
        <f>MIN(ice_elem_cap,#REF!*ice_elem_bonus)</f>
        <v>#REF!</v>
      </c>
      <c r="CI40" s="241">
        <f t="shared" si="2"/>
        <v>0.83333333333333337</v>
      </c>
      <c r="CJ40" s="241" t="e">
        <f>MIN(nox_nightshade_cap,#REF!/#REF!/nox_nightshade_swamp_bonus)</f>
        <v>#REF!</v>
      </c>
      <c r="CK40" s="242"/>
      <c r="CL40" s="242"/>
      <c r="CM40" s="242"/>
      <c r="CN40" s="241" t="e">
        <f>MIN(6,#REF!+Races!$F$19)*1.8 +  IF(#REF!+Races!$F$19&gt;6,(#REF!+Races!$F$19-6)*0.2,0) - Races!$I$19</f>
        <v>#REF!</v>
      </c>
      <c r="CO40" s="241" t="e">
        <f>1.8 * MIN(MAX(#REF!+Races!$E$20,#REF!+Races!$F$20),6)  +  0.45 * MIN(MIN(#REF!+Races!$E$20,#REF!+Races!$F$20),6)  +  0.2 * ( MAX(#REF!+Races!$E$20-6,0) + MAX(#REF!+Races!$F$20-6,0) )  -  Races!$I$20</f>
        <v>#REF!</v>
      </c>
      <c r="CP40" s="39" t="e">
        <f>#REF!*#REF!+#REF!*#REF!</f>
        <v>#REF!</v>
      </c>
      <c r="CQ40" s="145" t="e">
        <f>MIN(6,#REF!+Races!$F$35)*1.8 +  IF(#REF!+Races!$F$35&gt;6,(#REF!+Races!$F$35-6)*0.2,0) - Races!$I$19</f>
        <v>#REF!</v>
      </c>
      <c r="CR40" s="39" t="e">
        <f>sylvan*(#REF!*#REF!)</f>
        <v>#REF!</v>
      </c>
      <c r="CS40" s="145" t="e">
        <f>1.8 * MIN(MAX(Races!$E$27,#REF!+Races!$F$27),6)  +  0.45 * MIN(MIN(Races!$E$27,#REF!+Races!$F$27),6)  +  0.2 * ( MAX(Races!$E$27-6,0) + MAX(#REF!+Races!$F$27-6,0) )  -  Races!$I$20</f>
        <v>#REF!</v>
      </c>
      <c r="CT40" s="39" t="e">
        <f>gnome*(#REF!*#REF!)</f>
        <v>#REF!</v>
      </c>
      <c r="CU40" s="145" t="e">
        <f>1.8 * MIN(MAX(#REF!+Races!$E$47,#REF!+Races!$F$47),6)  +  0.45 * MIN(MIN(#REF!+Races!$E$47,#REF!+Races!$F$47),6)  +  0.2 * ( MAX(#REF!+Races!$E$47-6,0) + MAX(#REF!+Races!$F$47-6,0) )  -  Races!$I$47</f>
        <v>#REF!</v>
      </c>
      <c r="CV40" s="39" t="e">
        <f>dark_elf*(#REF!*#REF!)</f>
        <v>#REF!</v>
      </c>
      <c r="CW40" s="145" t="e">
        <f>1.8 * MIN(MAX(#REF!+Races!$F$71,Races!$E$71),6)  +  0.45 * MIN(MIN(#REF!+Races!$F$71,Races!$E$71),6)  +  0.2 * ( MAX(#REF!+Races!$F$71-6,0) + MAX(Races!$E$71-6,0) )  -  Races!$I$71</f>
        <v>#REF!</v>
      </c>
      <c r="CX40" s="145" t="e">
        <f>1.8 * MIN(MAX(#REF!+Races!$E$71,Races!$F$71),6)  +  0.45 * MIN(MIN(#REF!+Races!$E$71,Races!$F$71),6)  +  0.2 * ( MAX(#REF!+Races!$E$71-6,0) + MAX(Races!$F$71-6,0) )  -  Races!$I$71</f>
        <v>#REF!</v>
      </c>
      <c r="CY40" s="39" t="e">
        <f>#REF!*#REF!+#REF!*#REF!</f>
        <v>#REF!</v>
      </c>
      <c r="CZ40" s="243"/>
      <c r="DA40" s="135" t="e">
        <f>MIN(SUM(#REF!)/#REF!/favorable_terrain_bonus/100,favorable_terrain_max)</f>
        <v>#REF!</v>
      </c>
      <c r="DB40" s="243"/>
      <c r="DC40"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40" s="134"/>
      <c r="DE40" s="244" t="e">
        <f>(#REF!+2*#REF!)/#REF!</f>
        <v>#REF!</v>
      </c>
      <c r="DF40" s="244" t="e">
        <f>#REF!*(1+race_wizard_strength+IF(#REF!&gt;72,tech_magical_weaponry_wiz*#REF!,0))</f>
        <v>#REF!</v>
      </c>
    </row>
    <row r="41" spans="1:110" x14ac:dyDescent="0.25">
      <c r="A41" s="130" t="e">
        <f>#REF!</f>
        <v>#REF!</v>
      </c>
      <c r="B41" s="236" t="e">
        <f ca="1">SUM(#REF!)+SUM(OFFSET(#REF!,-8,0):#REF!) + SUM(OFFSET(#REF!,-11,0):#REF!) +#REF!</f>
        <v>#REF!</v>
      </c>
      <c r="C41" s="132" t="e">
        <f>#REF!</f>
        <v>#REF!</v>
      </c>
      <c r="D41" s="134"/>
      <c r="E41" s="3" t="e">
        <f ca="1">OFFSET(#REF!,-1,0) + OFFSET(#REF!,-9,0) -#REF!</f>
        <v>#REF!</v>
      </c>
      <c r="F41" s="3" t="e">
        <f ca="1">OFFSET(#REF!,-1,0) + OFFSET(#REF!,-9,0)-#REF!</f>
        <v>#REF!</v>
      </c>
      <c r="G41" s="3" t="e">
        <f ca="1">OFFSET(#REF!,-1,0) + OFFSET(#REF!,-12,0)-#REF!</f>
        <v>#REF!</v>
      </c>
      <c r="H41" s="3" t="e">
        <f ca="1">OFFSET(#REF!,-1,0) + OFFSET(#REF!,-12,0)-#REF!</f>
        <v>#REF!</v>
      </c>
      <c r="I41" s="3" t="e">
        <f ca="1">OFFSET(#REF!,-1,0) + OFFSET(#REF!,-12,0) -#REF!-#REF!</f>
        <v>#REF!</v>
      </c>
      <c r="J41" s="3" t="e">
        <f ca="1">OFFSET(#REF!,-1,0) + OFFSET(#REF!,-12,0) -#REF!</f>
        <v>#REF!</v>
      </c>
      <c r="K41" s="3" t="e">
        <f ca="1">OFFSET(#REF!,-1,0) + OFFSET(#REF!,-12,0) -#REF!-#REF!</f>
        <v>#REF!</v>
      </c>
      <c r="L41" s="3" t="e">
        <f ca="1">OFFSET(#REF!,-1,0) + OFFSET(#REF!,-12,0) -#REF!</f>
        <v>#REF!</v>
      </c>
      <c r="M41" s="134"/>
      <c r="N41" s="39" t="e">
        <f>#REF!</f>
        <v>#REF!</v>
      </c>
      <c r="O41" s="134"/>
      <c r="P41" s="237" t="e">
        <f>#REF!*spec_op+#REF!*(elite1_base_op)+#REF!*(elite2_base_op+dark_elf*#REF!+icekin*#REF!+woodie*#REF!+orc*#REF!)+kobold*#REF!</f>
        <v>#REF!</v>
      </c>
      <c r="Q41" s="132" t="e">
        <f>race_offense+#REF!+ROUND(MIN(gn_bonus*#REF!/#REF!,gn_bonus_cap),4)+MAX(IF(#REF!&gt;0,warsong_bonus),IF(#REF!&gt;0,howling_op_bonus),IF(#REF!&gt;0,nightfall_bonus),IF(#REF!&gt;0,#REF!)) +#REF!/ 100*prestige_offense_bonus + tech_5_4*#REF! + tech_7_4*#REF!</f>
        <v>#REF!</v>
      </c>
      <c r="R41" s="237" t="e">
        <f>#REF!*(1+#REF!)</f>
        <v>#REF!</v>
      </c>
      <c r="S41" s="237" t="e">
        <f>#REF!*spec_dp+#REF!*(elite1_base_dp+woodie*#REF!+sylvan*#REF!+gnome*#REF!+icekin*#REF!+nox*#REF!)+#REF!*(elite2_base_dp+woodie*#REF!) + fh_peas_dp*MIN(#REF!,20*#REF!)+kobold*#REF!</f>
        <v>#REF!</v>
      </c>
      <c r="T41" s="237" t="e">
        <f>#REF!+#REF!</f>
        <v>#REF!</v>
      </c>
      <c r="U41" s="238" t="e">
        <f>race_defense +#REF! + ROUND( MIN(gt_bonus*#REF!/#REF!,gt_bonus_cap), 4) + IF(#REF!&gt;0,howling_dp_bonus,IF(#REF!&gt;0,ares_call_bonus))</f>
        <v>#REF!</v>
      </c>
      <c r="V41" s="239" t="e">
        <f>#REF! * (1 +#REF!)</f>
        <v>#REF!</v>
      </c>
      <c r="W41" s="237" t="e">
        <f>#REF! * (1 +#REF!)</f>
        <v>#REF!</v>
      </c>
      <c r="X41" s="237" t="e">
        <f>#REF!</f>
        <v>#REF!</v>
      </c>
      <c r="Y41" s="240"/>
      <c r="Z41" s="135" t="e">
        <f ca="1">IF(#REF!&lt;&gt;"",#REF!,OFFSET(#REF!,-1,0))</f>
        <v>#REF!</v>
      </c>
      <c r="AA41" s="39" t="e">
        <f ca="1">OFFSET(#REF!,-1,0)+OFFSET(#REF!,-1,0) - SUM(#REF!,#REF!) -#REF! + SUM(#REF!) -#REF!</f>
        <v>#REF!</v>
      </c>
      <c r="AB41" s="133"/>
      <c r="AC41" s="132" t="e">
        <f>(#REF!+#REF!)/(#REF!-#REF!*20)</f>
        <v>#REF!</v>
      </c>
      <c r="AD41" s="130"/>
      <c r="AE41" s="236" t="e">
        <f>#REF!</f>
        <v>#REF!</v>
      </c>
      <c r="AF41" s="131" t="e">
        <f>#REF!</f>
        <v>#REF!</v>
      </c>
      <c r="AG41" s="164"/>
      <c r="AH41" s="164"/>
      <c r="AI41" s="164"/>
      <c r="AJ41" s="164"/>
      <c r="AK41" s="164"/>
      <c r="AL41" s="164"/>
      <c r="AM41" s="164"/>
      <c r="AN41" s="164"/>
      <c r="AO41" s="134"/>
      <c r="AP41" s="39" t="e">
        <f>#REF!</f>
        <v>#REF!</v>
      </c>
      <c r="AQ41" s="39" t="e">
        <f>INDEX(#REF!:#REF!,COUNTA(#REF!:#REF!),MATCH(Military!$AQ$2,#REF!,0))</f>
        <v>#REF!</v>
      </c>
      <c r="AR41" s="39" t="e">
        <f>#REF!*#REF!+#REF!*#REF!+#REF!*#REF!+#REF!*#REF!+#REF!*#REF!+#REF!*#REF!+#REF!*#REF!</f>
        <v>#REF!</v>
      </c>
      <c r="AS41" s="39" t="e">
        <f>#REF!*#REF!+#REF!*#REF!+#REF!*#REF!+#REF!*#REF!</f>
        <v>#REF!</v>
      </c>
      <c r="AT41" s="134" t="e">
        <f>#REF!</f>
        <v>#REF!</v>
      </c>
      <c r="AU41" s="143" t="e">
        <f>#REF!</f>
        <v>#REF!</v>
      </c>
      <c r="AV41" s="39" t="e">
        <f>#REF!</f>
        <v>#REF!</v>
      </c>
      <c r="AW41" s="164"/>
      <c r="AX41" s="164"/>
      <c r="AY41" s="164"/>
      <c r="AZ41" s="164"/>
      <c r="BA41" s="164"/>
      <c r="BB41" s="164"/>
      <c r="BC41" s="164"/>
      <c r="BD41" s="164"/>
      <c r="BE41" s="164"/>
      <c r="BF41" s="134"/>
      <c r="BG41" s="132" t="e">
        <f>#REF!/#REF!</f>
        <v>#REF!</v>
      </c>
      <c r="BH41" s="132" t="e">
        <f>#REF!/#REF!</f>
        <v>#REF!</v>
      </c>
      <c r="BI41" s="39" t="e">
        <f>ROUNDUP((1-MIN(#REF!*smithy_bonus,smithy_bonus_cap) + tech_3_5*#REF! + tech_5_3*#REF! + tech_5_5*#REF!)*spec_op_plat,0)</f>
        <v>#REF!</v>
      </c>
      <c r="BJ41" s="39" t="e">
        <f>ROUNDUP(IF(race="Gnome",1,(1-MIN(#REF!*smithy_bonus,smithy_bonus_cap) + tech_3_5*#REF! + tech_5_3*#REF! + tech_5_5*#REF!))*spec_op_ore,0)</f>
        <v>#REF!</v>
      </c>
      <c r="BK41" s="39" t="e">
        <f>ROUNDUP((1-MIN(#REF!*smithy_bonus,smithy_bonus_cap) + tech_3_5*#REF! + tech_5_3*#REF! + tech_5_5*#REF!)*spec_dp_plat,0)</f>
        <v>#REF!</v>
      </c>
      <c r="BL41" s="39" t="e">
        <f>ROUNDUP(IF(race="Gnome",1,(1-MIN(#REF!*smithy_bonus,smithy_bonus_cap) + tech_3_5*#REF! + tech_5_3*#REF! + tech_5_5*#REF!))*spec_dp_ore,0)</f>
        <v>#REF!</v>
      </c>
      <c r="BM41" s="39" t="e">
        <f>ROUNDUP((1-MIN(#REF!*smithy_bonus,smithy_bonus_cap) + tech_3_5*#REF! + tech_5_3*#REF! + tech_5_5*#REF!)*elite1_plat,0)</f>
        <v>#REF!</v>
      </c>
      <c r="BN41" s="39" t="e">
        <f>ROUNDUP(IF(race="Gnome",1,(1-MIN(#REF!*smithy_bonus,smithy_bonus_cap) + tech_3_5*#REF! + tech_5_3*#REF! + tech_5_5*#REF!))*elite1_ore,0)</f>
        <v>#REF!</v>
      </c>
      <c r="BO41" s="39" t="e">
        <f>ROUNDUP((1-MIN(#REF!*smithy_bonus,smithy_bonus_cap) + tech_3_5*#REF! + tech_5_3*#REF! + tech_5_5*#REF!)*elite2_plat,0)</f>
        <v>#REF!</v>
      </c>
      <c r="BP41" s="39" t="e">
        <f>ROUNDUP(IF(race="Gnome",1,(1-MIN(#REF!*smithy_bonus,smithy_bonus_cap) + tech_3_5*#REF! + tech_5_3*#REF! + tech_5_5*#REF!))*elite2_ore,0)</f>
        <v>#REF!</v>
      </c>
      <c r="BQ41" s="39" t="e">
        <f>ROUNDUP((1-MIN(ROUND(fh_spy_cost_red*#REF!,4),fh_spy_cost_cap)+ tech_1_9*#REF! + tech_9_1*#REF!)*spy_plat,0)</f>
        <v>#REF!</v>
      </c>
      <c r="BR41" s="39" t="e">
        <f>ROUNDUP((1-MIN(ROUND(fh_spy_cost_red*#REF!,4),fh_spy_cost_cap)+ tech_1_9*#REF! + tech_9_1*#REF!)*archspy_plat,0)</f>
        <v>#REF!</v>
      </c>
      <c r="BS41" s="39" t="e">
        <f>ROUNDUP((1-MIN(ROUND(wg_wiz_cost_bonus*#REF!,4),wg_wiz_cost_cap) + tech_1_9_2*#REF! + tech_9_1_2*#REF!)*wizard_plat,0)</f>
        <v>#REF!</v>
      </c>
      <c r="BT41" s="39" t="e">
        <f>ROUNDUP((1-MIN(ROUND(wg_wiz_cost_bonus*#REF!,4),wg_wiz_cost_cap) + tech_1_9_2*#REF! + tech_9_1_2*#REF!)*archmage_plat,0)</f>
        <v>#REF!</v>
      </c>
      <c r="BU41" s="134"/>
      <c r="BV41" s="132" t="e">
        <f>#REF!/#REF!</f>
        <v>#REF!</v>
      </c>
      <c r="BW41" s="132" t="e">
        <f>#REF!</f>
        <v>#REF!</v>
      </c>
      <c r="BX41" s="241" t="e">
        <f>IF(mystic_cap="none",#REF!/mystic_bonus,MIN(mystic_cap,#REF!/mystic_bonus))</f>
        <v>#REF!</v>
      </c>
      <c r="BY41" s="241" t="e">
        <f>IF(druid_op_cap="none",#REF!/druid_op_bonus,MIN(druid_op_cap,#REF!/druid_op_bonus))</f>
        <v>#REF!</v>
      </c>
      <c r="BZ41" s="241" t="e">
        <f>IF(druid_dp_cap="none",#REF!/druid_dp_bonus,MIN(druid_dp_cap,#REF!/druid_dp_bonus))</f>
        <v>#REF!</v>
      </c>
      <c r="CA41" s="241" t="e">
        <f>MIN(dryad_cap,#REF!/dryad_bonus)</f>
        <v>#REF!</v>
      </c>
      <c r="CB41" s="241" t="e">
        <f>MIN(rocka_cap,#REF!/rocka_bonus)</f>
        <v>#REF!</v>
      </c>
      <c r="CC41" s="241" t="e">
        <f>MIN(adept_op_cap,#REF!/adept_op_bonus)</f>
        <v>#REF!</v>
      </c>
      <c r="CD41" s="241" t="e">
        <f>MIN(adept_dp_cap,#REF!/adept_dp_bonus)</f>
        <v>#REF!</v>
      </c>
      <c r="CE41" s="39" t="e">
        <f>MIN(#REF!,#REF!)*2</f>
        <v>#REF!</v>
      </c>
      <c r="CF41" s="39" t="e">
        <f>MIN(#REF!,#REF!)*2</f>
        <v>#REF!</v>
      </c>
      <c r="CG41" s="241" t="e">
        <f>MIN(frost_mage_cap,#REF!/frost_mage_bonus)</f>
        <v>#REF!</v>
      </c>
      <c r="CH41" s="3" t="e">
        <f>MIN(ice_elem_cap,#REF!*ice_elem_bonus)</f>
        <v>#REF!</v>
      </c>
      <c r="CI41" s="241">
        <f t="shared" si="2"/>
        <v>0.83333333333333337</v>
      </c>
      <c r="CJ41" s="241" t="e">
        <f>MIN(nox_nightshade_cap,#REF!/#REF!/nox_nightshade_swamp_bonus)</f>
        <v>#REF!</v>
      </c>
      <c r="CK41" s="242"/>
      <c r="CL41" s="242"/>
      <c r="CM41" s="242"/>
      <c r="CN41" s="241" t="e">
        <f>MIN(6,#REF!+Races!$F$19)*1.8 +  IF(#REF!+Races!$F$19&gt;6,(#REF!+Races!$F$19-6)*0.2,0) - Races!$I$19</f>
        <v>#REF!</v>
      </c>
      <c r="CO41" s="241" t="e">
        <f>1.8 * MIN(MAX(#REF!+Races!$E$20,#REF!+Races!$F$20),6)  +  0.45 * MIN(MIN(#REF!+Races!$E$20,#REF!+Races!$F$20),6)  +  0.2 * ( MAX(#REF!+Races!$E$20-6,0) + MAX(#REF!+Races!$F$20-6,0) )  -  Races!$I$20</f>
        <v>#REF!</v>
      </c>
      <c r="CP41" s="39" t="e">
        <f>#REF!*#REF!+#REF!*#REF!</f>
        <v>#REF!</v>
      </c>
      <c r="CQ41" s="145" t="e">
        <f>MIN(6,#REF!+Races!$F$35)*1.8 +  IF(#REF!+Races!$F$35&gt;6,(#REF!+Races!$F$35-6)*0.2,0) - Races!$I$19</f>
        <v>#REF!</v>
      </c>
      <c r="CR41" s="39" t="e">
        <f>sylvan*(#REF!*#REF!)</f>
        <v>#REF!</v>
      </c>
      <c r="CS41" s="145" t="e">
        <f>1.8 * MIN(MAX(Races!$E$27,#REF!+Races!$F$27),6)  +  0.45 * MIN(MIN(Races!$E$27,#REF!+Races!$F$27),6)  +  0.2 * ( MAX(Races!$E$27-6,0) + MAX(#REF!+Races!$F$27-6,0) )  -  Races!$I$20</f>
        <v>#REF!</v>
      </c>
      <c r="CT41" s="39" t="e">
        <f>gnome*(#REF!*#REF!)</f>
        <v>#REF!</v>
      </c>
      <c r="CU41" s="145" t="e">
        <f>1.8 * MIN(MAX(#REF!+Races!$E$47,#REF!+Races!$F$47),6)  +  0.45 * MIN(MIN(#REF!+Races!$E$47,#REF!+Races!$F$47),6)  +  0.2 * ( MAX(#REF!+Races!$E$47-6,0) + MAX(#REF!+Races!$F$47-6,0) )  -  Races!$I$47</f>
        <v>#REF!</v>
      </c>
      <c r="CV41" s="39" t="e">
        <f>dark_elf*(#REF!*#REF!)</f>
        <v>#REF!</v>
      </c>
      <c r="CW41" s="145" t="e">
        <f>1.8 * MIN(MAX(#REF!+Races!$F$71,Races!$E$71),6)  +  0.45 * MIN(MIN(#REF!+Races!$F$71,Races!$E$71),6)  +  0.2 * ( MAX(#REF!+Races!$F$71-6,0) + MAX(Races!$E$71-6,0) )  -  Races!$I$71</f>
        <v>#REF!</v>
      </c>
      <c r="CX41" s="145" t="e">
        <f>1.8 * MIN(MAX(#REF!+Races!$E$71,Races!$F$71),6)  +  0.45 * MIN(MIN(#REF!+Races!$E$71,Races!$F$71),6)  +  0.2 * ( MAX(#REF!+Races!$E$71-6,0) + MAX(Races!$F$71-6,0) )  -  Races!$I$71</f>
        <v>#REF!</v>
      </c>
      <c r="CY41" s="39" t="e">
        <f>#REF!*#REF!+#REF!*#REF!</f>
        <v>#REF!</v>
      </c>
      <c r="CZ41" s="243"/>
      <c r="DA41" s="135" t="e">
        <f>MIN(SUM(#REF!)/#REF!/favorable_terrain_bonus/100,favorable_terrain_max)</f>
        <v>#REF!</v>
      </c>
      <c r="DB41" s="243"/>
      <c r="DC41"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41" s="134"/>
      <c r="DE41" s="244" t="e">
        <f>(#REF!+2*#REF!)/#REF!</f>
        <v>#REF!</v>
      </c>
      <c r="DF41" s="244" t="e">
        <f>#REF!*(1+race_wizard_strength+IF(#REF!&gt;72,tech_magical_weaponry_wiz*#REF!,0))</f>
        <v>#REF!</v>
      </c>
    </row>
    <row r="42" spans="1:110" x14ac:dyDescent="0.25">
      <c r="A42" s="130" t="e">
        <f>#REF!</f>
        <v>#REF!</v>
      </c>
      <c r="B42" s="236" t="e">
        <f ca="1">SUM(#REF!)+SUM(OFFSET(#REF!,-8,0):#REF!) + SUM(OFFSET(#REF!,-11,0):#REF!) +#REF!</f>
        <v>#REF!</v>
      </c>
      <c r="C42" s="132" t="e">
        <f>#REF!</f>
        <v>#REF!</v>
      </c>
      <c r="D42" s="134"/>
      <c r="E42" s="3" t="e">
        <f ca="1">OFFSET(#REF!,-1,0) + OFFSET(#REF!,-9,0) -#REF!</f>
        <v>#REF!</v>
      </c>
      <c r="F42" s="3" t="e">
        <f ca="1">OFFSET(#REF!,-1,0) + OFFSET(#REF!,-9,0)-#REF!</f>
        <v>#REF!</v>
      </c>
      <c r="G42" s="3" t="e">
        <f ca="1">OFFSET(#REF!,-1,0) + OFFSET(#REF!,-12,0)-#REF!</f>
        <v>#REF!</v>
      </c>
      <c r="H42" s="3" t="e">
        <f ca="1">OFFSET(#REF!,-1,0) + OFFSET(#REF!,-12,0)-#REF!</f>
        <v>#REF!</v>
      </c>
      <c r="I42" s="3" t="e">
        <f ca="1">OFFSET(#REF!,-1,0) + OFFSET(#REF!,-12,0) -#REF!-#REF!</f>
        <v>#REF!</v>
      </c>
      <c r="J42" s="3" t="e">
        <f ca="1">OFFSET(#REF!,-1,0) + OFFSET(#REF!,-12,0) -#REF!</f>
        <v>#REF!</v>
      </c>
      <c r="K42" s="3" t="e">
        <f ca="1">OFFSET(#REF!,-1,0) + OFFSET(#REF!,-12,0) -#REF!-#REF!</f>
        <v>#REF!</v>
      </c>
      <c r="L42" s="3" t="e">
        <f ca="1">OFFSET(#REF!,-1,0) + OFFSET(#REF!,-12,0) -#REF!</f>
        <v>#REF!</v>
      </c>
      <c r="M42" s="134"/>
      <c r="N42" s="39" t="e">
        <f>#REF!</f>
        <v>#REF!</v>
      </c>
      <c r="O42" s="134"/>
      <c r="P42" s="237" t="e">
        <f>#REF!*spec_op+#REF!*(elite1_base_op)+#REF!*(elite2_base_op+dark_elf*#REF!+icekin*#REF!+woodie*#REF!+orc*#REF!)+kobold*#REF!</f>
        <v>#REF!</v>
      </c>
      <c r="Q42" s="132" t="e">
        <f>race_offense+#REF!+ROUND(MIN(gn_bonus*#REF!/#REF!,gn_bonus_cap),4)+MAX(IF(#REF!&gt;0,warsong_bonus),IF(#REF!&gt;0,howling_op_bonus),IF(#REF!&gt;0,nightfall_bonus),IF(#REF!&gt;0,#REF!)) +#REF!/ 100*prestige_offense_bonus + tech_5_4*#REF! + tech_7_4*#REF!</f>
        <v>#REF!</v>
      </c>
      <c r="R42" s="237" t="e">
        <f>#REF!*(1+#REF!)</f>
        <v>#REF!</v>
      </c>
      <c r="S42" s="237" t="e">
        <f>#REF!*spec_dp+#REF!*(elite1_base_dp+woodie*#REF!+sylvan*#REF!+gnome*#REF!+icekin*#REF!+nox*#REF!)+#REF!*(elite2_base_dp+woodie*#REF!) + fh_peas_dp*MIN(#REF!,20*#REF!)+kobold*#REF!</f>
        <v>#REF!</v>
      </c>
      <c r="T42" s="237" t="e">
        <f>#REF!+#REF!</f>
        <v>#REF!</v>
      </c>
      <c r="U42" s="238" t="e">
        <f>race_defense +#REF! + ROUND( MIN(gt_bonus*#REF!/#REF!,gt_bonus_cap), 4) + IF(#REF!&gt;0,howling_dp_bonus,IF(#REF!&gt;0,ares_call_bonus))</f>
        <v>#REF!</v>
      </c>
      <c r="V42" s="239" t="e">
        <f>#REF! * (1 +#REF!)</f>
        <v>#REF!</v>
      </c>
      <c r="W42" s="237" t="e">
        <f>#REF! * (1 +#REF!)</f>
        <v>#REF!</v>
      </c>
      <c r="X42" s="237" t="e">
        <f>#REF!</f>
        <v>#REF!</v>
      </c>
      <c r="Y42" s="240"/>
      <c r="Z42" s="135" t="e">
        <f ca="1">IF(#REF!&lt;&gt;"",#REF!,OFFSET(#REF!,-1,0))</f>
        <v>#REF!</v>
      </c>
      <c r="AA42" s="39" t="e">
        <f ca="1">OFFSET(#REF!,-1,0)+OFFSET(#REF!,-1,0) - SUM(#REF!,#REF!) -#REF! + SUM(#REF!) -#REF!</f>
        <v>#REF!</v>
      </c>
      <c r="AB42" s="133"/>
      <c r="AC42" s="132" t="e">
        <f>(#REF!+#REF!)/(#REF!-#REF!*20)</f>
        <v>#REF!</v>
      </c>
      <c r="AD42" s="130"/>
      <c r="AE42" s="236" t="e">
        <f>#REF!</f>
        <v>#REF!</v>
      </c>
      <c r="AF42" s="131" t="e">
        <f>#REF!</f>
        <v>#REF!</v>
      </c>
      <c r="AG42" s="164"/>
      <c r="AH42" s="164"/>
      <c r="AI42" s="164"/>
      <c r="AJ42" s="164"/>
      <c r="AK42" s="164"/>
      <c r="AL42" s="164"/>
      <c r="AM42" s="164"/>
      <c r="AN42" s="164"/>
      <c r="AO42" s="134"/>
      <c r="AP42" s="39" t="e">
        <f>#REF!</f>
        <v>#REF!</v>
      </c>
      <c r="AQ42" s="39" t="e">
        <f>INDEX(#REF!:#REF!,COUNTA(#REF!:#REF!),MATCH(Military!$AQ$2,#REF!,0))</f>
        <v>#REF!</v>
      </c>
      <c r="AR42" s="39" t="e">
        <f>#REF!*#REF!+#REF!*#REF!+#REF!*#REF!+#REF!*#REF!+#REF!*#REF!+#REF!*#REF!+#REF!*#REF!</f>
        <v>#REF!</v>
      </c>
      <c r="AS42" s="39" t="e">
        <f>#REF!*#REF!+#REF!*#REF!+#REF!*#REF!+#REF!*#REF!</f>
        <v>#REF!</v>
      </c>
      <c r="AT42" s="134" t="e">
        <f>#REF!</f>
        <v>#REF!</v>
      </c>
      <c r="AU42" s="143" t="e">
        <f>#REF!</f>
        <v>#REF!</v>
      </c>
      <c r="AV42" s="39" t="e">
        <f>#REF!</f>
        <v>#REF!</v>
      </c>
      <c r="AW42" s="164"/>
      <c r="AX42" s="164"/>
      <c r="AY42" s="164"/>
      <c r="AZ42" s="164"/>
      <c r="BA42" s="164"/>
      <c r="BB42" s="164"/>
      <c r="BC42" s="164"/>
      <c r="BD42" s="164"/>
      <c r="BE42" s="164"/>
      <c r="BF42" s="134"/>
      <c r="BG42" s="132" t="e">
        <f>#REF!/#REF!</f>
        <v>#REF!</v>
      </c>
      <c r="BH42" s="132" t="e">
        <f>#REF!/#REF!</f>
        <v>#REF!</v>
      </c>
      <c r="BI42" s="39" t="e">
        <f>ROUNDUP((1-MIN(#REF!*smithy_bonus,smithy_bonus_cap) + tech_3_5*#REF! + tech_5_3*#REF! + tech_5_5*#REF!)*spec_op_plat,0)</f>
        <v>#REF!</v>
      </c>
      <c r="BJ42" s="39" t="e">
        <f>ROUNDUP(IF(race="Gnome",1,(1-MIN(#REF!*smithy_bonus,smithy_bonus_cap) + tech_3_5*#REF! + tech_5_3*#REF! + tech_5_5*#REF!))*spec_op_ore,0)</f>
        <v>#REF!</v>
      </c>
      <c r="BK42" s="39" t="e">
        <f>ROUNDUP((1-MIN(#REF!*smithy_bonus,smithy_bonus_cap) + tech_3_5*#REF! + tech_5_3*#REF! + tech_5_5*#REF!)*spec_dp_plat,0)</f>
        <v>#REF!</v>
      </c>
      <c r="BL42" s="39" t="e">
        <f>ROUNDUP(IF(race="Gnome",1,(1-MIN(#REF!*smithy_bonus,smithy_bonus_cap) + tech_3_5*#REF! + tech_5_3*#REF! + tech_5_5*#REF!))*spec_dp_ore,0)</f>
        <v>#REF!</v>
      </c>
      <c r="BM42" s="39" t="e">
        <f>ROUNDUP((1-MIN(#REF!*smithy_bonus,smithy_bonus_cap) + tech_3_5*#REF! + tech_5_3*#REF! + tech_5_5*#REF!)*elite1_plat,0)</f>
        <v>#REF!</v>
      </c>
      <c r="BN42" s="39" t="e">
        <f>ROUNDUP(IF(race="Gnome",1,(1-MIN(#REF!*smithy_bonus,smithy_bonus_cap) + tech_3_5*#REF! + tech_5_3*#REF! + tech_5_5*#REF!))*elite1_ore,0)</f>
        <v>#REF!</v>
      </c>
      <c r="BO42" s="39" t="e">
        <f>ROUNDUP((1-MIN(#REF!*smithy_bonus,smithy_bonus_cap) + tech_3_5*#REF! + tech_5_3*#REF! + tech_5_5*#REF!)*elite2_plat,0)</f>
        <v>#REF!</v>
      </c>
      <c r="BP42" s="39" t="e">
        <f>ROUNDUP(IF(race="Gnome",1,(1-MIN(#REF!*smithy_bonus,smithy_bonus_cap) + tech_3_5*#REF! + tech_5_3*#REF! + tech_5_5*#REF!))*elite2_ore,0)</f>
        <v>#REF!</v>
      </c>
      <c r="BQ42" s="39" t="e">
        <f>ROUNDUP((1-MIN(ROUND(fh_spy_cost_red*#REF!,4),fh_spy_cost_cap)+ tech_1_9*#REF! + tech_9_1*#REF!)*spy_plat,0)</f>
        <v>#REF!</v>
      </c>
      <c r="BR42" s="39" t="e">
        <f>ROUNDUP((1-MIN(ROUND(fh_spy_cost_red*#REF!,4),fh_spy_cost_cap)+ tech_1_9*#REF! + tech_9_1*#REF!)*archspy_plat,0)</f>
        <v>#REF!</v>
      </c>
      <c r="BS42" s="39" t="e">
        <f>ROUNDUP((1-MIN(ROUND(wg_wiz_cost_bonus*#REF!,4),wg_wiz_cost_cap) + tech_1_9_2*#REF! + tech_9_1_2*#REF!)*wizard_plat,0)</f>
        <v>#REF!</v>
      </c>
      <c r="BT42" s="39" t="e">
        <f>ROUNDUP((1-MIN(ROUND(wg_wiz_cost_bonus*#REF!,4),wg_wiz_cost_cap) + tech_1_9_2*#REF! + tech_9_1_2*#REF!)*archmage_plat,0)</f>
        <v>#REF!</v>
      </c>
      <c r="BU42" s="134"/>
      <c r="BV42" s="132" t="e">
        <f>#REF!/#REF!</f>
        <v>#REF!</v>
      </c>
      <c r="BW42" s="132" t="e">
        <f>#REF!</f>
        <v>#REF!</v>
      </c>
      <c r="BX42" s="241" t="e">
        <f>IF(mystic_cap="none",#REF!/mystic_bonus,MIN(mystic_cap,#REF!/mystic_bonus))</f>
        <v>#REF!</v>
      </c>
      <c r="BY42" s="241" t="e">
        <f>IF(druid_op_cap="none",#REF!/druid_op_bonus,MIN(druid_op_cap,#REF!/druid_op_bonus))</f>
        <v>#REF!</v>
      </c>
      <c r="BZ42" s="241" t="e">
        <f>IF(druid_dp_cap="none",#REF!/druid_dp_bonus,MIN(druid_dp_cap,#REF!/druid_dp_bonus))</f>
        <v>#REF!</v>
      </c>
      <c r="CA42" s="241" t="e">
        <f>MIN(dryad_cap,#REF!/dryad_bonus)</f>
        <v>#REF!</v>
      </c>
      <c r="CB42" s="241" t="e">
        <f>MIN(rocka_cap,#REF!/rocka_bonus)</f>
        <v>#REF!</v>
      </c>
      <c r="CC42" s="241" t="e">
        <f>MIN(adept_op_cap,#REF!/adept_op_bonus)</f>
        <v>#REF!</v>
      </c>
      <c r="CD42" s="241" t="e">
        <f>MIN(adept_dp_cap,#REF!/adept_dp_bonus)</f>
        <v>#REF!</v>
      </c>
      <c r="CE42" s="39" t="e">
        <f>MIN(#REF!,#REF!)*2</f>
        <v>#REF!</v>
      </c>
      <c r="CF42" s="39" t="e">
        <f>MIN(#REF!,#REF!)*2</f>
        <v>#REF!</v>
      </c>
      <c r="CG42" s="241" t="e">
        <f>MIN(frost_mage_cap,#REF!/frost_mage_bonus)</f>
        <v>#REF!</v>
      </c>
      <c r="CH42" s="3" t="e">
        <f>MIN(ice_elem_cap,#REF!*ice_elem_bonus)</f>
        <v>#REF!</v>
      </c>
      <c r="CI42" s="241">
        <f t="shared" si="2"/>
        <v>0.83333333333333337</v>
      </c>
      <c r="CJ42" s="241" t="e">
        <f>MIN(nox_nightshade_cap,#REF!/#REF!/nox_nightshade_swamp_bonus)</f>
        <v>#REF!</v>
      </c>
      <c r="CK42" s="242"/>
      <c r="CL42" s="242"/>
      <c r="CM42" s="242"/>
      <c r="CN42" s="241" t="e">
        <f>MIN(6,#REF!+Races!$F$19)*1.8 +  IF(#REF!+Races!$F$19&gt;6,(#REF!+Races!$F$19-6)*0.2,0) - Races!$I$19</f>
        <v>#REF!</v>
      </c>
      <c r="CO42" s="241" t="e">
        <f>1.8 * MIN(MAX(#REF!+Races!$E$20,#REF!+Races!$F$20),6)  +  0.45 * MIN(MIN(#REF!+Races!$E$20,#REF!+Races!$F$20),6)  +  0.2 * ( MAX(#REF!+Races!$E$20-6,0) + MAX(#REF!+Races!$F$20-6,0) )  -  Races!$I$20</f>
        <v>#REF!</v>
      </c>
      <c r="CP42" s="39" t="e">
        <f>#REF!*#REF!+#REF!*#REF!</f>
        <v>#REF!</v>
      </c>
      <c r="CQ42" s="145" t="e">
        <f>MIN(6,#REF!+Races!$F$35)*1.8 +  IF(#REF!+Races!$F$35&gt;6,(#REF!+Races!$F$35-6)*0.2,0) - Races!$I$19</f>
        <v>#REF!</v>
      </c>
      <c r="CR42" s="39" t="e">
        <f>sylvan*(#REF!*#REF!)</f>
        <v>#REF!</v>
      </c>
      <c r="CS42" s="145" t="e">
        <f>1.8 * MIN(MAX(Races!$E$27,#REF!+Races!$F$27),6)  +  0.45 * MIN(MIN(Races!$E$27,#REF!+Races!$F$27),6)  +  0.2 * ( MAX(Races!$E$27-6,0) + MAX(#REF!+Races!$F$27-6,0) )  -  Races!$I$20</f>
        <v>#REF!</v>
      </c>
      <c r="CT42" s="39" t="e">
        <f>gnome*(#REF!*#REF!)</f>
        <v>#REF!</v>
      </c>
      <c r="CU42" s="145" t="e">
        <f>1.8 * MIN(MAX(#REF!+Races!$E$47,#REF!+Races!$F$47),6)  +  0.45 * MIN(MIN(#REF!+Races!$E$47,#REF!+Races!$F$47),6)  +  0.2 * ( MAX(#REF!+Races!$E$47-6,0) + MAX(#REF!+Races!$F$47-6,0) )  -  Races!$I$47</f>
        <v>#REF!</v>
      </c>
      <c r="CV42" s="39" t="e">
        <f>dark_elf*(#REF!*#REF!)</f>
        <v>#REF!</v>
      </c>
      <c r="CW42" s="145" t="e">
        <f>1.8 * MIN(MAX(#REF!+Races!$F$71,Races!$E$71),6)  +  0.45 * MIN(MIN(#REF!+Races!$F$71,Races!$E$71),6)  +  0.2 * ( MAX(#REF!+Races!$F$71-6,0) + MAX(Races!$E$71-6,0) )  -  Races!$I$71</f>
        <v>#REF!</v>
      </c>
      <c r="CX42" s="145" t="e">
        <f>1.8 * MIN(MAX(#REF!+Races!$E$71,Races!$F$71),6)  +  0.45 * MIN(MIN(#REF!+Races!$E$71,Races!$F$71),6)  +  0.2 * ( MAX(#REF!+Races!$E$71-6,0) + MAX(Races!$F$71-6,0) )  -  Races!$I$71</f>
        <v>#REF!</v>
      </c>
      <c r="CY42" s="39" t="e">
        <f>#REF!*#REF!+#REF!*#REF!</f>
        <v>#REF!</v>
      </c>
      <c r="CZ42" s="243"/>
      <c r="DA42" s="135" t="e">
        <f>MIN(SUM(#REF!)/#REF!/favorable_terrain_bonus/100,favorable_terrain_max)</f>
        <v>#REF!</v>
      </c>
      <c r="DB42" s="243"/>
      <c r="DC42"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42" s="134"/>
      <c r="DE42" s="244" t="e">
        <f>(#REF!+2*#REF!)/#REF!</f>
        <v>#REF!</v>
      </c>
      <c r="DF42" s="244" t="e">
        <f>#REF!*(1+race_wizard_strength+IF(#REF!&gt;72,tech_magical_weaponry_wiz*#REF!,0))</f>
        <v>#REF!</v>
      </c>
    </row>
    <row r="43" spans="1:110" x14ac:dyDescent="0.25">
      <c r="A43" s="130" t="e">
        <f>#REF!</f>
        <v>#REF!</v>
      </c>
      <c r="B43" s="236" t="e">
        <f ca="1">SUM(#REF!)+SUM(OFFSET(#REF!,-8,0):#REF!) + SUM(OFFSET(#REF!,-11,0):#REF!) +#REF!</f>
        <v>#REF!</v>
      </c>
      <c r="C43" s="132" t="e">
        <f>#REF!</f>
        <v>#REF!</v>
      </c>
      <c r="D43" s="134"/>
      <c r="E43" s="3" t="e">
        <f ca="1">OFFSET(#REF!,-1,0) + OFFSET(#REF!,-9,0) -#REF!</f>
        <v>#REF!</v>
      </c>
      <c r="F43" s="3" t="e">
        <f ca="1">OFFSET(#REF!,-1,0) + OFFSET(#REF!,-9,0)-#REF!</f>
        <v>#REF!</v>
      </c>
      <c r="G43" s="3" t="e">
        <f ca="1">OFFSET(#REF!,-1,0) + OFFSET(#REF!,-12,0)-#REF!</f>
        <v>#REF!</v>
      </c>
      <c r="H43" s="3" t="e">
        <f ca="1">OFFSET(#REF!,-1,0) + OFFSET(#REF!,-12,0)-#REF!</f>
        <v>#REF!</v>
      </c>
      <c r="I43" s="3" t="e">
        <f ca="1">OFFSET(#REF!,-1,0) + OFFSET(#REF!,-12,0) -#REF!-#REF!</f>
        <v>#REF!</v>
      </c>
      <c r="J43" s="3" t="e">
        <f ca="1">OFFSET(#REF!,-1,0) + OFFSET(#REF!,-12,0) -#REF!</f>
        <v>#REF!</v>
      </c>
      <c r="K43" s="3" t="e">
        <f ca="1">OFFSET(#REF!,-1,0) + OFFSET(#REF!,-12,0) -#REF!-#REF!</f>
        <v>#REF!</v>
      </c>
      <c r="L43" s="3" t="e">
        <f ca="1">OFFSET(#REF!,-1,0) + OFFSET(#REF!,-12,0) -#REF!</f>
        <v>#REF!</v>
      </c>
      <c r="M43" s="134"/>
      <c r="N43" s="39" t="e">
        <f>#REF!</f>
        <v>#REF!</v>
      </c>
      <c r="O43" s="134"/>
      <c r="P43" s="237" t="e">
        <f>#REF!*spec_op+#REF!*(elite1_base_op)+#REF!*(elite2_base_op+dark_elf*#REF!+icekin*#REF!+woodie*#REF!+orc*#REF!)+kobold*#REF!</f>
        <v>#REF!</v>
      </c>
      <c r="Q43" s="132" t="e">
        <f>race_offense+#REF!+ROUND(MIN(gn_bonus*#REF!/#REF!,gn_bonus_cap),4)+MAX(IF(#REF!&gt;0,warsong_bonus),IF(#REF!&gt;0,howling_op_bonus),IF(#REF!&gt;0,nightfall_bonus),IF(#REF!&gt;0,#REF!)) +#REF!/ 100*prestige_offense_bonus + tech_5_4*#REF! + tech_7_4*#REF!</f>
        <v>#REF!</v>
      </c>
      <c r="R43" s="237" t="e">
        <f>#REF!*(1+#REF!)</f>
        <v>#REF!</v>
      </c>
      <c r="S43" s="237" t="e">
        <f>#REF!*spec_dp+#REF!*(elite1_base_dp+woodie*#REF!+sylvan*#REF!+gnome*#REF!+icekin*#REF!+nox*#REF!)+#REF!*(elite2_base_dp+woodie*#REF!) + fh_peas_dp*MIN(#REF!,20*#REF!)+kobold*#REF!</f>
        <v>#REF!</v>
      </c>
      <c r="T43" s="237" t="e">
        <f>#REF!+#REF!</f>
        <v>#REF!</v>
      </c>
      <c r="U43" s="238" t="e">
        <f>race_defense +#REF! + ROUND( MIN(gt_bonus*#REF!/#REF!,gt_bonus_cap), 4) + IF(#REF!&gt;0,howling_dp_bonus,IF(#REF!&gt;0,ares_call_bonus))</f>
        <v>#REF!</v>
      </c>
      <c r="V43" s="239" t="e">
        <f>#REF! * (1 +#REF!)</f>
        <v>#REF!</v>
      </c>
      <c r="W43" s="237" t="e">
        <f>#REF! * (1 +#REF!)</f>
        <v>#REF!</v>
      </c>
      <c r="X43" s="237" t="e">
        <f>#REF!</f>
        <v>#REF!</v>
      </c>
      <c r="Y43" s="240"/>
      <c r="Z43" s="135" t="e">
        <f ca="1">IF(#REF!&lt;&gt;"",#REF!,OFFSET(#REF!,-1,0))</f>
        <v>#REF!</v>
      </c>
      <c r="AA43" s="39" t="e">
        <f ca="1">OFFSET(#REF!,-1,0)+OFFSET(#REF!,-1,0) - SUM(#REF!,#REF!) -#REF! + SUM(#REF!) -#REF!</f>
        <v>#REF!</v>
      </c>
      <c r="AB43" s="133"/>
      <c r="AC43" s="132" t="e">
        <f>(#REF!+#REF!)/(#REF!-#REF!*20)</f>
        <v>#REF!</v>
      </c>
      <c r="AD43" s="130"/>
      <c r="AE43" s="236" t="e">
        <f>#REF!</f>
        <v>#REF!</v>
      </c>
      <c r="AF43" s="131" t="e">
        <f>#REF!</f>
        <v>#REF!</v>
      </c>
      <c r="AG43" s="164"/>
      <c r="AH43" s="164"/>
      <c r="AI43" s="164"/>
      <c r="AJ43" s="164"/>
      <c r="AK43" s="164"/>
      <c r="AL43" s="164"/>
      <c r="AM43" s="164"/>
      <c r="AN43" s="164"/>
      <c r="AO43" s="134"/>
      <c r="AP43" s="39" t="e">
        <f>#REF!</f>
        <v>#REF!</v>
      </c>
      <c r="AQ43" s="39" t="e">
        <f>INDEX(#REF!:#REF!,COUNTA(#REF!:#REF!),MATCH(Military!$AQ$2,#REF!,0))</f>
        <v>#REF!</v>
      </c>
      <c r="AR43" s="39" t="e">
        <f>#REF!*#REF!+#REF!*#REF!+#REF!*#REF!+#REF!*#REF!+#REF!*#REF!+#REF!*#REF!+#REF!*#REF!</f>
        <v>#REF!</v>
      </c>
      <c r="AS43" s="39" t="e">
        <f>#REF!*#REF!+#REF!*#REF!+#REF!*#REF!+#REF!*#REF!</f>
        <v>#REF!</v>
      </c>
      <c r="AT43" s="134" t="e">
        <f>#REF!</f>
        <v>#REF!</v>
      </c>
      <c r="AU43" s="143" t="e">
        <f>#REF!</f>
        <v>#REF!</v>
      </c>
      <c r="AV43" s="39" t="e">
        <f>#REF!</f>
        <v>#REF!</v>
      </c>
      <c r="AW43" s="164"/>
      <c r="AX43" s="164"/>
      <c r="AY43" s="164"/>
      <c r="AZ43" s="164"/>
      <c r="BA43" s="164"/>
      <c r="BB43" s="164"/>
      <c r="BC43" s="164"/>
      <c r="BD43" s="164"/>
      <c r="BE43" s="164"/>
      <c r="BF43" s="134"/>
      <c r="BG43" s="132" t="e">
        <f>#REF!/#REF!</f>
        <v>#REF!</v>
      </c>
      <c r="BH43" s="132" t="e">
        <f>#REF!/#REF!</f>
        <v>#REF!</v>
      </c>
      <c r="BI43" s="39" t="e">
        <f>ROUNDUP((1-MIN(#REF!*smithy_bonus,smithy_bonus_cap) + tech_3_5*#REF! + tech_5_3*#REF! + tech_5_5*#REF!)*spec_op_plat,0)</f>
        <v>#REF!</v>
      </c>
      <c r="BJ43" s="39" t="e">
        <f>ROUNDUP(IF(race="Gnome",1,(1-MIN(#REF!*smithy_bonus,smithy_bonus_cap) + tech_3_5*#REF! + tech_5_3*#REF! + tech_5_5*#REF!))*spec_op_ore,0)</f>
        <v>#REF!</v>
      </c>
      <c r="BK43" s="39" t="e">
        <f>ROUNDUP((1-MIN(#REF!*smithy_bonus,smithy_bonus_cap) + tech_3_5*#REF! + tech_5_3*#REF! + tech_5_5*#REF!)*spec_dp_plat,0)</f>
        <v>#REF!</v>
      </c>
      <c r="BL43" s="39" t="e">
        <f>ROUNDUP(IF(race="Gnome",1,(1-MIN(#REF!*smithy_bonus,smithy_bonus_cap) + tech_3_5*#REF! + tech_5_3*#REF! + tech_5_5*#REF!))*spec_dp_ore,0)</f>
        <v>#REF!</v>
      </c>
      <c r="BM43" s="39" t="e">
        <f>ROUNDUP((1-MIN(#REF!*smithy_bonus,smithy_bonus_cap) + tech_3_5*#REF! + tech_5_3*#REF! + tech_5_5*#REF!)*elite1_plat,0)</f>
        <v>#REF!</v>
      </c>
      <c r="BN43" s="39" t="e">
        <f>ROUNDUP(IF(race="Gnome",1,(1-MIN(#REF!*smithy_bonus,smithy_bonus_cap) + tech_3_5*#REF! + tech_5_3*#REF! + tech_5_5*#REF!))*elite1_ore,0)</f>
        <v>#REF!</v>
      </c>
      <c r="BO43" s="39" t="e">
        <f>ROUNDUP((1-MIN(#REF!*smithy_bonus,smithy_bonus_cap) + tech_3_5*#REF! + tech_5_3*#REF! + tech_5_5*#REF!)*elite2_plat,0)</f>
        <v>#REF!</v>
      </c>
      <c r="BP43" s="39" t="e">
        <f>ROUNDUP(IF(race="Gnome",1,(1-MIN(#REF!*smithy_bonus,smithy_bonus_cap) + tech_3_5*#REF! + tech_5_3*#REF! + tech_5_5*#REF!))*elite2_ore,0)</f>
        <v>#REF!</v>
      </c>
      <c r="BQ43" s="39" t="e">
        <f>ROUNDUP((1-MIN(ROUND(fh_spy_cost_red*#REF!,4),fh_spy_cost_cap)+ tech_1_9*#REF! + tech_9_1*#REF!)*spy_plat,0)</f>
        <v>#REF!</v>
      </c>
      <c r="BR43" s="39" t="e">
        <f>ROUNDUP((1-MIN(ROUND(fh_spy_cost_red*#REF!,4),fh_spy_cost_cap)+ tech_1_9*#REF! + tech_9_1*#REF!)*archspy_plat,0)</f>
        <v>#REF!</v>
      </c>
      <c r="BS43" s="39" t="e">
        <f>ROUNDUP((1-MIN(ROUND(wg_wiz_cost_bonus*#REF!,4),wg_wiz_cost_cap) + tech_1_9_2*#REF! + tech_9_1_2*#REF!)*wizard_plat,0)</f>
        <v>#REF!</v>
      </c>
      <c r="BT43" s="39" t="e">
        <f>ROUNDUP((1-MIN(ROUND(wg_wiz_cost_bonus*#REF!,4),wg_wiz_cost_cap) + tech_1_9_2*#REF! + tech_9_1_2*#REF!)*archmage_plat,0)</f>
        <v>#REF!</v>
      </c>
      <c r="BU43" s="134"/>
      <c r="BV43" s="132" t="e">
        <f>#REF!/#REF!</f>
        <v>#REF!</v>
      </c>
      <c r="BW43" s="132" t="e">
        <f>#REF!</f>
        <v>#REF!</v>
      </c>
      <c r="BX43" s="241" t="e">
        <f>IF(mystic_cap="none",#REF!/mystic_bonus,MIN(mystic_cap,#REF!/mystic_bonus))</f>
        <v>#REF!</v>
      </c>
      <c r="BY43" s="241" t="e">
        <f>IF(druid_op_cap="none",#REF!/druid_op_bonus,MIN(druid_op_cap,#REF!/druid_op_bonus))</f>
        <v>#REF!</v>
      </c>
      <c r="BZ43" s="241" t="e">
        <f>IF(druid_dp_cap="none",#REF!/druid_dp_bonus,MIN(druid_dp_cap,#REF!/druid_dp_bonus))</f>
        <v>#REF!</v>
      </c>
      <c r="CA43" s="241" t="e">
        <f>MIN(dryad_cap,#REF!/dryad_bonus)</f>
        <v>#REF!</v>
      </c>
      <c r="CB43" s="241" t="e">
        <f>MIN(rocka_cap,#REF!/rocka_bonus)</f>
        <v>#REF!</v>
      </c>
      <c r="CC43" s="241" t="e">
        <f>MIN(adept_op_cap,#REF!/adept_op_bonus)</f>
        <v>#REF!</v>
      </c>
      <c r="CD43" s="241" t="e">
        <f>MIN(adept_dp_cap,#REF!/adept_dp_bonus)</f>
        <v>#REF!</v>
      </c>
      <c r="CE43" s="39" t="e">
        <f>MIN(#REF!,#REF!)*2</f>
        <v>#REF!</v>
      </c>
      <c r="CF43" s="39" t="e">
        <f>MIN(#REF!,#REF!)*2</f>
        <v>#REF!</v>
      </c>
      <c r="CG43" s="241" t="e">
        <f>MIN(frost_mage_cap,#REF!/frost_mage_bonus)</f>
        <v>#REF!</v>
      </c>
      <c r="CH43" s="3" t="e">
        <f>MIN(ice_elem_cap,#REF!*ice_elem_bonus)</f>
        <v>#REF!</v>
      </c>
      <c r="CI43" s="241">
        <f t="shared" si="2"/>
        <v>0.83333333333333337</v>
      </c>
      <c r="CJ43" s="241" t="e">
        <f>MIN(nox_nightshade_cap,#REF!/#REF!/nox_nightshade_swamp_bonus)</f>
        <v>#REF!</v>
      </c>
      <c r="CK43" s="242"/>
      <c r="CL43" s="242"/>
      <c r="CM43" s="242"/>
      <c r="CN43" s="241" t="e">
        <f>MIN(6,#REF!+Races!$F$19)*1.8 +  IF(#REF!+Races!$F$19&gt;6,(#REF!+Races!$F$19-6)*0.2,0) - Races!$I$19</f>
        <v>#REF!</v>
      </c>
      <c r="CO43" s="241" t="e">
        <f>1.8 * MIN(MAX(#REF!+Races!$E$20,#REF!+Races!$F$20),6)  +  0.45 * MIN(MIN(#REF!+Races!$E$20,#REF!+Races!$F$20),6)  +  0.2 * ( MAX(#REF!+Races!$E$20-6,0) + MAX(#REF!+Races!$F$20-6,0) )  -  Races!$I$20</f>
        <v>#REF!</v>
      </c>
      <c r="CP43" s="39" t="e">
        <f>#REF!*#REF!+#REF!*#REF!</f>
        <v>#REF!</v>
      </c>
      <c r="CQ43" s="145" t="e">
        <f>MIN(6,#REF!+Races!$F$35)*1.8 +  IF(#REF!+Races!$F$35&gt;6,(#REF!+Races!$F$35-6)*0.2,0) - Races!$I$19</f>
        <v>#REF!</v>
      </c>
      <c r="CR43" s="39" t="e">
        <f>sylvan*(#REF!*#REF!)</f>
        <v>#REF!</v>
      </c>
      <c r="CS43" s="145" t="e">
        <f>1.8 * MIN(MAX(Races!$E$27,#REF!+Races!$F$27),6)  +  0.45 * MIN(MIN(Races!$E$27,#REF!+Races!$F$27),6)  +  0.2 * ( MAX(Races!$E$27-6,0) + MAX(#REF!+Races!$F$27-6,0) )  -  Races!$I$20</f>
        <v>#REF!</v>
      </c>
      <c r="CT43" s="39" t="e">
        <f>gnome*(#REF!*#REF!)</f>
        <v>#REF!</v>
      </c>
      <c r="CU43" s="145" t="e">
        <f>1.8 * MIN(MAX(#REF!+Races!$E$47,#REF!+Races!$F$47),6)  +  0.45 * MIN(MIN(#REF!+Races!$E$47,#REF!+Races!$F$47),6)  +  0.2 * ( MAX(#REF!+Races!$E$47-6,0) + MAX(#REF!+Races!$F$47-6,0) )  -  Races!$I$47</f>
        <v>#REF!</v>
      </c>
      <c r="CV43" s="39" t="e">
        <f>dark_elf*(#REF!*#REF!)</f>
        <v>#REF!</v>
      </c>
      <c r="CW43" s="145" t="e">
        <f>1.8 * MIN(MAX(#REF!+Races!$F$71,Races!$E$71),6)  +  0.45 * MIN(MIN(#REF!+Races!$F$71,Races!$E$71),6)  +  0.2 * ( MAX(#REF!+Races!$F$71-6,0) + MAX(Races!$E$71-6,0) )  -  Races!$I$71</f>
        <v>#REF!</v>
      </c>
      <c r="CX43" s="145" t="e">
        <f>1.8 * MIN(MAX(#REF!+Races!$E$71,Races!$F$71),6)  +  0.45 * MIN(MIN(#REF!+Races!$E$71,Races!$F$71),6)  +  0.2 * ( MAX(#REF!+Races!$E$71-6,0) + MAX(Races!$F$71-6,0) )  -  Races!$I$71</f>
        <v>#REF!</v>
      </c>
      <c r="CY43" s="39" t="e">
        <f>#REF!*#REF!+#REF!*#REF!</f>
        <v>#REF!</v>
      </c>
      <c r="CZ43" s="243"/>
      <c r="DA43" s="135" t="e">
        <f>MIN(SUM(#REF!)/#REF!/favorable_terrain_bonus/100,favorable_terrain_max)</f>
        <v>#REF!</v>
      </c>
      <c r="DB43" s="243"/>
      <c r="DC43"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43" s="134"/>
      <c r="DE43" s="244" t="e">
        <f>(#REF!+2*#REF!)/#REF!</f>
        <v>#REF!</v>
      </c>
      <c r="DF43" s="244" t="e">
        <f>#REF!*(1+race_wizard_strength+IF(#REF!&gt;72,tech_magical_weaponry_wiz*#REF!,0))</f>
        <v>#REF!</v>
      </c>
    </row>
    <row r="44" spans="1:110" x14ac:dyDescent="0.25">
      <c r="A44" s="130" t="e">
        <f>#REF!</f>
        <v>#REF!</v>
      </c>
      <c r="B44" s="236" t="e">
        <f ca="1">SUM(#REF!)+SUM(OFFSET(#REF!,-8,0):#REF!) + SUM(OFFSET(#REF!,-11,0):#REF!) +#REF!</f>
        <v>#REF!</v>
      </c>
      <c r="C44" s="132" t="e">
        <f>#REF!</f>
        <v>#REF!</v>
      </c>
      <c r="D44" s="134"/>
      <c r="E44" s="3" t="e">
        <f ca="1">OFFSET(#REF!,-1,0) + OFFSET(#REF!,-9,0) -#REF!</f>
        <v>#REF!</v>
      </c>
      <c r="F44" s="3" t="e">
        <f ca="1">OFFSET(#REF!,-1,0) + OFFSET(#REF!,-9,0)-#REF!</f>
        <v>#REF!</v>
      </c>
      <c r="G44" s="3" t="e">
        <f ca="1">OFFSET(#REF!,-1,0) + OFFSET(#REF!,-12,0)-#REF!</f>
        <v>#REF!</v>
      </c>
      <c r="H44" s="3" t="e">
        <f ca="1">OFFSET(#REF!,-1,0) + OFFSET(#REF!,-12,0)-#REF!</f>
        <v>#REF!</v>
      </c>
      <c r="I44" s="3" t="e">
        <f ca="1">OFFSET(#REF!,-1,0) + OFFSET(#REF!,-12,0) -#REF!-#REF!</f>
        <v>#REF!</v>
      </c>
      <c r="J44" s="3" t="e">
        <f ca="1">OFFSET(#REF!,-1,0) + OFFSET(#REF!,-12,0) -#REF!</f>
        <v>#REF!</v>
      </c>
      <c r="K44" s="3" t="e">
        <f ca="1">OFFSET(#REF!,-1,0) + OFFSET(#REF!,-12,0) -#REF!-#REF!</f>
        <v>#REF!</v>
      </c>
      <c r="L44" s="3" t="e">
        <f ca="1">OFFSET(#REF!,-1,0) + OFFSET(#REF!,-12,0) -#REF!</f>
        <v>#REF!</v>
      </c>
      <c r="M44" s="134"/>
      <c r="N44" s="39" t="e">
        <f>#REF!</f>
        <v>#REF!</v>
      </c>
      <c r="O44" s="134"/>
      <c r="P44" s="237" t="e">
        <f>#REF!*spec_op+#REF!*(elite1_base_op)+#REF!*(elite2_base_op+dark_elf*#REF!+icekin*#REF!+woodie*#REF!+orc*#REF!)+kobold*#REF!</f>
        <v>#REF!</v>
      </c>
      <c r="Q44" s="132" t="e">
        <f>race_offense+#REF!+ROUND(MIN(gn_bonus*#REF!/#REF!,gn_bonus_cap),4)+MAX(IF(#REF!&gt;0,warsong_bonus),IF(#REF!&gt;0,howling_op_bonus),IF(#REF!&gt;0,nightfall_bonus),IF(#REF!&gt;0,#REF!)) +#REF!/ 100*prestige_offense_bonus + tech_5_4*#REF! + tech_7_4*#REF!</f>
        <v>#REF!</v>
      </c>
      <c r="R44" s="237" t="e">
        <f>#REF!*(1+#REF!)</f>
        <v>#REF!</v>
      </c>
      <c r="S44" s="237" t="e">
        <f>#REF!*spec_dp+#REF!*(elite1_base_dp+woodie*#REF!+sylvan*#REF!+gnome*#REF!+icekin*#REF!+nox*#REF!)+#REF!*(elite2_base_dp+woodie*#REF!) + fh_peas_dp*MIN(#REF!,20*#REF!)+kobold*#REF!</f>
        <v>#REF!</v>
      </c>
      <c r="T44" s="237" t="e">
        <f>#REF!+#REF!</f>
        <v>#REF!</v>
      </c>
      <c r="U44" s="238" t="e">
        <f>race_defense +#REF! + ROUND( MIN(gt_bonus*#REF!/#REF!,gt_bonus_cap), 4) + IF(#REF!&gt;0,howling_dp_bonus,IF(#REF!&gt;0,ares_call_bonus))</f>
        <v>#REF!</v>
      </c>
      <c r="V44" s="239" t="e">
        <f>#REF! * (1 +#REF!)</f>
        <v>#REF!</v>
      </c>
      <c r="W44" s="237" t="e">
        <f>#REF! * (1 +#REF!)</f>
        <v>#REF!</v>
      </c>
      <c r="X44" s="237" t="e">
        <f>#REF!</f>
        <v>#REF!</v>
      </c>
      <c r="Y44" s="240"/>
      <c r="Z44" s="135" t="e">
        <f ca="1">IF(#REF!&lt;&gt;"",#REF!,OFFSET(#REF!,-1,0))</f>
        <v>#REF!</v>
      </c>
      <c r="AA44" s="39" t="e">
        <f ca="1">OFFSET(#REF!,-1,0)+OFFSET(#REF!,-1,0) - SUM(#REF!,#REF!) -#REF! + SUM(#REF!) -#REF!</f>
        <v>#REF!</v>
      </c>
      <c r="AB44" s="133"/>
      <c r="AC44" s="132" t="e">
        <f>(#REF!+#REF!)/(#REF!-#REF!*20)</f>
        <v>#REF!</v>
      </c>
      <c r="AD44" s="130"/>
      <c r="AE44" s="236" t="e">
        <f>#REF!</f>
        <v>#REF!</v>
      </c>
      <c r="AF44" s="131" t="e">
        <f>#REF!</f>
        <v>#REF!</v>
      </c>
      <c r="AG44" s="164"/>
      <c r="AH44" s="164"/>
      <c r="AI44" s="164"/>
      <c r="AJ44" s="164"/>
      <c r="AK44" s="164"/>
      <c r="AL44" s="164"/>
      <c r="AM44" s="164"/>
      <c r="AN44" s="164"/>
      <c r="AO44" s="134"/>
      <c r="AP44" s="39" t="e">
        <f>#REF!</f>
        <v>#REF!</v>
      </c>
      <c r="AQ44" s="39" t="e">
        <f>INDEX(#REF!:#REF!,COUNTA(#REF!:#REF!),MATCH(Military!$AQ$2,#REF!,0))</f>
        <v>#REF!</v>
      </c>
      <c r="AR44" s="39" t="e">
        <f>#REF!*#REF!+#REF!*#REF!+#REF!*#REF!+#REF!*#REF!+#REF!*#REF!+#REF!*#REF!+#REF!*#REF!</f>
        <v>#REF!</v>
      </c>
      <c r="AS44" s="39" t="e">
        <f>#REF!*#REF!+#REF!*#REF!+#REF!*#REF!+#REF!*#REF!</f>
        <v>#REF!</v>
      </c>
      <c r="AT44" s="134" t="e">
        <f>#REF!</f>
        <v>#REF!</v>
      </c>
      <c r="AU44" s="143" t="e">
        <f>#REF!</f>
        <v>#REF!</v>
      </c>
      <c r="AV44" s="39" t="e">
        <f>#REF!</f>
        <v>#REF!</v>
      </c>
      <c r="AW44" s="164"/>
      <c r="AX44" s="164"/>
      <c r="AY44" s="164"/>
      <c r="AZ44" s="164"/>
      <c r="BA44" s="164"/>
      <c r="BB44" s="164"/>
      <c r="BC44" s="164"/>
      <c r="BD44" s="164"/>
      <c r="BE44" s="164"/>
      <c r="BF44" s="134"/>
      <c r="BG44" s="132" t="e">
        <f>#REF!/#REF!</f>
        <v>#REF!</v>
      </c>
      <c r="BH44" s="132" t="e">
        <f>#REF!/#REF!</f>
        <v>#REF!</v>
      </c>
      <c r="BI44" s="39" t="e">
        <f>ROUNDUP((1-MIN(#REF!*smithy_bonus,smithy_bonus_cap) + tech_3_5*#REF! + tech_5_3*#REF! + tech_5_5*#REF!)*spec_op_plat,0)</f>
        <v>#REF!</v>
      </c>
      <c r="BJ44" s="39" t="e">
        <f>ROUNDUP(IF(race="Gnome",1,(1-MIN(#REF!*smithy_bonus,smithy_bonus_cap) + tech_3_5*#REF! + tech_5_3*#REF! + tech_5_5*#REF!))*spec_op_ore,0)</f>
        <v>#REF!</v>
      </c>
      <c r="BK44" s="39" t="e">
        <f>ROUNDUP((1-MIN(#REF!*smithy_bonus,smithy_bonus_cap) + tech_3_5*#REF! + tech_5_3*#REF! + tech_5_5*#REF!)*spec_dp_plat,0)</f>
        <v>#REF!</v>
      </c>
      <c r="BL44" s="39" t="e">
        <f>ROUNDUP(IF(race="Gnome",1,(1-MIN(#REF!*smithy_bonus,smithy_bonus_cap) + tech_3_5*#REF! + tech_5_3*#REF! + tech_5_5*#REF!))*spec_dp_ore,0)</f>
        <v>#REF!</v>
      </c>
      <c r="BM44" s="39" t="e">
        <f>ROUNDUP((1-MIN(#REF!*smithy_bonus,smithy_bonus_cap) + tech_3_5*#REF! + tech_5_3*#REF! + tech_5_5*#REF!)*elite1_plat,0)</f>
        <v>#REF!</v>
      </c>
      <c r="BN44" s="39" t="e">
        <f>ROUNDUP(IF(race="Gnome",1,(1-MIN(#REF!*smithy_bonus,smithy_bonus_cap) + tech_3_5*#REF! + tech_5_3*#REF! + tech_5_5*#REF!))*elite1_ore,0)</f>
        <v>#REF!</v>
      </c>
      <c r="BO44" s="39" t="e">
        <f>ROUNDUP((1-MIN(#REF!*smithy_bonus,smithy_bonus_cap) + tech_3_5*#REF! + tech_5_3*#REF! + tech_5_5*#REF!)*elite2_plat,0)</f>
        <v>#REF!</v>
      </c>
      <c r="BP44" s="39" t="e">
        <f>ROUNDUP(IF(race="Gnome",1,(1-MIN(#REF!*smithy_bonus,smithy_bonus_cap) + tech_3_5*#REF! + tech_5_3*#REF! + tech_5_5*#REF!))*elite2_ore,0)</f>
        <v>#REF!</v>
      </c>
      <c r="BQ44" s="39" t="e">
        <f>ROUNDUP((1-MIN(ROUND(fh_spy_cost_red*#REF!,4),fh_spy_cost_cap)+ tech_1_9*#REF! + tech_9_1*#REF!)*spy_plat,0)</f>
        <v>#REF!</v>
      </c>
      <c r="BR44" s="39" t="e">
        <f>ROUNDUP((1-MIN(ROUND(fh_spy_cost_red*#REF!,4),fh_spy_cost_cap)+ tech_1_9*#REF! + tech_9_1*#REF!)*archspy_plat,0)</f>
        <v>#REF!</v>
      </c>
      <c r="BS44" s="39" t="e">
        <f>ROUNDUP((1-MIN(ROUND(wg_wiz_cost_bonus*#REF!,4),wg_wiz_cost_cap) + tech_1_9_2*#REF! + tech_9_1_2*#REF!)*wizard_plat,0)</f>
        <v>#REF!</v>
      </c>
      <c r="BT44" s="39" t="e">
        <f>ROUNDUP((1-MIN(ROUND(wg_wiz_cost_bonus*#REF!,4),wg_wiz_cost_cap) + tech_1_9_2*#REF! + tech_9_1_2*#REF!)*archmage_plat,0)</f>
        <v>#REF!</v>
      </c>
      <c r="BU44" s="134"/>
      <c r="BV44" s="132" t="e">
        <f>#REF!/#REF!</f>
        <v>#REF!</v>
      </c>
      <c r="BW44" s="132" t="e">
        <f>#REF!</f>
        <v>#REF!</v>
      </c>
      <c r="BX44" s="241" t="e">
        <f>IF(mystic_cap="none",#REF!/mystic_bonus,MIN(mystic_cap,#REF!/mystic_bonus))</f>
        <v>#REF!</v>
      </c>
      <c r="BY44" s="241" t="e">
        <f>IF(druid_op_cap="none",#REF!/druid_op_bonus,MIN(druid_op_cap,#REF!/druid_op_bonus))</f>
        <v>#REF!</v>
      </c>
      <c r="BZ44" s="241" t="e">
        <f>IF(druid_dp_cap="none",#REF!/druid_dp_bonus,MIN(druid_dp_cap,#REF!/druid_dp_bonus))</f>
        <v>#REF!</v>
      </c>
      <c r="CA44" s="241" t="e">
        <f>MIN(dryad_cap,#REF!/dryad_bonus)</f>
        <v>#REF!</v>
      </c>
      <c r="CB44" s="241" t="e">
        <f>MIN(rocka_cap,#REF!/rocka_bonus)</f>
        <v>#REF!</v>
      </c>
      <c r="CC44" s="241" t="e">
        <f>MIN(adept_op_cap,#REF!/adept_op_bonus)</f>
        <v>#REF!</v>
      </c>
      <c r="CD44" s="241" t="e">
        <f>MIN(adept_dp_cap,#REF!/adept_dp_bonus)</f>
        <v>#REF!</v>
      </c>
      <c r="CE44" s="39" t="e">
        <f>MIN(#REF!,#REF!)*2</f>
        <v>#REF!</v>
      </c>
      <c r="CF44" s="39" t="e">
        <f>MIN(#REF!,#REF!)*2</f>
        <v>#REF!</v>
      </c>
      <c r="CG44" s="241" t="e">
        <f>MIN(frost_mage_cap,#REF!/frost_mage_bonus)</f>
        <v>#REF!</v>
      </c>
      <c r="CH44" s="3" t="e">
        <f>MIN(ice_elem_cap,#REF!*ice_elem_bonus)</f>
        <v>#REF!</v>
      </c>
      <c r="CI44" s="241">
        <f t="shared" si="2"/>
        <v>0.83333333333333337</v>
      </c>
      <c r="CJ44" s="241" t="e">
        <f>MIN(nox_nightshade_cap,#REF!/#REF!/nox_nightshade_swamp_bonus)</f>
        <v>#REF!</v>
      </c>
      <c r="CK44" s="242"/>
      <c r="CL44" s="242"/>
      <c r="CM44" s="242"/>
      <c r="CN44" s="241" t="e">
        <f>MIN(6,#REF!+Races!$F$19)*1.8 +  IF(#REF!+Races!$F$19&gt;6,(#REF!+Races!$F$19-6)*0.2,0) - Races!$I$19</f>
        <v>#REF!</v>
      </c>
      <c r="CO44" s="241" t="e">
        <f>1.8 * MIN(MAX(#REF!+Races!$E$20,#REF!+Races!$F$20),6)  +  0.45 * MIN(MIN(#REF!+Races!$E$20,#REF!+Races!$F$20),6)  +  0.2 * ( MAX(#REF!+Races!$E$20-6,0) + MAX(#REF!+Races!$F$20-6,0) )  -  Races!$I$20</f>
        <v>#REF!</v>
      </c>
      <c r="CP44" s="39" t="e">
        <f>#REF!*#REF!+#REF!*#REF!</f>
        <v>#REF!</v>
      </c>
      <c r="CQ44" s="145" t="e">
        <f>MIN(6,#REF!+Races!$F$35)*1.8 +  IF(#REF!+Races!$F$35&gt;6,(#REF!+Races!$F$35-6)*0.2,0) - Races!$I$19</f>
        <v>#REF!</v>
      </c>
      <c r="CR44" s="39" t="e">
        <f>sylvan*(#REF!*#REF!)</f>
        <v>#REF!</v>
      </c>
      <c r="CS44" s="145" t="e">
        <f>1.8 * MIN(MAX(Races!$E$27,#REF!+Races!$F$27),6)  +  0.45 * MIN(MIN(Races!$E$27,#REF!+Races!$F$27),6)  +  0.2 * ( MAX(Races!$E$27-6,0) + MAX(#REF!+Races!$F$27-6,0) )  -  Races!$I$20</f>
        <v>#REF!</v>
      </c>
      <c r="CT44" s="39" t="e">
        <f>gnome*(#REF!*#REF!)</f>
        <v>#REF!</v>
      </c>
      <c r="CU44" s="145" t="e">
        <f>1.8 * MIN(MAX(#REF!+Races!$E$47,#REF!+Races!$F$47),6)  +  0.45 * MIN(MIN(#REF!+Races!$E$47,#REF!+Races!$F$47),6)  +  0.2 * ( MAX(#REF!+Races!$E$47-6,0) + MAX(#REF!+Races!$F$47-6,0) )  -  Races!$I$47</f>
        <v>#REF!</v>
      </c>
      <c r="CV44" s="39" t="e">
        <f>dark_elf*(#REF!*#REF!)</f>
        <v>#REF!</v>
      </c>
      <c r="CW44" s="145" t="e">
        <f>1.8 * MIN(MAX(#REF!+Races!$F$71,Races!$E$71),6)  +  0.45 * MIN(MIN(#REF!+Races!$F$71,Races!$E$71),6)  +  0.2 * ( MAX(#REF!+Races!$F$71-6,0) + MAX(Races!$E$71-6,0) )  -  Races!$I$71</f>
        <v>#REF!</v>
      </c>
      <c r="CX44" s="145" t="e">
        <f>1.8 * MIN(MAX(#REF!+Races!$E$71,Races!$F$71),6)  +  0.45 * MIN(MIN(#REF!+Races!$E$71,Races!$F$71),6)  +  0.2 * ( MAX(#REF!+Races!$E$71-6,0) + MAX(Races!$F$71-6,0) )  -  Races!$I$71</f>
        <v>#REF!</v>
      </c>
      <c r="CY44" s="39" t="e">
        <f>#REF!*#REF!+#REF!*#REF!</f>
        <v>#REF!</v>
      </c>
      <c r="CZ44" s="243"/>
      <c r="DA44" s="135" t="e">
        <f>MIN(SUM(#REF!)/#REF!/favorable_terrain_bonus/100,favorable_terrain_max)</f>
        <v>#REF!</v>
      </c>
      <c r="DB44" s="243"/>
      <c r="DC44"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44" s="134"/>
      <c r="DE44" s="244" t="e">
        <f>(#REF!+2*#REF!)/#REF!</f>
        <v>#REF!</v>
      </c>
      <c r="DF44" s="244" t="e">
        <f>#REF!*(1+race_wizard_strength+IF(#REF!&gt;72,tech_magical_weaponry_wiz*#REF!,0))</f>
        <v>#REF!</v>
      </c>
    </row>
    <row r="45" spans="1:110" x14ac:dyDescent="0.25">
      <c r="A45" s="130" t="e">
        <f>#REF!</f>
        <v>#REF!</v>
      </c>
      <c r="B45" s="236" t="e">
        <f ca="1">SUM(#REF!)+SUM(OFFSET(#REF!,-8,0):#REF!) + SUM(OFFSET(#REF!,-11,0):#REF!) +#REF!</f>
        <v>#REF!</v>
      </c>
      <c r="C45" s="132" t="e">
        <f>#REF!</f>
        <v>#REF!</v>
      </c>
      <c r="D45" s="134"/>
      <c r="E45" s="3" t="e">
        <f ca="1">OFFSET(#REF!,-1,0) + OFFSET(#REF!,-9,0) -#REF!</f>
        <v>#REF!</v>
      </c>
      <c r="F45" s="3" t="e">
        <f ca="1">OFFSET(#REF!,-1,0) + OFFSET(#REF!,-9,0)-#REF!</f>
        <v>#REF!</v>
      </c>
      <c r="G45" s="3" t="e">
        <f ca="1">OFFSET(#REF!,-1,0) + OFFSET(#REF!,-12,0)-#REF!</f>
        <v>#REF!</v>
      </c>
      <c r="H45" s="3" t="e">
        <f ca="1">OFFSET(#REF!,-1,0) + OFFSET(#REF!,-12,0)-#REF!</f>
        <v>#REF!</v>
      </c>
      <c r="I45" s="3" t="e">
        <f ca="1">OFFSET(#REF!,-1,0) + OFFSET(#REF!,-12,0) -#REF!-#REF!</f>
        <v>#REF!</v>
      </c>
      <c r="J45" s="3" t="e">
        <f ca="1">OFFSET(#REF!,-1,0) + OFFSET(#REF!,-12,0) -#REF!</f>
        <v>#REF!</v>
      </c>
      <c r="K45" s="3" t="e">
        <f ca="1">OFFSET(#REF!,-1,0) + OFFSET(#REF!,-12,0) -#REF!-#REF!</f>
        <v>#REF!</v>
      </c>
      <c r="L45" s="3" t="e">
        <f ca="1">OFFSET(#REF!,-1,0) + OFFSET(#REF!,-12,0) -#REF!</f>
        <v>#REF!</v>
      </c>
      <c r="M45" s="134"/>
      <c r="N45" s="39" t="e">
        <f>#REF!</f>
        <v>#REF!</v>
      </c>
      <c r="O45" s="134"/>
      <c r="P45" s="237" t="e">
        <f>#REF!*spec_op+#REF!*(elite1_base_op)+#REF!*(elite2_base_op+dark_elf*#REF!+icekin*#REF!+woodie*#REF!+orc*#REF!)+kobold*#REF!</f>
        <v>#REF!</v>
      </c>
      <c r="Q45" s="132" t="e">
        <f>race_offense+#REF!+ROUND(MIN(gn_bonus*#REF!/#REF!,gn_bonus_cap),4)+MAX(IF(#REF!&gt;0,warsong_bonus),IF(#REF!&gt;0,howling_op_bonus),IF(#REF!&gt;0,nightfall_bonus),IF(#REF!&gt;0,#REF!)) +#REF!/ 100*prestige_offense_bonus + tech_5_4*#REF! + tech_7_4*#REF!</f>
        <v>#REF!</v>
      </c>
      <c r="R45" s="237" t="e">
        <f>#REF!*(1+#REF!)</f>
        <v>#REF!</v>
      </c>
      <c r="S45" s="237" t="e">
        <f>#REF!*spec_dp+#REF!*(elite1_base_dp+woodie*#REF!+sylvan*#REF!+gnome*#REF!+icekin*#REF!+nox*#REF!)+#REF!*(elite2_base_dp+woodie*#REF!) + fh_peas_dp*MIN(#REF!,20*#REF!)+kobold*#REF!</f>
        <v>#REF!</v>
      </c>
      <c r="T45" s="237" t="e">
        <f>#REF!+#REF!</f>
        <v>#REF!</v>
      </c>
      <c r="U45" s="238" t="e">
        <f>race_defense +#REF! + ROUND( MIN(gt_bonus*#REF!/#REF!,gt_bonus_cap), 4) + IF(#REF!&gt;0,howling_dp_bonus,IF(#REF!&gt;0,ares_call_bonus))</f>
        <v>#REF!</v>
      </c>
      <c r="V45" s="239" t="e">
        <f>#REF! * (1 +#REF!)</f>
        <v>#REF!</v>
      </c>
      <c r="W45" s="237" t="e">
        <f>#REF! * (1 +#REF!)</f>
        <v>#REF!</v>
      </c>
      <c r="X45" s="237" t="e">
        <f>#REF!</f>
        <v>#REF!</v>
      </c>
      <c r="Y45" s="240"/>
      <c r="Z45" s="135" t="e">
        <f ca="1">IF(#REF!&lt;&gt;"",#REF!,OFFSET(#REF!,-1,0))</f>
        <v>#REF!</v>
      </c>
      <c r="AA45" s="39" t="e">
        <f ca="1">OFFSET(#REF!,-1,0)+OFFSET(#REF!,-1,0) - SUM(#REF!,#REF!) -#REF! + SUM(#REF!) -#REF!</f>
        <v>#REF!</v>
      </c>
      <c r="AB45" s="133"/>
      <c r="AC45" s="132" t="e">
        <f>(#REF!+#REF!)/(#REF!-#REF!*20)</f>
        <v>#REF!</v>
      </c>
      <c r="AD45" s="130"/>
      <c r="AE45" s="236" t="e">
        <f>#REF!</f>
        <v>#REF!</v>
      </c>
      <c r="AF45" s="131" t="e">
        <f>#REF!</f>
        <v>#REF!</v>
      </c>
      <c r="AG45" s="164"/>
      <c r="AH45" s="164"/>
      <c r="AI45" s="164"/>
      <c r="AJ45" s="164"/>
      <c r="AK45" s="164"/>
      <c r="AL45" s="164"/>
      <c r="AM45" s="164"/>
      <c r="AN45" s="164"/>
      <c r="AO45" s="134"/>
      <c r="AP45" s="39" t="e">
        <f>#REF!</f>
        <v>#REF!</v>
      </c>
      <c r="AQ45" s="39" t="e">
        <f>INDEX(#REF!:#REF!,COUNTA(#REF!:#REF!),MATCH(Military!$AQ$2,#REF!,0))</f>
        <v>#REF!</v>
      </c>
      <c r="AR45" s="39" t="e">
        <f>#REF!*#REF!+#REF!*#REF!+#REF!*#REF!+#REF!*#REF!+#REF!*#REF!+#REF!*#REF!+#REF!*#REF!</f>
        <v>#REF!</v>
      </c>
      <c r="AS45" s="39" t="e">
        <f>#REF!*#REF!+#REF!*#REF!+#REF!*#REF!+#REF!*#REF!</f>
        <v>#REF!</v>
      </c>
      <c r="AT45" s="134" t="e">
        <f>#REF!</f>
        <v>#REF!</v>
      </c>
      <c r="AU45" s="143" t="e">
        <f>#REF!</f>
        <v>#REF!</v>
      </c>
      <c r="AV45" s="39" t="e">
        <f>#REF!</f>
        <v>#REF!</v>
      </c>
      <c r="AW45" s="164"/>
      <c r="AX45" s="164"/>
      <c r="AY45" s="164"/>
      <c r="AZ45" s="164"/>
      <c r="BA45" s="164"/>
      <c r="BB45" s="164"/>
      <c r="BC45" s="164"/>
      <c r="BD45" s="164"/>
      <c r="BE45" s="164"/>
      <c r="BF45" s="134"/>
      <c r="BG45" s="132" t="e">
        <f>#REF!/#REF!</f>
        <v>#REF!</v>
      </c>
      <c r="BH45" s="132" t="e">
        <f>#REF!/#REF!</f>
        <v>#REF!</v>
      </c>
      <c r="BI45" s="39" t="e">
        <f>ROUNDUP((1-MIN(#REF!*smithy_bonus,smithy_bonus_cap) + tech_3_5*#REF! + tech_5_3*#REF! + tech_5_5*#REF!)*spec_op_plat,0)</f>
        <v>#REF!</v>
      </c>
      <c r="BJ45" s="39" t="e">
        <f>ROUNDUP(IF(race="Gnome",1,(1-MIN(#REF!*smithy_bonus,smithy_bonus_cap) + tech_3_5*#REF! + tech_5_3*#REF! + tech_5_5*#REF!))*spec_op_ore,0)</f>
        <v>#REF!</v>
      </c>
      <c r="BK45" s="39" t="e">
        <f>ROUNDUP((1-MIN(#REF!*smithy_bonus,smithy_bonus_cap) + tech_3_5*#REF! + tech_5_3*#REF! + tech_5_5*#REF!)*spec_dp_plat,0)</f>
        <v>#REF!</v>
      </c>
      <c r="BL45" s="39" t="e">
        <f>ROUNDUP(IF(race="Gnome",1,(1-MIN(#REF!*smithy_bonus,smithy_bonus_cap) + tech_3_5*#REF! + tech_5_3*#REF! + tech_5_5*#REF!))*spec_dp_ore,0)</f>
        <v>#REF!</v>
      </c>
      <c r="BM45" s="39" t="e">
        <f>ROUNDUP((1-MIN(#REF!*smithy_bonus,smithy_bonus_cap) + tech_3_5*#REF! + tech_5_3*#REF! + tech_5_5*#REF!)*elite1_plat,0)</f>
        <v>#REF!</v>
      </c>
      <c r="BN45" s="39" t="e">
        <f>ROUNDUP(IF(race="Gnome",1,(1-MIN(#REF!*smithy_bonus,smithy_bonus_cap) + tech_3_5*#REF! + tech_5_3*#REF! + tech_5_5*#REF!))*elite1_ore,0)</f>
        <v>#REF!</v>
      </c>
      <c r="BO45" s="39" t="e">
        <f>ROUNDUP((1-MIN(#REF!*smithy_bonus,smithy_bonus_cap) + tech_3_5*#REF! + tech_5_3*#REF! + tech_5_5*#REF!)*elite2_plat,0)</f>
        <v>#REF!</v>
      </c>
      <c r="BP45" s="39" t="e">
        <f>ROUNDUP(IF(race="Gnome",1,(1-MIN(#REF!*smithy_bonus,smithy_bonus_cap) + tech_3_5*#REF! + tech_5_3*#REF! + tech_5_5*#REF!))*elite2_ore,0)</f>
        <v>#REF!</v>
      </c>
      <c r="BQ45" s="39" t="e">
        <f>ROUNDUP((1-MIN(ROUND(fh_spy_cost_red*#REF!,4),fh_spy_cost_cap)+ tech_1_9*#REF! + tech_9_1*#REF!)*spy_plat,0)</f>
        <v>#REF!</v>
      </c>
      <c r="BR45" s="39" t="e">
        <f>ROUNDUP((1-MIN(ROUND(fh_spy_cost_red*#REF!,4),fh_spy_cost_cap)+ tech_1_9*#REF! + tech_9_1*#REF!)*archspy_plat,0)</f>
        <v>#REF!</v>
      </c>
      <c r="BS45" s="39" t="e">
        <f>ROUNDUP((1-MIN(ROUND(wg_wiz_cost_bonus*#REF!,4),wg_wiz_cost_cap) + tech_1_9_2*#REF! + tech_9_1_2*#REF!)*wizard_plat,0)</f>
        <v>#REF!</v>
      </c>
      <c r="BT45" s="39" t="e">
        <f>ROUNDUP((1-MIN(ROUND(wg_wiz_cost_bonus*#REF!,4),wg_wiz_cost_cap) + tech_1_9_2*#REF! + tech_9_1_2*#REF!)*archmage_plat,0)</f>
        <v>#REF!</v>
      </c>
      <c r="BU45" s="134"/>
      <c r="BV45" s="132" t="e">
        <f>#REF!/#REF!</f>
        <v>#REF!</v>
      </c>
      <c r="BW45" s="132" t="e">
        <f>#REF!</f>
        <v>#REF!</v>
      </c>
      <c r="BX45" s="241" t="e">
        <f>IF(mystic_cap="none",#REF!/mystic_bonus,MIN(mystic_cap,#REF!/mystic_bonus))</f>
        <v>#REF!</v>
      </c>
      <c r="BY45" s="241" t="e">
        <f>IF(druid_op_cap="none",#REF!/druid_op_bonus,MIN(druid_op_cap,#REF!/druid_op_bonus))</f>
        <v>#REF!</v>
      </c>
      <c r="BZ45" s="241" t="e">
        <f>IF(druid_dp_cap="none",#REF!/druid_dp_bonus,MIN(druid_dp_cap,#REF!/druid_dp_bonus))</f>
        <v>#REF!</v>
      </c>
      <c r="CA45" s="241" t="e">
        <f>MIN(dryad_cap,#REF!/dryad_bonus)</f>
        <v>#REF!</v>
      </c>
      <c r="CB45" s="241" t="e">
        <f>MIN(rocka_cap,#REF!/rocka_bonus)</f>
        <v>#REF!</v>
      </c>
      <c r="CC45" s="241" t="e">
        <f>MIN(adept_op_cap,#REF!/adept_op_bonus)</f>
        <v>#REF!</v>
      </c>
      <c r="CD45" s="241" t="e">
        <f>MIN(adept_dp_cap,#REF!/adept_dp_bonus)</f>
        <v>#REF!</v>
      </c>
      <c r="CE45" s="39" t="e">
        <f>MIN(#REF!,#REF!)*2</f>
        <v>#REF!</v>
      </c>
      <c r="CF45" s="39" t="e">
        <f>MIN(#REF!,#REF!)*2</f>
        <v>#REF!</v>
      </c>
      <c r="CG45" s="241" t="e">
        <f>MIN(frost_mage_cap,#REF!/frost_mage_bonus)</f>
        <v>#REF!</v>
      </c>
      <c r="CH45" s="3" t="e">
        <f>MIN(ice_elem_cap,#REF!*ice_elem_bonus)</f>
        <v>#REF!</v>
      </c>
      <c r="CI45" s="241">
        <f t="shared" si="2"/>
        <v>0.83333333333333337</v>
      </c>
      <c r="CJ45" s="241" t="e">
        <f>MIN(nox_nightshade_cap,#REF!/#REF!/nox_nightshade_swamp_bonus)</f>
        <v>#REF!</v>
      </c>
      <c r="CK45" s="242"/>
      <c r="CL45" s="242"/>
      <c r="CM45" s="242"/>
      <c r="CN45" s="241" t="e">
        <f>MIN(6,#REF!+Races!$F$19)*1.8 +  IF(#REF!+Races!$F$19&gt;6,(#REF!+Races!$F$19-6)*0.2,0) - Races!$I$19</f>
        <v>#REF!</v>
      </c>
      <c r="CO45" s="241" t="e">
        <f>1.8 * MIN(MAX(#REF!+Races!$E$20,#REF!+Races!$F$20),6)  +  0.45 * MIN(MIN(#REF!+Races!$E$20,#REF!+Races!$F$20),6)  +  0.2 * ( MAX(#REF!+Races!$E$20-6,0) + MAX(#REF!+Races!$F$20-6,0) )  -  Races!$I$20</f>
        <v>#REF!</v>
      </c>
      <c r="CP45" s="39" t="e">
        <f>#REF!*#REF!+#REF!*#REF!</f>
        <v>#REF!</v>
      </c>
      <c r="CQ45" s="145" t="e">
        <f>MIN(6,#REF!+Races!$F$35)*1.8 +  IF(#REF!+Races!$F$35&gt;6,(#REF!+Races!$F$35-6)*0.2,0) - Races!$I$19</f>
        <v>#REF!</v>
      </c>
      <c r="CR45" s="39" t="e">
        <f>sylvan*(#REF!*#REF!)</f>
        <v>#REF!</v>
      </c>
      <c r="CS45" s="145" t="e">
        <f>1.8 * MIN(MAX(Races!$E$27,#REF!+Races!$F$27),6)  +  0.45 * MIN(MIN(Races!$E$27,#REF!+Races!$F$27),6)  +  0.2 * ( MAX(Races!$E$27-6,0) + MAX(#REF!+Races!$F$27-6,0) )  -  Races!$I$20</f>
        <v>#REF!</v>
      </c>
      <c r="CT45" s="39" t="e">
        <f>gnome*(#REF!*#REF!)</f>
        <v>#REF!</v>
      </c>
      <c r="CU45" s="145" t="e">
        <f>1.8 * MIN(MAX(#REF!+Races!$E$47,#REF!+Races!$F$47),6)  +  0.45 * MIN(MIN(#REF!+Races!$E$47,#REF!+Races!$F$47),6)  +  0.2 * ( MAX(#REF!+Races!$E$47-6,0) + MAX(#REF!+Races!$F$47-6,0) )  -  Races!$I$47</f>
        <v>#REF!</v>
      </c>
      <c r="CV45" s="39" t="e">
        <f>dark_elf*(#REF!*#REF!)</f>
        <v>#REF!</v>
      </c>
      <c r="CW45" s="145" t="e">
        <f>1.8 * MIN(MAX(#REF!+Races!$F$71,Races!$E$71),6)  +  0.45 * MIN(MIN(#REF!+Races!$F$71,Races!$E$71),6)  +  0.2 * ( MAX(#REF!+Races!$F$71-6,0) + MAX(Races!$E$71-6,0) )  -  Races!$I$71</f>
        <v>#REF!</v>
      </c>
      <c r="CX45" s="145" t="e">
        <f>1.8 * MIN(MAX(#REF!+Races!$E$71,Races!$F$71),6)  +  0.45 * MIN(MIN(#REF!+Races!$E$71,Races!$F$71),6)  +  0.2 * ( MAX(#REF!+Races!$E$71-6,0) + MAX(Races!$F$71-6,0) )  -  Races!$I$71</f>
        <v>#REF!</v>
      </c>
      <c r="CY45" s="39" t="e">
        <f>#REF!*#REF!+#REF!*#REF!</f>
        <v>#REF!</v>
      </c>
      <c r="CZ45" s="243"/>
      <c r="DA45" s="135" t="e">
        <f>MIN(SUM(#REF!)/#REF!/favorable_terrain_bonus/100,favorable_terrain_max)</f>
        <v>#REF!</v>
      </c>
      <c r="DB45" s="243"/>
      <c r="DC45"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45" s="134"/>
      <c r="DE45" s="244" t="e">
        <f>(#REF!+2*#REF!)/#REF!</f>
        <v>#REF!</v>
      </c>
      <c r="DF45" s="244" t="e">
        <f>#REF!*(1+race_wizard_strength+IF(#REF!&gt;72,tech_magical_weaponry_wiz*#REF!,0))</f>
        <v>#REF!</v>
      </c>
    </row>
    <row r="46" spans="1:110" x14ac:dyDescent="0.25">
      <c r="A46" s="130" t="e">
        <f>#REF!</f>
        <v>#REF!</v>
      </c>
      <c r="B46" s="236" t="e">
        <f ca="1">SUM(#REF!)+SUM(OFFSET(#REF!,-8,0):#REF!) + SUM(OFFSET(#REF!,-11,0):#REF!) +#REF!</f>
        <v>#REF!</v>
      </c>
      <c r="C46" s="132" t="e">
        <f>#REF!</f>
        <v>#REF!</v>
      </c>
      <c r="D46" s="134"/>
      <c r="E46" s="3" t="e">
        <f ca="1">OFFSET(#REF!,-1,0) + OFFSET(#REF!,-9,0) -#REF!</f>
        <v>#REF!</v>
      </c>
      <c r="F46" s="3" t="e">
        <f ca="1">OFFSET(#REF!,-1,0) + OFFSET(#REF!,-9,0)-#REF!</f>
        <v>#REF!</v>
      </c>
      <c r="G46" s="3" t="e">
        <f ca="1">OFFSET(#REF!,-1,0) + OFFSET(#REF!,-12,0)-#REF!</f>
        <v>#REF!</v>
      </c>
      <c r="H46" s="3" t="e">
        <f ca="1">OFFSET(#REF!,-1,0) + OFFSET(#REF!,-12,0)-#REF!</f>
        <v>#REF!</v>
      </c>
      <c r="I46" s="3" t="e">
        <f ca="1">OFFSET(#REF!,-1,0) + OFFSET(#REF!,-12,0) -#REF!-#REF!</f>
        <v>#REF!</v>
      </c>
      <c r="J46" s="3" t="e">
        <f ca="1">OFFSET(#REF!,-1,0) + OFFSET(#REF!,-12,0) -#REF!</f>
        <v>#REF!</v>
      </c>
      <c r="K46" s="3" t="e">
        <f ca="1">OFFSET(#REF!,-1,0) + OFFSET(#REF!,-12,0) -#REF!-#REF!</f>
        <v>#REF!</v>
      </c>
      <c r="L46" s="3" t="e">
        <f ca="1">OFFSET(#REF!,-1,0) + OFFSET(#REF!,-12,0) -#REF!</f>
        <v>#REF!</v>
      </c>
      <c r="M46" s="134"/>
      <c r="N46" s="39" t="e">
        <f>#REF!</f>
        <v>#REF!</v>
      </c>
      <c r="O46" s="134"/>
      <c r="P46" s="237" t="e">
        <f>#REF!*spec_op+#REF!*(elite1_base_op)+#REF!*(elite2_base_op+dark_elf*#REF!+icekin*#REF!+woodie*#REF!+orc*#REF!)+kobold*#REF!</f>
        <v>#REF!</v>
      </c>
      <c r="Q46" s="132" t="e">
        <f>race_offense+#REF!+ROUND(MIN(gn_bonus*#REF!/#REF!,gn_bonus_cap),4)+MAX(IF(#REF!&gt;0,warsong_bonus),IF(#REF!&gt;0,howling_op_bonus),IF(#REF!&gt;0,nightfall_bonus),IF(#REF!&gt;0,#REF!)) +#REF!/ 100*prestige_offense_bonus + tech_5_4*#REF! + tech_7_4*#REF!</f>
        <v>#REF!</v>
      </c>
      <c r="R46" s="237" t="e">
        <f>#REF!*(1+#REF!)</f>
        <v>#REF!</v>
      </c>
      <c r="S46" s="237" t="e">
        <f>#REF!*spec_dp+#REF!*(elite1_base_dp+woodie*#REF!+sylvan*#REF!+gnome*#REF!+icekin*#REF!+nox*#REF!)+#REF!*(elite2_base_dp+woodie*#REF!) + fh_peas_dp*MIN(#REF!,20*#REF!)+kobold*#REF!</f>
        <v>#REF!</v>
      </c>
      <c r="T46" s="237" t="e">
        <f>#REF!+#REF!</f>
        <v>#REF!</v>
      </c>
      <c r="U46" s="238" t="e">
        <f>race_defense +#REF! + ROUND( MIN(gt_bonus*#REF!/#REF!,gt_bonus_cap), 4) + IF(#REF!&gt;0,howling_dp_bonus,IF(#REF!&gt;0,ares_call_bonus))</f>
        <v>#REF!</v>
      </c>
      <c r="V46" s="239" t="e">
        <f>#REF! * (1 +#REF!)</f>
        <v>#REF!</v>
      </c>
      <c r="W46" s="237" t="e">
        <f>#REF! * (1 +#REF!)</f>
        <v>#REF!</v>
      </c>
      <c r="X46" s="237" t="e">
        <f>#REF!</f>
        <v>#REF!</v>
      </c>
      <c r="Y46" s="240"/>
      <c r="Z46" s="135" t="e">
        <f ca="1">IF(#REF!&lt;&gt;"",#REF!,OFFSET(#REF!,-1,0))</f>
        <v>#REF!</v>
      </c>
      <c r="AA46" s="39" t="e">
        <f ca="1">OFFSET(#REF!,-1,0)+OFFSET(#REF!,-1,0) - SUM(#REF!,#REF!) -#REF! + SUM(#REF!) -#REF!</f>
        <v>#REF!</v>
      </c>
      <c r="AB46" s="133"/>
      <c r="AC46" s="132" t="e">
        <f>(#REF!+#REF!)/(#REF!-#REF!*20)</f>
        <v>#REF!</v>
      </c>
      <c r="AD46" s="130"/>
      <c r="AE46" s="236" t="e">
        <f>#REF!</f>
        <v>#REF!</v>
      </c>
      <c r="AF46" s="131" t="e">
        <f>#REF!</f>
        <v>#REF!</v>
      </c>
      <c r="AG46" s="164"/>
      <c r="AH46" s="164"/>
      <c r="AI46" s="164"/>
      <c r="AJ46" s="164"/>
      <c r="AK46" s="164"/>
      <c r="AL46" s="164"/>
      <c r="AM46" s="164"/>
      <c r="AN46" s="164"/>
      <c r="AO46" s="134"/>
      <c r="AP46" s="39" t="e">
        <f>#REF!</f>
        <v>#REF!</v>
      </c>
      <c r="AQ46" s="39" t="e">
        <f>INDEX(#REF!:#REF!,COUNTA(#REF!:#REF!),MATCH(Military!$AQ$2,#REF!,0))</f>
        <v>#REF!</v>
      </c>
      <c r="AR46" s="39" t="e">
        <f>#REF!*#REF!+#REF!*#REF!+#REF!*#REF!+#REF!*#REF!+#REF!*#REF!+#REF!*#REF!+#REF!*#REF!</f>
        <v>#REF!</v>
      </c>
      <c r="AS46" s="39" t="e">
        <f>#REF!*#REF!+#REF!*#REF!+#REF!*#REF!+#REF!*#REF!</f>
        <v>#REF!</v>
      </c>
      <c r="AT46" s="134" t="e">
        <f>#REF!</f>
        <v>#REF!</v>
      </c>
      <c r="AU46" s="143" t="e">
        <f>#REF!</f>
        <v>#REF!</v>
      </c>
      <c r="AV46" s="39" t="e">
        <f>#REF!</f>
        <v>#REF!</v>
      </c>
      <c r="AW46" s="164"/>
      <c r="AX46" s="164"/>
      <c r="AY46" s="164"/>
      <c r="AZ46" s="164"/>
      <c r="BA46" s="164"/>
      <c r="BB46" s="164"/>
      <c r="BC46" s="164"/>
      <c r="BD46" s="164"/>
      <c r="BE46" s="164"/>
      <c r="BF46" s="134"/>
      <c r="BG46" s="132" t="e">
        <f>#REF!/#REF!</f>
        <v>#REF!</v>
      </c>
      <c r="BH46" s="132" t="e">
        <f>#REF!/#REF!</f>
        <v>#REF!</v>
      </c>
      <c r="BI46" s="39" t="e">
        <f>ROUNDUP((1-MIN(#REF!*smithy_bonus,smithy_bonus_cap) + tech_3_5*#REF! + tech_5_3*#REF! + tech_5_5*#REF!)*spec_op_plat,0)</f>
        <v>#REF!</v>
      </c>
      <c r="BJ46" s="39" t="e">
        <f>ROUNDUP(IF(race="Gnome",1,(1-MIN(#REF!*smithy_bonus,smithy_bonus_cap) + tech_3_5*#REF! + tech_5_3*#REF! + tech_5_5*#REF!))*spec_op_ore,0)</f>
        <v>#REF!</v>
      </c>
      <c r="BK46" s="39" t="e">
        <f>ROUNDUP((1-MIN(#REF!*smithy_bonus,smithy_bonus_cap) + tech_3_5*#REF! + tech_5_3*#REF! + tech_5_5*#REF!)*spec_dp_plat,0)</f>
        <v>#REF!</v>
      </c>
      <c r="BL46" s="39" t="e">
        <f>ROUNDUP(IF(race="Gnome",1,(1-MIN(#REF!*smithy_bonus,smithy_bonus_cap) + tech_3_5*#REF! + tech_5_3*#REF! + tech_5_5*#REF!))*spec_dp_ore,0)</f>
        <v>#REF!</v>
      </c>
      <c r="BM46" s="39" t="e">
        <f>ROUNDUP((1-MIN(#REF!*smithy_bonus,smithy_bonus_cap) + tech_3_5*#REF! + tech_5_3*#REF! + tech_5_5*#REF!)*elite1_plat,0)</f>
        <v>#REF!</v>
      </c>
      <c r="BN46" s="39" t="e">
        <f>ROUNDUP(IF(race="Gnome",1,(1-MIN(#REF!*smithy_bonus,smithy_bonus_cap) + tech_3_5*#REF! + tech_5_3*#REF! + tech_5_5*#REF!))*elite1_ore,0)</f>
        <v>#REF!</v>
      </c>
      <c r="BO46" s="39" t="e">
        <f>ROUNDUP((1-MIN(#REF!*smithy_bonus,smithy_bonus_cap) + tech_3_5*#REF! + tech_5_3*#REF! + tech_5_5*#REF!)*elite2_plat,0)</f>
        <v>#REF!</v>
      </c>
      <c r="BP46" s="39" t="e">
        <f>ROUNDUP(IF(race="Gnome",1,(1-MIN(#REF!*smithy_bonus,smithy_bonus_cap) + tech_3_5*#REF! + tech_5_3*#REF! + tech_5_5*#REF!))*elite2_ore,0)</f>
        <v>#REF!</v>
      </c>
      <c r="BQ46" s="39" t="e">
        <f>ROUNDUP((1-MIN(ROUND(fh_spy_cost_red*#REF!,4),fh_spy_cost_cap)+ tech_1_9*#REF! + tech_9_1*#REF!)*spy_plat,0)</f>
        <v>#REF!</v>
      </c>
      <c r="BR46" s="39" t="e">
        <f>ROUNDUP((1-MIN(ROUND(fh_spy_cost_red*#REF!,4),fh_spy_cost_cap)+ tech_1_9*#REF! + tech_9_1*#REF!)*archspy_plat,0)</f>
        <v>#REF!</v>
      </c>
      <c r="BS46" s="39" t="e">
        <f>ROUNDUP((1-MIN(ROUND(wg_wiz_cost_bonus*#REF!,4),wg_wiz_cost_cap) + tech_1_9_2*#REF! + tech_9_1_2*#REF!)*wizard_plat,0)</f>
        <v>#REF!</v>
      </c>
      <c r="BT46" s="39" t="e">
        <f>ROUNDUP((1-MIN(ROUND(wg_wiz_cost_bonus*#REF!,4),wg_wiz_cost_cap) + tech_1_9_2*#REF! + tech_9_1_2*#REF!)*archmage_plat,0)</f>
        <v>#REF!</v>
      </c>
      <c r="BU46" s="134"/>
      <c r="BV46" s="132" t="e">
        <f>#REF!/#REF!</f>
        <v>#REF!</v>
      </c>
      <c r="BW46" s="132" t="e">
        <f>#REF!</f>
        <v>#REF!</v>
      </c>
      <c r="BX46" s="241" t="e">
        <f>IF(mystic_cap="none",#REF!/mystic_bonus,MIN(mystic_cap,#REF!/mystic_bonus))</f>
        <v>#REF!</v>
      </c>
      <c r="BY46" s="241" t="e">
        <f>IF(druid_op_cap="none",#REF!/druid_op_bonus,MIN(druid_op_cap,#REF!/druid_op_bonus))</f>
        <v>#REF!</v>
      </c>
      <c r="BZ46" s="241" t="e">
        <f>IF(druid_dp_cap="none",#REF!/druid_dp_bonus,MIN(druid_dp_cap,#REF!/druid_dp_bonus))</f>
        <v>#REF!</v>
      </c>
      <c r="CA46" s="241" t="e">
        <f>MIN(dryad_cap,#REF!/dryad_bonus)</f>
        <v>#REF!</v>
      </c>
      <c r="CB46" s="241" t="e">
        <f>MIN(rocka_cap,#REF!/rocka_bonus)</f>
        <v>#REF!</v>
      </c>
      <c r="CC46" s="241" t="e">
        <f>MIN(adept_op_cap,#REF!/adept_op_bonus)</f>
        <v>#REF!</v>
      </c>
      <c r="CD46" s="241" t="e">
        <f>MIN(adept_dp_cap,#REF!/adept_dp_bonus)</f>
        <v>#REF!</v>
      </c>
      <c r="CE46" s="39" t="e">
        <f>MIN(#REF!,#REF!)*2</f>
        <v>#REF!</v>
      </c>
      <c r="CF46" s="39" t="e">
        <f>MIN(#REF!,#REF!)*2</f>
        <v>#REF!</v>
      </c>
      <c r="CG46" s="241" t="e">
        <f>MIN(frost_mage_cap,#REF!/frost_mage_bonus)</f>
        <v>#REF!</v>
      </c>
      <c r="CH46" s="3" t="e">
        <f>MIN(ice_elem_cap,#REF!*ice_elem_bonus)</f>
        <v>#REF!</v>
      </c>
      <c r="CI46" s="241">
        <f t="shared" si="2"/>
        <v>0.83333333333333337</v>
      </c>
      <c r="CJ46" s="241" t="e">
        <f>MIN(nox_nightshade_cap,#REF!/#REF!/nox_nightshade_swamp_bonus)</f>
        <v>#REF!</v>
      </c>
      <c r="CK46" s="242"/>
      <c r="CL46" s="242"/>
      <c r="CM46" s="242"/>
      <c r="CN46" s="241" t="e">
        <f>MIN(6,#REF!+Races!$F$19)*1.8 +  IF(#REF!+Races!$F$19&gt;6,(#REF!+Races!$F$19-6)*0.2,0) - Races!$I$19</f>
        <v>#REF!</v>
      </c>
      <c r="CO46" s="241" t="e">
        <f>1.8 * MIN(MAX(#REF!+Races!$E$20,#REF!+Races!$F$20),6)  +  0.45 * MIN(MIN(#REF!+Races!$E$20,#REF!+Races!$F$20),6)  +  0.2 * ( MAX(#REF!+Races!$E$20-6,0) + MAX(#REF!+Races!$F$20-6,0) )  -  Races!$I$20</f>
        <v>#REF!</v>
      </c>
      <c r="CP46" s="39" t="e">
        <f>#REF!*#REF!+#REF!*#REF!</f>
        <v>#REF!</v>
      </c>
      <c r="CQ46" s="145" t="e">
        <f>MIN(6,#REF!+Races!$F$35)*1.8 +  IF(#REF!+Races!$F$35&gt;6,(#REF!+Races!$F$35-6)*0.2,0) - Races!$I$19</f>
        <v>#REF!</v>
      </c>
      <c r="CR46" s="39" t="e">
        <f>sylvan*(#REF!*#REF!)</f>
        <v>#REF!</v>
      </c>
      <c r="CS46" s="145" t="e">
        <f>1.8 * MIN(MAX(Races!$E$27,#REF!+Races!$F$27),6)  +  0.45 * MIN(MIN(Races!$E$27,#REF!+Races!$F$27),6)  +  0.2 * ( MAX(Races!$E$27-6,0) + MAX(#REF!+Races!$F$27-6,0) )  -  Races!$I$20</f>
        <v>#REF!</v>
      </c>
      <c r="CT46" s="39" t="e">
        <f>gnome*(#REF!*#REF!)</f>
        <v>#REF!</v>
      </c>
      <c r="CU46" s="145" t="e">
        <f>1.8 * MIN(MAX(#REF!+Races!$E$47,#REF!+Races!$F$47),6)  +  0.45 * MIN(MIN(#REF!+Races!$E$47,#REF!+Races!$F$47),6)  +  0.2 * ( MAX(#REF!+Races!$E$47-6,0) + MAX(#REF!+Races!$F$47-6,0) )  -  Races!$I$47</f>
        <v>#REF!</v>
      </c>
      <c r="CV46" s="39" t="e">
        <f>dark_elf*(#REF!*#REF!)</f>
        <v>#REF!</v>
      </c>
      <c r="CW46" s="145" t="e">
        <f>1.8 * MIN(MAX(#REF!+Races!$F$71,Races!$E$71),6)  +  0.45 * MIN(MIN(#REF!+Races!$F$71,Races!$E$71),6)  +  0.2 * ( MAX(#REF!+Races!$F$71-6,0) + MAX(Races!$E$71-6,0) )  -  Races!$I$71</f>
        <v>#REF!</v>
      </c>
      <c r="CX46" s="145" t="e">
        <f>1.8 * MIN(MAX(#REF!+Races!$E$71,Races!$F$71),6)  +  0.45 * MIN(MIN(#REF!+Races!$E$71,Races!$F$71),6)  +  0.2 * ( MAX(#REF!+Races!$E$71-6,0) + MAX(Races!$F$71-6,0) )  -  Races!$I$71</f>
        <v>#REF!</v>
      </c>
      <c r="CY46" s="39" t="e">
        <f>#REF!*#REF!+#REF!*#REF!</f>
        <v>#REF!</v>
      </c>
      <c r="CZ46" s="243"/>
      <c r="DA46" s="135" t="e">
        <f>MIN(SUM(#REF!)/#REF!/favorable_terrain_bonus/100,favorable_terrain_max)</f>
        <v>#REF!</v>
      </c>
      <c r="DB46" s="243"/>
      <c r="DC46"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46" s="134"/>
      <c r="DE46" s="244" t="e">
        <f>(#REF!+2*#REF!)/#REF!</f>
        <v>#REF!</v>
      </c>
      <c r="DF46" s="244" t="e">
        <f>#REF!*(1+race_wizard_strength+IF(#REF!&gt;72,tech_magical_weaponry_wiz*#REF!,0))</f>
        <v>#REF!</v>
      </c>
    </row>
    <row r="47" spans="1:110" x14ac:dyDescent="0.25">
      <c r="A47" s="130" t="e">
        <f>#REF!</f>
        <v>#REF!</v>
      </c>
      <c r="B47" s="236" t="e">
        <f ca="1">SUM(#REF!)+SUM(OFFSET(#REF!,-8,0):#REF!) + SUM(OFFSET(#REF!,-11,0):#REF!) +#REF!</f>
        <v>#REF!</v>
      </c>
      <c r="C47" s="132" t="e">
        <f>#REF!</f>
        <v>#REF!</v>
      </c>
      <c r="D47" s="134"/>
      <c r="E47" s="3" t="e">
        <f ca="1">OFFSET(#REF!,-1,0) + OFFSET(#REF!,-9,0) -#REF!</f>
        <v>#REF!</v>
      </c>
      <c r="F47" s="3" t="e">
        <f ca="1">OFFSET(#REF!,-1,0) + OFFSET(#REF!,-9,0)-#REF!</f>
        <v>#REF!</v>
      </c>
      <c r="G47" s="3" t="e">
        <f ca="1">OFFSET(#REF!,-1,0) + OFFSET(#REF!,-12,0)-#REF!</f>
        <v>#REF!</v>
      </c>
      <c r="H47" s="3" t="e">
        <f ca="1">OFFSET(#REF!,-1,0) + OFFSET(#REF!,-12,0)-#REF!</f>
        <v>#REF!</v>
      </c>
      <c r="I47" s="3" t="e">
        <f ca="1">OFFSET(#REF!,-1,0) + OFFSET(#REF!,-12,0) -#REF!-#REF!</f>
        <v>#REF!</v>
      </c>
      <c r="J47" s="3" t="e">
        <f ca="1">OFFSET(#REF!,-1,0) + OFFSET(#REF!,-12,0) -#REF!</f>
        <v>#REF!</v>
      </c>
      <c r="K47" s="3" t="e">
        <f ca="1">OFFSET(#REF!,-1,0) + OFFSET(#REF!,-12,0) -#REF!-#REF!</f>
        <v>#REF!</v>
      </c>
      <c r="L47" s="3" t="e">
        <f ca="1">OFFSET(#REF!,-1,0) + OFFSET(#REF!,-12,0) -#REF!</f>
        <v>#REF!</v>
      </c>
      <c r="M47" s="134"/>
      <c r="N47" s="39" t="e">
        <f>#REF!</f>
        <v>#REF!</v>
      </c>
      <c r="O47" s="134"/>
      <c r="P47" s="237" t="e">
        <f>#REF!*spec_op+#REF!*(elite1_base_op)+#REF!*(elite2_base_op+dark_elf*#REF!+icekin*#REF!+woodie*#REF!+orc*#REF!)+kobold*#REF!</f>
        <v>#REF!</v>
      </c>
      <c r="Q47" s="132" t="e">
        <f>race_offense+#REF!+ROUND(MIN(gn_bonus*#REF!/#REF!,gn_bonus_cap),4)+MAX(IF(#REF!&gt;0,warsong_bonus),IF(#REF!&gt;0,howling_op_bonus),IF(#REF!&gt;0,nightfall_bonus),IF(#REF!&gt;0,#REF!)) +#REF!/ 100*prestige_offense_bonus + tech_5_4*#REF! + tech_7_4*#REF!</f>
        <v>#REF!</v>
      </c>
      <c r="R47" s="237" t="e">
        <f>#REF!*(1+#REF!)</f>
        <v>#REF!</v>
      </c>
      <c r="S47" s="237" t="e">
        <f>#REF!*spec_dp+#REF!*(elite1_base_dp+woodie*#REF!+sylvan*#REF!+gnome*#REF!+icekin*#REF!+nox*#REF!)+#REF!*(elite2_base_dp+woodie*#REF!) + fh_peas_dp*MIN(#REF!,20*#REF!)+kobold*#REF!</f>
        <v>#REF!</v>
      </c>
      <c r="T47" s="237" t="e">
        <f>#REF!+#REF!</f>
        <v>#REF!</v>
      </c>
      <c r="U47" s="238" t="e">
        <f>race_defense +#REF! + ROUND( MIN(gt_bonus*#REF!/#REF!,gt_bonus_cap), 4) + IF(#REF!&gt;0,howling_dp_bonus,IF(#REF!&gt;0,ares_call_bonus))</f>
        <v>#REF!</v>
      </c>
      <c r="V47" s="239" t="e">
        <f>#REF! * (1 +#REF!)</f>
        <v>#REF!</v>
      </c>
      <c r="W47" s="237" t="e">
        <f>#REF! * (1 +#REF!)</f>
        <v>#REF!</v>
      </c>
      <c r="X47" s="237" t="e">
        <f>#REF!</f>
        <v>#REF!</v>
      </c>
      <c r="Y47" s="240"/>
      <c r="Z47" s="135" t="e">
        <f ca="1">IF(#REF!&lt;&gt;"",#REF!,OFFSET(#REF!,-1,0))</f>
        <v>#REF!</v>
      </c>
      <c r="AA47" s="39" t="e">
        <f ca="1">OFFSET(#REF!,-1,0)+OFFSET(#REF!,-1,0) - SUM(#REF!,#REF!) -#REF! + SUM(#REF!) -#REF!</f>
        <v>#REF!</v>
      </c>
      <c r="AB47" s="133"/>
      <c r="AC47" s="132" t="e">
        <f>(#REF!+#REF!)/(#REF!-#REF!*20)</f>
        <v>#REF!</v>
      </c>
      <c r="AD47" s="130"/>
      <c r="AE47" s="236" t="e">
        <f>#REF!</f>
        <v>#REF!</v>
      </c>
      <c r="AF47" s="131" t="e">
        <f>#REF!</f>
        <v>#REF!</v>
      </c>
      <c r="AG47" s="164"/>
      <c r="AH47" s="164"/>
      <c r="AI47" s="164"/>
      <c r="AJ47" s="164"/>
      <c r="AK47" s="164"/>
      <c r="AL47" s="164"/>
      <c r="AM47" s="164"/>
      <c r="AN47" s="164"/>
      <c r="AO47" s="134"/>
      <c r="AP47" s="39" t="e">
        <f>#REF!</f>
        <v>#REF!</v>
      </c>
      <c r="AQ47" s="39" t="e">
        <f>INDEX(#REF!:#REF!,COUNTA(#REF!:#REF!),MATCH(Military!$AQ$2,#REF!,0))</f>
        <v>#REF!</v>
      </c>
      <c r="AR47" s="39" t="e">
        <f>#REF!*#REF!+#REF!*#REF!+#REF!*#REF!+#REF!*#REF!+#REF!*#REF!+#REF!*#REF!+#REF!*#REF!</f>
        <v>#REF!</v>
      </c>
      <c r="AS47" s="39" t="e">
        <f>#REF!*#REF!+#REF!*#REF!+#REF!*#REF!+#REF!*#REF!</f>
        <v>#REF!</v>
      </c>
      <c r="AT47" s="134" t="e">
        <f>#REF!</f>
        <v>#REF!</v>
      </c>
      <c r="AU47" s="143" t="e">
        <f>#REF!</f>
        <v>#REF!</v>
      </c>
      <c r="AV47" s="39" t="e">
        <f>#REF!</f>
        <v>#REF!</v>
      </c>
      <c r="AW47" s="164"/>
      <c r="AX47" s="164"/>
      <c r="AY47" s="164"/>
      <c r="AZ47" s="164"/>
      <c r="BA47" s="164"/>
      <c r="BB47" s="164"/>
      <c r="BC47" s="164"/>
      <c r="BD47" s="164"/>
      <c r="BE47" s="164"/>
      <c r="BF47" s="134"/>
      <c r="BG47" s="132" t="e">
        <f>#REF!/#REF!</f>
        <v>#REF!</v>
      </c>
      <c r="BH47" s="132" t="e">
        <f>#REF!/#REF!</f>
        <v>#REF!</v>
      </c>
      <c r="BI47" s="39" t="e">
        <f>ROUNDUP((1-MIN(#REF!*smithy_bonus,smithy_bonus_cap) + tech_3_5*#REF! + tech_5_3*#REF! + tech_5_5*#REF!)*spec_op_plat,0)</f>
        <v>#REF!</v>
      </c>
      <c r="BJ47" s="39" t="e">
        <f>ROUNDUP(IF(race="Gnome",1,(1-MIN(#REF!*smithy_bonus,smithy_bonus_cap) + tech_3_5*#REF! + tech_5_3*#REF! + tech_5_5*#REF!))*spec_op_ore,0)</f>
        <v>#REF!</v>
      </c>
      <c r="BK47" s="39" t="e">
        <f>ROUNDUP((1-MIN(#REF!*smithy_bonus,smithy_bonus_cap) + tech_3_5*#REF! + tech_5_3*#REF! + tech_5_5*#REF!)*spec_dp_plat,0)</f>
        <v>#REF!</v>
      </c>
      <c r="BL47" s="39" t="e">
        <f>ROUNDUP(IF(race="Gnome",1,(1-MIN(#REF!*smithy_bonus,smithy_bonus_cap) + tech_3_5*#REF! + tech_5_3*#REF! + tech_5_5*#REF!))*spec_dp_ore,0)</f>
        <v>#REF!</v>
      </c>
      <c r="BM47" s="39" t="e">
        <f>ROUNDUP((1-MIN(#REF!*smithy_bonus,smithy_bonus_cap) + tech_3_5*#REF! + tech_5_3*#REF! + tech_5_5*#REF!)*elite1_plat,0)</f>
        <v>#REF!</v>
      </c>
      <c r="BN47" s="39" t="e">
        <f>ROUNDUP(IF(race="Gnome",1,(1-MIN(#REF!*smithy_bonus,smithy_bonus_cap) + tech_3_5*#REF! + tech_5_3*#REF! + tech_5_5*#REF!))*elite1_ore,0)</f>
        <v>#REF!</v>
      </c>
      <c r="BO47" s="39" t="e">
        <f>ROUNDUP((1-MIN(#REF!*smithy_bonus,smithy_bonus_cap) + tech_3_5*#REF! + tech_5_3*#REF! + tech_5_5*#REF!)*elite2_plat,0)</f>
        <v>#REF!</v>
      </c>
      <c r="BP47" s="39" t="e">
        <f>ROUNDUP(IF(race="Gnome",1,(1-MIN(#REF!*smithy_bonus,smithy_bonus_cap) + tech_3_5*#REF! + tech_5_3*#REF! + tech_5_5*#REF!))*elite2_ore,0)</f>
        <v>#REF!</v>
      </c>
      <c r="BQ47" s="39" t="e">
        <f>ROUNDUP((1-MIN(ROUND(fh_spy_cost_red*#REF!,4),fh_spy_cost_cap)+ tech_1_9*#REF! + tech_9_1*#REF!)*spy_plat,0)</f>
        <v>#REF!</v>
      </c>
      <c r="BR47" s="39" t="e">
        <f>ROUNDUP((1-MIN(ROUND(fh_spy_cost_red*#REF!,4),fh_spy_cost_cap)+ tech_1_9*#REF! + tech_9_1*#REF!)*archspy_plat,0)</f>
        <v>#REF!</v>
      </c>
      <c r="BS47" s="39" t="e">
        <f>ROUNDUP((1-MIN(ROUND(wg_wiz_cost_bonus*#REF!,4),wg_wiz_cost_cap) + tech_1_9_2*#REF! + tech_9_1_2*#REF!)*wizard_plat,0)</f>
        <v>#REF!</v>
      </c>
      <c r="BT47" s="39" t="e">
        <f>ROUNDUP((1-MIN(ROUND(wg_wiz_cost_bonus*#REF!,4),wg_wiz_cost_cap) + tech_1_9_2*#REF! + tech_9_1_2*#REF!)*archmage_plat,0)</f>
        <v>#REF!</v>
      </c>
      <c r="BU47" s="134"/>
      <c r="BV47" s="132" t="e">
        <f>#REF!/#REF!</f>
        <v>#REF!</v>
      </c>
      <c r="BW47" s="132" t="e">
        <f>#REF!</f>
        <v>#REF!</v>
      </c>
      <c r="BX47" s="241" t="e">
        <f>IF(mystic_cap="none",#REF!/mystic_bonus,MIN(mystic_cap,#REF!/mystic_bonus))</f>
        <v>#REF!</v>
      </c>
      <c r="BY47" s="241" t="e">
        <f>IF(druid_op_cap="none",#REF!/druid_op_bonus,MIN(druid_op_cap,#REF!/druid_op_bonus))</f>
        <v>#REF!</v>
      </c>
      <c r="BZ47" s="241" t="e">
        <f>IF(druid_dp_cap="none",#REF!/druid_dp_bonus,MIN(druid_dp_cap,#REF!/druid_dp_bonus))</f>
        <v>#REF!</v>
      </c>
      <c r="CA47" s="241" t="e">
        <f>MIN(dryad_cap,#REF!/dryad_bonus)</f>
        <v>#REF!</v>
      </c>
      <c r="CB47" s="241" t="e">
        <f>MIN(rocka_cap,#REF!/rocka_bonus)</f>
        <v>#REF!</v>
      </c>
      <c r="CC47" s="241" t="e">
        <f>MIN(adept_op_cap,#REF!/adept_op_bonus)</f>
        <v>#REF!</v>
      </c>
      <c r="CD47" s="241" t="e">
        <f>MIN(adept_dp_cap,#REF!/adept_dp_bonus)</f>
        <v>#REF!</v>
      </c>
      <c r="CE47" s="39" t="e">
        <f>MIN(#REF!,#REF!)*2</f>
        <v>#REF!</v>
      </c>
      <c r="CF47" s="39" t="e">
        <f>MIN(#REF!,#REF!)*2</f>
        <v>#REF!</v>
      </c>
      <c r="CG47" s="241" t="e">
        <f>MIN(frost_mage_cap,#REF!/frost_mage_bonus)</f>
        <v>#REF!</v>
      </c>
      <c r="CH47" s="3" t="e">
        <f>MIN(ice_elem_cap,#REF!*ice_elem_bonus)</f>
        <v>#REF!</v>
      </c>
      <c r="CI47" s="241">
        <f t="shared" si="2"/>
        <v>0.83333333333333337</v>
      </c>
      <c r="CJ47" s="241" t="e">
        <f>MIN(nox_nightshade_cap,#REF!/#REF!/nox_nightshade_swamp_bonus)</f>
        <v>#REF!</v>
      </c>
      <c r="CK47" s="242"/>
      <c r="CL47" s="242"/>
      <c r="CM47" s="242"/>
      <c r="CN47" s="241" t="e">
        <f>MIN(6,#REF!+Races!$F$19)*1.8 +  IF(#REF!+Races!$F$19&gt;6,(#REF!+Races!$F$19-6)*0.2,0) - Races!$I$19</f>
        <v>#REF!</v>
      </c>
      <c r="CO47" s="241" t="e">
        <f>1.8 * MIN(MAX(#REF!+Races!$E$20,#REF!+Races!$F$20),6)  +  0.45 * MIN(MIN(#REF!+Races!$E$20,#REF!+Races!$F$20),6)  +  0.2 * ( MAX(#REF!+Races!$E$20-6,0) + MAX(#REF!+Races!$F$20-6,0) )  -  Races!$I$20</f>
        <v>#REF!</v>
      </c>
      <c r="CP47" s="39" t="e">
        <f>#REF!*#REF!+#REF!*#REF!</f>
        <v>#REF!</v>
      </c>
      <c r="CQ47" s="145" t="e">
        <f>MIN(6,#REF!+Races!$F$35)*1.8 +  IF(#REF!+Races!$F$35&gt;6,(#REF!+Races!$F$35-6)*0.2,0) - Races!$I$19</f>
        <v>#REF!</v>
      </c>
      <c r="CR47" s="39" t="e">
        <f>sylvan*(#REF!*#REF!)</f>
        <v>#REF!</v>
      </c>
      <c r="CS47" s="145" t="e">
        <f>1.8 * MIN(MAX(Races!$E$27,#REF!+Races!$F$27),6)  +  0.45 * MIN(MIN(Races!$E$27,#REF!+Races!$F$27),6)  +  0.2 * ( MAX(Races!$E$27-6,0) + MAX(#REF!+Races!$F$27-6,0) )  -  Races!$I$20</f>
        <v>#REF!</v>
      </c>
      <c r="CT47" s="39" t="e">
        <f>gnome*(#REF!*#REF!)</f>
        <v>#REF!</v>
      </c>
      <c r="CU47" s="145" t="e">
        <f>1.8 * MIN(MAX(#REF!+Races!$E$47,#REF!+Races!$F$47),6)  +  0.45 * MIN(MIN(#REF!+Races!$E$47,#REF!+Races!$F$47),6)  +  0.2 * ( MAX(#REF!+Races!$E$47-6,0) + MAX(#REF!+Races!$F$47-6,0) )  -  Races!$I$47</f>
        <v>#REF!</v>
      </c>
      <c r="CV47" s="39" t="e">
        <f>dark_elf*(#REF!*#REF!)</f>
        <v>#REF!</v>
      </c>
      <c r="CW47" s="145" t="e">
        <f>1.8 * MIN(MAX(#REF!+Races!$F$71,Races!$E$71),6)  +  0.45 * MIN(MIN(#REF!+Races!$F$71,Races!$E$71),6)  +  0.2 * ( MAX(#REF!+Races!$F$71-6,0) + MAX(Races!$E$71-6,0) )  -  Races!$I$71</f>
        <v>#REF!</v>
      </c>
      <c r="CX47" s="145" t="e">
        <f>1.8 * MIN(MAX(#REF!+Races!$E$71,Races!$F$71),6)  +  0.45 * MIN(MIN(#REF!+Races!$E$71,Races!$F$71),6)  +  0.2 * ( MAX(#REF!+Races!$E$71-6,0) + MAX(Races!$F$71-6,0) )  -  Races!$I$71</f>
        <v>#REF!</v>
      </c>
      <c r="CY47" s="39" t="e">
        <f>#REF!*#REF!+#REF!*#REF!</f>
        <v>#REF!</v>
      </c>
      <c r="CZ47" s="243"/>
      <c r="DA47" s="135" t="e">
        <f>MIN(SUM(#REF!)/#REF!/favorable_terrain_bonus/100,favorable_terrain_max)</f>
        <v>#REF!</v>
      </c>
      <c r="DB47" s="243"/>
      <c r="DC47"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47" s="134"/>
      <c r="DE47" s="244" t="e">
        <f>(#REF!+2*#REF!)/#REF!</f>
        <v>#REF!</v>
      </c>
      <c r="DF47" s="244" t="e">
        <f>#REF!*(1+race_wizard_strength+IF(#REF!&gt;72,tech_magical_weaponry_wiz*#REF!,0))</f>
        <v>#REF!</v>
      </c>
    </row>
    <row r="48" spans="1:110" x14ac:dyDescent="0.25">
      <c r="A48" s="130" t="e">
        <f>#REF!</f>
        <v>#REF!</v>
      </c>
      <c r="B48" s="236" t="e">
        <f ca="1">SUM(#REF!)+SUM(OFFSET(#REF!,-8,0):#REF!) + SUM(OFFSET(#REF!,-11,0):#REF!) +#REF!</f>
        <v>#REF!</v>
      </c>
      <c r="C48" s="132" t="e">
        <f>#REF!</f>
        <v>#REF!</v>
      </c>
      <c r="D48" s="134"/>
      <c r="E48" s="3" t="e">
        <f ca="1">OFFSET(#REF!,-1,0) + OFFSET(#REF!,-9,0) -#REF!</f>
        <v>#REF!</v>
      </c>
      <c r="F48" s="3" t="e">
        <f ca="1">OFFSET(#REF!,-1,0) + OFFSET(#REF!,-9,0)-#REF!</f>
        <v>#REF!</v>
      </c>
      <c r="G48" s="3" t="e">
        <f ca="1">OFFSET(#REF!,-1,0) + OFFSET(#REF!,-12,0)-#REF!</f>
        <v>#REF!</v>
      </c>
      <c r="H48" s="3" t="e">
        <f ca="1">OFFSET(#REF!,-1,0) + OFFSET(#REF!,-12,0)-#REF!</f>
        <v>#REF!</v>
      </c>
      <c r="I48" s="3" t="e">
        <f ca="1">OFFSET(#REF!,-1,0) + OFFSET(#REF!,-12,0) -#REF!-#REF!</f>
        <v>#REF!</v>
      </c>
      <c r="J48" s="3" t="e">
        <f ca="1">OFFSET(#REF!,-1,0) + OFFSET(#REF!,-12,0) -#REF!</f>
        <v>#REF!</v>
      </c>
      <c r="K48" s="3" t="e">
        <f ca="1">OFFSET(#REF!,-1,0) + OFFSET(#REF!,-12,0) -#REF!-#REF!</f>
        <v>#REF!</v>
      </c>
      <c r="L48" s="3" t="e">
        <f ca="1">OFFSET(#REF!,-1,0) + OFFSET(#REF!,-12,0) -#REF!</f>
        <v>#REF!</v>
      </c>
      <c r="M48" s="134"/>
      <c r="N48" s="39" t="e">
        <f>#REF!</f>
        <v>#REF!</v>
      </c>
      <c r="O48" s="134"/>
      <c r="P48" s="237" t="e">
        <f>#REF!*spec_op+#REF!*(elite1_base_op)+#REF!*(elite2_base_op+dark_elf*#REF!+icekin*#REF!+woodie*#REF!+orc*#REF!)+kobold*#REF!</f>
        <v>#REF!</v>
      </c>
      <c r="Q48" s="132" t="e">
        <f>race_offense+#REF!+ROUND(MIN(gn_bonus*#REF!/#REF!,gn_bonus_cap),4)+MAX(IF(#REF!&gt;0,warsong_bonus),IF(#REF!&gt;0,howling_op_bonus),IF(#REF!&gt;0,nightfall_bonus),IF(#REF!&gt;0,#REF!)) +#REF!/ 100*prestige_offense_bonus + tech_5_4*#REF! + tech_7_4*#REF!</f>
        <v>#REF!</v>
      </c>
      <c r="R48" s="237" t="e">
        <f>#REF!*(1+#REF!)</f>
        <v>#REF!</v>
      </c>
      <c r="S48" s="237" t="e">
        <f>#REF!*spec_dp+#REF!*(elite1_base_dp+woodie*#REF!+sylvan*#REF!+gnome*#REF!+icekin*#REF!+nox*#REF!)+#REF!*(elite2_base_dp+woodie*#REF!) + fh_peas_dp*MIN(#REF!,20*#REF!)+kobold*#REF!</f>
        <v>#REF!</v>
      </c>
      <c r="T48" s="237" t="e">
        <f>#REF!+#REF!</f>
        <v>#REF!</v>
      </c>
      <c r="U48" s="238" t="e">
        <f>race_defense +#REF! + ROUND( MIN(gt_bonus*#REF!/#REF!,gt_bonus_cap), 4) + IF(#REF!&gt;0,howling_dp_bonus,IF(#REF!&gt;0,ares_call_bonus))</f>
        <v>#REF!</v>
      </c>
      <c r="V48" s="239" t="e">
        <f>#REF! * (1 +#REF!)</f>
        <v>#REF!</v>
      </c>
      <c r="W48" s="237" t="e">
        <f>#REF! * (1 +#REF!)</f>
        <v>#REF!</v>
      </c>
      <c r="X48" s="237" t="e">
        <f>#REF!</f>
        <v>#REF!</v>
      </c>
      <c r="Y48" s="240"/>
      <c r="Z48" s="135" t="e">
        <f ca="1">IF(#REF!&lt;&gt;"",#REF!,OFFSET(#REF!,-1,0))</f>
        <v>#REF!</v>
      </c>
      <c r="AA48" s="39" t="e">
        <f ca="1">OFFSET(#REF!,-1,0)+OFFSET(#REF!,-1,0) - SUM(#REF!,#REF!) -#REF! + SUM(#REF!) -#REF!</f>
        <v>#REF!</v>
      </c>
      <c r="AB48" s="133"/>
      <c r="AC48" s="132" t="e">
        <f>(#REF!+#REF!)/(#REF!-#REF!*20)</f>
        <v>#REF!</v>
      </c>
      <c r="AD48" s="130"/>
      <c r="AE48" s="236" t="e">
        <f>#REF!</f>
        <v>#REF!</v>
      </c>
      <c r="AF48" s="131" t="e">
        <f>#REF!</f>
        <v>#REF!</v>
      </c>
      <c r="AG48" s="164"/>
      <c r="AH48" s="164"/>
      <c r="AI48" s="164"/>
      <c r="AJ48" s="164"/>
      <c r="AK48" s="164"/>
      <c r="AL48" s="164"/>
      <c r="AM48" s="164"/>
      <c r="AN48" s="164"/>
      <c r="AO48" s="134"/>
      <c r="AP48" s="39" t="e">
        <f>#REF!</f>
        <v>#REF!</v>
      </c>
      <c r="AQ48" s="39" t="e">
        <f>INDEX(#REF!:#REF!,COUNTA(#REF!:#REF!),MATCH(Military!$AQ$2,#REF!,0))</f>
        <v>#REF!</v>
      </c>
      <c r="AR48" s="39" t="e">
        <f>#REF!*#REF!+#REF!*#REF!+#REF!*#REF!+#REF!*#REF!+#REF!*#REF!+#REF!*#REF!+#REF!*#REF!</f>
        <v>#REF!</v>
      </c>
      <c r="AS48" s="39" t="e">
        <f>#REF!*#REF!+#REF!*#REF!+#REF!*#REF!+#REF!*#REF!</f>
        <v>#REF!</v>
      </c>
      <c r="AT48" s="134" t="e">
        <f>#REF!</f>
        <v>#REF!</v>
      </c>
      <c r="AU48" s="143" t="e">
        <f>#REF!</f>
        <v>#REF!</v>
      </c>
      <c r="AV48" s="39" t="e">
        <f>#REF!</f>
        <v>#REF!</v>
      </c>
      <c r="AW48" s="164"/>
      <c r="AX48" s="164"/>
      <c r="AY48" s="164"/>
      <c r="AZ48" s="164"/>
      <c r="BA48" s="164"/>
      <c r="BB48" s="164"/>
      <c r="BC48" s="164"/>
      <c r="BD48" s="164"/>
      <c r="BE48" s="164"/>
      <c r="BF48" s="134"/>
      <c r="BG48" s="132" t="e">
        <f>#REF!/#REF!</f>
        <v>#REF!</v>
      </c>
      <c r="BH48" s="132" t="e">
        <f>#REF!/#REF!</f>
        <v>#REF!</v>
      </c>
      <c r="BI48" s="39" t="e">
        <f>ROUNDUP((1-MIN(#REF!*smithy_bonus,smithy_bonus_cap) + tech_3_5*#REF! + tech_5_3*#REF! + tech_5_5*#REF!)*spec_op_plat,0)</f>
        <v>#REF!</v>
      </c>
      <c r="BJ48" s="39" t="e">
        <f>ROUNDUP(IF(race="Gnome",1,(1-MIN(#REF!*smithy_bonus,smithy_bonus_cap) + tech_3_5*#REF! + tech_5_3*#REF! + tech_5_5*#REF!))*spec_op_ore,0)</f>
        <v>#REF!</v>
      </c>
      <c r="BK48" s="39" t="e">
        <f>ROUNDUP((1-MIN(#REF!*smithy_bonus,smithy_bonus_cap) + tech_3_5*#REF! + tech_5_3*#REF! + tech_5_5*#REF!)*spec_dp_plat,0)</f>
        <v>#REF!</v>
      </c>
      <c r="BL48" s="39" t="e">
        <f>ROUNDUP(IF(race="Gnome",1,(1-MIN(#REF!*smithy_bonus,smithy_bonus_cap) + tech_3_5*#REF! + tech_5_3*#REF! + tech_5_5*#REF!))*spec_dp_ore,0)</f>
        <v>#REF!</v>
      </c>
      <c r="BM48" s="39" t="e">
        <f>ROUNDUP((1-MIN(#REF!*smithy_bonus,smithy_bonus_cap) + tech_3_5*#REF! + tech_5_3*#REF! + tech_5_5*#REF!)*elite1_plat,0)</f>
        <v>#REF!</v>
      </c>
      <c r="BN48" s="39" t="e">
        <f>ROUNDUP(IF(race="Gnome",1,(1-MIN(#REF!*smithy_bonus,smithy_bonus_cap) + tech_3_5*#REF! + tech_5_3*#REF! + tech_5_5*#REF!))*elite1_ore,0)</f>
        <v>#REF!</v>
      </c>
      <c r="BO48" s="39" t="e">
        <f>ROUNDUP((1-MIN(#REF!*smithy_bonus,smithy_bonus_cap) + tech_3_5*#REF! + tech_5_3*#REF! + tech_5_5*#REF!)*elite2_plat,0)</f>
        <v>#REF!</v>
      </c>
      <c r="BP48" s="39" t="e">
        <f>ROUNDUP(IF(race="Gnome",1,(1-MIN(#REF!*smithy_bonus,smithy_bonus_cap) + tech_3_5*#REF! + tech_5_3*#REF! + tech_5_5*#REF!))*elite2_ore,0)</f>
        <v>#REF!</v>
      </c>
      <c r="BQ48" s="39" t="e">
        <f>ROUNDUP((1-MIN(ROUND(fh_spy_cost_red*#REF!,4),fh_spy_cost_cap)+ tech_1_9*#REF! + tech_9_1*#REF!)*spy_plat,0)</f>
        <v>#REF!</v>
      </c>
      <c r="BR48" s="39" t="e">
        <f>ROUNDUP((1-MIN(ROUND(fh_spy_cost_red*#REF!,4),fh_spy_cost_cap)+ tech_1_9*#REF! + tech_9_1*#REF!)*archspy_plat,0)</f>
        <v>#REF!</v>
      </c>
      <c r="BS48" s="39" t="e">
        <f>ROUNDUP((1-MIN(ROUND(wg_wiz_cost_bonus*#REF!,4),wg_wiz_cost_cap) + tech_1_9_2*#REF! + tech_9_1_2*#REF!)*wizard_plat,0)</f>
        <v>#REF!</v>
      </c>
      <c r="BT48" s="39" t="e">
        <f>ROUNDUP((1-MIN(ROUND(wg_wiz_cost_bonus*#REF!,4),wg_wiz_cost_cap) + tech_1_9_2*#REF! + tech_9_1_2*#REF!)*archmage_plat,0)</f>
        <v>#REF!</v>
      </c>
      <c r="BU48" s="134"/>
      <c r="BV48" s="132" t="e">
        <f>#REF!/#REF!</f>
        <v>#REF!</v>
      </c>
      <c r="BW48" s="132" t="e">
        <f>#REF!</f>
        <v>#REF!</v>
      </c>
      <c r="BX48" s="241" t="e">
        <f>IF(mystic_cap="none",#REF!/mystic_bonus,MIN(mystic_cap,#REF!/mystic_bonus))</f>
        <v>#REF!</v>
      </c>
      <c r="BY48" s="241" t="e">
        <f>IF(druid_op_cap="none",#REF!/druid_op_bonus,MIN(druid_op_cap,#REF!/druid_op_bonus))</f>
        <v>#REF!</v>
      </c>
      <c r="BZ48" s="241" t="e">
        <f>IF(druid_dp_cap="none",#REF!/druid_dp_bonus,MIN(druid_dp_cap,#REF!/druid_dp_bonus))</f>
        <v>#REF!</v>
      </c>
      <c r="CA48" s="241" t="e">
        <f>MIN(dryad_cap,#REF!/dryad_bonus)</f>
        <v>#REF!</v>
      </c>
      <c r="CB48" s="241" t="e">
        <f>MIN(rocka_cap,#REF!/rocka_bonus)</f>
        <v>#REF!</v>
      </c>
      <c r="CC48" s="241" t="e">
        <f>MIN(adept_op_cap,#REF!/adept_op_bonus)</f>
        <v>#REF!</v>
      </c>
      <c r="CD48" s="241" t="e">
        <f>MIN(adept_dp_cap,#REF!/adept_dp_bonus)</f>
        <v>#REF!</v>
      </c>
      <c r="CE48" s="39" t="e">
        <f>MIN(#REF!,#REF!)*2</f>
        <v>#REF!</v>
      </c>
      <c r="CF48" s="39" t="e">
        <f>MIN(#REF!,#REF!)*2</f>
        <v>#REF!</v>
      </c>
      <c r="CG48" s="241" t="e">
        <f>MIN(frost_mage_cap,#REF!/frost_mage_bonus)</f>
        <v>#REF!</v>
      </c>
      <c r="CH48" s="3" t="e">
        <f>MIN(ice_elem_cap,#REF!*ice_elem_bonus)</f>
        <v>#REF!</v>
      </c>
      <c r="CI48" s="241">
        <f t="shared" si="2"/>
        <v>0.83333333333333337</v>
      </c>
      <c r="CJ48" s="241" t="e">
        <f>MIN(nox_nightshade_cap,#REF!/#REF!/nox_nightshade_swamp_bonus)</f>
        <v>#REF!</v>
      </c>
      <c r="CK48" s="242"/>
      <c r="CL48" s="242"/>
      <c r="CM48" s="242"/>
      <c r="CN48" s="241" t="e">
        <f>MIN(6,#REF!+Races!$F$19)*1.8 +  IF(#REF!+Races!$F$19&gt;6,(#REF!+Races!$F$19-6)*0.2,0) - Races!$I$19</f>
        <v>#REF!</v>
      </c>
      <c r="CO48" s="241" t="e">
        <f>1.8 * MIN(MAX(#REF!+Races!$E$20,#REF!+Races!$F$20),6)  +  0.45 * MIN(MIN(#REF!+Races!$E$20,#REF!+Races!$F$20),6)  +  0.2 * ( MAX(#REF!+Races!$E$20-6,0) + MAX(#REF!+Races!$F$20-6,0) )  -  Races!$I$20</f>
        <v>#REF!</v>
      </c>
      <c r="CP48" s="39" t="e">
        <f>#REF!*#REF!+#REF!*#REF!</f>
        <v>#REF!</v>
      </c>
      <c r="CQ48" s="145" t="e">
        <f>MIN(6,#REF!+Races!$F$35)*1.8 +  IF(#REF!+Races!$F$35&gt;6,(#REF!+Races!$F$35-6)*0.2,0) - Races!$I$19</f>
        <v>#REF!</v>
      </c>
      <c r="CR48" s="39" t="e">
        <f>sylvan*(#REF!*#REF!)</f>
        <v>#REF!</v>
      </c>
      <c r="CS48" s="145" t="e">
        <f>1.8 * MIN(MAX(Races!$E$27,#REF!+Races!$F$27),6)  +  0.45 * MIN(MIN(Races!$E$27,#REF!+Races!$F$27),6)  +  0.2 * ( MAX(Races!$E$27-6,0) + MAX(#REF!+Races!$F$27-6,0) )  -  Races!$I$20</f>
        <v>#REF!</v>
      </c>
      <c r="CT48" s="39" t="e">
        <f>gnome*(#REF!*#REF!)</f>
        <v>#REF!</v>
      </c>
      <c r="CU48" s="145" t="e">
        <f>1.8 * MIN(MAX(#REF!+Races!$E$47,#REF!+Races!$F$47),6)  +  0.45 * MIN(MIN(#REF!+Races!$E$47,#REF!+Races!$F$47),6)  +  0.2 * ( MAX(#REF!+Races!$E$47-6,0) + MAX(#REF!+Races!$F$47-6,0) )  -  Races!$I$47</f>
        <v>#REF!</v>
      </c>
      <c r="CV48" s="39" t="e">
        <f>dark_elf*(#REF!*#REF!)</f>
        <v>#REF!</v>
      </c>
      <c r="CW48" s="145" t="e">
        <f>1.8 * MIN(MAX(#REF!+Races!$F$71,Races!$E$71),6)  +  0.45 * MIN(MIN(#REF!+Races!$F$71,Races!$E$71),6)  +  0.2 * ( MAX(#REF!+Races!$F$71-6,0) + MAX(Races!$E$71-6,0) )  -  Races!$I$71</f>
        <v>#REF!</v>
      </c>
      <c r="CX48" s="145" t="e">
        <f>1.8 * MIN(MAX(#REF!+Races!$E$71,Races!$F$71),6)  +  0.45 * MIN(MIN(#REF!+Races!$E$71,Races!$F$71),6)  +  0.2 * ( MAX(#REF!+Races!$E$71-6,0) + MAX(Races!$F$71-6,0) )  -  Races!$I$71</f>
        <v>#REF!</v>
      </c>
      <c r="CY48" s="39" t="e">
        <f>#REF!*#REF!+#REF!*#REF!</f>
        <v>#REF!</v>
      </c>
      <c r="CZ48" s="243"/>
      <c r="DA48" s="135" t="e">
        <f>MIN(SUM(#REF!)/#REF!/favorable_terrain_bonus/100,favorable_terrain_max)</f>
        <v>#REF!</v>
      </c>
      <c r="DB48" s="243"/>
      <c r="DC48"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48" s="134"/>
      <c r="DE48" s="244" t="e">
        <f>(#REF!+2*#REF!)/#REF!</f>
        <v>#REF!</v>
      </c>
      <c r="DF48" s="244" t="e">
        <f>#REF!*(1+race_wizard_strength+IF(#REF!&gt;72,tech_magical_weaponry_wiz*#REF!,0))</f>
        <v>#REF!</v>
      </c>
    </row>
    <row r="49" spans="1:110" x14ac:dyDescent="0.25">
      <c r="A49" s="130" t="e">
        <f>#REF!</f>
        <v>#REF!</v>
      </c>
      <c r="B49" s="236" t="e">
        <f ca="1">SUM(#REF!)+SUM(OFFSET(#REF!,-8,0):#REF!) + SUM(OFFSET(#REF!,-11,0):#REF!) +#REF!</f>
        <v>#REF!</v>
      </c>
      <c r="C49" s="132" t="e">
        <f>#REF!</f>
        <v>#REF!</v>
      </c>
      <c r="D49" s="134"/>
      <c r="E49" s="3" t="e">
        <f ca="1">OFFSET(#REF!,-1,0) + OFFSET(#REF!,-9,0) -#REF!</f>
        <v>#REF!</v>
      </c>
      <c r="F49" s="3" t="e">
        <f ca="1">OFFSET(#REF!,-1,0) + OFFSET(#REF!,-9,0)-#REF!</f>
        <v>#REF!</v>
      </c>
      <c r="G49" s="3" t="e">
        <f ca="1">OFFSET(#REF!,-1,0) + OFFSET(#REF!,-12,0)-#REF!</f>
        <v>#REF!</v>
      </c>
      <c r="H49" s="3" t="e">
        <f ca="1">OFFSET(#REF!,-1,0) + OFFSET(#REF!,-12,0)-#REF!</f>
        <v>#REF!</v>
      </c>
      <c r="I49" s="3" t="e">
        <f ca="1">OFFSET(#REF!,-1,0) + OFFSET(#REF!,-12,0) -#REF!-#REF!</f>
        <v>#REF!</v>
      </c>
      <c r="J49" s="3" t="e">
        <f ca="1">OFFSET(#REF!,-1,0) + OFFSET(#REF!,-12,0) -#REF!</f>
        <v>#REF!</v>
      </c>
      <c r="K49" s="3" t="e">
        <f ca="1">OFFSET(#REF!,-1,0) + OFFSET(#REF!,-12,0) -#REF!-#REF!</f>
        <v>#REF!</v>
      </c>
      <c r="L49" s="3" t="e">
        <f ca="1">OFFSET(#REF!,-1,0) + OFFSET(#REF!,-12,0) -#REF!</f>
        <v>#REF!</v>
      </c>
      <c r="M49" s="134"/>
      <c r="N49" s="39" t="e">
        <f>#REF!</f>
        <v>#REF!</v>
      </c>
      <c r="O49" s="134"/>
      <c r="P49" s="237" t="e">
        <f>#REF!*spec_op+#REF!*(elite1_base_op)+#REF!*(elite2_base_op+dark_elf*#REF!+icekin*#REF!+woodie*#REF!+orc*#REF!)+kobold*#REF!</f>
        <v>#REF!</v>
      </c>
      <c r="Q49" s="132" t="e">
        <f>race_offense+#REF!+ROUND(MIN(gn_bonus*#REF!/#REF!,gn_bonus_cap),4)+MAX(IF(#REF!&gt;0,warsong_bonus),IF(#REF!&gt;0,howling_op_bonus),IF(#REF!&gt;0,nightfall_bonus),IF(#REF!&gt;0,#REF!)) +#REF!/ 100*prestige_offense_bonus + tech_5_4*#REF! + tech_7_4*#REF!</f>
        <v>#REF!</v>
      </c>
      <c r="R49" s="237" t="e">
        <f>#REF!*(1+#REF!)</f>
        <v>#REF!</v>
      </c>
      <c r="S49" s="237" t="e">
        <f>#REF!*spec_dp+#REF!*(elite1_base_dp+woodie*#REF!+sylvan*#REF!+gnome*#REF!+icekin*#REF!+nox*#REF!)+#REF!*(elite2_base_dp+woodie*#REF!) + fh_peas_dp*MIN(#REF!,20*#REF!)+kobold*#REF!</f>
        <v>#REF!</v>
      </c>
      <c r="T49" s="237" t="e">
        <f>#REF!+#REF!</f>
        <v>#REF!</v>
      </c>
      <c r="U49" s="238" t="e">
        <f>race_defense +#REF! + ROUND( MIN(gt_bonus*#REF!/#REF!,gt_bonus_cap), 4) + IF(#REF!&gt;0,howling_dp_bonus,IF(#REF!&gt;0,ares_call_bonus))</f>
        <v>#REF!</v>
      </c>
      <c r="V49" s="239" t="e">
        <f>#REF! * (1 +#REF!)</f>
        <v>#REF!</v>
      </c>
      <c r="W49" s="237" t="e">
        <f>#REF! * (1 +#REF!)</f>
        <v>#REF!</v>
      </c>
      <c r="X49" s="237" t="e">
        <f>#REF!</f>
        <v>#REF!</v>
      </c>
      <c r="Y49" s="240"/>
      <c r="Z49" s="135" t="e">
        <f ca="1">IF(#REF!&lt;&gt;"",#REF!,OFFSET(#REF!,-1,0))</f>
        <v>#REF!</v>
      </c>
      <c r="AA49" s="39" t="e">
        <f ca="1">OFFSET(#REF!,-1,0)+OFFSET(#REF!,-1,0) - SUM(#REF!,#REF!) -#REF! + SUM(#REF!) -#REF!</f>
        <v>#REF!</v>
      </c>
      <c r="AB49" s="133"/>
      <c r="AC49" s="132" t="e">
        <f>(#REF!+#REF!)/(#REF!-#REF!*20)</f>
        <v>#REF!</v>
      </c>
      <c r="AD49" s="130"/>
      <c r="AE49" s="236" t="e">
        <f>#REF!</f>
        <v>#REF!</v>
      </c>
      <c r="AF49" s="131" t="e">
        <f>#REF!</f>
        <v>#REF!</v>
      </c>
      <c r="AG49" s="164"/>
      <c r="AH49" s="164"/>
      <c r="AI49" s="164"/>
      <c r="AJ49" s="164"/>
      <c r="AK49" s="164"/>
      <c r="AL49" s="164"/>
      <c r="AM49" s="164"/>
      <c r="AN49" s="164"/>
      <c r="AO49" s="134"/>
      <c r="AP49" s="39" t="e">
        <f>#REF!</f>
        <v>#REF!</v>
      </c>
      <c r="AQ49" s="39" t="e">
        <f>INDEX(#REF!:#REF!,COUNTA(#REF!:#REF!),MATCH(Military!$AQ$2,#REF!,0))</f>
        <v>#REF!</v>
      </c>
      <c r="AR49" s="39" t="e">
        <f>#REF!*#REF!+#REF!*#REF!+#REF!*#REF!+#REF!*#REF!+#REF!*#REF!+#REF!*#REF!+#REF!*#REF!</f>
        <v>#REF!</v>
      </c>
      <c r="AS49" s="39" t="e">
        <f>#REF!*#REF!+#REF!*#REF!+#REF!*#REF!+#REF!*#REF!</f>
        <v>#REF!</v>
      </c>
      <c r="AT49" s="134" t="e">
        <f>#REF!</f>
        <v>#REF!</v>
      </c>
      <c r="AU49" s="143" t="e">
        <f>#REF!</f>
        <v>#REF!</v>
      </c>
      <c r="AV49" s="39" t="e">
        <f>#REF!</f>
        <v>#REF!</v>
      </c>
      <c r="AW49" s="164"/>
      <c r="AX49" s="164"/>
      <c r="AY49" s="164"/>
      <c r="AZ49" s="164"/>
      <c r="BA49" s="164"/>
      <c r="BB49" s="164"/>
      <c r="BC49" s="164"/>
      <c r="BD49" s="164"/>
      <c r="BE49" s="164"/>
      <c r="BF49" s="134"/>
      <c r="BG49" s="132" t="e">
        <f>#REF!/#REF!</f>
        <v>#REF!</v>
      </c>
      <c r="BH49" s="132" t="e">
        <f>#REF!/#REF!</f>
        <v>#REF!</v>
      </c>
      <c r="BI49" s="39" t="e">
        <f>ROUNDUP((1-MIN(#REF!*smithy_bonus,smithy_bonus_cap) + tech_3_5*#REF! + tech_5_3*#REF! + tech_5_5*#REF!)*spec_op_plat,0)</f>
        <v>#REF!</v>
      </c>
      <c r="BJ49" s="39" t="e">
        <f>ROUNDUP(IF(race="Gnome",1,(1-MIN(#REF!*smithy_bonus,smithy_bonus_cap) + tech_3_5*#REF! + tech_5_3*#REF! + tech_5_5*#REF!))*spec_op_ore,0)</f>
        <v>#REF!</v>
      </c>
      <c r="BK49" s="39" t="e">
        <f>ROUNDUP((1-MIN(#REF!*smithy_bonus,smithy_bonus_cap) + tech_3_5*#REF! + tech_5_3*#REF! + tech_5_5*#REF!)*spec_dp_plat,0)</f>
        <v>#REF!</v>
      </c>
      <c r="BL49" s="39" t="e">
        <f>ROUNDUP(IF(race="Gnome",1,(1-MIN(#REF!*smithy_bonus,smithy_bonus_cap) + tech_3_5*#REF! + tech_5_3*#REF! + tech_5_5*#REF!))*spec_dp_ore,0)</f>
        <v>#REF!</v>
      </c>
      <c r="BM49" s="39" t="e">
        <f>ROUNDUP((1-MIN(#REF!*smithy_bonus,smithy_bonus_cap) + tech_3_5*#REF! + tech_5_3*#REF! + tech_5_5*#REF!)*elite1_plat,0)</f>
        <v>#REF!</v>
      </c>
      <c r="BN49" s="39" t="e">
        <f>ROUNDUP(IF(race="Gnome",1,(1-MIN(#REF!*smithy_bonus,smithy_bonus_cap) + tech_3_5*#REF! + tech_5_3*#REF! + tech_5_5*#REF!))*elite1_ore,0)</f>
        <v>#REF!</v>
      </c>
      <c r="BO49" s="39" t="e">
        <f>ROUNDUP((1-MIN(#REF!*smithy_bonus,smithy_bonus_cap) + tech_3_5*#REF! + tech_5_3*#REF! + tech_5_5*#REF!)*elite2_plat,0)</f>
        <v>#REF!</v>
      </c>
      <c r="BP49" s="39" t="e">
        <f>ROUNDUP(IF(race="Gnome",1,(1-MIN(#REF!*smithy_bonus,smithy_bonus_cap) + tech_3_5*#REF! + tech_5_3*#REF! + tech_5_5*#REF!))*elite2_ore,0)</f>
        <v>#REF!</v>
      </c>
      <c r="BQ49" s="39" t="e">
        <f>ROUNDUP((1-MIN(ROUND(fh_spy_cost_red*#REF!,4),fh_spy_cost_cap)+ tech_1_9*#REF! + tech_9_1*#REF!)*spy_plat,0)</f>
        <v>#REF!</v>
      </c>
      <c r="BR49" s="39" t="e">
        <f>ROUNDUP((1-MIN(ROUND(fh_spy_cost_red*#REF!,4),fh_spy_cost_cap)+ tech_1_9*#REF! + tech_9_1*#REF!)*archspy_plat,0)</f>
        <v>#REF!</v>
      </c>
      <c r="BS49" s="39" t="e">
        <f>ROUNDUP((1-MIN(ROUND(wg_wiz_cost_bonus*#REF!,4),wg_wiz_cost_cap) + tech_1_9_2*#REF! + tech_9_1_2*#REF!)*wizard_plat,0)</f>
        <v>#REF!</v>
      </c>
      <c r="BT49" s="39" t="e">
        <f>ROUNDUP((1-MIN(ROUND(wg_wiz_cost_bonus*#REF!,4),wg_wiz_cost_cap) + tech_1_9_2*#REF! + tech_9_1_2*#REF!)*archmage_plat,0)</f>
        <v>#REF!</v>
      </c>
      <c r="BU49" s="134"/>
      <c r="BV49" s="132" t="e">
        <f>#REF!/#REF!</f>
        <v>#REF!</v>
      </c>
      <c r="BW49" s="132" t="e">
        <f>#REF!</f>
        <v>#REF!</v>
      </c>
      <c r="BX49" s="241" t="e">
        <f>IF(mystic_cap="none",#REF!/mystic_bonus,MIN(mystic_cap,#REF!/mystic_bonus))</f>
        <v>#REF!</v>
      </c>
      <c r="BY49" s="241" t="e">
        <f>IF(druid_op_cap="none",#REF!/druid_op_bonus,MIN(druid_op_cap,#REF!/druid_op_bonus))</f>
        <v>#REF!</v>
      </c>
      <c r="BZ49" s="241" t="e">
        <f>IF(druid_dp_cap="none",#REF!/druid_dp_bonus,MIN(druid_dp_cap,#REF!/druid_dp_bonus))</f>
        <v>#REF!</v>
      </c>
      <c r="CA49" s="241" t="e">
        <f>MIN(dryad_cap,#REF!/dryad_bonus)</f>
        <v>#REF!</v>
      </c>
      <c r="CB49" s="241" t="e">
        <f>MIN(rocka_cap,#REF!/rocka_bonus)</f>
        <v>#REF!</v>
      </c>
      <c r="CC49" s="241" t="e">
        <f>MIN(adept_op_cap,#REF!/adept_op_bonus)</f>
        <v>#REF!</v>
      </c>
      <c r="CD49" s="241" t="e">
        <f>MIN(adept_dp_cap,#REF!/adept_dp_bonus)</f>
        <v>#REF!</v>
      </c>
      <c r="CE49" s="39" t="e">
        <f>MIN(#REF!,#REF!)*2</f>
        <v>#REF!</v>
      </c>
      <c r="CF49" s="39" t="e">
        <f>MIN(#REF!,#REF!)*2</f>
        <v>#REF!</v>
      </c>
      <c r="CG49" s="241" t="e">
        <f>MIN(frost_mage_cap,#REF!/frost_mage_bonus)</f>
        <v>#REF!</v>
      </c>
      <c r="CH49" s="3" t="e">
        <f>MIN(ice_elem_cap,#REF!*ice_elem_bonus)</f>
        <v>#REF!</v>
      </c>
      <c r="CI49" s="241">
        <f t="shared" si="2"/>
        <v>0.83333333333333337</v>
      </c>
      <c r="CJ49" s="241" t="e">
        <f>MIN(nox_nightshade_cap,#REF!/#REF!/nox_nightshade_swamp_bonus)</f>
        <v>#REF!</v>
      </c>
      <c r="CK49" s="242"/>
      <c r="CL49" s="242"/>
      <c r="CM49" s="242"/>
      <c r="CN49" s="241" t="e">
        <f>MIN(6,#REF!+Races!$F$19)*1.8 +  IF(#REF!+Races!$F$19&gt;6,(#REF!+Races!$F$19-6)*0.2,0) - Races!$I$19</f>
        <v>#REF!</v>
      </c>
      <c r="CO49" s="241" t="e">
        <f>1.8 * MIN(MAX(#REF!+Races!$E$20,#REF!+Races!$F$20),6)  +  0.45 * MIN(MIN(#REF!+Races!$E$20,#REF!+Races!$F$20),6)  +  0.2 * ( MAX(#REF!+Races!$E$20-6,0) + MAX(#REF!+Races!$F$20-6,0) )  -  Races!$I$20</f>
        <v>#REF!</v>
      </c>
      <c r="CP49" s="39" t="e">
        <f>#REF!*#REF!+#REF!*#REF!</f>
        <v>#REF!</v>
      </c>
      <c r="CQ49" s="145" t="e">
        <f>MIN(6,#REF!+Races!$F$35)*1.8 +  IF(#REF!+Races!$F$35&gt;6,(#REF!+Races!$F$35-6)*0.2,0) - Races!$I$19</f>
        <v>#REF!</v>
      </c>
      <c r="CR49" s="39" t="e">
        <f>sylvan*(#REF!*#REF!)</f>
        <v>#REF!</v>
      </c>
      <c r="CS49" s="145" t="e">
        <f>1.8 * MIN(MAX(Races!$E$27,#REF!+Races!$F$27),6)  +  0.45 * MIN(MIN(Races!$E$27,#REF!+Races!$F$27),6)  +  0.2 * ( MAX(Races!$E$27-6,0) + MAX(#REF!+Races!$F$27-6,0) )  -  Races!$I$20</f>
        <v>#REF!</v>
      </c>
      <c r="CT49" s="39" t="e">
        <f>gnome*(#REF!*#REF!)</f>
        <v>#REF!</v>
      </c>
      <c r="CU49" s="145" t="e">
        <f>1.8 * MIN(MAX(#REF!+Races!$E$47,#REF!+Races!$F$47),6)  +  0.45 * MIN(MIN(#REF!+Races!$E$47,#REF!+Races!$F$47),6)  +  0.2 * ( MAX(#REF!+Races!$E$47-6,0) + MAX(#REF!+Races!$F$47-6,0) )  -  Races!$I$47</f>
        <v>#REF!</v>
      </c>
      <c r="CV49" s="39" t="e">
        <f>dark_elf*(#REF!*#REF!)</f>
        <v>#REF!</v>
      </c>
      <c r="CW49" s="145" t="e">
        <f>1.8 * MIN(MAX(#REF!+Races!$F$71,Races!$E$71),6)  +  0.45 * MIN(MIN(#REF!+Races!$F$71,Races!$E$71),6)  +  0.2 * ( MAX(#REF!+Races!$F$71-6,0) + MAX(Races!$E$71-6,0) )  -  Races!$I$71</f>
        <v>#REF!</v>
      </c>
      <c r="CX49" s="145" t="e">
        <f>1.8 * MIN(MAX(#REF!+Races!$E$71,Races!$F$71),6)  +  0.45 * MIN(MIN(#REF!+Races!$E$71,Races!$F$71),6)  +  0.2 * ( MAX(#REF!+Races!$E$71-6,0) + MAX(Races!$F$71-6,0) )  -  Races!$I$71</f>
        <v>#REF!</v>
      </c>
      <c r="CY49" s="39" t="e">
        <f>#REF!*#REF!+#REF!*#REF!</f>
        <v>#REF!</v>
      </c>
      <c r="CZ49" s="243"/>
      <c r="DA49" s="135" t="e">
        <f>MIN(SUM(#REF!)/#REF!/favorable_terrain_bonus/100,favorable_terrain_max)</f>
        <v>#REF!</v>
      </c>
      <c r="DB49" s="243"/>
      <c r="DC49"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49" s="134"/>
      <c r="DE49" s="244" t="e">
        <f>(#REF!+2*#REF!)/#REF!</f>
        <v>#REF!</v>
      </c>
      <c r="DF49" s="244" t="e">
        <f>#REF!*(1+race_wizard_strength+IF(#REF!&gt;72,tech_magical_weaponry_wiz*#REF!,0))</f>
        <v>#REF!</v>
      </c>
    </row>
    <row r="50" spans="1:110" x14ac:dyDescent="0.25">
      <c r="A50" s="130" t="e">
        <f>#REF!</f>
        <v>#REF!</v>
      </c>
      <c r="B50" s="236" t="e">
        <f ca="1">SUM(#REF!)+SUM(OFFSET(#REF!,-8,0):#REF!) + SUM(OFFSET(#REF!,-11,0):#REF!) +#REF!</f>
        <v>#REF!</v>
      </c>
      <c r="C50" s="132" t="e">
        <f>#REF!</f>
        <v>#REF!</v>
      </c>
      <c r="D50" s="134"/>
      <c r="E50" s="3" t="e">
        <f ca="1">OFFSET(#REF!,-1,0) + OFFSET(#REF!,-9,0) -#REF!</f>
        <v>#REF!</v>
      </c>
      <c r="F50" s="3" t="e">
        <f ca="1">OFFSET(#REF!,-1,0) + OFFSET(#REF!,-9,0)-#REF!</f>
        <v>#REF!</v>
      </c>
      <c r="G50" s="3" t="e">
        <f ca="1">OFFSET(#REF!,-1,0) + OFFSET(#REF!,-12,0)-#REF!</f>
        <v>#REF!</v>
      </c>
      <c r="H50" s="3" t="e">
        <f ca="1">OFFSET(#REF!,-1,0) + OFFSET(#REF!,-12,0)-#REF!</f>
        <v>#REF!</v>
      </c>
      <c r="I50" s="3" t="e">
        <f ca="1">OFFSET(#REF!,-1,0) + OFFSET(#REF!,-12,0) -#REF!-#REF!</f>
        <v>#REF!</v>
      </c>
      <c r="J50" s="3" t="e">
        <f ca="1">OFFSET(#REF!,-1,0) + OFFSET(#REF!,-12,0) -#REF!</f>
        <v>#REF!</v>
      </c>
      <c r="K50" s="3" t="e">
        <f ca="1">OFFSET(#REF!,-1,0) + OFFSET(#REF!,-12,0) -#REF!-#REF!</f>
        <v>#REF!</v>
      </c>
      <c r="L50" s="3" t="e">
        <f ca="1">OFFSET(#REF!,-1,0) + OFFSET(#REF!,-12,0) -#REF!</f>
        <v>#REF!</v>
      </c>
      <c r="M50" s="134"/>
      <c r="N50" s="39" t="e">
        <f>#REF!</f>
        <v>#REF!</v>
      </c>
      <c r="O50" s="134"/>
      <c r="P50" s="237" t="e">
        <f>#REF!*spec_op+#REF!*(elite1_base_op)+#REF!*(elite2_base_op+dark_elf*#REF!+icekin*#REF!+woodie*#REF!+orc*#REF!)+kobold*#REF!</f>
        <v>#REF!</v>
      </c>
      <c r="Q50" s="132" t="e">
        <f>race_offense+#REF!+ROUND(MIN(gn_bonus*#REF!/#REF!,gn_bonus_cap),4)+MAX(IF(#REF!&gt;0,warsong_bonus),IF(#REF!&gt;0,howling_op_bonus),IF(#REF!&gt;0,nightfall_bonus),IF(#REF!&gt;0,#REF!)) +#REF!/ 100*prestige_offense_bonus + tech_5_4*#REF! + tech_7_4*#REF!</f>
        <v>#REF!</v>
      </c>
      <c r="R50" s="237" t="e">
        <f>#REF!*(1+#REF!)</f>
        <v>#REF!</v>
      </c>
      <c r="S50" s="237" t="e">
        <f>#REF!*spec_dp+#REF!*(elite1_base_dp+woodie*#REF!+sylvan*#REF!+gnome*#REF!+icekin*#REF!+nox*#REF!)+#REF!*(elite2_base_dp+woodie*#REF!) + fh_peas_dp*MIN(#REF!,20*#REF!)+kobold*#REF!</f>
        <v>#REF!</v>
      </c>
      <c r="T50" s="237" t="e">
        <f>#REF!+#REF!</f>
        <v>#REF!</v>
      </c>
      <c r="U50" s="238" t="e">
        <f>race_defense +#REF! + ROUND( MIN(gt_bonus*#REF!/#REF!,gt_bonus_cap), 4) + IF(#REF!&gt;0,howling_dp_bonus,IF(#REF!&gt;0,ares_call_bonus))</f>
        <v>#REF!</v>
      </c>
      <c r="V50" s="239" t="e">
        <f>#REF! * (1 +#REF!)</f>
        <v>#REF!</v>
      </c>
      <c r="W50" s="237" t="e">
        <f>#REF! * (1 +#REF!)</f>
        <v>#REF!</v>
      </c>
      <c r="X50" s="237" t="e">
        <f>#REF!</f>
        <v>#REF!</v>
      </c>
      <c r="Y50" s="240"/>
      <c r="Z50" s="135" t="e">
        <f ca="1">IF(#REF!&lt;&gt;"",#REF!,OFFSET(#REF!,-1,0))</f>
        <v>#REF!</v>
      </c>
      <c r="AA50" s="39" t="e">
        <f ca="1">OFFSET(#REF!,-1,0)+OFFSET(#REF!,-1,0) - SUM(#REF!,#REF!) -#REF! + SUM(#REF!) -#REF!</f>
        <v>#REF!</v>
      </c>
      <c r="AB50" s="133"/>
      <c r="AC50" s="132" t="e">
        <f>(#REF!+#REF!)/(#REF!-#REF!*20)</f>
        <v>#REF!</v>
      </c>
      <c r="AD50" s="130"/>
      <c r="AE50" s="236" t="e">
        <f>#REF!</f>
        <v>#REF!</v>
      </c>
      <c r="AF50" s="131" t="e">
        <f>#REF!</f>
        <v>#REF!</v>
      </c>
      <c r="AG50" s="164"/>
      <c r="AH50" s="164"/>
      <c r="AI50" s="164"/>
      <c r="AJ50" s="164"/>
      <c r="AK50" s="164"/>
      <c r="AL50" s="164"/>
      <c r="AM50" s="164"/>
      <c r="AN50" s="164"/>
      <c r="AO50" s="134"/>
      <c r="AP50" s="39" t="e">
        <f>#REF!</f>
        <v>#REF!</v>
      </c>
      <c r="AQ50" s="39" t="e">
        <f>INDEX(#REF!:#REF!,COUNTA(#REF!:#REF!),MATCH(Military!$AQ$2,#REF!,0))</f>
        <v>#REF!</v>
      </c>
      <c r="AR50" s="39" t="e">
        <f>#REF!*#REF!+#REF!*#REF!+#REF!*#REF!+#REF!*#REF!+#REF!*#REF!+#REF!*#REF!+#REF!*#REF!</f>
        <v>#REF!</v>
      </c>
      <c r="AS50" s="39" t="e">
        <f>#REF!*#REF!+#REF!*#REF!+#REF!*#REF!+#REF!*#REF!</f>
        <v>#REF!</v>
      </c>
      <c r="AT50" s="134" t="e">
        <f>#REF!</f>
        <v>#REF!</v>
      </c>
      <c r="AU50" s="143" t="e">
        <f>#REF!</f>
        <v>#REF!</v>
      </c>
      <c r="AV50" s="39" t="e">
        <f>#REF!</f>
        <v>#REF!</v>
      </c>
      <c r="AW50" s="164"/>
      <c r="AX50" s="164"/>
      <c r="AY50" s="164"/>
      <c r="AZ50" s="164"/>
      <c r="BA50" s="164"/>
      <c r="BB50" s="164"/>
      <c r="BC50" s="164"/>
      <c r="BD50" s="164"/>
      <c r="BE50" s="164"/>
      <c r="BF50" s="134"/>
      <c r="BG50" s="132" t="e">
        <f>#REF!/#REF!</f>
        <v>#REF!</v>
      </c>
      <c r="BH50" s="132" t="e">
        <f>#REF!/#REF!</f>
        <v>#REF!</v>
      </c>
      <c r="BI50" s="39" t="e">
        <f>ROUNDUP((1-MIN(#REF!*smithy_bonus,smithy_bonus_cap) + tech_3_5*#REF! + tech_5_3*#REF! + tech_5_5*#REF!)*spec_op_plat,0)</f>
        <v>#REF!</v>
      </c>
      <c r="BJ50" s="39" t="e">
        <f>ROUNDUP(IF(race="Gnome",1,(1-MIN(#REF!*smithy_bonus,smithy_bonus_cap) + tech_3_5*#REF! + tech_5_3*#REF! + tech_5_5*#REF!))*spec_op_ore,0)</f>
        <v>#REF!</v>
      </c>
      <c r="BK50" s="39" t="e">
        <f>ROUNDUP((1-MIN(#REF!*smithy_bonus,smithy_bonus_cap) + tech_3_5*#REF! + tech_5_3*#REF! + tech_5_5*#REF!)*spec_dp_plat,0)</f>
        <v>#REF!</v>
      </c>
      <c r="BL50" s="39" t="e">
        <f>ROUNDUP(IF(race="Gnome",1,(1-MIN(#REF!*smithy_bonus,smithy_bonus_cap) + tech_3_5*#REF! + tech_5_3*#REF! + tech_5_5*#REF!))*spec_dp_ore,0)</f>
        <v>#REF!</v>
      </c>
      <c r="BM50" s="39" t="e">
        <f>ROUNDUP((1-MIN(#REF!*smithy_bonus,smithy_bonus_cap) + tech_3_5*#REF! + tech_5_3*#REF! + tech_5_5*#REF!)*elite1_plat,0)</f>
        <v>#REF!</v>
      </c>
      <c r="BN50" s="39" t="e">
        <f>ROUNDUP(IF(race="Gnome",1,(1-MIN(#REF!*smithy_bonus,smithy_bonus_cap) + tech_3_5*#REF! + tech_5_3*#REF! + tech_5_5*#REF!))*elite1_ore,0)</f>
        <v>#REF!</v>
      </c>
      <c r="BO50" s="39" t="e">
        <f>ROUNDUP((1-MIN(#REF!*smithy_bonus,smithy_bonus_cap) + tech_3_5*#REF! + tech_5_3*#REF! + tech_5_5*#REF!)*elite2_plat,0)</f>
        <v>#REF!</v>
      </c>
      <c r="BP50" s="39" t="e">
        <f>ROUNDUP(IF(race="Gnome",1,(1-MIN(#REF!*smithy_bonus,smithy_bonus_cap) + tech_3_5*#REF! + tech_5_3*#REF! + tech_5_5*#REF!))*elite2_ore,0)</f>
        <v>#REF!</v>
      </c>
      <c r="BQ50" s="39" t="e">
        <f>ROUNDUP((1-MIN(ROUND(fh_spy_cost_red*#REF!,4),fh_spy_cost_cap)+ tech_1_9*#REF! + tech_9_1*#REF!)*spy_plat,0)</f>
        <v>#REF!</v>
      </c>
      <c r="BR50" s="39" t="e">
        <f>ROUNDUP((1-MIN(ROUND(fh_spy_cost_red*#REF!,4),fh_spy_cost_cap)+ tech_1_9*#REF! + tech_9_1*#REF!)*archspy_plat,0)</f>
        <v>#REF!</v>
      </c>
      <c r="BS50" s="39" t="e">
        <f>ROUNDUP((1-MIN(ROUND(wg_wiz_cost_bonus*#REF!,4),wg_wiz_cost_cap) + tech_1_9_2*#REF! + tech_9_1_2*#REF!)*wizard_plat,0)</f>
        <v>#REF!</v>
      </c>
      <c r="BT50" s="39" t="e">
        <f>ROUNDUP((1-MIN(ROUND(wg_wiz_cost_bonus*#REF!,4),wg_wiz_cost_cap) + tech_1_9_2*#REF! + tech_9_1_2*#REF!)*archmage_plat,0)</f>
        <v>#REF!</v>
      </c>
      <c r="BU50" s="134"/>
      <c r="BV50" s="132" t="e">
        <f>#REF!/#REF!</f>
        <v>#REF!</v>
      </c>
      <c r="BW50" s="132" t="e">
        <f>#REF!</f>
        <v>#REF!</v>
      </c>
      <c r="BX50" s="241" t="e">
        <f>IF(mystic_cap="none",#REF!/mystic_bonus,MIN(mystic_cap,#REF!/mystic_bonus))</f>
        <v>#REF!</v>
      </c>
      <c r="BY50" s="241" t="e">
        <f>IF(druid_op_cap="none",#REF!/druid_op_bonus,MIN(druid_op_cap,#REF!/druid_op_bonus))</f>
        <v>#REF!</v>
      </c>
      <c r="BZ50" s="241" t="e">
        <f>IF(druid_dp_cap="none",#REF!/druid_dp_bonus,MIN(druid_dp_cap,#REF!/druid_dp_bonus))</f>
        <v>#REF!</v>
      </c>
      <c r="CA50" s="241" t="e">
        <f>MIN(dryad_cap,#REF!/dryad_bonus)</f>
        <v>#REF!</v>
      </c>
      <c r="CB50" s="241" t="e">
        <f>MIN(rocka_cap,#REF!/rocka_bonus)</f>
        <v>#REF!</v>
      </c>
      <c r="CC50" s="241" t="e">
        <f>MIN(adept_op_cap,#REF!/adept_op_bonus)</f>
        <v>#REF!</v>
      </c>
      <c r="CD50" s="241" t="e">
        <f>MIN(adept_dp_cap,#REF!/adept_dp_bonus)</f>
        <v>#REF!</v>
      </c>
      <c r="CE50" s="39" t="e">
        <f>MIN(#REF!,#REF!)*2</f>
        <v>#REF!</v>
      </c>
      <c r="CF50" s="39" t="e">
        <f>MIN(#REF!,#REF!)*2</f>
        <v>#REF!</v>
      </c>
      <c r="CG50" s="241" t="e">
        <f>MIN(frost_mage_cap,#REF!/frost_mage_bonus)</f>
        <v>#REF!</v>
      </c>
      <c r="CH50" s="3" t="e">
        <f>MIN(ice_elem_cap,#REF!*ice_elem_bonus)</f>
        <v>#REF!</v>
      </c>
      <c r="CI50" s="241">
        <f t="shared" si="2"/>
        <v>0.83333333333333337</v>
      </c>
      <c r="CJ50" s="241" t="e">
        <f>MIN(nox_nightshade_cap,#REF!/#REF!/nox_nightshade_swamp_bonus)</f>
        <v>#REF!</v>
      </c>
      <c r="CK50" s="242"/>
      <c r="CL50" s="242"/>
      <c r="CM50" s="242"/>
      <c r="CN50" s="241" t="e">
        <f>MIN(6,#REF!+Races!$F$19)*1.8 +  IF(#REF!+Races!$F$19&gt;6,(#REF!+Races!$F$19-6)*0.2,0) - Races!$I$19</f>
        <v>#REF!</v>
      </c>
      <c r="CO50" s="241" t="e">
        <f>1.8 * MIN(MAX(#REF!+Races!$E$20,#REF!+Races!$F$20),6)  +  0.45 * MIN(MIN(#REF!+Races!$E$20,#REF!+Races!$F$20),6)  +  0.2 * ( MAX(#REF!+Races!$E$20-6,0) + MAX(#REF!+Races!$F$20-6,0) )  -  Races!$I$20</f>
        <v>#REF!</v>
      </c>
      <c r="CP50" s="39" t="e">
        <f>#REF!*#REF!+#REF!*#REF!</f>
        <v>#REF!</v>
      </c>
      <c r="CQ50" s="145" t="e">
        <f>MIN(6,#REF!+Races!$F$35)*1.8 +  IF(#REF!+Races!$F$35&gt;6,(#REF!+Races!$F$35-6)*0.2,0) - Races!$I$19</f>
        <v>#REF!</v>
      </c>
      <c r="CR50" s="39" t="e">
        <f>sylvan*(#REF!*#REF!)</f>
        <v>#REF!</v>
      </c>
      <c r="CS50" s="145" t="e">
        <f>1.8 * MIN(MAX(Races!$E$27,#REF!+Races!$F$27),6)  +  0.45 * MIN(MIN(Races!$E$27,#REF!+Races!$F$27),6)  +  0.2 * ( MAX(Races!$E$27-6,0) + MAX(#REF!+Races!$F$27-6,0) )  -  Races!$I$20</f>
        <v>#REF!</v>
      </c>
      <c r="CT50" s="39" t="e">
        <f>gnome*(#REF!*#REF!)</f>
        <v>#REF!</v>
      </c>
      <c r="CU50" s="145" t="e">
        <f>1.8 * MIN(MAX(#REF!+Races!$E$47,#REF!+Races!$F$47),6)  +  0.45 * MIN(MIN(#REF!+Races!$E$47,#REF!+Races!$F$47),6)  +  0.2 * ( MAX(#REF!+Races!$E$47-6,0) + MAX(#REF!+Races!$F$47-6,0) )  -  Races!$I$47</f>
        <v>#REF!</v>
      </c>
      <c r="CV50" s="39" t="e">
        <f>dark_elf*(#REF!*#REF!)</f>
        <v>#REF!</v>
      </c>
      <c r="CW50" s="145" t="e">
        <f>1.8 * MIN(MAX(#REF!+Races!$F$71,Races!$E$71),6)  +  0.45 * MIN(MIN(#REF!+Races!$F$71,Races!$E$71),6)  +  0.2 * ( MAX(#REF!+Races!$F$71-6,0) + MAX(Races!$E$71-6,0) )  -  Races!$I$71</f>
        <v>#REF!</v>
      </c>
      <c r="CX50" s="145" t="e">
        <f>1.8 * MIN(MAX(#REF!+Races!$E$71,Races!$F$71),6)  +  0.45 * MIN(MIN(#REF!+Races!$E$71,Races!$F$71),6)  +  0.2 * ( MAX(#REF!+Races!$E$71-6,0) + MAX(Races!$F$71-6,0) )  -  Races!$I$71</f>
        <v>#REF!</v>
      </c>
      <c r="CY50" s="39" t="e">
        <f>#REF!*#REF!+#REF!*#REF!</f>
        <v>#REF!</v>
      </c>
      <c r="CZ50" s="243"/>
      <c r="DA50" s="135" t="e">
        <f>MIN(SUM(#REF!)/#REF!/favorable_terrain_bonus/100,favorable_terrain_max)</f>
        <v>#REF!</v>
      </c>
      <c r="DB50" s="243"/>
      <c r="DC50"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50" s="134"/>
      <c r="DE50" s="244" t="e">
        <f>(#REF!+2*#REF!)/#REF!</f>
        <v>#REF!</v>
      </c>
      <c r="DF50" s="244" t="e">
        <f>#REF!*(1+race_wizard_strength+IF(#REF!&gt;72,tech_magical_weaponry_wiz*#REF!,0))</f>
        <v>#REF!</v>
      </c>
    </row>
    <row r="51" spans="1:110" x14ac:dyDescent="0.25">
      <c r="A51" s="130" t="e">
        <f>#REF!</f>
        <v>#REF!</v>
      </c>
      <c r="B51" s="236" t="e">
        <f ca="1">SUM(#REF!)+SUM(OFFSET(#REF!,-8,0):#REF!) + SUM(OFFSET(#REF!,-11,0):#REF!) +#REF!</f>
        <v>#REF!</v>
      </c>
      <c r="C51" s="132" t="e">
        <f>#REF!</f>
        <v>#REF!</v>
      </c>
      <c r="D51" s="134"/>
      <c r="E51" s="3" t="e">
        <f ca="1">OFFSET(#REF!,-1,0) + OFFSET(#REF!,-9,0) -#REF!</f>
        <v>#REF!</v>
      </c>
      <c r="F51" s="3" t="e">
        <f ca="1">OFFSET(#REF!,-1,0) + OFFSET(#REF!,-9,0)-#REF!</f>
        <v>#REF!</v>
      </c>
      <c r="G51" s="3" t="e">
        <f ca="1">OFFSET(#REF!,-1,0) + OFFSET(#REF!,-12,0)-#REF!</f>
        <v>#REF!</v>
      </c>
      <c r="H51" s="3" t="e">
        <f ca="1">OFFSET(#REF!,-1,0) + OFFSET(#REF!,-12,0)-#REF!</f>
        <v>#REF!</v>
      </c>
      <c r="I51" s="3" t="e">
        <f ca="1">OFFSET(#REF!,-1,0) + OFFSET(#REF!,-12,0) -#REF!-#REF!</f>
        <v>#REF!</v>
      </c>
      <c r="J51" s="3" t="e">
        <f ca="1">OFFSET(#REF!,-1,0) + OFFSET(#REF!,-12,0) -#REF!</f>
        <v>#REF!</v>
      </c>
      <c r="K51" s="3" t="e">
        <f ca="1">OFFSET(#REF!,-1,0) + OFFSET(#REF!,-12,0) -#REF!-#REF!</f>
        <v>#REF!</v>
      </c>
      <c r="L51" s="3" t="e">
        <f ca="1">OFFSET(#REF!,-1,0) + OFFSET(#REF!,-12,0) -#REF!</f>
        <v>#REF!</v>
      </c>
      <c r="M51" s="134"/>
      <c r="N51" s="39" t="e">
        <f>#REF!</f>
        <v>#REF!</v>
      </c>
      <c r="O51" s="134"/>
      <c r="P51" s="237" t="e">
        <f>#REF!*spec_op+#REF!*(elite1_base_op)+#REF!*(elite2_base_op+dark_elf*#REF!+icekin*#REF!+woodie*#REF!+orc*#REF!)+kobold*#REF!</f>
        <v>#REF!</v>
      </c>
      <c r="Q51" s="132" t="e">
        <f>race_offense+#REF!+ROUND(MIN(gn_bonus*#REF!/#REF!,gn_bonus_cap),4)+MAX(IF(#REF!&gt;0,warsong_bonus),IF(#REF!&gt;0,howling_op_bonus),IF(#REF!&gt;0,nightfall_bonus),IF(#REF!&gt;0,#REF!)) +#REF!/ 100*prestige_offense_bonus + tech_5_4*#REF! + tech_7_4*#REF!</f>
        <v>#REF!</v>
      </c>
      <c r="R51" s="237" t="e">
        <f>#REF!*(1+#REF!)</f>
        <v>#REF!</v>
      </c>
      <c r="S51" s="237" t="e">
        <f>#REF!*spec_dp+#REF!*(elite1_base_dp+woodie*#REF!+sylvan*#REF!+gnome*#REF!+icekin*#REF!+nox*#REF!)+#REF!*(elite2_base_dp+woodie*#REF!) + fh_peas_dp*MIN(#REF!,20*#REF!)+kobold*#REF!</f>
        <v>#REF!</v>
      </c>
      <c r="T51" s="237" t="e">
        <f>#REF!+#REF!</f>
        <v>#REF!</v>
      </c>
      <c r="U51" s="238" t="e">
        <f>race_defense +#REF! + ROUND( MIN(gt_bonus*#REF!/#REF!,gt_bonus_cap), 4) + IF(#REF!&gt;0,howling_dp_bonus,IF(#REF!&gt;0,ares_call_bonus))</f>
        <v>#REF!</v>
      </c>
      <c r="V51" s="239" t="e">
        <f>#REF! * (1 +#REF!)</f>
        <v>#REF!</v>
      </c>
      <c r="W51" s="237" t="e">
        <f>#REF! * (1 +#REF!)</f>
        <v>#REF!</v>
      </c>
      <c r="X51" s="237" t="e">
        <f>#REF!</f>
        <v>#REF!</v>
      </c>
      <c r="Y51" s="240"/>
      <c r="Z51" s="135" t="e">
        <f ca="1">IF(#REF!&lt;&gt;"",#REF!,OFFSET(#REF!,-1,0))</f>
        <v>#REF!</v>
      </c>
      <c r="AA51" s="39" t="e">
        <f ca="1">OFFSET(#REF!,-1,0)+OFFSET(#REF!,-1,0) - SUM(#REF!,#REF!) -#REF! + SUM(#REF!) -#REF!</f>
        <v>#REF!</v>
      </c>
      <c r="AB51" s="133"/>
      <c r="AC51" s="132" t="e">
        <f>(#REF!+#REF!)/(#REF!-#REF!*20)</f>
        <v>#REF!</v>
      </c>
      <c r="AD51" s="130"/>
      <c r="AE51" s="236" t="e">
        <f>#REF!</f>
        <v>#REF!</v>
      </c>
      <c r="AF51" s="131" t="e">
        <f>#REF!</f>
        <v>#REF!</v>
      </c>
      <c r="AG51" s="164"/>
      <c r="AH51" s="164"/>
      <c r="AI51" s="164"/>
      <c r="AJ51" s="164"/>
      <c r="AK51" s="164"/>
      <c r="AL51" s="164"/>
      <c r="AM51" s="164"/>
      <c r="AN51" s="164"/>
      <c r="AO51" s="134"/>
      <c r="AP51" s="39" t="e">
        <f>#REF!</f>
        <v>#REF!</v>
      </c>
      <c r="AQ51" s="39" t="e">
        <f>INDEX(#REF!:#REF!,COUNTA(#REF!:#REF!),MATCH(Military!$AQ$2,#REF!,0))</f>
        <v>#REF!</v>
      </c>
      <c r="AR51" s="39" t="e">
        <f>#REF!*#REF!+#REF!*#REF!+#REF!*#REF!+#REF!*#REF!+#REF!*#REF!+#REF!*#REF!+#REF!*#REF!</f>
        <v>#REF!</v>
      </c>
      <c r="AS51" s="39" t="e">
        <f>#REF!*#REF!+#REF!*#REF!+#REF!*#REF!+#REF!*#REF!</f>
        <v>#REF!</v>
      </c>
      <c r="AT51" s="134" t="e">
        <f>#REF!</f>
        <v>#REF!</v>
      </c>
      <c r="AU51" s="143" t="e">
        <f>#REF!</f>
        <v>#REF!</v>
      </c>
      <c r="AV51" s="39" t="e">
        <f>#REF!</f>
        <v>#REF!</v>
      </c>
      <c r="AW51" s="164"/>
      <c r="AX51" s="164"/>
      <c r="AY51" s="164"/>
      <c r="AZ51" s="164"/>
      <c r="BA51" s="164"/>
      <c r="BB51" s="164"/>
      <c r="BC51" s="164"/>
      <c r="BD51" s="164"/>
      <c r="BE51" s="164"/>
      <c r="BF51" s="134"/>
      <c r="BG51" s="132" t="e">
        <f>#REF!/#REF!</f>
        <v>#REF!</v>
      </c>
      <c r="BH51" s="132" t="e">
        <f>#REF!/#REF!</f>
        <v>#REF!</v>
      </c>
      <c r="BI51" s="39" t="e">
        <f>ROUNDUP((1-MIN(#REF!*smithy_bonus,smithy_bonus_cap) + tech_3_5*#REF! + tech_5_3*#REF! + tech_5_5*#REF!)*spec_op_plat,0)</f>
        <v>#REF!</v>
      </c>
      <c r="BJ51" s="39" t="e">
        <f>ROUNDUP(IF(race="Gnome",1,(1-MIN(#REF!*smithy_bonus,smithy_bonus_cap) + tech_3_5*#REF! + tech_5_3*#REF! + tech_5_5*#REF!))*spec_op_ore,0)</f>
        <v>#REF!</v>
      </c>
      <c r="BK51" s="39" t="e">
        <f>ROUNDUP((1-MIN(#REF!*smithy_bonus,smithy_bonus_cap) + tech_3_5*#REF! + tech_5_3*#REF! + tech_5_5*#REF!)*spec_dp_plat,0)</f>
        <v>#REF!</v>
      </c>
      <c r="BL51" s="39" t="e">
        <f>ROUNDUP(IF(race="Gnome",1,(1-MIN(#REF!*smithy_bonus,smithy_bonus_cap) + tech_3_5*#REF! + tech_5_3*#REF! + tech_5_5*#REF!))*spec_dp_ore,0)</f>
        <v>#REF!</v>
      </c>
      <c r="BM51" s="39" t="e">
        <f>ROUNDUP((1-MIN(#REF!*smithy_bonus,smithy_bonus_cap) + tech_3_5*#REF! + tech_5_3*#REF! + tech_5_5*#REF!)*elite1_plat,0)</f>
        <v>#REF!</v>
      </c>
      <c r="BN51" s="39" t="e">
        <f>ROUNDUP(IF(race="Gnome",1,(1-MIN(#REF!*smithy_bonus,smithy_bonus_cap) + tech_3_5*#REF! + tech_5_3*#REF! + tech_5_5*#REF!))*elite1_ore,0)</f>
        <v>#REF!</v>
      </c>
      <c r="BO51" s="39" t="e">
        <f>ROUNDUP((1-MIN(#REF!*smithy_bonus,smithy_bonus_cap) + tech_3_5*#REF! + tech_5_3*#REF! + tech_5_5*#REF!)*elite2_plat,0)</f>
        <v>#REF!</v>
      </c>
      <c r="BP51" s="39" t="e">
        <f>ROUNDUP(IF(race="Gnome",1,(1-MIN(#REF!*smithy_bonus,smithy_bonus_cap) + tech_3_5*#REF! + tech_5_3*#REF! + tech_5_5*#REF!))*elite2_ore,0)</f>
        <v>#REF!</v>
      </c>
      <c r="BQ51" s="39" t="e">
        <f>ROUNDUP((1-MIN(ROUND(fh_spy_cost_red*#REF!,4),fh_spy_cost_cap)+ tech_1_9*#REF! + tech_9_1*#REF!)*spy_plat,0)</f>
        <v>#REF!</v>
      </c>
      <c r="BR51" s="39" t="e">
        <f>ROUNDUP((1-MIN(ROUND(fh_spy_cost_red*#REF!,4),fh_spy_cost_cap)+ tech_1_9*#REF! + tech_9_1*#REF!)*archspy_plat,0)</f>
        <v>#REF!</v>
      </c>
      <c r="BS51" s="39" t="e">
        <f>ROUNDUP((1-MIN(ROUND(wg_wiz_cost_bonus*#REF!,4),wg_wiz_cost_cap) + tech_1_9_2*#REF! + tech_9_1_2*#REF!)*wizard_plat,0)</f>
        <v>#REF!</v>
      </c>
      <c r="BT51" s="39" t="e">
        <f>ROUNDUP((1-MIN(ROUND(wg_wiz_cost_bonus*#REF!,4),wg_wiz_cost_cap) + tech_1_9_2*#REF! + tech_9_1_2*#REF!)*archmage_plat,0)</f>
        <v>#REF!</v>
      </c>
      <c r="BU51" s="134"/>
      <c r="BV51" s="132" t="e">
        <f>#REF!/#REF!</f>
        <v>#REF!</v>
      </c>
      <c r="BW51" s="132" t="e">
        <f>#REF!</f>
        <v>#REF!</v>
      </c>
      <c r="BX51" s="241" t="e">
        <f>IF(mystic_cap="none",#REF!/mystic_bonus,MIN(mystic_cap,#REF!/mystic_bonus))</f>
        <v>#REF!</v>
      </c>
      <c r="BY51" s="241" t="e">
        <f>IF(druid_op_cap="none",#REF!/druid_op_bonus,MIN(druid_op_cap,#REF!/druid_op_bonus))</f>
        <v>#REF!</v>
      </c>
      <c r="BZ51" s="241" t="e">
        <f>IF(druid_dp_cap="none",#REF!/druid_dp_bonus,MIN(druid_dp_cap,#REF!/druid_dp_bonus))</f>
        <v>#REF!</v>
      </c>
      <c r="CA51" s="241" t="e">
        <f>MIN(dryad_cap,#REF!/dryad_bonus)</f>
        <v>#REF!</v>
      </c>
      <c r="CB51" s="241" t="e">
        <f>MIN(rocka_cap,#REF!/rocka_bonus)</f>
        <v>#REF!</v>
      </c>
      <c r="CC51" s="241" t="e">
        <f>MIN(adept_op_cap,#REF!/adept_op_bonus)</f>
        <v>#REF!</v>
      </c>
      <c r="CD51" s="241" t="e">
        <f>MIN(adept_dp_cap,#REF!/adept_dp_bonus)</f>
        <v>#REF!</v>
      </c>
      <c r="CE51" s="39" t="e">
        <f>MIN(#REF!,#REF!)*2</f>
        <v>#REF!</v>
      </c>
      <c r="CF51" s="39" t="e">
        <f>MIN(#REF!,#REF!)*2</f>
        <v>#REF!</v>
      </c>
      <c r="CG51" s="241" t="e">
        <f>MIN(frost_mage_cap,#REF!/frost_mage_bonus)</f>
        <v>#REF!</v>
      </c>
      <c r="CH51" s="3" t="e">
        <f>MIN(ice_elem_cap,#REF!*ice_elem_bonus)</f>
        <v>#REF!</v>
      </c>
      <c r="CI51" s="241">
        <f t="shared" si="2"/>
        <v>0.83333333333333337</v>
      </c>
      <c r="CJ51" s="241" t="e">
        <f>MIN(nox_nightshade_cap,#REF!/#REF!/nox_nightshade_swamp_bonus)</f>
        <v>#REF!</v>
      </c>
      <c r="CK51" s="242"/>
      <c r="CL51" s="242"/>
      <c r="CM51" s="242"/>
      <c r="CN51" s="241" t="e">
        <f>MIN(6,#REF!+Races!$F$19)*1.8 +  IF(#REF!+Races!$F$19&gt;6,(#REF!+Races!$F$19-6)*0.2,0) - Races!$I$19</f>
        <v>#REF!</v>
      </c>
      <c r="CO51" s="241" t="e">
        <f>1.8 * MIN(MAX(#REF!+Races!$E$20,#REF!+Races!$F$20),6)  +  0.45 * MIN(MIN(#REF!+Races!$E$20,#REF!+Races!$F$20),6)  +  0.2 * ( MAX(#REF!+Races!$E$20-6,0) + MAX(#REF!+Races!$F$20-6,0) )  -  Races!$I$20</f>
        <v>#REF!</v>
      </c>
      <c r="CP51" s="39" t="e">
        <f>#REF!*#REF!+#REF!*#REF!</f>
        <v>#REF!</v>
      </c>
      <c r="CQ51" s="145" t="e">
        <f>MIN(6,#REF!+Races!$F$35)*1.8 +  IF(#REF!+Races!$F$35&gt;6,(#REF!+Races!$F$35-6)*0.2,0) - Races!$I$19</f>
        <v>#REF!</v>
      </c>
      <c r="CR51" s="39" t="e">
        <f>sylvan*(#REF!*#REF!)</f>
        <v>#REF!</v>
      </c>
      <c r="CS51" s="145" t="e">
        <f>1.8 * MIN(MAX(Races!$E$27,#REF!+Races!$F$27),6)  +  0.45 * MIN(MIN(Races!$E$27,#REF!+Races!$F$27),6)  +  0.2 * ( MAX(Races!$E$27-6,0) + MAX(#REF!+Races!$F$27-6,0) )  -  Races!$I$20</f>
        <v>#REF!</v>
      </c>
      <c r="CT51" s="39" t="e">
        <f>gnome*(#REF!*#REF!)</f>
        <v>#REF!</v>
      </c>
      <c r="CU51" s="145" t="e">
        <f>1.8 * MIN(MAX(#REF!+Races!$E$47,#REF!+Races!$F$47),6)  +  0.45 * MIN(MIN(#REF!+Races!$E$47,#REF!+Races!$F$47),6)  +  0.2 * ( MAX(#REF!+Races!$E$47-6,0) + MAX(#REF!+Races!$F$47-6,0) )  -  Races!$I$47</f>
        <v>#REF!</v>
      </c>
      <c r="CV51" s="39" t="e">
        <f>dark_elf*(#REF!*#REF!)</f>
        <v>#REF!</v>
      </c>
      <c r="CW51" s="145" t="e">
        <f>1.8 * MIN(MAX(#REF!+Races!$F$71,Races!$E$71),6)  +  0.45 * MIN(MIN(#REF!+Races!$F$71,Races!$E$71),6)  +  0.2 * ( MAX(#REF!+Races!$F$71-6,0) + MAX(Races!$E$71-6,0) )  -  Races!$I$71</f>
        <v>#REF!</v>
      </c>
      <c r="CX51" s="145" t="e">
        <f>1.8 * MIN(MAX(#REF!+Races!$E$71,Races!$F$71),6)  +  0.45 * MIN(MIN(#REF!+Races!$E$71,Races!$F$71),6)  +  0.2 * ( MAX(#REF!+Races!$E$71-6,0) + MAX(Races!$F$71-6,0) )  -  Races!$I$71</f>
        <v>#REF!</v>
      </c>
      <c r="CY51" s="39" t="e">
        <f>#REF!*#REF!+#REF!*#REF!</f>
        <v>#REF!</v>
      </c>
      <c r="CZ51" s="243"/>
      <c r="DA51" s="135" t="e">
        <f>MIN(SUM(#REF!)/#REF!/favorable_terrain_bonus/100,favorable_terrain_max)</f>
        <v>#REF!</v>
      </c>
      <c r="DB51" s="243"/>
      <c r="DC51"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51" s="134"/>
      <c r="DE51" s="244" t="e">
        <f>(#REF!+2*#REF!)/#REF!</f>
        <v>#REF!</v>
      </c>
      <c r="DF51" s="244" t="e">
        <f>#REF!*(1+race_wizard_strength+IF(#REF!&gt;72,tech_magical_weaponry_wiz*#REF!,0))</f>
        <v>#REF!</v>
      </c>
    </row>
    <row r="52" spans="1:110" x14ac:dyDescent="0.25">
      <c r="A52" s="130" t="e">
        <f>#REF!</f>
        <v>#REF!</v>
      </c>
      <c r="B52" s="236" t="e">
        <f ca="1">SUM(#REF!)+SUM(OFFSET(#REF!,-8,0):#REF!) + SUM(OFFSET(#REF!,-11,0):#REF!) +#REF!</f>
        <v>#REF!</v>
      </c>
      <c r="C52" s="132" t="e">
        <f>#REF!</f>
        <v>#REF!</v>
      </c>
      <c r="D52" s="134"/>
      <c r="E52" s="3" t="e">
        <f ca="1">OFFSET(#REF!,-1,0) + OFFSET(#REF!,-9,0) -#REF!</f>
        <v>#REF!</v>
      </c>
      <c r="F52" s="3" t="e">
        <f ca="1">OFFSET(#REF!,-1,0) + OFFSET(#REF!,-9,0)-#REF!</f>
        <v>#REF!</v>
      </c>
      <c r="G52" s="3" t="e">
        <f ca="1">OFFSET(#REF!,-1,0) + OFFSET(#REF!,-12,0)-#REF!</f>
        <v>#REF!</v>
      </c>
      <c r="H52" s="3" t="e">
        <f ca="1">OFFSET(#REF!,-1,0) + OFFSET(#REF!,-12,0)-#REF!</f>
        <v>#REF!</v>
      </c>
      <c r="I52" s="3" t="e">
        <f ca="1">OFFSET(#REF!,-1,0) + OFFSET(#REF!,-12,0) -#REF!-#REF!</f>
        <v>#REF!</v>
      </c>
      <c r="J52" s="3" t="e">
        <f ca="1">OFFSET(#REF!,-1,0) + OFFSET(#REF!,-12,0) -#REF!</f>
        <v>#REF!</v>
      </c>
      <c r="K52" s="3" t="e">
        <f ca="1">OFFSET(#REF!,-1,0) + OFFSET(#REF!,-12,0) -#REF!-#REF!</f>
        <v>#REF!</v>
      </c>
      <c r="L52" s="3" t="e">
        <f ca="1">OFFSET(#REF!,-1,0) + OFFSET(#REF!,-12,0) -#REF!</f>
        <v>#REF!</v>
      </c>
      <c r="M52" s="134"/>
      <c r="N52" s="39" t="e">
        <f>#REF!</f>
        <v>#REF!</v>
      </c>
      <c r="O52" s="134"/>
      <c r="P52" s="237" t="e">
        <f>#REF!*spec_op+#REF!*(elite1_base_op)+#REF!*(elite2_base_op+dark_elf*#REF!+icekin*#REF!+woodie*#REF!+orc*#REF!)+kobold*#REF!</f>
        <v>#REF!</v>
      </c>
      <c r="Q52" s="132" t="e">
        <f>race_offense+#REF!+ROUND(MIN(gn_bonus*#REF!/#REF!,gn_bonus_cap),4)+MAX(IF(#REF!&gt;0,warsong_bonus),IF(#REF!&gt;0,howling_op_bonus),IF(#REF!&gt;0,nightfall_bonus),IF(#REF!&gt;0,#REF!)) +#REF!/ 100*prestige_offense_bonus + tech_5_4*#REF! + tech_7_4*#REF!</f>
        <v>#REF!</v>
      </c>
      <c r="R52" s="237" t="e">
        <f>#REF!*(1+#REF!)</f>
        <v>#REF!</v>
      </c>
      <c r="S52" s="237" t="e">
        <f>#REF!*spec_dp+#REF!*(elite1_base_dp+woodie*#REF!+sylvan*#REF!+gnome*#REF!+icekin*#REF!+nox*#REF!)+#REF!*(elite2_base_dp+woodie*#REF!) + fh_peas_dp*MIN(#REF!,20*#REF!)+kobold*#REF!</f>
        <v>#REF!</v>
      </c>
      <c r="T52" s="237" t="e">
        <f>#REF!+#REF!</f>
        <v>#REF!</v>
      </c>
      <c r="U52" s="238" t="e">
        <f>race_defense +#REF! + ROUND( MIN(gt_bonus*#REF!/#REF!,gt_bonus_cap), 4) + IF(#REF!&gt;0,howling_dp_bonus,IF(#REF!&gt;0,ares_call_bonus))</f>
        <v>#REF!</v>
      </c>
      <c r="V52" s="239" t="e">
        <f>#REF! * (1 +#REF!)</f>
        <v>#REF!</v>
      </c>
      <c r="W52" s="237" t="e">
        <f>#REF! * (1 +#REF!)</f>
        <v>#REF!</v>
      </c>
      <c r="X52" s="237" t="e">
        <f>#REF!</f>
        <v>#REF!</v>
      </c>
      <c r="Y52" s="240"/>
      <c r="Z52" s="135" t="e">
        <f ca="1">IF(#REF!&lt;&gt;"",#REF!,OFFSET(#REF!,-1,0))</f>
        <v>#REF!</v>
      </c>
      <c r="AA52" s="39" t="e">
        <f ca="1">OFFSET(#REF!,-1,0)+OFFSET(#REF!,-1,0) - SUM(#REF!,#REF!) -#REF! + SUM(#REF!) -#REF!</f>
        <v>#REF!</v>
      </c>
      <c r="AB52" s="133"/>
      <c r="AC52" s="132" t="e">
        <f>(#REF!+#REF!)/(#REF!-#REF!*20)</f>
        <v>#REF!</v>
      </c>
      <c r="AD52" s="130"/>
      <c r="AE52" s="236" t="e">
        <f>#REF!</f>
        <v>#REF!</v>
      </c>
      <c r="AF52" s="131" t="e">
        <f>#REF!</f>
        <v>#REF!</v>
      </c>
      <c r="AG52" s="164"/>
      <c r="AH52" s="164"/>
      <c r="AI52" s="164"/>
      <c r="AJ52" s="164"/>
      <c r="AK52" s="164"/>
      <c r="AL52" s="164"/>
      <c r="AM52" s="164"/>
      <c r="AN52" s="164"/>
      <c r="AO52" s="134"/>
      <c r="AP52" s="39" t="e">
        <f>#REF!</f>
        <v>#REF!</v>
      </c>
      <c r="AQ52" s="39" t="e">
        <f>INDEX(#REF!:#REF!,COUNTA(#REF!:#REF!),MATCH(Military!$AQ$2,#REF!,0))</f>
        <v>#REF!</v>
      </c>
      <c r="AR52" s="39" t="e">
        <f>#REF!*#REF!+#REF!*#REF!+#REF!*#REF!+#REF!*#REF!+#REF!*#REF!+#REF!*#REF!+#REF!*#REF!</f>
        <v>#REF!</v>
      </c>
      <c r="AS52" s="39" t="e">
        <f>#REF!*#REF!+#REF!*#REF!+#REF!*#REF!+#REF!*#REF!</f>
        <v>#REF!</v>
      </c>
      <c r="AT52" s="134" t="e">
        <f>#REF!</f>
        <v>#REF!</v>
      </c>
      <c r="AU52" s="143" t="e">
        <f>#REF!</f>
        <v>#REF!</v>
      </c>
      <c r="AV52" s="39" t="e">
        <f>#REF!</f>
        <v>#REF!</v>
      </c>
      <c r="AW52" s="164"/>
      <c r="AX52" s="164"/>
      <c r="AY52" s="164"/>
      <c r="AZ52" s="164"/>
      <c r="BA52" s="164"/>
      <c r="BB52" s="164"/>
      <c r="BC52" s="164"/>
      <c r="BD52" s="164"/>
      <c r="BE52" s="164"/>
      <c r="BF52" s="134"/>
      <c r="BG52" s="132" t="e">
        <f>#REF!/#REF!</f>
        <v>#REF!</v>
      </c>
      <c r="BH52" s="132" t="e">
        <f>#REF!/#REF!</f>
        <v>#REF!</v>
      </c>
      <c r="BI52" s="39" t="e">
        <f>ROUNDUP((1-MIN(#REF!*smithy_bonus,smithy_bonus_cap) + tech_3_5*#REF! + tech_5_3*#REF! + tech_5_5*#REF!)*spec_op_plat,0)</f>
        <v>#REF!</v>
      </c>
      <c r="BJ52" s="39" t="e">
        <f>ROUNDUP(IF(race="Gnome",1,(1-MIN(#REF!*smithy_bonus,smithy_bonus_cap) + tech_3_5*#REF! + tech_5_3*#REF! + tech_5_5*#REF!))*spec_op_ore,0)</f>
        <v>#REF!</v>
      </c>
      <c r="BK52" s="39" t="e">
        <f>ROUNDUP((1-MIN(#REF!*smithy_bonus,smithy_bonus_cap) + tech_3_5*#REF! + tech_5_3*#REF! + tech_5_5*#REF!)*spec_dp_plat,0)</f>
        <v>#REF!</v>
      </c>
      <c r="BL52" s="39" t="e">
        <f>ROUNDUP(IF(race="Gnome",1,(1-MIN(#REF!*smithy_bonus,smithy_bonus_cap) + tech_3_5*#REF! + tech_5_3*#REF! + tech_5_5*#REF!))*spec_dp_ore,0)</f>
        <v>#REF!</v>
      </c>
      <c r="BM52" s="39" t="e">
        <f>ROUNDUP((1-MIN(#REF!*smithy_bonus,smithy_bonus_cap) + tech_3_5*#REF! + tech_5_3*#REF! + tech_5_5*#REF!)*elite1_plat,0)</f>
        <v>#REF!</v>
      </c>
      <c r="BN52" s="39" t="e">
        <f>ROUNDUP(IF(race="Gnome",1,(1-MIN(#REF!*smithy_bonus,smithy_bonus_cap) + tech_3_5*#REF! + tech_5_3*#REF! + tech_5_5*#REF!))*elite1_ore,0)</f>
        <v>#REF!</v>
      </c>
      <c r="BO52" s="39" t="e">
        <f>ROUNDUP((1-MIN(#REF!*smithy_bonus,smithy_bonus_cap) + tech_3_5*#REF! + tech_5_3*#REF! + tech_5_5*#REF!)*elite2_plat,0)</f>
        <v>#REF!</v>
      </c>
      <c r="BP52" s="39" t="e">
        <f>ROUNDUP(IF(race="Gnome",1,(1-MIN(#REF!*smithy_bonus,smithy_bonus_cap) + tech_3_5*#REF! + tech_5_3*#REF! + tech_5_5*#REF!))*elite2_ore,0)</f>
        <v>#REF!</v>
      </c>
      <c r="BQ52" s="39" t="e">
        <f>ROUNDUP((1-MIN(ROUND(fh_spy_cost_red*#REF!,4),fh_spy_cost_cap)+ tech_1_9*#REF! + tech_9_1*#REF!)*spy_plat,0)</f>
        <v>#REF!</v>
      </c>
      <c r="BR52" s="39" t="e">
        <f>ROUNDUP((1-MIN(ROUND(fh_spy_cost_red*#REF!,4),fh_spy_cost_cap)+ tech_1_9*#REF! + tech_9_1*#REF!)*archspy_plat,0)</f>
        <v>#REF!</v>
      </c>
      <c r="BS52" s="39" t="e">
        <f>ROUNDUP((1-MIN(ROUND(wg_wiz_cost_bonus*#REF!,4),wg_wiz_cost_cap) + tech_1_9_2*#REF! + tech_9_1_2*#REF!)*wizard_plat,0)</f>
        <v>#REF!</v>
      </c>
      <c r="BT52" s="39" t="e">
        <f>ROUNDUP((1-MIN(ROUND(wg_wiz_cost_bonus*#REF!,4),wg_wiz_cost_cap) + tech_1_9_2*#REF! + tech_9_1_2*#REF!)*archmage_plat,0)</f>
        <v>#REF!</v>
      </c>
      <c r="BU52" s="134"/>
      <c r="BV52" s="132" t="e">
        <f>#REF!/#REF!</f>
        <v>#REF!</v>
      </c>
      <c r="BW52" s="132" t="e">
        <f>#REF!</f>
        <v>#REF!</v>
      </c>
      <c r="BX52" s="241" t="e">
        <f>IF(mystic_cap="none",#REF!/mystic_bonus,MIN(mystic_cap,#REF!/mystic_bonus))</f>
        <v>#REF!</v>
      </c>
      <c r="BY52" s="241" t="e">
        <f>IF(druid_op_cap="none",#REF!/druid_op_bonus,MIN(druid_op_cap,#REF!/druid_op_bonus))</f>
        <v>#REF!</v>
      </c>
      <c r="BZ52" s="241" t="e">
        <f>IF(druid_dp_cap="none",#REF!/druid_dp_bonus,MIN(druid_dp_cap,#REF!/druid_dp_bonus))</f>
        <v>#REF!</v>
      </c>
      <c r="CA52" s="241" t="e">
        <f>MIN(dryad_cap,#REF!/dryad_bonus)</f>
        <v>#REF!</v>
      </c>
      <c r="CB52" s="241" t="e">
        <f>MIN(rocka_cap,#REF!/rocka_bonus)</f>
        <v>#REF!</v>
      </c>
      <c r="CC52" s="241" t="e">
        <f>MIN(adept_op_cap,#REF!/adept_op_bonus)</f>
        <v>#REF!</v>
      </c>
      <c r="CD52" s="241" t="e">
        <f>MIN(adept_dp_cap,#REF!/adept_dp_bonus)</f>
        <v>#REF!</v>
      </c>
      <c r="CE52" s="39" t="e">
        <f>MIN(#REF!,#REF!)*2</f>
        <v>#REF!</v>
      </c>
      <c r="CF52" s="39" t="e">
        <f>MIN(#REF!,#REF!)*2</f>
        <v>#REF!</v>
      </c>
      <c r="CG52" s="241" t="e">
        <f>MIN(frost_mage_cap,#REF!/frost_mage_bonus)</f>
        <v>#REF!</v>
      </c>
      <c r="CH52" s="3" t="e">
        <f>MIN(ice_elem_cap,#REF!*ice_elem_bonus)</f>
        <v>#REF!</v>
      </c>
      <c r="CI52" s="241">
        <f t="shared" si="2"/>
        <v>0.83333333333333337</v>
      </c>
      <c r="CJ52" s="241" t="e">
        <f>MIN(nox_nightshade_cap,#REF!/#REF!/nox_nightshade_swamp_bonus)</f>
        <v>#REF!</v>
      </c>
      <c r="CK52" s="242"/>
      <c r="CL52" s="242"/>
      <c r="CM52" s="242"/>
      <c r="CN52" s="241" t="e">
        <f>MIN(6,#REF!+Races!$F$19)*1.8 +  IF(#REF!+Races!$F$19&gt;6,(#REF!+Races!$F$19-6)*0.2,0) - Races!$I$19</f>
        <v>#REF!</v>
      </c>
      <c r="CO52" s="241" t="e">
        <f>1.8 * MIN(MAX(#REF!+Races!$E$20,#REF!+Races!$F$20),6)  +  0.45 * MIN(MIN(#REF!+Races!$E$20,#REF!+Races!$F$20),6)  +  0.2 * ( MAX(#REF!+Races!$E$20-6,0) + MAX(#REF!+Races!$F$20-6,0) )  -  Races!$I$20</f>
        <v>#REF!</v>
      </c>
      <c r="CP52" s="39" t="e">
        <f>#REF!*#REF!+#REF!*#REF!</f>
        <v>#REF!</v>
      </c>
      <c r="CQ52" s="145" t="e">
        <f>MIN(6,#REF!+Races!$F$35)*1.8 +  IF(#REF!+Races!$F$35&gt;6,(#REF!+Races!$F$35-6)*0.2,0) - Races!$I$19</f>
        <v>#REF!</v>
      </c>
      <c r="CR52" s="39" t="e">
        <f>sylvan*(#REF!*#REF!)</f>
        <v>#REF!</v>
      </c>
      <c r="CS52" s="145" t="e">
        <f>1.8 * MIN(MAX(Races!$E$27,#REF!+Races!$F$27),6)  +  0.45 * MIN(MIN(Races!$E$27,#REF!+Races!$F$27),6)  +  0.2 * ( MAX(Races!$E$27-6,0) + MAX(#REF!+Races!$F$27-6,0) )  -  Races!$I$20</f>
        <v>#REF!</v>
      </c>
      <c r="CT52" s="39" t="e">
        <f>gnome*(#REF!*#REF!)</f>
        <v>#REF!</v>
      </c>
      <c r="CU52" s="145" t="e">
        <f>1.8 * MIN(MAX(#REF!+Races!$E$47,#REF!+Races!$F$47),6)  +  0.45 * MIN(MIN(#REF!+Races!$E$47,#REF!+Races!$F$47),6)  +  0.2 * ( MAX(#REF!+Races!$E$47-6,0) + MAX(#REF!+Races!$F$47-6,0) )  -  Races!$I$47</f>
        <v>#REF!</v>
      </c>
      <c r="CV52" s="39" t="e">
        <f>dark_elf*(#REF!*#REF!)</f>
        <v>#REF!</v>
      </c>
      <c r="CW52" s="145" t="e">
        <f>1.8 * MIN(MAX(#REF!+Races!$F$71,Races!$E$71),6)  +  0.45 * MIN(MIN(#REF!+Races!$F$71,Races!$E$71),6)  +  0.2 * ( MAX(#REF!+Races!$F$71-6,0) + MAX(Races!$E$71-6,0) )  -  Races!$I$71</f>
        <v>#REF!</v>
      </c>
      <c r="CX52" s="145" t="e">
        <f>1.8 * MIN(MAX(#REF!+Races!$E$71,Races!$F$71),6)  +  0.45 * MIN(MIN(#REF!+Races!$E$71,Races!$F$71),6)  +  0.2 * ( MAX(#REF!+Races!$E$71-6,0) + MAX(Races!$F$71-6,0) )  -  Races!$I$71</f>
        <v>#REF!</v>
      </c>
      <c r="CY52" s="39" t="e">
        <f>#REF!*#REF!+#REF!*#REF!</f>
        <v>#REF!</v>
      </c>
      <c r="CZ52" s="243"/>
      <c r="DA52" s="135" t="e">
        <f>MIN(SUM(#REF!)/#REF!/favorable_terrain_bonus/100,favorable_terrain_max)</f>
        <v>#REF!</v>
      </c>
      <c r="DB52" s="243"/>
      <c r="DC52"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52" s="134"/>
      <c r="DE52" s="244" t="e">
        <f>(#REF!+2*#REF!)/#REF!</f>
        <v>#REF!</v>
      </c>
      <c r="DF52" s="244" t="e">
        <f>#REF!*(1+race_wizard_strength+IF(#REF!&gt;72,tech_magical_weaponry_wiz*#REF!,0))</f>
        <v>#REF!</v>
      </c>
    </row>
    <row r="53" spans="1:110" x14ac:dyDescent="0.25">
      <c r="A53" s="130" t="e">
        <f>#REF!</f>
        <v>#REF!</v>
      </c>
      <c r="B53" s="236" t="e">
        <f ca="1">SUM(#REF!)+SUM(OFFSET(#REF!,-8,0):#REF!) + SUM(OFFSET(#REF!,-11,0):#REF!) +#REF!</f>
        <v>#REF!</v>
      </c>
      <c r="C53" s="132" t="e">
        <f>#REF!</f>
        <v>#REF!</v>
      </c>
      <c r="D53" s="134"/>
      <c r="E53" s="3" t="e">
        <f ca="1">OFFSET(#REF!,-1,0) + OFFSET(#REF!,-9,0) -#REF!</f>
        <v>#REF!</v>
      </c>
      <c r="F53" s="3" t="e">
        <f ca="1">OFFSET(#REF!,-1,0) + OFFSET(#REF!,-9,0)-#REF!</f>
        <v>#REF!</v>
      </c>
      <c r="G53" s="3" t="e">
        <f ca="1">OFFSET(#REF!,-1,0) + OFFSET(#REF!,-12,0)-#REF!</f>
        <v>#REF!</v>
      </c>
      <c r="H53" s="3" t="e">
        <f ca="1">OFFSET(#REF!,-1,0) + OFFSET(#REF!,-12,0)-#REF!</f>
        <v>#REF!</v>
      </c>
      <c r="I53" s="3" t="e">
        <f ca="1">OFFSET(#REF!,-1,0) + OFFSET(#REF!,-12,0) -#REF!-#REF!</f>
        <v>#REF!</v>
      </c>
      <c r="J53" s="3" t="e">
        <f ca="1">OFFSET(#REF!,-1,0) + OFFSET(#REF!,-12,0) -#REF!</f>
        <v>#REF!</v>
      </c>
      <c r="K53" s="3" t="e">
        <f ca="1">OFFSET(#REF!,-1,0) + OFFSET(#REF!,-12,0) -#REF!-#REF!</f>
        <v>#REF!</v>
      </c>
      <c r="L53" s="3" t="e">
        <f ca="1">OFFSET(#REF!,-1,0) + OFFSET(#REF!,-12,0) -#REF!</f>
        <v>#REF!</v>
      </c>
      <c r="M53" s="134"/>
      <c r="N53" s="39" t="e">
        <f>#REF!</f>
        <v>#REF!</v>
      </c>
      <c r="O53" s="134"/>
      <c r="P53" s="237" t="e">
        <f>#REF!*spec_op+#REF!*(elite1_base_op)+#REF!*(elite2_base_op+dark_elf*#REF!+icekin*#REF!+woodie*#REF!+orc*#REF!)+kobold*#REF!</f>
        <v>#REF!</v>
      </c>
      <c r="Q53" s="132" t="e">
        <f>race_offense+#REF!+ROUND(MIN(gn_bonus*#REF!/#REF!,gn_bonus_cap),4)+MAX(IF(#REF!&gt;0,warsong_bonus),IF(#REF!&gt;0,howling_op_bonus),IF(#REF!&gt;0,nightfall_bonus),IF(#REF!&gt;0,#REF!)) +#REF!/ 100*prestige_offense_bonus + tech_5_4*#REF! + tech_7_4*#REF!</f>
        <v>#REF!</v>
      </c>
      <c r="R53" s="237" t="e">
        <f>#REF!*(1+#REF!)</f>
        <v>#REF!</v>
      </c>
      <c r="S53" s="237" t="e">
        <f>#REF!*spec_dp+#REF!*(elite1_base_dp+woodie*#REF!+sylvan*#REF!+gnome*#REF!+icekin*#REF!+nox*#REF!)+#REF!*(elite2_base_dp+woodie*#REF!) + fh_peas_dp*MIN(#REF!,20*#REF!)+kobold*#REF!</f>
        <v>#REF!</v>
      </c>
      <c r="T53" s="237" t="e">
        <f>#REF!+#REF!</f>
        <v>#REF!</v>
      </c>
      <c r="U53" s="238" t="e">
        <f>race_defense +#REF! + ROUND( MIN(gt_bonus*#REF!/#REF!,gt_bonus_cap), 4) + IF(#REF!&gt;0,howling_dp_bonus,IF(#REF!&gt;0,ares_call_bonus))</f>
        <v>#REF!</v>
      </c>
      <c r="V53" s="239" t="e">
        <f>#REF! * (1 +#REF!)</f>
        <v>#REF!</v>
      </c>
      <c r="W53" s="237" t="e">
        <f>#REF! * (1 +#REF!)</f>
        <v>#REF!</v>
      </c>
      <c r="X53" s="237" t="e">
        <f>#REF!</f>
        <v>#REF!</v>
      </c>
      <c r="Y53" s="240"/>
      <c r="Z53" s="135" t="e">
        <f ca="1">IF(#REF!&lt;&gt;"",#REF!,OFFSET(#REF!,-1,0))</f>
        <v>#REF!</v>
      </c>
      <c r="AA53" s="39" t="e">
        <f ca="1">OFFSET(#REF!,-1,0)+OFFSET(#REF!,-1,0) - SUM(#REF!,#REF!) -#REF! + SUM(#REF!) -#REF!</f>
        <v>#REF!</v>
      </c>
      <c r="AB53" s="133"/>
      <c r="AC53" s="132" t="e">
        <f>(#REF!+#REF!)/(#REF!-#REF!*20)</f>
        <v>#REF!</v>
      </c>
      <c r="AD53" s="130"/>
      <c r="AE53" s="236" t="e">
        <f>#REF!</f>
        <v>#REF!</v>
      </c>
      <c r="AF53" s="131" t="e">
        <f>#REF!</f>
        <v>#REF!</v>
      </c>
      <c r="AG53" s="146"/>
      <c r="AH53" s="164"/>
      <c r="AI53" s="146"/>
      <c r="AJ53" s="164"/>
      <c r="AK53" s="164"/>
      <c r="AL53" s="164"/>
      <c r="AM53" s="164"/>
      <c r="AN53" s="164"/>
      <c r="AO53" s="134"/>
      <c r="AP53" s="39" t="e">
        <f>#REF!</f>
        <v>#REF!</v>
      </c>
      <c r="AQ53" s="39" t="e">
        <f>INDEX(#REF!:#REF!,COUNTA(#REF!:#REF!),MATCH(Military!$AQ$2,#REF!,0))</f>
        <v>#REF!</v>
      </c>
      <c r="AR53" s="39" t="e">
        <f>#REF!*#REF!+#REF!*#REF!+#REF!*#REF!+#REF!*#REF!+#REF!*#REF!+#REF!*#REF!+#REF!*#REF!</f>
        <v>#REF!</v>
      </c>
      <c r="AS53" s="39" t="e">
        <f>#REF!*#REF!+#REF!*#REF!+#REF!*#REF!+#REF!*#REF!</f>
        <v>#REF!</v>
      </c>
      <c r="AT53" s="134" t="e">
        <f>#REF!</f>
        <v>#REF!</v>
      </c>
      <c r="AU53" s="143" t="e">
        <f>#REF!</f>
        <v>#REF!</v>
      </c>
      <c r="AV53" s="39" t="e">
        <f>#REF!</f>
        <v>#REF!</v>
      </c>
      <c r="AW53" s="164"/>
      <c r="AX53" s="164"/>
      <c r="AY53" s="164"/>
      <c r="AZ53" s="164"/>
      <c r="BA53" s="164"/>
      <c r="BB53" s="164"/>
      <c r="BC53" s="164"/>
      <c r="BD53" s="164"/>
      <c r="BE53" s="164"/>
      <c r="BF53" s="134"/>
      <c r="BG53" s="132" t="e">
        <f>#REF!/#REF!</f>
        <v>#REF!</v>
      </c>
      <c r="BH53" s="132" t="e">
        <f>#REF!/#REF!</f>
        <v>#REF!</v>
      </c>
      <c r="BI53" s="39" t="e">
        <f>ROUNDUP((1-MIN(#REF!*smithy_bonus,smithy_bonus_cap) + tech_3_5*#REF! + tech_5_3*#REF! + tech_5_5*#REF!)*spec_op_plat,0)</f>
        <v>#REF!</v>
      </c>
      <c r="BJ53" s="39" t="e">
        <f>ROUNDUP(IF(race="Gnome",1,(1-MIN(#REF!*smithy_bonus,smithy_bonus_cap) + tech_3_5*#REF! + tech_5_3*#REF! + tech_5_5*#REF!))*spec_op_ore,0)</f>
        <v>#REF!</v>
      </c>
      <c r="BK53" s="39" t="e">
        <f>ROUNDUP((1-MIN(#REF!*smithy_bonus,smithy_bonus_cap) + tech_3_5*#REF! + tech_5_3*#REF! + tech_5_5*#REF!)*spec_dp_plat,0)</f>
        <v>#REF!</v>
      </c>
      <c r="BL53" s="39" t="e">
        <f>ROUNDUP(IF(race="Gnome",1,(1-MIN(#REF!*smithy_bonus,smithy_bonus_cap) + tech_3_5*#REF! + tech_5_3*#REF! + tech_5_5*#REF!))*spec_dp_ore,0)</f>
        <v>#REF!</v>
      </c>
      <c r="BM53" s="39" t="e">
        <f>ROUNDUP((1-MIN(#REF!*smithy_bonus,smithy_bonus_cap) + tech_3_5*#REF! + tech_5_3*#REF! + tech_5_5*#REF!)*elite1_plat,0)</f>
        <v>#REF!</v>
      </c>
      <c r="BN53" s="39" t="e">
        <f>ROUNDUP(IF(race="Gnome",1,(1-MIN(#REF!*smithy_bonus,smithy_bonus_cap) + tech_3_5*#REF! + tech_5_3*#REF! + tech_5_5*#REF!))*elite1_ore,0)</f>
        <v>#REF!</v>
      </c>
      <c r="BO53" s="39" t="e">
        <f>ROUNDUP((1-MIN(#REF!*smithy_bonus,smithy_bonus_cap) + tech_3_5*#REF! + tech_5_3*#REF! + tech_5_5*#REF!)*elite2_plat,0)</f>
        <v>#REF!</v>
      </c>
      <c r="BP53" s="39" t="e">
        <f>ROUNDUP(IF(race="Gnome",1,(1-MIN(#REF!*smithy_bonus,smithy_bonus_cap) + tech_3_5*#REF! + tech_5_3*#REF! + tech_5_5*#REF!))*elite2_ore,0)</f>
        <v>#REF!</v>
      </c>
      <c r="BQ53" s="39" t="e">
        <f>ROUNDUP((1-MIN(ROUND(fh_spy_cost_red*#REF!,4),fh_spy_cost_cap)+ tech_1_9*#REF! + tech_9_1*#REF!)*spy_plat,0)</f>
        <v>#REF!</v>
      </c>
      <c r="BR53" s="39" t="e">
        <f>ROUNDUP((1-MIN(ROUND(fh_spy_cost_red*#REF!,4),fh_spy_cost_cap)+ tech_1_9*#REF! + tech_9_1*#REF!)*archspy_plat,0)</f>
        <v>#REF!</v>
      </c>
      <c r="BS53" s="39" t="e">
        <f>ROUNDUP((1-MIN(ROUND(wg_wiz_cost_bonus*#REF!,4),wg_wiz_cost_cap) + tech_1_9_2*#REF! + tech_9_1_2*#REF!)*wizard_plat,0)</f>
        <v>#REF!</v>
      </c>
      <c r="BT53" s="39" t="e">
        <f>ROUNDUP((1-MIN(ROUND(wg_wiz_cost_bonus*#REF!,4),wg_wiz_cost_cap) + tech_1_9_2*#REF! + tech_9_1_2*#REF!)*archmage_plat,0)</f>
        <v>#REF!</v>
      </c>
      <c r="BU53" s="134"/>
      <c r="BV53" s="132" t="e">
        <f>#REF!/#REF!</f>
        <v>#REF!</v>
      </c>
      <c r="BW53" s="132" t="e">
        <f>#REF!</f>
        <v>#REF!</v>
      </c>
      <c r="BX53" s="241" t="e">
        <f>IF(mystic_cap="none",#REF!/mystic_bonus,MIN(mystic_cap,#REF!/mystic_bonus))</f>
        <v>#REF!</v>
      </c>
      <c r="BY53" s="241" t="e">
        <f>IF(druid_op_cap="none",#REF!/druid_op_bonus,MIN(druid_op_cap,#REF!/druid_op_bonus))</f>
        <v>#REF!</v>
      </c>
      <c r="BZ53" s="241" t="e">
        <f>IF(druid_dp_cap="none",#REF!/druid_dp_bonus,MIN(druid_dp_cap,#REF!/druid_dp_bonus))</f>
        <v>#REF!</v>
      </c>
      <c r="CA53" s="241" t="e">
        <f>MIN(dryad_cap,#REF!/dryad_bonus)</f>
        <v>#REF!</v>
      </c>
      <c r="CB53" s="241" t="e">
        <f>MIN(rocka_cap,#REF!/rocka_bonus)</f>
        <v>#REF!</v>
      </c>
      <c r="CC53" s="241" t="e">
        <f>MIN(adept_op_cap,#REF!/adept_op_bonus)</f>
        <v>#REF!</v>
      </c>
      <c r="CD53" s="241" t="e">
        <f>MIN(adept_dp_cap,#REF!/adept_dp_bonus)</f>
        <v>#REF!</v>
      </c>
      <c r="CE53" s="39" t="e">
        <f>MIN(#REF!,#REF!)*2</f>
        <v>#REF!</v>
      </c>
      <c r="CF53" s="39" t="e">
        <f>MIN(#REF!,#REF!)*2</f>
        <v>#REF!</v>
      </c>
      <c r="CG53" s="241" t="e">
        <f>MIN(frost_mage_cap,#REF!/frost_mage_bonus)</f>
        <v>#REF!</v>
      </c>
      <c r="CH53" s="3" t="e">
        <f>MIN(ice_elem_cap,#REF!*ice_elem_bonus)</f>
        <v>#REF!</v>
      </c>
      <c r="CI53" s="241">
        <f t="shared" si="2"/>
        <v>0.83333333333333337</v>
      </c>
      <c r="CJ53" s="241" t="e">
        <f>MIN(nox_nightshade_cap,#REF!/#REF!/nox_nightshade_swamp_bonus)</f>
        <v>#REF!</v>
      </c>
      <c r="CK53" s="242"/>
      <c r="CL53" s="242"/>
      <c r="CM53" s="242"/>
      <c r="CN53" s="241" t="e">
        <f>MIN(6,#REF!+Races!$F$19)*1.8 +  IF(#REF!+Races!$F$19&gt;6,(#REF!+Races!$F$19-6)*0.2,0) - Races!$I$19</f>
        <v>#REF!</v>
      </c>
      <c r="CO53" s="241" t="e">
        <f>1.8 * MIN(MAX(#REF!+Races!$E$20,#REF!+Races!$F$20),6)  +  0.45 * MIN(MIN(#REF!+Races!$E$20,#REF!+Races!$F$20),6)  +  0.2 * ( MAX(#REF!+Races!$E$20-6,0) + MAX(#REF!+Races!$F$20-6,0) )  -  Races!$I$20</f>
        <v>#REF!</v>
      </c>
      <c r="CP53" s="39" t="e">
        <f>#REF!*#REF!+#REF!*#REF!</f>
        <v>#REF!</v>
      </c>
      <c r="CQ53" s="145" t="e">
        <f>MIN(6,#REF!+Races!$F$35)*1.8 +  IF(#REF!+Races!$F$35&gt;6,(#REF!+Races!$F$35-6)*0.2,0) - Races!$I$19</f>
        <v>#REF!</v>
      </c>
      <c r="CR53" s="39" t="e">
        <f>sylvan*(#REF!*#REF!)</f>
        <v>#REF!</v>
      </c>
      <c r="CS53" s="145" t="e">
        <f>1.8 * MIN(MAX(Races!$E$27,#REF!+Races!$F$27),6)  +  0.45 * MIN(MIN(Races!$E$27,#REF!+Races!$F$27),6)  +  0.2 * ( MAX(Races!$E$27-6,0) + MAX(#REF!+Races!$F$27-6,0) )  -  Races!$I$20</f>
        <v>#REF!</v>
      </c>
      <c r="CT53" s="39" t="e">
        <f>gnome*(#REF!*#REF!)</f>
        <v>#REF!</v>
      </c>
      <c r="CU53" s="145" t="e">
        <f>1.8 * MIN(MAX(#REF!+Races!$E$47,#REF!+Races!$F$47),6)  +  0.45 * MIN(MIN(#REF!+Races!$E$47,#REF!+Races!$F$47),6)  +  0.2 * ( MAX(#REF!+Races!$E$47-6,0) + MAX(#REF!+Races!$F$47-6,0) )  -  Races!$I$47</f>
        <v>#REF!</v>
      </c>
      <c r="CV53" s="39" t="e">
        <f>dark_elf*(#REF!*#REF!)</f>
        <v>#REF!</v>
      </c>
      <c r="CW53" s="145" t="e">
        <f>1.8 * MIN(MAX(#REF!+Races!$F$71,Races!$E$71),6)  +  0.45 * MIN(MIN(#REF!+Races!$F$71,Races!$E$71),6)  +  0.2 * ( MAX(#REF!+Races!$F$71-6,0) + MAX(Races!$E$71-6,0) )  -  Races!$I$71</f>
        <v>#REF!</v>
      </c>
      <c r="CX53" s="145" t="e">
        <f>1.8 * MIN(MAX(#REF!+Races!$E$71,Races!$F$71),6)  +  0.45 * MIN(MIN(#REF!+Races!$E$71,Races!$F$71),6)  +  0.2 * ( MAX(#REF!+Races!$E$71-6,0) + MAX(Races!$F$71-6,0) )  -  Races!$I$71</f>
        <v>#REF!</v>
      </c>
      <c r="CY53" s="39" t="e">
        <f>#REF!*#REF!+#REF!*#REF!</f>
        <v>#REF!</v>
      </c>
      <c r="CZ53" s="243"/>
      <c r="DA53" s="135" t="e">
        <f>MIN(SUM(#REF!)/#REF!/favorable_terrain_bonus/100,favorable_terrain_max)</f>
        <v>#REF!</v>
      </c>
      <c r="DB53" s="243"/>
      <c r="DC53"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53" s="134"/>
      <c r="DE53" s="244" t="e">
        <f>(#REF!+2*#REF!)/#REF!</f>
        <v>#REF!</v>
      </c>
      <c r="DF53" s="244" t="e">
        <f>#REF!*(1+race_wizard_strength+IF(#REF!&gt;72,tech_magical_weaponry_wiz*#REF!,0))</f>
        <v>#REF!</v>
      </c>
    </row>
    <row r="54" spans="1:110" x14ac:dyDescent="0.25">
      <c r="A54" s="130" t="e">
        <f>#REF!</f>
        <v>#REF!</v>
      </c>
      <c r="B54" s="236" t="e">
        <f ca="1">SUM(#REF!)+SUM(OFFSET(#REF!,-8,0):#REF!) + SUM(OFFSET(#REF!,-11,0):#REF!) +#REF!</f>
        <v>#REF!</v>
      </c>
      <c r="C54" s="132" t="e">
        <f>#REF!</f>
        <v>#REF!</v>
      </c>
      <c r="D54" s="134"/>
      <c r="E54" s="3" t="e">
        <f ca="1">OFFSET(#REF!,-1,0) + OFFSET(#REF!,-9,0) -#REF!</f>
        <v>#REF!</v>
      </c>
      <c r="F54" s="3" t="e">
        <f ca="1">OFFSET(#REF!,-1,0) + OFFSET(#REF!,-9,0)-#REF!</f>
        <v>#REF!</v>
      </c>
      <c r="G54" s="3" t="e">
        <f ca="1">OFFSET(#REF!,-1,0) + OFFSET(#REF!,-12,0)-#REF!</f>
        <v>#REF!</v>
      </c>
      <c r="H54" s="3" t="e">
        <f ca="1">OFFSET(#REF!,-1,0) + OFFSET(#REF!,-12,0)-#REF!</f>
        <v>#REF!</v>
      </c>
      <c r="I54" s="3" t="e">
        <f ca="1">OFFSET(#REF!,-1,0) + OFFSET(#REF!,-12,0) -#REF!-#REF!</f>
        <v>#REF!</v>
      </c>
      <c r="J54" s="3" t="e">
        <f ca="1">OFFSET(#REF!,-1,0) + OFFSET(#REF!,-12,0) -#REF!</f>
        <v>#REF!</v>
      </c>
      <c r="K54" s="3" t="e">
        <f ca="1">OFFSET(#REF!,-1,0) + OFFSET(#REF!,-12,0) -#REF!-#REF!</f>
        <v>#REF!</v>
      </c>
      <c r="L54" s="3" t="e">
        <f ca="1">OFFSET(#REF!,-1,0) + OFFSET(#REF!,-12,0) -#REF!</f>
        <v>#REF!</v>
      </c>
      <c r="M54" s="134"/>
      <c r="N54" s="39" t="e">
        <f>#REF!</f>
        <v>#REF!</v>
      </c>
      <c r="O54" s="134"/>
      <c r="P54" s="237" t="e">
        <f>#REF!*spec_op+#REF!*(elite1_base_op)+#REF!*(elite2_base_op+dark_elf*#REF!+icekin*#REF!+woodie*#REF!+orc*#REF!)+kobold*#REF!</f>
        <v>#REF!</v>
      </c>
      <c r="Q54" s="132" t="e">
        <f>race_offense+#REF!+ROUND(MIN(gn_bonus*#REF!/#REF!,gn_bonus_cap),4)+MAX(IF(#REF!&gt;0,warsong_bonus),IF(#REF!&gt;0,howling_op_bonus),IF(#REF!&gt;0,nightfall_bonus),IF(#REF!&gt;0,#REF!)) +#REF!/ 100*prestige_offense_bonus + tech_5_4*#REF! + tech_7_4*#REF!</f>
        <v>#REF!</v>
      </c>
      <c r="R54" s="237" t="e">
        <f>#REF!*(1+#REF!)</f>
        <v>#REF!</v>
      </c>
      <c r="S54" s="237" t="e">
        <f>#REF!*spec_dp+#REF!*(elite1_base_dp+woodie*#REF!+sylvan*#REF!+gnome*#REF!+icekin*#REF!+nox*#REF!)+#REF!*(elite2_base_dp+woodie*#REF!) + fh_peas_dp*MIN(#REF!,20*#REF!)+kobold*#REF!</f>
        <v>#REF!</v>
      </c>
      <c r="T54" s="237" t="e">
        <f>#REF!+#REF!</f>
        <v>#REF!</v>
      </c>
      <c r="U54" s="238" t="e">
        <f>race_defense +#REF! + ROUND( MIN(gt_bonus*#REF!/#REF!,gt_bonus_cap), 4) + IF(#REF!&gt;0,howling_dp_bonus,IF(#REF!&gt;0,ares_call_bonus))</f>
        <v>#REF!</v>
      </c>
      <c r="V54" s="239" t="e">
        <f>#REF! * (1 +#REF!)</f>
        <v>#REF!</v>
      </c>
      <c r="W54" s="237" t="e">
        <f>#REF! * (1 +#REF!)</f>
        <v>#REF!</v>
      </c>
      <c r="X54" s="237" t="e">
        <f>#REF!</f>
        <v>#REF!</v>
      </c>
      <c r="Y54" s="240"/>
      <c r="Z54" s="135" t="e">
        <f ca="1">IF(#REF!&lt;&gt;"",#REF!,OFFSET(#REF!,-1,0))</f>
        <v>#REF!</v>
      </c>
      <c r="AA54" s="39" t="e">
        <f ca="1">OFFSET(#REF!,-1,0)+OFFSET(#REF!,-1,0) - SUM(#REF!,#REF!) -#REF! + SUM(#REF!) -#REF!</f>
        <v>#REF!</v>
      </c>
      <c r="AB54" s="133"/>
      <c r="AC54" s="132" t="e">
        <f>(#REF!+#REF!)/(#REF!-#REF!*20)</f>
        <v>#REF!</v>
      </c>
      <c r="AD54" s="130"/>
      <c r="AE54" s="236" t="e">
        <f>#REF!</f>
        <v>#REF!</v>
      </c>
      <c r="AF54" s="131" t="e">
        <f>#REF!</f>
        <v>#REF!</v>
      </c>
      <c r="AG54" s="164"/>
      <c r="AH54" s="164"/>
      <c r="AI54" s="164"/>
      <c r="AJ54" s="164"/>
      <c r="AK54" s="164"/>
      <c r="AL54" s="164"/>
      <c r="AM54" s="164"/>
      <c r="AN54" s="164"/>
      <c r="AO54" s="134"/>
      <c r="AP54" s="39" t="e">
        <f>#REF!</f>
        <v>#REF!</v>
      </c>
      <c r="AQ54" s="39" t="e">
        <f>INDEX(#REF!:#REF!,COUNTA(#REF!:#REF!),MATCH(Military!$AQ$2,#REF!,0))</f>
        <v>#REF!</v>
      </c>
      <c r="AR54" s="39" t="e">
        <f>#REF!*#REF!+#REF!*#REF!+#REF!*#REF!+#REF!*#REF!+#REF!*#REF!+#REF!*#REF!+#REF!*#REF!</f>
        <v>#REF!</v>
      </c>
      <c r="AS54" s="39" t="e">
        <f>#REF!*#REF!+#REF!*#REF!+#REF!*#REF!+#REF!*#REF!</f>
        <v>#REF!</v>
      </c>
      <c r="AT54" s="134" t="e">
        <f>#REF!</f>
        <v>#REF!</v>
      </c>
      <c r="AU54" s="143" t="e">
        <f>#REF!</f>
        <v>#REF!</v>
      </c>
      <c r="AV54" s="39" t="e">
        <f>#REF!</f>
        <v>#REF!</v>
      </c>
      <c r="AW54" s="164"/>
      <c r="AX54" s="164"/>
      <c r="AY54" s="164"/>
      <c r="AZ54" s="164"/>
      <c r="BA54" s="164"/>
      <c r="BB54" s="164"/>
      <c r="BC54" s="164"/>
      <c r="BD54" s="164"/>
      <c r="BE54" s="164"/>
      <c r="BF54" s="134"/>
      <c r="BG54" s="132" t="e">
        <f>#REF!/#REF!</f>
        <v>#REF!</v>
      </c>
      <c r="BH54" s="132" t="e">
        <f>#REF!/#REF!</f>
        <v>#REF!</v>
      </c>
      <c r="BI54" s="39" t="e">
        <f>ROUNDUP((1-MIN(#REF!*smithy_bonus,smithy_bonus_cap) + tech_3_5*#REF! + tech_5_3*#REF! + tech_5_5*#REF!)*spec_op_plat,0)</f>
        <v>#REF!</v>
      </c>
      <c r="BJ54" s="39" t="e">
        <f>ROUNDUP(IF(race="Gnome",1,(1-MIN(#REF!*smithy_bonus,smithy_bonus_cap) + tech_3_5*#REF! + tech_5_3*#REF! + tech_5_5*#REF!))*spec_op_ore,0)</f>
        <v>#REF!</v>
      </c>
      <c r="BK54" s="39" t="e">
        <f>ROUNDUP((1-MIN(#REF!*smithy_bonus,smithy_bonus_cap) + tech_3_5*#REF! + tech_5_3*#REF! + tech_5_5*#REF!)*spec_dp_plat,0)</f>
        <v>#REF!</v>
      </c>
      <c r="BL54" s="39" t="e">
        <f>ROUNDUP(IF(race="Gnome",1,(1-MIN(#REF!*smithy_bonus,smithy_bonus_cap) + tech_3_5*#REF! + tech_5_3*#REF! + tech_5_5*#REF!))*spec_dp_ore,0)</f>
        <v>#REF!</v>
      </c>
      <c r="BM54" s="39" t="e">
        <f>ROUNDUP((1-MIN(#REF!*smithy_bonus,smithy_bonus_cap) + tech_3_5*#REF! + tech_5_3*#REF! + tech_5_5*#REF!)*elite1_plat,0)</f>
        <v>#REF!</v>
      </c>
      <c r="BN54" s="39" t="e">
        <f>ROUNDUP(IF(race="Gnome",1,(1-MIN(#REF!*smithy_bonus,smithy_bonus_cap) + tech_3_5*#REF! + tech_5_3*#REF! + tech_5_5*#REF!))*elite1_ore,0)</f>
        <v>#REF!</v>
      </c>
      <c r="BO54" s="39" t="e">
        <f>ROUNDUP((1-MIN(#REF!*smithy_bonus,smithy_bonus_cap) + tech_3_5*#REF! + tech_5_3*#REF! + tech_5_5*#REF!)*elite2_plat,0)</f>
        <v>#REF!</v>
      </c>
      <c r="BP54" s="39" t="e">
        <f>ROUNDUP(IF(race="Gnome",1,(1-MIN(#REF!*smithy_bonus,smithy_bonus_cap) + tech_3_5*#REF! + tech_5_3*#REF! + tech_5_5*#REF!))*elite2_ore,0)</f>
        <v>#REF!</v>
      </c>
      <c r="BQ54" s="39" t="e">
        <f>ROUNDUP((1-MIN(ROUND(fh_spy_cost_red*#REF!,4),fh_spy_cost_cap)+ tech_1_9*#REF! + tech_9_1*#REF!)*spy_plat,0)</f>
        <v>#REF!</v>
      </c>
      <c r="BR54" s="39" t="e">
        <f>ROUNDUP((1-MIN(ROUND(fh_spy_cost_red*#REF!,4),fh_spy_cost_cap)+ tech_1_9*#REF! + tech_9_1*#REF!)*archspy_plat,0)</f>
        <v>#REF!</v>
      </c>
      <c r="BS54" s="39" t="e">
        <f>ROUNDUP((1-MIN(ROUND(wg_wiz_cost_bonus*#REF!,4),wg_wiz_cost_cap) + tech_1_9_2*#REF! + tech_9_1_2*#REF!)*wizard_plat,0)</f>
        <v>#REF!</v>
      </c>
      <c r="BT54" s="39" t="e">
        <f>ROUNDUP((1-MIN(ROUND(wg_wiz_cost_bonus*#REF!,4),wg_wiz_cost_cap) + tech_1_9_2*#REF! + tech_9_1_2*#REF!)*archmage_plat,0)</f>
        <v>#REF!</v>
      </c>
      <c r="BU54" s="134"/>
      <c r="BV54" s="132" t="e">
        <f>#REF!/#REF!</f>
        <v>#REF!</v>
      </c>
      <c r="BW54" s="132" t="e">
        <f>#REF!</f>
        <v>#REF!</v>
      </c>
      <c r="BX54" s="241" t="e">
        <f>IF(mystic_cap="none",#REF!/mystic_bonus,MIN(mystic_cap,#REF!/mystic_bonus))</f>
        <v>#REF!</v>
      </c>
      <c r="BY54" s="241" t="e">
        <f>IF(druid_op_cap="none",#REF!/druid_op_bonus,MIN(druid_op_cap,#REF!/druid_op_bonus))</f>
        <v>#REF!</v>
      </c>
      <c r="BZ54" s="241" t="e">
        <f>IF(druid_dp_cap="none",#REF!/druid_dp_bonus,MIN(druid_dp_cap,#REF!/druid_dp_bonus))</f>
        <v>#REF!</v>
      </c>
      <c r="CA54" s="241" t="e">
        <f>MIN(dryad_cap,#REF!/dryad_bonus)</f>
        <v>#REF!</v>
      </c>
      <c r="CB54" s="241" t="e">
        <f>MIN(rocka_cap,#REF!/rocka_bonus)</f>
        <v>#REF!</v>
      </c>
      <c r="CC54" s="241" t="e">
        <f>MIN(adept_op_cap,#REF!/adept_op_bonus)</f>
        <v>#REF!</v>
      </c>
      <c r="CD54" s="241" t="e">
        <f>MIN(adept_dp_cap,#REF!/adept_dp_bonus)</f>
        <v>#REF!</v>
      </c>
      <c r="CE54" s="39" t="e">
        <f>MIN(#REF!,#REF!)*2</f>
        <v>#REF!</v>
      </c>
      <c r="CF54" s="39" t="e">
        <f>MIN(#REF!,#REF!)*2</f>
        <v>#REF!</v>
      </c>
      <c r="CG54" s="241" t="e">
        <f>MIN(frost_mage_cap,#REF!/frost_mage_bonus)</f>
        <v>#REF!</v>
      </c>
      <c r="CH54" s="3" t="e">
        <f>MIN(ice_elem_cap,#REF!*ice_elem_bonus)</f>
        <v>#REF!</v>
      </c>
      <c r="CI54" s="241">
        <f t="shared" si="2"/>
        <v>0.83333333333333337</v>
      </c>
      <c r="CJ54" s="241" t="e">
        <f>MIN(nox_nightshade_cap,#REF!/#REF!/nox_nightshade_swamp_bonus)</f>
        <v>#REF!</v>
      </c>
      <c r="CK54" s="242"/>
      <c r="CL54" s="242"/>
      <c r="CM54" s="242"/>
      <c r="CN54" s="241" t="e">
        <f>MIN(6,#REF!+Races!$F$19)*1.8 +  IF(#REF!+Races!$F$19&gt;6,(#REF!+Races!$F$19-6)*0.2,0) - Races!$I$19</f>
        <v>#REF!</v>
      </c>
      <c r="CO54" s="241" t="e">
        <f>1.8 * MIN(MAX(#REF!+Races!$E$20,#REF!+Races!$F$20),6)  +  0.45 * MIN(MIN(#REF!+Races!$E$20,#REF!+Races!$F$20),6)  +  0.2 * ( MAX(#REF!+Races!$E$20-6,0) + MAX(#REF!+Races!$F$20-6,0) )  -  Races!$I$20</f>
        <v>#REF!</v>
      </c>
      <c r="CP54" s="39" t="e">
        <f>#REF!*#REF!+#REF!*#REF!</f>
        <v>#REF!</v>
      </c>
      <c r="CQ54" s="145" t="e">
        <f>MIN(6,#REF!+Races!$F$35)*1.8 +  IF(#REF!+Races!$F$35&gt;6,(#REF!+Races!$F$35-6)*0.2,0) - Races!$I$19</f>
        <v>#REF!</v>
      </c>
      <c r="CR54" s="39" t="e">
        <f>sylvan*(#REF!*#REF!)</f>
        <v>#REF!</v>
      </c>
      <c r="CS54" s="145" t="e">
        <f>1.8 * MIN(MAX(Races!$E$27,#REF!+Races!$F$27),6)  +  0.45 * MIN(MIN(Races!$E$27,#REF!+Races!$F$27),6)  +  0.2 * ( MAX(Races!$E$27-6,0) + MAX(#REF!+Races!$F$27-6,0) )  -  Races!$I$20</f>
        <v>#REF!</v>
      </c>
      <c r="CT54" s="39" t="e">
        <f>gnome*(#REF!*#REF!)</f>
        <v>#REF!</v>
      </c>
      <c r="CU54" s="145" t="e">
        <f>1.8 * MIN(MAX(#REF!+Races!$E$47,#REF!+Races!$F$47),6)  +  0.45 * MIN(MIN(#REF!+Races!$E$47,#REF!+Races!$F$47),6)  +  0.2 * ( MAX(#REF!+Races!$E$47-6,0) + MAX(#REF!+Races!$F$47-6,0) )  -  Races!$I$47</f>
        <v>#REF!</v>
      </c>
      <c r="CV54" s="39" t="e">
        <f>dark_elf*(#REF!*#REF!)</f>
        <v>#REF!</v>
      </c>
      <c r="CW54" s="145" t="e">
        <f>1.8 * MIN(MAX(#REF!+Races!$F$71,Races!$E$71),6)  +  0.45 * MIN(MIN(#REF!+Races!$F$71,Races!$E$71),6)  +  0.2 * ( MAX(#REF!+Races!$F$71-6,0) + MAX(Races!$E$71-6,0) )  -  Races!$I$71</f>
        <v>#REF!</v>
      </c>
      <c r="CX54" s="145" t="e">
        <f>1.8 * MIN(MAX(#REF!+Races!$E$71,Races!$F$71),6)  +  0.45 * MIN(MIN(#REF!+Races!$E$71,Races!$F$71),6)  +  0.2 * ( MAX(#REF!+Races!$E$71-6,0) + MAX(Races!$F$71-6,0) )  -  Races!$I$71</f>
        <v>#REF!</v>
      </c>
      <c r="CY54" s="39" t="e">
        <f>#REF!*#REF!+#REF!*#REF!</f>
        <v>#REF!</v>
      </c>
      <c r="CZ54" s="243"/>
      <c r="DA54" s="135" t="e">
        <f>MIN(SUM(#REF!)/#REF!/favorable_terrain_bonus/100,favorable_terrain_max)</f>
        <v>#REF!</v>
      </c>
      <c r="DB54" s="243"/>
      <c r="DC54"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54" s="134"/>
      <c r="DE54" s="244" t="e">
        <f>(#REF!+2*#REF!)/#REF!</f>
        <v>#REF!</v>
      </c>
      <c r="DF54" s="244" t="e">
        <f>#REF!*(1+race_wizard_strength+IF(#REF!&gt;72,tech_magical_weaponry_wiz*#REF!,0))</f>
        <v>#REF!</v>
      </c>
    </row>
    <row r="55" spans="1:110" x14ac:dyDescent="0.25">
      <c r="A55" s="130" t="e">
        <f>#REF!</f>
        <v>#REF!</v>
      </c>
      <c r="B55" s="236" t="e">
        <f ca="1">SUM(#REF!)+SUM(OFFSET(#REF!,-8,0):#REF!) + SUM(OFFSET(#REF!,-11,0):#REF!) +#REF!</f>
        <v>#REF!</v>
      </c>
      <c r="C55" s="132" t="e">
        <f>#REF!</f>
        <v>#REF!</v>
      </c>
      <c r="D55" s="134"/>
      <c r="E55" s="3" t="e">
        <f ca="1">OFFSET(#REF!,-1,0) + OFFSET(#REF!,-9,0) -#REF!</f>
        <v>#REF!</v>
      </c>
      <c r="F55" s="3" t="e">
        <f ca="1">OFFSET(#REF!,-1,0) + OFFSET(#REF!,-9,0)-#REF!</f>
        <v>#REF!</v>
      </c>
      <c r="G55" s="3" t="e">
        <f ca="1">OFFSET(#REF!,-1,0) + OFFSET(#REF!,-12,0)-#REF!</f>
        <v>#REF!</v>
      </c>
      <c r="H55" s="3" t="e">
        <f ca="1">OFFSET(#REF!,-1,0) + OFFSET(#REF!,-12,0)-#REF!</f>
        <v>#REF!</v>
      </c>
      <c r="I55" s="3" t="e">
        <f ca="1">OFFSET(#REF!,-1,0) + OFFSET(#REF!,-12,0) -#REF!-#REF!</f>
        <v>#REF!</v>
      </c>
      <c r="J55" s="3" t="e">
        <f ca="1">OFFSET(#REF!,-1,0) + OFFSET(#REF!,-12,0) -#REF!</f>
        <v>#REF!</v>
      </c>
      <c r="K55" s="3" t="e">
        <f ca="1">OFFSET(#REF!,-1,0) + OFFSET(#REF!,-12,0) -#REF!-#REF!</f>
        <v>#REF!</v>
      </c>
      <c r="L55" s="3" t="e">
        <f ca="1">OFFSET(#REF!,-1,0) + OFFSET(#REF!,-12,0) -#REF!</f>
        <v>#REF!</v>
      </c>
      <c r="M55" s="134"/>
      <c r="N55" s="39" t="e">
        <f>#REF!</f>
        <v>#REF!</v>
      </c>
      <c r="O55" s="134"/>
      <c r="P55" s="237" t="e">
        <f>#REF!*spec_op+#REF!*(elite1_base_op)+#REF!*(elite2_base_op+dark_elf*#REF!+icekin*#REF!+woodie*#REF!+orc*#REF!)+kobold*#REF!</f>
        <v>#REF!</v>
      </c>
      <c r="Q55" s="132" t="e">
        <f>race_offense+#REF!+ROUND(MIN(gn_bonus*#REF!/#REF!,gn_bonus_cap),4)+MAX(IF(#REF!&gt;0,warsong_bonus),IF(#REF!&gt;0,howling_op_bonus),IF(#REF!&gt;0,nightfall_bonus),IF(#REF!&gt;0,#REF!)) +#REF!/ 100*prestige_offense_bonus + tech_5_4*#REF! + tech_7_4*#REF!</f>
        <v>#REF!</v>
      </c>
      <c r="R55" s="237" t="e">
        <f>#REF!*(1+#REF!)</f>
        <v>#REF!</v>
      </c>
      <c r="S55" s="237" t="e">
        <f>#REF!*spec_dp+#REF!*(elite1_base_dp+woodie*#REF!+sylvan*#REF!+gnome*#REF!+icekin*#REF!+nox*#REF!)+#REF!*(elite2_base_dp+woodie*#REF!) + fh_peas_dp*MIN(#REF!,20*#REF!)+kobold*#REF!</f>
        <v>#REF!</v>
      </c>
      <c r="T55" s="237" t="e">
        <f>#REF!+#REF!</f>
        <v>#REF!</v>
      </c>
      <c r="U55" s="238" t="e">
        <f>race_defense +#REF! + ROUND( MIN(gt_bonus*#REF!/#REF!,gt_bonus_cap), 4) + IF(#REF!&gt;0,howling_dp_bonus,IF(#REF!&gt;0,ares_call_bonus))</f>
        <v>#REF!</v>
      </c>
      <c r="V55" s="239" t="e">
        <f>#REF! * (1 +#REF!)</f>
        <v>#REF!</v>
      </c>
      <c r="W55" s="237" t="e">
        <f>#REF! * (1 +#REF!)</f>
        <v>#REF!</v>
      </c>
      <c r="X55" s="237" t="e">
        <f>#REF!</f>
        <v>#REF!</v>
      </c>
      <c r="Y55" s="240"/>
      <c r="Z55" s="135" t="e">
        <f ca="1">IF(#REF!&lt;&gt;"",#REF!,OFFSET(#REF!,-1,0))</f>
        <v>#REF!</v>
      </c>
      <c r="AA55" s="39" t="e">
        <f ca="1">OFFSET(#REF!,-1,0)+OFFSET(#REF!,-1,0) - SUM(#REF!,#REF!) -#REF! + SUM(#REF!) -#REF!</f>
        <v>#REF!</v>
      </c>
      <c r="AB55" s="133"/>
      <c r="AC55" s="132" t="e">
        <f>(#REF!+#REF!)/(#REF!-#REF!*20)</f>
        <v>#REF!</v>
      </c>
      <c r="AD55" s="130"/>
      <c r="AE55" s="236" t="e">
        <f>#REF!</f>
        <v>#REF!</v>
      </c>
      <c r="AF55" s="131" t="e">
        <f>#REF!</f>
        <v>#REF!</v>
      </c>
      <c r="AG55" s="164"/>
      <c r="AH55" s="164"/>
      <c r="AI55" s="164"/>
      <c r="AJ55" s="164"/>
      <c r="AK55" s="164"/>
      <c r="AL55" s="164"/>
      <c r="AM55" s="164"/>
      <c r="AN55" s="164"/>
      <c r="AO55" s="134"/>
      <c r="AP55" s="39" t="e">
        <f>#REF!</f>
        <v>#REF!</v>
      </c>
      <c r="AQ55" s="39" t="e">
        <f>INDEX(#REF!:#REF!,COUNTA(#REF!:#REF!),MATCH(Military!$AQ$2,#REF!,0))</f>
        <v>#REF!</v>
      </c>
      <c r="AR55" s="39" t="e">
        <f>#REF!*#REF!+#REF!*#REF!+#REF!*#REF!+#REF!*#REF!+#REF!*#REF!+#REF!*#REF!+#REF!*#REF!</f>
        <v>#REF!</v>
      </c>
      <c r="AS55" s="39" t="e">
        <f>#REF!*#REF!+#REF!*#REF!+#REF!*#REF!+#REF!*#REF!</f>
        <v>#REF!</v>
      </c>
      <c r="AT55" s="134" t="e">
        <f>#REF!</f>
        <v>#REF!</v>
      </c>
      <c r="AU55" s="143" t="e">
        <f>#REF!</f>
        <v>#REF!</v>
      </c>
      <c r="AV55" s="39" t="e">
        <f>#REF!</f>
        <v>#REF!</v>
      </c>
      <c r="AW55" s="164"/>
      <c r="AX55" s="164"/>
      <c r="AY55" s="164"/>
      <c r="AZ55" s="164"/>
      <c r="BA55" s="164"/>
      <c r="BB55" s="164"/>
      <c r="BC55" s="164"/>
      <c r="BD55" s="164"/>
      <c r="BE55" s="164"/>
      <c r="BF55" s="134"/>
      <c r="BG55" s="132" t="e">
        <f>#REF!/#REF!</f>
        <v>#REF!</v>
      </c>
      <c r="BH55" s="132" t="e">
        <f>#REF!/#REF!</f>
        <v>#REF!</v>
      </c>
      <c r="BI55" s="39" t="e">
        <f>ROUNDUP((1-MIN(#REF!*smithy_bonus,smithy_bonus_cap) + tech_3_5*#REF! + tech_5_3*#REF! + tech_5_5*#REF!)*spec_op_plat,0)</f>
        <v>#REF!</v>
      </c>
      <c r="BJ55" s="39" t="e">
        <f>ROUNDUP(IF(race="Gnome",1,(1-MIN(#REF!*smithy_bonus,smithy_bonus_cap) + tech_3_5*#REF! + tech_5_3*#REF! + tech_5_5*#REF!))*spec_op_ore,0)</f>
        <v>#REF!</v>
      </c>
      <c r="BK55" s="39" t="e">
        <f>ROUNDUP((1-MIN(#REF!*smithy_bonus,smithy_bonus_cap) + tech_3_5*#REF! + tech_5_3*#REF! + tech_5_5*#REF!)*spec_dp_plat,0)</f>
        <v>#REF!</v>
      </c>
      <c r="BL55" s="39" t="e">
        <f>ROUNDUP(IF(race="Gnome",1,(1-MIN(#REF!*smithy_bonus,smithy_bonus_cap) + tech_3_5*#REF! + tech_5_3*#REF! + tech_5_5*#REF!))*spec_dp_ore,0)</f>
        <v>#REF!</v>
      </c>
      <c r="BM55" s="39" t="e">
        <f>ROUNDUP((1-MIN(#REF!*smithy_bonus,smithy_bonus_cap) + tech_3_5*#REF! + tech_5_3*#REF! + tech_5_5*#REF!)*elite1_plat,0)</f>
        <v>#REF!</v>
      </c>
      <c r="BN55" s="39" t="e">
        <f>ROUNDUP(IF(race="Gnome",1,(1-MIN(#REF!*smithy_bonus,smithy_bonus_cap) + tech_3_5*#REF! + tech_5_3*#REF! + tech_5_5*#REF!))*elite1_ore,0)</f>
        <v>#REF!</v>
      </c>
      <c r="BO55" s="39" t="e">
        <f>ROUNDUP((1-MIN(#REF!*smithy_bonus,smithy_bonus_cap) + tech_3_5*#REF! + tech_5_3*#REF! + tech_5_5*#REF!)*elite2_plat,0)</f>
        <v>#REF!</v>
      </c>
      <c r="BP55" s="39" t="e">
        <f>ROUNDUP(IF(race="Gnome",1,(1-MIN(#REF!*smithy_bonus,smithy_bonus_cap) + tech_3_5*#REF! + tech_5_3*#REF! + tech_5_5*#REF!))*elite2_ore,0)</f>
        <v>#REF!</v>
      </c>
      <c r="BQ55" s="39" t="e">
        <f>ROUNDUP((1-MIN(ROUND(fh_spy_cost_red*#REF!,4),fh_spy_cost_cap)+ tech_1_9*#REF! + tech_9_1*#REF!)*spy_plat,0)</f>
        <v>#REF!</v>
      </c>
      <c r="BR55" s="39" t="e">
        <f>ROUNDUP((1-MIN(ROUND(fh_spy_cost_red*#REF!,4),fh_spy_cost_cap)+ tech_1_9*#REF! + tech_9_1*#REF!)*archspy_plat,0)</f>
        <v>#REF!</v>
      </c>
      <c r="BS55" s="39" t="e">
        <f>ROUNDUP((1-MIN(ROUND(wg_wiz_cost_bonus*#REF!,4),wg_wiz_cost_cap) + tech_1_9_2*#REF! + tech_9_1_2*#REF!)*wizard_plat,0)</f>
        <v>#REF!</v>
      </c>
      <c r="BT55" s="39" t="e">
        <f>ROUNDUP((1-MIN(ROUND(wg_wiz_cost_bonus*#REF!,4),wg_wiz_cost_cap) + tech_1_9_2*#REF! + tech_9_1_2*#REF!)*archmage_plat,0)</f>
        <v>#REF!</v>
      </c>
      <c r="BU55" s="134"/>
      <c r="BV55" s="132" t="e">
        <f>#REF!/#REF!</f>
        <v>#REF!</v>
      </c>
      <c r="BW55" s="132" t="e">
        <f>#REF!</f>
        <v>#REF!</v>
      </c>
      <c r="BX55" s="241" t="e">
        <f>IF(mystic_cap="none",#REF!/mystic_bonus,MIN(mystic_cap,#REF!/mystic_bonus))</f>
        <v>#REF!</v>
      </c>
      <c r="BY55" s="241" t="e">
        <f>IF(druid_op_cap="none",#REF!/druid_op_bonus,MIN(druid_op_cap,#REF!/druid_op_bonus))</f>
        <v>#REF!</v>
      </c>
      <c r="BZ55" s="241" t="e">
        <f>IF(druid_dp_cap="none",#REF!/druid_dp_bonus,MIN(druid_dp_cap,#REF!/druid_dp_bonus))</f>
        <v>#REF!</v>
      </c>
      <c r="CA55" s="241" t="e">
        <f>MIN(dryad_cap,#REF!/dryad_bonus)</f>
        <v>#REF!</v>
      </c>
      <c r="CB55" s="241" t="e">
        <f>MIN(rocka_cap,#REF!/rocka_bonus)</f>
        <v>#REF!</v>
      </c>
      <c r="CC55" s="241" t="e">
        <f>MIN(adept_op_cap,#REF!/adept_op_bonus)</f>
        <v>#REF!</v>
      </c>
      <c r="CD55" s="241" t="e">
        <f>MIN(adept_dp_cap,#REF!/adept_dp_bonus)</f>
        <v>#REF!</v>
      </c>
      <c r="CE55" s="39" t="e">
        <f>MIN(#REF!,#REF!)*2</f>
        <v>#REF!</v>
      </c>
      <c r="CF55" s="39" t="e">
        <f>MIN(#REF!,#REF!)*2</f>
        <v>#REF!</v>
      </c>
      <c r="CG55" s="241" t="e">
        <f>MIN(frost_mage_cap,#REF!/frost_mage_bonus)</f>
        <v>#REF!</v>
      </c>
      <c r="CH55" s="3" t="e">
        <f>MIN(ice_elem_cap,#REF!*ice_elem_bonus)</f>
        <v>#REF!</v>
      </c>
      <c r="CI55" s="241">
        <f t="shared" si="2"/>
        <v>0.83333333333333337</v>
      </c>
      <c r="CJ55" s="241" t="e">
        <f>MIN(nox_nightshade_cap,#REF!/#REF!/nox_nightshade_swamp_bonus)</f>
        <v>#REF!</v>
      </c>
      <c r="CK55" s="242"/>
      <c r="CL55" s="242"/>
      <c r="CM55" s="242"/>
      <c r="CN55" s="241" t="e">
        <f>MIN(6,#REF!+Races!$F$19)*1.8 +  IF(#REF!+Races!$F$19&gt;6,(#REF!+Races!$F$19-6)*0.2,0) - Races!$I$19</f>
        <v>#REF!</v>
      </c>
      <c r="CO55" s="241" t="e">
        <f>1.8 * MIN(MAX(#REF!+Races!$E$20,#REF!+Races!$F$20),6)  +  0.45 * MIN(MIN(#REF!+Races!$E$20,#REF!+Races!$F$20),6)  +  0.2 * ( MAX(#REF!+Races!$E$20-6,0) + MAX(#REF!+Races!$F$20-6,0) )  -  Races!$I$20</f>
        <v>#REF!</v>
      </c>
      <c r="CP55" s="39" t="e">
        <f>#REF!*#REF!+#REF!*#REF!</f>
        <v>#REF!</v>
      </c>
      <c r="CQ55" s="145" t="e">
        <f>MIN(6,#REF!+Races!$F$35)*1.8 +  IF(#REF!+Races!$F$35&gt;6,(#REF!+Races!$F$35-6)*0.2,0) - Races!$I$19</f>
        <v>#REF!</v>
      </c>
      <c r="CR55" s="39" t="e">
        <f>sylvan*(#REF!*#REF!)</f>
        <v>#REF!</v>
      </c>
      <c r="CS55" s="145" t="e">
        <f>1.8 * MIN(MAX(Races!$E$27,#REF!+Races!$F$27),6)  +  0.45 * MIN(MIN(Races!$E$27,#REF!+Races!$F$27),6)  +  0.2 * ( MAX(Races!$E$27-6,0) + MAX(#REF!+Races!$F$27-6,0) )  -  Races!$I$20</f>
        <v>#REF!</v>
      </c>
      <c r="CT55" s="39" t="e">
        <f>gnome*(#REF!*#REF!)</f>
        <v>#REF!</v>
      </c>
      <c r="CU55" s="145" t="e">
        <f>1.8 * MIN(MAX(#REF!+Races!$E$47,#REF!+Races!$F$47),6)  +  0.45 * MIN(MIN(#REF!+Races!$E$47,#REF!+Races!$F$47),6)  +  0.2 * ( MAX(#REF!+Races!$E$47-6,0) + MAX(#REF!+Races!$F$47-6,0) )  -  Races!$I$47</f>
        <v>#REF!</v>
      </c>
      <c r="CV55" s="39" t="e">
        <f>dark_elf*(#REF!*#REF!)</f>
        <v>#REF!</v>
      </c>
      <c r="CW55" s="145" t="e">
        <f>1.8 * MIN(MAX(#REF!+Races!$F$71,Races!$E$71),6)  +  0.45 * MIN(MIN(#REF!+Races!$F$71,Races!$E$71),6)  +  0.2 * ( MAX(#REF!+Races!$F$71-6,0) + MAX(Races!$E$71-6,0) )  -  Races!$I$71</f>
        <v>#REF!</v>
      </c>
      <c r="CX55" s="145" t="e">
        <f>1.8 * MIN(MAX(#REF!+Races!$E$71,Races!$F$71),6)  +  0.45 * MIN(MIN(#REF!+Races!$E$71,Races!$F$71),6)  +  0.2 * ( MAX(#REF!+Races!$E$71-6,0) + MAX(Races!$F$71-6,0) )  -  Races!$I$71</f>
        <v>#REF!</v>
      </c>
      <c r="CY55" s="39" t="e">
        <f>#REF!*#REF!+#REF!*#REF!</f>
        <v>#REF!</v>
      </c>
      <c r="CZ55" s="243"/>
      <c r="DA55" s="135" t="e">
        <f>MIN(SUM(#REF!)/#REF!/favorable_terrain_bonus/100,favorable_terrain_max)</f>
        <v>#REF!</v>
      </c>
      <c r="DB55" s="243"/>
      <c r="DC55"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55" s="134"/>
      <c r="DE55" s="244" t="e">
        <f>(#REF!+2*#REF!)/#REF!</f>
        <v>#REF!</v>
      </c>
      <c r="DF55" s="244" t="e">
        <f>#REF!*(1+race_wizard_strength+IF(#REF!&gt;72,tech_magical_weaponry_wiz*#REF!,0))</f>
        <v>#REF!</v>
      </c>
    </row>
    <row r="56" spans="1:110" x14ac:dyDescent="0.25">
      <c r="A56" s="130" t="e">
        <f>#REF!</f>
        <v>#REF!</v>
      </c>
      <c r="B56" s="236" t="e">
        <f ca="1">SUM(#REF!)+SUM(OFFSET(#REF!,-8,0):#REF!) + SUM(OFFSET(#REF!,-11,0):#REF!) +#REF!</f>
        <v>#REF!</v>
      </c>
      <c r="C56" s="132" t="e">
        <f>#REF!</f>
        <v>#REF!</v>
      </c>
      <c r="D56" s="134"/>
      <c r="E56" s="3" t="e">
        <f ca="1">OFFSET(#REF!,-1,0) + OFFSET(#REF!,-9,0) -#REF!</f>
        <v>#REF!</v>
      </c>
      <c r="F56" s="3" t="e">
        <f ca="1">OFFSET(#REF!,-1,0) + OFFSET(#REF!,-9,0)-#REF!</f>
        <v>#REF!</v>
      </c>
      <c r="G56" s="3" t="e">
        <f ca="1">OFFSET(#REF!,-1,0) + OFFSET(#REF!,-12,0)-#REF!</f>
        <v>#REF!</v>
      </c>
      <c r="H56" s="3" t="e">
        <f ca="1">OFFSET(#REF!,-1,0) + OFFSET(#REF!,-12,0)-#REF!</f>
        <v>#REF!</v>
      </c>
      <c r="I56" s="3" t="e">
        <f ca="1">OFFSET(#REF!,-1,0) + OFFSET(#REF!,-12,0) -#REF!-#REF!</f>
        <v>#REF!</v>
      </c>
      <c r="J56" s="3" t="e">
        <f ca="1">OFFSET(#REF!,-1,0) + OFFSET(#REF!,-12,0) -#REF!</f>
        <v>#REF!</v>
      </c>
      <c r="K56" s="3" t="e">
        <f ca="1">OFFSET(#REF!,-1,0) + OFFSET(#REF!,-12,0) -#REF!-#REF!</f>
        <v>#REF!</v>
      </c>
      <c r="L56" s="3" t="e">
        <f ca="1">OFFSET(#REF!,-1,0) + OFFSET(#REF!,-12,0) -#REF!</f>
        <v>#REF!</v>
      </c>
      <c r="M56" s="134"/>
      <c r="N56" s="39" t="e">
        <f>#REF!</f>
        <v>#REF!</v>
      </c>
      <c r="O56" s="134"/>
      <c r="P56" s="237" t="e">
        <f>#REF!*spec_op+#REF!*(elite1_base_op)+#REF!*(elite2_base_op+dark_elf*#REF!+icekin*#REF!+woodie*#REF!+orc*#REF!)+kobold*#REF!</f>
        <v>#REF!</v>
      </c>
      <c r="Q56" s="132" t="e">
        <f>race_offense+#REF!+ROUND(MIN(gn_bonus*#REF!/#REF!,gn_bonus_cap),4)+MAX(IF(#REF!&gt;0,warsong_bonus),IF(#REF!&gt;0,howling_op_bonus),IF(#REF!&gt;0,nightfall_bonus),IF(#REF!&gt;0,#REF!)) +#REF!/ 100*prestige_offense_bonus + tech_5_4*#REF! + tech_7_4*#REF!</f>
        <v>#REF!</v>
      </c>
      <c r="R56" s="237" t="e">
        <f>#REF!*(1+#REF!)</f>
        <v>#REF!</v>
      </c>
      <c r="S56" s="237" t="e">
        <f>#REF!*spec_dp+#REF!*(elite1_base_dp+woodie*#REF!+sylvan*#REF!+gnome*#REF!+icekin*#REF!+nox*#REF!)+#REF!*(elite2_base_dp+woodie*#REF!) + fh_peas_dp*MIN(#REF!,20*#REF!)+kobold*#REF!</f>
        <v>#REF!</v>
      </c>
      <c r="T56" s="237" t="e">
        <f>#REF!+#REF!</f>
        <v>#REF!</v>
      </c>
      <c r="U56" s="238" t="e">
        <f>race_defense +#REF! + ROUND( MIN(gt_bonus*#REF!/#REF!,gt_bonus_cap), 4) + IF(#REF!&gt;0,howling_dp_bonus,IF(#REF!&gt;0,ares_call_bonus))</f>
        <v>#REF!</v>
      </c>
      <c r="V56" s="239" t="e">
        <f>#REF! * (1 +#REF!)</f>
        <v>#REF!</v>
      </c>
      <c r="W56" s="237" t="e">
        <f>#REF! * (1 +#REF!)</f>
        <v>#REF!</v>
      </c>
      <c r="X56" s="237" t="e">
        <f>#REF!</f>
        <v>#REF!</v>
      </c>
      <c r="Y56" s="240"/>
      <c r="Z56" s="135" t="e">
        <f ca="1">IF(#REF!&lt;&gt;"",#REF!,OFFSET(#REF!,-1,0))</f>
        <v>#REF!</v>
      </c>
      <c r="AA56" s="39" t="e">
        <f ca="1">OFFSET(#REF!,-1,0)+OFFSET(#REF!,-1,0) - SUM(#REF!,#REF!) -#REF! + SUM(#REF!) -#REF!</f>
        <v>#REF!</v>
      </c>
      <c r="AB56" s="133"/>
      <c r="AC56" s="132" t="e">
        <f>(#REF!+#REF!)/(#REF!-#REF!*20)</f>
        <v>#REF!</v>
      </c>
      <c r="AD56" s="130"/>
      <c r="AE56" s="236" t="e">
        <f>#REF!</f>
        <v>#REF!</v>
      </c>
      <c r="AF56" s="131" t="e">
        <f>#REF!</f>
        <v>#REF!</v>
      </c>
      <c r="AG56" s="164"/>
      <c r="AH56" s="164"/>
      <c r="AI56" s="164"/>
      <c r="AJ56" s="164"/>
      <c r="AK56" s="164"/>
      <c r="AL56" s="164"/>
      <c r="AM56" s="164"/>
      <c r="AN56" s="164"/>
      <c r="AO56" s="134"/>
      <c r="AP56" s="39" t="e">
        <f>#REF!</f>
        <v>#REF!</v>
      </c>
      <c r="AQ56" s="39" t="e">
        <f>INDEX(#REF!:#REF!,COUNTA(#REF!:#REF!),MATCH(Military!$AQ$2,#REF!,0))</f>
        <v>#REF!</v>
      </c>
      <c r="AR56" s="39" t="e">
        <f>#REF!*#REF!+#REF!*#REF!+#REF!*#REF!+#REF!*#REF!+#REF!*#REF!+#REF!*#REF!+#REF!*#REF!</f>
        <v>#REF!</v>
      </c>
      <c r="AS56" s="39" t="e">
        <f>#REF!*#REF!+#REF!*#REF!+#REF!*#REF!+#REF!*#REF!</f>
        <v>#REF!</v>
      </c>
      <c r="AT56" s="134" t="e">
        <f>#REF!</f>
        <v>#REF!</v>
      </c>
      <c r="AU56" s="143" t="e">
        <f>#REF!</f>
        <v>#REF!</v>
      </c>
      <c r="AV56" s="39" t="e">
        <f>#REF!</f>
        <v>#REF!</v>
      </c>
      <c r="AW56" s="164"/>
      <c r="AX56" s="164"/>
      <c r="AY56" s="164"/>
      <c r="AZ56" s="164"/>
      <c r="BA56" s="164"/>
      <c r="BB56" s="164"/>
      <c r="BC56" s="164"/>
      <c r="BD56" s="164"/>
      <c r="BE56" s="164"/>
      <c r="BF56" s="134"/>
      <c r="BG56" s="132" t="e">
        <f>#REF!/#REF!</f>
        <v>#REF!</v>
      </c>
      <c r="BH56" s="132" t="e">
        <f>#REF!/#REF!</f>
        <v>#REF!</v>
      </c>
      <c r="BI56" s="39" t="e">
        <f>ROUNDUP((1-MIN(#REF!*smithy_bonus,smithy_bonus_cap) + tech_3_5*#REF! + tech_5_3*#REF! + tech_5_5*#REF!)*spec_op_plat,0)</f>
        <v>#REF!</v>
      </c>
      <c r="BJ56" s="39" t="e">
        <f>ROUNDUP(IF(race="Gnome",1,(1-MIN(#REF!*smithy_bonus,smithy_bonus_cap) + tech_3_5*#REF! + tech_5_3*#REF! + tech_5_5*#REF!))*spec_op_ore,0)</f>
        <v>#REF!</v>
      </c>
      <c r="BK56" s="39" t="e">
        <f>ROUNDUP((1-MIN(#REF!*smithy_bonus,smithy_bonus_cap) + tech_3_5*#REF! + tech_5_3*#REF! + tech_5_5*#REF!)*spec_dp_plat,0)</f>
        <v>#REF!</v>
      </c>
      <c r="BL56" s="39" t="e">
        <f>ROUNDUP(IF(race="Gnome",1,(1-MIN(#REF!*smithy_bonus,smithy_bonus_cap) + tech_3_5*#REF! + tech_5_3*#REF! + tech_5_5*#REF!))*spec_dp_ore,0)</f>
        <v>#REF!</v>
      </c>
      <c r="BM56" s="39" t="e">
        <f>ROUNDUP((1-MIN(#REF!*smithy_bonus,smithy_bonus_cap) + tech_3_5*#REF! + tech_5_3*#REF! + tech_5_5*#REF!)*elite1_plat,0)</f>
        <v>#REF!</v>
      </c>
      <c r="BN56" s="39" t="e">
        <f>ROUNDUP(IF(race="Gnome",1,(1-MIN(#REF!*smithy_bonus,smithy_bonus_cap) + tech_3_5*#REF! + tech_5_3*#REF! + tech_5_5*#REF!))*elite1_ore,0)</f>
        <v>#REF!</v>
      </c>
      <c r="BO56" s="39" t="e">
        <f>ROUNDUP((1-MIN(#REF!*smithy_bonus,smithy_bonus_cap) + tech_3_5*#REF! + tech_5_3*#REF! + tech_5_5*#REF!)*elite2_plat,0)</f>
        <v>#REF!</v>
      </c>
      <c r="BP56" s="39" t="e">
        <f>ROUNDUP(IF(race="Gnome",1,(1-MIN(#REF!*smithy_bonus,smithy_bonus_cap) + tech_3_5*#REF! + tech_5_3*#REF! + tech_5_5*#REF!))*elite2_ore,0)</f>
        <v>#REF!</v>
      </c>
      <c r="BQ56" s="39" t="e">
        <f>ROUNDUP((1-MIN(ROUND(fh_spy_cost_red*#REF!,4),fh_spy_cost_cap)+ tech_1_9*#REF! + tech_9_1*#REF!)*spy_plat,0)</f>
        <v>#REF!</v>
      </c>
      <c r="BR56" s="39" t="e">
        <f>ROUNDUP((1-MIN(ROUND(fh_spy_cost_red*#REF!,4),fh_spy_cost_cap)+ tech_1_9*#REF! + tech_9_1*#REF!)*archspy_plat,0)</f>
        <v>#REF!</v>
      </c>
      <c r="BS56" s="39" t="e">
        <f>ROUNDUP((1-MIN(ROUND(wg_wiz_cost_bonus*#REF!,4),wg_wiz_cost_cap) + tech_1_9_2*#REF! + tech_9_1_2*#REF!)*wizard_plat,0)</f>
        <v>#REF!</v>
      </c>
      <c r="BT56" s="39" t="e">
        <f>ROUNDUP((1-MIN(ROUND(wg_wiz_cost_bonus*#REF!,4),wg_wiz_cost_cap) + tech_1_9_2*#REF! + tech_9_1_2*#REF!)*archmage_plat,0)</f>
        <v>#REF!</v>
      </c>
      <c r="BU56" s="134"/>
      <c r="BV56" s="132" t="e">
        <f>#REF!/#REF!</f>
        <v>#REF!</v>
      </c>
      <c r="BW56" s="132" t="e">
        <f>#REF!</f>
        <v>#REF!</v>
      </c>
      <c r="BX56" s="241" t="e">
        <f>IF(mystic_cap="none",#REF!/mystic_bonus,MIN(mystic_cap,#REF!/mystic_bonus))</f>
        <v>#REF!</v>
      </c>
      <c r="BY56" s="241" t="e">
        <f>IF(druid_op_cap="none",#REF!/druid_op_bonus,MIN(druid_op_cap,#REF!/druid_op_bonus))</f>
        <v>#REF!</v>
      </c>
      <c r="BZ56" s="241" t="e">
        <f>IF(druid_dp_cap="none",#REF!/druid_dp_bonus,MIN(druid_dp_cap,#REF!/druid_dp_bonus))</f>
        <v>#REF!</v>
      </c>
      <c r="CA56" s="241" t="e">
        <f>MIN(dryad_cap,#REF!/dryad_bonus)</f>
        <v>#REF!</v>
      </c>
      <c r="CB56" s="241" t="e">
        <f>MIN(rocka_cap,#REF!/rocka_bonus)</f>
        <v>#REF!</v>
      </c>
      <c r="CC56" s="241" t="e">
        <f>MIN(adept_op_cap,#REF!/adept_op_bonus)</f>
        <v>#REF!</v>
      </c>
      <c r="CD56" s="241" t="e">
        <f>MIN(adept_dp_cap,#REF!/adept_dp_bonus)</f>
        <v>#REF!</v>
      </c>
      <c r="CE56" s="39" t="e">
        <f>MIN(#REF!,#REF!)*2</f>
        <v>#REF!</v>
      </c>
      <c r="CF56" s="39" t="e">
        <f>MIN(#REF!,#REF!)*2</f>
        <v>#REF!</v>
      </c>
      <c r="CG56" s="241" t="e">
        <f>MIN(frost_mage_cap,#REF!/frost_mage_bonus)</f>
        <v>#REF!</v>
      </c>
      <c r="CH56" s="3" t="e">
        <f>MIN(ice_elem_cap,#REF!*ice_elem_bonus)</f>
        <v>#REF!</v>
      </c>
      <c r="CI56" s="241">
        <f t="shared" si="2"/>
        <v>0.83333333333333337</v>
      </c>
      <c r="CJ56" s="241" t="e">
        <f>MIN(nox_nightshade_cap,#REF!/#REF!/nox_nightshade_swamp_bonus)</f>
        <v>#REF!</v>
      </c>
      <c r="CK56" s="242"/>
      <c r="CL56" s="242"/>
      <c r="CM56" s="242"/>
      <c r="CN56" s="241" t="e">
        <f>MIN(6,#REF!+Races!$F$19)*1.8 +  IF(#REF!+Races!$F$19&gt;6,(#REF!+Races!$F$19-6)*0.2,0) - Races!$I$19</f>
        <v>#REF!</v>
      </c>
      <c r="CO56" s="241" t="e">
        <f>1.8 * MIN(MAX(#REF!+Races!$E$20,#REF!+Races!$F$20),6)  +  0.45 * MIN(MIN(#REF!+Races!$E$20,#REF!+Races!$F$20),6)  +  0.2 * ( MAX(#REF!+Races!$E$20-6,0) + MAX(#REF!+Races!$F$20-6,0) )  -  Races!$I$20</f>
        <v>#REF!</v>
      </c>
      <c r="CP56" s="39" t="e">
        <f>#REF!*#REF!+#REF!*#REF!</f>
        <v>#REF!</v>
      </c>
      <c r="CQ56" s="145" t="e">
        <f>MIN(6,#REF!+Races!$F$35)*1.8 +  IF(#REF!+Races!$F$35&gt;6,(#REF!+Races!$F$35-6)*0.2,0) - Races!$I$19</f>
        <v>#REF!</v>
      </c>
      <c r="CR56" s="39" t="e">
        <f>sylvan*(#REF!*#REF!)</f>
        <v>#REF!</v>
      </c>
      <c r="CS56" s="145" t="e">
        <f>1.8 * MIN(MAX(Races!$E$27,#REF!+Races!$F$27),6)  +  0.45 * MIN(MIN(Races!$E$27,#REF!+Races!$F$27),6)  +  0.2 * ( MAX(Races!$E$27-6,0) + MAX(#REF!+Races!$F$27-6,0) )  -  Races!$I$20</f>
        <v>#REF!</v>
      </c>
      <c r="CT56" s="39" t="e">
        <f>gnome*(#REF!*#REF!)</f>
        <v>#REF!</v>
      </c>
      <c r="CU56" s="145" t="e">
        <f>1.8 * MIN(MAX(#REF!+Races!$E$47,#REF!+Races!$F$47),6)  +  0.45 * MIN(MIN(#REF!+Races!$E$47,#REF!+Races!$F$47),6)  +  0.2 * ( MAX(#REF!+Races!$E$47-6,0) + MAX(#REF!+Races!$F$47-6,0) )  -  Races!$I$47</f>
        <v>#REF!</v>
      </c>
      <c r="CV56" s="39" t="e">
        <f>dark_elf*(#REF!*#REF!)</f>
        <v>#REF!</v>
      </c>
      <c r="CW56" s="145" t="e">
        <f>1.8 * MIN(MAX(#REF!+Races!$F$71,Races!$E$71),6)  +  0.45 * MIN(MIN(#REF!+Races!$F$71,Races!$E$71),6)  +  0.2 * ( MAX(#REF!+Races!$F$71-6,0) + MAX(Races!$E$71-6,0) )  -  Races!$I$71</f>
        <v>#REF!</v>
      </c>
      <c r="CX56" s="145" t="e">
        <f>1.8 * MIN(MAX(#REF!+Races!$E$71,Races!$F$71),6)  +  0.45 * MIN(MIN(#REF!+Races!$E$71,Races!$F$71),6)  +  0.2 * ( MAX(#REF!+Races!$E$71-6,0) + MAX(Races!$F$71-6,0) )  -  Races!$I$71</f>
        <v>#REF!</v>
      </c>
      <c r="CY56" s="39" t="e">
        <f>#REF!*#REF!+#REF!*#REF!</f>
        <v>#REF!</v>
      </c>
      <c r="CZ56" s="243"/>
      <c r="DA56" s="135" t="e">
        <f>MIN(SUM(#REF!)/#REF!/favorable_terrain_bonus/100,favorable_terrain_max)</f>
        <v>#REF!</v>
      </c>
      <c r="DB56" s="243"/>
      <c r="DC56"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56" s="134"/>
      <c r="DE56" s="244" t="e">
        <f>(#REF!+2*#REF!)/#REF!</f>
        <v>#REF!</v>
      </c>
      <c r="DF56" s="244" t="e">
        <f>#REF!*(1+race_wizard_strength+IF(#REF!&gt;72,tech_magical_weaponry_wiz*#REF!,0))</f>
        <v>#REF!</v>
      </c>
    </row>
    <row r="57" spans="1:110" x14ac:dyDescent="0.25">
      <c r="A57" s="130" t="e">
        <f>#REF!</f>
        <v>#REF!</v>
      </c>
      <c r="B57" s="236" t="e">
        <f ca="1">SUM(#REF!)+SUM(OFFSET(#REF!,-8,0):#REF!) + SUM(OFFSET(#REF!,-11,0):#REF!) +#REF!</f>
        <v>#REF!</v>
      </c>
      <c r="C57" s="132" t="e">
        <f>#REF!</f>
        <v>#REF!</v>
      </c>
      <c r="D57" s="134"/>
      <c r="E57" s="3" t="e">
        <f ca="1">OFFSET(#REF!,-1,0) + OFFSET(#REF!,-9,0) -#REF!</f>
        <v>#REF!</v>
      </c>
      <c r="F57" s="3" t="e">
        <f ca="1">OFFSET(#REF!,-1,0) + OFFSET(#REF!,-9,0)-#REF!</f>
        <v>#REF!</v>
      </c>
      <c r="G57" s="3" t="e">
        <f ca="1">OFFSET(#REF!,-1,0) + OFFSET(#REF!,-12,0)-#REF!</f>
        <v>#REF!</v>
      </c>
      <c r="H57" s="3" t="e">
        <f ca="1">OFFSET(#REF!,-1,0) + OFFSET(#REF!,-12,0)-#REF!</f>
        <v>#REF!</v>
      </c>
      <c r="I57" s="3" t="e">
        <f ca="1">OFFSET(#REF!,-1,0) + OFFSET(#REF!,-12,0) -#REF!-#REF!</f>
        <v>#REF!</v>
      </c>
      <c r="J57" s="3" t="e">
        <f ca="1">OFFSET(#REF!,-1,0) + OFFSET(#REF!,-12,0) -#REF!</f>
        <v>#REF!</v>
      </c>
      <c r="K57" s="3" t="e">
        <f ca="1">OFFSET(#REF!,-1,0) + OFFSET(#REF!,-12,0) -#REF!-#REF!</f>
        <v>#REF!</v>
      </c>
      <c r="L57" s="3" t="e">
        <f ca="1">OFFSET(#REF!,-1,0) + OFFSET(#REF!,-12,0) -#REF!</f>
        <v>#REF!</v>
      </c>
      <c r="M57" s="134"/>
      <c r="N57" s="39" t="e">
        <f>#REF!</f>
        <v>#REF!</v>
      </c>
      <c r="O57" s="134"/>
      <c r="P57" s="237" t="e">
        <f>#REF!*spec_op+#REF!*(elite1_base_op)+#REF!*(elite2_base_op+dark_elf*#REF!+icekin*#REF!+woodie*#REF!+orc*#REF!)+kobold*#REF!</f>
        <v>#REF!</v>
      </c>
      <c r="Q57" s="132" t="e">
        <f>race_offense+#REF!+ROUND(MIN(gn_bonus*#REF!/#REF!,gn_bonus_cap),4)+MAX(IF(#REF!&gt;0,warsong_bonus),IF(#REF!&gt;0,howling_op_bonus),IF(#REF!&gt;0,nightfall_bonus),IF(#REF!&gt;0,#REF!)) +#REF!/ 100*prestige_offense_bonus + tech_5_4*#REF! + tech_7_4*#REF!</f>
        <v>#REF!</v>
      </c>
      <c r="R57" s="237" t="e">
        <f>#REF!*(1+#REF!)</f>
        <v>#REF!</v>
      </c>
      <c r="S57" s="237" t="e">
        <f>#REF!*spec_dp+#REF!*(elite1_base_dp+woodie*#REF!+sylvan*#REF!+gnome*#REF!+icekin*#REF!+nox*#REF!)+#REF!*(elite2_base_dp+woodie*#REF!) + fh_peas_dp*MIN(#REF!,20*#REF!)+kobold*#REF!</f>
        <v>#REF!</v>
      </c>
      <c r="T57" s="237" t="e">
        <f>#REF!+#REF!</f>
        <v>#REF!</v>
      </c>
      <c r="U57" s="238" t="e">
        <f>race_defense +#REF! + ROUND( MIN(gt_bonus*#REF!/#REF!,gt_bonus_cap), 4) + IF(#REF!&gt;0,howling_dp_bonus,IF(#REF!&gt;0,ares_call_bonus))</f>
        <v>#REF!</v>
      </c>
      <c r="V57" s="239" t="e">
        <f>#REF! * (1 +#REF!)</f>
        <v>#REF!</v>
      </c>
      <c r="W57" s="237" t="e">
        <f>#REF! * (1 +#REF!)</f>
        <v>#REF!</v>
      </c>
      <c r="X57" s="237" t="e">
        <f>#REF!</f>
        <v>#REF!</v>
      </c>
      <c r="Y57" s="240"/>
      <c r="Z57" s="135" t="e">
        <f ca="1">IF(#REF!&lt;&gt;"",#REF!,OFFSET(#REF!,-1,0))</f>
        <v>#REF!</v>
      </c>
      <c r="AA57" s="39" t="e">
        <f ca="1">OFFSET(#REF!,-1,0)+OFFSET(#REF!,-1,0) - SUM(#REF!,#REF!) -#REF! + SUM(#REF!) -#REF!</f>
        <v>#REF!</v>
      </c>
      <c r="AB57" s="133"/>
      <c r="AC57" s="132" t="e">
        <f>(#REF!+#REF!)/(#REF!-#REF!*20)</f>
        <v>#REF!</v>
      </c>
      <c r="AD57" s="130"/>
      <c r="AE57" s="236" t="e">
        <f>#REF!</f>
        <v>#REF!</v>
      </c>
      <c r="AF57" s="131" t="e">
        <f>#REF!</f>
        <v>#REF!</v>
      </c>
      <c r="AG57" s="164"/>
      <c r="AH57" s="164"/>
      <c r="AI57" s="164"/>
      <c r="AJ57" s="164"/>
      <c r="AK57" s="164"/>
      <c r="AL57" s="164"/>
      <c r="AM57" s="164"/>
      <c r="AN57" s="164"/>
      <c r="AO57" s="134"/>
      <c r="AP57" s="39" t="e">
        <f>#REF!</f>
        <v>#REF!</v>
      </c>
      <c r="AQ57" s="39" t="e">
        <f>INDEX(#REF!:#REF!,COUNTA(#REF!:#REF!),MATCH(Military!$AQ$2,#REF!,0))</f>
        <v>#REF!</v>
      </c>
      <c r="AR57" s="39" t="e">
        <f>#REF!*#REF!+#REF!*#REF!+#REF!*#REF!+#REF!*#REF!+#REF!*#REF!+#REF!*#REF!+#REF!*#REF!</f>
        <v>#REF!</v>
      </c>
      <c r="AS57" s="39" t="e">
        <f>#REF!*#REF!+#REF!*#REF!+#REF!*#REF!+#REF!*#REF!</f>
        <v>#REF!</v>
      </c>
      <c r="AT57" s="134" t="e">
        <f>#REF!</f>
        <v>#REF!</v>
      </c>
      <c r="AU57" s="143" t="e">
        <f>#REF!</f>
        <v>#REF!</v>
      </c>
      <c r="AV57" s="39" t="e">
        <f>#REF!</f>
        <v>#REF!</v>
      </c>
      <c r="AW57" s="164"/>
      <c r="AX57" s="164"/>
      <c r="AY57" s="164"/>
      <c r="AZ57" s="164"/>
      <c r="BA57" s="164"/>
      <c r="BB57" s="164"/>
      <c r="BC57" s="164"/>
      <c r="BD57" s="164"/>
      <c r="BE57" s="164"/>
      <c r="BF57" s="134"/>
      <c r="BG57" s="132" t="e">
        <f>#REF!/#REF!</f>
        <v>#REF!</v>
      </c>
      <c r="BH57" s="132" t="e">
        <f>#REF!/#REF!</f>
        <v>#REF!</v>
      </c>
      <c r="BI57" s="39" t="e">
        <f>ROUNDUP((1-MIN(#REF!*smithy_bonus,smithy_bonus_cap) + tech_3_5*#REF! + tech_5_3*#REF! + tech_5_5*#REF!)*spec_op_plat,0)</f>
        <v>#REF!</v>
      </c>
      <c r="BJ57" s="39" t="e">
        <f>ROUNDUP(IF(race="Gnome",1,(1-MIN(#REF!*smithy_bonus,smithy_bonus_cap) + tech_3_5*#REF! + tech_5_3*#REF! + tech_5_5*#REF!))*spec_op_ore,0)</f>
        <v>#REF!</v>
      </c>
      <c r="BK57" s="39" t="e">
        <f>ROUNDUP((1-MIN(#REF!*smithy_bonus,smithy_bonus_cap) + tech_3_5*#REF! + tech_5_3*#REF! + tech_5_5*#REF!)*spec_dp_plat,0)</f>
        <v>#REF!</v>
      </c>
      <c r="BL57" s="39" t="e">
        <f>ROUNDUP(IF(race="Gnome",1,(1-MIN(#REF!*smithy_bonus,smithy_bonus_cap) + tech_3_5*#REF! + tech_5_3*#REF! + tech_5_5*#REF!))*spec_dp_ore,0)</f>
        <v>#REF!</v>
      </c>
      <c r="BM57" s="39" t="e">
        <f>ROUNDUP((1-MIN(#REF!*smithy_bonus,smithy_bonus_cap) + tech_3_5*#REF! + tech_5_3*#REF! + tech_5_5*#REF!)*elite1_plat,0)</f>
        <v>#REF!</v>
      </c>
      <c r="BN57" s="39" t="e">
        <f>ROUNDUP(IF(race="Gnome",1,(1-MIN(#REF!*smithy_bonus,smithy_bonus_cap) + tech_3_5*#REF! + tech_5_3*#REF! + tech_5_5*#REF!))*elite1_ore,0)</f>
        <v>#REF!</v>
      </c>
      <c r="BO57" s="39" t="e">
        <f>ROUNDUP((1-MIN(#REF!*smithy_bonus,smithy_bonus_cap) + tech_3_5*#REF! + tech_5_3*#REF! + tech_5_5*#REF!)*elite2_plat,0)</f>
        <v>#REF!</v>
      </c>
      <c r="BP57" s="39" t="e">
        <f>ROUNDUP(IF(race="Gnome",1,(1-MIN(#REF!*smithy_bonus,smithy_bonus_cap) + tech_3_5*#REF! + tech_5_3*#REF! + tech_5_5*#REF!))*elite2_ore,0)</f>
        <v>#REF!</v>
      </c>
      <c r="BQ57" s="39" t="e">
        <f>ROUNDUP((1-MIN(ROUND(fh_spy_cost_red*#REF!,4),fh_spy_cost_cap)+ tech_1_9*#REF! + tech_9_1*#REF!)*spy_plat,0)</f>
        <v>#REF!</v>
      </c>
      <c r="BR57" s="39" t="e">
        <f>ROUNDUP((1-MIN(ROUND(fh_spy_cost_red*#REF!,4),fh_spy_cost_cap)+ tech_1_9*#REF! + tech_9_1*#REF!)*archspy_plat,0)</f>
        <v>#REF!</v>
      </c>
      <c r="BS57" s="39" t="e">
        <f>ROUNDUP((1-MIN(ROUND(wg_wiz_cost_bonus*#REF!,4),wg_wiz_cost_cap) + tech_1_9_2*#REF! + tech_9_1_2*#REF!)*wizard_plat,0)</f>
        <v>#REF!</v>
      </c>
      <c r="BT57" s="39" t="e">
        <f>ROUNDUP((1-MIN(ROUND(wg_wiz_cost_bonus*#REF!,4),wg_wiz_cost_cap) + tech_1_9_2*#REF! + tech_9_1_2*#REF!)*archmage_plat,0)</f>
        <v>#REF!</v>
      </c>
      <c r="BU57" s="134"/>
      <c r="BV57" s="132" t="e">
        <f>#REF!/#REF!</f>
        <v>#REF!</v>
      </c>
      <c r="BW57" s="132" t="e">
        <f>#REF!</f>
        <v>#REF!</v>
      </c>
      <c r="BX57" s="241" t="e">
        <f>IF(mystic_cap="none",#REF!/mystic_bonus,MIN(mystic_cap,#REF!/mystic_bonus))</f>
        <v>#REF!</v>
      </c>
      <c r="BY57" s="241" t="e">
        <f>IF(druid_op_cap="none",#REF!/druid_op_bonus,MIN(druid_op_cap,#REF!/druid_op_bonus))</f>
        <v>#REF!</v>
      </c>
      <c r="BZ57" s="241" t="e">
        <f>IF(druid_dp_cap="none",#REF!/druid_dp_bonus,MIN(druid_dp_cap,#REF!/druid_dp_bonus))</f>
        <v>#REF!</v>
      </c>
      <c r="CA57" s="241" t="e">
        <f>MIN(dryad_cap,#REF!/dryad_bonus)</f>
        <v>#REF!</v>
      </c>
      <c r="CB57" s="241" t="e">
        <f>MIN(rocka_cap,#REF!/rocka_bonus)</f>
        <v>#REF!</v>
      </c>
      <c r="CC57" s="241" t="e">
        <f>MIN(adept_op_cap,#REF!/adept_op_bonus)</f>
        <v>#REF!</v>
      </c>
      <c r="CD57" s="241" t="e">
        <f>MIN(adept_dp_cap,#REF!/adept_dp_bonus)</f>
        <v>#REF!</v>
      </c>
      <c r="CE57" s="39" t="e">
        <f>MIN(#REF!,#REF!)*2</f>
        <v>#REF!</v>
      </c>
      <c r="CF57" s="39" t="e">
        <f>MIN(#REF!,#REF!)*2</f>
        <v>#REF!</v>
      </c>
      <c r="CG57" s="241" t="e">
        <f>MIN(frost_mage_cap,#REF!/frost_mage_bonus)</f>
        <v>#REF!</v>
      </c>
      <c r="CH57" s="3" t="e">
        <f>MIN(ice_elem_cap,#REF!*ice_elem_bonus)</f>
        <v>#REF!</v>
      </c>
      <c r="CI57" s="241">
        <f t="shared" si="2"/>
        <v>0.83333333333333337</v>
      </c>
      <c r="CJ57" s="241" t="e">
        <f>MIN(nox_nightshade_cap,#REF!/#REF!/nox_nightshade_swamp_bonus)</f>
        <v>#REF!</v>
      </c>
      <c r="CK57" s="242"/>
      <c r="CL57" s="242"/>
      <c r="CM57" s="242"/>
      <c r="CN57" s="241" t="e">
        <f>MIN(6,#REF!+Races!$F$19)*1.8 +  IF(#REF!+Races!$F$19&gt;6,(#REF!+Races!$F$19-6)*0.2,0) - Races!$I$19</f>
        <v>#REF!</v>
      </c>
      <c r="CO57" s="241" t="e">
        <f>1.8 * MIN(MAX(#REF!+Races!$E$20,#REF!+Races!$F$20),6)  +  0.45 * MIN(MIN(#REF!+Races!$E$20,#REF!+Races!$F$20),6)  +  0.2 * ( MAX(#REF!+Races!$E$20-6,0) + MAX(#REF!+Races!$F$20-6,0) )  -  Races!$I$20</f>
        <v>#REF!</v>
      </c>
      <c r="CP57" s="39" t="e">
        <f>#REF!*#REF!+#REF!*#REF!</f>
        <v>#REF!</v>
      </c>
      <c r="CQ57" s="145" t="e">
        <f>MIN(6,#REF!+Races!$F$35)*1.8 +  IF(#REF!+Races!$F$35&gt;6,(#REF!+Races!$F$35-6)*0.2,0) - Races!$I$19</f>
        <v>#REF!</v>
      </c>
      <c r="CR57" s="39" t="e">
        <f>sylvan*(#REF!*#REF!)</f>
        <v>#REF!</v>
      </c>
      <c r="CS57" s="145" t="e">
        <f>1.8 * MIN(MAX(Races!$E$27,#REF!+Races!$F$27),6)  +  0.45 * MIN(MIN(Races!$E$27,#REF!+Races!$F$27),6)  +  0.2 * ( MAX(Races!$E$27-6,0) + MAX(#REF!+Races!$F$27-6,0) )  -  Races!$I$20</f>
        <v>#REF!</v>
      </c>
      <c r="CT57" s="39" t="e">
        <f>gnome*(#REF!*#REF!)</f>
        <v>#REF!</v>
      </c>
      <c r="CU57" s="145" t="e">
        <f>1.8 * MIN(MAX(#REF!+Races!$E$47,#REF!+Races!$F$47),6)  +  0.45 * MIN(MIN(#REF!+Races!$E$47,#REF!+Races!$F$47),6)  +  0.2 * ( MAX(#REF!+Races!$E$47-6,0) + MAX(#REF!+Races!$F$47-6,0) )  -  Races!$I$47</f>
        <v>#REF!</v>
      </c>
      <c r="CV57" s="39" t="e">
        <f>dark_elf*(#REF!*#REF!)</f>
        <v>#REF!</v>
      </c>
      <c r="CW57" s="145" t="e">
        <f>1.8 * MIN(MAX(#REF!+Races!$F$71,Races!$E$71),6)  +  0.45 * MIN(MIN(#REF!+Races!$F$71,Races!$E$71),6)  +  0.2 * ( MAX(#REF!+Races!$F$71-6,0) + MAX(Races!$E$71-6,0) )  -  Races!$I$71</f>
        <v>#REF!</v>
      </c>
      <c r="CX57" s="145" t="e">
        <f>1.8 * MIN(MAX(#REF!+Races!$E$71,Races!$F$71),6)  +  0.45 * MIN(MIN(#REF!+Races!$E$71,Races!$F$71),6)  +  0.2 * ( MAX(#REF!+Races!$E$71-6,0) + MAX(Races!$F$71-6,0) )  -  Races!$I$71</f>
        <v>#REF!</v>
      </c>
      <c r="CY57" s="39" t="e">
        <f>#REF!*#REF!+#REF!*#REF!</f>
        <v>#REF!</v>
      </c>
      <c r="CZ57" s="243"/>
      <c r="DA57" s="135" t="e">
        <f>MIN(SUM(#REF!)/#REF!/favorable_terrain_bonus/100,favorable_terrain_max)</f>
        <v>#REF!</v>
      </c>
      <c r="DB57" s="243"/>
      <c r="DC57"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57" s="134"/>
      <c r="DE57" s="244" t="e">
        <f>(#REF!+2*#REF!)/#REF!</f>
        <v>#REF!</v>
      </c>
      <c r="DF57" s="244" t="e">
        <f>#REF!*(1+race_wizard_strength+IF(#REF!&gt;72,tech_magical_weaponry_wiz*#REF!,0))</f>
        <v>#REF!</v>
      </c>
    </row>
    <row r="58" spans="1:110" x14ac:dyDescent="0.25">
      <c r="A58" s="130" t="e">
        <f>#REF!</f>
        <v>#REF!</v>
      </c>
      <c r="B58" s="236" t="e">
        <f ca="1">SUM(#REF!)+SUM(OFFSET(#REF!,-8,0):#REF!) + SUM(OFFSET(#REF!,-11,0):#REF!) +#REF!</f>
        <v>#REF!</v>
      </c>
      <c r="C58" s="132" t="e">
        <f>#REF!</f>
        <v>#REF!</v>
      </c>
      <c r="D58" s="134"/>
      <c r="E58" s="3" t="e">
        <f ca="1">OFFSET(#REF!,-1,0) + OFFSET(#REF!,-9,0) -#REF!</f>
        <v>#REF!</v>
      </c>
      <c r="F58" s="3" t="e">
        <f ca="1">OFFSET(#REF!,-1,0) + OFFSET(#REF!,-9,0)-#REF!</f>
        <v>#REF!</v>
      </c>
      <c r="G58" s="3" t="e">
        <f ca="1">OFFSET(#REF!,-1,0) + OFFSET(#REF!,-12,0)-#REF!</f>
        <v>#REF!</v>
      </c>
      <c r="H58" s="3" t="e">
        <f ca="1">OFFSET(#REF!,-1,0) + OFFSET(#REF!,-12,0)-#REF!</f>
        <v>#REF!</v>
      </c>
      <c r="I58" s="3" t="e">
        <f ca="1">OFFSET(#REF!,-1,0) + OFFSET(#REF!,-12,0) -#REF!-#REF!</f>
        <v>#REF!</v>
      </c>
      <c r="J58" s="3" t="e">
        <f ca="1">OFFSET(#REF!,-1,0) + OFFSET(#REF!,-12,0) -#REF!</f>
        <v>#REF!</v>
      </c>
      <c r="K58" s="3" t="e">
        <f ca="1">OFFSET(#REF!,-1,0) + OFFSET(#REF!,-12,0) -#REF!-#REF!</f>
        <v>#REF!</v>
      </c>
      <c r="L58" s="3" t="e">
        <f ca="1">OFFSET(#REF!,-1,0) + OFFSET(#REF!,-12,0) -#REF!</f>
        <v>#REF!</v>
      </c>
      <c r="M58" s="134"/>
      <c r="N58" s="39" t="e">
        <f>#REF!</f>
        <v>#REF!</v>
      </c>
      <c r="O58" s="134"/>
      <c r="P58" s="237" t="e">
        <f>#REF!*spec_op+#REF!*(elite1_base_op)+#REF!*(elite2_base_op+dark_elf*#REF!+icekin*#REF!+woodie*#REF!+orc*#REF!)+kobold*#REF!</f>
        <v>#REF!</v>
      </c>
      <c r="Q58" s="132" t="e">
        <f>race_offense+#REF!+ROUND(MIN(gn_bonus*#REF!/#REF!,gn_bonus_cap),4)+MAX(IF(#REF!&gt;0,warsong_bonus),IF(#REF!&gt;0,howling_op_bonus),IF(#REF!&gt;0,nightfall_bonus),IF(#REF!&gt;0,#REF!)) +#REF!/ 100*prestige_offense_bonus + tech_5_4*#REF! + tech_7_4*#REF!</f>
        <v>#REF!</v>
      </c>
      <c r="R58" s="237" t="e">
        <f>#REF!*(1+#REF!)</f>
        <v>#REF!</v>
      </c>
      <c r="S58" s="237" t="e">
        <f>#REF!*spec_dp+#REF!*(elite1_base_dp+woodie*#REF!+sylvan*#REF!+gnome*#REF!+icekin*#REF!+nox*#REF!)+#REF!*(elite2_base_dp+woodie*#REF!) + fh_peas_dp*MIN(#REF!,20*#REF!)+kobold*#REF!</f>
        <v>#REF!</v>
      </c>
      <c r="T58" s="237" t="e">
        <f>#REF!+#REF!</f>
        <v>#REF!</v>
      </c>
      <c r="U58" s="238" t="e">
        <f>race_defense +#REF! + ROUND( MIN(gt_bonus*#REF!/#REF!,gt_bonus_cap), 4) + IF(#REF!&gt;0,howling_dp_bonus,IF(#REF!&gt;0,ares_call_bonus))</f>
        <v>#REF!</v>
      </c>
      <c r="V58" s="239" t="e">
        <f>#REF! * (1 +#REF!)</f>
        <v>#REF!</v>
      </c>
      <c r="W58" s="237" t="e">
        <f>#REF! * (1 +#REF!)</f>
        <v>#REF!</v>
      </c>
      <c r="X58" s="237" t="e">
        <f>#REF!</f>
        <v>#REF!</v>
      </c>
      <c r="Y58" s="240"/>
      <c r="Z58" s="135" t="e">
        <f ca="1">IF(#REF!&lt;&gt;"",#REF!,OFFSET(#REF!,-1,0))</f>
        <v>#REF!</v>
      </c>
      <c r="AA58" s="39" t="e">
        <f ca="1">OFFSET(#REF!,-1,0)+OFFSET(#REF!,-1,0) - SUM(#REF!,#REF!) -#REF! + SUM(#REF!) -#REF!</f>
        <v>#REF!</v>
      </c>
      <c r="AB58" s="133"/>
      <c r="AC58" s="132" t="e">
        <f>(#REF!+#REF!)/(#REF!-#REF!*20)</f>
        <v>#REF!</v>
      </c>
      <c r="AD58" s="130"/>
      <c r="AE58" s="236" t="e">
        <f>#REF!</f>
        <v>#REF!</v>
      </c>
      <c r="AF58" s="131" t="e">
        <f>#REF!</f>
        <v>#REF!</v>
      </c>
      <c r="AG58" s="164"/>
      <c r="AH58" s="164"/>
      <c r="AI58" s="164"/>
      <c r="AJ58" s="164"/>
      <c r="AK58" s="164"/>
      <c r="AL58" s="164"/>
      <c r="AM58" s="164"/>
      <c r="AN58" s="164"/>
      <c r="AO58" s="134"/>
      <c r="AP58" s="39" t="e">
        <f>#REF!</f>
        <v>#REF!</v>
      </c>
      <c r="AQ58" s="39" t="e">
        <f>INDEX(#REF!:#REF!,COUNTA(#REF!:#REF!),MATCH(Military!$AQ$2,#REF!,0))</f>
        <v>#REF!</v>
      </c>
      <c r="AR58" s="39" t="e">
        <f>#REF!*#REF!+#REF!*#REF!+#REF!*#REF!+#REF!*#REF!+#REF!*#REF!+#REF!*#REF!+#REF!*#REF!</f>
        <v>#REF!</v>
      </c>
      <c r="AS58" s="39" t="e">
        <f>#REF!*#REF!+#REF!*#REF!+#REF!*#REF!+#REF!*#REF!</f>
        <v>#REF!</v>
      </c>
      <c r="AT58" s="134" t="e">
        <f>#REF!</f>
        <v>#REF!</v>
      </c>
      <c r="AU58" s="143" t="e">
        <f>#REF!</f>
        <v>#REF!</v>
      </c>
      <c r="AV58" s="39" t="e">
        <f>#REF!</f>
        <v>#REF!</v>
      </c>
      <c r="AW58" s="164"/>
      <c r="AX58" s="164"/>
      <c r="AY58" s="164"/>
      <c r="AZ58" s="164"/>
      <c r="BA58" s="164"/>
      <c r="BB58" s="164"/>
      <c r="BC58" s="164"/>
      <c r="BD58" s="164"/>
      <c r="BE58" s="164"/>
      <c r="BF58" s="134"/>
      <c r="BG58" s="132" t="e">
        <f>#REF!/#REF!</f>
        <v>#REF!</v>
      </c>
      <c r="BH58" s="132" t="e">
        <f>#REF!/#REF!</f>
        <v>#REF!</v>
      </c>
      <c r="BI58" s="39" t="e">
        <f>ROUNDUP((1-MIN(#REF!*smithy_bonus,smithy_bonus_cap) + tech_3_5*#REF! + tech_5_3*#REF! + tech_5_5*#REF!)*spec_op_plat,0)</f>
        <v>#REF!</v>
      </c>
      <c r="BJ58" s="39" t="e">
        <f>ROUNDUP(IF(race="Gnome",1,(1-MIN(#REF!*smithy_bonus,smithy_bonus_cap) + tech_3_5*#REF! + tech_5_3*#REF! + tech_5_5*#REF!))*spec_op_ore,0)</f>
        <v>#REF!</v>
      </c>
      <c r="BK58" s="39" t="e">
        <f>ROUNDUP((1-MIN(#REF!*smithy_bonus,smithy_bonus_cap) + tech_3_5*#REF! + tech_5_3*#REF! + tech_5_5*#REF!)*spec_dp_plat,0)</f>
        <v>#REF!</v>
      </c>
      <c r="BL58" s="39" t="e">
        <f>ROUNDUP(IF(race="Gnome",1,(1-MIN(#REF!*smithy_bonus,smithy_bonus_cap) + tech_3_5*#REF! + tech_5_3*#REF! + tech_5_5*#REF!))*spec_dp_ore,0)</f>
        <v>#REF!</v>
      </c>
      <c r="BM58" s="39" t="e">
        <f>ROUNDUP((1-MIN(#REF!*smithy_bonus,smithy_bonus_cap) + tech_3_5*#REF! + tech_5_3*#REF! + tech_5_5*#REF!)*elite1_plat,0)</f>
        <v>#REF!</v>
      </c>
      <c r="BN58" s="39" t="e">
        <f>ROUNDUP(IF(race="Gnome",1,(1-MIN(#REF!*smithy_bonus,smithy_bonus_cap) + tech_3_5*#REF! + tech_5_3*#REF! + tech_5_5*#REF!))*elite1_ore,0)</f>
        <v>#REF!</v>
      </c>
      <c r="BO58" s="39" t="e">
        <f>ROUNDUP((1-MIN(#REF!*smithy_bonus,smithy_bonus_cap) + tech_3_5*#REF! + tech_5_3*#REF! + tech_5_5*#REF!)*elite2_plat,0)</f>
        <v>#REF!</v>
      </c>
      <c r="BP58" s="39" t="e">
        <f>ROUNDUP(IF(race="Gnome",1,(1-MIN(#REF!*smithy_bonus,smithy_bonus_cap) + tech_3_5*#REF! + tech_5_3*#REF! + tech_5_5*#REF!))*elite2_ore,0)</f>
        <v>#REF!</v>
      </c>
      <c r="BQ58" s="39" t="e">
        <f>ROUNDUP((1-MIN(ROUND(fh_spy_cost_red*#REF!,4),fh_spy_cost_cap)+ tech_1_9*#REF! + tech_9_1*#REF!)*spy_plat,0)</f>
        <v>#REF!</v>
      </c>
      <c r="BR58" s="39" t="e">
        <f>ROUNDUP((1-MIN(ROUND(fh_spy_cost_red*#REF!,4),fh_spy_cost_cap)+ tech_1_9*#REF! + tech_9_1*#REF!)*archspy_plat,0)</f>
        <v>#REF!</v>
      </c>
      <c r="BS58" s="39" t="e">
        <f>ROUNDUP((1-MIN(ROUND(wg_wiz_cost_bonus*#REF!,4),wg_wiz_cost_cap) + tech_1_9_2*#REF! + tech_9_1_2*#REF!)*wizard_plat,0)</f>
        <v>#REF!</v>
      </c>
      <c r="BT58" s="39" t="e">
        <f>ROUNDUP((1-MIN(ROUND(wg_wiz_cost_bonus*#REF!,4),wg_wiz_cost_cap) + tech_1_9_2*#REF! + tech_9_1_2*#REF!)*archmage_plat,0)</f>
        <v>#REF!</v>
      </c>
      <c r="BU58" s="134"/>
      <c r="BV58" s="132" t="e">
        <f>#REF!/#REF!</f>
        <v>#REF!</v>
      </c>
      <c r="BW58" s="132" t="e">
        <f>#REF!</f>
        <v>#REF!</v>
      </c>
      <c r="BX58" s="241" t="e">
        <f>IF(mystic_cap="none",#REF!/mystic_bonus,MIN(mystic_cap,#REF!/mystic_bonus))</f>
        <v>#REF!</v>
      </c>
      <c r="BY58" s="241" t="e">
        <f>IF(druid_op_cap="none",#REF!/druid_op_bonus,MIN(druid_op_cap,#REF!/druid_op_bonus))</f>
        <v>#REF!</v>
      </c>
      <c r="BZ58" s="241" t="e">
        <f>IF(druid_dp_cap="none",#REF!/druid_dp_bonus,MIN(druid_dp_cap,#REF!/druid_dp_bonus))</f>
        <v>#REF!</v>
      </c>
      <c r="CA58" s="241" t="e">
        <f>MIN(dryad_cap,#REF!/dryad_bonus)</f>
        <v>#REF!</v>
      </c>
      <c r="CB58" s="241" t="e">
        <f>MIN(rocka_cap,#REF!/rocka_bonus)</f>
        <v>#REF!</v>
      </c>
      <c r="CC58" s="241" t="e">
        <f>MIN(adept_op_cap,#REF!/adept_op_bonus)</f>
        <v>#REF!</v>
      </c>
      <c r="CD58" s="241" t="e">
        <f>MIN(adept_dp_cap,#REF!/adept_dp_bonus)</f>
        <v>#REF!</v>
      </c>
      <c r="CE58" s="39" t="e">
        <f>MIN(#REF!,#REF!)*2</f>
        <v>#REF!</v>
      </c>
      <c r="CF58" s="39" t="e">
        <f>MIN(#REF!,#REF!)*2</f>
        <v>#REF!</v>
      </c>
      <c r="CG58" s="241" t="e">
        <f>MIN(frost_mage_cap,#REF!/frost_mage_bonus)</f>
        <v>#REF!</v>
      </c>
      <c r="CH58" s="3" t="e">
        <f>MIN(ice_elem_cap,#REF!*ice_elem_bonus)</f>
        <v>#REF!</v>
      </c>
      <c r="CI58" s="241">
        <f t="shared" si="2"/>
        <v>0.83333333333333337</v>
      </c>
      <c r="CJ58" s="241" t="e">
        <f>MIN(nox_nightshade_cap,#REF!/#REF!/nox_nightshade_swamp_bonus)</f>
        <v>#REF!</v>
      </c>
      <c r="CK58" s="242"/>
      <c r="CL58" s="242"/>
      <c r="CM58" s="242"/>
      <c r="CN58" s="241" t="e">
        <f>MIN(6,#REF!+Races!$F$19)*1.8 +  IF(#REF!+Races!$F$19&gt;6,(#REF!+Races!$F$19-6)*0.2,0) - Races!$I$19</f>
        <v>#REF!</v>
      </c>
      <c r="CO58" s="241" t="e">
        <f>1.8 * MIN(MAX(#REF!+Races!$E$20,#REF!+Races!$F$20),6)  +  0.45 * MIN(MIN(#REF!+Races!$E$20,#REF!+Races!$F$20),6)  +  0.2 * ( MAX(#REF!+Races!$E$20-6,0) + MAX(#REF!+Races!$F$20-6,0) )  -  Races!$I$20</f>
        <v>#REF!</v>
      </c>
      <c r="CP58" s="39" t="e">
        <f>#REF!*#REF!+#REF!*#REF!</f>
        <v>#REF!</v>
      </c>
      <c r="CQ58" s="145" t="e">
        <f>MIN(6,#REF!+Races!$F$35)*1.8 +  IF(#REF!+Races!$F$35&gt;6,(#REF!+Races!$F$35-6)*0.2,0) - Races!$I$19</f>
        <v>#REF!</v>
      </c>
      <c r="CR58" s="39" t="e">
        <f>sylvan*(#REF!*#REF!)</f>
        <v>#REF!</v>
      </c>
      <c r="CS58" s="145" t="e">
        <f>1.8 * MIN(MAX(Races!$E$27,#REF!+Races!$F$27),6)  +  0.45 * MIN(MIN(Races!$E$27,#REF!+Races!$F$27),6)  +  0.2 * ( MAX(Races!$E$27-6,0) + MAX(#REF!+Races!$F$27-6,0) )  -  Races!$I$20</f>
        <v>#REF!</v>
      </c>
      <c r="CT58" s="39" t="e">
        <f>gnome*(#REF!*#REF!)</f>
        <v>#REF!</v>
      </c>
      <c r="CU58" s="145" t="e">
        <f>1.8 * MIN(MAX(#REF!+Races!$E$47,#REF!+Races!$F$47),6)  +  0.45 * MIN(MIN(#REF!+Races!$E$47,#REF!+Races!$F$47),6)  +  0.2 * ( MAX(#REF!+Races!$E$47-6,0) + MAX(#REF!+Races!$F$47-6,0) )  -  Races!$I$47</f>
        <v>#REF!</v>
      </c>
      <c r="CV58" s="39" t="e">
        <f>dark_elf*(#REF!*#REF!)</f>
        <v>#REF!</v>
      </c>
      <c r="CW58" s="145" t="e">
        <f>1.8 * MIN(MAX(#REF!+Races!$F$71,Races!$E$71),6)  +  0.45 * MIN(MIN(#REF!+Races!$F$71,Races!$E$71),6)  +  0.2 * ( MAX(#REF!+Races!$F$71-6,0) + MAX(Races!$E$71-6,0) )  -  Races!$I$71</f>
        <v>#REF!</v>
      </c>
      <c r="CX58" s="145" t="e">
        <f>1.8 * MIN(MAX(#REF!+Races!$E$71,Races!$F$71),6)  +  0.45 * MIN(MIN(#REF!+Races!$E$71,Races!$F$71),6)  +  0.2 * ( MAX(#REF!+Races!$E$71-6,0) + MAX(Races!$F$71-6,0) )  -  Races!$I$71</f>
        <v>#REF!</v>
      </c>
      <c r="CY58" s="39" t="e">
        <f>#REF!*#REF!+#REF!*#REF!</f>
        <v>#REF!</v>
      </c>
      <c r="CZ58" s="243"/>
      <c r="DA58" s="135" t="e">
        <f>MIN(SUM(#REF!)/#REF!/favorable_terrain_bonus/100,favorable_terrain_max)</f>
        <v>#REF!</v>
      </c>
      <c r="DB58" s="243"/>
      <c r="DC58"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58" s="134"/>
      <c r="DE58" s="244" t="e">
        <f>(#REF!+2*#REF!)/#REF!</f>
        <v>#REF!</v>
      </c>
      <c r="DF58" s="244" t="e">
        <f>#REF!*(1+race_wizard_strength+IF(#REF!&gt;72,tech_magical_weaponry_wiz*#REF!,0))</f>
        <v>#REF!</v>
      </c>
    </row>
    <row r="59" spans="1:110" x14ac:dyDescent="0.25">
      <c r="A59" s="130" t="e">
        <f>#REF!</f>
        <v>#REF!</v>
      </c>
      <c r="B59" s="236" t="e">
        <f ca="1">SUM(#REF!)+SUM(OFFSET(#REF!,-8,0):#REF!) + SUM(OFFSET(#REF!,-11,0):#REF!) +#REF!</f>
        <v>#REF!</v>
      </c>
      <c r="C59" s="132" t="e">
        <f>#REF!</f>
        <v>#REF!</v>
      </c>
      <c r="D59" s="134"/>
      <c r="E59" s="3" t="e">
        <f ca="1">OFFSET(#REF!,-1,0) + OFFSET(#REF!,-9,0) -#REF!</f>
        <v>#REF!</v>
      </c>
      <c r="F59" s="3" t="e">
        <f ca="1">OFFSET(#REF!,-1,0) + OFFSET(#REF!,-9,0)-#REF!</f>
        <v>#REF!</v>
      </c>
      <c r="G59" s="3" t="e">
        <f ca="1">OFFSET(#REF!,-1,0) + OFFSET(#REF!,-12,0)-#REF!</f>
        <v>#REF!</v>
      </c>
      <c r="H59" s="3" t="e">
        <f ca="1">OFFSET(#REF!,-1,0) + OFFSET(#REF!,-12,0)-#REF!</f>
        <v>#REF!</v>
      </c>
      <c r="I59" s="3" t="e">
        <f ca="1">OFFSET(#REF!,-1,0) + OFFSET(#REF!,-12,0) -#REF!-#REF!</f>
        <v>#REF!</v>
      </c>
      <c r="J59" s="3" t="e">
        <f ca="1">OFFSET(#REF!,-1,0) + OFFSET(#REF!,-12,0) -#REF!</f>
        <v>#REF!</v>
      </c>
      <c r="K59" s="3" t="e">
        <f ca="1">OFFSET(#REF!,-1,0) + OFFSET(#REF!,-12,0) -#REF!-#REF!</f>
        <v>#REF!</v>
      </c>
      <c r="L59" s="3" t="e">
        <f ca="1">OFFSET(#REF!,-1,0) + OFFSET(#REF!,-12,0) -#REF!</f>
        <v>#REF!</v>
      </c>
      <c r="M59" s="134"/>
      <c r="N59" s="39" t="e">
        <f>#REF!</f>
        <v>#REF!</v>
      </c>
      <c r="O59" s="134"/>
      <c r="P59" s="237" t="e">
        <f>#REF!*spec_op+#REF!*(elite1_base_op)+#REF!*(elite2_base_op+dark_elf*#REF!+icekin*#REF!+woodie*#REF!+orc*#REF!)+kobold*#REF!</f>
        <v>#REF!</v>
      </c>
      <c r="Q59" s="132" t="e">
        <f>race_offense+#REF!+ROUND(MIN(gn_bonus*#REF!/#REF!,gn_bonus_cap),4)+MAX(IF(#REF!&gt;0,warsong_bonus),IF(#REF!&gt;0,howling_op_bonus),IF(#REF!&gt;0,nightfall_bonus),IF(#REF!&gt;0,#REF!)) +#REF!/ 100*prestige_offense_bonus + tech_5_4*#REF! + tech_7_4*#REF!</f>
        <v>#REF!</v>
      </c>
      <c r="R59" s="237" t="e">
        <f>#REF!*(1+#REF!)</f>
        <v>#REF!</v>
      </c>
      <c r="S59" s="237" t="e">
        <f>#REF!*spec_dp+#REF!*(elite1_base_dp+woodie*#REF!+sylvan*#REF!+gnome*#REF!+icekin*#REF!+nox*#REF!)+#REF!*(elite2_base_dp+woodie*#REF!) + fh_peas_dp*MIN(#REF!,20*#REF!)+kobold*#REF!</f>
        <v>#REF!</v>
      </c>
      <c r="T59" s="237" t="e">
        <f>#REF!+#REF!</f>
        <v>#REF!</v>
      </c>
      <c r="U59" s="238" t="e">
        <f>race_defense +#REF! + ROUND( MIN(gt_bonus*#REF!/#REF!,gt_bonus_cap), 4) + IF(#REF!&gt;0,howling_dp_bonus,IF(#REF!&gt;0,ares_call_bonus))</f>
        <v>#REF!</v>
      </c>
      <c r="V59" s="239" t="e">
        <f>#REF! * (1 +#REF!)</f>
        <v>#REF!</v>
      </c>
      <c r="W59" s="237" t="e">
        <f>#REF! * (1 +#REF!)</f>
        <v>#REF!</v>
      </c>
      <c r="X59" s="237" t="e">
        <f>#REF!</f>
        <v>#REF!</v>
      </c>
      <c r="Y59" s="240"/>
      <c r="Z59" s="135" t="e">
        <f ca="1">IF(#REF!&lt;&gt;"",#REF!,OFFSET(#REF!,-1,0))</f>
        <v>#REF!</v>
      </c>
      <c r="AA59" s="39" t="e">
        <f ca="1">OFFSET(#REF!,-1,0)+OFFSET(#REF!,-1,0) - SUM(#REF!,#REF!) -#REF! + SUM(#REF!) -#REF!</f>
        <v>#REF!</v>
      </c>
      <c r="AB59" s="133"/>
      <c r="AC59" s="132" t="e">
        <f>(#REF!+#REF!)/(#REF!-#REF!*20)</f>
        <v>#REF!</v>
      </c>
      <c r="AD59" s="130"/>
      <c r="AE59" s="236" t="e">
        <f>#REF!</f>
        <v>#REF!</v>
      </c>
      <c r="AF59" s="131" t="e">
        <f>#REF!</f>
        <v>#REF!</v>
      </c>
      <c r="AG59" s="164"/>
      <c r="AH59" s="164"/>
      <c r="AI59" s="164"/>
      <c r="AJ59" s="164"/>
      <c r="AK59" s="164"/>
      <c r="AL59" s="164"/>
      <c r="AM59" s="164"/>
      <c r="AN59" s="164"/>
      <c r="AO59" s="134"/>
      <c r="AP59" s="39" t="e">
        <f>#REF!</f>
        <v>#REF!</v>
      </c>
      <c r="AQ59" s="39" t="e">
        <f>INDEX(#REF!:#REF!,COUNTA(#REF!:#REF!),MATCH(Military!$AQ$2,#REF!,0))</f>
        <v>#REF!</v>
      </c>
      <c r="AR59" s="39" t="e">
        <f>#REF!*#REF!+#REF!*#REF!+#REF!*#REF!+#REF!*#REF!+#REF!*#REF!+#REF!*#REF!+#REF!*#REF!</f>
        <v>#REF!</v>
      </c>
      <c r="AS59" s="39" t="e">
        <f>#REF!*#REF!+#REF!*#REF!+#REF!*#REF!+#REF!*#REF!</f>
        <v>#REF!</v>
      </c>
      <c r="AT59" s="134" t="e">
        <f>#REF!</f>
        <v>#REF!</v>
      </c>
      <c r="AU59" s="143" t="e">
        <f>#REF!</f>
        <v>#REF!</v>
      </c>
      <c r="AV59" s="39" t="e">
        <f>#REF!</f>
        <v>#REF!</v>
      </c>
      <c r="AW59" s="164"/>
      <c r="AX59" s="164"/>
      <c r="AY59" s="164"/>
      <c r="AZ59" s="164"/>
      <c r="BA59" s="164"/>
      <c r="BB59" s="164"/>
      <c r="BC59" s="164"/>
      <c r="BD59" s="164"/>
      <c r="BE59" s="164"/>
      <c r="BF59" s="134"/>
      <c r="BG59" s="132" t="e">
        <f>#REF!/#REF!</f>
        <v>#REF!</v>
      </c>
      <c r="BH59" s="132" t="e">
        <f>#REF!/#REF!</f>
        <v>#REF!</v>
      </c>
      <c r="BI59" s="39" t="e">
        <f>ROUNDUP((1-MIN(#REF!*smithy_bonus,smithy_bonus_cap) + tech_3_5*#REF! + tech_5_3*#REF! + tech_5_5*#REF!)*spec_op_plat,0)</f>
        <v>#REF!</v>
      </c>
      <c r="BJ59" s="39" t="e">
        <f>ROUNDUP(IF(race="Gnome",1,(1-MIN(#REF!*smithy_bonus,smithy_bonus_cap) + tech_3_5*#REF! + tech_5_3*#REF! + tech_5_5*#REF!))*spec_op_ore,0)</f>
        <v>#REF!</v>
      </c>
      <c r="BK59" s="39" t="e">
        <f>ROUNDUP((1-MIN(#REF!*smithy_bonus,smithy_bonus_cap) + tech_3_5*#REF! + tech_5_3*#REF! + tech_5_5*#REF!)*spec_dp_plat,0)</f>
        <v>#REF!</v>
      </c>
      <c r="BL59" s="39" t="e">
        <f>ROUNDUP(IF(race="Gnome",1,(1-MIN(#REF!*smithy_bonus,smithy_bonus_cap) + tech_3_5*#REF! + tech_5_3*#REF! + tech_5_5*#REF!))*spec_dp_ore,0)</f>
        <v>#REF!</v>
      </c>
      <c r="BM59" s="39" t="e">
        <f>ROUNDUP((1-MIN(#REF!*smithy_bonus,smithy_bonus_cap) + tech_3_5*#REF! + tech_5_3*#REF! + tech_5_5*#REF!)*elite1_plat,0)</f>
        <v>#REF!</v>
      </c>
      <c r="BN59" s="39" t="e">
        <f>ROUNDUP(IF(race="Gnome",1,(1-MIN(#REF!*smithy_bonus,smithy_bonus_cap) + tech_3_5*#REF! + tech_5_3*#REF! + tech_5_5*#REF!))*elite1_ore,0)</f>
        <v>#REF!</v>
      </c>
      <c r="BO59" s="39" t="e">
        <f>ROUNDUP((1-MIN(#REF!*smithy_bonus,smithy_bonus_cap) + tech_3_5*#REF! + tech_5_3*#REF! + tech_5_5*#REF!)*elite2_plat,0)</f>
        <v>#REF!</v>
      </c>
      <c r="BP59" s="39" t="e">
        <f>ROUNDUP(IF(race="Gnome",1,(1-MIN(#REF!*smithy_bonus,smithy_bonus_cap) + tech_3_5*#REF! + tech_5_3*#REF! + tech_5_5*#REF!))*elite2_ore,0)</f>
        <v>#REF!</v>
      </c>
      <c r="BQ59" s="39" t="e">
        <f>ROUNDUP((1-MIN(ROUND(fh_spy_cost_red*#REF!,4),fh_spy_cost_cap)+ tech_1_9*#REF! + tech_9_1*#REF!)*spy_plat,0)</f>
        <v>#REF!</v>
      </c>
      <c r="BR59" s="39" t="e">
        <f>ROUNDUP((1-MIN(ROUND(fh_spy_cost_red*#REF!,4),fh_spy_cost_cap)+ tech_1_9*#REF! + tech_9_1*#REF!)*archspy_plat,0)</f>
        <v>#REF!</v>
      </c>
      <c r="BS59" s="39" t="e">
        <f>ROUNDUP((1-MIN(ROUND(wg_wiz_cost_bonus*#REF!,4),wg_wiz_cost_cap) + tech_1_9_2*#REF! + tech_9_1_2*#REF!)*wizard_plat,0)</f>
        <v>#REF!</v>
      </c>
      <c r="BT59" s="39" t="e">
        <f>ROUNDUP((1-MIN(ROUND(wg_wiz_cost_bonus*#REF!,4),wg_wiz_cost_cap) + tech_1_9_2*#REF! + tech_9_1_2*#REF!)*archmage_plat,0)</f>
        <v>#REF!</v>
      </c>
      <c r="BU59" s="134"/>
      <c r="BV59" s="132" t="e">
        <f>#REF!/#REF!</f>
        <v>#REF!</v>
      </c>
      <c r="BW59" s="132" t="e">
        <f>#REF!</f>
        <v>#REF!</v>
      </c>
      <c r="BX59" s="241" t="e">
        <f>IF(mystic_cap="none",#REF!/mystic_bonus,MIN(mystic_cap,#REF!/mystic_bonus))</f>
        <v>#REF!</v>
      </c>
      <c r="BY59" s="241" t="e">
        <f>IF(druid_op_cap="none",#REF!/druid_op_bonus,MIN(druid_op_cap,#REF!/druid_op_bonus))</f>
        <v>#REF!</v>
      </c>
      <c r="BZ59" s="241" t="e">
        <f>IF(druid_dp_cap="none",#REF!/druid_dp_bonus,MIN(druid_dp_cap,#REF!/druid_dp_bonus))</f>
        <v>#REF!</v>
      </c>
      <c r="CA59" s="241" t="e">
        <f>MIN(dryad_cap,#REF!/dryad_bonus)</f>
        <v>#REF!</v>
      </c>
      <c r="CB59" s="241" t="e">
        <f>MIN(rocka_cap,#REF!/rocka_bonus)</f>
        <v>#REF!</v>
      </c>
      <c r="CC59" s="241" t="e">
        <f>MIN(adept_op_cap,#REF!/adept_op_bonus)</f>
        <v>#REF!</v>
      </c>
      <c r="CD59" s="241" t="e">
        <f>MIN(adept_dp_cap,#REF!/adept_dp_bonus)</f>
        <v>#REF!</v>
      </c>
      <c r="CE59" s="39" t="e">
        <f>MIN(#REF!,#REF!)*2</f>
        <v>#REF!</v>
      </c>
      <c r="CF59" s="39" t="e">
        <f>MIN(#REF!,#REF!)*2</f>
        <v>#REF!</v>
      </c>
      <c r="CG59" s="241" t="e">
        <f>MIN(frost_mage_cap,#REF!/frost_mage_bonus)</f>
        <v>#REF!</v>
      </c>
      <c r="CH59" s="3" t="e">
        <f>MIN(ice_elem_cap,#REF!*ice_elem_bonus)</f>
        <v>#REF!</v>
      </c>
      <c r="CI59" s="241">
        <f t="shared" si="2"/>
        <v>0.83333333333333337</v>
      </c>
      <c r="CJ59" s="241" t="e">
        <f>MIN(nox_nightshade_cap,#REF!/#REF!/nox_nightshade_swamp_bonus)</f>
        <v>#REF!</v>
      </c>
      <c r="CK59" s="242"/>
      <c r="CL59" s="242"/>
      <c r="CM59" s="242"/>
      <c r="CN59" s="241" t="e">
        <f>MIN(6,#REF!+Races!$F$19)*1.8 +  IF(#REF!+Races!$F$19&gt;6,(#REF!+Races!$F$19-6)*0.2,0) - Races!$I$19</f>
        <v>#REF!</v>
      </c>
      <c r="CO59" s="241" t="e">
        <f>1.8 * MIN(MAX(#REF!+Races!$E$20,#REF!+Races!$F$20),6)  +  0.45 * MIN(MIN(#REF!+Races!$E$20,#REF!+Races!$F$20),6)  +  0.2 * ( MAX(#REF!+Races!$E$20-6,0) + MAX(#REF!+Races!$F$20-6,0) )  -  Races!$I$20</f>
        <v>#REF!</v>
      </c>
      <c r="CP59" s="39" t="e">
        <f>#REF!*#REF!+#REF!*#REF!</f>
        <v>#REF!</v>
      </c>
      <c r="CQ59" s="145" t="e">
        <f>MIN(6,#REF!+Races!$F$35)*1.8 +  IF(#REF!+Races!$F$35&gt;6,(#REF!+Races!$F$35-6)*0.2,0) - Races!$I$19</f>
        <v>#REF!</v>
      </c>
      <c r="CR59" s="39" t="e">
        <f>sylvan*(#REF!*#REF!)</f>
        <v>#REF!</v>
      </c>
      <c r="CS59" s="145" t="e">
        <f>1.8 * MIN(MAX(Races!$E$27,#REF!+Races!$F$27),6)  +  0.45 * MIN(MIN(Races!$E$27,#REF!+Races!$F$27),6)  +  0.2 * ( MAX(Races!$E$27-6,0) + MAX(#REF!+Races!$F$27-6,0) )  -  Races!$I$20</f>
        <v>#REF!</v>
      </c>
      <c r="CT59" s="39" t="e">
        <f>gnome*(#REF!*#REF!)</f>
        <v>#REF!</v>
      </c>
      <c r="CU59" s="145" t="e">
        <f>1.8 * MIN(MAX(#REF!+Races!$E$47,#REF!+Races!$F$47),6)  +  0.45 * MIN(MIN(#REF!+Races!$E$47,#REF!+Races!$F$47),6)  +  0.2 * ( MAX(#REF!+Races!$E$47-6,0) + MAX(#REF!+Races!$F$47-6,0) )  -  Races!$I$47</f>
        <v>#REF!</v>
      </c>
      <c r="CV59" s="39" t="e">
        <f>dark_elf*(#REF!*#REF!)</f>
        <v>#REF!</v>
      </c>
      <c r="CW59" s="145" t="e">
        <f>1.8 * MIN(MAX(#REF!+Races!$F$71,Races!$E$71),6)  +  0.45 * MIN(MIN(#REF!+Races!$F$71,Races!$E$71),6)  +  0.2 * ( MAX(#REF!+Races!$F$71-6,0) + MAX(Races!$E$71-6,0) )  -  Races!$I$71</f>
        <v>#REF!</v>
      </c>
      <c r="CX59" s="145" t="e">
        <f>1.8 * MIN(MAX(#REF!+Races!$E$71,Races!$F$71),6)  +  0.45 * MIN(MIN(#REF!+Races!$E$71,Races!$F$71),6)  +  0.2 * ( MAX(#REF!+Races!$E$71-6,0) + MAX(Races!$F$71-6,0) )  -  Races!$I$71</f>
        <v>#REF!</v>
      </c>
      <c r="CY59" s="39" t="e">
        <f>#REF!*#REF!+#REF!*#REF!</f>
        <v>#REF!</v>
      </c>
      <c r="CZ59" s="243"/>
      <c r="DA59" s="135" t="e">
        <f>MIN(SUM(#REF!)/#REF!/favorable_terrain_bonus/100,favorable_terrain_max)</f>
        <v>#REF!</v>
      </c>
      <c r="DB59" s="243"/>
      <c r="DC59"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59" s="134"/>
      <c r="DE59" s="244" t="e">
        <f>(#REF!+2*#REF!)/#REF!</f>
        <v>#REF!</v>
      </c>
      <c r="DF59" s="244" t="e">
        <f>#REF!*(1+race_wizard_strength+IF(#REF!&gt;72,tech_magical_weaponry_wiz*#REF!,0))</f>
        <v>#REF!</v>
      </c>
    </row>
    <row r="60" spans="1:110" x14ac:dyDescent="0.25">
      <c r="A60" s="130" t="e">
        <f>#REF!</f>
        <v>#REF!</v>
      </c>
      <c r="B60" s="236" t="e">
        <f ca="1">SUM(#REF!)+SUM(OFFSET(#REF!,-8,0):#REF!) + SUM(OFFSET(#REF!,-11,0):#REF!) +#REF!</f>
        <v>#REF!</v>
      </c>
      <c r="C60" s="132" t="e">
        <f>#REF!</f>
        <v>#REF!</v>
      </c>
      <c r="D60" s="134"/>
      <c r="E60" s="3" t="e">
        <f ca="1">OFFSET(#REF!,-1,0) + OFFSET(#REF!,-9,0) -#REF!</f>
        <v>#REF!</v>
      </c>
      <c r="F60" s="3" t="e">
        <f ca="1">OFFSET(#REF!,-1,0) + OFFSET(#REF!,-9,0)-#REF!</f>
        <v>#REF!</v>
      </c>
      <c r="G60" s="3" t="e">
        <f ca="1">OFFSET(#REF!,-1,0) + OFFSET(#REF!,-12,0)-#REF!</f>
        <v>#REF!</v>
      </c>
      <c r="H60" s="3" t="e">
        <f ca="1">OFFSET(#REF!,-1,0) + OFFSET(#REF!,-12,0)-#REF!</f>
        <v>#REF!</v>
      </c>
      <c r="I60" s="3" t="e">
        <f ca="1">OFFSET(#REF!,-1,0) + OFFSET(#REF!,-12,0) -#REF!-#REF!</f>
        <v>#REF!</v>
      </c>
      <c r="J60" s="3" t="e">
        <f ca="1">OFFSET(#REF!,-1,0) + OFFSET(#REF!,-12,0) -#REF!</f>
        <v>#REF!</v>
      </c>
      <c r="K60" s="3" t="e">
        <f ca="1">OFFSET(#REF!,-1,0) + OFFSET(#REF!,-12,0) -#REF!-#REF!</f>
        <v>#REF!</v>
      </c>
      <c r="L60" s="3" t="e">
        <f ca="1">OFFSET(#REF!,-1,0) + OFFSET(#REF!,-12,0) -#REF!</f>
        <v>#REF!</v>
      </c>
      <c r="M60" s="134"/>
      <c r="N60" s="39" t="e">
        <f>#REF!</f>
        <v>#REF!</v>
      </c>
      <c r="O60" s="134"/>
      <c r="P60" s="237" t="e">
        <f>#REF!*spec_op+#REF!*(elite1_base_op)+#REF!*(elite2_base_op+dark_elf*#REF!+icekin*#REF!+woodie*#REF!+orc*#REF!)+kobold*#REF!</f>
        <v>#REF!</v>
      </c>
      <c r="Q60" s="132" t="e">
        <f>race_offense+#REF!+ROUND(MIN(gn_bonus*#REF!/#REF!,gn_bonus_cap),4)+MAX(IF(#REF!&gt;0,warsong_bonus),IF(#REF!&gt;0,howling_op_bonus),IF(#REF!&gt;0,nightfall_bonus),IF(#REF!&gt;0,#REF!)) +#REF!/ 100*prestige_offense_bonus + tech_5_4*#REF! + tech_7_4*#REF!</f>
        <v>#REF!</v>
      </c>
      <c r="R60" s="237" t="e">
        <f>#REF!*(1+#REF!)</f>
        <v>#REF!</v>
      </c>
      <c r="S60" s="237" t="e">
        <f>#REF!*spec_dp+#REF!*(elite1_base_dp+woodie*#REF!+sylvan*#REF!+gnome*#REF!+icekin*#REF!+nox*#REF!)+#REF!*(elite2_base_dp+woodie*#REF!) + fh_peas_dp*MIN(#REF!,20*#REF!)+kobold*#REF!</f>
        <v>#REF!</v>
      </c>
      <c r="T60" s="237" t="e">
        <f>#REF!+#REF!</f>
        <v>#REF!</v>
      </c>
      <c r="U60" s="238" t="e">
        <f>race_defense +#REF! + ROUND( MIN(gt_bonus*#REF!/#REF!,gt_bonus_cap), 4) + IF(#REF!&gt;0,howling_dp_bonus,IF(#REF!&gt;0,ares_call_bonus))</f>
        <v>#REF!</v>
      </c>
      <c r="V60" s="239" t="e">
        <f>#REF! * (1 +#REF!)</f>
        <v>#REF!</v>
      </c>
      <c r="W60" s="237" t="e">
        <f>#REF! * (1 +#REF!)</f>
        <v>#REF!</v>
      </c>
      <c r="X60" s="237" t="e">
        <f>#REF!</f>
        <v>#REF!</v>
      </c>
      <c r="Y60" s="240"/>
      <c r="Z60" s="135" t="e">
        <f ca="1">IF(#REF!&lt;&gt;"",#REF!,OFFSET(#REF!,-1,0))</f>
        <v>#REF!</v>
      </c>
      <c r="AA60" s="39" t="e">
        <f ca="1">OFFSET(#REF!,-1,0)+OFFSET(#REF!,-1,0) - SUM(#REF!,#REF!) -#REF! + SUM(#REF!) -#REF!</f>
        <v>#REF!</v>
      </c>
      <c r="AB60" s="133"/>
      <c r="AC60" s="132" t="e">
        <f>(#REF!+#REF!)/(#REF!-#REF!*20)</f>
        <v>#REF!</v>
      </c>
      <c r="AD60" s="130"/>
      <c r="AE60" s="236" t="e">
        <f>#REF!</f>
        <v>#REF!</v>
      </c>
      <c r="AF60" s="131" t="e">
        <f>#REF!</f>
        <v>#REF!</v>
      </c>
      <c r="AG60" s="164"/>
      <c r="AH60" s="164"/>
      <c r="AI60" s="164"/>
      <c r="AJ60" s="164"/>
      <c r="AK60" s="164"/>
      <c r="AL60" s="164"/>
      <c r="AM60" s="164"/>
      <c r="AN60" s="164"/>
      <c r="AO60" s="134"/>
      <c r="AP60" s="39" t="e">
        <f>#REF!</f>
        <v>#REF!</v>
      </c>
      <c r="AQ60" s="39" t="e">
        <f>INDEX(#REF!:#REF!,COUNTA(#REF!:#REF!),MATCH(Military!$AQ$2,#REF!,0))</f>
        <v>#REF!</v>
      </c>
      <c r="AR60" s="39" t="e">
        <f>#REF!*#REF!+#REF!*#REF!+#REF!*#REF!+#REF!*#REF!+#REF!*#REF!+#REF!*#REF!+#REF!*#REF!</f>
        <v>#REF!</v>
      </c>
      <c r="AS60" s="39" t="e">
        <f>#REF!*#REF!+#REF!*#REF!+#REF!*#REF!+#REF!*#REF!</f>
        <v>#REF!</v>
      </c>
      <c r="AT60" s="134" t="e">
        <f>#REF!</f>
        <v>#REF!</v>
      </c>
      <c r="AU60" s="143" t="e">
        <f>#REF!</f>
        <v>#REF!</v>
      </c>
      <c r="AV60" s="39" t="e">
        <f>#REF!</f>
        <v>#REF!</v>
      </c>
      <c r="AW60" s="164"/>
      <c r="AX60" s="164"/>
      <c r="AY60" s="164"/>
      <c r="AZ60" s="164"/>
      <c r="BA60" s="164"/>
      <c r="BB60" s="164"/>
      <c r="BC60" s="164"/>
      <c r="BD60" s="164"/>
      <c r="BE60" s="164"/>
      <c r="BF60" s="134"/>
      <c r="BG60" s="132" t="e">
        <f>#REF!/#REF!</f>
        <v>#REF!</v>
      </c>
      <c r="BH60" s="132" t="e">
        <f>#REF!/#REF!</f>
        <v>#REF!</v>
      </c>
      <c r="BI60" s="39" t="e">
        <f>ROUNDUP((1-MIN(#REF!*smithy_bonus,smithy_bonus_cap) + tech_3_5*#REF! + tech_5_3*#REF! + tech_5_5*#REF!)*spec_op_plat,0)</f>
        <v>#REF!</v>
      </c>
      <c r="BJ60" s="39" t="e">
        <f>ROUNDUP(IF(race="Gnome",1,(1-MIN(#REF!*smithy_bonus,smithy_bonus_cap) + tech_3_5*#REF! + tech_5_3*#REF! + tech_5_5*#REF!))*spec_op_ore,0)</f>
        <v>#REF!</v>
      </c>
      <c r="BK60" s="39" t="e">
        <f>ROUNDUP((1-MIN(#REF!*smithy_bonus,smithy_bonus_cap) + tech_3_5*#REF! + tech_5_3*#REF! + tech_5_5*#REF!)*spec_dp_plat,0)</f>
        <v>#REF!</v>
      </c>
      <c r="BL60" s="39" t="e">
        <f>ROUNDUP(IF(race="Gnome",1,(1-MIN(#REF!*smithy_bonus,smithy_bonus_cap) + tech_3_5*#REF! + tech_5_3*#REF! + tech_5_5*#REF!))*spec_dp_ore,0)</f>
        <v>#REF!</v>
      </c>
      <c r="BM60" s="39" t="e">
        <f>ROUNDUP((1-MIN(#REF!*smithy_bonus,smithy_bonus_cap) + tech_3_5*#REF! + tech_5_3*#REF! + tech_5_5*#REF!)*elite1_plat,0)</f>
        <v>#REF!</v>
      </c>
      <c r="BN60" s="39" t="e">
        <f>ROUNDUP(IF(race="Gnome",1,(1-MIN(#REF!*smithy_bonus,smithy_bonus_cap) + tech_3_5*#REF! + tech_5_3*#REF! + tech_5_5*#REF!))*elite1_ore,0)</f>
        <v>#REF!</v>
      </c>
      <c r="BO60" s="39" t="e">
        <f>ROUNDUP((1-MIN(#REF!*smithy_bonus,smithy_bonus_cap) + tech_3_5*#REF! + tech_5_3*#REF! + tech_5_5*#REF!)*elite2_plat,0)</f>
        <v>#REF!</v>
      </c>
      <c r="BP60" s="39" t="e">
        <f>ROUNDUP(IF(race="Gnome",1,(1-MIN(#REF!*smithy_bonus,smithy_bonus_cap) + tech_3_5*#REF! + tech_5_3*#REF! + tech_5_5*#REF!))*elite2_ore,0)</f>
        <v>#REF!</v>
      </c>
      <c r="BQ60" s="39" t="e">
        <f>ROUNDUP((1-MIN(ROUND(fh_spy_cost_red*#REF!,4),fh_spy_cost_cap)+ tech_1_9*#REF! + tech_9_1*#REF!)*spy_plat,0)</f>
        <v>#REF!</v>
      </c>
      <c r="BR60" s="39" t="e">
        <f>ROUNDUP((1-MIN(ROUND(fh_spy_cost_red*#REF!,4),fh_spy_cost_cap)+ tech_1_9*#REF! + tech_9_1*#REF!)*archspy_plat,0)</f>
        <v>#REF!</v>
      </c>
      <c r="BS60" s="39" t="e">
        <f>ROUNDUP((1-MIN(ROUND(wg_wiz_cost_bonus*#REF!,4),wg_wiz_cost_cap) + tech_1_9_2*#REF! + tech_9_1_2*#REF!)*wizard_plat,0)</f>
        <v>#REF!</v>
      </c>
      <c r="BT60" s="39" t="e">
        <f>ROUNDUP((1-MIN(ROUND(wg_wiz_cost_bonus*#REF!,4),wg_wiz_cost_cap) + tech_1_9_2*#REF! + tech_9_1_2*#REF!)*archmage_plat,0)</f>
        <v>#REF!</v>
      </c>
      <c r="BU60" s="134"/>
      <c r="BV60" s="132" t="e">
        <f>#REF!/#REF!</f>
        <v>#REF!</v>
      </c>
      <c r="BW60" s="132" t="e">
        <f>#REF!</f>
        <v>#REF!</v>
      </c>
      <c r="BX60" s="241" t="e">
        <f>IF(mystic_cap="none",#REF!/mystic_bonus,MIN(mystic_cap,#REF!/mystic_bonus))</f>
        <v>#REF!</v>
      </c>
      <c r="BY60" s="241" t="e">
        <f>IF(druid_op_cap="none",#REF!/druid_op_bonus,MIN(druid_op_cap,#REF!/druid_op_bonus))</f>
        <v>#REF!</v>
      </c>
      <c r="BZ60" s="241" t="e">
        <f>IF(druid_dp_cap="none",#REF!/druid_dp_bonus,MIN(druid_dp_cap,#REF!/druid_dp_bonus))</f>
        <v>#REF!</v>
      </c>
      <c r="CA60" s="241" t="e">
        <f>MIN(dryad_cap,#REF!/dryad_bonus)</f>
        <v>#REF!</v>
      </c>
      <c r="CB60" s="241" t="e">
        <f>MIN(rocka_cap,#REF!/rocka_bonus)</f>
        <v>#REF!</v>
      </c>
      <c r="CC60" s="241" t="e">
        <f>MIN(adept_op_cap,#REF!/adept_op_bonus)</f>
        <v>#REF!</v>
      </c>
      <c r="CD60" s="241" t="e">
        <f>MIN(adept_dp_cap,#REF!/adept_dp_bonus)</f>
        <v>#REF!</v>
      </c>
      <c r="CE60" s="39" t="e">
        <f>MIN(#REF!,#REF!)*2</f>
        <v>#REF!</v>
      </c>
      <c r="CF60" s="39" t="e">
        <f>MIN(#REF!,#REF!)*2</f>
        <v>#REF!</v>
      </c>
      <c r="CG60" s="241" t="e">
        <f>MIN(frost_mage_cap,#REF!/frost_mage_bonus)</f>
        <v>#REF!</v>
      </c>
      <c r="CH60" s="3" t="e">
        <f>MIN(ice_elem_cap,#REF!*ice_elem_bonus)</f>
        <v>#REF!</v>
      </c>
      <c r="CI60" s="241">
        <f t="shared" si="2"/>
        <v>0.83333333333333337</v>
      </c>
      <c r="CJ60" s="241" t="e">
        <f>MIN(nox_nightshade_cap,#REF!/#REF!/nox_nightshade_swamp_bonus)</f>
        <v>#REF!</v>
      </c>
      <c r="CK60" s="242"/>
      <c r="CL60" s="242"/>
      <c r="CM60" s="242"/>
      <c r="CN60" s="241" t="e">
        <f>MIN(6,#REF!+Races!$F$19)*1.8 +  IF(#REF!+Races!$F$19&gt;6,(#REF!+Races!$F$19-6)*0.2,0) - Races!$I$19</f>
        <v>#REF!</v>
      </c>
      <c r="CO60" s="241" t="e">
        <f>1.8 * MIN(MAX(#REF!+Races!$E$20,#REF!+Races!$F$20),6)  +  0.45 * MIN(MIN(#REF!+Races!$E$20,#REF!+Races!$F$20),6)  +  0.2 * ( MAX(#REF!+Races!$E$20-6,0) + MAX(#REF!+Races!$F$20-6,0) )  -  Races!$I$20</f>
        <v>#REF!</v>
      </c>
      <c r="CP60" s="39" t="e">
        <f>#REF!*#REF!+#REF!*#REF!</f>
        <v>#REF!</v>
      </c>
      <c r="CQ60" s="145" t="e">
        <f>MIN(6,#REF!+Races!$F$35)*1.8 +  IF(#REF!+Races!$F$35&gt;6,(#REF!+Races!$F$35-6)*0.2,0) - Races!$I$19</f>
        <v>#REF!</v>
      </c>
      <c r="CR60" s="39" t="e">
        <f>sylvan*(#REF!*#REF!)</f>
        <v>#REF!</v>
      </c>
      <c r="CS60" s="145" t="e">
        <f>1.8 * MIN(MAX(Races!$E$27,#REF!+Races!$F$27),6)  +  0.45 * MIN(MIN(Races!$E$27,#REF!+Races!$F$27),6)  +  0.2 * ( MAX(Races!$E$27-6,0) + MAX(#REF!+Races!$F$27-6,0) )  -  Races!$I$20</f>
        <v>#REF!</v>
      </c>
      <c r="CT60" s="39" t="e">
        <f>gnome*(#REF!*#REF!)</f>
        <v>#REF!</v>
      </c>
      <c r="CU60" s="145" t="e">
        <f>1.8 * MIN(MAX(#REF!+Races!$E$47,#REF!+Races!$F$47),6)  +  0.45 * MIN(MIN(#REF!+Races!$E$47,#REF!+Races!$F$47),6)  +  0.2 * ( MAX(#REF!+Races!$E$47-6,0) + MAX(#REF!+Races!$F$47-6,0) )  -  Races!$I$47</f>
        <v>#REF!</v>
      </c>
      <c r="CV60" s="39" t="e">
        <f>dark_elf*(#REF!*#REF!)</f>
        <v>#REF!</v>
      </c>
      <c r="CW60" s="145" t="e">
        <f>1.8 * MIN(MAX(#REF!+Races!$F$71,Races!$E$71),6)  +  0.45 * MIN(MIN(#REF!+Races!$F$71,Races!$E$71),6)  +  0.2 * ( MAX(#REF!+Races!$F$71-6,0) + MAX(Races!$E$71-6,0) )  -  Races!$I$71</f>
        <v>#REF!</v>
      </c>
      <c r="CX60" s="145" t="e">
        <f>1.8 * MIN(MAX(#REF!+Races!$E$71,Races!$F$71),6)  +  0.45 * MIN(MIN(#REF!+Races!$E$71,Races!$F$71),6)  +  0.2 * ( MAX(#REF!+Races!$E$71-6,0) + MAX(Races!$F$71-6,0) )  -  Races!$I$71</f>
        <v>#REF!</v>
      </c>
      <c r="CY60" s="39" t="e">
        <f>#REF!*#REF!+#REF!*#REF!</f>
        <v>#REF!</v>
      </c>
      <c r="CZ60" s="243"/>
      <c r="DA60" s="135" t="e">
        <f>MIN(SUM(#REF!)/#REF!/favorable_terrain_bonus/100,favorable_terrain_max)</f>
        <v>#REF!</v>
      </c>
      <c r="DB60" s="243"/>
      <c r="DC60"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60" s="134"/>
      <c r="DE60" s="244" t="e">
        <f>(#REF!+2*#REF!)/#REF!</f>
        <v>#REF!</v>
      </c>
      <c r="DF60" s="244" t="e">
        <f>#REF!*(1+race_wizard_strength+IF(#REF!&gt;72,tech_magical_weaponry_wiz*#REF!,0))</f>
        <v>#REF!</v>
      </c>
    </row>
    <row r="61" spans="1:110" x14ac:dyDescent="0.25">
      <c r="A61" s="130" t="e">
        <f>#REF!</f>
        <v>#REF!</v>
      </c>
      <c r="B61" s="236" t="e">
        <f ca="1">SUM(#REF!)+SUM(OFFSET(#REF!,-8,0):#REF!) + SUM(OFFSET(#REF!,-11,0):#REF!) +#REF!</f>
        <v>#REF!</v>
      </c>
      <c r="C61" s="132" t="e">
        <f>#REF!</f>
        <v>#REF!</v>
      </c>
      <c r="D61" s="134"/>
      <c r="E61" s="3" t="e">
        <f ca="1">OFFSET(#REF!,-1,0) + OFFSET(#REF!,-9,0) -#REF!</f>
        <v>#REF!</v>
      </c>
      <c r="F61" s="3" t="e">
        <f ca="1">OFFSET(#REF!,-1,0) + OFFSET(#REF!,-9,0)-#REF!</f>
        <v>#REF!</v>
      </c>
      <c r="G61" s="3" t="e">
        <f ca="1">OFFSET(#REF!,-1,0) + OFFSET(#REF!,-12,0)-#REF!</f>
        <v>#REF!</v>
      </c>
      <c r="H61" s="3" t="e">
        <f ca="1">OFFSET(#REF!,-1,0) + OFFSET(#REF!,-12,0)-#REF!</f>
        <v>#REF!</v>
      </c>
      <c r="I61" s="3" t="e">
        <f ca="1">OFFSET(#REF!,-1,0) + OFFSET(#REF!,-12,0) -#REF!-#REF!</f>
        <v>#REF!</v>
      </c>
      <c r="J61" s="3" t="e">
        <f ca="1">OFFSET(#REF!,-1,0) + OFFSET(#REF!,-12,0) -#REF!</f>
        <v>#REF!</v>
      </c>
      <c r="K61" s="3" t="e">
        <f ca="1">OFFSET(#REF!,-1,0) + OFFSET(#REF!,-12,0) -#REF!-#REF!</f>
        <v>#REF!</v>
      </c>
      <c r="L61" s="3" t="e">
        <f ca="1">OFFSET(#REF!,-1,0) + OFFSET(#REF!,-12,0) -#REF!</f>
        <v>#REF!</v>
      </c>
      <c r="M61" s="134"/>
      <c r="N61" s="39" t="e">
        <f>#REF!</f>
        <v>#REF!</v>
      </c>
      <c r="O61" s="134"/>
      <c r="P61" s="237" t="e">
        <f>#REF!*spec_op+#REF!*(elite1_base_op)+#REF!*(elite2_base_op+dark_elf*#REF!+icekin*#REF!+woodie*#REF!+orc*#REF!)+kobold*#REF!</f>
        <v>#REF!</v>
      </c>
      <c r="Q61" s="132" t="e">
        <f>race_offense+#REF!+ROUND(MIN(gn_bonus*#REF!/#REF!,gn_bonus_cap),4)+MAX(IF(#REF!&gt;0,warsong_bonus),IF(#REF!&gt;0,howling_op_bonus),IF(#REF!&gt;0,nightfall_bonus),IF(#REF!&gt;0,#REF!)) +#REF!/ 100*prestige_offense_bonus + tech_5_4*#REF! + tech_7_4*#REF!</f>
        <v>#REF!</v>
      </c>
      <c r="R61" s="237" t="e">
        <f>#REF!*(1+#REF!)</f>
        <v>#REF!</v>
      </c>
      <c r="S61" s="237" t="e">
        <f>#REF!*spec_dp+#REF!*(elite1_base_dp+woodie*#REF!+sylvan*#REF!+gnome*#REF!+icekin*#REF!+nox*#REF!)+#REF!*(elite2_base_dp+woodie*#REF!) + fh_peas_dp*MIN(#REF!,20*#REF!)+kobold*#REF!</f>
        <v>#REF!</v>
      </c>
      <c r="T61" s="237" t="e">
        <f>#REF!+#REF!</f>
        <v>#REF!</v>
      </c>
      <c r="U61" s="238" t="e">
        <f>race_defense +#REF! + ROUND( MIN(gt_bonus*#REF!/#REF!,gt_bonus_cap), 4) + IF(#REF!&gt;0,howling_dp_bonus,IF(#REF!&gt;0,ares_call_bonus))</f>
        <v>#REF!</v>
      </c>
      <c r="V61" s="239" t="e">
        <f>#REF! * (1 +#REF!)</f>
        <v>#REF!</v>
      </c>
      <c r="W61" s="237" t="e">
        <f>#REF! * (1 +#REF!)</f>
        <v>#REF!</v>
      </c>
      <c r="X61" s="237" t="e">
        <f>#REF!</f>
        <v>#REF!</v>
      </c>
      <c r="Y61" s="240"/>
      <c r="Z61" s="135" t="e">
        <f ca="1">IF(#REF!&lt;&gt;"",#REF!,OFFSET(#REF!,-1,0))</f>
        <v>#REF!</v>
      </c>
      <c r="AA61" s="39" t="e">
        <f ca="1">OFFSET(#REF!,-1,0)+OFFSET(#REF!,-1,0) - SUM(#REF!,#REF!) -#REF! + SUM(#REF!) -#REF!</f>
        <v>#REF!</v>
      </c>
      <c r="AB61" s="133"/>
      <c r="AC61" s="132" t="e">
        <f>(#REF!+#REF!)/(#REF!-#REF!*20)</f>
        <v>#REF!</v>
      </c>
      <c r="AD61" s="130"/>
      <c r="AE61" s="236" t="e">
        <f>#REF!</f>
        <v>#REF!</v>
      </c>
      <c r="AF61" s="131" t="e">
        <f>#REF!</f>
        <v>#REF!</v>
      </c>
      <c r="AG61" s="164"/>
      <c r="AH61" s="164"/>
      <c r="AI61" s="164"/>
      <c r="AJ61" s="164"/>
      <c r="AK61" s="164"/>
      <c r="AL61" s="164"/>
      <c r="AM61" s="164"/>
      <c r="AN61" s="164"/>
      <c r="AO61" s="134"/>
      <c r="AP61" s="39" t="e">
        <f>#REF!</f>
        <v>#REF!</v>
      </c>
      <c r="AQ61" s="39" t="e">
        <f>INDEX(#REF!:#REF!,COUNTA(#REF!:#REF!),MATCH(Military!$AQ$2,#REF!,0))</f>
        <v>#REF!</v>
      </c>
      <c r="AR61" s="39" t="e">
        <f>#REF!*#REF!+#REF!*#REF!+#REF!*#REF!+#REF!*#REF!+#REF!*#REF!+#REF!*#REF!+#REF!*#REF!</f>
        <v>#REF!</v>
      </c>
      <c r="AS61" s="39" t="e">
        <f>#REF!*#REF!+#REF!*#REF!+#REF!*#REF!+#REF!*#REF!</f>
        <v>#REF!</v>
      </c>
      <c r="AT61" s="134" t="e">
        <f>#REF!</f>
        <v>#REF!</v>
      </c>
      <c r="AU61" s="143" t="e">
        <f>#REF!</f>
        <v>#REF!</v>
      </c>
      <c r="AV61" s="39" t="e">
        <f>#REF!</f>
        <v>#REF!</v>
      </c>
      <c r="AW61" s="164"/>
      <c r="AX61" s="164"/>
      <c r="AY61" s="164"/>
      <c r="AZ61" s="164"/>
      <c r="BA61" s="164"/>
      <c r="BB61" s="164"/>
      <c r="BC61" s="164"/>
      <c r="BD61" s="164"/>
      <c r="BE61" s="164"/>
      <c r="BF61" s="134"/>
      <c r="BG61" s="132" t="e">
        <f>#REF!/#REF!</f>
        <v>#REF!</v>
      </c>
      <c r="BH61" s="132" t="e">
        <f>#REF!/#REF!</f>
        <v>#REF!</v>
      </c>
      <c r="BI61" s="39" t="e">
        <f>ROUNDUP((1-MIN(#REF!*smithy_bonus,smithy_bonus_cap) + tech_3_5*#REF! + tech_5_3*#REF! + tech_5_5*#REF!)*spec_op_plat,0)</f>
        <v>#REF!</v>
      </c>
      <c r="BJ61" s="39" t="e">
        <f>ROUNDUP(IF(race="Gnome",1,(1-MIN(#REF!*smithy_bonus,smithy_bonus_cap) + tech_3_5*#REF! + tech_5_3*#REF! + tech_5_5*#REF!))*spec_op_ore,0)</f>
        <v>#REF!</v>
      </c>
      <c r="BK61" s="39" t="e">
        <f>ROUNDUP((1-MIN(#REF!*smithy_bonus,smithy_bonus_cap) + tech_3_5*#REF! + tech_5_3*#REF! + tech_5_5*#REF!)*spec_dp_plat,0)</f>
        <v>#REF!</v>
      </c>
      <c r="BL61" s="39" t="e">
        <f>ROUNDUP(IF(race="Gnome",1,(1-MIN(#REF!*smithy_bonus,smithy_bonus_cap) + tech_3_5*#REF! + tech_5_3*#REF! + tech_5_5*#REF!))*spec_dp_ore,0)</f>
        <v>#REF!</v>
      </c>
      <c r="BM61" s="39" t="e">
        <f>ROUNDUP((1-MIN(#REF!*smithy_bonus,smithy_bonus_cap) + tech_3_5*#REF! + tech_5_3*#REF! + tech_5_5*#REF!)*elite1_plat,0)</f>
        <v>#REF!</v>
      </c>
      <c r="BN61" s="39" t="e">
        <f>ROUNDUP(IF(race="Gnome",1,(1-MIN(#REF!*smithy_bonus,smithy_bonus_cap) + tech_3_5*#REF! + tech_5_3*#REF! + tech_5_5*#REF!))*elite1_ore,0)</f>
        <v>#REF!</v>
      </c>
      <c r="BO61" s="39" t="e">
        <f>ROUNDUP((1-MIN(#REF!*smithy_bonus,smithy_bonus_cap) + tech_3_5*#REF! + tech_5_3*#REF! + tech_5_5*#REF!)*elite2_plat,0)</f>
        <v>#REF!</v>
      </c>
      <c r="BP61" s="39" t="e">
        <f>ROUNDUP(IF(race="Gnome",1,(1-MIN(#REF!*smithy_bonus,smithy_bonus_cap) + tech_3_5*#REF! + tech_5_3*#REF! + tech_5_5*#REF!))*elite2_ore,0)</f>
        <v>#REF!</v>
      </c>
      <c r="BQ61" s="39" t="e">
        <f>ROUNDUP((1-MIN(ROUND(fh_spy_cost_red*#REF!,4),fh_spy_cost_cap)+ tech_1_9*#REF! + tech_9_1*#REF!)*spy_plat,0)</f>
        <v>#REF!</v>
      </c>
      <c r="BR61" s="39" t="e">
        <f>ROUNDUP((1-MIN(ROUND(fh_spy_cost_red*#REF!,4),fh_spy_cost_cap)+ tech_1_9*#REF! + tech_9_1*#REF!)*archspy_plat,0)</f>
        <v>#REF!</v>
      </c>
      <c r="BS61" s="39" t="e">
        <f>ROUNDUP((1-MIN(ROUND(wg_wiz_cost_bonus*#REF!,4),wg_wiz_cost_cap) + tech_1_9_2*#REF! + tech_9_1_2*#REF!)*wizard_plat,0)</f>
        <v>#REF!</v>
      </c>
      <c r="BT61" s="39" t="e">
        <f>ROUNDUP((1-MIN(ROUND(wg_wiz_cost_bonus*#REF!,4),wg_wiz_cost_cap) + tech_1_9_2*#REF! + tech_9_1_2*#REF!)*archmage_plat,0)</f>
        <v>#REF!</v>
      </c>
      <c r="BU61" s="134"/>
      <c r="BV61" s="132" t="e">
        <f>#REF!/#REF!</f>
        <v>#REF!</v>
      </c>
      <c r="BW61" s="132" t="e">
        <f>#REF!</f>
        <v>#REF!</v>
      </c>
      <c r="BX61" s="241" t="e">
        <f>IF(mystic_cap="none",#REF!/mystic_bonus,MIN(mystic_cap,#REF!/mystic_bonus))</f>
        <v>#REF!</v>
      </c>
      <c r="BY61" s="241" t="e">
        <f>IF(druid_op_cap="none",#REF!/druid_op_bonus,MIN(druid_op_cap,#REF!/druid_op_bonus))</f>
        <v>#REF!</v>
      </c>
      <c r="BZ61" s="241" t="e">
        <f>IF(druid_dp_cap="none",#REF!/druid_dp_bonus,MIN(druid_dp_cap,#REF!/druid_dp_bonus))</f>
        <v>#REF!</v>
      </c>
      <c r="CA61" s="241" t="e">
        <f>MIN(dryad_cap,#REF!/dryad_bonus)</f>
        <v>#REF!</v>
      </c>
      <c r="CB61" s="241" t="e">
        <f>MIN(rocka_cap,#REF!/rocka_bonus)</f>
        <v>#REF!</v>
      </c>
      <c r="CC61" s="241" t="e">
        <f>MIN(adept_op_cap,#REF!/adept_op_bonus)</f>
        <v>#REF!</v>
      </c>
      <c r="CD61" s="241" t="e">
        <f>MIN(adept_dp_cap,#REF!/adept_dp_bonus)</f>
        <v>#REF!</v>
      </c>
      <c r="CE61" s="39" t="e">
        <f>MIN(#REF!,#REF!)*2</f>
        <v>#REF!</v>
      </c>
      <c r="CF61" s="39" t="e">
        <f>MIN(#REF!,#REF!)*2</f>
        <v>#REF!</v>
      </c>
      <c r="CG61" s="241" t="e">
        <f>MIN(frost_mage_cap,#REF!/frost_mage_bonus)</f>
        <v>#REF!</v>
      </c>
      <c r="CH61" s="3" t="e">
        <f>MIN(ice_elem_cap,#REF!*ice_elem_bonus)</f>
        <v>#REF!</v>
      </c>
      <c r="CI61" s="241">
        <f t="shared" si="2"/>
        <v>0.83333333333333337</v>
      </c>
      <c r="CJ61" s="241" t="e">
        <f>MIN(nox_nightshade_cap,#REF!/#REF!/nox_nightshade_swamp_bonus)</f>
        <v>#REF!</v>
      </c>
      <c r="CK61" s="242"/>
      <c r="CL61" s="242"/>
      <c r="CM61" s="242"/>
      <c r="CN61" s="241" t="e">
        <f>MIN(6,#REF!+Races!$F$19)*1.8 +  IF(#REF!+Races!$F$19&gt;6,(#REF!+Races!$F$19-6)*0.2,0) - Races!$I$19</f>
        <v>#REF!</v>
      </c>
      <c r="CO61" s="241" t="e">
        <f>1.8 * MIN(MAX(#REF!+Races!$E$20,#REF!+Races!$F$20),6)  +  0.45 * MIN(MIN(#REF!+Races!$E$20,#REF!+Races!$F$20),6)  +  0.2 * ( MAX(#REF!+Races!$E$20-6,0) + MAX(#REF!+Races!$F$20-6,0) )  -  Races!$I$20</f>
        <v>#REF!</v>
      </c>
      <c r="CP61" s="39" t="e">
        <f>#REF!*#REF!+#REF!*#REF!</f>
        <v>#REF!</v>
      </c>
      <c r="CQ61" s="145" t="e">
        <f>MIN(6,#REF!+Races!$F$35)*1.8 +  IF(#REF!+Races!$F$35&gt;6,(#REF!+Races!$F$35-6)*0.2,0) - Races!$I$19</f>
        <v>#REF!</v>
      </c>
      <c r="CR61" s="39" t="e">
        <f>sylvan*(#REF!*#REF!)</f>
        <v>#REF!</v>
      </c>
      <c r="CS61" s="145" t="e">
        <f>1.8 * MIN(MAX(Races!$E$27,#REF!+Races!$F$27),6)  +  0.45 * MIN(MIN(Races!$E$27,#REF!+Races!$F$27),6)  +  0.2 * ( MAX(Races!$E$27-6,0) + MAX(#REF!+Races!$F$27-6,0) )  -  Races!$I$20</f>
        <v>#REF!</v>
      </c>
      <c r="CT61" s="39" t="e">
        <f>gnome*(#REF!*#REF!)</f>
        <v>#REF!</v>
      </c>
      <c r="CU61" s="145" t="e">
        <f>1.8 * MIN(MAX(#REF!+Races!$E$47,#REF!+Races!$F$47),6)  +  0.45 * MIN(MIN(#REF!+Races!$E$47,#REF!+Races!$F$47),6)  +  0.2 * ( MAX(#REF!+Races!$E$47-6,0) + MAX(#REF!+Races!$F$47-6,0) )  -  Races!$I$47</f>
        <v>#REF!</v>
      </c>
      <c r="CV61" s="39" t="e">
        <f>dark_elf*(#REF!*#REF!)</f>
        <v>#REF!</v>
      </c>
      <c r="CW61" s="145" t="e">
        <f>1.8 * MIN(MAX(#REF!+Races!$F$71,Races!$E$71),6)  +  0.45 * MIN(MIN(#REF!+Races!$F$71,Races!$E$71),6)  +  0.2 * ( MAX(#REF!+Races!$F$71-6,0) + MAX(Races!$E$71-6,0) )  -  Races!$I$71</f>
        <v>#REF!</v>
      </c>
      <c r="CX61" s="145" t="e">
        <f>1.8 * MIN(MAX(#REF!+Races!$E$71,Races!$F$71),6)  +  0.45 * MIN(MIN(#REF!+Races!$E$71,Races!$F$71),6)  +  0.2 * ( MAX(#REF!+Races!$E$71-6,0) + MAX(Races!$F$71-6,0) )  -  Races!$I$71</f>
        <v>#REF!</v>
      </c>
      <c r="CY61" s="39" t="e">
        <f>#REF!*#REF!+#REF!*#REF!</f>
        <v>#REF!</v>
      </c>
      <c r="CZ61" s="243"/>
      <c r="DA61" s="135" t="e">
        <f>MIN(SUM(#REF!)/#REF!/favorable_terrain_bonus/100,favorable_terrain_max)</f>
        <v>#REF!</v>
      </c>
      <c r="DB61" s="243"/>
      <c r="DC61"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61" s="134"/>
      <c r="DE61" s="244" t="e">
        <f>(#REF!+2*#REF!)/#REF!</f>
        <v>#REF!</v>
      </c>
      <c r="DF61" s="244" t="e">
        <f>#REF!*(1+race_wizard_strength+IF(#REF!&gt;72,tech_magical_weaponry_wiz*#REF!,0))</f>
        <v>#REF!</v>
      </c>
    </row>
    <row r="62" spans="1:110" x14ac:dyDescent="0.25">
      <c r="A62" s="130" t="e">
        <f>#REF!</f>
        <v>#REF!</v>
      </c>
      <c r="B62" s="236" t="e">
        <f ca="1">SUM(#REF!)+SUM(OFFSET(#REF!,-8,0):#REF!) + SUM(OFFSET(#REF!,-11,0):#REF!) +#REF!</f>
        <v>#REF!</v>
      </c>
      <c r="C62" s="132" t="e">
        <f>#REF!</f>
        <v>#REF!</v>
      </c>
      <c r="D62" s="134"/>
      <c r="E62" s="3" t="e">
        <f ca="1">OFFSET(#REF!,-1,0) + OFFSET(#REF!,-9,0) -#REF!</f>
        <v>#REF!</v>
      </c>
      <c r="F62" s="3" t="e">
        <f ca="1">OFFSET(#REF!,-1,0) + OFFSET(#REF!,-9,0)-#REF!</f>
        <v>#REF!</v>
      </c>
      <c r="G62" s="3" t="e">
        <f ca="1">OFFSET(#REF!,-1,0) + OFFSET(#REF!,-12,0)-#REF!</f>
        <v>#REF!</v>
      </c>
      <c r="H62" s="3" t="e">
        <f ca="1">OFFSET(#REF!,-1,0) + OFFSET(#REF!,-12,0)-#REF!</f>
        <v>#REF!</v>
      </c>
      <c r="I62" s="3" t="e">
        <f ca="1">OFFSET(#REF!,-1,0) + OFFSET(#REF!,-12,0) -#REF!-#REF!</f>
        <v>#REF!</v>
      </c>
      <c r="J62" s="3" t="e">
        <f ca="1">OFFSET(#REF!,-1,0) + OFFSET(#REF!,-12,0) -#REF!</f>
        <v>#REF!</v>
      </c>
      <c r="K62" s="3" t="e">
        <f ca="1">OFFSET(#REF!,-1,0) + OFFSET(#REF!,-12,0) -#REF!-#REF!</f>
        <v>#REF!</v>
      </c>
      <c r="L62" s="3" t="e">
        <f ca="1">OFFSET(#REF!,-1,0) + OFFSET(#REF!,-12,0) -#REF!</f>
        <v>#REF!</v>
      </c>
      <c r="M62" s="134"/>
      <c r="N62" s="39" t="e">
        <f>#REF!</f>
        <v>#REF!</v>
      </c>
      <c r="O62" s="134"/>
      <c r="P62" s="237" t="e">
        <f>#REF!*spec_op+#REF!*(elite1_base_op)+#REF!*(elite2_base_op+dark_elf*#REF!+icekin*#REF!+woodie*#REF!+orc*#REF!)+kobold*#REF!</f>
        <v>#REF!</v>
      </c>
      <c r="Q62" s="132" t="e">
        <f>race_offense+#REF!+ROUND(MIN(gn_bonus*#REF!/#REF!,gn_bonus_cap),4)+MAX(IF(#REF!&gt;0,warsong_bonus),IF(#REF!&gt;0,howling_op_bonus),IF(#REF!&gt;0,nightfall_bonus),IF(#REF!&gt;0,#REF!)) +#REF!/ 100*prestige_offense_bonus + tech_5_4*#REF! + tech_7_4*#REF!</f>
        <v>#REF!</v>
      </c>
      <c r="R62" s="237" t="e">
        <f>#REF!*(1+#REF!)</f>
        <v>#REF!</v>
      </c>
      <c r="S62" s="237" t="e">
        <f>#REF!*spec_dp+#REF!*(elite1_base_dp+woodie*#REF!+sylvan*#REF!+gnome*#REF!+icekin*#REF!+nox*#REF!)+#REF!*(elite2_base_dp+woodie*#REF!) + fh_peas_dp*MIN(#REF!,20*#REF!)+kobold*#REF!</f>
        <v>#REF!</v>
      </c>
      <c r="T62" s="237" t="e">
        <f>#REF!+#REF!</f>
        <v>#REF!</v>
      </c>
      <c r="U62" s="238" t="e">
        <f>race_defense +#REF! + ROUND( MIN(gt_bonus*#REF!/#REF!,gt_bonus_cap), 4) + IF(#REF!&gt;0,howling_dp_bonus,IF(#REF!&gt;0,ares_call_bonus))</f>
        <v>#REF!</v>
      </c>
      <c r="V62" s="239" t="e">
        <f>#REF! * (1 +#REF!)</f>
        <v>#REF!</v>
      </c>
      <c r="W62" s="237" t="e">
        <f>#REF! * (1 +#REF!)</f>
        <v>#REF!</v>
      </c>
      <c r="X62" s="237" t="e">
        <f>#REF!</f>
        <v>#REF!</v>
      </c>
      <c r="Y62" s="240"/>
      <c r="Z62" s="135" t="e">
        <f ca="1">IF(#REF!&lt;&gt;"",#REF!,OFFSET(#REF!,-1,0))</f>
        <v>#REF!</v>
      </c>
      <c r="AA62" s="39" t="e">
        <f ca="1">OFFSET(#REF!,-1,0)+OFFSET(#REF!,-1,0) - SUM(#REF!,#REF!) -#REF! + SUM(#REF!) -#REF!</f>
        <v>#REF!</v>
      </c>
      <c r="AB62" s="133"/>
      <c r="AC62" s="132" t="e">
        <f>(#REF!+#REF!)/(#REF!-#REF!*20)</f>
        <v>#REF!</v>
      </c>
      <c r="AD62" s="130"/>
      <c r="AE62" s="236" t="e">
        <f>#REF!</f>
        <v>#REF!</v>
      </c>
      <c r="AF62" s="131" t="e">
        <f>#REF!</f>
        <v>#REF!</v>
      </c>
      <c r="AG62" s="164"/>
      <c r="AH62" s="164"/>
      <c r="AI62" s="164"/>
      <c r="AJ62" s="164"/>
      <c r="AK62" s="164"/>
      <c r="AL62" s="164"/>
      <c r="AM62" s="164"/>
      <c r="AN62" s="164"/>
      <c r="AO62" s="134"/>
      <c r="AP62" s="39" t="e">
        <f>#REF!</f>
        <v>#REF!</v>
      </c>
      <c r="AQ62" s="39" t="e">
        <f>INDEX(#REF!:#REF!,COUNTA(#REF!:#REF!),MATCH(Military!$AQ$2,#REF!,0))</f>
        <v>#REF!</v>
      </c>
      <c r="AR62" s="39" t="e">
        <f>#REF!*#REF!+#REF!*#REF!+#REF!*#REF!+#REF!*#REF!+#REF!*#REF!+#REF!*#REF!+#REF!*#REF!</f>
        <v>#REF!</v>
      </c>
      <c r="AS62" s="39" t="e">
        <f>#REF!*#REF!+#REF!*#REF!+#REF!*#REF!+#REF!*#REF!</f>
        <v>#REF!</v>
      </c>
      <c r="AT62" s="134" t="e">
        <f>#REF!</f>
        <v>#REF!</v>
      </c>
      <c r="AU62" s="143" t="e">
        <f>#REF!</f>
        <v>#REF!</v>
      </c>
      <c r="AV62" s="39" t="e">
        <f>#REF!</f>
        <v>#REF!</v>
      </c>
      <c r="AW62" s="164"/>
      <c r="AX62" s="164"/>
      <c r="AY62" s="164"/>
      <c r="AZ62" s="164"/>
      <c r="BA62" s="164"/>
      <c r="BB62" s="164"/>
      <c r="BC62" s="164"/>
      <c r="BD62" s="164"/>
      <c r="BE62" s="164"/>
      <c r="BF62" s="134"/>
      <c r="BG62" s="132" t="e">
        <f>#REF!/#REF!</f>
        <v>#REF!</v>
      </c>
      <c r="BH62" s="132" t="e">
        <f>#REF!/#REF!</f>
        <v>#REF!</v>
      </c>
      <c r="BI62" s="39" t="e">
        <f>ROUNDUP((1-MIN(#REF!*smithy_bonus,smithy_bonus_cap) + tech_3_5*#REF! + tech_5_3*#REF! + tech_5_5*#REF!)*spec_op_plat,0)</f>
        <v>#REF!</v>
      </c>
      <c r="BJ62" s="39" t="e">
        <f>ROUNDUP(IF(race="Gnome",1,(1-MIN(#REF!*smithy_bonus,smithy_bonus_cap) + tech_3_5*#REF! + tech_5_3*#REF! + tech_5_5*#REF!))*spec_op_ore,0)</f>
        <v>#REF!</v>
      </c>
      <c r="BK62" s="39" t="e">
        <f>ROUNDUP((1-MIN(#REF!*smithy_bonus,smithy_bonus_cap) + tech_3_5*#REF! + tech_5_3*#REF! + tech_5_5*#REF!)*spec_dp_plat,0)</f>
        <v>#REF!</v>
      </c>
      <c r="BL62" s="39" t="e">
        <f>ROUNDUP(IF(race="Gnome",1,(1-MIN(#REF!*smithy_bonus,smithy_bonus_cap) + tech_3_5*#REF! + tech_5_3*#REF! + tech_5_5*#REF!))*spec_dp_ore,0)</f>
        <v>#REF!</v>
      </c>
      <c r="BM62" s="39" t="e">
        <f>ROUNDUP((1-MIN(#REF!*smithy_bonus,smithy_bonus_cap) + tech_3_5*#REF! + tech_5_3*#REF! + tech_5_5*#REF!)*elite1_plat,0)</f>
        <v>#REF!</v>
      </c>
      <c r="BN62" s="39" t="e">
        <f>ROUNDUP(IF(race="Gnome",1,(1-MIN(#REF!*smithy_bonus,smithy_bonus_cap) + tech_3_5*#REF! + tech_5_3*#REF! + tech_5_5*#REF!))*elite1_ore,0)</f>
        <v>#REF!</v>
      </c>
      <c r="BO62" s="39" t="e">
        <f>ROUNDUP((1-MIN(#REF!*smithy_bonus,smithy_bonus_cap) + tech_3_5*#REF! + tech_5_3*#REF! + tech_5_5*#REF!)*elite2_plat,0)</f>
        <v>#REF!</v>
      </c>
      <c r="BP62" s="39" t="e">
        <f>ROUNDUP(IF(race="Gnome",1,(1-MIN(#REF!*smithy_bonus,smithy_bonus_cap) + tech_3_5*#REF! + tech_5_3*#REF! + tech_5_5*#REF!))*elite2_ore,0)</f>
        <v>#REF!</v>
      </c>
      <c r="BQ62" s="39" t="e">
        <f>ROUNDUP((1-MIN(ROUND(fh_spy_cost_red*#REF!,4),fh_spy_cost_cap)+ tech_1_9*#REF! + tech_9_1*#REF!)*spy_plat,0)</f>
        <v>#REF!</v>
      </c>
      <c r="BR62" s="39" t="e">
        <f>ROUNDUP((1-MIN(ROUND(fh_spy_cost_red*#REF!,4),fh_spy_cost_cap)+ tech_1_9*#REF! + tech_9_1*#REF!)*archspy_plat,0)</f>
        <v>#REF!</v>
      </c>
      <c r="BS62" s="39" t="e">
        <f>ROUNDUP((1-MIN(ROUND(wg_wiz_cost_bonus*#REF!,4),wg_wiz_cost_cap) + tech_1_9_2*#REF! + tech_9_1_2*#REF!)*wizard_plat,0)</f>
        <v>#REF!</v>
      </c>
      <c r="BT62" s="39" t="e">
        <f>ROUNDUP((1-MIN(ROUND(wg_wiz_cost_bonus*#REF!,4),wg_wiz_cost_cap) + tech_1_9_2*#REF! + tech_9_1_2*#REF!)*archmage_plat,0)</f>
        <v>#REF!</v>
      </c>
      <c r="BU62" s="134"/>
      <c r="BV62" s="132" t="e">
        <f>#REF!/#REF!</f>
        <v>#REF!</v>
      </c>
      <c r="BW62" s="132" t="e">
        <f>#REF!</f>
        <v>#REF!</v>
      </c>
      <c r="BX62" s="241" t="e">
        <f>IF(mystic_cap="none",#REF!/mystic_bonus,MIN(mystic_cap,#REF!/mystic_bonus))</f>
        <v>#REF!</v>
      </c>
      <c r="BY62" s="241" t="e">
        <f>IF(druid_op_cap="none",#REF!/druid_op_bonus,MIN(druid_op_cap,#REF!/druid_op_bonus))</f>
        <v>#REF!</v>
      </c>
      <c r="BZ62" s="241" t="e">
        <f>IF(druid_dp_cap="none",#REF!/druid_dp_bonus,MIN(druid_dp_cap,#REF!/druid_dp_bonus))</f>
        <v>#REF!</v>
      </c>
      <c r="CA62" s="241" t="e">
        <f>MIN(dryad_cap,#REF!/dryad_bonus)</f>
        <v>#REF!</v>
      </c>
      <c r="CB62" s="241" t="e">
        <f>MIN(rocka_cap,#REF!/rocka_bonus)</f>
        <v>#REF!</v>
      </c>
      <c r="CC62" s="241" t="e">
        <f>MIN(adept_op_cap,#REF!/adept_op_bonus)</f>
        <v>#REF!</v>
      </c>
      <c r="CD62" s="241" t="e">
        <f>MIN(adept_dp_cap,#REF!/adept_dp_bonus)</f>
        <v>#REF!</v>
      </c>
      <c r="CE62" s="39" t="e">
        <f>MIN(#REF!,#REF!)*2</f>
        <v>#REF!</v>
      </c>
      <c r="CF62" s="39" t="e">
        <f>MIN(#REF!,#REF!)*2</f>
        <v>#REF!</v>
      </c>
      <c r="CG62" s="241" t="e">
        <f>MIN(frost_mage_cap,#REF!/frost_mage_bonus)</f>
        <v>#REF!</v>
      </c>
      <c r="CH62" s="3" t="e">
        <f>MIN(ice_elem_cap,#REF!*ice_elem_bonus)</f>
        <v>#REF!</v>
      </c>
      <c r="CI62" s="241">
        <f t="shared" si="2"/>
        <v>0.83333333333333337</v>
      </c>
      <c r="CJ62" s="241" t="e">
        <f>MIN(nox_nightshade_cap,#REF!/#REF!/nox_nightshade_swamp_bonus)</f>
        <v>#REF!</v>
      </c>
      <c r="CK62" s="242"/>
      <c r="CL62" s="242"/>
      <c r="CM62" s="242"/>
      <c r="CN62" s="241" t="e">
        <f>MIN(6,#REF!+Races!$F$19)*1.8 +  IF(#REF!+Races!$F$19&gt;6,(#REF!+Races!$F$19-6)*0.2,0) - Races!$I$19</f>
        <v>#REF!</v>
      </c>
      <c r="CO62" s="241" t="e">
        <f>1.8 * MIN(MAX(#REF!+Races!$E$20,#REF!+Races!$F$20),6)  +  0.45 * MIN(MIN(#REF!+Races!$E$20,#REF!+Races!$F$20),6)  +  0.2 * ( MAX(#REF!+Races!$E$20-6,0) + MAX(#REF!+Races!$F$20-6,0) )  -  Races!$I$20</f>
        <v>#REF!</v>
      </c>
      <c r="CP62" s="39" t="e">
        <f>#REF!*#REF!+#REF!*#REF!</f>
        <v>#REF!</v>
      </c>
      <c r="CQ62" s="145" t="e">
        <f>MIN(6,#REF!+Races!$F$35)*1.8 +  IF(#REF!+Races!$F$35&gt;6,(#REF!+Races!$F$35-6)*0.2,0) - Races!$I$19</f>
        <v>#REF!</v>
      </c>
      <c r="CR62" s="39" t="e">
        <f>sylvan*(#REF!*#REF!)</f>
        <v>#REF!</v>
      </c>
      <c r="CS62" s="145" t="e">
        <f>1.8 * MIN(MAX(Races!$E$27,#REF!+Races!$F$27),6)  +  0.45 * MIN(MIN(Races!$E$27,#REF!+Races!$F$27),6)  +  0.2 * ( MAX(Races!$E$27-6,0) + MAX(#REF!+Races!$F$27-6,0) )  -  Races!$I$20</f>
        <v>#REF!</v>
      </c>
      <c r="CT62" s="39" t="e">
        <f>gnome*(#REF!*#REF!)</f>
        <v>#REF!</v>
      </c>
      <c r="CU62" s="145" t="e">
        <f>1.8 * MIN(MAX(#REF!+Races!$E$47,#REF!+Races!$F$47),6)  +  0.45 * MIN(MIN(#REF!+Races!$E$47,#REF!+Races!$F$47),6)  +  0.2 * ( MAX(#REF!+Races!$E$47-6,0) + MAX(#REF!+Races!$F$47-6,0) )  -  Races!$I$47</f>
        <v>#REF!</v>
      </c>
      <c r="CV62" s="39" t="e">
        <f>dark_elf*(#REF!*#REF!)</f>
        <v>#REF!</v>
      </c>
      <c r="CW62" s="145" t="e">
        <f>1.8 * MIN(MAX(#REF!+Races!$F$71,Races!$E$71),6)  +  0.45 * MIN(MIN(#REF!+Races!$F$71,Races!$E$71),6)  +  0.2 * ( MAX(#REF!+Races!$F$71-6,0) + MAX(Races!$E$71-6,0) )  -  Races!$I$71</f>
        <v>#REF!</v>
      </c>
      <c r="CX62" s="145" t="e">
        <f>1.8 * MIN(MAX(#REF!+Races!$E$71,Races!$F$71),6)  +  0.45 * MIN(MIN(#REF!+Races!$E$71,Races!$F$71),6)  +  0.2 * ( MAX(#REF!+Races!$E$71-6,0) + MAX(Races!$F$71-6,0) )  -  Races!$I$71</f>
        <v>#REF!</v>
      </c>
      <c r="CY62" s="39" t="e">
        <f>#REF!*#REF!+#REF!*#REF!</f>
        <v>#REF!</v>
      </c>
      <c r="CZ62" s="243"/>
      <c r="DA62" s="135" t="e">
        <f>MIN(SUM(#REF!)/#REF!/favorable_terrain_bonus/100,favorable_terrain_max)</f>
        <v>#REF!</v>
      </c>
      <c r="DB62" s="243"/>
      <c r="DC62"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62" s="134"/>
      <c r="DE62" s="244" t="e">
        <f>(#REF!+2*#REF!)/#REF!</f>
        <v>#REF!</v>
      </c>
      <c r="DF62" s="244" t="e">
        <f>#REF!*(1+race_wizard_strength+IF(#REF!&gt;72,tech_magical_weaponry_wiz*#REF!,0))</f>
        <v>#REF!</v>
      </c>
    </row>
    <row r="63" spans="1:110" x14ac:dyDescent="0.25">
      <c r="A63" s="130" t="e">
        <f>#REF!</f>
        <v>#REF!</v>
      </c>
      <c r="B63" s="236" t="e">
        <f ca="1">SUM(#REF!)+SUM(OFFSET(#REF!,-8,0):#REF!) + SUM(OFFSET(#REF!,-11,0):#REF!) +#REF!</f>
        <v>#REF!</v>
      </c>
      <c r="C63" s="132" t="e">
        <f>#REF!</f>
        <v>#REF!</v>
      </c>
      <c r="D63" s="134"/>
      <c r="E63" s="3" t="e">
        <f ca="1">OFFSET(#REF!,-1,0) + OFFSET(#REF!,-9,0) -#REF!</f>
        <v>#REF!</v>
      </c>
      <c r="F63" s="3" t="e">
        <f ca="1">OFFSET(#REF!,-1,0) + OFFSET(#REF!,-9,0)-#REF!</f>
        <v>#REF!</v>
      </c>
      <c r="G63" s="3" t="e">
        <f ca="1">OFFSET(#REF!,-1,0) + OFFSET(#REF!,-12,0)-#REF!</f>
        <v>#REF!</v>
      </c>
      <c r="H63" s="3" t="e">
        <f ca="1">OFFSET(#REF!,-1,0) + OFFSET(#REF!,-12,0)-#REF!</f>
        <v>#REF!</v>
      </c>
      <c r="I63" s="3" t="e">
        <f ca="1">OFFSET(#REF!,-1,0) + OFFSET(#REF!,-12,0) -#REF!-#REF!</f>
        <v>#REF!</v>
      </c>
      <c r="J63" s="3" t="e">
        <f ca="1">OFFSET(#REF!,-1,0) + OFFSET(#REF!,-12,0) -#REF!</f>
        <v>#REF!</v>
      </c>
      <c r="K63" s="3" t="e">
        <f ca="1">OFFSET(#REF!,-1,0) + OFFSET(#REF!,-12,0) -#REF!-#REF!</f>
        <v>#REF!</v>
      </c>
      <c r="L63" s="3" t="e">
        <f ca="1">OFFSET(#REF!,-1,0) + OFFSET(#REF!,-12,0) -#REF!</f>
        <v>#REF!</v>
      </c>
      <c r="M63" s="134"/>
      <c r="N63" s="39" t="e">
        <f>#REF!</f>
        <v>#REF!</v>
      </c>
      <c r="O63" s="134"/>
      <c r="P63" s="237" t="e">
        <f>#REF!*spec_op+#REF!*(elite1_base_op)+#REF!*(elite2_base_op+dark_elf*#REF!+icekin*#REF!+woodie*#REF!+orc*#REF!)+kobold*#REF!</f>
        <v>#REF!</v>
      </c>
      <c r="Q63" s="132" t="e">
        <f>race_offense+#REF!+ROUND(MIN(gn_bonus*#REF!/#REF!,gn_bonus_cap),4)+MAX(IF(#REF!&gt;0,warsong_bonus),IF(#REF!&gt;0,howling_op_bonus),IF(#REF!&gt;0,nightfall_bonus),IF(#REF!&gt;0,#REF!)) +#REF!/ 100*prestige_offense_bonus + tech_5_4*#REF! + tech_7_4*#REF!</f>
        <v>#REF!</v>
      </c>
      <c r="R63" s="237" t="e">
        <f>#REF!*(1+#REF!)</f>
        <v>#REF!</v>
      </c>
      <c r="S63" s="237" t="e">
        <f>#REF!*spec_dp+#REF!*(elite1_base_dp+woodie*#REF!+sylvan*#REF!+gnome*#REF!+icekin*#REF!+nox*#REF!)+#REF!*(elite2_base_dp+woodie*#REF!) + fh_peas_dp*MIN(#REF!,20*#REF!)+kobold*#REF!</f>
        <v>#REF!</v>
      </c>
      <c r="T63" s="237" t="e">
        <f>#REF!+#REF!</f>
        <v>#REF!</v>
      </c>
      <c r="U63" s="238" t="e">
        <f>race_defense +#REF! + ROUND( MIN(gt_bonus*#REF!/#REF!,gt_bonus_cap), 4) + IF(#REF!&gt;0,howling_dp_bonus,IF(#REF!&gt;0,ares_call_bonus))</f>
        <v>#REF!</v>
      </c>
      <c r="V63" s="239" t="e">
        <f>#REF! * (1 +#REF!)</f>
        <v>#REF!</v>
      </c>
      <c r="W63" s="237" t="e">
        <f>#REF! * (1 +#REF!)</f>
        <v>#REF!</v>
      </c>
      <c r="X63" s="237" t="e">
        <f>#REF!</f>
        <v>#REF!</v>
      </c>
      <c r="Y63" s="240"/>
      <c r="Z63" s="135" t="e">
        <f ca="1">IF(#REF!&lt;&gt;"",#REF!,OFFSET(#REF!,-1,0))</f>
        <v>#REF!</v>
      </c>
      <c r="AA63" s="39" t="e">
        <f ca="1">OFFSET(#REF!,-1,0)+OFFSET(#REF!,-1,0) - SUM(#REF!,#REF!) -#REF! + SUM(#REF!) -#REF!</f>
        <v>#REF!</v>
      </c>
      <c r="AB63" s="133"/>
      <c r="AC63" s="132" t="e">
        <f>(#REF!+#REF!)/(#REF!-#REF!*20)</f>
        <v>#REF!</v>
      </c>
      <c r="AD63" s="130"/>
      <c r="AE63" s="236" t="e">
        <f>#REF!</f>
        <v>#REF!</v>
      </c>
      <c r="AF63" s="131" t="e">
        <f>#REF!</f>
        <v>#REF!</v>
      </c>
      <c r="AG63" s="164"/>
      <c r="AH63" s="164"/>
      <c r="AI63" s="164"/>
      <c r="AJ63" s="164"/>
      <c r="AK63" s="164"/>
      <c r="AL63" s="164"/>
      <c r="AM63" s="164"/>
      <c r="AN63" s="164"/>
      <c r="AO63" s="134"/>
      <c r="AP63" s="39" t="e">
        <f>#REF!</f>
        <v>#REF!</v>
      </c>
      <c r="AQ63" s="39" t="e">
        <f>INDEX(#REF!:#REF!,COUNTA(#REF!:#REF!),MATCH(Military!$AQ$2,#REF!,0))</f>
        <v>#REF!</v>
      </c>
      <c r="AR63" s="39" t="e">
        <f>#REF!*#REF!+#REF!*#REF!+#REF!*#REF!+#REF!*#REF!+#REF!*#REF!+#REF!*#REF!+#REF!*#REF!</f>
        <v>#REF!</v>
      </c>
      <c r="AS63" s="39" t="e">
        <f>#REF!*#REF!+#REF!*#REF!+#REF!*#REF!+#REF!*#REF!</f>
        <v>#REF!</v>
      </c>
      <c r="AT63" s="134" t="e">
        <f>#REF!</f>
        <v>#REF!</v>
      </c>
      <c r="AU63" s="143" t="e">
        <f>#REF!</f>
        <v>#REF!</v>
      </c>
      <c r="AV63" s="39" t="e">
        <f>#REF!</f>
        <v>#REF!</v>
      </c>
      <c r="AW63" s="164"/>
      <c r="AX63" s="164"/>
      <c r="AY63" s="164"/>
      <c r="AZ63" s="164"/>
      <c r="BA63" s="164"/>
      <c r="BB63" s="164"/>
      <c r="BC63" s="164"/>
      <c r="BD63" s="164"/>
      <c r="BE63" s="164"/>
      <c r="BF63" s="134"/>
      <c r="BG63" s="132" t="e">
        <f>#REF!/#REF!</f>
        <v>#REF!</v>
      </c>
      <c r="BH63" s="132" t="e">
        <f>#REF!/#REF!</f>
        <v>#REF!</v>
      </c>
      <c r="BI63" s="39" t="e">
        <f>ROUNDUP((1-MIN(#REF!*smithy_bonus,smithy_bonus_cap) + tech_3_5*#REF! + tech_5_3*#REF! + tech_5_5*#REF!)*spec_op_plat,0)</f>
        <v>#REF!</v>
      </c>
      <c r="BJ63" s="39" t="e">
        <f>ROUNDUP(IF(race="Gnome",1,(1-MIN(#REF!*smithy_bonus,smithy_bonus_cap) + tech_3_5*#REF! + tech_5_3*#REF! + tech_5_5*#REF!))*spec_op_ore,0)</f>
        <v>#REF!</v>
      </c>
      <c r="BK63" s="39" t="e">
        <f>ROUNDUP((1-MIN(#REF!*smithy_bonus,smithy_bonus_cap) + tech_3_5*#REF! + tech_5_3*#REF! + tech_5_5*#REF!)*spec_dp_plat,0)</f>
        <v>#REF!</v>
      </c>
      <c r="BL63" s="39" t="e">
        <f>ROUNDUP(IF(race="Gnome",1,(1-MIN(#REF!*smithy_bonus,smithy_bonus_cap) + tech_3_5*#REF! + tech_5_3*#REF! + tech_5_5*#REF!))*spec_dp_ore,0)</f>
        <v>#REF!</v>
      </c>
      <c r="BM63" s="39" t="e">
        <f>ROUNDUP((1-MIN(#REF!*smithy_bonus,smithy_bonus_cap) + tech_3_5*#REF! + tech_5_3*#REF! + tech_5_5*#REF!)*elite1_plat,0)</f>
        <v>#REF!</v>
      </c>
      <c r="BN63" s="39" t="e">
        <f>ROUNDUP(IF(race="Gnome",1,(1-MIN(#REF!*smithy_bonus,smithy_bonus_cap) + tech_3_5*#REF! + tech_5_3*#REF! + tech_5_5*#REF!))*elite1_ore,0)</f>
        <v>#REF!</v>
      </c>
      <c r="BO63" s="39" t="e">
        <f>ROUNDUP((1-MIN(#REF!*smithy_bonus,smithy_bonus_cap) + tech_3_5*#REF! + tech_5_3*#REF! + tech_5_5*#REF!)*elite2_plat,0)</f>
        <v>#REF!</v>
      </c>
      <c r="BP63" s="39" t="e">
        <f>ROUNDUP(IF(race="Gnome",1,(1-MIN(#REF!*smithy_bonus,smithy_bonus_cap) + tech_3_5*#REF! + tech_5_3*#REF! + tech_5_5*#REF!))*elite2_ore,0)</f>
        <v>#REF!</v>
      </c>
      <c r="BQ63" s="39" t="e">
        <f>ROUNDUP((1-MIN(ROUND(fh_spy_cost_red*#REF!,4),fh_spy_cost_cap)+ tech_1_9*#REF! + tech_9_1*#REF!)*spy_plat,0)</f>
        <v>#REF!</v>
      </c>
      <c r="BR63" s="39" t="e">
        <f>ROUNDUP((1-MIN(ROUND(fh_spy_cost_red*#REF!,4),fh_spy_cost_cap)+ tech_1_9*#REF! + tech_9_1*#REF!)*archspy_plat,0)</f>
        <v>#REF!</v>
      </c>
      <c r="BS63" s="39" t="e">
        <f>ROUNDUP((1-MIN(ROUND(wg_wiz_cost_bonus*#REF!,4),wg_wiz_cost_cap) + tech_1_9_2*#REF! + tech_9_1_2*#REF!)*wizard_plat,0)</f>
        <v>#REF!</v>
      </c>
      <c r="BT63" s="39" t="e">
        <f>ROUNDUP((1-MIN(ROUND(wg_wiz_cost_bonus*#REF!,4),wg_wiz_cost_cap) + tech_1_9_2*#REF! + tech_9_1_2*#REF!)*archmage_plat,0)</f>
        <v>#REF!</v>
      </c>
      <c r="BU63" s="134"/>
      <c r="BV63" s="132" t="e">
        <f>#REF!/#REF!</f>
        <v>#REF!</v>
      </c>
      <c r="BW63" s="132" t="e">
        <f>#REF!</f>
        <v>#REF!</v>
      </c>
      <c r="BX63" s="241" t="e">
        <f>IF(mystic_cap="none",#REF!/mystic_bonus,MIN(mystic_cap,#REF!/mystic_bonus))</f>
        <v>#REF!</v>
      </c>
      <c r="BY63" s="241" t="e">
        <f>IF(druid_op_cap="none",#REF!/druid_op_bonus,MIN(druid_op_cap,#REF!/druid_op_bonus))</f>
        <v>#REF!</v>
      </c>
      <c r="BZ63" s="241" t="e">
        <f>IF(druid_dp_cap="none",#REF!/druid_dp_bonus,MIN(druid_dp_cap,#REF!/druid_dp_bonus))</f>
        <v>#REF!</v>
      </c>
      <c r="CA63" s="241" t="e">
        <f>MIN(dryad_cap,#REF!/dryad_bonus)</f>
        <v>#REF!</v>
      </c>
      <c r="CB63" s="241" t="e">
        <f>MIN(rocka_cap,#REF!/rocka_bonus)</f>
        <v>#REF!</v>
      </c>
      <c r="CC63" s="241" t="e">
        <f>MIN(adept_op_cap,#REF!/adept_op_bonus)</f>
        <v>#REF!</v>
      </c>
      <c r="CD63" s="241" t="e">
        <f>MIN(adept_dp_cap,#REF!/adept_dp_bonus)</f>
        <v>#REF!</v>
      </c>
      <c r="CE63" s="39" t="e">
        <f>MIN(#REF!,#REF!)*2</f>
        <v>#REF!</v>
      </c>
      <c r="CF63" s="39" t="e">
        <f>MIN(#REF!,#REF!)*2</f>
        <v>#REF!</v>
      </c>
      <c r="CG63" s="241" t="e">
        <f>MIN(frost_mage_cap,#REF!/frost_mage_bonus)</f>
        <v>#REF!</v>
      </c>
      <c r="CH63" s="3" t="e">
        <f>MIN(ice_elem_cap,#REF!*ice_elem_bonus)</f>
        <v>#REF!</v>
      </c>
      <c r="CI63" s="241">
        <f t="shared" si="2"/>
        <v>0.83333333333333337</v>
      </c>
      <c r="CJ63" s="241" t="e">
        <f>MIN(nox_nightshade_cap,#REF!/#REF!/nox_nightshade_swamp_bonus)</f>
        <v>#REF!</v>
      </c>
      <c r="CK63" s="242"/>
      <c r="CL63" s="242"/>
      <c r="CM63" s="242"/>
      <c r="CN63" s="241" t="e">
        <f>MIN(6,#REF!+Races!$F$19)*1.8 +  IF(#REF!+Races!$F$19&gt;6,(#REF!+Races!$F$19-6)*0.2,0) - Races!$I$19</f>
        <v>#REF!</v>
      </c>
      <c r="CO63" s="241" t="e">
        <f>1.8 * MIN(MAX(#REF!+Races!$E$20,#REF!+Races!$F$20),6)  +  0.45 * MIN(MIN(#REF!+Races!$E$20,#REF!+Races!$F$20),6)  +  0.2 * ( MAX(#REF!+Races!$E$20-6,0) + MAX(#REF!+Races!$F$20-6,0) )  -  Races!$I$20</f>
        <v>#REF!</v>
      </c>
      <c r="CP63" s="39" t="e">
        <f>#REF!*#REF!+#REF!*#REF!</f>
        <v>#REF!</v>
      </c>
      <c r="CQ63" s="145" t="e">
        <f>MIN(6,#REF!+Races!$F$35)*1.8 +  IF(#REF!+Races!$F$35&gt;6,(#REF!+Races!$F$35-6)*0.2,0) - Races!$I$19</f>
        <v>#REF!</v>
      </c>
      <c r="CR63" s="39" t="e">
        <f>sylvan*(#REF!*#REF!)</f>
        <v>#REF!</v>
      </c>
      <c r="CS63" s="145" t="e">
        <f>1.8 * MIN(MAX(Races!$E$27,#REF!+Races!$F$27),6)  +  0.45 * MIN(MIN(Races!$E$27,#REF!+Races!$F$27),6)  +  0.2 * ( MAX(Races!$E$27-6,0) + MAX(#REF!+Races!$F$27-6,0) )  -  Races!$I$20</f>
        <v>#REF!</v>
      </c>
      <c r="CT63" s="39" t="e">
        <f>gnome*(#REF!*#REF!)</f>
        <v>#REF!</v>
      </c>
      <c r="CU63" s="145" t="e">
        <f>1.8 * MIN(MAX(#REF!+Races!$E$47,#REF!+Races!$F$47),6)  +  0.45 * MIN(MIN(#REF!+Races!$E$47,#REF!+Races!$F$47),6)  +  0.2 * ( MAX(#REF!+Races!$E$47-6,0) + MAX(#REF!+Races!$F$47-6,0) )  -  Races!$I$47</f>
        <v>#REF!</v>
      </c>
      <c r="CV63" s="39" t="e">
        <f>dark_elf*(#REF!*#REF!)</f>
        <v>#REF!</v>
      </c>
      <c r="CW63" s="145" t="e">
        <f>1.8 * MIN(MAX(#REF!+Races!$F$71,Races!$E$71),6)  +  0.45 * MIN(MIN(#REF!+Races!$F$71,Races!$E$71),6)  +  0.2 * ( MAX(#REF!+Races!$F$71-6,0) + MAX(Races!$E$71-6,0) )  -  Races!$I$71</f>
        <v>#REF!</v>
      </c>
      <c r="CX63" s="145" t="e">
        <f>1.8 * MIN(MAX(#REF!+Races!$E$71,Races!$F$71),6)  +  0.45 * MIN(MIN(#REF!+Races!$E$71,Races!$F$71),6)  +  0.2 * ( MAX(#REF!+Races!$E$71-6,0) + MAX(Races!$F$71-6,0) )  -  Races!$I$71</f>
        <v>#REF!</v>
      </c>
      <c r="CY63" s="39" t="e">
        <f>#REF!*#REF!+#REF!*#REF!</f>
        <v>#REF!</v>
      </c>
      <c r="CZ63" s="243"/>
      <c r="DA63" s="135" t="e">
        <f>MIN(SUM(#REF!)/#REF!/favorable_terrain_bonus/100,favorable_terrain_max)</f>
        <v>#REF!</v>
      </c>
      <c r="DB63" s="243"/>
      <c r="DC63"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63" s="134"/>
      <c r="DE63" s="244" t="e">
        <f>(#REF!+2*#REF!)/#REF!</f>
        <v>#REF!</v>
      </c>
      <c r="DF63" s="244" t="e">
        <f>#REF!*(1+race_wizard_strength+IF(#REF!&gt;72,tech_magical_weaponry_wiz*#REF!,0))</f>
        <v>#REF!</v>
      </c>
    </row>
    <row r="64" spans="1:110" x14ac:dyDescent="0.25">
      <c r="A64" s="130" t="e">
        <f>#REF!</f>
        <v>#REF!</v>
      </c>
      <c r="B64" s="236" t="e">
        <f ca="1">SUM(#REF!)+SUM(OFFSET(#REF!,-8,0):#REF!) + SUM(OFFSET(#REF!,-11,0):#REF!) +#REF!</f>
        <v>#REF!</v>
      </c>
      <c r="C64" s="132" t="e">
        <f>#REF!</f>
        <v>#REF!</v>
      </c>
      <c r="D64" s="134"/>
      <c r="E64" s="3" t="e">
        <f ca="1">OFFSET(#REF!,-1,0) + OFFSET(#REF!,-9,0) -#REF!</f>
        <v>#REF!</v>
      </c>
      <c r="F64" s="3" t="e">
        <f ca="1">OFFSET(#REF!,-1,0) + OFFSET(#REF!,-9,0)-#REF!</f>
        <v>#REF!</v>
      </c>
      <c r="G64" s="3" t="e">
        <f ca="1">OFFSET(#REF!,-1,0) + OFFSET(#REF!,-12,0)-#REF!</f>
        <v>#REF!</v>
      </c>
      <c r="H64" s="3" t="e">
        <f ca="1">OFFSET(#REF!,-1,0) + OFFSET(#REF!,-12,0)-#REF!</f>
        <v>#REF!</v>
      </c>
      <c r="I64" s="3" t="e">
        <f ca="1">OFFSET(#REF!,-1,0) + OFFSET(#REF!,-12,0) -#REF!-#REF!</f>
        <v>#REF!</v>
      </c>
      <c r="J64" s="3" t="e">
        <f ca="1">OFFSET(#REF!,-1,0) + OFFSET(#REF!,-12,0) -#REF!</f>
        <v>#REF!</v>
      </c>
      <c r="K64" s="3" t="e">
        <f ca="1">OFFSET(#REF!,-1,0) + OFFSET(#REF!,-12,0) -#REF!-#REF!</f>
        <v>#REF!</v>
      </c>
      <c r="L64" s="3" t="e">
        <f ca="1">OFFSET(#REF!,-1,0) + OFFSET(#REF!,-12,0) -#REF!</f>
        <v>#REF!</v>
      </c>
      <c r="M64" s="134"/>
      <c r="N64" s="39" t="e">
        <f>#REF!</f>
        <v>#REF!</v>
      </c>
      <c r="O64" s="134"/>
      <c r="P64" s="237" t="e">
        <f>#REF!*spec_op+#REF!*(elite1_base_op)+#REF!*(elite2_base_op+dark_elf*#REF!+icekin*#REF!+woodie*#REF!+orc*#REF!)+kobold*#REF!</f>
        <v>#REF!</v>
      </c>
      <c r="Q64" s="132" t="e">
        <f>race_offense+#REF!+ROUND(MIN(gn_bonus*#REF!/#REF!,gn_bonus_cap),4)+MAX(IF(#REF!&gt;0,warsong_bonus),IF(#REF!&gt;0,howling_op_bonus),IF(#REF!&gt;0,nightfall_bonus),IF(#REF!&gt;0,#REF!)) +#REF!/ 100*prestige_offense_bonus + tech_5_4*#REF! + tech_7_4*#REF!</f>
        <v>#REF!</v>
      </c>
      <c r="R64" s="237" t="e">
        <f>#REF!*(1+#REF!)</f>
        <v>#REF!</v>
      </c>
      <c r="S64" s="237" t="e">
        <f>#REF!*spec_dp+#REF!*(elite1_base_dp+woodie*#REF!+sylvan*#REF!+gnome*#REF!+icekin*#REF!+nox*#REF!)+#REF!*(elite2_base_dp+woodie*#REF!) + fh_peas_dp*MIN(#REF!,20*#REF!)+kobold*#REF!</f>
        <v>#REF!</v>
      </c>
      <c r="T64" s="237" t="e">
        <f>#REF!+#REF!</f>
        <v>#REF!</v>
      </c>
      <c r="U64" s="238" t="e">
        <f>race_defense +#REF! + ROUND( MIN(gt_bonus*#REF!/#REF!,gt_bonus_cap), 4) + IF(#REF!&gt;0,howling_dp_bonus,IF(#REF!&gt;0,ares_call_bonus))</f>
        <v>#REF!</v>
      </c>
      <c r="V64" s="239" t="e">
        <f>#REF! * (1 +#REF!)</f>
        <v>#REF!</v>
      </c>
      <c r="W64" s="237" t="e">
        <f>#REF! * (1 +#REF!)</f>
        <v>#REF!</v>
      </c>
      <c r="X64" s="237" t="e">
        <f>#REF!</f>
        <v>#REF!</v>
      </c>
      <c r="Y64" s="240"/>
      <c r="Z64" s="135" t="e">
        <f ca="1">IF(#REF!&lt;&gt;"",#REF!,OFFSET(#REF!,-1,0))</f>
        <v>#REF!</v>
      </c>
      <c r="AA64" s="39" t="e">
        <f ca="1">OFFSET(#REF!,-1,0)+OFFSET(#REF!,-1,0) - SUM(#REF!,#REF!) -#REF! + SUM(#REF!) -#REF!</f>
        <v>#REF!</v>
      </c>
      <c r="AB64" s="133"/>
      <c r="AC64" s="132" t="e">
        <f>(#REF!+#REF!)/(#REF!-#REF!*20)</f>
        <v>#REF!</v>
      </c>
      <c r="AD64" s="236"/>
      <c r="AE64" s="236" t="e">
        <f>#REF!</f>
        <v>#REF!</v>
      </c>
      <c r="AF64" s="131" t="e">
        <f>#REF!</f>
        <v>#REF!</v>
      </c>
      <c r="AG64" s="164"/>
      <c r="AH64" s="146"/>
      <c r="AI64" s="164"/>
      <c r="AJ64" s="146"/>
      <c r="AK64" s="146"/>
      <c r="AL64" s="146"/>
      <c r="AM64" s="146"/>
      <c r="AN64" s="164"/>
      <c r="AO64" s="134"/>
      <c r="AP64" s="39" t="e">
        <f>#REF!</f>
        <v>#REF!</v>
      </c>
      <c r="AQ64" s="39" t="e">
        <f>INDEX(#REF!:#REF!,COUNTA(#REF!:#REF!),MATCH(Military!$AQ$2,#REF!,0))</f>
        <v>#REF!</v>
      </c>
      <c r="AR64" s="39" t="e">
        <f>#REF!*#REF!+#REF!*#REF!+#REF!*#REF!+#REF!*#REF!+#REF!*#REF!+#REF!*#REF!+#REF!*#REF!</f>
        <v>#REF!</v>
      </c>
      <c r="AS64" s="39" t="e">
        <f>#REF!*#REF!+#REF!*#REF!+#REF!*#REF!+#REF!*#REF!</f>
        <v>#REF!</v>
      </c>
      <c r="AT64" s="134" t="e">
        <f>#REF!</f>
        <v>#REF!</v>
      </c>
      <c r="AU64" s="143" t="e">
        <f>#REF!</f>
        <v>#REF!</v>
      </c>
      <c r="AV64" s="39" t="e">
        <f>#REF!</f>
        <v>#REF!</v>
      </c>
      <c r="AW64" s="164"/>
      <c r="AX64" s="164"/>
      <c r="AY64" s="164"/>
      <c r="AZ64" s="164"/>
      <c r="BA64" s="164"/>
      <c r="BB64" s="164"/>
      <c r="BC64" s="164"/>
      <c r="BD64" s="164"/>
      <c r="BE64" s="164"/>
      <c r="BF64" s="134"/>
      <c r="BG64" s="132" t="e">
        <f>#REF!/#REF!</f>
        <v>#REF!</v>
      </c>
      <c r="BH64" s="132" t="e">
        <f>#REF!/#REF!</f>
        <v>#REF!</v>
      </c>
      <c r="BI64" s="39" t="e">
        <f>ROUNDUP((1-MIN(#REF!*smithy_bonus,smithy_bonus_cap) + tech_3_5*#REF! + tech_5_3*#REF! + tech_5_5*#REF!)*spec_op_plat,0)</f>
        <v>#REF!</v>
      </c>
      <c r="BJ64" s="39" t="e">
        <f>ROUNDUP(IF(race="Gnome",1,(1-MIN(#REF!*smithy_bonus,smithy_bonus_cap) + tech_3_5*#REF! + tech_5_3*#REF! + tech_5_5*#REF!))*spec_op_ore,0)</f>
        <v>#REF!</v>
      </c>
      <c r="BK64" s="39" t="e">
        <f>ROUNDUP((1-MIN(#REF!*smithy_bonus,smithy_bonus_cap) + tech_3_5*#REF! + tech_5_3*#REF! + tech_5_5*#REF!)*spec_dp_plat,0)</f>
        <v>#REF!</v>
      </c>
      <c r="BL64" s="39" t="e">
        <f>ROUNDUP(IF(race="Gnome",1,(1-MIN(#REF!*smithy_bonus,smithy_bonus_cap) + tech_3_5*#REF! + tech_5_3*#REF! + tech_5_5*#REF!))*spec_dp_ore,0)</f>
        <v>#REF!</v>
      </c>
      <c r="BM64" s="39" t="e">
        <f>ROUNDUP((1-MIN(#REF!*smithy_bonus,smithy_bonus_cap) + tech_3_5*#REF! + tech_5_3*#REF! + tech_5_5*#REF!)*elite1_plat,0)</f>
        <v>#REF!</v>
      </c>
      <c r="BN64" s="39" t="e">
        <f>ROUNDUP(IF(race="Gnome",1,(1-MIN(#REF!*smithy_bonus,smithy_bonus_cap) + tech_3_5*#REF! + tech_5_3*#REF! + tech_5_5*#REF!))*elite1_ore,0)</f>
        <v>#REF!</v>
      </c>
      <c r="BO64" s="39" t="e">
        <f>ROUNDUP((1-MIN(#REF!*smithy_bonus,smithy_bonus_cap) + tech_3_5*#REF! + tech_5_3*#REF! + tech_5_5*#REF!)*elite2_plat,0)</f>
        <v>#REF!</v>
      </c>
      <c r="BP64" s="39" t="e">
        <f>ROUNDUP(IF(race="Gnome",1,(1-MIN(#REF!*smithy_bonus,smithy_bonus_cap) + tech_3_5*#REF! + tech_5_3*#REF! + tech_5_5*#REF!))*elite2_ore,0)</f>
        <v>#REF!</v>
      </c>
      <c r="BQ64" s="39" t="e">
        <f>ROUNDUP((1-MIN(ROUND(fh_spy_cost_red*#REF!,4),fh_spy_cost_cap)+ tech_1_9*#REF! + tech_9_1*#REF!)*spy_plat,0)</f>
        <v>#REF!</v>
      </c>
      <c r="BR64" s="39" t="e">
        <f>ROUNDUP((1-MIN(ROUND(fh_spy_cost_red*#REF!,4),fh_spy_cost_cap)+ tech_1_9*#REF! + tech_9_1*#REF!)*archspy_plat,0)</f>
        <v>#REF!</v>
      </c>
      <c r="BS64" s="39" t="e">
        <f>ROUNDUP((1-MIN(ROUND(wg_wiz_cost_bonus*#REF!,4),wg_wiz_cost_cap) + tech_1_9_2*#REF! + tech_9_1_2*#REF!)*wizard_plat,0)</f>
        <v>#REF!</v>
      </c>
      <c r="BT64" s="39" t="e">
        <f>ROUNDUP((1-MIN(ROUND(wg_wiz_cost_bonus*#REF!,4),wg_wiz_cost_cap) + tech_1_9_2*#REF! + tech_9_1_2*#REF!)*archmage_plat,0)</f>
        <v>#REF!</v>
      </c>
      <c r="BU64" s="134"/>
      <c r="BV64" s="132" t="e">
        <f>#REF!/#REF!</f>
        <v>#REF!</v>
      </c>
      <c r="BW64" s="132" t="e">
        <f>#REF!</f>
        <v>#REF!</v>
      </c>
      <c r="BX64" s="241" t="e">
        <f>IF(mystic_cap="none",#REF!/mystic_bonus,MIN(mystic_cap,#REF!/mystic_bonus))</f>
        <v>#REF!</v>
      </c>
      <c r="BY64" s="241" t="e">
        <f>IF(druid_op_cap="none",#REF!/druid_op_bonus,MIN(druid_op_cap,#REF!/druid_op_bonus))</f>
        <v>#REF!</v>
      </c>
      <c r="BZ64" s="241" t="e">
        <f>IF(druid_dp_cap="none",#REF!/druid_dp_bonus,MIN(druid_dp_cap,#REF!/druid_dp_bonus))</f>
        <v>#REF!</v>
      </c>
      <c r="CA64" s="241" t="e">
        <f>MIN(dryad_cap,#REF!/dryad_bonus)</f>
        <v>#REF!</v>
      </c>
      <c r="CB64" s="241" t="e">
        <f>MIN(rocka_cap,#REF!/rocka_bonus)</f>
        <v>#REF!</v>
      </c>
      <c r="CC64" s="241" t="e">
        <f>MIN(adept_op_cap,#REF!/adept_op_bonus)</f>
        <v>#REF!</v>
      </c>
      <c r="CD64" s="241" t="e">
        <f>MIN(adept_dp_cap,#REF!/adept_dp_bonus)</f>
        <v>#REF!</v>
      </c>
      <c r="CE64" s="39" t="e">
        <f>MIN(#REF!,#REF!)*2</f>
        <v>#REF!</v>
      </c>
      <c r="CF64" s="39" t="e">
        <f>MIN(#REF!,#REF!)*2</f>
        <v>#REF!</v>
      </c>
      <c r="CG64" s="241" t="e">
        <f>MIN(frost_mage_cap,#REF!/frost_mage_bonus)</f>
        <v>#REF!</v>
      </c>
      <c r="CH64" s="3" t="e">
        <f>MIN(ice_elem_cap,#REF!*ice_elem_bonus)</f>
        <v>#REF!</v>
      </c>
      <c r="CI64" s="241">
        <f t="shared" si="2"/>
        <v>0.83333333333333337</v>
      </c>
      <c r="CJ64" s="241" t="e">
        <f>MIN(nox_nightshade_cap,#REF!/#REF!/nox_nightshade_swamp_bonus)</f>
        <v>#REF!</v>
      </c>
      <c r="CK64" s="242"/>
      <c r="CL64" s="242"/>
      <c r="CM64" s="242"/>
      <c r="CN64" s="241" t="e">
        <f>MIN(6,#REF!+Races!$F$19)*1.8 +  IF(#REF!+Races!$F$19&gt;6,(#REF!+Races!$F$19-6)*0.2,0) - Races!$I$19</f>
        <v>#REF!</v>
      </c>
      <c r="CO64" s="241" t="e">
        <f>1.8 * MIN(MAX(#REF!+Races!$E$20,#REF!+Races!$F$20),6)  +  0.45 * MIN(MIN(#REF!+Races!$E$20,#REF!+Races!$F$20),6)  +  0.2 * ( MAX(#REF!+Races!$E$20-6,0) + MAX(#REF!+Races!$F$20-6,0) )  -  Races!$I$20</f>
        <v>#REF!</v>
      </c>
      <c r="CP64" s="39" t="e">
        <f>#REF!*#REF!+#REF!*#REF!</f>
        <v>#REF!</v>
      </c>
      <c r="CQ64" s="145" t="e">
        <f>MIN(6,#REF!+Races!$F$35)*1.8 +  IF(#REF!+Races!$F$35&gt;6,(#REF!+Races!$F$35-6)*0.2,0) - Races!$I$19</f>
        <v>#REF!</v>
      </c>
      <c r="CR64" s="39" t="e">
        <f>sylvan*(#REF!*#REF!)</f>
        <v>#REF!</v>
      </c>
      <c r="CS64" s="145" t="e">
        <f>1.8 * MIN(MAX(Races!$E$27,#REF!+Races!$F$27),6)  +  0.45 * MIN(MIN(Races!$E$27,#REF!+Races!$F$27),6)  +  0.2 * ( MAX(Races!$E$27-6,0) + MAX(#REF!+Races!$F$27-6,0) )  -  Races!$I$20</f>
        <v>#REF!</v>
      </c>
      <c r="CT64" s="39" t="e">
        <f>gnome*(#REF!*#REF!)</f>
        <v>#REF!</v>
      </c>
      <c r="CU64" s="145" t="e">
        <f>1.8 * MIN(MAX(#REF!+Races!$E$47,#REF!+Races!$F$47),6)  +  0.45 * MIN(MIN(#REF!+Races!$E$47,#REF!+Races!$F$47),6)  +  0.2 * ( MAX(#REF!+Races!$E$47-6,0) + MAX(#REF!+Races!$F$47-6,0) )  -  Races!$I$47</f>
        <v>#REF!</v>
      </c>
      <c r="CV64" s="39" t="e">
        <f>dark_elf*(#REF!*#REF!)</f>
        <v>#REF!</v>
      </c>
      <c r="CW64" s="145" t="e">
        <f>1.8 * MIN(MAX(#REF!+Races!$F$71,Races!$E$71),6)  +  0.45 * MIN(MIN(#REF!+Races!$F$71,Races!$E$71),6)  +  0.2 * ( MAX(#REF!+Races!$F$71-6,0) + MAX(Races!$E$71-6,0) )  -  Races!$I$71</f>
        <v>#REF!</v>
      </c>
      <c r="CX64" s="145" t="e">
        <f>1.8 * MIN(MAX(#REF!+Races!$E$71,Races!$F$71),6)  +  0.45 * MIN(MIN(#REF!+Races!$E$71,Races!$F$71),6)  +  0.2 * ( MAX(#REF!+Races!$E$71-6,0) + MAX(Races!$F$71-6,0) )  -  Races!$I$71</f>
        <v>#REF!</v>
      </c>
      <c r="CY64" s="39" t="e">
        <f>#REF!*#REF!+#REF!*#REF!</f>
        <v>#REF!</v>
      </c>
      <c r="CZ64" s="243"/>
      <c r="DA64" s="135" t="e">
        <f>MIN(SUM(#REF!)/#REF!/favorable_terrain_bonus/100,favorable_terrain_max)</f>
        <v>#REF!</v>
      </c>
      <c r="DB64" s="243"/>
      <c r="DC64"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64" s="134"/>
      <c r="DE64" s="244" t="e">
        <f>(#REF!+2*#REF!)/#REF!</f>
        <v>#REF!</v>
      </c>
      <c r="DF64" s="244" t="e">
        <f>#REF!*(1+race_wizard_strength+IF(#REF!&gt;72,tech_magical_weaponry_wiz*#REF!,0))</f>
        <v>#REF!</v>
      </c>
    </row>
    <row r="65" spans="1:110" x14ac:dyDescent="0.25">
      <c r="A65" s="130" t="e">
        <f>#REF!</f>
        <v>#REF!</v>
      </c>
      <c r="B65" s="236" t="e">
        <f ca="1">SUM(#REF!)+SUM(OFFSET(#REF!,-8,0):#REF!) + SUM(OFFSET(#REF!,-11,0):#REF!) +#REF!</f>
        <v>#REF!</v>
      </c>
      <c r="C65" s="132" t="e">
        <f>#REF!</f>
        <v>#REF!</v>
      </c>
      <c r="D65" s="134"/>
      <c r="E65" s="3" t="e">
        <f ca="1">OFFSET(#REF!,-1,0) + OFFSET(#REF!,-9,0) -#REF!</f>
        <v>#REF!</v>
      </c>
      <c r="F65" s="3" t="e">
        <f ca="1">OFFSET(#REF!,-1,0) + OFFSET(#REF!,-9,0)-#REF!</f>
        <v>#REF!</v>
      </c>
      <c r="G65" s="3" t="e">
        <f ca="1">OFFSET(#REF!,-1,0) + OFFSET(#REF!,-12,0)-#REF!</f>
        <v>#REF!</v>
      </c>
      <c r="H65" s="3" t="e">
        <f ca="1">OFFSET(#REF!,-1,0) + OFFSET(#REF!,-12,0)-#REF!</f>
        <v>#REF!</v>
      </c>
      <c r="I65" s="3" t="e">
        <f ca="1">OFFSET(#REF!,-1,0) + OFFSET(#REF!,-12,0) -#REF!-#REF!</f>
        <v>#REF!</v>
      </c>
      <c r="J65" s="3" t="e">
        <f ca="1">OFFSET(#REF!,-1,0) + OFFSET(#REF!,-12,0) -#REF!</f>
        <v>#REF!</v>
      </c>
      <c r="K65" s="3" t="e">
        <f ca="1">OFFSET(#REF!,-1,0) + OFFSET(#REF!,-12,0) -#REF!-#REF!</f>
        <v>#REF!</v>
      </c>
      <c r="L65" s="3" t="e">
        <f ca="1">OFFSET(#REF!,-1,0) + OFFSET(#REF!,-12,0) -#REF!</f>
        <v>#REF!</v>
      </c>
      <c r="M65" s="134"/>
      <c r="N65" s="39" t="e">
        <f>#REF!</f>
        <v>#REF!</v>
      </c>
      <c r="O65" s="134"/>
      <c r="P65" s="237" t="e">
        <f>#REF!*spec_op+#REF!*(elite1_base_op)+#REF!*(elite2_base_op+dark_elf*#REF!+icekin*#REF!+woodie*#REF!+orc*#REF!)+kobold*#REF!</f>
        <v>#REF!</v>
      </c>
      <c r="Q65" s="132" t="e">
        <f>race_offense+#REF!+ROUND(MIN(gn_bonus*#REF!/#REF!,gn_bonus_cap),4)+MAX(IF(#REF!&gt;0,warsong_bonus),IF(#REF!&gt;0,howling_op_bonus),IF(#REF!&gt;0,nightfall_bonus),IF(#REF!&gt;0,#REF!)) +#REF!/ 100*prestige_offense_bonus + tech_5_4*#REF! + tech_7_4*#REF!</f>
        <v>#REF!</v>
      </c>
      <c r="R65" s="237" t="e">
        <f>#REF!*(1+#REF!)</f>
        <v>#REF!</v>
      </c>
      <c r="S65" s="237" t="e">
        <f>#REF!*spec_dp+#REF!*(elite1_base_dp+woodie*#REF!+sylvan*#REF!+gnome*#REF!+icekin*#REF!+nox*#REF!)+#REF!*(elite2_base_dp+woodie*#REF!) + fh_peas_dp*MIN(#REF!,20*#REF!)+kobold*#REF!</f>
        <v>#REF!</v>
      </c>
      <c r="T65" s="237" t="e">
        <f>#REF!+#REF!</f>
        <v>#REF!</v>
      </c>
      <c r="U65" s="238" t="e">
        <f>race_defense +#REF! + ROUND( MIN(gt_bonus*#REF!/#REF!,gt_bonus_cap), 4) + IF(#REF!&gt;0,howling_dp_bonus,IF(#REF!&gt;0,ares_call_bonus))</f>
        <v>#REF!</v>
      </c>
      <c r="V65" s="239" t="e">
        <f>#REF! * (1 +#REF!)</f>
        <v>#REF!</v>
      </c>
      <c r="W65" s="237" t="e">
        <f>#REF! * (1 +#REF!)</f>
        <v>#REF!</v>
      </c>
      <c r="X65" s="237" t="e">
        <f>#REF!</f>
        <v>#REF!</v>
      </c>
      <c r="Y65" s="240"/>
      <c r="Z65" s="135" t="e">
        <f ca="1">IF(#REF!&lt;&gt;"",#REF!,OFFSET(#REF!,-1,0))</f>
        <v>#REF!</v>
      </c>
      <c r="AA65" s="39" t="e">
        <f ca="1">OFFSET(#REF!,-1,0)+OFFSET(#REF!,-1,0) - SUM(#REF!,#REF!) -#REF! + SUM(#REF!) -#REF!</f>
        <v>#REF!</v>
      </c>
      <c r="AB65" s="133"/>
      <c r="AC65" s="132" t="e">
        <f>(#REF!+#REF!)/(#REF!-#REF!*20)</f>
        <v>#REF!</v>
      </c>
      <c r="AD65" s="130"/>
      <c r="AE65" s="236" t="e">
        <f>#REF!</f>
        <v>#REF!</v>
      </c>
      <c r="AF65" s="131" t="e">
        <f>#REF!</f>
        <v>#REF!</v>
      </c>
      <c r="AG65" s="146"/>
      <c r="AH65" s="164"/>
      <c r="AI65" s="164"/>
      <c r="AJ65" s="164"/>
      <c r="AK65" s="164"/>
      <c r="AL65" s="164"/>
      <c r="AM65" s="164"/>
      <c r="AN65" s="164"/>
      <c r="AO65" s="134"/>
      <c r="AP65" s="39" t="e">
        <f>#REF!</f>
        <v>#REF!</v>
      </c>
      <c r="AQ65" s="39" t="e">
        <f>INDEX(#REF!:#REF!,COUNTA(#REF!:#REF!),MATCH(Military!$AQ$2,#REF!,0))</f>
        <v>#REF!</v>
      </c>
      <c r="AR65" s="39" t="e">
        <f>#REF!*#REF!+#REF!*#REF!+#REF!*#REF!+#REF!*#REF!+#REF!*#REF!+#REF!*#REF!+#REF!*#REF!</f>
        <v>#REF!</v>
      </c>
      <c r="AS65" s="39" t="e">
        <f>#REF!*#REF!+#REF!*#REF!+#REF!*#REF!+#REF!*#REF!</f>
        <v>#REF!</v>
      </c>
      <c r="AT65" s="134" t="e">
        <f>#REF!</f>
        <v>#REF!</v>
      </c>
      <c r="AU65" s="143" t="e">
        <f>#REF!</f>
        <v>#REF!</v>
      </c>
      <c r="AV65" s="39" t="e">
        <f>#REF!</f>
        <v>#REF!</v>
      </c>
      <c r="AW65" s="146"/>
      <c r="AX65" s="164"/>
      <c r="AY65" s="164"/>
      <c r="AZ65" s="164"/>
      <c r="BA65" s="164"/>
      <c r="BB65" s="164"/>
      <c r="BC65" s="164"/>
      <c r="BD65" s="164"/>
      <c r="BE65" s="164"/>
      <c r="BF65" s="134"/>
      <c r="BG65" s="132" t="e">
        <f>#REF!/#REF!</f>
        <v>#REF!</v>
      </c>
      <c r="BH65" s="132" t="e">
        <f>#REF!/#REF!</f>
        <v>#REF!</v>
      </c>
      <c r="BI65" s="39" t="e">
        <f>ROUNDUP((1-MIN(#REF!*smithy_bonus,smithy_bonus_cap) + tech_3_5*#REF! + tech_5_3*#REF! + tech_5_5*#REF!)*spec_op_plat,0)</f>
        <v>#REF!</v>
      </c>
      <c r="BJ65" s="39" t="e">
        <f>ROUNDUP(IF(race="Gnome",1,(1-MIN(#REF!*smithy_bonus,smithy_bonus_cap) + tech_3_5*#REF! + tech_5_3*#REF! + tech_5_5*#REF!))*spec_op_ore,0)</f>
        <v>#REF!</v>
      </c>
      <c r="BK65" s="39" t="e">
        <f>ROUNDUP((1-MIN(#REF!*smithy_bonus,smithy_bonus_cap) + tech_3_5*#REF! + tech_5_3*#REF! + tech_5_5*#REF!)*spec_dp_plat,0)</f>
        <v>#REF!</v>
      </c>
      <c r="BL65" s="39" t="e">
        <f>ROUNDUP(IF(race="Gnome",1,(1-MIN(#REF!*smithy_bonus,smithy_bonus_cap) + tech_3_5*#REF! + tech_5_3*#REF! + tech_5_5*#REF!))*spec_dp_ore,0)</f>
        <v>#REF!</v>
      </c>
      <c r="BM65" s="39" t="e">
        <f>ROUNDUP((1-MIN(#REF!*smithy_bonus,smithy_bonus_cap) + tech_3_5*#REF! + tech_5_3*#REF! + tech_5_5*#REF!)*elite1_plat,0)</f>
        <v>#REF!</v>
      </c>
      <c r="BN65" s="39" t="e">
        <f>ROUNDUP(IF(race="Gnome",1,(1-MIN(#REF!*smithy_bonus,smithy_bonus_cap) + tech_3_5*#REF! + tech_5_3*#REF! + tech_5_5*#REF!))*elite1_ore,0)</f>
        <v>#REF!</v>
      </c>
      <c r="BO65" s="39" t="e">
        <f>ROUNDUP((1-MIN(#REF!*smithy_bonus,smithy_bonus_cap) + tech_3_5*#REF! + tech_5_3*#REF! + tech_5_5*#REF!)*elite2_plat,0)</f>
        <v>#REF!</v>
      </c>
      <c r="BP65" s="39" t="e">
        <f>ROUNDUP(IF(race="Gnome",1,(1-MIN(#REF!*smithy_bonus,smithy_bonus_cap) + tech_3_5*#REF! + tech_5_3*#REF! + tech_5_5*#REF!))*elite2_ore,0)</f>
        <v>#REF!</v>
      </c>
      <c r="BQ65" s="39" t="e">
        <f>ROUNDUP((1-MIN(ROUND(fh_spy_cost_red*#REF!,4),fh_spy_cost_cap)+ tech_1_9*#REF! + tech_9_1*#REF!)*spy_plat,0)</f>
        <v>#REF!</v>
      </c>
      <c r="BR65" s="39" t="e">
        <f>ROUNDUP((1-MIN(ROUND(fh_spy_cost_red*#REF!,4),fh_spy_cost_cap)+ tech_1_9*#REF! + tech_9_1*#REF!)*archspy_plat,0)</f>
        <v>#REF!</v>
      </c>
      <c r="BS65" s="39" t="e">
        <f>ROUNDUP((1-MIN(ROUND(wg_wiz_cost_bonus*#REF!,4),wg_wiz_cost_cap) + tech_1_9_2*#REF! + tech_9_1_2*#REF!)*wizard_plat,0)</f>
        <v>#REF!</v>
      </c>
      <c r="BT65" s="39" t="e">
        <f>ROUNDUP((1-MIN(ROUND(wg_wiz_cost_bonus*#REF!,4),wg_wiz_cost_cap) + tech_1_9_2*#REF! + tech_9_1_2*#REF!)*archmage_plat,0)</f>
        <v>#REF!</v>
      </c>
      <c r="BU65" s="134"/>
      <c r="BV65" s="132" t="e">
        <f>#REF!/#REF!</f>
        <v>#REF!</v>
      </c>
      <c r="BW65" s="132" t="e">
        <f>#REF!</f>
        <v>#REF!</v>
      </c>
      <c r="BX65" s="241" t="e">
        <f>IF(mystic_cap="none",#REF!/mystic_bonus,MIN(mystic_cap,#REF!/mystic_bonus))</f>
        <v>#REF!</v>
      </c>
      <c r="BY65" s="241" t="e">
        <f>IF(druid_op_cap="none",#REF!/druid_op_bonus,MIN(druid_op_cap,#REF!/druid_op_bonus))</f>
        <v>#REF!</v>
      </c>
      <c r="BZ65" s="241" t="e">
        <f>IF(druid_dp_cap="none",#REF!/druid_dp_bonus,MIN(druid_dp_cap,#REF!/druid_dp_bonus))</f>
        <v>#REF!</v>
      </c>
      <c r="CA65" s="241" t="e">
        <f>MIN(dryad_cap,#REF!/dryad_bonus)</f>
        <v>#REF!</v>
      </c>
      <c r="CB65" s="241" t="e">
        <f>MIN(rocka_cap,#REF!/rocka_bonus)</f>
        <v>#REF!</v>
      </c>
      <c r="CC65" s="241" t="e">
        <f>MIN(adept_op_cap,#REF!/adept_op_bonus)</f>
        <v>#REF!</v>
      </c>
      <c r="CD65" s="241" t="e">
        <f>MIN(adept_dp_cap,#REF!/adept_dp_bonus)</f>
        <v>#REF!</v>
      </c>
      <c r="CE65" s="39" t="e">
        <f>MIN(#REF!,#REF!)*2</f>
        <v>#REF!</v>
      </c>
      <c r="CF65" s="39" t="e">
        <f>MIN(#REF!,#REF!)*2</f>
        <v>#REF!</v>
      </c>
      <c r="CG65" s="241" t="e">
        <f>MIN(frost_mage_cap,#REF!/frost_mage_bonus)</f>
        <v>#REF!</v>
      </c>
      <c r="CH65" s="3" t="e">
        <f>MIN(ice_elem_cap,#REF!*ice_elem_bonus)</f>
        <v>#REF!</v>
      </c>
      <c r="CI65" s="241">
        <f t="shared" si="2"/>
        <v>0.83333333333333337</v>
      </c>
      <c r="CJ65" s="241" t="e">
        <f>MIN(nox_nightshade_cap,#REF!/#REF!/nox_nightshade_swamp_bonus)</f>
        <v>#REF!</v>
      </c>
      <c r="CK65" s="242"/>
      <c r="CL65" s="242"/>
      <c r="CM65" s="242"/>
      <c r="CN65" s="241" t="e">
        <f>MIN(6,#REF!+Races!$F$19)*1.8 +  IF(#REF!+Races!$F$19&gt;6,(#REF!+Races!$F$19-6)*0.2,0) - Races!$I$19</f>
        <v>#REF!</v>
      </c>
      <c r="CO65" s="241" t="e">
        <f>1.8 * MIN(MAX(#REF!+Races!$E$20,#REF!+Races!$F$20),6)  +  0.45 * MIN(MIN(#REF!+Races!$E$20,#REF!+Races!$F$20),6)  +  0.2 * ( MAX(#REF!+Races!$E$20-6,0) + MAX(#REF!+Races!$F$20-6,0) )  -  Races!$I$20</f>
        <v>#REF!</v>
      </c>
      <c r="CP65" s="39" t="e">
        <f>#REF!*#REF!+#REF!*#REF!</f>
        <v>#REF!</v>
      </c>
      <c r="CQ65" s="145" t="e">
        <f>MIN(6,#REF!+Races!$F$35)*1.8 +  IF(#REF!+Races!$F$35&gt;6,(#REF!+Races!$F$35-6)*0.2,0) - Races!$I$19</f>
        <v>#REF!</v>
      </c>
      <c r="CR65" s="39" t="e">
        <f>sylvan*(#REF!*#REF!)</f>
        <v>#REF!</v>
      </c>
      <c r="CS65" s="145" t="e">
        <f>1.8 * MIN(MAX(Races!$E$27,#REF!+Races!$F$27),6)  +  0.45 * MIN(MIN(Races!$E$27,#REF!+Races!$F$27),6)  +  0.2 * ( MAX(Races!$E$27-6,0) + MAX(#REF!+Races!$F$27-6,0) )  -  Races!$I$20</f>
        <v>#REF!</v>
      </c>
      <c r="CT65" s="39" t="e">
        <f>gnome*(#REF!*#REF!)</f>
        <v>#REF!</v>
      </c>
      <c r="CU65" s="145" t="e">
        <f>1.8 * MIN(MAX(#REF!+Races!$E$47,#REF!+Races!$F$47),6)  +  0.45 * MIN(MIN(#REF!+Races!$E$47,#REF!+Races!$F$47),6)  +  0.2 * ( MAX(#REF!+Races!$E$47-6,0) + MAX(#REF!+Races!$F$47-6,0) )  -  Races!$I$47</f>
        <v>#REF!</v>
      </c>
      <c r="CV65" s="39" t="e">
        <f>dark_elf*(#REF!*#REF!)</f>
        <v>#REF!</v>
      </c>
      <c r="CW65" s="145" t="e">
        <f>1.8 * MIN(MAX(#REF!+Races!$F$71,Races!$E$71),6)  +  0.45 * MIN(MIN(#REF!+Races!$F$71,Races!$E$71),6)  +  0.2 * ( MAX(#REF!+Races!$F$71-6,0) + MAX(Races!$E$71-6,0) )  -  Races!$I$71</f>
        <v>#REF!</v>
      </c>
      <c r="CX65" s="145" t="e">
        <f>1.8 * MIN(MAX(#REF!+Races!$E$71,Races!$F$71),6)  +  0.45 * MIN(MIN(#REF!+Races!$E$71,Races!$F$71),6)  +  0.2 * ( MAX(#REF!+Races!$E$71-6,0) + MAX(Races!$F$71-6,0) )  -  Races!$I$71</f>
        <v>#REF!</v>
      </c>
      <c r="CY65" s="39" t="e">
        <f>#REF!*#REF!+#REF!*#REF!</f>
        <v>#REF!</v>
      </c>
      <c r="CZ65" s="243"/>
      <c r="DA65" s="135" t="e">
        <f>MIN(SUM(#REF!)/#REF!/favorable_terrain_bonus/100,favorable_terrain_max)</f>
        <v>#REF!</v>
      </c>
      <c r="DB65" s="243"/>
      <c r="DC65"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65" s="134"/>
      <c r="DE65" s="244" t="e">
        <f>(#REF!+2*#REF!)/#REF!</f>
        <v>#REF!</v>
      </c>
      <c r="DF65" s="244" t="e">
        <f>#REF!*(1+race_wizard_strength+IF(#REF!&gt;72,tech_magical_weaponry_wiz*#REF!,0))</f>
        <v>#REF!</v>
      </c>
    </row>
    <row r="66" spans="1:110" x14ac:dyDescent="0.25">
      <c r="A66" s="130" t="e">
        <f>#REF!</f>
        <v>#REF!</v>
      </c>
      <c r="B66" s="236" t="e">
        <f ca="1">SUM(#REF!)+SUM(OFFSET(#REF!,-8,0):#REF!) + SUM(OFFSET(#REF!,-11,0):#REF!) +#REF!</f>
        <v>#REF!</v>
      </c>
      <c r="C66" s="132" t="e">
        <f>#REF!</f>
        <v>#REF!</v>
      </c>
      <c r="D66" s="134"/>
      <c r="E66" s="3" t="e">
        <f ca="1">OFFSET(#REF!,-1,0) + OFFSET(#REF!,-9,0) -#REF!</f>
        <v>#REF!</v>
      </c>
      <c r="F66" s="3" t="e">
        <f ca="1">OFFSET(#REF!,-1,0) + OFFSET(#REF!,-9,0)-#REF!</f>
        <v>#REF!</v>
      </c>
      <c r="G66" s="3" t="e">
        <f ca="1">OFFSET(#REF!,-1,0) + OFFSET(#REF!,-12,0)-#REF!</f>
        <v>#REF!</v>
      </c>
      <c r="H66" s="3" t="e">
        <f ca="1">OFFSET(#REF!,-1,0) + OFFSET(#REF!,-12,0)-#REF!</f>
        <v>#REF!</v>
      </c>
      <c r="I66" s="3" t="e">
        <f ca="1">OFFSET(#REF!,-1,0) + OFFSET(#REF!,-12,0) -#REF!-#REF!</f>
        <v>#REF!</v>
      </c>
      <c r="J66" s="3" t="e">
        <f ca="1">OFFSET(#REF!,-1,0) + OFFSET(#REF!,-12,0) -#REF!</f>
        <v>#REF!</v>
      </c>
      <c r="K66" s="3" t="e">
        <f ca="1">OFFSET(#REF!,-1,0) + OFFSET(#REF!,-12,0) -#REF!-#REF!</f>
        <v>#REF!</v>
      </c>
      <c r="L66" s="3" t="e">
        <f ca="1">OFFSET(#REF!,-1,0) + OFFSET(#REF!,-12,0) -#REF!</f>
        <v>#REF!</v>
      </c>
      <c r="M66" s="134"/>
      <c r="N66" s="39" t="e">
        <f>#REF!</f>
        <v>#REF!</v>
      </c>
      <c r="O66" s="134"/>
      <c r="P66" s="237" t="e">
        <f>#REF!*spec_op+#REF!*(elite1_base_op)+#REF!*(elite2_base_op+dark_elf*#REF!+icekin*#REF!+woodie*#REF!+orc*#REF!)+kobold*#REF!</f>
        <v>#REF!</v>
      </c>
      <c r="Q66" s="132" t="e">
        <f>race_offense+#REF!+ROUND(MIN(gn_bonus*#REF!/#REF!,gn_bonus_cap),4)+MAX(IF(#REF!&gt;0,warsong_bonus),IF(#REF!&gt;0,howling_op_bonus),IF(#REF!&gt;0,nightfall_bonus),IF(#REF!&gt;0,#REF!)) +#REF!/ 100*prestige_offense_bonus + tech_5_4*#REF! + tech_7_4*#REF!</f>
        <v>#REF!</v>
      </c>
      <c r="R66" s="237" t="e">
        <f>#REF!*(1+#REF!)</f>
        <v>#REF!</v>
      </c>
      <c r="S66" s="237" t="e">
        <f>#REF!*spec_dp+#REF!*(elite1_base_dp+woodie*#REF!+sylvan*#REF!+gnome*#REF!+icekin*#REF!+nox*#REF!)+#REF!*(elite2_base_dp+woodie*#REF!) + fh_peas_dp*MIN(#REF!,20*#REF!)+kobold*#REF!</f>
        <v>#REF!</v>
      </c>
      <c r="T66" s="237" t="e">
        <f>#REF!+#REF!</f>
        <v>#REF!</v>
      </c>
      <c r="U66" s="238" t="e">
        <f>race_defense +#REF! + ROUND( MIN(gt_bonus*#REF!/#REF!,gt_bonus_cap), 4) + IF(#REF!&gt;0,howling_dp_bonus,IF(#REF!&gt;0,ares_call_bonus))</f>
        <v>#REF!</v>
      </c>
      <c r="V66" s="239" t="e">
        <f>#REF! * (1 +#REF!)</f>
        <v>#REF!</v>
      </c>
      <c r="W66" s="237" t="e">
        <f>#REF! * (1 +#REF!)</f>
        <v>#REF!</v>
      </c>
      <c r="X66" s="237" t="e">
        <f>#REF!</f>
        <v>#REF!</v>
      </c>
      <c r="Y66" s="240"/>
      <c r="Z66" s="135" t="e">
        <f ca="1">IF(#REF!&lt;&gt;"",#REF!,OFFSET(#REF!,-1,0))</f>
        <v>#REF!</v>
      </c>
      <c r="AA66" s="39" t="e">
        <f ca="1">OFFSET(#REF!,-1,0)+OFFSET(#REF!,-1,0) - SUM(#REF!,#REF!) -#REF! + SUM(#REF!) -#REF!</f>
        <v>#REF!</v>
      </c>
      <c r="AB66" s="133"/>
      <c r="AC66" s="132" t="e">
        <f>(#REF!+#REF!)/(#REF!-#REF!*20)</f>
        <v>#REF!</v>
      </c>
      <c r="AD66" s="130"/>
      <c r="AE66" s="236" t="e">
        <f>#REF!</f>
        <v>#REF!</v>
      </c>
      <c r="AF66" s="131" t="e">
        <f>#REF!</f>
        <v>#REF!</v>
      </c>
      <c r="AG66" s="164"/>
      <c r="AH66" s="164"/>
      <c r="AI66" s="164"/>
      <c r="AJ66" s="164"/>
      <c r="AK66" s="164"/>
      <c r="AL66" s="164"/>
      <c r="AM66" s="164"/>
      <c r="AN66" s="164"/>
      <c r="AO66" s="134"/>
      <c r="AP66" s="39" t="e">
        <f>#REF!</f>
        <v>#REF!</v>
      </c>
      <c r="AQ66" s="39" t="e">
        <f>INDEX(#REF!:#REF!,COUNTA(#REF!:#REF!),MATCH(Military!$AQ$2,#REF!,0))</f>
        <v>#REF!</v>
      </c>
      <c r="AR66" s="39" t="e">
        <f>#REF!*#REF!+#REF!*#REF!+#REF!*#REF!+#REF!*#REF!+#REF!*#REF!+#REF!*#REF!+#REF!*#REF!</f>
        <v>#REF!</v>
      </c>
      <c r="AS66" s="39" t="e">
        <f>#REF!*#REF!+#REF!*#REF!+#REF!*#REF!+#REF!*#REF!</f>
        <v>#REF!</v>
      </c>
      <c r="AT66" s="134" t="e">
        <f>#REF!</f>
        <v>#REF!</v>
      </c>
      <c r="AU66" s="143" t="e">
        <f>#REF!</f>
        <v>#REF!</v>
      </c>
      <c r="AV66" s="39" t="e">
        <f>#REF!</f>
        <v>#REF!</v>
      </c>
      <c r="AW66" s="164"/>
      <c r="AX66" s="164"/>
      <c r="AY66" s="164"/>
      <c r="AZ66" s="164"/>
      <c r="BA66" s="164"/>
      <c r="BB66" s="164"/>
      <c r="BC66" s="164"/>
      <c r="BD66" s="164"/>
      <c r="BE66" s="164"/>
      <c r="BF66" s="134"/>
      <c r="BG66" s="132" t="e">
        <f>#REF!/#REF!</f>
        <v>#REF!</v>
      </c>
      <c r="BH66" s="132" t="e">
        <f>#REF!/#REF!</f>
        <v>#REF!</v>
      </c>
      <c r="BI66" s="39" t="e">
        <f>ROUNDUP((1-MIN(#REF!*smithy_bonus,smithy_bonus_cap) + tech_3_5*#REF! + tech_5_3*#REF! + tech_5_5*#REF!)*spec_op_plat,0)</f>
        <v>#REF!</v>
      </c>
      <c r="BJ66" s="39" t="e">
        <f>ROUNDUP(IF(race="Gnome",1,(1-MIN(#REF!*smithy_bonus,smithy_bonus_cap) + tech_3_5*#REF! + tech_5_3*#REF! + tech_5_5*#REF!))*spec_op_ore,0)</f>
        <v>#REF!</v>
      </c>
      <c r="BK66" s="39" t="e">
        <f>ROUNDUP((1-MIN(#REF!*smithy_bonus,smithy_bonus_cap) + tech_3_5*#REF! + tech_5_3*#REF! + tech_5_5*#REF!)*spec_dp_plat,0)</f>
        <v>#REF!</v>
      </c>
      <c r="BL66" s="39" t="e">
        <f>ROUNDUP(IF(race="Gnome",1,(1-MIN(#REF!*smithy_bonus,smithy_bonus_cap) + tech_3_5*#REF! + tech_5_3*#REF! + tech_5_5*#REF!))*spec_dp_ore,0)</f>
        <v>#REF!</v>
      </c>
      <c r="BM66" s="39" t="e">
        <f>ROUNDUP((1-MIN(#REF!*smithy_bonus,smithy_bonus_cap) + tech_3_5*#REF! + tech_5_3*#REF! + tech_5_5*#REF!)*elite1_plat,0)</f>
        <v>#REF!</v>
      </c>
      <c r="BN66" s="39" t="e">
        <f>ROUNDUP(IF(race="Gnome",1,(1-MIN(#REF!*smithy_bonus,smithy_bonus_cap) + tech_3_5*#REF! + tech_5_3*#REF! + tech_5_5*#REF!))*elite1_ore,0)</f>
        <v>#REF!</v>
      </c>
      <c r="BO66" s="39" t="e">
        <f>ROUNDUP((1-MIN(#REF!*smithy_bonus,smithy_bonus_cap) + tech_3_5*#REF! + tech_5_3*#REF! + tech_5_5*#REF!)*elite2_plat,0)</f>
        <v>#REF!</v>
      </c>
      <c r="BP66" s="39" t="e">
        <f>ROUNDUP(IF(race="Gnome",1,(1-MIN(#REF!*smithy_bonus,smithy_bonus_cap) + tech_3_5*#REF! + tech_5_3*#REF! + tech_5_5*#REF!))*elite2_ore,0)</f>
        <v>#REF!</v>
      </c>
      <c r="BQ66" s="39" t="e">
        <f>ROUNDUP((1-MIN(ROUND(fh_spy_cost_red*#REF!,4),fh_spy_cost_cap)+ tech_1_9*#REF! + tech_9_1*#REF!)*spy_plat,0)</f>
        <v>#REF!</v>
      </c>
      <c r="BR66" s="39" t="e">
        <f>ROUNDUP((1-MIN(ROUND(fh_spy_cost_red*#REF!,4),fh_spy_cost_cap)+ tech_1_9*#REF! + tech_9_1*#REF!)*archspy_plat,0)</f>
        <v>#REF!</v>
      </c>
      <c r="BS66" s="39" t="e">
        <f>ROUNDUP((1-MIN(ROUND(wg_wiz_cost_bonus*#REF!,4),wg_wiz_cost_cap) + tech_1_9_2*#REF! + tech_9_1_2*#REF!)*wizard_plat,0)</f>
        <v>#REF!</v>
      </c>
      <c r="BT66" s="39" t="e">
        <f>ROUNDUP((1-MIN(ROUND(wg_wiz_cost_bonus*#REF!,4),wg_wiz_cost_cap) + tech_1_9_2*#REF! + tech_9_1_2*#REF!)*archmage_plat,0)</f>
        <v>#REF!</v>
      </c>
      <c r="BU66" s="134"/>
      <c r="BV66" s="132" t="e">
        <f>#REF!/#REF!</f>
        <v>#REF!</v>
      </c>
      <c r="BW66" s="132" t="e">
        <f>#REF!</f>
        <v>#REF!</v>
      </c>
      <c r="BX66" s="241" t="e">
        <f>IF(mystic_cap="none",#REF!/mystic_bonus,MIN(mystic_cap,#REF!/mystic_bonus))</f>
        <v>#REF!</v>
      </c>
      <c r="BY66" s="241" t="e">
        <f>IF(druid_op_cap="none",#REF!/druid_op_bonus,MIN(druid_op_cap,#REF!/druid_op_bonus))</f>
        <v>#REF!</v>
      </c>
      <c r="BZ66" s="241" t="e">
        <f>IF(druid_dp_cap="none",#REF!/druid_dp_bonus,MIN(druid_dp_cap,#REF!/druid_dp_bonus))</f>
        <v>#REF!</v>
      </c>
      <c r="CA66" s="241" t="e">
        <f>MIN(dryad_cap,#REF!/dryad_bonus)</f>
        <v>#REF!</v>
      </c>
      <c r="CB66" s="241" t="e">
        <f>MIN(rocka_cap,#REF!/rocka_bonus)</f>
        <v>#REF!</v>
      </c>
      <c r="CC66" s="241" t="e">
        <f>MIN(adept_op_cap,#REF!/adept_op_bonus)</f>
        <v>#REF!</v>
      </c>
      <c r="CD66" s="241" t="e">
        <f>MIN(adept_dp_cap,#REF!/adept_dp_bonus)</f>
        <v>#REF!</v>
      </c>
      <c r="CE66" s="39" t="e">
        <f>MIN(#REF!,#REF!)*2</f>
        <v>#REF!</v>
      </c>
      <c r="CF66" s="39" t="e">
        <f>MIN(#REF!,#REF!)*2</f>
        <v>#REF!</v>
      </c>
      <c r="CG66" s="241" t="e">
        <f>MIN(frost_mage_cap,#REF!/frost_mage_bonus)</f>
        <v>#REF!</v>
      </c>
      <c r="CH66" s="3" t="e">
        <f>MIN(ice_elem_cap,#REF!*ice_elem_bonus)</f>
        <v>#REF!</v>
      </c>
      <c r="CI66" s="241">
        <f t="shared" si="2"/>
        <v>0.83333333333333337</v>
      </c>
      <c r="CJ66" s="241" t="e">
        <f>MIN(nox_nightshade_cap,#REF!/#REF!/nox_nightshade_swamp_bonus)</f>
        <v>#REF!</v>
      </c>
      <c r="CK66" s="242"/>
      <c r="CL66" s="242"/>
      <c r="CM66" s="242"/>
      <c r="CN66" s="241" t="e">
        <f>MIN(6,#REF!+Races!$F$19)*1.8 +  IF(#REF!+Races!$F$19&gt;6,(#REF!+Races!$F$19-6)*0.2,0) - Races!$I$19</f>
        <v>#REF!</v>
      </c>
      <c r="CO66" s="241" t="e">
        <f>1.8 * MIN(MAX(#REF!+Races!$E$20,#REF!+Races!$F$20),6)  +  0.45 * MIN(MIN(#REF!+Races!$E$20,#REF!+Races!$F$20),6)  +  0.2 * ( MAX(#REF!+Races!$E$20-6,0) + MAX(#REF!+Races!$F$20-6,0) )  -  Races!$I$20</f>
        <v>#REF!</v>
      </c>
      <c r="CP66" s="39" t="e">
        <f>#REF!*#REF!+#REF!*#REF!</f>
        <v>#REF!</v>
      </c>
      <c r="CQ66" s="145" t="e">
        <f>MIN(6,#REF!+Races!$F$35)*1.8 +  IF(#REF!+Races!$F$35&gt;6,(#REF!+Races!$F$35-6)*0.2,0) - Races!$I$19</f>
        <v>#REF!</v>
      </c>
      <c r="CR66" s="39" t="e">
        <f>sylvan*(#REF!*#REF!)</f>
        <v>#REF!</v>
      </c>
      <c r="CS66" s="145" t="e">
        <f>1.8 * MIN(MAX(Races!$E$27,#REF!+Races!$F$27),6)  +  0.45 * MIN(MIN(Races!$E$27,#REF!+Races!$F$27),6)  +  0.2 * ( MAX(Races!$E$27-6,0) + MAX(#REF!+Races!$F$27-6,0) )  -  Races!$I$20</f>
        <v>#REF!</v>
      </c>
      <c r="CT66" s="39" t="e">
        <f>gnome*(#REF!*#REF!)</f>
        <v>#REF!</v>
      </c>
      <c r="CU66" s="145" t="e">
        <f>1.8 * MIN(MAX(#REF!+Races!$E$47,#REF!+Races!$F$47),6)  +  0.45 * MIN(MIN(#REF!+Races!$E$47,#REF!+Races!$F$47),6)  +  0.2 * ( MAX(#REF!+Races!$E$47-6,0) + MAX(#REF!+Races!$F$47-6,0) )  -  Races!$I$47</f>
        <v>#REF!</v>
      </c>
      <c r="CV66" s="39" t="e">
        <f>dark_elf*(#REF!*#REF!)</f>
        <v>#REF!</v>
      </c>
      <c r="CW66" s="145" t="e">
        <f>1.8 * MIN(MAX(#REF!+Races!$F$71,Races!$E$71),6)  +  0.45 * MIN(MIN(#REF!+Races!$F$71,Races!$E$71),6)  +  0.2 * ( MAX(#REF!+Races!$F$71-6,0) + MAX(Races!$E$71-6,0) )  -  Races!$I$71</f>
        <v>#REF!</v>
      </c>
      <c r="CX66" s="145" t="e">
        <f>1.8 * MIN(MAX(#REF!+Races!$E$71,Races!$F$71),6)  +  0.45 * MIN(MIN(#REF!+Races!$E$71,Races!$F$71),6)  +  0.2 * ( MAX(#REF!+Races!$E$71-6,0) + MAX(Races!$F$71-6,0) )  -  Races!$I$71</f>
        <v>#REF!</v>
      </c>
      <c r="CY66" s="39" t="e">
        <f>#REF!*#REF!+#REF!*#REF!</f>
        <v>#REF!</v>
      </c>
      <c r="CZ66" s="243"/>
      <c r="DA66" s="135" t="e">
        <f>MIN(SUM(#REF!)/#REF!/favorable_terrain_bonus/100,favorable_terrain_max)</f>
        <v>#REF!</v>
      </c>
      <c r="DB66" s="243"/>
      <c r="DC66"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66" s="134"/>
      <c r="DE66" s="244" t="e">
        <f>(#REF!+2*#REF!)/#REF!</f>
        <v>#REF!</v>
      </c>
      <c r="DF66" s="244" t="e">
        <f>#REF!*(1+race_wizard_strength+IF(#REF!&gt;72,tech_magical_weaponry_wiz*#REF!,0))</f>
        <v>#REF!</v>
      </c>
    </row>
    <row r="67" spans="1:110" x14ac:dyDescent="0.25">
      <c r="A67" s="130" t="e">
        <f>#REF!</f>
        <v>#REF!</v>
      </c>
      <c r="B67" s="236" t="e">
        <f ca="1">SUM(#REF!)+SUM(OFFSET(#REF!,-8,0):#REF!) + SUM(OFFSET(#REF!,-11,0):#REF!) +#REF!</f>
        <v>#REF!</v>
      </c>
      <c r="C67" s="132" t="e">
        <f>#REF!</f>
        <v>#REF!</v>
      </c>
      <c r="D67" s="134"/>
      <c r="E67" s="3" t="e">
        <f ca="1">OFFSET(#REF!,-1,0) + OFFSET(#REF!,-9,0) -#REF!</f>
        <v>#REF!</v>
      </c>
      <c r="F67" s="3" t="e">
        <f ca="1">OFFSET(#REF!,-1,0) + OFFSET(#REF!,-9,0)-#REF!</f>
        <v>#REF!</v>
      </c>
      <c r="G67" s="3" t="e">
        <f ca="1">OFFSET(#REF!,-1,0) + OFFSET(#REF!,-12,0)-#REF!</f>
        <v>#REF!</v>
      </c>
      <c r="H67" s="3" t="e">
        <f ca="1">OFFSET(#REF!,-1,0) + OFFSET(#REF!,-12,0)-#REF!</f>
        <v>#REF!</v>
      </c>
      <c r="I67" s="3" t="e">
        <f ca="1">OFFSET(#REF!,-1,0) + OFFSET(#REF!,-12,0) -#REF!-#REF!</f>
        <v>#REF!</v>
      </c>
      <c r="J67" s="3" t="e">
        <f ca="1">OFFSET(#REF!,-1,0) + OFFSET(#REF!,-12,0) -#REF!</f>
        <v>#REF!</v>
      </c>
      <c r="K67" s="3" t="e">
        <f ca="1">OFFSET(#REF!,-1,0) + OFFSET(#REF!,-12,0) -#REF!-#REF!</f>
        <v>#REF!</v>
      </c>
      <c r="L67" s="3" t="e">
        <f ca="1">OFFSET(#REF!,-1,0) + OFFSET(#REF!,-12,0) -#REF!</f>
        <v>#REF!</v>
      </c>
      <c r="M67" s="134"/>
      <c r="N67" s="39" t="e">
        <f>#REF!</f>
        <v>#REF!</v>
      </c>
      <c r="O67" s="134"/>
      <c r="P67" s="237" t="e">
        <f>#REF!*spec_op+#REF!*(elite1_base_op)+#REF!*(elite2_base_op+dark_elf*#REF!+icekin*#REF!+woodie*#REF!+orc*#REF!)+kobold*#REF!</f>
        <v>#REF!</v>
      </c>
      <c r="Q67" s="132" t="e">
        <f>race_offense+#REF!+ROUND(MIN(gn_bonus*#REF!/#REF!,gn_bonus_cap),4)+MAX(IF(#REF!&gt;0,warsong_bonus),IF(#REF!&gt;0,howling_op_bonus),IF(#REF!&gt;0,nightfall_bonus),IF(#REF!&gt;0,#REF!)) +#REF!/ 100*prestige_offense_bonus + tech_5_4*#REF! + tech_7_4*#REF!</f>
        <v>#REF!</v>
      </c>
      <c r="R67" s="237" t="e">
        <f>#REF!*(1+#REF!)</f>
        <v>#REF!</v>
      </c>
      <c r="S67" s="237" t="e">
        <f>#REF!*spec_dp+#REF!*(elite1_base_dp+woodie*#REF!+sylvan*#REF!+gnome*#REF!+icekin*#REF!+nox*#REF!)+#REF!*(elite2_base_dp+woodie*#REF!) + fh_peas_dp*MIN(#REF!,20*#REF!)+kobold*#REF!</f>
        <v>#REF!</v>
      </c>
      <c r="T67" s="237" t="e">
        <f>#REF!+#REF!</f>
        <v>#REF!</v>
      </c>
      <c r="U67" s="238" t="e">
        <f>race_defense +#REF! + ROUND( MIN(gt_bonus*#REF!/#REF!,gt_bonus_cap), 4) + IF(#REF!&gt;0,howling_dp_bonus,IF(#REF!&gt;0,ares_call_bonus))</f>
        <v>#REF!</v>
      </c>
      <c r="V67" s="239" t="e">
        <f>#REF! * (1 +#REF!)</f>
        <v>#REF!</v>
      </c>
      <c r="W67" s="237" t="e">
        <f>#REF! * (1 +#REF!)</f>
        <v>#REF!</v>
      </c>
      <c r="X67" s="237" t="e">
        <f>#REF!</f>
        <v>#REF!</v>
      </c>
      <c r="Y67" s="240"/>
      <c r="Z67" s="135" t="e">
        <f ca="1">IF(#REF!&lt;&gt;"",#REF!,OFFSET(#REF!,-1,0))</f>
        <v>#REF!</v>
      </c>
      <c r="AA67" s="39" t="e">
        <f ca="1">OFFSET(#REF!,-1,0)+OFFSET(#REF!,-1,0) - SUM(#REF!,#REF!) -#REF! + SUM(#REF!) -#REF!</f>
        <v>#REF!</v>
      </c>
      <c r="AB67" s="133"/>
      <c r="AC67" s="132" t="e">
        <f>(#REF!+#REF!)/(#REF!-#REF!*20)</f>
        <v>#REF!</v>
      </c>
      <c r="AD67" s="130"/>
      <c r="AE67" s="236" t="e">
        <f>#REF!</f>
        <v>#REF!</v>
      </c>
      <c r="AF67" s="131" t="e">
        <f>#REF!</f>
        <v>#REF!</v>
      </c>
      <c r="AG67" s="146"/>
      <c r="AH67" s="146"/>
      <c r="AI67" s="164"/>
      <c r="AJ67" s="164"/>
      <c r="AK67" s="164"/>
      <c r="AL67" s="164"/>
      <c r="AM67" s="164"/>
      <c r="AN67" s="164"/>
      <c r="AO67" s="134"/>
      <c r="AP67" s="39" t="e">
        <f>#REF!</f>
        <v>#REF!</v>
      </c>
      <c r="AQ67" s="39" t="e">
        <f>INDEX(#REF!:#REF!,COUNTA(#REF!:#REF!),MATCH(Military!$AQ$2,#REF!,0))</f>
        <v>#REF!</v>
      </c>
      <c r="AR67" s="39" t="e">
        <f>#REF!*#REF!+#REF!*#REF!+#REF!*#REF!+#REF!*#REF!+#REF!*#REF!+#REF!*#REF!+#REF!*#REF!</f>
        <v>#REF!</v>
      </c>
      <c r="AS67" s="39" t="e">
        <f>#REF!*#REF!+#REF!*#REF!+#REF!*#REF!+#REF!*#REF!</f>
        <v>#REF!</v>
      </c>
      <c r="AT67" s="134" t="e">
        <f>#REF!</f>
        <v>#REF!</v>
      </c>
      <c r="AU67" s="143" t="e">
        <f>#REF!</f>
        <v>#REF!</v>
      </c>
      <c r="AV67" s="39" t="e">
        <f>#REF!</f>
        <v>#REF!</v>
      </c>
      <c r="AW67" s="164"/>
      <c r="AX67" s="164"/>
      <c r="AY67" s="164"/>
      <c r="AZ67" s="164"/>
      <c r="BA67" s="164"/>
      <c r="BB67" s="164"/>
      <c r="BC67" s="164"/>
      <c r="BD67" s="164"/>
      <c r="BE67" s="164"/>
      <c r="BF67" s="134"/>
      <c r="BG67" s="132" t="e">
        <f>#REF!/#REF!</f>
        <v>#REF!</v>
      </c>
      <c r="BH67" s="132" t="e">
        <f>#REF!/#REF!</f>
        <v>#REF!</v>
      </c>
      <c r="BI67" s="39" t="e">
        <f>ROUNDUP((1-MIN(#REF!*smithy_bonus,smithy_bonus_cap) + tech_3_5*#REF! + tech_5_3*#REF! + tech_5_5*#REF!)*spec_op_plat,0)</f>
        <v>#REF!</v>
      </c>
      <c r="BJ67" s="39" t="e">
        <f>ROUNDUP(IF(race="Gnome",1,(1-MIN(#REF!*smithy_bonus,smithy_bonus_cap) + tech_3_5*#REF! + tech_5_3*#REF! + tech_5_5*#REF!))*spec_op_ore,0)</f>
        <v>#REF!</v>
      </c>
      <c r="BK67" s="39" t="e">
        <f>ROUNDUP((1-MIN(#REF!*smithy_bonus,smithy_bonus_cap) + tech_3_5*#REF! + tech_5_3*#REF! + tech_5_5*#REF!)*spec_dp_plat,0)</f>
        <v>#REF!</v>
      </c>
      <c r="BL67" s="39" t="e">
        <f>ROUNDUP(IF(race="Gnome",1,(1-MIN(#REF!*smithy_bonus,smithy_bonus_cap) + tech_3_5*#REF! + tech_5_3*#REF! + tech_5_5*#REF!))*spec_dp_ore,0)</f>
        <v>#REF!</v>
      </c>
      <c r="BM67" s="39" t="e">
        <f>ROUNDUP((1-MIN(#REF!*smithy_bonus,smithy_bonus_cap) + tech_3_5*#REF! + tech_5_3*#REF! + tech_5_5*#REF!)*elite1_plat,0)</f>
        <v>#REF!</v>
      </c>
      <c r="BN67" s="39" t="e">
        <f>ROUNDUP(IF(race="Gnome",1,(1-MIN(#REF!*smithy_bonus,smithy_bonus_cap) + tech_3_5*#REF! + tech_5_3*#REF! + tech_5_5*#REF!))*elite1_ore,0)</f>
        <v>#REF!</v>
      </c>
      <c r="BO67" s="39" t="e">
        <f>ROUNDUP((1-MIN(#REF!*smithy_bonus,smithy_bonus_cap) + tech_3_5*#REF! + tech_5_3*#REF! + tech_5_5*#REF!)*elite2_plat,0)</f>
        <v>#REF!</v>
      </c>
      <c r="BP67" s="39" t="e">
        <f>ROUNDUP(IF(race="Gnome",1,(1-MIN(#REF!*smithy_bonus,smithy_bonus_cap) + tech_3_5*#REF! + tech_5_3*#REF! + tech_5_5*#REF!))*elite2_ore,0)</f>
        <v>#REF!</v>
      </c>
      <c r="BQ67" s="39" t="e">
        <f>ROUNDUP((1-MIN(ROUND(fh_spy_cost_red*#REF!,4),fh_spy_cost_cap)+ tech_1_9*#REF! + tech_9_1*#REF!)*spy_plat,0)</f>
        <v>#REF!</v>
      </c>
      <c r="BR67" s="39" t="e">
        <f>ROUNDUP((1-MIN(ROUND(fh_spy_cost_red*#REF!,4),fh_spy_cost_cap)+ tech_1_9*#REF! + tech_9_1*#REF!)*archspy_plat,0)</f>
        <v>#REF!</v>
      </c>
      <c r="BS67" s="39" t="e">
        <f>ROUNDUP((1-MIN(ROUND(wg_wiz_cost_bonus*#REF!,4),wg_wiz_cost_cap) + tech_1_9_2*#REF! + tech_9_1_2*#REF!)*wizard_plat,0)</f>
        <v>#REF!</v>
      </c>
      <c r="BT67" s="39" t="e">
        <f>ROUNDUP((1-MIN(ROUND(wg_wiz_cost_bonus*#REF!,4),wg_wiz_cost_cap) + tech_1_9_2*#REF! + tech_9_1_2*#REF!)*archmage_plat,0)</f>
        <v>#REF!</v>
      </c>
      <c r="BU67" s="134"/>
      <c r="BV67" s="132" t="e">
        <f>#REF!/#REF!</f>
        <v>#REF!</v>
      </c>
      <c r="BW67" s="132" t="e">
        <f>#REF!</f>
        <v>#REF!</v>
      </c>
      <c r="BX67" s="241" t="e">
        <f>IF(mystic_cap="none",#REF!/mystic_bonus,MIN(mystic_cap,#REF!/mystic_bonus))</f>
        <v>#REF!</v>
      </c>
      <c r="BY67" s="241" t="e">
        <f>IF(druid_op_cap="none",#REF!/druid_op_bonus,MIN(druid_op_cap,#REF!/druid_op_bonus))</f>
        <v>#REF!</v>
      </c>
      <c r="BZ67" s="241" t="e">
        <f>IF(druid_dp_cap="none",#REF!/druid_dp_bonus,MIN(druid_dp_cap,#REF!/druid_dp_bonus))</f>
        <v>#REF!</v>
      </c>
      <c r="CA67" s="241" t="e">
        <f>MIN(dryad_cap,#REF!/dryad_bonus)</f>
        <v>#REF!</v>
      </c>
      <c r="CB67" s="241" t="e">
        <f>MIN(rocka_cap,#REF!/rocka_bonus)</f>
        <v>#REF!</v>
      </c>
      <c r="CC67" s="241" t="e">
        <f>MIN(adept_op_cap,#REF!/adept_op_bonus)</f>
        <v>#REF!</v>
      </c>
      <c r="CD67" s="241" t="e">
        <f>MIN(adept_dp_cap,#REF!/adept_dp_bonus)</f>
        <v>#REF!</v>
      </c>
      <c r="CE67" s="39" t="e">
        <f>MIN(#REF!,#REF!)*2</f>
        <v>#REF!</v>
      </c>
      <c r="CF67" s="39" t="e">
        <f>MIN(#REF!,#REF!)*2</f>
        <v>#REF!</v>
      </c>
      <c r="CG67" s="241" t="e">
        <f>MIN(frost_mage_cap,#REF!/frost_mage_bonus)</f>
        <v>#REF!</v>
      </c>
      <c r="CH67" s="3" t="e">
        <f>MIN(ice_elem_cap,#REF!*ice_elem_bonus)</f>
        <v>#REF!</v>
      </c>
      <c r="CI67" s="241">
        <f t="shared" si="2"/>
        <v>0.83333333333333337</v>
      </c>
      <c r="CJ67" s="241" t="e">
        <f>MIN(nox_nightshade_cap,#REF!/#REF!/nox_nightshade_swamp_bonus)</f>
        <v>#REF!</v>
      </c>
      <c r="CK67" s="242"/>
      <c r="CL67" s="242"/>
      <c r="CM67" s="242"/>
      <c r="CN67" s="241" t="e">
        <f>MIN(6,#REF!+Races!$F$19)*1.8 +  IF(#REF!+Races!$F$19&gt;6,(#REF!+Races!$F$19-6)*0.2,0) - Races!$I$19</f>
        <v>#REF!</v>
      </c>
      <c r="CO67" s="241" t="e">
        <f>1.8 * MIN(MAX(#REF!+Races!$E$20,#REF!+Races!$F$20),6)  +  0.45 * MIN(MIN(#REF!+Races!$E$20,#REF!+Races!$F$20),6)  +  0.2 * ( MAX(#REF!+Races!$E$20-6,0) + MAX(#REF!+Races!$F$20-6,0) )  -  Races!$I$20</f>
        <v>#REF!</v>
      </c>
      <c r="CP67" s="39" t="e">
        <f>#REF!*#REF!+#REF!*#REF!</f>
        <v>#REF!</v>
      </c>
      <c r="CQ67" s="145" t="e">
        <f>MIN(6,#REF!+Races!$F$35)*1.8 +  IF(#REF!+Races!$F$35&gt;6,(#REF!+Races!$F$35-6)*0.2,0) - Races!$I$19</f>
        <v>#REF!</v>
      </c>
      <c r="CR67" s="39" t="e">
        <f>sylvan*(#REF!*#REF!)</f>
        <v>#REF!</v>
      </c>
      <c r="CS67" s="145" t="e">
        <f>1.8 * MIN(MAX(Races!$E$27,#REF!+Races!$F$27),6)  +  0.45 * MIN(MIN(Races!$E$27,#REF!+Races!$F$27),6)  +  0.2 * ( MAX(Races!$E$27-6,0) + MAX(#REF!+Races!$F$27-6,0) )  -  Races!$I$20</f>
        <v>#REF!</v>
      </c>
      <c r="CT67" s="39" t="e">
        <f>gnome*(#REF!*#REF!)</f>
        <v>#REF!</v>
      </c>
      <c r="CU67" s="145" t="e">
        <f>1.8 * MIN(MAX(#REF!+Races!$E$47,#REF!+Races!$F$47),6)  +  0.45 * MIN(MIN(#REF!+Races!$E$47,#REF!+Races!$F$47),6)  +  0.2 * ( MAX(#REF!+Races!$E$47-6,0) + MAX(#REF!+Races!$F$47-6,0) )  -  Races!$I$47</f>
        <v>#REF!</v>
      </c>
      <c r="CV67" s="39" t="e">
        <f>dark_elf*(#REF!*#REF!)</f>
        <v>#REF!</v>
      </c>
      <c r="CW67" s="145" t="e">
        <f>1.8 * MIN(MAX(#REF!+Races!$F$71,Races!$E$71),6)  +  0.45 * MIN(MIN(#REF!+Races!$F$71,Races!$E$71),6)  +  0.2 * ( MAX(#REF!+Races!$F$71-6,0) + MAX(Races!$E$71-6,0) )  -  Races!$I$71</f>
        <v>#REF!</v>
      </c>
      <c r="CX67" s="145" t="e">
        <f>1.8 * MIN(MAX(#REF!+Races!$E$71,Races!$F$71),6)  +  0.45 * MIN(MIN(#REF!+Races!$E$71,Races!$F$71),6)  +  0.2 * ( MAX(#REF!+Races!$E$71-6,0) + MAX(Races!$F$71-6,0) )  -  Races!$I$71</f>
        <v>#REF!</v>
      </c>
      <c r="CY67" s="39" t="e">
        <f>#REF!*#REF!+#REF!*#REF!</f>
        <v>#REF!</v>
      </c>
      <c r="CZ67" s="243"/>
      <c r="DA67" s="135" t="e">
        <f>MIN(SUM(#REF!)/#REF!/favorable_terrain_bonus/100,favorable_terrain_max)</f>
        <v>#REF!</v>
      </c>
      <c r="DB67" s="243"/>
      <c r="DC67"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67" s="134"/>
      <c r="DE67" s="244" t="e">
        <f>(#REF!+2*#REF!)/#REF!</f>
        <v>#REF!</v>
      </c>
      <c r="DF67" s="244" t="e">
        <f>#REF!*(1+race_wizard_strength+IF(#REF!&gt;72,tech_magical_weaponry_wiz*#REF!,0))</f>
        <v>#REF!</v>
      </c>
    </row>
    <row r="68" spans="1:110" x14ac:dyDescent="0.25">
      <c r="A68" s="130" t="e">
        <f>#REF!</f>
        <v>#REF!</v>
      </c>
      <c r="B68" s="236" t="e">
        <f ca="1">SUM(#REF!)+SUM(OFFSET(#REF!,-8,0):#REF!) + SUM(OFFSET(#REF!,-11,0):#REF!) +#REF!</f>
        <v>#REF!</v>
      </c>
      <c r="C68" s="132" t="e">
        <f>#REF!</f>
        <v>#REF!</v>
      </c>
      <c r="D68" s="134"/>
      <c r="E68" s="3" t="e">
        <f ca="1">OFFSET(#REF!,-1,0) + OFFSET(#REF!,-9,0) -#REF!</f>
        <v>#REF!</v>
      </c>
      <c r="F68" s="3" t="e">
        <f ca="1">OFFSET(#REF!,-1,0) + OFFSET(#REF!,-9,0)-#REF!</f>
        <v>#REF!</v>
      </c>
      <c r="G68" s="3" t="e">
        <f ca="1">OFFSET(#REF!,-1,0) + OFFSET(#REF!,-12,0)-#REF!</f>
        <v>#REF!</v>
      </c>
      <c r="H68" s="3" t="e">
        <f ca="1">OFFSET(#REF!,-1,0) + OFFSET(#REF!,-12,0)-#REF!</f>
        <v>#REF!</v>
      </c>
      <c r="I68" s="3" t="e">
        <f ca="1">OFFSET(#REF!,-1,0) + OFFSET(#REF!,-12,0) -#REF!-#REF!</f>
        <v>#REF!</v>
      </c>
      <c r="J68" s="3" t="e">
        <f ca="1">OFFSET(#REF!,-1,0) + OFFSET(#REF!,-12,0) -#REF!</f>
        <v>#REF!</v>
      </c>
      <c r="K68" s="3" t="e">
        <f ca="1">OFFSET(#REF!,-1,0) + OFFSET(#REF!,-12,0) -#REF!-#REF!</f>
        <v>#REF!</v>
      </c>
      <c r="L68" s="3" t="e">
        <f ca="1">OFFSET(#REF!,-1,0) + OFFSET(#REF!,-12,0) -#REF!</f>
        <v>#REF!</v>
      </c>
      <c r="M68" s="134"/>
      <c r="N68" s="39" t="e">
        <f>#REF!</f>
        <v>#REF!</v>
      </c>
      <c r="O68" s="134"/>
      <c r="P68" s="237" t="e">
        <f>#REF!*spec_op+#REF!*(elite1_base_op)+#REF!*(elite2_base_op+dark_elf*#REF!+icekin*#REF!+woodie*#REF!+orc*#REF!)+kobold*#REF!</f>
        <v>#REF!</v>
      </c>
      <c r="Q68" s="132" t="e">
        <f>race_offense+#REF!+ROUND(MIN(gn_bonus*#REF!/#REF!,gn_bonus_cap),4)+MAX(IF(#REF!&gt;0,warsong_bonus),IF(#REF!&gt;0,howling_op_bonus),IF(#REF!&gt;0,nightfall_bonus),IF(#REF!&gt;0,#REF!)) +#REF!/ 100*prestige_offense_bonus + tech_5_4*#REF! + tech_7_4*#REF!</f>
        <v>#REF!</v>
      </c>
      <c r="R68" s="237" t="e">
        <f>#REF!*(1+#REF!)</f>
        <v>#REF!</v>
      </c>
      <c r="S68" s="237" t="e">
        <f>#REF!*spec_dp+#REF!*(elite1_base_dp+woodie*#REF!+sylvan*#REF!+gnome*#REF!+icekin*#REF!+nox*#REF!)+#REF!*(elite2_base_dp+woodie*#REF!) + fh_peas_dp*MIN(#REF!,20*#REF!)+kobold*#REF!</f>
        <v>#REF!</v>
      </c>
      <c r="T68" s="237" t="e">
        <f>#REF!+#REF!</f>
        <v>#REF!</v>
      </c>
      <c r="U68" s="238" t="e">
        <f>race_defense +#REF! + ROUND( MIN(gt_bonus*#REF!/#REF!,gt_bonus_cap), 4) + IF(#REF!&gt;0,howling_dp_bonus,IF(#REF!&gt;0,ares_call_bonus))</f>
        <v>#REF!</v>
      </c>
      <c r="V68" s="239" t="e">
        <f>#REF! * (1 +#REF!)</f>
        <v>#REF!</v>
      </c>
      <c r="W68" s="237" t="e">
        <f>#REF! * (1 +#REF!)</f>
        <v>#REF!</v>
      </c>
      <c r="X68" s="237" t="e">
        <f>#REF!</f>
        <v>#REF!</v>
      </c>
      <c r="Y68" s="240"/>
      <c r="Z68" s="135" t="e">
        <f ca="1">IF(#REF!&lt;&gt;"",#REF!,OFFSET(#REF!,-1,0))</f>
        <v>#REF!</v>
      </c>
      <c r="AA68" s="39" t="e">
        <f ca="1">OFFSET(#REF!,-1,0)+OFFSET(#REF!,-1,0) - SUM(#REF!,#REF!) -#REF! + SUM(#REF!) -#REF!</f>
        <v>#REF!</v>
      </c>
      <c r="AB68" s="133"/>
      <c r="AC68" s="132" t="e">
        <f>(#REF!+#REF!)/(#REF!-#REF!*20)</f>
        <v>#REF!</v>
      </c>
      <c r="AD68" s="130"/>
      <c r="AE68" s="236" t="e">
        <f>#REF!</f>
        <v>#REF!</v>
      </c>
      <c r="AF68" s="131" t="e">
        <f>#REF!</f>
        <v>#REF!</v>
      </c>
      <c r="AG68" s="146"/>
      <c r="AH68" s="146"/>
      <c r="AI68" s="164"/>
      <c r="AJ68" s="164"/>
      <c r="AK68" s="164"/>
      <c r="AL68" s="164"/>
      <c r="AM68" s="164"/>
      <c r="AN68" s="164"/>
      <c r="AO68" s="134"/>
      <c r="AP68" s="39" t="e">
        <f>#REF!</f>
        <v>#REF!</v>
      </c>
      <c r="AQ68" s="39" t="e">
        <f>INDEX(#REF!:#REF!,COUNTA(#REF!:#REF!),MATCH(Military!$AQ$2,#REF!,0))</f>
        <v>#REF!</v>
      </c>
      <c r="AR68" s="39" t="e">
        <f>#REF!*#REF!+#REF!*#REF!+#REF!*#REF!+#REF!*#REF!+#REF!*#REF!+#REF!*#REF!+#REF!*#REF!</f>
        <v>#REF!</v>
      </c>
      <c r="AS68" s="39" t="e">
        <f>#REF!*#REF!+#REF!*#REF!+#REF!*#REF!+#REF!*#REF!</f>
        <v>#REF!</v>
      </c>
      <c r="AT68" s="134" t="e">
        <f>#REF!</f>
        <v>#REF!</v>
      </c>
      <c r="AU68" s="143" t="e">
        <f>#REF!</f>
        <v>#REF!</v>
      </c>
      <c r="AV68" s="39" t="e">
        <f>#REF!</f>
        <v>#REF!</v>
      </c>
      <c r="AW68" s="164"/>
      <c r="AX68" s="164"/>
      <c r="AY68" s="164"/>
      <c r="AZ68" s="164"/>
      <c r="BA68" s="164"/>
      <c r="BB68" s="164"/>
      <c r="BC68" s="164"/>
      <c r="BD68" s="164"/>
      <c r="BE68" s="164"/>
      <c r="BF68" s="134"/>
      <c r="BG68" s="132" t="e">
        <f>#REF!/#REF!</f>
        <v>#REF!</v>
      </c>
      <c r="BH68" s="132" t="e">
        <f>#REF!/#REF!</f>
        <v>#REF!</v>
      </c>
      <c r="BI68" s="39" t="e">
        <f>ROUNDUP((1-MIN(#REF!*smithy_bonus,smithy_bonus_cap) + tech_3_5*#REF! + tech_5_3*#REF! + tech_5_5*#REF!)*spec_op_plat,0)</f>
        <v>#REF!</v>
      </c>
      <c r="BJ68" s="39" t="e">
        <f>ROUNDUP(IF(race="Gnome",1,(1-MIN(#REF!*smithy_bonus,smithy_bonus_cap) + tech_3_5*#REF! + tech_5_3*#REF! + tech_5_5*#REF!))*spec_op_ore,0)</f>
        <v>#REF!</v>
      </c>
      <c r="BK68" s="39" t="e">
        <f>ROUNDUP((1-MIN(#REF!*smithy_bonus,smithy_bonus_cap) + tech_3_5*#REF! + tech_5_3*#REF! + tech_5_5*#REF!)*spec_dp_plat,0)</f>
        <v>#REF!</v>
      </c>
      <c r="BL68" s="39" t="e">
        <f>ROUNDUP(IF(race="Gnome",1,(1-MIN(#REF!*smithy_bonus,smithy_bonus_cap) + tech_3_5*#REF! + tech_5_3*#REF! + tech_5_5*#REF!))*spec_dp_ore,0)</f>
        <v>#REF!</v>
      </c>
      <c r="BM68" s="39" t="e">
        <f>ROUNDUP((1-MIN(#REF!*smithy_bonus,smithy_bonus_cap) + tech_3_5*#REF! + tech_5_3*#REF! + tech_5_5*#REF!)*elite1_plat,0)</f>
        <v>#REF!</v>
      </c>
      <c r="BN68" s="39" t="e">
        <f>ROUNDUP(IF(race="Gnome",1,(1-MIN(#REF!*smithy_bonus,smithy_bonus_cap) + tech_3_5*#REF! + tech_5_3*#REF! + tech_5_5*#REF!))*elite1_ore,0)</f>
        <v>#REF!</v>
      </c>
      <c r="BO68" s="39" t="e">
        <f>ROUNDUP((1-MIN(#REF!*smithy_bonus,smithy_bonus_cap) + tech_3_5*#REF! + tech_5_3*#REF! + tech_5_5*#REF!)*elite2_plat,0)</f>
        <v>#REF!</v>
      </c>
      <c r="BP68" s="39" t="e">
        <f>ROUNDUP(IF(race="Gnome",1,(1-MIN(#REF!*smithy_bonus,smithy_bonus_cap) + tech_3_5*#REF! + tech_5_3*#REF! + tech_5_5*#REF!))*elite2_ore,0)</f>
        <v>#REF!</v>
      </c>
      <c r="BQ68" s="39" t="e">
        <f>ROUNDUP((1-MIN(ROUND(fh_spy_cost_red*#REF!,4),fh_spy_cost_cap)+ tech_1_9*#REF! + tech_9_1*#REF!)*spy_plat,0)</f>
        <v>#REF!</v>
      </c>
      <c r="BR68" s="39" t="e">
        <f>ROUNDUP((1-MIN(ROUND(fh_spy_cost_red*#REF!,4),fh_spy_cost_cap)+ tech_1_9*#REF! + tech_9_1*#REF!)*archspy_plat,0)</f>
        <v>#REF!</v>
      </c>
      <c r="BS68" s="39" t="e">
        <f>ROUNDUP((1-MIN(ROUND(wg_wiz_cost_bonus*#REF!,4),wg_wiz_cost_cap) + tech_1_9_2*#REF! + tech_9_1_2*#REF!)*wizard_plat,0)</f>
        <v>#REF!</v>
      </c>
      <c r="BT68" s="39" t="e">
        <f>ROUNDUP((1-MIN(ROUND(wg_wiz_cost_bonus*#REF!,4),wg_wiz_cost_cap) + tech_1_9_2*#REF! + tech_9_1_2*#REF!)*archmage_plat,0)</f>
        <v>#REF!</v>
      </c>
      <c r="BU68" s="134"/>
      <c r="BV68" s="132" t="e">
        <f>#REF!/#REF!</f>
        <v>#REF!</v>
      </c>
      <c r="BW68" s="132" t="e">
        <f>#REF!</f>
        <v>#REF!</v>
      </c>
      <c r="BX68" s="241" t="e">
        <f>IF(mystic_cap="none",#REF!/mystic_bonus,MIN(mystic_cap,#REF!/mystic_bonus))</f>
        <v>#REF!</v>
      </c>
      <c r="BY68" s="241" t="e">
        <f>IF(druid_op_cap="none",#REF!/druid_op_bonus,MIN(druid_op_cap,#REF!/druid_op_bonus))</f>
        <v>#REF!</v>
      </c>
      <c r="BZ68" s="241" t="e">
        <f>IF(druid_dp_cap="none",#REF!/druid_dp_bonus,MIN(druid_dp_cap,#REF!/druid_dp_bonus))</f>
        <v>#REF!</v>
      </c>
      <c r="CA68" s="241" t="e">
        <f>MIN(dryad_cap,#REF!/dryad_bonus)</f>
        <v>#REF!</v>
      </c>
      <c r="CB68" s="241" t="e">
        <f>MIN(rocka_cap,#REF!/rocka_bonus)</f>
        <v>#REF!</v>
      </c>
      <c r="CC68" s="241" t="e">
        <f>MIN(adept_op_cap,#REF!/adept_op_bonus)</f>
        <v>#REF!</v>
      </c>
      <c r="CD68" s="241" t="e">
        <f>MIN(adept_dp_cap,#REF!/adept_dp_bonus)</f>
        <v>#REF!</v>
      </c>
      <c r="CE68" s="39" t="e">
        <f>MIN(#REF!,#REF!)*2</f>
        <v>#REF!</v>
      </c>
      <c r="CF68" s="39" t="e">
        <f>MIN(#REF!,#REF!)*2</f>
        <v>#REF!</v>
      </c>
      <c r="CG68" s="241" t="e">
        <f>MIN(frost_mage_cap,#REF!/frost_mage_bonus)</f>
        <v>#REF!</v>
      </c>
      <c r="CH68" s="3" t="e">
        <f>MIN(ice_elem_cap,#REF!*ice_elem_bonus)</f>
        <v>#REF!</v>
      </c>
      <c r="CI68" s="241">
        <f t="shared" ref="CI68:CI99" si="3">MIN(bone_breaker_cap,250/bone_breaker_bonus)</f>
        <v>0.83333333333333337</v>
      </c>
      <c r="CJ68" s="241" t="e">
        <f>MIN(nox_nightshade_cap,#REF!/#REF!/nox_nightshade_swamp_bonus)</f>
        <v>#REF!</v>
      </c>
      <c r="CK68" s="242"/>
      <c r="CL68" s="242"/>
      <c r="CM68" s="242"/>
      <c r="CN68" s="241" t="e">
        <f>MIN(6,#REF!+Races!$F$19)*1.8 +  IF(#REF!+Races!$F$19&gt;6,(#REF!+Races!$F$19-6)*0.2,0) - Races!$I$19</f>
        <v>#REF!</v>
      </c>
      <c r="CO68" s="241" t="e">
        <f>1.8 * MIN(MAX(#REF!+Races!$E$20,#REF!+Races!$F$20),6)  +  0.45 * MIN(MIN(#REF!+Races!$E$20,#REF!+Races!$F$20),6)  +  0.2 * ( MAX(#REF!+Races!$E$20-6,0) + MAX(#REF!+Races!$F$20-6,0) )  -  Races!$I$20</f>
        <v>#REF!</v>
      </c>
      <c r="CP68" s="39" t="e">
        <f>#REF!*#REF!+#REF!*#REF!</f>
        <v>#REF!</v>
      </c>
      <c r="CQ68" s="145" t="e">
        <f>MIN(6,#REF!+Races!$F$35)*1.8 +  IF(#REF!+Races!$F$35&gt;6,(#REF!+Races!$F$35-6)*0.2,0) - Races!$I$19</f>
        <v>#REF!</v>
      </c>
      <c r="CR68" s="39" t="e">
        <f>sylvan*(#REF!*#REF!)</f>
        <v>#REF!</v>
      </c>
      <c r="CS68" s="145" t="e">
        <f>1.8 * MIN(MAX(Races!$E$27,#REF!+Races!$F$27),6)  +  0.45 * MIN(MIN(Races!$E$27,#REF!+Races!$F$27),6)  +  0.2 * ( MAX(Races!$E$27-6,0) + MAX(#REF!+Races!$F$27-6,0) )  -  Races!$I$20</f>
        <v>#REF!</v>
      </c>
      <c r="CT68" s="39" t="e">
        <f>gnome*(#REF!*#REF!)</f>
        <v>#REF!</v>
      </c>
      <c r="CU68" s="145" t="e">
        <f>1.8 * MIN(MAX(#REF!+Races!$E$47,#REF!+Races!$F$47),6)  +  0.45 * MIN(MIN(#REF!+Races!$E$47,#REF!+Races!$F$47),6)  +  0.2 * ( MAX(#REF!+Races!$E$47-6,0) + MAX(#REF!+Races!$F$47-6,0) )  -  Races!$I$47</f>
        <v>#REF!</v>
      </c>
      <c r="CV68" s="39" t="e">
        <f>dark_elf*(#REF!*#REF!)</f>
        <v>#REF!</v>
      </c>
      <c r="CW68" s="145" t="e">
        <f>1.8 * MIN(MAX(#REF!+Races!$F$71,Races!$E$71),6)  +  0.45 * MIN(MIN(#REF!+Races!$F$71,Races!$E$71),6)  +  0.2 * ( MAX(#REF!+Races!$F$71-6,0) + MAX(Races!$E$71-6,0) )  -  Races!$I$71</f>
        <v>#REF!</v>
      </c>
      <c r="CX68" s="145" t="e">
        <f>1.8 * MIN(MAX(#REF!+Races!$E$71,Races!$F$71),6)  +  0.45 * MIN(MIN(#REF!+Races!$E$71,Races!$F$71),6)  +  0.2 * ( MAX(#REF!+Races!$E$71-6,0) + MAX(Races!$F$71-6,0) )  -  Races!$I$71</f>
        <v>#REF!</v>
      </c>
      <c r="CY68" s="39" t="e">
        <f>#REF!*#REF!+#REF!*#REF!</f>
        <v>#REF!</v>
      </c>
      <c r="CZ68" s="243"/>
      <c r="DA68" s="135" t="e">
        <f>MIN(SUM(#REF!)/#REF!/favorable_terrain_bonus/100,favorable_terrain_max)</f>
        <v>#REF!</v>
      </c>
      <c r="DB68" s="243"/>
      <c r="DC68"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68" s="134"/>
      <c r="DE68" s="244" t="e">
        <f>(#REF!+2*#REF!)/#REF!</f>
        <v>#REF!</v>
      </c>
      <c r="DF68" s="244" t="e">
        <f>#REF!*(1+race_wizard_strength+IF(#REF!&gt;72,tech_magical_weaponry_wiz*#REF!,0))</f>
        <v>#REF!</v>
      </c>
    </row>
    <row r="69" spans="1:110" x14ac:dyDescent="0.25">
      <c r="A69" s="130" t="e">
        <f>#REF!</f>
        <v>#REF!</v>
      </c>
      <c r="B69" s="236" t="e">
        <f ca="1">SUM(#REF!)+SUM(OFFSET(#REF!,-8,0):#REF!) + SUM(OFFSET(#REF!,-11,0):#REF!) +#REF!</f>
        <v>#REF!</v>
      </c>
      <c r="C69" s="132" t="e">
        <f>#REF!</f>
        <v>#REF!</v>
      </c>
      <c r="D69" s="134"/>
      <c r="E69" s="3" t="e">
        <f ca="1">OFFSET(#REF!,-1,0) + OFFSET(#REF!,-9,0) -#REF!</f>
        <v>#REF!</v>
      </c>
      <c r="F69" s="3" t="e">
        <f ca="1">OFFSET(#REF!,-1,0) + OFFSET(#REF!,-9,0)-#REF!</f>
        <v>#REF!</v>
      </c>
      <c r="G69" s="3" t="e">
        <f ca="1">OFFSET(#REF!,-1,0) + OFFSET(#REF!,-12,0)-#REF!</f>
        <v>#REF!</v>
      </c>
      <c r="H69" s="3" t="e">
        <f ca="1">OFFSET(#REF!,-1,0) + OFFSET(#REF!,-12,0)-#REF!</f>
        <v>#REF!</v>
      </c>
      <c r="I69" s="3" t="e">
        <f ca="1">OFFSET(#REF!,-1,0) + OFFSET(#REF!,-12,0) -#REF!-#REF!</f>
        <v>#REF!</v>
      </c>
      <c r="J69" s="3" t="e">
        <f ca="1">OFFSET(#REF!,-1,0) + OFFSET(#REF!,-12,0) -#REF!</f>
        <v>#REF!</v>
      </c>
      <c r="K69" s="3" t="e">
        <f ca="1">OFFSET(#REF!,-1,0) + OFFSET(#REF!,-12,0) -#REF!-#REF!</f>
        <v>#REF!</v>
      </c>
      <c r="L69" s="3" t="e">
        <f ca="1">OFFSET(#REF!,-1,0) + OFFSET(#REF!,-12,0) -#REF!</f>
        <v>#REF!</v>
      </c>
      <c r="M69" s="134"/>
      <c r="N69" s="39" t="e">
        <f>#REF!</f>
        <v>#REF!</v>
      </c>
      <c r="O69" s="134"/>
      <c r="P69" s="237" t="e">
        <f>#REF!*spec_op+#REF!*(elite1_base_op)+#REF!*(elite2_base_op+dark_elf*#REF!+icekin*#REF!+woodie*#REF!+orc*#REF!)+kobold*#REF!</f>
        <v>#REF!</v>
      </c>
      <c r="Q69" s="132" t="e">
        <f>race_offense+#REF!+ROUND(MIN(gn_bonus*#REF!/#REF!,gn_bonus_cap),4)+MAX(IF(#REF!&gt;0,warsong_bonus),IF(#REF!&gt;0,howling_op_bonus),IF(#REF!&gt;0,nightfall_bonus),IF(#REF!&gt;0,#REF!)) +#REF!/ 100*prestige_offense_bonus + tech_5_4*#REF! + tech_7_4*#REF!</f>
        <v>#REF!</v>
      </c>
      <c r="R69" s="237" t="e">
        <f>#REF!*(1+#REF!)</f>
        <v>#REF!</v>
      </c>
      <c r="S69" s="237" t="e">
        <f>#REF!*spec_dp+#REF!*(elite1_base_dp+woodie*#REF!+sylvan*#REF!+gnome*#REF!+icekin*#REF!+nox*#REF!)+#REF!*(elite2_base_dp+woodie*#REF!) + fh_peas_dp*MIN(#REF!,20*#REF!)+kobold*#REF!</f>
        <v>#REF!</v>
      </c>
      <c r="T69" s="237" t="e">
        <f>#REF!+#REF!</f>
        <v>#REF!</v>
      </c>
      <c r="U69" s="238" t="e">
        <f>race_defense +#REF! + ROUND( MIN(gt_bonus*#REF!/#REF!,gt_bonus_cap), 4) + IF(#REF!&gt;0,howling_dp_bonus,IF(#REF!&gt;0,ares_call_bonus))</f>
        <v>#REF!</v>
      </c>
      <c r="V69" s="239" t="e">
        <f>#REF! * (1 +#REF!)</f>
        <v>#REF!</v>
      </c>
      <c r="W69" s="237" t="e">
        <f>#REF! * (1 +#REF!)</f>
        <v>#REF!</v>
      </c>
      <c r="X69" s="237" t="e">
        <f>#REF!</f>
        <v>#REF!</v>
      </c>
      <c r="Y69" s="240"/>
      <c r="Z69" s="135" t="e">
        <f ca="1">IF(#REF!&lt;&gt;"",#REF!,OFFSET(#REF!,-1,0))</f>
        <v>#REF!</v>
      </c>
      <c r="AA69" s="39" t="e">
        <f ca="1">OFFSET(#REF!,-1,0)+OFFSET(#REF!,-1,0) - SUM(#REF!,#REF!) -#REF! + SUM(#REF!) -#REF!</f>
        <v>#REF!</v>
      </c>
      <c r="AB69" s="133"/>
      <c r="AC69" s="132" t="e">
        <f>(#REF!+#REF!)/(#REF!-#REF!*20)</f>
        <v>#REF!</v>
      </c>
      <c r="AD69" s="130"/>
      <c r="AE69" s="236" t="e">
        <f>#REF!</f>
        <v>#REF!</v>
      </c>
      <c r="AF69" s="131" t="e">
        <f>#REF!</f>
        <v>#REF!</v>
      </c>
      <c r="AG69" s="164"/>
      <c r="AH69" s="146"/>
      <c r="AI69" s="164"/>
      <c r="AJ69" s="164"/>
      <c r="AK69" s="164"/>
      <c r="AL69" s="164"/>
      <c r="AM69" s="164"/>
      <c r="AN69" s="164"/>
      <c r="AO69" s="134"/>
      <c r="AP69" s="39" t="e">
        <f>#REF!</f>
        <v>#REF!</v>
      </c>
      <c r="AQ69" s="39" t="e">
        <f>INDEX(#REF!:#REF!,COUNTA(#REF!:#REF!),MATCH(Military!$AQ$2,#REF!,0))</f>
        <v>#REF!</v>
      </c>
      <c r="AR69" s="39" t="e">
        <f>#REF!*#REF!+#REF!*#REF!+#REF!*#REF!+#REF!*#REF!+#REF!*#REF!+#REF!*#REF!+#REF!*#REF!</f>
        <v>#REF!</v>
      </c>
      <c r="AS69" s="39" t="e">
        <f>#REF!*#REF!+#REF!*#REF!+#REF!*#REF!+#REF!*#REF!</f>
        <v>#REF!</v>
      </c>
      <c r="AT69" s="134" t="e">
        <f>#REF!</f>
        <v>#REF!</v>
      </c>
      <c r="AU69" s="143" t="e">
        <f>#REF!</f>
        <v>#REF!</v>
      </c>
      <c r="AV69" s="39" t="e">
        <f>#REF!</f>
        <v>#REF!</v>
      </c>
      <c r="AW69" s="164"/>
      <c r="AX69" s="164"/>
      <c r="AY69" s="164"/>
      <c r="AZ69" s="164"/>
      <c r="BA69" s="164"/>
      <c r="BB69" s="164"/>
      <c r="BC69" s="164"/>
      <c r="BD69" s="164"/>
      <c r="BE69" s="164"/>
      <c r="BF69" s="134"/>
      <c r="BG69" s="132" t="e">
        <f>#REF!/#REF!</f>
        <v>#REF!</v>
      </c>
      <c r="BH69" s="132" t="e">
        <f>#REF!/#REF!</f>
        <v>#REF!</v>
      </c>
      <c r="BI69" s="39" t="e">
        <f>ROUNDUP((1-MIN(#REF!*smithy_bonus,smithy_bonus_cap) + tech_3_5*#REF! + tech_5_3*#REF! + tech_5_5*#REF!)*spec_op_plat,0)</f>
        <v>#REF!</v>
      </c>
      <c r="BJ69" s="39" t="e">
        <f>ROUNDUP(IF(race="Gnome",1,(1-MIN(#REF!*smithy_bonus,smithy_bonus_cap) + tech_3_5*#REF! + tech_5_3*#REF! + tech_5_5*#REF!))*spec_op_ore,0)</f>
        <v>#REF!</v>
      </c>
      <c r="BK69" s="39" t="e">
        <f>ROUNDUP((1-MIN(#REF!*smithy_bonus,smithy_bonus_cap) + tech_3_5*#REF! + tech_5_3*#REF! + tech_5_5*#REF!)*spec_dp_plat,0)</f>
        <v>#REF!</v>
      </c>
      <c r="BL69" s="39" t="e">
        <f>ROUNDUP(IF(race="Gnome",1,(1-MIN(#REF!*smithy_bonus,smithy_bonus_cap) + tech_3_5*#REF! + tech_5_3*#REF! + tech_5_5*#REF!))*spec_dp_ore,0)</f>
        <v>#REF!</v>
      </c>
      <c r="BM69" s="39" t="e">
        <f>ROUNDUP((1-MIN(#REF!*smithy_bonus,smithy_bonus_cap) + tech_3_5*#REF! + tech_5_3*#REF! + tech_5_5*#REF!)*elite1_plat,0)</f>
        <v>#REF!</v>
      </c>
      <c r="BN69" s="39" t="e">
        <f>ROUNDUP(IF(race="Gnome",1,(1-MIN(#REF!*smithy_bonus,smithy_bonus_cap) + tech_3_5*#REF! + tech_5_3*#REF! + tech_5_5*#REF!))*elite1_ore,0)</f>
        <v>#REF!</v>
      </c>
      <c r="BO69" s="39" t="e">
        <f>ROUNDUP((1-MIN(#REF!*smithy_bonus,smithy_bonus_cap) + tech_3_5*#REF! + tech_5_3*#REF! + tech_5_5*#REF!)*elite2_plat,0)</f>
        <v>#REF!</v>
      </c>
      <c r="BP69" s="39" t="e">
        <f>ROUNDUP(IF(race="Gnome",1,(1-MIN(#REF!*smithy_bonus,smithy_bonus_cap) + tech_3_5*#REF! + tech_5_3*#REF! + tech_5_5*#REF!))*elite2_ore,0)</f>
        <v>#REF!</v>
      </c>
      <c r="BQ69" s="39" t="e">
        <f>ROUNDUP((1-MIN(ROUND(fh_spy_cost_red*#REF!,4),fh_spy_cost_cap)+ tech_1_9*#REF! + tech_9_1*#REF!)*spy_plat,0)</f>
        <v>#REF!</v>
      </c>
      <c r="BR69" s="39" t="e">
        <f>ROUNDUP((1-MIN(ROUND(fh_spy_cost_red*#REF!,4),fh_spy_cost_cap)+ tech_1_9*#REF! + tech_9_1*#REF!)*archspy_plat,0)</f>
        <v>#REF!</v>
      </c>
      <c r="BS69" s="39" t="e">
        <f>ROUNDUP((1-MIN(ROUND(wg_wiz_cost_bonus*#REF!,4),wg_wiz_cost_cap) + tech_1_9_2*#REF! + tech_9_1_2*#REF!)*wizard_plat,0)</f>
        <v>#REF!</v>
      </c>
      <c r="BT69" s="39" t="e">
        <f>ROUNDUP((1-MIN(ROUND(wg_wiz_cost_bonus*#REF!,4),wg_wiz_cost_cap) + tech_1_9_2*#REF! + tech_9_1_2*#REF!)*archmage_plat,0)</f>
        <v>#REF!</v>
      </c>
      <c r="BU69" s="134"/>
      <c r="BV69" s="132" t="e">
        <f>#REF!/#REF!</f>
        <v>#REF!</v>
      </c>
      <c r="BW69" s="132" t="e">
        <f>#REF!</f>
        <v>#REF!</v>
      </c>
      <c r="BX69" s="241" t="e">
        <f>IF(mystic_cap="none",#REF!/mystic_bonus,MIN(mystic_cap,#REF!/mystic_bonus))</f>
        <v>#REF!</v>
      </c>
      <c r="BY69" s="241" t="e">
        <f>IF(druid_op_cap="none",#REF!/druid_op_bonus,MIN(druid_op_cap,#REF!/druid_op_bonus))</f>
        <v>#REF!</v>
      </c>
      <c r="BZ69" s="241" t="e">
        <f>IF(druid_dp_cap="none",#REF!/druid_dp_bonus,MIN(druid_dp_cap,#REF!/druid_dp_bonus))</f>
        <v>#REF!</v>
      </c>
      <c r="CA69" s="241" t="e">
        <f>MIN(dryad_cap,#REF!/dryad_bonus)</f>
        <v>#REF!</v>
      </c>
      <c r="CB69" s="241" t="e">
        <f>MIN(rocka_cap,#REF!/rocka_bonus)</f>
        <v>#REF!</v>
      </c>
      <c r="CC69" s="241" t="e">
        <f>MIN(adept_op_cap,#REF!/adept_op_bonus)</f>
        <v>#REF!</v>
      </c>
      <c r="CD69" s="241" t="e">
        <f>MIN(adept_dp_cap,#REF!/adept_dp_bonus)</f>
        <v>#REF!</v>
      </c>
      <c r="CE69" s="39" t="e">
        <f>MIN(#REF!,#REF!)*2</f>
        <v>#REF!</v>
      </c>
      <c r="CF69" s="39" t="e">
        <f>MIN(#REF!,#REF!)*2</f>
        <v>#REF!</v>
      </c>
      <c r="CG69" s="241" t="e">
        <f>MIN(frost_mage_cap,#REF!/frost_mage_bonus)</f>
        <v>#REF!</v>
      </c>
      <c r="CH69" s="3" t="e">
        <f>MIN(ice_elem_cap,#REF!*ice_elem_bonus)</f>
        <v>#REF!</v>
      </c>
      <c r="CI69" s="241">
        <f t="shared" si="3"/>
        <v>0.83333333333333337</v>
      </c>
      <c r="CJ69" s="241" t="e">
        <f>MIN(nox_nightshade_cap,#REF!/#REF!/nox_nightshade_swamp_bonus)</f>
        <v>#REF!</v>
      </c>
      <c r="CK69" s="242"/>
      <c r="CL69" s="242"/>
      <c r="CM69" s="242"/>
      <c r="CN69" s="241" t="e">
        <f>MIN(6,#REF!+Races!$F$19)*1.8 +  IF(#REF!+Races!$F$19&gt;6,(#REF!+Races!$F$19-6)*0.2,0) - Races!$I$19</f>
        <v>#REF!</v>
      </c>
      <c r="CO69" s="241" t="e">
        <f>1.8 * MIN(MAX(#REF!+Races!$E$20,#REF!+Races!$F$20),6)  +  0.45 * MIN(MIN(#REF!+Races!$E$20,#REF!+Races!$F$20),6)  +  0.2 * ( MAX(#REF!+Races!$E$20-6,0) + MAX(#REF!+Races!$F$20-6,0) )  -  Races!$I$20</f>
        <v>#REF!</v>
      </c>
      <c r="CP69" s="39" t="e">
        <f>#REF!*#REF!+#REF!*#REF!</f>
        <v>#REF!</v>
      </c>
      <c r="CQ69" s="145" t="e">
        <f>MIN(6,#REF!+Races!$F$35)*1.8 +  IF(#REF!+Races!$F$35&gt;6,(#REF!+Races!$F$35-6)*0.2,0) - Races!$I$19</f>
        <v>#REF!</v>
      </c>
      <c r="CR69" s="39" t="e">
        <f>sylvan*(#REF!*#REF!)</f>
        <v>#REF!</v>
      </c>
      <c r="CS69" s="145" t="e">
        <f>1.8 * MIN(MAX(Races!$E$27,#REF!+Races!$F$27),6)  +  0.45 * MIN(MIN(Races!$E$27,#REF!+Races!$F$27),6)  +  0.2 * ( MAX(Races!$E$27-6,0) + MAX(#REF!+Races!$F$27-6,0) )  -  Races!$I$20</f>
        <v>#REF!</v>
      </c>
      <c r="CT69" s="39" t="e">
        <f>gnome*(#REF!*#REF!)</f>
        <v>#REF!</v>
      </c>
      <c r="CU69" s="145" t="e">
        <f>1.8 * MIN(MAX(#REF!+Races!$E$47,#REF!+Races!$F$47),6)  +  0.45 * MIN(MIN(#REF!+Races!$E$47,#REF!+Races!$F$47),6)  +  0.2 * ( MAX(#REF!+Races!$E$47-6,0) + MAX(#REF!+Races!$F$47-6,0) )  -  Races!$I$47</f>
        <v>#REF!</v>
      </c>
      <c r="CV69" s="39" t="e">
        <f>dark_elf*(#REF!*#REF!)</f>
        <v>#REF!</v>
      </c>
      <c r="CW69" s="145" t="e">
        <f>1.8 * MIN(MAX(#REF!+Races!$F$71,Races!$E$71),6)  +  0.45 * MIN(MIN(#REF!+Races!$F$71,Races!$E$71),6)  +  0.2 * ( MAX(#REF!+Races!$F$71-6,0) + MAX(Races!$E$71-6,0) )  -  Races!$I$71</f>
        <v>#REF!</v>
      </c>
      <c r="CX69" s="145" t="e">
        <f>1.8 * MIN(MAX(#REF!+Races!$E$71,Races!$F$71),6)  +  0.45 * MIN(MIN(#REF!+Races!$E$71,Races!$F$71),6)  +  0.2 * ( MAX(#REF!+Races!$E$71-6,0) + MAX(Races!$F$71-6,0) )  -  Races!$I$71</f>
        <v>#REF!</v>
      </c>
      <c r="CY69" s="39" t="e">
        <f>#REF!*#REF!+#REF!*#REF!</f>
        <v>#REF!</v>
      </c>
      <c r="CZ69" s="243"/>
      <c r="DA69" s="135" t="e">
        <f>MIN(SUM(#REF!)/#REF!/favorable_terrain_bonus/100,favorable_terrain_max)</f>
        <v>#REF!</v>
      </c>
      <c r="DB69" s="243"/>
      <c r="DC69"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69" s="134"/>
      <c r="DE69" s="244" t="e">
        <f>(#REF!+2*#REF!)/#REF!</f>
        <v>#REF!</v>
      </c>
      <c r="DF69" s="244" t="e">
        <f>#REF!*(1+race_wizard_strength+IF(#REF!&gt;72,tech_magical_weaponry_wiz*#REF!,0))</f>
        <v>#REF!</v>
      </c>
    </row>
    <row r="70" spans="1:110" x14ac:dyDescent="0.25">
      <c r="A70" s="130" t="e">
        <f>#REF!</f>
        <v>#REF!</v>
      </c>
      <c r="B70" s="236" t="e">
        <f ca="1">SUM(#REF!)+SUM(OFFSET(#REF!,-8,0):#REF!) + SUM(OFFSET(#REF!,-11,0):#REF!) +#REF!</f>
        <v>#REF!</v>
      </c>
      <c r="C70" s="132" t="e">
        <f>#REF!</f>
        <v>#REF!</v>
      </c>
      <c r="D70" s="134"/>
      <c r="E70" s="3" t="e">
        <f ca="1">OFFSET(#REF!,-1,0) + OFFSET(#REF!,-9,0) -#REF!</f>
        <v>#REF!</v>
      </c>
      <c r="F70" s="3" t="e">
        <f ca="1">OFFSET(#REF!,-1,0) + OFFSET(#REF!,-9,0)-#REF!</f>
        <v>#REF!</v>
      </c>
      <c r="G70" s="3" t="e">
        <f ca="1">OFFSET(#REF!,-1,0) + OFFSET(#REF!,-12,0)-#REF!</f>
        <v>#REF!</v>
      </c>
      <c r="H70" s="3" t="e">
        <f ca="1">OFFSET(#REF!,-1,0) + OFFSET(#REF!,-12,0)-#REF!</f>
        <v>#REF!</v>
      </c>
      <c r="I70" s="3" t="e">
        <f ca="1">OFFSET(#REF!,-1,0) + OFFSET(#REF!,-12,0) -#REF!-#REF!</f>
        <v>#REF!</v>
      </c>
      <c r="J70" s="3" t="e">
        <f ca="1">OFFSET(#REF!,-1,0) + OFFSET(#REF!,-12,0) -#REF!</f>
        <v>#REF!</v>
      </c>
      <c r="K70" s="3" t="e">
        <f ca="1">OFFSET(#REF!,-1,0) + OFFSET(#REF!,-12,0) -#REF!-#REF!</f>
        <v>#REF!</v>
      </c>
      <c r="L70" s="3" t="e">
        <f ca="1">OFFSET(#REF!,-1,0) + OFFSET(#REF!,-12,0) -#REF!</f>
        <v>#REF!</v>
      </c>
      <c r="M70" s="134"/>
      <c r="N70" s="39" t="e">
        <f>#REF!</f>
        <v>#REF!</v>
      </c>
      <c r="O70" s="134"/>
      <c r="P70" s="237" t="e">
        <f>#REF!*spec_op+#REF!*(elite1_base_op)+#REF!*(elite2_base_op+dark_elf*#REF!+icekin*#REF!+woodie*#REF!+orc*#REF!)+kobold*#REF!</f>
        <v>#REF!</v>
      </c>
      <c r="Q70" s="132" t="e">
        <f>race_offense+#REF!+ROUND(MIN(gn_bonus*#REF!/#REF!,gn_bonus_cap),4)+MAX(IF(#REF!&gt;0,warsong_bonus),IF(#REF!&gt;0,howling_op_bonus),IF(#REF!&gt;0,nightfall_bonus),IF(#REF!&gt;0,#REF!)) +#REF!/ 100*prestige_offense_bonus + tech_5_4*#REF! + tech_7_4*#REF!</f>
        <v>#REF!</v>
      </c>
      <c r="R70" s="237" t="e">
        <f>#REF!*(1+#REF!)</f>
        <v>#REF!</v>
      </c>
      <c r="S70" s="237" t="e">
        <f>#REF!*spec_dp+#REF!*(elite1_base_dp+woodie*#REF!+sylvan*#REF!+gnome*#REF!+icekin*#REF!+nox*#REF!)+#REF!*(elite2_base_dp+woodie*#REF!) + fh_peas_dp*MIN(#REF!,20*#REF!)+kobold*#REF!</f>
        <v>#REF!</v>
      </c>
      <c r="T70" s="237" t="e">
        <f>#REF!+#REF!</f>
        <v>#REF!</v>
      </c>
      <c r="U70" s="238" t="e">
        <f>race_defense +#REF! + ROUND( MIN(gt_bonus*#REF!/#REF!,gt_bonus_cap), 4) + IF(#REF!&gt;0,howling_dp_bonus,IF(#REF!&gt;0,ares_call_bonus))</f>
        <v>#REF!</v>
      </c>
      <c r="V70" s="239" t="e">
        <f>#REF! * (1 +#REF!)</f>
        <v>#REF!</v>
      </c>
      <c r="W70" s="237" t="e">
        <f>#REF! * (1 +#REF!)</f>
        <v>#REF!</v>
      </c>
      <c r="X70" s="237" t="e">
        <f>#REF!</f>
        <v>#REF!</v>
      </c>
      <c r="Y70" s="240"/>
      <c r="Z70" s="135" t="e">
        <f ca="1">IF(#REF!&lt;&gt;"",#REF!,OFFSET(#REF!,-1,0))</f>
        <v>#REF!</v>
      </c>
      <c r="AA70" s="39" t="e">
        <f ca="1">OFFSET(#REF!,-1,0)+OFFSET(#REF!,-1,0) - SUM(#REF!,#REF!) -#REF! + SUM(#REF!) -#REF!</f>
        <v>#REF!</v>
      </c>
      <c r="AB70" s="133"/>
      <c r="AC70" s="132" t="e">
        <f>(#REF!+#REF!)/(#REF!-#REF!*20)</f>
        <v>#REF!</v>
      </c>
      <c r="AD70" s="130"/>
      <c r="AE70" s="236" t="e">
        <f>#REF!</f>
        <v>#REF!</v>
      </c>
      <c r="AF70" s="131" t="e">
        <f>#REF!</f>
        <v>#REF!</v>
      </c>
      <c r="AG70" s="164"/>
      <c r="AH70" s="146"/>
      <c r="AI70" s="164"/>
      <c r="AJ70" s="164"/>
      <c r="AK70" s="164"/>
      <c r="AL70" s="164"/>
      <c r="AM70" s="164"/>
      <c r="AN70" s="164"/>
      <c r="AO70" s="134"/>
      <c r="AP70" s="39" t="e">
        <f>#REF!</f>
        <v>#REF!</v>
      </c>
      <c r="AQ70" s="39" t="e">
        <f>INDEX(#REF!:#REF!,COUNTA(#REF!:#REF!),MATCH(Military!$AQ$2,#REF!,0))</f>
        <v>#REF!</v>
      </c>
      <c r="AR70" s="39" t="e">
        <f>#REF!*#REF!+#REF!*#REF!+#REF!*#REF!+#REF!*#REF!+#REF!*#REF!+#REF!*#REF!+#REF!*#REF!</f>
        <v>#REF!</v>
      </c>
      <c r="AS70" s="39" t="e">
        <f>#REF!*#REF!+#REF!*#REF!+#REF!*#REF!+#REF!*#REF!</f>
        <v>#REF!</v>
      </c>
      <c r="AT70" s="134" t="e">
        <f>#REF!</f>
        <v>#REF!</v>
      </c>
      <c r="AU70" s="143" t="e">
        <f>#REF!</f>
        <v>#REF!</v>
      </c>
      <c r="AV70" s="39" t="e">
        <f>#REF!</f>
        <v>#REF!</v>
      </c>
      <c r="AW70" s="164"/>
      <c r="AX70" s="164"/>
      <c r="AY70" s="164"/>
      <c r="AZ70" s="164"/>
      <c r="BA70" s="164"/>
      <c r="BB70" s="164"/>
      <c r="BC70" s="164"/>
      <c r="BD70" s="164"/>
      <c r="BE70" s="164"/>
      <c r="BF70" s="134"/>
      <c r="BG70" s="132" t="e">
        <f>#REF!/#REF!</f>
        <v>#REF!</v>
      </c>
      <c r="BH70" s="132" t="e">
        <f>#REF!/#REF!</f>
        <v>#REF!</v>
      </c>
      <c r="BI70" s="39" t="e">
        <f>ROUNDUP((1-MIN(#REF!*smithy_bonus,smithy_bonus_cap) + tech_3_5*#REF! + tech_5_3*#REF! + tech_5_5*#REF!)*spec_op_plat,0)</f>
        <v>#REF!</v>
      </c>
      <c r="BJ70" s="39" t="e">
        <f>ROUNDUP(IF(race="Gnome",1,(1-MIN(#REF!*smithy_bonus,smithy_bonus_cap) + tech_3_5*#REF! + tech_5_3*#REF! + tech_5_5*#REF!))*spec_op_ore,0)</f>
        <v>#REF!</v>
      </c>
      <c r="BK70" s="39" t="e">
        <f>ROUNDUP((1-MIN(#REF!*smithy_bonus,smithy_bonus_cap) + tech_3_5*#REF! + tech_5_3*#REF! + tech_5_5*#REF!)*spec_dp_plat,0)</f>
        <v>#REF!</v>
      </c>
      <c r="BL70" s="39" t="e">
        <f>ROUNDUP(IF(race="Gnome",1,(1-MIN(#REF!*smithy_bonus,smithy_bonus_cap) + tech_3_5*#REF! + tech_5_3*#REF! + tech_5_5*#REF!))*spec_dp_ore,0)</f>
        <v>#REF!</v>
      </c>
      <c r="BM70" s="39" t="e">
        <f>ROUNDUP((1-MIN(#REF!*smithy_bonus,smithy_bonus_cap) + tech_3_5*#REF! + tech_5_3*#REF! + tech_5_5*#REF!)*elite1_plat,0)</f>
        <v>#REF!</v>
      </c>
      <c r="BN70" s="39" t="e">
        <f>ROUNDUP(IF(race="Gnome",1,(1-MIN(#REF!*smithy_bonus,smithy_bonus_cap) + tech_3_5*#REF! + tech_5_3*#REF! + tech_5_5*#REF!))*elite1_ore,0)</f>
        <v>#REF!</v>
      </c>
      <c r="BO70" s="39" t="e">
        <f>ROUNDUP((1-MIN(#REF!*smithy_bonus,smithy_bonus_cap) + tech_3_5*#REF! + tech_5_3*#REF! + tech_5_5*#REF!)*elite2_plat,0)</f>
        <v>#REF!</v>
      </c>
      <c r="BP70" s="39" t="e">
        <f>ROUNDUP(IF(race="Gnome",1,(1-MIN(#REF!*smithy_bonus,smithy_bonus_cap) + tech_3_5*#REF! + tech_5_3*#REF! + tech_5_5*#REF!))*elite2_ore,0)</f>
        <v>#REF!</v>
      </c>
      <c r="BQ70" s="39" t="e">
        <f>ROUNDUP((1-MIN(ROUND(fh_spy_cost_red*#REF!,4),fh_spy_cost_cap)+ tech_1_9*#REF! + tech_9_1*#REF!)*spy_plat,0)</f>
        <v>#REF!</v>
      </c>
      <c r="BR70" s="39" t="e">
        <f>ROUNDUP((1-MIN(ROUND(fh_spy_cost_red*#REF!,4),fh_spy_cost_cap)+ tech_1_9*#REF! + tech_9_1*#REF!)*archspy_plat,0)</f>
        <v>#REF!</v>
      </c>
      <c r="BS70" s="39" t="e">
        <f>ROUNDUP((1-MIN(ROUND(wg_wiz_cost_bonus*#REF!,4),wg_wiz_cost_cap) + tech_1_9_2*#REF! + tech_9_1_2*#REF!)*wizard_plat,0)</f>
        <v>#REF!</v>
      </c>
      <c r="BT70" s="39" t="e">
        <f>ROUNDUP((1-MIN(ROUND(wg_wiz_cost_bonus*#REF!,4),wg_wiz_cost_cap) + tech_1_9_2*#REF! + tech_9_1_2*#REF!)*archmage_plat,0)</f>
        <v>#REF!</v>
      </c>
      <c r="BU70" s="134"/>
      <c r="BV70" s="132" t="e">
        <f>#REF!/#REF!</f>
        <v>#REF!</v>
      </c>
      <c r="BW70" s="132" t="e">
        <f>#REF!</f>
        <v>#REF!</v>
      </c>
      <c r="BX70" s="241" t="e">
        <f>IF(mystic_cap="none",#REF!/mystic_bonus,MIN(mystic_cap,#REF!/mystic_bonus))</f>
        <v>#REF!</v>
      </c>
      <c r="BY70" s="241" t="e">
        <f>IF(druid_op_cap="none",#REF!/druid_op_bonus,MIN(druid_op_cap,#REF!/druid_op_bonus))</f>
        <v>#REF!</v>
      </c>
      <c r="BZ70" s="241" t="e">
        <f>IF(druid_dp_cap="none",#REF!/druid_dp_bonus,MIN(druid_dp_cap,#REF!/druid_dp_bonus))</f>
        <v>#REF!</v>
      </c>
      <c r="CA70" s="241" t="e">
        <f>MIN(dryad_cap,#REF!/dryad_bonus)</f>
        <v>#REF!</v>
      </c>
      <c r="CB70" s="241" t="e">
        <f>MIN(rocka_cap,#REF!/rocka_bonus)</f>
        <v>#REF!</v>
      </c>
      <c r="CC70" s="241" t="e">
        <f>MIN(adept_op_cap,#REF!/adept_op_bonus)</f>
        <v>#REF!</v>
      </c>
      <c r="CD70" s="241" t="e">
        <f>MIN(adept_dp_cap,#REF!/adept_dp_bonus)</f>
        <v>#REF!</v>
      </c>
      <c r="CE70" s="39" t="e">
        <f>MIN(#REF!,#REF!)*2</f>
        <v>#REF!</v>
      </c>
      <c r="CF70" s="39" t="e">
        <f>MIN(#REF!,#REF!)*2</f>
        <v>#REF!</v>
      </c>
      <c r="CG70" s="241" t="e">
        <f>MIN(frost_mage_cap,#REF!/frost_mage_bonus)</f>
        <v>#REF!</v>
      </c>
      <c r="CH70" s="3" t="e">
        <f>MIN(ice_elem_cap,#REF!*ice_elem_bonus)</f>
        <v>#REF!</v>
      </c>
      <c r="CI70" s="241">
        <f t="shared" si="3"/>
        <v>0.83333333333333337</v>
      </c>
      <c r="CJ70" s="241" t="e">
        <f>MIN(nox_nightshade_cap,#REF!/#REF!/nox_nightshade_swamp_bonus)</f>
        <v>#REF!</v>
      </c>
      <c r="CK70" s="242"/>
      <c r="CL70" s="242"/>
      <c r="CM70" s="242"/>
      <c r="CN70" s="241" t="e">
        <f>MIN(6,#REF!+Races!$F$19)*1.8 +  IF(#REF!+Races!$F$19&gt;6,(#REF!+Races!$F$19-6)*0.2,0) - Races!$I$19</f>
        <v>#REF!</v>
      </c>
      <c r="CO70" s="241" t="e">
        <f>1.8 * MIN(MAX(#REF!+Races!$E$20,#REF!+Races!$F$20),6)  +  0.45 * MIN(MIN(#REF!+Races!$E$20,#REF!+Races!$F$20),6)  +  0.2 * ( MAX(#REF!+Races!$E$20-6,0) + MAX(#REF!+Races!$F$20-6,0) )  -  Races!$I$20</f>
        <v>#REF!</v>
      </c>
      <c r="CP70" s="39" t="e">
        <f>#REF!*#REF!+#REF!*#REF!</f>
        <v>#REF!</v>
      </c>
      <c r="CQ70" s="145" t="e">
        <f>MIN(6,#REF!+Races!$F$35)*1.8 +  IF(#REF!+Races!$F$35&gt;6,(#REF!+Races!$F$35-6)*0.2,0) - Races!$I$19</f>
        <v>#REF!</v>
      </c>
      <c r="CR70" s="39" t="e">
        <f>sylvan*(#REF!*#REF!)</f>
        <v>#REF!</v>
      </c>
      <c r="CS70" s="145" t="e">
        <f>1.8 * MIN(MAX(Races!$E$27,#REF!+Races!$F$27),6)  +  0.45 * MIN(MIN(Races!$E$27,#REF!+Races!$F$27),6)  +  0.2 * ( MAX(Races!$E$27-6,0) + MAX(#REF!+Races!$F$27-6,0) )  -  Races!$I$20</f>
        <v>#REF!</v>
      </c>
      <c r="CT70" s="39" t="e">
        <f>gnome*(#REF!*#REF!)</f>
        <v>#REF!</v>
      </c>
      <c r="CU70" s="145" t="e">
        <f>1.8 * MIN(MAX(#REF!+Races!$E$47,#REF!+Races!$F$47),6)  +  0.45 * MIN(MIN(#REF!+Races!$E$47,#REF!+Races!$F$47),6)  +  0.2 * ( MAX(#REF!+Races!$E$47-6,0) + MAX(#REF!+Races!$F$47-6,0) )  -  Races!$I$47</f>
        <v>#REF!</v>
      </c>
      <c r="CV70" s="39" t="e">
        <f>dark_elf*(#REF!*#REF!)</f>
        <v>#REF!</v>
      </c>
      <c r="CW70" s="145" t="e">
        <f>1.8 * MIN(MAX(#REF!+Races!$F$71,Races!$E$71),6)  +  0.45 * MIN(MIN(#REF!+Races!$F$71,Races!$E$71),6)  +  0.2 * ( MAX(#REF!+Races!$F$71-6,0) + MAX(Races!$E$71-6,0) )  -  Races!$I$71</f>
        <v>#REF!</v>
      </c>
      <c r="CX70" s="145" t="e">
        <f>1.8 * MIN(MAX(#REF!+Races!$E$71,Races!$F$71),6)  +  0.45 * MIN(MIN(#REF!+Races!$E$71,Races!$F$71),6)  +  0.2 * ( MAX(#REF!+Races!$E$71-6,0) + MAX(Races!$F$71-6,0) )  -  Races!$I$71</f>
        <v>#REF!</v>
      </c>
      <c r="CY70" s="39" t="e">
        <f>#REF!*#REF!+#REF!*#REF!</f>
        <v>#REF!</v>
      </c>
      <c r="CZ70" s="243"/>
      <c r="DA70" s="135" t="e">
        <f>MIN(SUM(#REF!)/#REF!/favorable_terrain_bonus/100,favorable_terrain_max)</f>
        <v>#REF!</v>
      </c>
      <c r="DB70" s="243"/>
      <c r="DC70"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70" s="134"/>
      <c r="DE70" s="244" t="e">
        <f>(#REF!+2*#REF!)/#REF!</f>
        <v>#REF!</v>
      </c>
      <c r="DF70" s="244" t="e">
        <f>#REF!*(1+race_wizard_strength+IF(#REF!&gt;72,tech_magical_weaponry_wiz*#REF!,0))</f>
        <v>#REF!</v>
      </c>
    </row>
    <row r="71" spans="1:110" x14ac:dyDescent="0.25">
      <c r="A71" s="130" t="e">
        <f>#REF!</f>
        <v>#REF!</v>
      </c>
      <c r="B71" s="236" t="e">
        <f ca="1">SUM(#REF!)+SUM(OFFSET(#REF!,-8,0):#REF!) + SUM(OFFSET(#REF!,-11,0):#REF!) +#REF!</f>
        <v>#REF!</v>
      </c>
      <c r="C71" s="132" t="e">
        <f>#REF!</f>
        <v>#REF!</v>
      </c>
      <c r="D71" s="134"/>
      <c r="E71" s="3" t="e">
        <f ca="1">OFFSET(#REF!,-1,0) + OFFSET(#REF!,-9,0) -#REF!</f>
        <v>#REF!</v>
      </c>
      <c r="F71" s="3" t="e">
        <f ca="1">OFFSET(#REF!,-1,0) + OFFSET(#REF!,-9,0)-#REF!</f>
        <v>#REF!</v>
      </c>
      <c r="G71" s="3" t="e">
        <f ca="1">OFFSET(#REF!,-1,0) + OFFSET(#REF!,-12,0)-#REF!</f>
        <v>#REF!</v>
      </c>
      <c r="H71" s="3" t="e">
        <f ca="1">OFFSET(#REF!,-1,0) + OFFSET(#REF!,-12,0)-#REF!</f>
        <v>#REF!</v>
      </c>
      <c r="I71" s="3" t="e">
        <f ca="1">OFFSET(#REF!,-1,0) + OFFSET(#REF!,-12,0) -#REF!-#REF!</f>
        <v>#REF!</v>
      </c>
      <c r="J71" s="3" t="e">
        <f ca="1">OFFSET(#REF!,-1,0) + OFFSET(#REF!,-12,0) -#REF!</f>
        <v>#REF!</v>
      </c>
      <c r="K71" s="3" t="e">
        <f ca="1">OFFSET(#REF!,-1,0) + OFFSET(#REF!,-12,0) -#REF!-#REF!</f>
        <v>#REF!</v>
      </c>
      <c r="L71" s="3" t="e">
        <f ca="1">OFFSET(#REF!,-1,0) + OFFSET(#REF!,-12,0) -#REF!</f>
        <v>#REF!</v>
      </c>
      <c r="M71" s="134"/>
      <c r="N71" s="39" t="e">
        <f>#REF!</f>
        <v>#REF!</v>
      </c>
      <c r="O71" s="134"/>
      <c r="P71" s="237" t="e">
        <f>#REF!*spec_op+#REF!*(elite1_base_op)+#REF!*(elite2_base_op+dark_elf*#REF!+icekin*#REF!+woodie*#REF!+orc*#REF!)+kobold*#REF!</f>
        <v>#REF!</v>
      </c>
      <c r="Q71" s="132" t="e">
        <f>race_offense+#REF!+ROUND(MIN(gn_bonus*#REF!/#REF!,gn_bonus_cap),4)+MAX(IF(#REF!&gt;0,warsong_bonus),IF(#REF!&gt;0,howling_op_bonus),IF(#REF!&gt;0,nightfall_bonus),IF(#REF!&gt;0,#REF!)) +#REF!/ 100*prestige_offense_bonus + tech_5_4*#REF! + tech_7_4*#REF!</f>
        <v>#REF!</v>
      </c>
      <c r="R71" s="237" t="e">
        <f>#REF!*(1+#REF!)</f>
        <v>#REF!</v>
      </c>
      <c r="S71" s="237" t="e">
        <f>#REF!*spec_dp+#REF!*(elite1_base_dp+woodie*#REF!+sylvan*#REF!+gnome*#REF!+icekin*#REF!+nox*#REF!)+#REF!*(elite2_base_dp+woodie*#REF!) + fh_peas_dp*MIN(#REF!,20*#REF!)+kobold*#REF!</f>
        <v>#REF!</v>
      </c>
      <c r="T71" s="237" t="e">
        <f>#REF!+#REF!</f>
        <v>#REF!</v>
      </c>
      <c r="U71" s="238" t="e">
        <f>race_defense +#REF! + ROUND( MIN(gt_bonus*#REF!/#REF!,gt_bonus_cap), 4) + IF(#REF!&gt;0,howling_dp_bonus,IF(#REF!&gt;0,ares_call_bonus))</f>
        <v>#REF!</v>
      </c>
      <c r="V71" s="239" t="e">
        <f>#REF! * (1 +#REF!)</f>
        <v>#REF!</v>
      </c>
      <c r="W71" s="237" t="e">
        <f>#REF! * (1 +#REF!)</f>
        <v>#REF!</v>
      </c>
      <c r="X71" s="237" t="e">
        <f>#REF!</f>
        <v>#REF!</v>
      </c>
      <c r="Y71" s="240"/>
      <c r="Z71" s="135" t="e">
        <f ca="1">IF(#REF!&lt;&gt;"",#REF!,OFFSET(#REF!,-1,0))</f>
        <v>#REF!</v>
      </c>
      <c r="AA71" s="39" t="e">
        <f ca="1">OFFSET(#REF!,-1,0)+OFFSET(#REF!,-1,0) - SUM(#REF!,#REF!) -#REF! + SUM(#REF!) -#REF!</f>
        <v>#REF!</v>
      </c>
      <c r="AB71" s="133"/>
      <c r="AC71" s="132" t="e">
        <f>(#REF!+#REF!)/(#REF!-#REF!*20)</f>
        <v>#REF!</v>
      </c>
      <c r="AD71" s="130"/>
      <c r="AE71" s="236" t="e">
        <f>#REF!</f>
        <v>#REF!</v>
      </c>
      <c r="AF71" s="131" t="e">
        <f>#REF!</f>
        <v>#REF!</v>
      </c>
      <c r="AG71" s="164"/>
      <c r="AH71" s="146"/>
      <c r="AI71" s="164"/>
      <c r="AJ71" s="164"/>
      <c r="AK71" s="164"/>
      <c r="AL71" s="164"/>
      <c r="AM71" s="164"/>
      <c r="AN71" s="164"/>
      <c r="AO71" s="134"/>
      <c r="AP71" s="39" t="e">
        <f>#REF!</f>
        <v>#REF!</v>
      </c>
      <c r="AQ71" s="39" t="e">
        <f>INDEX(#REF!:#REF!,COUNTA(#REF!:#REF!),MATCH(Military!$AQ$2,#REF!,0))</f>
        <v>#REF!</v>
      </c>
      <c r="AR71" s="39" t="e">
        <f>#REF!*#REF!+#REF!*#REF!+#REF!*#REF!+#REF!*#REF!+#REF!*#REF!+#REF!*#REF!+#REF!*#REF!</f>
        <v>#REF!</v>
      </c>
      <c r="AS71" s="39" t="e">
        <f>#REF!*#REF!+#REF!*#REF!+#REF!*#REF!+#REF!*#REF!</f>
        <v>#REF!</v>
      </c>
      <c r="AT71" s="134" t="e">
        <f>#REF!</f>
        <v>#REF!</v>
      </c>
      <c r="AU71" s="143" t="e">
        <f>#REF!</f>
        <v>#REF!</v>
      </c>
      <c r="AV71" s="39" t="e">
        <f>#REF!</f>
        <v>#REF!</v>
      </c>
      <c r="AW71" s="164"/>
      <c r="AX71" s="164"/>
      <c r="AY71" s="164"/>
      <c r="AZ71" s="164"/>
      <c r="BA71" s="164"/>
      <c r="BB71" s="164"/>
      <c r="BC71" s="164"/>
      <c r="BD71" s="164"/>
      <c r="BE71" s="164"/>
      <c r="BF71" s="134"/>
      <c r="BG71" s="132" t="e">
        <f>#REF!/#REF!</f>
        <v>#REF!</v>
      </c>
      <c r="BH71" s="132" t="e">
        <f>#REF!/#REF!</f>
        <v>#REF!</v>
      </c>
      <c r="BI71" s="39" t="e">
        <f>ROUNDUP((1-MIN(#REF!*smithy_bonus,smithy_bonus_cap) + tech_3_5*#REF! + tech_5_3*#REF! + tech_5_5*#REF!)*spec_op_plat,0)</f>
        <v>#REF!</v>
      </c>
      <c r="BJ71" s="39" t="e">
        <f>ROUNDUP(IF(race="Gnome",1,(1-MIN(#REF!*smithy_bonus,smithy_bonus_cap) + tech_3_5*#REF! + tech_5_3*#REF! + tech_5_5*#REF!))*spec_op_ore,0)</f>
        <v>#REF!</v>
      </c>
      <c r="BK71" s="39" t="e">
        <f>ROUNDUP((1-MIN(#REF!*smithy_bonus,smithy_bonus_cap) + tech_3_5*#REF! + tech_5_3*#REF! + tech_5_5*#REF!)*spec_dp_plat,0)</f>
        <v>#REF!</v>
      </c>
      <c r="BL71" s="39" t="e">
        <f>ROUNDUP(IF(race="Gnome",1,(1-MIN(#REF!*smithy_bonus,smithy_bonus_cap) + tech_3_5*#REF! + tech_5_3*#REF! + tech_5_5*#REF!))*spec_dp_ore,0)</f>
        <v>#REF!</v>
      </c>
      <c r="BM71" s="39" t="e">
        <f>ROUNDUP((1-MIN(#REF!*smithy_bonus,smithy_bonus_cap) + tech_3_5*#REF! + tech_5_3*#REF! + tech_5_5*#REF!)*elite1_plat,0)</f>
        <v>#REF!</v>
      </c>
      <c r="BN71" s="39" t="e">
        <f>ROUNDUP(IF(race="Gnome",1,(1-MIN(#REF!*smithy_bonus,smithy_bonus_cap) + tech_3_5*#REF! + tech_5_3*#REF! + tech_5_5*#REF!))*elite1_ore,0)</f>
        <v>#REF!</v>
      </c>
      <c r="BO71" s="39" t="e">
        <f>ROUNDUP((1-MIN(#REF!*smithy_bonus,smithy_bonus_cap) + tech_3_5*#REF! + tech_5_3*#REF! + tech_5_5*#REF!)*elite2_plat,0)</f>
        <v>#REF!</v>
      </c>
      <c r="BP71" s="39" t="e">
        <f>ROUNDUP(IF(race="Gnome",1,(1-MIN(#REF!*smithy_bonus,smithy_bonus_cap) + tech_3_5*#REF! + tech_5_3*#REF! + tech_5_5*#REF!))*elite2_ore,0)</f>
        <v>#REF!</v>
      </c>
      <c r="BQ71" s="39" t="e">
        <f>ROUNDUP((1-MIN(ROUND(fh_spy_cost_red*#REF!,4),fh_spy_cost_cap)+ tech_1_9*#REF! + tech_9_1*#REF!)*spy_plat,0)</f>
        <v>#REF!</v>
      </c>
      <c r="BR71" s="39" t="e">
        <f>ROUNDUP((1-MIN(ROUND(fh_spy_cost_red*#REF!,4),fh_spy_cost_cap)+ tech_1_9*#REF! + tech_9_1*#REF!)*archspy_plat,0)</f>
        <v>#REF!</v>
      </c>
      <c r="BS71" s="39" t="e">
        <f>ROUNDUP((1-MIN(ROUND(wg_wiz_cost_bonus*#REF!,4),wg_wiz_cost_cap) + tech_1_9_2*#REF! + tech_9_1_2*#REF!)*wizard_plat,0)</f>
        <v>#REF!</v>
      </c>
      <c r="BT71" s="39" t="e">
        <f>ROUNDUP((1-MIN(ROUND(wg_wiz_cost_bonus*#REF!,4),wg_wiz_cost_cap) + tech_1_9_2*#REF! + tech_9_1_2*#REF!)*archmage_plat,0)</f>
        <v>#REF!</v>
      </c>
      <c r="BU71" s="134"/>
      <c r="BV71" s="132" t="e">
        <f>#REF!/#REF!</f>
        <v>#REF!</v>
      </c>
      <c r="BW71" s="132" t="e">
        <f>#REF!</f>
        <v>#REF!</v>
      </c>
      <c r="BX71" s="241" t="e">
        <f>IF(mystic_cap="none",#REF!/mystic_bonus,MIN(mystic_cap,#REF!/mystic_bonus))</f>
        <v>#REF!</v>
      </c>
      <c r="BY71" s="241" t="e">
        <f>IF(druid_op_cap="none",#REF!/druid_op_bonus,MIN(druid_op_cap,#REF!/druid_op_bonus))</f>
        <v>#REF!</v>
      </c>
      <c r="BZ71" s="241" t="e">
        <f>IF(druid_dp_cap="none",#REF!/druid_dp_bonus,MIN(druid_dp_cap,#REF!/druid_dp_bonus))</f>
        <v>#REF!</v>
      </c>
      <c r="CA71" s="241" t="e">
        <f>MIN(dryad_cap,#REF!/dryad_bonus)</f>
        <v>#REF!</v>
      </c>
      <c r="CB71" s="241" t="e">
        <f>MIN(rocka_cap,#REF!/rocka_bonus)</f>
        <v>#REF!</v>
      </c>
      <c r="CC71" s="241" t="e">
        <f>MIN(adept_op_cap,#REF!/adept_op_bonus)</f>
        <v>#REF!</v>
      </c>
      <c r="CD71" s="241" t="e">
        <f>MIN(adept_dp_cap,#REF!/adept_dp_bonus)</f>
        <v>#REF!</v>
      </c>
      <c r="CE71" s="39" t="e">
        <f>MIN(#REF!,#REF!)*2</f>
        <v>#REF!</v>
      </c>
      <c r="CF71" s="39" t="e">
        <f>MIN(#REF!,#REF!)*2</f>
        <v>#REF!</v>
      </c>
      <c r="CG71" s="241" t="e">
        <f>MIN(frost_mage_cap,#REF!/frost_mage_bonus)</f>
        <v>#REF!</v>
      </c>
      <c r="CH71" s="3" t="e">
        <f>MIN(ice_elem_cap,#REF!*ice_elem_bonus)</f>
        <v>#REF!</v>
      </c>
      <c r="CI71" s="241">
        <f t="shared" si="3"/>
        <v>0.83333333333333337</v>
      </c>
      <c r="CJ71" s="241" t="e">
        <f>MIN(nox_nightshade_cap,#REF!/#REF!/nox_nightshade_swamp_bonus)</f>
        <v>#REF!</v>
      </c>
      <c r="CK71" s="242"/>
      <c r="CL71" s="242"/>
      <c r="CM71" s="242"/>
      <c r="CN71" s="241" t="e">
        <f>MIN(6,#REF!+Races!$F$19)*1.8 +  IF(#REF!+Races!$F$19&gt;6,(#REF!+Races!$F$19-6)*0.2,0) - Races!$I$19</f>
        <v>#REF!</v>
      </c>
      <c r="CO71" s="241" t="e">
        <f>1.8 * MIN(MAX(#REF!+Races!$E$20,#REF!+Races!$F$20),6)  +  0.45 * MIN(MIN(#REF!+Races!$E$20,#REF!+Races!$F$20),6)  +  0.2 * ( MAX(#REF!+Races!$E$20-6,0) + MAX(#REF!+Races!$F$20-6,0) )  -  Races!$I$20</f>
        <v>#REF!</v>
      </c>
      <c r="CP71" s="39" t="e">
        <f>#REF!*#REF!+#REF!*#REF!</f>
        <v>#REF!</v>
      </c>
      <c r="CQ71" s="145" t="e">
        <f>MIN(6,#REF!+Races!$F$35)*1.8 +  IF(#REF!+Races!$F$35&gt;6,(#REF!+Races!$F$35-6)*0.2,0) - Races!$I$19</f>
        <v>#REF!</v>
      </c>
      <c r="CR71" s="39" t="e">
        <f>sylvan*(#REF!*#REF!)</f>
        <v>#REF!</v>
      </c>
      <c r="CS71" s="145" t="e">
        <f>1.8 * MIN(MAX(Races!$E$27,#REF!+Races!$F$27),6)  +  0.45 * MIN(MIN(Races!$E$27,#REF!+Races!$F$27),6)  +  0.2 * ( MAX(Races!$E$27-6,0) + MAX(#REF!+Races!$F$27-6,0) )  -  Races!$I$20</f>
        <v>#REF!</v>
      </c>
      <c r="CT71" s="39" t="e">
        <f>gnome*(#REF!*#REF!)</f>
        <v>#REF!</v>
      </c>
      <c r="CU71" s="145" t="e">
        <f>1.8 * MIN(MAX(#REF!+Races!$E$47,#REF!+Races!$F$47),6)  +  0.45 * MIN(MIN(#REF!+Races!$E$47,#REF!+Races!$F$47),6)  +  0.2 * ( MAX(#REF!+Races!$E$47-6,0) + MAX(#REF!+Races!$F$47-6,0) )  -  Races!$I$47</f>
        <v>#REF!</v>
      </c>
      <c r="CV71" s="39" t="e">
        <f>dark_elf*(#REF!*#REF!)</f>
        <v>#REF!</v>
      </c>
      <c r="CW71" s="145" t="e">
        <f>1.8 * MIN(MAX(#REF!+Races!$F$71,Races!$E$71),6)  +  0.45 * MIN(MIN(#REF!+Races!$F$71,Races!$E$71),6)  +  0.2 * ( MAX(#REF!+Races!$F$71-6,0) + MAX(Races!$E$71-6,0) )  -  Races!$I$71</f>
        <v>#REF!</v>
      </c>
      <c r="CX71" s="145" t="e">
        <f>1.8 * MIN(MAX(#REF!+Races!$E$71,Races!$F$71),6)  +  0.45 * MIN(MIN(#REF!+Races!$E$71,Races!$F$71),6)  +  0.2 * ( MAX(#REF!+Races!$E$71-6,0) + MAX(Races!$F$71-6,0) )  -  Races!$I$71</f>
        <v>#REF!</v>
      </c>
      <c r="CY71" s="39" t="e">
        <f>#REF!*#REF!+#REF!*#REF!</f>
        <v>#REF!</v>
      </c>
      <c r="CZ71" s="243"/>
      <c r="DA71" s="135" t="e">
        <f>MIN(SUM(#REF!)/#REF!/favorable_terrain_bonus/100,favorable_terrain_max)</f>
        <v>#REF!</v>
      </c>
      <c r="DB71" s="243"/>
      <c r="DC71"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71" s="134"/>
      <c r="DE71" s="244" t="e">
        <f>(#REF!+2*#REF!)/#REF!</f>
        <v>#REF!</v>
      </c>
      <c r="DF71" s="244" t="e">
        <f>#REF!*(1+race_wizard_strength+IF(#REF!&gt;72,tech_magical_weaponry_wiz*#REF!,0))</f>
        <v>#REF!</v>
      </c>
    </row>
    <row r="72" spans="1:110" x14ac:dyDescent="0.25">
      <c r="A72" s="130" t="e">
        <f>#REF!</f>
        <v>#REF!</v>
      </c>
      <c r="B72" s="236" t="e">
        <f ca="1">SUM(#REF!)+SUM(OFFSET(#REF!,-8,0):#REF!) + SUM(OFFSET(#REF!,-11,0):#REF!) +#REF!</f>
        <v>#REF!</v>
      </c>
      <c r="C72" s="132" t="e">
        <f>#REF!</f>
        <v>#REF!</v>
      </c>
      <c r="D72" s="134"/>
      <c r="E72" s="3" t="e">
        <f ca="1">OFFSET(#REF!,-1,0) + OFFSET(#REF!,-9,0) -#REF!</f>
        <v>#REF!</v>
      </c>
      <c r="F72" s="3" t="e">
        <f ca="1">OFFSET(#REF!,-1,0) + OFFSET(#REF!,-9,0)-#REF!</f>
        <v>#REF!</v>
      </c>
      <c r="G72" s="3" t="e">
        <f ca="1">OFFSET(#REF!,-1,0) + OFFSET(#REF!,-12,0)-#REF!</f>
        <v>#REF!</v>
      </c>
      <c r="H72" s="3" t="e">
        <f ca="1">OFFSET(#REF!,-1,0) + OFFSET(#REF!,-12,0)-#REF!</f>
        <v>#REF!</v>
      </c>
      <c r="I72" s="3" t="e">
        <f ca="1">OFFSET(#REF!,-1,0) + OFFSET(#REF!,-12,0) -#REF!-#REF!</f>
        <v>#REF!</v>
      </c>
      <c r="J72" s="3" t="e">
        <f ca="1">OFFSET(#REF!,-1,0) + OFFSET(#REF!,-12,0) -#REF!</f>
        <v>#REF!</v>
      </c>
      <c r="K72" s="3" t="e">
        <f ca="1">OFFSET(#REF!,-1,0) + OFFSET(#REF!,-12,0) -#REF!-#REF!</f>
        <v>#REF!</v>
      </c>
      <c r="L72" s="3" t="e">
        <f ca="1">OFFSET(#REF!,-1,0) + OFFSET(#REF!,-12,0) -#REF!</f>
        <v>#REF!</v>
      </c>
      <c r="M72" s="134"/>
      <c r="N72" s="39" t="e">
        <f>#REF!</f>
        <v>#REF!</v>
      </c>
      <c r="O72" s="134"/>
      <c r="P72" s="237" t="e">
        <f>#REF!*spec_op+#REF!*(elite1_base_op)+#REF!*(elite2_base_op+dark_elf*#REF!+icekin*#REF!+woodie*#REF!+orc*#REF!)+kobold*#REF!</f>
        <v>#REF!</v>
      </c>
      <c r="Q72" s="132" t="e">
        <f>race_offense+#REF!+ROUND(MIN(gn_bonus*#REF!/#REF!,gn_bonus_cap),4)+MAX(IF(#REF!&gt;0,warsong_bonus),IF(#REF!&gt;0,howling_op_bonus),IF(#REF!&gt;0,nightfall_bonus),IF(#REF!&gt;0,#REF!)) +#REF!/ 100*prestige_offense_bonus + tech_5_4*#REF! + tech_7_4*#REF!</f>
        <v>#REF!</v>
      </c>
      <c r="R72" s="237" t="e">
        <f>#REF!*(1+#REF!)</f>
        <v>#REF!</v>
      </c>
      <c r="S72" s="237" t="e">
        <f>#REF!*spec_dp+#REF!*(elite1_base_dp+woodie*#REF!+sylvan*#REF!+gnome*#REF!+icekin*#REF!+nox*#REF!)+#REF!*(elite2_base_dp+woodie*#REF!) + fh_peas_dp*MIN(#REF!,20*#REF!)+kobold*#REF!</f>
        <v>#REF!</v>
      </c>
      <c r="T72" s="237" t="e">
        <f>#REF!+#REF!</f>
        <v>#REF!</v>
      </c>
      <c r="U72" s="238" t="e">
        <f>race_defense +#REF! + ROUND( MIN(gt_bonus*#REF!/#REF!,gt_bonus_cap), 4) + IF(#REF!&gt;0,howling_dp_bonus,IF(#REF!&gt;0,ares_call_bonus))</f>
        <v>#REF!</v>
      </c>
      <c r="V72" s="239" t="e">
        <f>#REF! * (1 +#REF!)</f>
        <v>#REF!</v>
      </c>
      <c r="W72" s="237" t="e">
        <f>#REF! * (1 +#REF!)</f>
        <v>#REF!</v>
      </c>
      <c r="X72" s="237" t="e">
        <f>#REF!</f>
        <v>#REF!</v>
      </c>
      <c r="Y72" s="240"/>
      <c r="Z72" s="135" t="e">
        <f ca="1">IF(#REF!&lt;&gt;"",#REF!,OFFSET(#REF!,-1,0))</f>
        <v>#REF!</v>
      </c>
      <c r="AA72" s="39" t="e">
        <f ca="1">OFFSET(#REF!,-1,0)+OFFSET(#REF!,-1,0) - SUM(#REF!,#REF!) -#REF! + SUM(#REF!) -#REF!</f>
        <v>#REF!</v>
      </c>
      <c r="AB72" s="133"/>
      <c r="AC72" s="132" t="e">
        <f>(#REF!+#REF!)/(#REF!-#REF!*20)</f>
        <v>#REF!</v>
      </c>
      <c r="AD72" s="130"/>
      <c r="AE72" s="236" t="e">
        <f>#REF!</f>
        <v>#REF!</v>
      </c>
      <c r="AF72" s="131" t="e">
        <f>#REF!</f>
        <v>#REF!</v>
      </c>
      <c r="AG72" s="164"/>
      <c r="AH72" s="146"/>
      <c r="AI72" s="164"/>
      <c r="AJ72" s="164"/>
      <c r="AK72" s="164"/>
      <c r="AL72" s="164"/>
      <c r="AM72" s="164"/>
      <c r="AN72" s="164"/>
      <c r="AO72" s="134"/>
      <c r="AP72" s="39" t="e">
        <f>#REF!</f>
        <v>#REF!</v>
      </c>
      <c r="AQ72" s="39" t="e">
        <f>INDEX(#REF!:#REF!,COUNTA(#REF!:#REF!),MATCH(Military!$AQ$2,#REF!,0))</f>
        <v>#REF!</v>
      </c>
      <c r="AR72" s="39" t="e">
        <f>#REF!*#REF!+#REF!*#REF!+#REF!*#REF!+#REF!*#REF!+#REF!*#REF!+#REF!*#REF!+#REF!*#REF!</f>
        <v>#REF!</v>
      </c>
      <c r="AS72" s="39" t="e">
        <f>#REF!*#REF!+#REF!*#REF!+#REF!*#REF!+#REF!*#REF!</f>
        <v>#REF!</v>
      </c>
      <c r="AT72" s="134" t="e">
        <f>#REF!</f>
        <v>#REF!</v>
      </c>
      <c r="AU72" s="143" t="e">
        <f>#REF!</f>
        <v>#REF!</v>
      </c>
      <c r="AV72" s="39" t="e">
        <f>#REF!</f>
        <v>#REF!</v>
      </c>
      <c r="AW72" s="164"/>
      <c r="AX72" s="164"/>
      <c r="AY72" s="164"/>
      <c r="AZ72" s="164"/>
      <c r="BA72" s="164"/>
      <c r="BB72" s="164"/>
      <c r="BC72" s="164"/>
      <c r="BD72" s="164"/>
      <c r="BE72" s="164"/>
      <c r="BF72" s="134"/>
      <c r="BG72" s="132" t="e">
        <f>#REF!/#REF!</f>
        <v>#REF!</v>
      </c>
      <c r="BH72" s="132" t="e">
        <f>#REF!/#REF!</f>
        <v>#REF!</v>
      </c>
      <c r="BI72" s="39" t="e">
        <f>ROUNDUP((1-MIN(#REF!*smithy_bonus,smithy_bonus_cap) + tech_3_5*#REF! + tech_5_3*#REF! + tech_5_5*#REF!)*spec_op_plat,0)</f>
        <v>#REF!</v>
      </c>
      <c r="BJ72" s="39" t="e">
        <f>ROUNDUP(IF(race="Gnome",1,(1-MIN(#REF!*smithy_bonus,smithy_bonus_cap) + tech_3_5*#REF! + tech_5_3*#REF! + tech_5_5*#REF!))*spec_op_ore,0)</f>
        <v>#REF!</v>
      </c>
      <c r="BK72" s="39" t="e">
        <f>ROUNDUP((1-MIN(#REF!*smithy_bonus,smithy_bonus_cap) + tech_3_5*#REF! + tech_5_3*#REF! + tech_5_5*#REF!)*spec_dp_plat,0)</f>
        <v>#REF!</v>
      </c>
      <c r="BL72" s="39" t="e">
        <f>ROUNDUP(IF(race="Gnome",1,(1-MIN(#REF!*smithy_bonus,smithy_bonus_cap) + tech_3_5*#REF! + tech_5_3*#REF! + tech_5_5*#REF!))*spec_dp_ore,0)</f>
        <v>#REF!</v>
      </c>
      <c r="BM72" s="39" t="e">
        <f>ROUNDUP((1-MIN(#REF!*smithy_bonus,smithy_bonus_cap) + tech_3_5*#REF! + tech_5_3*#REF! + tech_5_5*#REF!)*elite1_plat,0)</f>
        <v>#REF!</v>
      </c>
      <c r="BN72" s="39" t="e">
        <f>ROUNDUP(IF(race="Gnome",1,(1-MIN(#REF!*smithy_bonus,smithy_bonus_cap) + tech_3_5*#REF! + tech_5_3*#REF! + tech_5_5*#REF!))*elite1_ore,0)</f>
        <v>#REF!</v>
      </c>
      <c r="BO72" s="39" t="e">
        <f>ROUNDUP((1-MIN(#REF!*smithy_bonus,smithy_bonus_cap) + tech_3_5*#REF! + tech_5_3*#REF! + tech_5_5*#REF!)*elite2_plat,0)</f>
        <v>#REF!</v>
      </c>
      <c r="BP72" s="39" t="e">
        <f>ROUNDUP(IF(race="Gnome",1,(1-MIN(#REF!*smithy_bonus,smithy_bonus_cap) + tech_3_5*#REF! + tech_5_3*#REF! + tech_5_5*#REF!))*elite2_ore,0)</f>
        <v>#REF!</v>
      </c>
      <c r="BQ72" s="39" t="e">
        <f>ROUNDUP((1-MIN(ROUND(fh_spy_cost_red*#REF!,4),fh_spy_cost_cap)+ tech_1_9*#REF! + tech_9_1*#REF!)*spy_plat,0)</f>
        <v>#REF!</v>
      </c>
      <c r="BR72" s="39" t="e">
        <f>ROUNDUP((1-MIN(ROUND(fh_spy_cost_red*#REF!,4),fh_spy_cost_cap)+ tech_1_9*#REF! + tech_9_1*#REF!)*archspy_plat,0)</f>
        <v>#REF!</v>
      </c>
      <c r="BS72" s="39" t="e">
        <f>ROUNDUP((1-MIN(ROUND(wg_wiz_cost_bonus*#REF!,4),wg_wiz_cost_cap) + tech_1_9_2*#REF! + tech_9_1_2*#REF!)*wizard_plat,0)</f>
        <v>#REF!</v>
      </c>
      <c r="BT72" s="39" t="e">
        <f>ROUNDUP((1-MIN(ROUND(wg_wiz_cost_bonus*#REF!,4),wg_wiz_cost_cap) + tech_1_9_2*#REF! + tech_9_1_2*#REF!)*archmage_plat,0)</f>
        <v>#REF!</v>
      </c>
      <c r="BU72" s="134"/>
      <c r="BV72" s="132" t="e">
        <f>#REF!/#REF!</f>
        <v>#REF!</v>
      </c>
      <c r="BW72" s="132" t="e">
        <f>#REF!</f>
        <v>#REF!</v>
      </c>
      <c r="BX72" s="241" t="e">
        <f>IF(mystic_cap="none",#REF!/mystic_bonus,MIN(mystic_cap,#REF!/mystic_bonus))</f>
        <v>#REF!</v>
      </c>
      <c r="BY72" s="241" t="e">
        <f>IF(druid_op_cap="none",#REF!/druid_op_bonus,MIN(druid_op_cap,#REF!/druid_op_bonus))</f>
        <v>#REF!</v>
      </c>
      <c r="BZ72" s="241" t="e">
        <f>IF(druid_dp_cap="none",#REF!/druid_dp_bonus,MIN(druid_dp_cap,#REF!/druid_dp_bonus))</f>
        <v>#REF!</v>
      </c>
      <c r="CA72" s="241" t="e">
        <f>MIN(dryad_cap,#REF!/dryad_bonus)</f>
        <v>#REF!</v>
      </c>
      <c r="CB72" s="241" t="e">
        <f>MIN(rocka_cap,#REF!/rocka_bonus)</f>
        <v>#REF!</v>
      </c>
      <c r="CC72" s="241" t="e">
        <f>MIN(adept_op_cap,#REF!/adept_op_bonus)</f>
        <v>#REF!</v>
      </c>
      <c r="CD72" s="241" t="e">
        <f>MIN(adept_dp_cap,#REF!/adept_dp_bonus)</f>
        <v>#REF!</v>
      </c>
      <c r="CE72" s="39" t="e">
        <f>MIN(#REF!,#REF!)*2</f>
        <v>#REF!</v>
      </c>
      <c r="CF72" s="39" t="e">
        <f>MIN(#REF!,#REF!)*2</f>
        <v>#REF!</v>
      </c>
      <c r="CG72" s="241" t="e">
        <f>MIN(frost_mage_cap,#REF!/frost_mage_bonus)</f>
        <v>#REF!</v>
      </c>
      <c r="CH72" s="3" t="e">
        <f>MIN(ice_elem_cap,#REF!*ice_elem_bonus)</f>
        <v>#REF!</v>
      </c>
      <c r="CI72" s="241">
        <f t="shared" si="3"/>
        <v>0.83333333333333337</v>
      </c>
      <c r="CJ72" s="241" t="e">
        <f>MIN(nox_nightshade_cap,#REF!/#REF!/nox_nightshade_swamp_bonus)</f>
        <v>#REF!</v>
      </c>
      <c r="CK72" s="242"/>
      <c r="CL72" s="242"/>
      <c r="CM72" s="242"/>
      <c r="CN72" s="241" t="e">
        <f>MIN(6,#REF!+Races!$F$19)*1.8 +  IF(#REF!+Races!$F$19&gt;6,(#REF!+Races!$F$19-6)*0.2,0) - Races!$I$19</f>
        <v>#REF!</v>
      </c>
      <c r="CO72" s="241" t="e">
        <f>1.8 * MIN(MAX(#REF!+Races!$E$20,#REF!+Races!$F$20),6)  +  0.45 * MIN(MIN(#REF!+Races!$E$20,#REF!+Races!$F$20),6)  +  0.2 * ( MAX(#REF!+Races!$E$20-6,0) + MAX(#REF!+Races!$F$20-6,0) )  -  Races!$I$20</f>
        <v>#REF!</v>
      </c>
      <c r="CP72" s="39" t="e">
        <f>#REF!*#REF!+#REF!*#REF!</f>
        <v>#REF!</v>
      </c>
      <c r="CQ72" s="145" t="e">
        <f>MIN(6,#REF!+Races!$F$35)*1.8 +  IF(#REF!+Races!$F$35&gt;6,(#REF!+Races!$F$35-6)*0.2,0) - Races!$I$19</f>
        <v>#REF!</v>
      </c>
      <c r="CR72" s="39" t="e">
        <f>sylvan*(#REF!*#REF!)</f>
        <v>#REF!</v>
      </c>
      <c r="CS72" s="145" t="e">
        <f>1.8 * MIN(MAX(Races!$E$27,#REF!+Races!$F$27),6)  +  0.45 * MIN(MIN(Races!$E$27,#REF!+Races!$F$27),6)  +  0.2 * ( MAX(Races!$E$27-6,0) + MAX(#REF!+Races!$F$27-6,0) )  -  Races!$I$20</f>
        <v>#REF!</v>
      </c>
      <c r="CT72" s="39" t="e">
        <f>gnome*(#REF!*#REF!)</f>
        <v>#REF!</v>
      </c>
      <c r="CU72" s="145" t="e">
        <f>1.8 * MIN(MAX(#REF!+Races!$E$47,#REF!+Races!$F$47),6)  +  0.45 * MIN(MIN(#REF!+Races!$E$47,#REF!+Races!$F$47),6)  +  0.2 * ( MAX(#REF!+Races!$E$47-6,0) + MAX(#REF!+Races!$F$47-6,0) )  -  Races!$I$47</f>
        <v>#REF!</v>
      </c>
      <c r="CV72" s="39" t="e">
        <f>dark_elf*(#REF!*#REF!)</f>
        <v>#REF!</v>
      </c>
      <c r="CW72" s="145" t="e">
        <f>1.8 * MIN(MAX(#REF!+Races!$F$71,Races!$E$71),6)  +  0.45 * MIN(MIN(#REF!+Races!$F$71,Races!$E$71),6)  +  0.2 * ( MAX(#REF!+Races!$F$71-6,0) + MAX(Races!$E$71-6,0) )  -  Races!$I$71</f>
        <v>#REF!</v>
      </c>
      <c r="CX72" s="145" t="e">
        <f>1.8 * MIN(MAX(#REF!+Races!$E$71,Races!$F$71),6)  +  0.45 * MIN(MIN(#REF!+Races!$E$71,Races!$F$71),6)  +  0.2 * ( MAX(#REF!+Races!$E$71-6,0) + MAX(Races!$F$71-6,0) )  -  Races!$I$71</f>
        <v>#REF!</v>
      </c>
      <c r="CY72" s="39" t="e">
        <f>#REF!*#REF!+#REF!*#REF!</f>
        <v>#REF!</v>
      </c>
      <c r="CZ72" s="243"/>
      <c r="DA72" s="135" t="e">
        <f>MIN(SUM(#REF!)/#REF!/favorable_terrain_bonus/100,favorable_terrain_max)</f>
        <v>#REF!</v>
      </c>
      <c r="DB72" s="243"/>
      <c r="DC72"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72" s="134"/>
      <c r="DE72" s="244" t="e">
        <f>(#REF!+2*#REF!)/#REF!</f>
        <v>#REF!</v>
      </c>
      <c r="DF72" s="244" t="e">
        <f>#REF!*(1+race_wizard_strength+IF(#REF!&gt;72,tech_magical_weaponry_wiz*#REF!,0))</f>
        <v>#REF!</v>
      </c>
    </row>
    <row r="73" spans="1:110" x14ac:dyDescent="0.25">
      <c r="A73" s="130" t="e">
        <f>#REF!</f>
        <v>#REF!</v>
      </c>
      <c r="B73" s="236" t="e">
        <f ca="1">SUM(#REF!)+SUM(OFFSET(#REF!,-8,0):#REF!) + SUM(OFFSET(#REF!,-11,0):#REF!) +#REF!</f>
        <v>#REF!</v>
      </c>
      <c r="C73" s="132" t="e">
        <f>#REF!</f>
        <v>#REF!</v>
      </c>
      <c r="D73" s="134"/>
      <c r="E73" s="3" t="e">
        <f ca="1">OFFSET(#REF!,-1,0) + OFFSET(#REF!,-9,0) -#REF!</f>
        <v>#REF!</v>
      </c>
      <c r="F73" s="3" t="e">
        <f ca="1">OFFSET(#REF!,-1,0) + OFFSET(#REF!,-9,0)-#REF!</f>
        <v>#REF!</v>
      </c>
      <c r="G73" s="3" t="e">
        <f ca="1">OFFSET(#REF!,-1,0) + OFFSET(#REF!,-12,0)-#REF!</f>
        <v>#REF!</v>
      </c>
      <c r="H73" s="3" t="e">
        <f ca="1">OFFSET(#REF!,-1,0) + OFFSET(#REF!,-12,0)-#REF!</f>
        <v>#REF!</v>
      </c>
      <c r="I73" s="3" t="e">
        <f ca="1">OFFSET(#REF!,-1,0) + OFFSET(#REF!,-12,0) -#REF!-#REF!</f>
        <v>#REF!</v>
      </c>
      <c r="J73" s="3" t="e">
        <f ca="1">OFFSET(#REF!,-1,0) + OFFSET(#REF!,-12,0) -#REF!</f>
        <v>#REF!</v>
      </c>
      <c r="K73" s="3" t="e">
        <f ca="1">OFFSET(#REF!,-1,0) + OFFSET(#REF!,-12,0) -#REF!-#REF!</f>
        <v>#REF!</v>
      </c>
      <c r="L73" s="3" t="e">
        <f ca="1">OFFSET(#REF!,-1,0) + OFFSET(#REF!,-12,0) -#REF!</f>
        <v>#REF!</v>
      </c>
      <c r="M73" s="134"/>
      <c r="N73" s="39" t="e">
        <f>#REF!</f>
        <v>#REF!</v>
      </c>
      <c r="O73" s="134"/>
      <c r="P73" s="237" t="e">
        <f>#REF!*spec_op+#REF!*(elite1_base_op)+#REF!*(elite2_base_op+dark_elf*#REF!+icekin*#REF!+woodie*#REF!+orc*#REF!)+kobold*#REF!</f>
        <v>#REF!</v>
      </c>
      <c r="Q73" s="132" t="e">
        <f>race_offense+#REF!+ROUND(MIN(gn_bonus*#REF!/#REF!,gn_bonus_cap),4)+MAX(IF(#REF!&gt;0,warsong_bonus),IF(#REF!&gt;0,howling_op_bonus),IF(#REF!&gt;0,nightfall_bonus),IF(#REF!&gt;0,#REF!)) +#REF!/ 100*prestige_offense_bonus + tech_5_4*#REF! + tech_7_4*#REF!</f>
        <v>#REF!</v>
      </c>
      <c r="R73" s="237" t="e">
        <f>#REF!*(1+#REF!)</f>
        <v>#REF!</v>
      </c>
      <c r="S73" s="237" t="e">
        <f>#REF!*spec_dp+#REF!*(elite1_base_dp+woodie*#REF!+sylvan*#REF!+gnome*#REF!+icekin*#REF!+nox*#REF!)+#REF!*(elite2_base_dp+woodie*#REF!) + fh_peas_dp*MIN(#REF!,20*#REF!)+kobold*#REF!</f>
        <v>#REF!</v>
      </c>
      <c r="T73" s="237" t="e">
        <f>#REF!+#REF!</f>
        <v>#REF!</v>
      </c>
      <c r="U73" s="238" t="e">
        <f>race_defense +#REF! + ROUND( MIN(gt_bonus*#REF!/#REF!,gt_bonus_cap), 4) + IF(#REF!&gt;0,howling_dp_bonus,IF(#REF!&gt;0,ares_call_bonus))</f>
        <v>#REF!</v>
      </c>
      <c r="V73" s="239" t="e">
        <f>#REF! * (1 +#REF!)</f>
        <v>#REF!</v>
      </c>
      <c r="W73" s="237" t="e">
        <f>#REF! * (1 +#REF!)</f>
        <v>#REF!</v>
      </c>
      <c r="X73" s="237" t="e">
        <f>#REF!</f>
        <v>#REF!</v>
      </c>
      <c r="Y73" s="240"/>
      <c r="Z73" s="135" t="e">
        <f ca="1">IF(#REF!&lt;&gt;"",#REF!,OFFSET(#REF!,-1,0))</f>
        <v>#REF!</v>
      </c>
      <c r="AA73" s="39" t="e">
        <f ca="1">OFFSET(#REF!,-1,0)+OFFSET(#REF!,-1,0) - SUM(#REF!,#REF!) -#REF! + SUM(#REF!) -#REF!</f>
        <v>#REF!</v>
      </c>
      <c r="AB73" s="133"/>
      <c r="AC73" s="132" t="e">
        <f>(#REF!+#REF!)/(#REF!-#REF!*20)</f>
        <v>#REF!</v>
      </c>
      <c r="AD73" s="130"/>
      <c r="AE73" s="236" t="e">
        <f>#REF!</f>
        <v>#REF!</v>
      </c>
      <c r="AF73" s="131" t="e">
        <f>#REF!</f>
        <v>#REF!</v>
      </c>
      <c r="AG73" s="164"/>
      <c r="AH73" s="146"/>
      <c r="AI73" s="164"/>
      <c r="AJ73" s="164"/>
      <c r="AK73" s="164"/>
      <c r="AL73" s="164"/>
      <c r="AM73" s="164"/>
      <c r="AN73" s="164"/>
      <c r="AO73" s="134"/>
      <c r="AP73" s="39" t="e">
        <f>#REF!</f>
        <v>#REF!</v>
      </c>
      <c r="AQ73" s="39" t="e">
        <f>INDEX(#REF!:#REF!,COUNTA(#REF!:#REF!),MATCH(Military!$AQ$2,#REF!,0))</f>
        <v>#REF!</v>
      </c>
      <c r="AR73" s="39" t="e">
        <f>#REF!*#REF!+#REF!*#REF!+#REF!*#REF!+#REF!*#REF!+#REF!*#REF!+#REF!*#REF!+#REF!*#REF!</f>
        <v>#REF!</v>
      </c>
      <c r="AS73" s="39" t="e">
        <f>#REF!*#REF!+#REF!*#REF!+#REF!*#REF!+#REF!*#REF!</f>
        <v>#REF!</v>
      </c>
      <c r="AT73" s="134" t="e">
        <f>#REF!</f>
        <v>#REF!</v>
      </c>
      <c r="AU73" s="143" t="e">
        <f>#REF!</f>
        <v>#REF!</v>
      </c>
      <c r="AV73" s="39" t="e">
        <f>#REF!</f>
        <v>#REF!</v>
      </c>
      <c r="AW73" s="164"/>
      <c r="AX73" s="164"/>
      <c r="AY73" s="164"/>
      <c r="AZ73" s="164"/>
      <c r="BA73" s="164"/>
      <c r="BB73" s="164"/>
      <c r="BC73" s="164"/>
      <c r="BD73" s="164"/>
      <c r="BE73" s="164"/>
      <c r="BF73" s="134"/>
      <c r="BG73" s="132" t="e">
        <f>#REF!/#REF!</f>
        <v>#REF!</v>
      </c>
      <c r="BH73" s="132" t="e">
        <f>#REF!/#REF!</f>
        <v>#REF!</v>
      </c>
      <c r="BI73" s="39" t="e">
        <f>ROUNDUP((1-MIN(#REF!*smithy_bonus,smithy_bonus_cap) + tech_3_5*#REF! + tech_5_3*#REF! + tech_5_5*#REF!)*spec_op_plat,0)</f>
        <v>#REF!</v>
      </c>
      <c r="BJ73" s="39" t="e">
        <f>ROUNDUP(IF(race="Gnome",1,(1-MIN(#REF!*smithy_bonus,smithy_bonus_cap) + tech_3_5*#REF! + tech_5_3*#REF! + tech_5_5*#REF!))*spec_op_ore,0)</f>
        <v>#REF!</v>
      </c>
      <c r="BK73" s="39" t="e">
        <f>ROUNDUP((1-MIN(#REF!*smithy_bonus,smithy_bonus_cap) + tech_3_5*#REF! + tech_5_3*#REF! + tech_5_5*#REF!)*spec_dp_plat,0)</f>
        <v>#REF!</v>
      </c>
      <c r="BL73" s="39" t="e">
        <f>ROUNDUP(IF(race="Gnome",1,(1-MIN(#REF!*smithy_bonus,smithy_bonus_cap) + tech_3_5*#REF! + tech_5_3*#REF! + tech_5_5*#REF!))*spec_dp_ore,0)</f>
        <v>#REF!</v>
      </c>
      <c r="BM73" s="39" t="e">
        <f>ROUNDUP((1-MIN(#REF!*smithy_bonus,smithy_bonus_cap) + tech_3_5*#REF! + tech_5_3*#REF! + tech_5_5*#REF!)*elite1_plat,0)</f>
        <v>#REF!</v>
      </c>
      <c r="BN73" s="39" t="e">
        <f>ROUNDUP(IF(race="Gnome",1,(1-MIN(#REF!*smithy_bonus,smithy_bonus_cap) + tech_3_5*#REF! + tech_5_3*#REF! + tech_5_5*#REF!))*elite1_ore,0)</f>
        <v>#REF!</v>
      </c>
      <c r="BO73" s="39" t="e">
        <f>ROUNDUP((1-MIN(#REF!*smithy_bonus,smithy_bonus_cap) + tech_3_5*#REF! + tech_5_3*#REF! + tech_5_5*#REF!)*elite2_plat,0)</f>
        <v>#REF!</v>
      </c>
      <c r="BP73" s="39" t="e">
        <f>ROUNDUP(IF(race="Gnome",1,(1-MIN(#REF!*smithy_bonus,smithy_bonus_cap) + tech_3_5*#REF! + tech_5_3*#REF! + tech_5_5*#REF!))*elite2_ore,0)</f>
        <v>#REF!</v>
      </c>
      <c r="BQ73" s="39" t="e">
        <f>ROUNDUP((1-MIN(ROUND(fh_spy_cost_red*#REF!,4),fh_spy_cost_cap)+ tech_1_9*#REF! + tech_9_1*#REF!)*spy_plat,0)</f>
        <v>#REF!</v>
      </c>
      <c r="BR73" s="39" t="e">
        <f>ROUNDUP((1-MIN(ROUND(fh_spy_cost_red*#REF!,4),fh_spy_cost_cap)+ tech_1_9*#REF! + tech_9_1*#REF!)*archspy_plat,0)</f>
        <v>#REF!</v>
      </c>
      <c r="BS73" s="39" t="e">
        <f>ROUNDUP((1-MIN(ROUND(wg_wiz_cost_bonus*#REF!,4),wg_wiz_cost_cap) + tech_1_9_2*#REF! + tech_9_1_2*#REF!)*wizard_plat,0)</f>
        <v>#REF!</v>
      </c>
      <c r="BT73" s="39" t="e">
        <f>ROUNDUP((1-MIN(ROUND(wg_wiz_cost_bonus*#REF!,4),wg_wiz_cost_cap) + tech_1_9_2*#REF! + tech_9_1_2*#REF!)*archmage_plat,0)</f>
        <v>#REF!</v>
      </c>
      <c r="BU73" s="134"/>
      <c r="BV73" s="132" t="e">
        <f>#REF!/#REF!</f>
        <v>#REF!</v>
      </c>
      <c r="BW73" s="132" t="e">
        <f>#REF!</f>
        <v>#REF!</v>
      </c>
      <c r="BX73" s="241" t="e">
        <f>IF(mystic_cap="none",#REF!/mystic_bonus,MIN(mystic_cap,#REF!/mystic_bonus))</f>
        <v>#REF!</v>
      </c>
      <c r="BY73" s="241" t="e">
        <f>IF(druid_op_cap="none",#REF!/druid_op_bonus,MIN(druid_op_cap,#REF!/druid_op_bonus))</f>
        <v>#REF!</v>
      </c>
      <c r="BZ73" s="241" t="e">
        <f>IF(druid_dp_cap="none",#REF!/druid_dp_bonus,MIN(druid_dp_cap,#REF!/druid_dp_bonus))</f>
        <v>#REF!</v>
      </c>
      <c r="CA73" s="241" t="e">
        <f>MIN(dryad_cap,#REF!/dryad_bonus)</f>
        <v>#REF!</v>
      </c>
      <c r="CB73" s="241" t="e">
        <f>MIN(rocka_cap,#REF!/rocka_bonus)</f>
        <v>#REF!</v>
      </c>
      <c r="CC73" s="241" t="e">
        <f>MIN(adept_op_cap,#REF!/adept_op_bonus)</f>
        <v>#REF!</v>
      </c>
      <c r="CD73" s="241" t="e">
        <f>MIN(adept_dp_cap,#REF!/adept_dp_bonus)</f>
        <v>#REF!</v>
      </c>
      <c r="CE73" s="39" t="e">
        <f>MIN(#REF!,#REF!)*2</f>
        <v>#REF!</v>
      </c>
      <c r="CF73" s="39" t="e">
        <f>MIN(#REF!,#REF!)*2</f>
        <v>#REF!</v>
      </c>
      <c r="CG73" s="241" t="e">
        <f>MIN(frost_mage_cap,#REF!/frost_mage_bonus)</f>
        <v>#REF!</v>
      </c>
      <c r="CH73" s="3" t="e">
        <f>MIN(ice_elem_cap,#REF!*ice_elem_bonus)</f>
        <v>#REF!</v>
      </c>
      <c r="CI73" s="241">
        <f t="shared" si="3"/>
        <v>0.83333333333333337</v>
      </c>
      <c r="CJ73" s="241" t="e">
        <f>MIN(nox_nightshade_cap,#REF!/#REF!/nox_nightshade_swamp_bonus)</f>
        <v>#REF!</v>
      </c>
      <c r="CK73" s="242"/>
      <c r="CL73" s="242"/>
      <c r="CM73" s="242"/>
      <c r="CN73" s="241" t="e">
        <f>MIN(6,#REF!+Races!$F$19)*1.8 +  IF(#REF!+Races!$F$19&gt;6,(#REF!+Races!$F$19-6)*0.2,0) - Races!$I$19</f>
        <v>#REF!</v>
      </c>
      <c r="CO73" s="241" t="e">
        <f>1.8 * MIN(MAX(#REF!+Races!$E$20,#REF!+Races!$F$20),6)  +  0.45 * MIN(MIN(#REF!+Races!$E$20,#REF!+Races!$F$20),6)  +  0.2 * ( MAX(#REF!+Races!$E$20-6,0) + MAX(#REF!+Races!$F$20-6,0) )  -  Races!$I$20</f>
        <v>#REF!</v>
      </c>
      <c r="CP73" s="39" t="e">
        <f>#REF!*#REF!+#REF!*#REF!</f>
        <v>#REF!</v>
      </c>
      <c r="CQ73" s="145" t="e">
        <f>MIN(6,#REF!+Races!$F$35)*1.8 +  IF(#REF!+Races!$F$35&gt;6,(#REF!+Races!$F$35-6)*0.2,0) - Races!$I$19</f>
        <v>#REF!</v>
      </c>
      <c r="CR73" s="39" t="e">
        <f>sylvan*(#REF!*#REF!)</f>
        <v>#REF!</v>
      </c>
      <c r="CS73" s="145" t="e">
        <f>1.8 * MIN(MAX(Races!$E$27,#REF!+Races!$F$27),6)  +  0.45 * MIN(MIN(Races!$E$27,#REF!+Races!$F$27),6)  +  0.2 * ( MAX(Races!$E$27-6,0) + MAX(#REF!+Races!$F$27-6,0) )  -  Races!$I$20</f>
        <v>#REF!</v>
      </c>
      <c r="CT73" s="39" t="e">
        <f>gnome*(#REF!*#REF!)</f>
        <v>#REF!</v>
      </c>
      <c r="CU73" s="145" t="e">
        <f>1.8 * MIN(MAX(#REF!+Races!$E$47,#REF!+Races!$F$47),6)  +  0.45 * MIN(MIN(#REF!+Races!$E$47,#REF!+Races!$F$47),6)  +  0.2 * ( MAX(#REF!+Races!$E$47-6,0) + MAX(#REF!+Races!$F$47-6,0) )  -  Races!$I$47</f>
        <v>#REF!</v>
      </c>
      <c r="CV73" s="39" t="e">
        <f>dark_elf*(#REF!*#REF!)</f>
        <v>#REF!</v>
      </c>
      <c r="CW73" s="145" t="e">
        <f>1.8 * MIN(MAX(#REF!+Races!$F$71,Races!$E$71),6)  +  0.45 * MIN(MIN(#REF!+Races!$F$71,Races!$E$71),6)  +  0.2 * ( MAX(#REF!+Races!$F$71-6,0) + MAX(Races!$E$71-6,0) )  -  Races!$I$71</f>
        <v>#REF!</v>
      </c>
      <c r="CX73" s="145" t="e">
        <f>1.8 * MIN(MAX(#REF!+Races!$E$71,Races!$F$71),6)  +  0.45 * MIN(MIN(#REF!+Races!$E$71,Races!$F$71),6)  +  0.2 * ( MAX(#REF!+Races!$E$71-6,0) + MAX(Races!$F$71-6,0) )  -  Races!$I$71</f>
        <v>#REF!</v>
      </c>
      <c r="CY73" s="39" t="e">
        <f>#REF!*#REF!+#REF!*#REF!</f>
        <v>#REF!</v>
      </c>
      <c r="CZ73" s="243"/>
      <c r="DA73" s="135" t="e">
        <f>MIN(SUM(#REF!)/#REF!/favorable_terrain_bonus/100,favorable_terrain_max)</f>
        <v>#REF!</v>
      </c>
      <c r="DB73" s="243"/>
      <c r="DC73"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73" s="134"/>
      <c r="DE73" s="244" t="e">
        <f>(#REF!+2*#REF!)/#REF!</f>
        <v>#REF!</v>
      </c>
      <c r="DF73" s="244" t="e">
        <f>#REF!*(1+race_wizard_strength+IF(#REF!&gt;72,tech_magical_weaponry_wiz*#REF!,0))</f>
        <v>#REF!</v>
      </c>
    </row>
    <row r="74" spans="1:110" x14ac:dyDescent="0.25">
      <c r="A74" s="130" t="e">
        <f>#REF!</f>
        <v>#REF!</v>
      </c>
      <c r="B74" s="236" t="e">
        <f ca="1">SUM(#REF!)+SUM(OFFSET(#REF!,-8,0):#REF!) + SUM(OFFSET(#REF!,-11,0):#REF!) +#REF!</f>
        <v>#REF!</v>
      </c>
      <c r="C74" s="132" t="e">
        <f>#REF!</f>
        <v>#REF!</v>
      </c>
      <c r="D74" s="134"/>
      <c r="E74" s="3" t="e">
        <f ca="1">OFFSET(#REF!,-1,0) + OFFSET(#REF!,-9,0) -#REF!</f>
        <v>#REF!</v>
      </c>
      <c r="F74" s="3" t="e">
        <f ca="1">OFFSET(#REF!,-1,0) + OFFSET(#REF!,-9,0)-#REF!</f>
        <v>#REF!</v>
      </c>
      <c r="G74" s="3" t="e">
        <f ca="1">OFFSET(#REF!,-1,0) + OFFSET(#REF!,-12,0)-#REF!</f>
        <v>#REF!</v>
      </c>
      <c r="H74" s="3" t="e">
        <f ca="1">OFFSET(#REF!,-1,0) + OFFSET(#REF!,-12,0)-#REF!</f>
        <v>#REF!</v>
      </c>
      <c r="I74" s="3" t="e">
        <f ca="1">OFFSET(#REF!,-1,0) + OFFSET(#REF!,-12,0) -#REF!-#REF!</f>
        <v>#REF!</v>
      </c>
      <c r="J74" s="3" t="e">
        <f ca="1">OFFSET(#REF!,-1,0) + OFFSET(#REF!,-12,0) -#REF!</f>
        <v>#REF!</v>
      </c>
      <c r="K74" s="3" t="e">
        <f ca="1">OFFSET(#REF!,-1,0) + OFFSET(#REF!,-12,0) -#REF!-#REF!</f>
        <v>#REF!</v>
      </c>
      <c r="L74" s="3" t="e">
        <f ca="1">OFFSET(#REF!,-1,0) + OFFSET(#REF!,-12,0) -#REF!</f>
        <v>#REF!</v>
      </c>
      <c r="M74" s="134"/>
      <c r="N74" s="39" t="e">
        <f>#REF!</f>
        <v>#REF!</v>
      </c>
      <c r="O74" s="134"/>
      <c r="P74" s="237" t="e">
        <f>#REF!*spec_op+#REF!*(elite1_base_op)+#REF!*(elite2_base_op+dark_elf*#REF!+icekin*#REF!+woodie*#REF!+orc*#REF!)+kobold*#REF!</f>
        <v>#REF!</v>
      </c>
      <c r="Q74" s="132" t="e">
        <f>race_offense+#REF!+ROUND(MIN(gn_bonus*#REF!/#REF!,gn_bonus_cap),4)+MAX(IF(#REF!&gt;0,warsong_bonus),IF(#REF!&gt;0,howling_op_bonus),IF(#REF!&gt;0,nightfall_bonus),IF(#REF!&gt;0,#REF!)) +#REF!/ 100*prestige_offense_bonus + tech_5_4*#REF! + tech_7_4*#REF!</f>
        <v>#REF!</v>
      </c>
      <c r="R74" s="237" t="e">
        <f>#REF!*(1+#REF!)</f>
        <v>#REF!</v>
      </c>
      <c r="S74" s="237" t="e">
        <f>#REF!*spec_dp+#REF!*(elite1_base_dp+woodie*#REF!+sylvan*#REF!+gnome*#REF!+icekin*#REF!+nox*#REF!)+#REF!*(elite2_base_dp+woodie*#REF!) + fh_peas_dp*MIN(#REF!,20*#REF!)+kobold*#REF!</f>
        <v>#REF!</v>
      </c>
      <c r="T74" s="237" t="e">
        <f>#REF!+#REF!</f>
        <v>#REF!</v>
      </c>
      <c r="U74" s="238" t="e">
        <f>race_defense +#REF! + ROUND( MIN(gt_bonus*#REF!/#REF!,gt_bonus_cap), 4) + IF(#REF!&gt;0,howling_dp_bonus,IF(#REF!&gt;0,ares_call_bonus))</f>
        <v>#REF!</v>
      </c>
      <c r="V74" s="239" t="e">
        <f>#REF! * (1 +#REF!)</f>
        <v>#REF!</v>
      </c>
      <c r="W74" s="237" t="e">
        <f>#REF! * (1 +#REF!)</f>
        <v>#REF!</v>
      </c>
      <c r="X74" s="237" t="e">
        <f>#REF!</f>
        <v>#REF!</v>
      </c>
      <c r="Y74" s="240"/>
      <c r="Z74" s="135" t="e">
        <f ca="1">IF(#REF!&lt;&gt;"",#REF!,OFFSET(#REF!,-1,0))</f>
        <v>#REF!</v>
      </c>
      <c r="AA74" s="39" t="e">
        <f ca="1">OFFSET(#REF!,-1,0)+OFFSET(#REF!,-1,0) - SUM(#REF!,#REF!) -#REF! + SUM(#REF!) -#REF!</f>
        <v>#REF!</v>
      </c>
      <c r="AB74" s="133"/>
      <c r="AC74" s="132" t="e">
        <f>(#REF!+#REF!)/(#REF!-#REF!*20)</f>
        <v>#REF!</v>
      </c>
      <c r="AD74" s="130"/>
      <c r="AE74" s="236" t="e">
        <f>#REF!</f>
        <v>#REF!</v>
      </c>
      <c r="AF74" s="131" t="e">
        <f>#REF!</f>
        <v>#REF!</v>
      </c>
      <c r="AG74" s="164"/>
      <c r="AH74" s="146"/>
      <c r="AI74" s="164"/>
      <c r="AJ74" s="164"/>
      <c r="AK74" s="164"/>
      <c r="AL74" s="164"/>
      <c r="AM74" s="164"/>
      <c r="AN74" s="164"/>
      <c r="AO74" s="134"/>
      <c r="AP74" s="39" t="e">
        <f>#REF!</f>
        <v>#REF!</v>
      </c>
      <c r="AQ74" s="39" t="e">
        <f>INDEX(#REF!:#REF!,COUNTA(#REF!:#REF!),MATCH(Military!$AQ$2,#REF!,0))</f>
        <v>#REF!</v>
      </c>
      <c r="AR74" s="39" t="e">
        <f>#REF!*#REF!+#REF!*#REF!+#REF!*#REF!+#REF!*#REF!+#REF!*#REF!+#REF!*#REF!+#REF!*#REF!</f>
        <v>#REF!</v>
      </c>
      <c r="AS74" s="39" t="e">
        <f>#REF!*#REF!+#REF!*#REF!+#REF!*#REF!+#REF!*#REF!</f>
        <v>#REF!</v>
      </c>
      <c r="AT74" s="134" t="e">
        <f>#REF!</f>
        <v>#REF!</v>
      </c>
      <c r="AU74" s="143" t="e">
        <f>#REF!</f>
        <v>#REF!</v>
      </c>
      <c r="AV74" s="39" t="e">
        <f>#REF!</f>
        <v>#REF!</v>
      </c>
      <c r="AW74" s="164"/>
      <c r="AX74" s="164"/>
      <c r="AY74" s="164"/>
      <c r="AZ74" s="164"/>
      <c r="BA74" s="164"/>
      <c r="BB74" s="164"/>
      <c r="BC74" s="164"/>
      <c r="BD74" s="164"/>
      <c r="BE74" s="164"/>
      <c r="BF74" s="134"/>
      <c r="BG74" s="132" t="e">
        <f>#REF!/#REF!</f>
        <v>#REF!</v>
      </c>
      <c r="BH74" s="132" t="e">
        <f>#REF!/#REF!</f>
        <v>#REF!</v>
      </c>
      <c r="BI74" s="39" t="e">
        <f>ROUNDUP((1-MIN(#REF!*smithy_bonus,smithy_bonus_cap) + tech_3_5*#REF! + tech_5_3*#REF! + tech_5_5*#REF!)*spec_op_plat,0)</f>
        <v>#REF!</v>
      </c>
      <c r="BJ74" s="39" t="e">
        <f>ROUNDUP(IF(race="Gnome",1,(1-MIN(#REF!*smithy_bonus,smithy_bonus_cap) + tech_3_5*#REF! + tech_5_3*#REF! + tech_5_5*#REF!))*spec_op_ore,0)</f>
        <v>#REF!</v>
      </c>
      <c r="BK74" s="39" t="e">
        <f>ROUNDUP((1-MIN(#REF!*smithy_bonus,smithy_bonus_cap) + tech_3_5*#REF! + tech_5_3*#REF! + tech_5_5*#REF!)*spec_dp_plat,0)</f>
        <v>#REF!</v>
      </c>
      <c r="BL74" s="39" t="e">
        <f>ROUNDUP(IF(race="Gnome",1,(1-MIN(#REF!*smithy_bonus,smithy_bonus_cap) + tech_3_5*#REF! + tech_5_3*#REF! + tech_5_5*#REF!))*spec_dp_ore,0)</f>
        <v>#REF!</v>
      </c>
      <c r="BM74" s="39" t="e">
        <f>ROUNDUP((1-MIN(#REF!*smithy_bonus,smithy_bonus_cap) + tech_3_5*#REF! + tech_5_3*#REF! + tech_5_5*#REF!)*elite1_plat,0)</f>
        <v>#REF!</v>
      </c>
      <c r="BN74" s="39" t="e">
        <f>ROUNDUP(IF(race="Gnome",1,(1-MIN(#REF!*smithy_bonus,smithy_bonus_cap) + tech_3_5*#REF! + tech_5_3*#REF! + tech_5_5*#REF!))*elite1_ore,0)</f>
        <v>#REF!</v>
      </c>
      <c r="BO74" s="39" t="e">
        <f>ROUNDUP((1-MIN(#REF!*smithy_bonus,smithy_bonus_cap) + tech_3_5*#REF! + tech_5_3*#REF! + tech_5_5*#REF!)*elite2_plat,0)</f>
        <v>#REF!</v>
      </c>
      <c r="BP74" s="39" t="e">
        <f>ROUNDUP(IF(race="Gnome",1,(1-MIN(#REF!*smithy_bonus,smithy_bonus_cap) + tech_3_5*#REF! + tech_5_3*#REF! + tech_5_5*#REF!))*elite2_ore,0)</f>
        <v>#REF!</v>
      </c>
      <c r="BQ74" s="39" t="e">
        <f>ROUNDUP((1-MIN(ROUND(fh_spy_cost_red*#REF!,4),fh_spy_cost_cap)+ tech_1_9*#REF! + tech_9_1*#REF!)*spy_plat,0)</f>
        <v>#REF!</v>
      </c>
      <c r="BR74" s="39" t="e">
        <f>ROUNDUP((1-MIN(ROUND(fh_spy_cost_red*#REF!,4),fh_spy_cost_cap)+ tech_1_9*#REF! + tech_9_1*#REF!)*archspy_plat,0)</f>
        <v>#REF!</v>
      </c>
      <c r="BS74" s="39" t="e">
        <f>ROUNDUP((1-MIN(ROUND(wg_wiz_cost_bonus*#REF!,4),wg_wiz_cost_cap) + tech_1_9_2*#REF! + tech_9_1_2*#REF!)*wizard_plat,0)</f>
        <v>#REF!</v>
      </c>
      <c r="BT74" s="39" t="e">
        <f>ROUNDUP((1-MIN(ROUND(wg_wiz_cost_bonus*#REF!,4),wg_wiz_cost_cap) + tech_1_9_2*#REF! + tech_9_1_2*#REF!)*archmage_plat,0)</f>
        <v>#REF!</v>
      </c>
      <c r="BU74" s="134"/>
      <c r="BV74" s="132" t="e">
        <f>#REF!/#REF!</f>
        <v>#REF!</v>
      </c>
      <c r="BW74" s="132" t="e">
        <f>#REF!</f>
        <v>#REF!</v>
      </c>
      <c r="BX74" s="241" t="e">
        <f>IF(mystic_cap="none",#REF!/mystic_bonus,MIN(mystic_cap,#REF!/mystic_bonus))</f>
        <v>#REF!</v>
      </c>
      <c r="BY74" s="241" t="e">
        <f>IF(druid_op_cap="none",#REF!/druid_op_bonus,MIN(druid_op_cap,#REF!/druid_op_bonus))</f>
        <v>#REF!</v>
      </c>
      <c r="BZ74" s="241" t="e">
        <f>IF(druid_dp_cap="none",#REF!/druid_dp_bonus,MIN(druid_dp_cap,#REF!/druid_dp_bonus))</f>
        <v>#REF!</v>
      </c>
      <c r="CA74" s="241" t="e">
        <f>MIN(dryad_cap,#REF!/dryad_bonus)</f>
        <v>#REF!</v>
      </c>
      <c r="CB74" s="241" t="e">
        <f>MIN(rocka_cap,#REF!/rocka_bonus)</f>
        <v>#REF!</v>
      </c>
      <c r="CC74" s="241" t="e">
        <f>MIN(adept_op_cap,#REF!/adept_op_bonus)</f>
        <v>#REF!</v>
      </c>
      <c r="CD74" s="241" t="e">
        <f>MIN(adept_dp_cap,#REF!/adept_dp_bonus)</f>
        <v>#REF!</v>
      </c>
      <c r="CE74" s="39" t="e">
        <f>MIN(#REF!,#REF!)*2</f>
        <v>#REF!</v>
      </c>
      <c r="CF74" s="39" t="e">
        <f>MIN(#REF!,#REF!)*2</f>
        <v>#REF!</v>
      </c>
      <c r="CG74" s="241" t="e">
        <f>MIN(frost_mage_cap,#REF!/frost_mage_bonus)</f>
        <v>#REF!</v>
      </c>
      <c r="CH74" s="3" t="e">
        <f>MIN(ice_elem_cap,#REF!*ice_elem_bonus)</f>
        <v>#REF!</v>
      </c>
      <c r="CI74" s="241">
        <f t="shared" si="3"/>
        <v>0.83333333333333337</v>
      </c>
      <c r="CJ74" s="241" t="e">
        <f>MIN(nox_nightshade_cap,#REF!/#REF!/nox_nightshade_swamp_bonus)</f>
        <v>#REF!</v>
      </c>
      <c r="CK74" s="242"/>
      <c r="CL74" s="242"/>
      <c r="CM74" s="242"/>
      <c r="CN74" s="241" t="e">
        <f>MIN(6,#REF!+Races!$F$19)*1.8 +  IF(#REF!+Races!$F$19&gt;6,(#REF!+Races!$F$19-6)*0.2,0) - Races!$I$19</f>
        <v>#REF!</v>
      </c>
      <c r="CO74" s="241" t="e">
        <f>1.8 * MIN(MAX(#REF!+Races!$E$20,#REF!+Races!$F$20),6)  +  0.45 * MIN(MIN(#REF!+Races!$E$20,#REF!+Races!$F$20),6)  +  0.2 * ( MAX(#REF!+Races!$E$20-6,0) + MAX(#REF!+Races!$F$20-6,0) )  -  Races!$I$20</f>
        <v>#REF!</v>
      </c>
      <c r="CP74" s="39" t="e">
        <f>#REF!*#REF!+#REF!*#REF!</f>
        <v>#REF!</v>
      </c>
      <c r="CQ74" s="145" t="e">
        <f>MIN(6,#REF!+Races!$F$35)*1.8 +  IF(#REF!+Races!$F$35&gt;6,(#REF!+Races!$F$35-6)*0.2,0) - Races!$I$19</f>
        <v>#REF!</v>
      </c>
      <c r="CR74" s="39" t="e">
        <f>sylvan*(#REF!*#REF!)</f>
        <v>#REF!</v>
      </c>
      <c r="CS74" s="145" t="e">
        <f>1.8 * MIN(MAX(Races!$E$27,#REF!+Races!$F$27),6)  +  0.45 * MIN(MIN(Races!$E$27,#REF!+Races!$F$27),6)  +  0.2 * ( MAX(Races!$E$27-6,0) + MAX(#REF!+Races!$F$27-6,0) )  -  Races!$I$20</f>
        <v>#REF!</v>
      </c>
      <c r="CT74" s="39" t="e">
        <f>gnome*(#REF!*#REF!)</f>
        <v>#REF!</v>
      </c>
      <c r="CU74" s="145" t="e">
        <f>1.8 * MIN(MAX(#REF!+Races!$E$47,#REF!+Races!$F$47),6)  +  0.45 * MIN(MIN(#REF!+Races!$E$47,#REF!+Races!$F$47),6)  +  0.2 * ( MAX(#REF!+Races!$E$47-6,0) + MAX(#REF!+Races!$F$47-6,0) )  -  Races!$I$47</f>
        <v>#REF!</v>
      </c>
      <c r="CV74" s="39" t="e">
        <f>dark_elf*(#REF!*#REF!)</f>
        <v>#REF!</v>
      </c>
      <c r="CW74" s="145" t="e">
        <f>1.8 * MIN(MAX(#REF!+Races!$F$71,Races!$E$71),6)  +  0.45 * MIN(MIN(#REF!+Races!$F$71,Races!$E$71),6)  +  0.2 * ( MAX(#REF!+Races!$F$71-6,0) + MAX(Races!$E$71-6,0) )  -  Races!$I$71</f>
        <v>#REF!</v>
      </c>
      <c r="CX74" s="145" t="e">
        <f>1.8 * MIN(MAX(#REF!+Races!$E$71,Races!$F$71),6)  +  0.45 * MIN(MIN(#REF!+Races!$E$71,Races!$F$71),6)  +  0.2 * ( MAX(#REF!+Races!$E$71-6,0) + MAX(Races!$F$71-6,0) )  -  Races!$I$71</f>
        <v>#REF!</v>
      </c>
      <c r="CY74" s="39" t="e">
        <f>#REF!*#REF!+#REF!*#REF!</f>
        <v>#REF!</v>
      </c>
      <c r="CZ74" s="243"/>
      <c r="DA74" s="135" t="e">
        <f>MIN(SUM(#REF!)/#REF!/favorable_terrain_bonus/100,favorable_terrain_max)</f>
        <v>#REF!</v>
      </c>
      <c r="DB74" s="243"/>
      <c r="DC74"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74" s="134"/>
      <c r="DE74" s="244" t="e">
        <f>(#REF!+2*#REF!)/#REF!</f>
        <v>#REF!</v>
      </c>
      <c r="DF74" s="244" t="e">
        <f>#REF!*(1+race_wizard_strength+IF(#REF!&gt;72,tech_magical_weaponry_wiz*#REF!,0))</f>
        <v>#REF!</v>
      </c>
    </row>
    <row r="75" spans="1:110" x14ac:dyDescent="0.25">
      <c r="A75" s="130" t="e">
        <f>#REF!</f>
        <v>#REF!</v>
      </c>
      <c r="B75" s="236" t="e">
        <f ca="1">SUM(#REF!)+SUM(OFFSET(#REF!,-8,0):#REF!) + SUM(OFFSET(#REF!,-11,0):#REF!) +#REF!</f>
        <v>#REF!</v>
      </c>
      <c r="C75" s="132" t="e">
        <f>#REF!</f>
        <v>#REF!</v>
      </c>
      <c r="D75" s="134"/>
      <c r="E75" s="3" t="e">
        <f ca="1">OFFSET(#REF!,-1,0) + OFFSET(#REF!,-9,0) -#REF!</f>
        <v>#REF!</v>
      </c>
      <c r="F75" s="3" t="e">
        <f ca="1">OFFSET(#REF!,-1,0) + OFFSET(#REF!,-9,0)-#REF!</f>
        <v>#REF!</v>
      </c>
      <c r="G75" s="3" t="e">
        <f ca="1">OFFSET(#REF!,-1,0) + OFFSET(#REF!,-12,0)-#REF!</f>
        <v>#REF!</v>
      </c>
      <c r="H75" s="3" t="e">
        <f ca="1">OFFSET(#REF!,-1,0) + OFFSET(#REF!,-12,0)-#REF!</f>
        <v>#REF!</v>
      </c>
      <c r="I75" s="3" t="e">
        <f ca="1">OFFSET(#REF!,-1,0) + OFFSET(#REF!,-12,0) -#REF!-#REF!</f>
        <v>#REF!</v>
      </c>
      <c r="J75" s="3" t="e">
        <f ca="1">OFFSET(#REF!,-1,0) + OFFSET(#REF!,-12,0) -#REF!</f>
        <v>#REF!</v>
      </c>
      <c r="K75" s="3" t="e">
        <f ca="1">OFFSET(#REF!,-1,0) + OFFSET(#REF!,-12,0) -#REF!-#REF!</f>
        <v>#REF!</v>
      </c>
      <c r="L75" s="3" t="e">
        <f ca="1">OFFSET(#REF!,-1,0) + OFFSET(#REF!,-12,0) -#REF!</f>
        <v>#REF!</v>
      </c>
      <c r="M75" s="134"/>
      <c r="N75" s="39" t="e">
        <f>#REF!</f>
        <v>#REF!</v>
      </c>
      <c r="O75" s="134"/>
      <c r="P75" s="237" t="e">
        <f>#REF!*spec_op+#REF!*(elite1_base_op)+#REF!*(elite2_base_op+dark_elf*#REF!+icekin*#REF!+woodie*#REF!+orc*#REF!)+kobold*#REF!</f>
        <v>#REF!</v>
      </c>
      <c r="Q75" s="132" t="e">
        <f>race_offense+#REF!+ROUND(MIN(gn_bonus*#REF!/#REF!,gn_bonus_cap),4)+MAX(IF(#REF!&gt;0,warsong_bonus),IF(#REF!&gt;0,howling_op_bonus),IF(#REF!&gt;0,nightfall_bonus),IF(#REF!&gt;0,#REF!)) +#REF!/ 100*prestige_offense_bonus + tech_5_4*#REF! + tech_7_4*#REF!</f>
        <v>#REF!</v>
      </c>
      <c r="R75" s="237" t="e">
        <f>#REF!*(1+#REF!)</f>
        <v>#REF!</v>
      </c>
      <c r="S75" s="237" t="e">
        <f>#REF!*spec_dp+#REF!*(elite1_base_dp+woodie*#REF!+sylvan*#REF!+gnome*#REF!+icekin*#REF!+nox*#REF!)+#REF!*(elite2_base_dp+woodie*#REF!) + fh_peas_dp*MIN(#REF!,20*#REF!)+kobold*#REF!</f>
        <v>#REF!</v>
      </c>
      <c r="T75" s="237" t="e">
        <f>#REF!+#REF!</f>
        <v>#REF!</v>
      </c>
      <c r="U75" s="238" t="e">
        <f>race_defense +#REF! + ROUND( MIN(gt_bonus*#REF!/#REF!,gt_bonus_cap), 4) + IF(#REF!&gt;0,howling_dp_bonus,IF(#REF!&gt;0,ares_call_bonus))</f>
        <v>#REF!</v>
      </c>
      <c r="V75" s="239" t="e">
        <f>#REF! * (1 +#REF!)</f>
        <v>#REF!</v>
      </c>
      <c r="W75" s="237" t="e">
        <f>#REF! * (1 +#REF!)</f>
        <v>#REF!</v>
      </c>
      <c r="X75" s="237" t="e">
        <f>#REF!</f>
        <v>#REF!</v>
      </c>
      <c r="Y75" s="240"/>
      <c r="Z75" s="135" t="e">
        <f ca="1">IF(#REF!&lt;&gt;"",#REF!,OFFSET(#REF!,-1,0))</f>
        <v>#REF!</v>
      </c>
      <c r="AA75" s="39" t="e">
        <f ca="1">OFFSET(#REF!,-1,0)+OFFSET(#REF!,-1,0) - SUM(#REF!,#REF!) -#REF! + SUM(#REF!) -#REF!</f>
        <v>#REF!</v>
      </c>
      <c r="AB75" s="133"/>
      <c r="AC75" s="132" t="e">
        <f>(#REF!+#REF!)/(#REF!-#REF!*20)</f>
        <v>#REF!</v>
      </c>
      <c r="AD75" s="130"/>
      <c r="AE75" s="236" t="e">
        <f>#REF!</f>
        <v>#REF!</v>
      </c>
      <c r="AF75" s="131" t="e">
        <f>#REF!</f>
        <v>#REF!</v>
      </c>
      <c r="AG75" s="164"/>
      <c r="AH75" s="146"/>
      <c r="AI75" s="164"/>
      <c r="AJ75" s="164"/>
      <c r="AK75" s="164"/>
      <c r="AL75" s="164"/>
      <c r="AM75" s="164"/>
      <c r="AN75" s="164"/>
      <c r="AO75" s="134"/>
      <c r="AP75" s="39" t="e">
        <f>#REF!</f>
        <v>#REF!</v>
      </c>
      <c r="AQ75" s="39" t="e">
        <f>INDEX(#REF!:#REF!,COUNTA(#REF!:#REF!),MATCH(Military!$AQ$2,#REF!,0))</f>
        <v>#REF!</v>
      </c>
      <c r="AR75" s="39" t="e">
        <f>#REF!*#REF!+#REF!*#REF!+#REF!*#REF!+#REF!*#REF!+#REF!*#REF!+#REF!*#REF!+#REF!*#REF!</f>
        <v>#REF!</v>
      </c>
      <c r="AS75" s="39" t="e">
        <f>#REF!*#REF!+#REF!*#REF!+#REF!*#REF!+#REF!*#REF!</f>
        <v>#REF!</v>
      </c>
      <c r="AT75" s="134" t="e">
        <f>#REF!</f>
        <v>#REF!</v>
      </c>
      <c r="AU75" s="143" t="e">
        <f>#REF!</f>
        <v>#REF!</v>
      </c>
      <c r="AV75" s="39" t="e">
        <f>#REF!</f>
        <v>#REF!</v>
      </c>
      <c r="AW75" s="164"/>
      <c r="AX75" s="164"/>
      <c r="AY75" s="164"/>
      <c r="AZ75" s="164"/>
      <c r="BA75" s="164"/>
      <c r="BB75" s="164"/>
      <c r="BC75" s="164"/>
      <c r="BD75" s="164"/>
      <c r="BE75" s="164"/>
      <c r="BF75" s="134"/>
      <c r="BG75" s="132" t="e">
        <f>#REF!/#REF!</f>
        <v>#REF!</v>
      </c>
      <c r="BH75" s="132" t="e">
        <f>#REF!/#REF!</f>
        <v>#REF!</v>
      </c>
      <c r="BI75" s="39" t="e">
        <f>ROUNDUP((1-MIN(#REF!*smithy_bonus,smithy_bonus_cap) + tech_3_5*#REF! + tech_5_3*#REF! + tech_5_5*#REF!)*spec_op_plat,0)</f>
        <v>#REF!</v>
      </c>
      <c r="BJ75" s="39" t="e">
        <f>ROUNDUP(IF(race="Gnome",1,(1-MIN(#REF!*smithy_bonus,smithy_bonus_cap) + tech_3_5*#REF! + tech_5_3*#REF! + tech_5_5*#REF!))*spec_op_ore,0)</f>
        <v>#REF!</v>
      </c>
      <c r="BK75" s="39" t="e">
        <f>ROUNDUP((1-MIN(#REF!*smithy_bonus,smithy_bonus_cap) + tech_3_5*#REF! + tech_5_3*#REF! + tech_5_5*#REF!)*spec_dp_plat,0)</f>
        <v>#REF!</v>
      </c>
      <c r="BL75" s="39" t="e">
        <f>ROUNDUP(IF(race="Gnome",1,(1-MIN(#REF!*smithy_bonus,smithy_bonus_cap) + tech_3_5*#REF! + tech_5_3*#REF! + tech_5_5*#REF!))*spec_dp_ore,0)</f>
        <v>#REF!</v>
      </c>
      <c r="BM75" s="39" t="e">
        <f>ROUNDUP((1-MIN(#REF!*smithy_bonus,smithy_bonus_cap) + tech_3_5*#REF! + tech_5_3*#REF! + tech_5_5*#REF!)*elite1_plat,0)</f>
        <v>#REF!</v>
      </c>
      <c r="BN75" s="39" t="e">
        <f>ROUNDUP(IF(race="Gnome",1,(1-MIN(#REF!*smithy_bonus,smithy_bonus_cap) + tech_3_5*#REF! + tech_5_3*#REF! + tech_5_5*#REF!))*elite1_ore,0)</f>
        <v>#REF!</v>
      </c>
      <c r="BO75" s="39" t="e">
        <f>ROUNDUP((1-MIN(#REF!*smithy_bonus,smithy_bonus_cap) + tech_3_5*#REF! + tech_5_3*#REF! + tech_5_5*#REF!)*elite2_plat,0)</f>
        <v>#REF!</v>
      </c>
      <c r="BP75" s="39" t="e">
        <f>ROUNDUP(IF(race="Gnome",1,(1-MIN(#REF!*smithy_bonus,smithy_bonus_cap) + tech_3_5*#REF! + tech_5_3*#REF! + tech_5_5*#REF!))*elite2_ore,0)</f>
        <v>#REF!</v>
      </c>
      <c r="BQ75" s="39" t="e">
        <f>ROUNDUP((1-MIN(ROUND(fh_spy_cost_red*#REF!,4),fh_spy_cost_cap)+ tech_1_9*#REF! + tech_9_1*#REF!)*spy_plat,0)</f>
        <v>#REF!</v>
      </c>
      <c r="BR75" s="39" t="e">
        <f>ROUNDUP((1-MIN(ROUND(fh_spy_cost_red*#REF!,4),fh_spy_cost_cap)+ tech_1_9*#REF! + tech_9_1*#REF!)*archspy_plat,0)</f>
        <v>#REF!</v>
      </c>
      <c r="BS75" s="39" t="e">
        <f>ROUNDUP((1-MIN(ROUND(wg_wiz_cost_bonus*#REF!,4),wg_wiz_cost_cap) + tech_1_9_2*#REF! + tech_9_1_2*#REF!)*wizard_plat,0)</f>
        <v>#REF!</v>
      </c>
      <c r="BT75" s="39" t="e">
        <f>ROUNDUP((1-MIN(ROUND(wg_wiz_cost_bonus*#REF!,4),wg_wiz_cost_cap) + tech_1_9_2*#REF! + tech_9_1_2*#REF!)*archmage_plat,0)</f>
        <v>#REF!</v>
      </c>
      <c r="BU75" s="134"/>
      <c r="BV75" s="132" t="e">
        <f>#REF!/#REF!</f>
        <v>#REF!</v>
      </c>
      <c r="BW75" s="132" t="e">
        <f>#REF!</f>
        <v>#REF!</v>
      </c>
      <c r="BX75" s="241" t="e">
        <f>IF(mystic_cap="none",#REF!/mystic_bonus,MIN(mystic_cap,#REF!/mystic_bonus))</f>
        <v>#REF!</v>
      </c>
      <c r="BY75" s="241" t="e">
        <f>IF(druid_op_cap="none",#REF!/druid_op_bonus,MIN(druid_op_cap,#REF!/druid_op_bonus))</f>
        <v>#REF!</v>
      </c>
      <c r="BZ75" s="241" t="e">
        <f>IF(druid_dp_cap="none",#REF!/druid_dp_bonus,MIN(druid_dp_cap,#REF!/druid_dp_bonus))</f>
        <v>#REF!</v>
      </c>
      <c r="CA75" s="241" t="e">
        <f>MIN(dryad_cap,#REF!/dryad_bonus)</f>
        <v>#REF!</v>
      </c>
      <c r="CB75" s="241" t="e">
        <f>MIN(rocka_cap,#REF!/rocka_bonus)</f>
        <v>#REF!</v>
      </c>
      <c r="CC75" s="241" t="e">
        <f>MIN(adept_op_cap,#REF!/adept_op_bonus)</f>
        <v>#REF!</v>
      </c>
      <c r="CD75" s="241" t="e">
        <f>MIN(adept_dp_cap,#REF!/adept_dp_bonus)</f>
        <v>#REF!</v>
      </c>
      <c r="CE75" s="39" t="e">
        <f>MIN(#REF!,#REF!)*2</f>
        <v>#REF!</v>
      </c>
      <c r="CF75" s="39" t="e">
        <f>MIN(#REF!,#REF!)*2</f>
        <v>#REF!</v>
      </c>
      <c r="CG75" s="241" t="e">
        <f>MIN(frost_mage_cap,#REF!/frost_mage_bonus)</f>
        <v>#REF!</v>
      </c>
      <c r="CH75" s="3" t="e">
        <f>MIN(ice_elem_cap,#REF!*ice_elem_bonus)</f>
        <v>#REF!</v>
      </c>
      <c r="CI75" s="241">
        <f t="shared" si="3"/>
        <v>0.83333333333333337</v>
      </c>
      <c r="CJ75" s="241" t="e">
        <f>MIN(nox_nightshade_cap,#REF!/#REF!/nox_nightshade_swamp_bonus)</f>
        <v>#REF!</v>
      </c>
      <c r="CK75" s="242"/>
      <c r="CL75" s="242"/>
      <c r="CM75" s="242"/>
      <c r="CN75" s="241" t="e">
        <f>MIN(6,#REF!+Races!$F$19)*1.8 +  IF(#REF!+Races!$F$19&gt;6,(#REF!+Races!$F$19-6)*0.2,0) - Races!$I$19</f>
        <v>#REF!</v>
      </c>
      <c r="CO75" s="241" t="e">
        <f>1.8 * MIN(MAX(#REF!+Races!$E$20,#REF!+Races!$F$20),6)  +  0.45 * MIN(MIN(#REF!+Races!$E$20,#REF!+Races!$F$20),6)  +  0.2 * ( MAX(#REF!+Races!$E$20-6,0) + MAX(#REF!+Races!$F$20-6,0) )  -  Races!$I$20</f>
        <v>#REF!</v>
      </c>
      <c r="CP75" s="39" t="e">
        <f>#REF!*#REF!+#REF!*#REF!</f>
        <v>#REF!</v>
      </c>
      <c r="CQ75" s="145" t="e">
        <f>MIN(6,#REF!+Races!$F$35)*1.8 +  IF(#REF!+Races!$F$35&gt;6,(#REF!+Races!$F$35-6)*0.2,0) - Races!$I$19</f>
        <v>#REF!</v>
      </c>
      <c r="CR75" s="39" t="e">
        <f>sylvan*(#REF!*#REF!)</f>
        <v>#REF!</v>
      </c>
      <c r="CS75" s="145" t="e">
        <f>1.8 * MIN(MAX(Races!$E$27,#REF!+Races!$F$27),6)  +  0.45 * MIN(MIN(Races!$E$27,#REF!+Races!$F$27),6)  +  0.2 * ( MAX(Races!$E$27-6,0) + MAX(#REF!+Races!$F$27-6,0) )  -  Races!$I$20</f>
        <v>#REF!</v>
      </c>
      <c r="CT75" s="39" t="e">
        <f>gnome*(#REF!*#REF!)</f>
        <v>#REF!</v>
      </c>
      <c r="CU75" s="145" t="e">
        <f>1.8 * MIN(MAX(#REF!+Races!$E$47,#REF!+Races!$F$47),6)  +  0.45 * MIN(MIN(#REF!+Races!$E$47,#REF!+Races!$F$47),6)  +  0.2 * ( MAX(#REF!+Races!$E$47-6,0) + MAX(#REF!+Races!$F$47-6,0) )  -  Races!$I$47</f>
        <v>#REF!</v>
      </c>
      <c r="CV75" s="39" t="e">
        <f>dark_elf*(#REF!*#REF!)</f>
        <v>#REF!</v>
      </c>
      <c r="CW75" s="145" t="e">
        <f>1.8 * MIN(MAX(#REF!+Races!$F$71,Races!$E$71),6)  +  0.45 * MIN(MIN(#REF!+Races!$F$71,Races!$E$71),6)  +  0.2 * ( MAX(#REF!+Races!$F$71-6,0) + MAX(Races!$E$71-6,0) )  -  Races!$I$71</f>
        <v>#REF!</v>
      </c>
      <c r="CX75" s="145" t="e">
        <f>1.8 * MIN(MAX(#REF!+Races!$E$71,Races!$F$71),6)  +  0.45 * MIN(MIN(#REF!+Races!$E$71,Races!$F$71),6)  +  0.2 * ( MAX(#REF!+Races!$E$71-6,0) + MAX(Races!$F$71-6,0) )  -  Races!$I$71</f>
        <v>#REF!</v>
      </c>
      <c r="CY75" s="39" t="e">
        <f>#REF!*#REF!+#REF!*#REF!</f>
        <v>#REF!</v>
      </c>
      <c r="CZ75" s="243"/>
      <c r="DA75" s="135" t="e">
        <f>MIN(SUM(#REF!)/#REF!/favorable_terrain_bonus/100,favorable_terrain_max)</f>
        <v>#REF!</v>
      </c>
      <c r="DB75" s="243"/>
      <c r="DC75"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75" s="134"/>
      <c r="DE75" s="244" t="e">
        <f>(#REF!+2*#REF!)/#REF!</f>
        <v>#REF!</v>
      </c>
      <c r="DF75" s="244" t="e">
        <f>#REF!*(1+race_wizard_strength+IF(#REF!&gt;72,tech_magical_weaponry_wiz*#REF!,0))</f>
        <v>#REF!</v>
      </c>
    </row>
    <row r="76" spans="1:110" ht="13" x14ac:dyDescent="0.3">
      <c r="A76" s="136" t="e">
        <f>#REF!</f>
        <v>#REF!</v>
      </c>
      <c r="B76" s="245" t="e">
        <f ca="1">SUM(#REF!)+SUM(OFFSET(#REF!,-8,0):#REF!) + SUM(OFFSET(#REF!,-11,0):#REF!) +#REF!</f>
        <v>#REF!</v>
      </c>
      <c r="C76" s="190" t="e">
        <f>#REF!</f>
        <v>#REF!</v>
      </c>
      <c r="D76" s="140"/>
      <c r="E76" s="192" t="e">
        <f ca="1">OFFSET(#REF!,-1,0) + OFFSET(#REF!,-9,0) -#REF!</f>
        <v>#REF!</v>
      </c>
      <c r="F76" s="192" t="e">
        <f ca="1">OFFSET(#REF!,-1,0) + OFFSET(#REF!,-9,0)-#REF!</f>
        <v>#REF!</v>
      </c>
      <c r="G76" s="191" t="e">
        <f ca="1">OFFSET(#REF!,-1,0) + OFFSET(#REF!,-12,0)-#REF!</f>
        <v>#REF!</v>
      </c>
      <c r="H76" s="192" t="e">
        <f ca="1">OFFSET(#REF!,-1,0) + OFFSET(#REF!,-12,0)-#REF!</f>
        <v>#REF!</v>
      </c>
      <c r="I76" s="192" t="e">
        <f ca="1">OFFSET(#REF!,-1,0) + OFFSET(#REF!,-12,0) -#REF!-#REF!</f>
        <v>#REF!</v>
      </c>
      <c r="J76" s="192" t="e">
        <f ca="1">OFFSET(#REF!,-1,0) + OFFSET(#REF!,-12,0) -#REF!</f>
        <v>#REF!</v>
      </c>
      <c r="K76" s="192" t="e">
        <f ca="1">OFFSET(#REF!,-1,0) + OFFSET(#REF!,-12,0) -#REF!-#REF!</f>
        <v>#REF!</v>
      </c>
      <c r="L76" s="192" t="e">
        <f ca="1">OFFSET(#REF!,-1,0) + OFFSET(#REF!,-12,0) -#REF!</f>
        <v>#REF!</v>
      </c>
      <c r="M76" s="140"/>
      <c r="N76" s="191" t="e">
        <f>#REF!</f>
        <v>#REF!</v>
      </c>
      <c r="O76" s="140"/>
      <c r="P76" s="246" t="e">
        <f>#REF!*spec_op+#REF!*(elite1_base_op)+#REF!*(elite2_base_op+dark_elf*#REF!+icekin*#REF!+woodie*#REF!+orc*#REF!)+kobold*#REF!</f>
        <v>#REF!</v>
      </c>
      <c r="Q76" s="190" t="e">
        <f>race_offense+#REF!+ROUND(MIN(gn_bonus*#REF!/#REF!,gn_bonus_cap),4)+MAX(IF(#REF!&gt;0,warsong_bonus),IF(#REF!&gt;0,howling_op_bonus),IF(#REF!&gt;0,nightfall_bonus),IF(#REF!&gt;0,#REF!)) +#REF!/ 100*prestige_offense_bonus + tech_5_4*#REF! + tech_7_4*#REF!</f>
        <v>#REF!</v>
      </c>
      <c r="R76" s="246" t="e">
        <f>#REF!*(1+#REF!)</f>
        <v>#REF!</v>
      </c>
      <c r="S76" s="246" t="e">
        <f>#REF!*spec_dp+#REF!*(elite1_base_dp+woodie*#REF!+sylvan*#REF!+gnome*#REF!+icekin*#REF!+nox*#REF!)+#REF!*(elite2_base_dp+woodie*#REF!) + fh_peas_dp*MIN(#REF!,20*#REF!)+kobold*#REF!</f>
        <v>#REF!</v>
      </c>
      <c r="T76" s="246" t="e">
        <f>#REF!+#REF!</f>
        <v>#REF!</v>
      </c>
      <c r="U76" s="247" t="e">
        <f>race_defense +#REF! + ROUND( MIN(gt_bonus*#REF!/#REF!,gt_bonus_cap), 4) + IF(#REF!&gt;0,howling_dp_bonus,IF(#REF!&gt;0,ares_call_bonus))</f>
        <v>#REF!</v>
      </c>
      <c r="V76" s="248" t="e">
        <f>#REF! * (1 +#REF!)</f>
        <v>#REF!</v>
      </c>
      <c r="W76" s="246" t="e">
        <f>#REF! * (1 +#REF!)</f>
        <v>#REF!</v>
      </c>
      <c r="X76" s="246" t="e">
        <f>#REF!</f>
        <v>#REF!</v>
      </c>
      <c r="Y76" s="249"/>
      <c r="Z76" s="250" t="e">
        <f ca="1">IF(#REF!&lt;&gt;"",#REF!,OFFSET(#REF!,-1,0))</f>
        <v>#REF!</v>
      </c>
      <c r="AA76" s="39" t="e">
        <f ca="1">OFFSET(#REF!,-1,0)+OFFSET(#REF!,-1,0) - SUM(#REF!,#REF!) -#REF! + SUM(#REF!) -#REF!</f>
        <v>#REF!</v>
      </c>
      <c r="AB76" s="150"/>
      <c r="AC76" s="190" t="e">
        <f>(#REF!+#REF!)/(#REF!-#REF!*20)</f>
        <v>#REF!</v>
      </c>
      <c r="AD76" s="136"/>
      <c r="AE76" s="245" t="e">
        <f>#REF!</f>
        <v>#REF!</v>
      </c>
      <c r="AF76" s="137" t="e">
        <f>#REF!</f>
        <v>#REF!</v>
      </c>
      <c r="AG76" s="188"/>
      <c r="AH76" s="146"/>
      <c r="AI76" s="164"/>
      <c r="AJ76" s="188"/>
      <c r="AK76" s="188"/>
      <c r="AL76" s="188"/>
      <c r="AM76" s="188"/>
      <c r="AN76" s="188"/>
      <c r="AO76" s="140"/>
      <c r="AP76" s="191" t="e">
        <f>#REF!</f>
        <v>#REF!</v>
      </c>
      <c r="AQ76" s="191" t="e">
        <f>INDEX(#REF!:#REF!,COUNTA(#REF!:#REF!),MATCH(Military!$AQ$2,#REF!,0))</f>
        <v>#REF!</v>
      </c>
      <c r="AR76" s="191" t="e">
        <f>#REF!*#REF!+#REF!*#REF!+#REF!*#REF!+#REF!*#REF!+#REF!*#REF!+#REF!*#REF!+#REF!*#REF!</f>
        <v>#REF!</v>
      </c>
      <c r="AS76" s="191" t="e">
        <f>#REF!*#REF!+#REF!*#REF!+#REF!*#REF!+#REF!*#REF!</f>
        <v>#REF!</v>
      </c>
      <c r="AT76" s="140" t="e">
        <f>#REF!</f>
        <v>#REF!</v>
      </c>
      <c r="AU76" s="148" t="e">
        <f>#REF!</f>
        <v>#REF!</v>
      </c>
      <c r="AV76" s="191" t="e">
        <f>#REF!</f>
        <v>#REF!</v>
      </c>
      <c r="AW76" s="152"/>
      <c r="AX76" s="188"/>
      <c r="AY76" s="188"/>
      <c r="AZ76" s="188"/>
      <c r="BA76" s="188"/>
      <c r="BB76" s="188"/>
      <c r="BC76" s="188"/>
      <c r="BD76" s="188"/>
      <c r="BE76" s="188"/>
      <c r="BF76" s="140"/>
      <c r="BG76" s="190" t="e">
        <f>#REF!/#REF!</f>
        <v>#REF!</v>
      </c>
      <c r="BH76" s="190" t="e">
        <f>#REF!/#REF!</f>
        <v>#REF!</v>
      </c>
      <c r="BI76" s="191" t="e">
        <f>ROUNDUP((1-MIN(#REF!*smithy_bonus,smithy_bonus_cap) + tech_3_5*#REF! + tech_5_3*#REF! + tech_5_5*#REF!)*spec_op_plat,0)</f>
        <v>#REF!</v>
      </c>
      <c r="BJ76" s="191" t="e">
        <f>ROUNDUP(IF(race="Gnome",1,(1-MIN(#REF!*smithy_bonus,smithy_bonus_cap) + tech_3_5*#REF! + tech_5_3*#REF! + tech_5_5*#REF!))*spec_op_ore,0)</f>
        <v>#REF!</v>
      </c>
      <c r="BK76" s="191" t="e">
        <f>ROUNDUP((1-MIN(#REF!*smithy_bonus,smithy_bonus_cap) + tech_3_5*#REF! + tech_5_3*#REF! + tech_5_5*#REF!)*spec_dp_plat,0)</f>
        <v>#REF!</v>
      </c>
      <c r="BL76" s="191" t="e">
        <f>ROUNDUP(IF(race="Gnome",1,(1-MIN(#REF!*smithy_bonus,smithy_bonus_cap) + tech_3_5*#REF! + tech_5_3*#REF! + tech_5_5*#REF!))*spec_dp_ore,0)</f>
        <v>#REF!</v>
      </c>
      <c r="BM76" s="191" t="e">
        <f>ROUNDUP((1-MIN(#REF!*smithy_bonus,smithy_bonus_cap) + tech_3_5*#REF! + tech_5_3*#REF! + tech_5_5*#REF!)*elite1_plat,0)</f>
        <v>#REF!</v>
      </c>
      <c r="BN76" s="191" t="e">
        <f>ROUNDUP(IF(race="Gnome",1,(1-MIN(#REF!*smithy_bonus,smithy_bonus_cap) + tech_3_5*#REF! + tech_5_3*#REF! + tech_5_5*#REF!))*elite1_ore,0)</f>
        <v>#REF!</v>
      </c>
      <c r="BO76" s="191" t="e">
        <f>ROUNDUP((1-MIN(#REF!*smithy_bonus,smithy_bonus_cap) + tech_3_5*#REF! + tech_5_3*#REF! + tech_5_5*#REF!)*elite2_plat,0)</f>
        <v>#REF!</v>
      </c>
      <c r="BP76" s="191" t="e">
        <f>ROUNDUP(IF(race="Gnome",1,(1-MIN(#REF!*smithy_bonus,smithy_bonus_cap) + tech_3_5*#REF! + tech_5_3*#REF! + tech_5_5*#REF!))*elite2_ore,0)</f>
        <v>#REF!</v>
      </c>
      <c r="BQ76" s="191" t="e">
        <f>ROUNDUP((1-MIN(ROUND(fh_spy_cost_red*#REF!,4),fh_spy_cost_cap)+ tech_1_9*#REF! + tech_9_1*#REF!)*spy_plat,0)</f>
        <v>#REF!</v>
      </c>
      <c r="BR76" s="191" t="e">
        <f>ROUNDUP((1-MIN(ROUND(fh_spy_cost_red*#REF!,4),fh_spy_cost_cap)+ tech_1_9*#REF! + tech_9_1*#REF!)*archspy_plat,0)</f>
        <v>#REF!</v>
      </c>
      <c r="BS76" s="191" t="e">
        <f>ROUNDUP((1-MIN(ROUND(wg_wiz_cost_bonus*#REF!,4),wg_wiz_cost_cap) + tech_1_9_2*#REF! + tech_9_1_2*#REF!)*wizard_plat,0)</f>
        <v>#REF!</v>
      </c>
      <c r="BT76" s="191" t="e">
        <f>ROUNDUP((1-MIN(ROUND(wg_wiz_cost_bonus*#REF!,4),wg_wiz_cost_cap) + tech_1_9_2*#REF! + tech_9_1_2*#REF!)*archmage_plat,0)</f>
        <v>#REF!</v>
      </c>
      <c r="BU76" s="140"/>
      <c r="BV76" s="190" t="e">
        <f>#REF!/#REF!</f>
        <v>#REF!</v>
      </c>
      <c r="BW76" s="190" t="e">
        <f>#REF!</f>
        <v>#REF!</v>
      </c>
      <c r="BX76" s="251" t="e">
        <f>IF(mystic_cap="none",#REF!/mystic_bonus,MIN(mystic_cap,#REF!/mystic_bonus))</f>
        <v>#REF!</v>
      </c>
      <c r="BY76" s="251" t="e">
        <f>IF(druid_op_cap="none",#REF!/druid_op_bonus,MIN(druid_op_cap,#REF!/druid_op_bonus))</f>
        <v>#REF!</v>
      </c>
      <c r="BZ76" s="251" t="e">
        <f>IF(druid_dp_cap="none",#REF!/druid_dp_bonus,MIN(druid_dp_cap,#REF!/druid_dp_bonus))</f>
        <v>#REF!</v>
      </c>
      <c r="CA76" s="251" t="e">
        <f>MIN(dryad_cap,#REF!/dryad_bonus)</f>
        <v>#REF!</v>
      </c>
      <c r="CB76" s="251" t="e">
        <f>MIN(rocka_cap,#REF!/rocka_bonus)</f>
        <v>#REF!</v>
      </c>
      <c r="CC76" s="251" t="e">
        <f>MIN(adept_op_cap,#REF!/adept_op_bonus)</f>
        <v>#REF!</v>
      </c>
      <c r="CD76" s="251" t="e">
        <f>MIN(adept_dp_cap,#REF!/adept_dp_bonus)</f>
        <v>#REF!</v>
      </c>
      <c r="CE76" s="191" t="e">
        <f>MIN(#REF!,#REF!)*2</f>
        <v>#REF!</v>
      </c>
      <c r="CF76" s="191" t="e">
        <f>MIN(#REF!,#REF!)*2</f>
        <v>#REF!</v>
      </c>
      <c r="CG76" s="251" t="e">
        <f>MIN(frost_mage_cap,#REF!/frost_mage_bonus)</f>
        <v>#REF!</v>
      </c>
      <c r="CH76" s="192" t="e">
        <f>MIN(ice_elem_cap,#REF!*ice_elem_bonus)</f>
        <v>#REF!</v>
      </c>
      <c r="CI76" s="251">
        <f t="shared" si="3"/>
        <v>0.83333333333333337</v>
      </c>
      <c r="CJ76" s="251" t="e">
        <f>MIN(nox_nightshade_cap,#REF!/#REF!/nox_nightshade_swamp_bonus)</f>
        <v>#REF!</v>
      </c>
      <c r="CK76" s="252"/>
      <c r="CL76" s="252"/>
      <c r="CM76" s="252"/>
      <c r="CN76" s="251" t="e">
        <f>MIN(6,#REF!+Races!$F$19)*1.8 +  IF(#REF!+Races!$F$19&gt;6,(#REF!+Races!$F$19-6)*0.2,0) - Races!$I$19</f>
        <v>#REF!</v>
      </c>
      <c r="CO76" s="251" t="e">
        <f>1.8 * MIN(MAX(#REF!+Races!$E$20,#REF!+Races!$F$20),6)  +  0.45 * MIN(MIN(#REF!+Races!$E$20,#REF!+Races!$F$20),6)  +  0.2 * ( MAX(#REF!+Races!$E$20-6,0) + MAX(#REF!+Races!$F$20-6,0) )  -  Races!$I$20</f>
        <v>#REF!</v>
      </c>
      <c r="CP76" s="191" t="e">
        <f>#REF!*#REF!+#REF!*#REF!</f>
        <v>#REF!</v>
      </c>
      <c r="CQ76" s="253" t="e">
        <f>MIN(6,#REF!+Races!$F$35)*1.8 +  IF(#REF!+Races!$F$35&gt;6,(#REF!+Races!$F$35-6)*0.2,0) - Races!$I$19</f>
        <v>#REF!</v>
      </c>
      <c r="CR76" s="191" t="e">
        <f>sylvan*(#REF!*#REF!)</f>
        <v>#REF!</v>
      </c>
      <c r="CS76" s="253" t="e">
        <f>1.8 * MIN(MAX(Races!$E$27,#REF!+Races!$F$27),6)  +  0.45 * MIN(MIN(Races!$E$27,#REF!+Races!$F$27),6)  +  0.2 * ( MAX(Races!$E$27-6,0) + MAX(#REF!+Races!$F$27-6,0) )  -  Races!$I$20</f>
        <v>#REF!</v>
      </c>
      <c r="CT76" s="191" t="e">
        <f>gnome*(#REF!*#REF!)</f>
        <v>#REF!</v>
      </c>
      <c r="CU76" s="253" t="e">
        <f>1.8 * MIN(MAX(#REF!+Races!$E$47,#REF!+Races!$F$47),6)  +  0.45 * MIN(MIN(#REF!+Races!$E$47,#REF!+Races!$F$47),6)  +  0.2 * ( MAX(#REF!+Races!$E$47-6,0) + MAX(#REF!+Races!$F$47-6,0) )  -  Races!$I$47</f>
        <v>#REF!</v>
      </c>
      <c r="CV76" s="191" t="e">
        <f>dark_elf*(#REF!*#REF!)</f>
        <v>#REF!</v>
      </c>
      <c r="CW76" s="253" t="e">
        <f>1.8 * MIN(MAX(#REF!+Races!$F$71,Races!$E$71),6)  +  0.45 * MIN(MIN(#REF!+Races!$F$71,Races!$E$71),6)  +  0.2 * ( MAX(#REF!+Races!$F$71-6,0) + MAX(Races!$E$71-6,0) )  -  Races!$I$71</f>
        <v>#REF!</v>
      </c>
      <c r="CX76" s="253" t="e">
        <f>1.8 * MIN(MAX(#REF!+Races!$E$71,Races!$F$71),6)  +  0.45 * MIN(MIN(#REF!+Races!$E$71,Races!$F$71),6)  +  0.2 * ( MAX(#REF!+Races!$E$71-6,0) + MAX(Races!$F$71-6,0) )  -  Races!$I$71</f>
        <v>#REF!</v>
      </c>
      <c r="CY76" s="191" t="e">
        <f>#REF!*#REF!+#REF!*#REF!</f>
        <v>#REF!</v>
      </c>
      <c r="CZ76" s="254"/>
      <c r="DA76" s="141" t="e">
        <f>MIN(SUM(#REF!)/#REF!/favorable_terrain_bonus/100,favorable_terrain_max)</f>
        <v>#REF!</v>
      </c>
      <c r="DB76" s="254"/>
      <c r="DC76" s="191"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76" s="140"/>
      <c r="DE76" s="255" t="e">
        <f>(#REF!+2*#REF!)/#REF!</f>
        <v>#REF!</v>
      </c>
      <c r="DF76" s="255" t="e">
        <f>#REF!*(1+race_wizard_strength+IF(#REF!&gt;72,tech_magical_weaponry_wiz*#REF!,0))</f>
        <v>#REF!</v>
      </c>
    </row>
    <row r="77" spans="1:110" x14ac:dyDescent="0.25">
      <c r="A77" s="130" t="e">
        <f>#REF!</f>
        <v>#REF!</v>
      </c>
      <c r="B77" s="236" t="e">
        <f ca="1">SUM(#REF!)+SUM(OFFSET(#REF!,-8,0):#REF!) + SUM(OFFSET(#REF!,-11,0):#REF!) +#REF!</f>
        <v>#REF!</v>
      </c>
      <c r="C77" s="132" t="e">
        <f>#REF!</f>
        <v>#REF!</v>
      </c>
      <c r="D77" s="134"/>
      <c r="E77" s="3" t="e">
        <f ca="1">OFFSET(#REF!,-1,0) + OFFSET(#REF!,-9,0) -#REF!</f>
        <v>#REF!</v>
      </c>
      <c r="F77" s="3" t="e">
        <f ca="1">OFFSET(#REF!,-1,0) + OFFSET(#REF!,-9,0)-#REF!</f>
        <v>#REF!</v>
      </c>
      <c r="G77" s="3" t="e">
        <f ca="1">OFFSET(#REF!,-1,0) + OFFSET(#REF!,-12,0)-#REF!</f>
        <v>#REF!</v>
      </c>
      <c r="H77" s="3" t="e">
        <f ca="1">OFFSET(#REF!,-1,0) + OFFSET(#REF!,-12,0)-#REF!</f>
        <v>#REF!</v>
      </c>
      <c r="I77" s="3" t="e">
        <f ca="1">OFFSET(#REF!,-1,0) + OFFSET(#REF!,-12,0) -#REF!-#REF!</f>
        <v>#REF!</v>
      </c>
      <c r="J77" s="3" t="e">
        <f ca="1">OFFSET(#REF!,-1,0) + OFFSET(#REF!,-12,0) -#REF!</f>
        <v>#REF!</v>
      </c>
      <c r="K77" s="3" t="e">
        <f ca="1">OFFSET(#REF!,-1,0) + OFFSET(#REF!,-12,0) -#REF!-#REF!</f>
        <v>#REF!</v>
      </c>
      <c r="L77" s="3" t="e">
        <f ca="1">OFFSET(#REF!,-1,0) + OFFSET(#REF!,-12,0) -#REF!</f>
        <v>#REF!</v>
      </c>
      <c r="M77" s="134"/>
      <c r="N77" s="39" t="e">
        <f>#REF!</f>
        <v>#REF!</v>
      </c>
      <c r="O77" s="134"/>
      <c r="P77" s="237" t="e">
        <f>#REF!*spec_op+#REF!*(elite1_base_op)+#REF!*(elite2_base_op+dark_elf*#REF!+icekin*#REF!+woodie*#REF!+orc*#REF!)+kobold*#REF!</f>
        <v>#REF!</v>
      </c>
      <c r="Q77" s="132" t="e">
        <f>race_offense+#REF!+ROUND(MIN(gn_bonus*#REF!/#REF!,gn_bonus_cap),4)+MAX(IF(#REF!&gt;0,warsong_bonus),IF(#REF!&gt;0,howling_op_bonus),IF(#REF!&gt;0,nightfall_bonus),IF(#REF!&gt;0,#REF!)) +#REF!/ 100*prestige_offense_bonus + tech_5_4*#REF! + tech_7_4*#REF!</f>
        <v>#REF!</v>
      </c>
      <c r="R77" s="237" t="e">
        <f>#REF!*(1+#REF!)</f>
        <v>#REF!</v>
      </c>
      <c r="S77" s="237" t="e">
        <f>#REF!*spec_dp+#REF!*(elite1_base_dp+woodie*#REF!+sylvan*#REF!+gnome*#REF!+icekin*#REF!+nox*#REF!)+#REF!*(elite2_base_dp+woodie*#REF!) + fh_peas_dp*MIN(#REF!,20*#REF!)+kobold*#REF!</f>
        <v>#REF!</v>
      </c>
      <c r="T77" s="237" t="e">
        <f>#REF!+#REF!</f>
        <v>#REF!</v>
      </c>
      <c r="U77" s="238" t="e">
        <f>race_defense +#REF! + ROUND( MIN(gt_bonus*#REF!/#REF!,gt_bonus_cap), 4) + IF(#REF!&gt;0,howling_dp_bonus,IF(#REF!&gt;0,ares_call_bonus))</f>
        <v>#REF!</v>
      </c>
      <c r="V77" s="239" t="e">
        <f>#REF! * (1 +#REF!)</f>
        <v>#REF!</v>
      </c>
      <c r="W77" s="237" t="e">
        <f>#REF! * (1 +#REF!)</f>
        <v>#REF!</v>
      </c>
      <c r="X77" s="237" t="e">
        <f>#REF!</f>
        <v>#REF!</v>
      </c>
      <c r="Y77" s="240"/>
      <c r="Z77" s="135" t="e">
        <f ca="1">IF(#REF!&lt;&gt;"",#REF!,OFFSET(#REF!,-1,0))</f>
        <v>#REF!</v>
      </c>
      <c r="AA77" s="39" t="e">
        <f ca="1">OFFSET(#REF!,-1,0)+OFFSET(#REF!,-1,0) - SUM(#REF!,#REF!) -#REF! + SUM(#REF!) -#REF!</f>
        <v>#REF!</v>
      </c>
      <c r="AB77" s="133"/>
      <c r="AC77" s="132" t="e">
        <f>(#REF!+#REF!)/(#REF!-#REF!*20)</f>
        <v>#REF!</v>
      </c>
      <c r="AD77" s="130"/>
      <c r="AE77" s="236" t="e">
        <f>#REF!</f>
        <v>#REF!</v>
      </c>
      <c r="AF77" s="131" t="e">
        <f>#REF!</f>
        <v>#REF!</v>
      </c>
      <c r="AG77" s="164"/>
      <c r="AH77" s="146"/>
      <c r="AI77" s="164"/>
      <c r="AJ77" s="164"/>
      <c r="AK77" s="164"/>
      <c r="AL77" s="164"/>
      <c r="AM77" s="164"/>
      <c r="AN77" s="164"/>
      <c r="AO77" s="134"/>
      <c r="AP77" s="39" t="e">
        <f>#REF!</f>
        <v>#REF!</v>
      </c>
      <c r="AQ77" s="39" t="e">
        <f>INDEX(#REF!:#REF!,COUNTA(#REF!:#REF!),MATCH(Military!$AQ$2,#REF!,0))</f>
        <v>#REF!</v>
      </c>
      <c r="AR77" s="39" t="e">
        <f>#REF!*#REF!+#REF!*#REF!+#REF!*#REF!+#REF!*#REF!+#REF!*#REF!+#REF!*#REF!+#REF!*#REF!</f>
        <v>#REF!</v>
      </c>
      <c r="AS77" s="39" t="e">
        <f>#REF!*#REF!+#REF!*#REF!+#REF!*#REF!+#REF!*#REF!</f>
        <v>#REF!</v>
      </c>
      <c r="AT77" s="134" t="e">
        <f>#REF!</f>
        <v>#REF!</v>
      </c>
      <c r="AU77" s="143" t="e">
        <f>#REF!</f>
        <v>#REF!</v>
      </c>
      <c r="AV77" s="39" t="e">
        <f>#REF!</f>
        <v>#REF!</v>
      </c>
      <c r="AW77" s="146"/>
      <c r="AX77" s="164"/>
      <c r="AY77" s="164"/>
      <c r="AZ77" s="164"/>
      <c r="BA77" s="164"/>
      <c r="BB77" s="164"/>
      <c r="BC77" s="164"/>
      <c r="BD77" s="164"/>
      <c r="BE77" s="164"/>
      <c r="BF77" s="134"/>
      <c r="BG77" s="132" t="e">
        <f>#REF!/#REF!</f>
        <v>#REF!</v>
      </c>
      <c r="BH77" s="132" t="e">
        <f>#REF!/#REF!</f>
        <v>#REF!</v>
      </c>
      <c r="BI77" s="39" t="e">
        <f>ROUNDUP((1-MIN(#REF!*smithy_bonus,smithy_bonus_cap) + tech_3_5*#REF! + tech_5_3*#REF! + tech_5_5*#REF!)*spec_op_plat,0)</f>
        <v>#REF!</v>
      </c>
      <c r="BJ77" s="39" t="e">
        <f>ROUNDUP(IF(race="Gnome",1,(1-MIN(#REF!*smithy_bonus,smithy_bonus_cap) + tech_3_5*#REF! + tech_5_3*#REF! + tech_5_5*#REF!))*spec_op_ore,0)</f>
        <v>#REF!</v>
      </c>
      <c r="BK77" s="39" t="e">
        <f>ROUNDUP((1-MIN(#REF!*smithy_bonus,smithy_bonus_cap) + tech_3_5*#REF! + tech_5_3*#REF! + tech_5_5*#REF!)*spec_dp_plat,0)</f>
        <v>#REF!</v>
      </c>
      <c r="BL77" s="39" t="e">
        <f>ROUNDUP(IF(race="Gnome",1,(1-MIN(#REF!*smithy_bonus,smithy_bonus_cap) + tech_3_5*#REF! + tech_5_3*#REF! + tech_5_5*#REF!))*spec_dp_ore,0)</f>
        <v>#REF!</v>
      </c>
      <c r="BM77" s="39" t="e">
        <f>ROUNDUP((1-MIN(#REF!*smithy_bonus,smithy_bonus_cap) + tech_3_5*#REF! + tech_5_3*#REF! + tech_5_5*#REF!)*elite1_plat,0)</f>
        <v>#REF!</v>
      </c>
      <c r="BN77" s="39" t="e">
        <f>ROUNDUP(IF(race="Gnome",1,(1-MIN(#REF!*smithy_bonus,smithy_bonus_cap) + tech_3_5*#REF! + tech_5_3*#REF! + tech_5_5*#REF!))*elite1_ore,0)</f>
        <v>#REF!</v>
      </c>
      <c r="BO77" s="39" t="e">
        <f>ROUNDUP((1-MIN(#REF!*smithy_bonus,smithy_bonus_cap) + tech_3_5*#REF! + tech_5_3*#REF! + tech_5_5*#REF!)*elite2_plat,0)</f>
        <v>#REF!</v>
      </c>
      <c r="BP77" s="39" t="e">
        <f>ROUNDUP(IF(race="Gnome",1,(1-MIN(#REF!*smithy_bonus,smithy_bonus_cap) + tech_3_5*#REF! + tech_5_3*#REF! + tech_5_5*#REF!))*elite2_ore,0)</f>
        <v>#REF!</v>
      </c>
      <c r="BQ77" s="39" t="e">
        <f>ROUNDUP((1-MIN(ROUND(fh_spy_cost_red*#REF!,4),fh_spy_cost_cap)+ tech_1_9*#REF! + tech_9_1*#REF!)*spy_plat,0)</f>
        <v>#REF!</v>
      </c>
      <c r="BR77" s="39" t="e">
        <f>ROUNDUP((1-MIN(ROUND(fh_spy_cost_red*#REF!,4),fh_spy_cost_cap)+ tech_1_9*#REF! + tech_9_1*#REF!)*archspy_plat,0)</f>
        <v>#REF!</v>
      </c>
      <c r="BS77" s="39" t="e">
        <f>ROUNDUP((1-MIN(ROUND(wg_wiz_cost_bonus*#REF!,4),wg_wiz_cost_cap) + tech_1_9_2*#REF! + tech_9_1_2*#REF!)*wizard_plat,0)</f>
        <v>#REF!</v>
      </c>
      <c r="BT77" s="39" t="e">
        <f>ROUNDUP((1-MIN(ROUND(wg_wiz_cost_bonus*#REF!,4),wg_wiz_cost_cap) + tech_1_9_2*#REF! + tech_9_1_2*#REF!)*archmage_plat,0)</f>
        <v>#REF!</v>
      </c>
      <c r="BU77" s="134"/>
      <c r="BV77" s="132" t="e">
        <f>#REF!/#REF!</f>
        <v>#REF!</v>
      </c>
      <c r="BW77" s="132" t="e">
        <f>#REF!</f>
        <v>#REF!</v>
      </c>
      <c r="BX77" s="241" t="e">
        <f>IF(mystic_cap="none",#REF!/mystic_bonus,MIN(mystic_cap,#REF!/mystic_bonus))</f>
        <v>#REF!</v>
      </c>
      <c r="BY77" s="241" t="e">
        <f>IF(druid_op_cap="none",#REF!/druid_op_bonus,MIN(druid_op_cap,#REF!/druid_op_bonus))</f>
        <v>#REF!</v>
      </c>
      <c r="BZ77" s="241" t="e">
        <f>IF(druid_dp_cap="none",#REF!/druid_dp_bonus,MIN(druid_dp_cap,#REF!/druid_dp_bonus))</f>
        <v>#REF!</v>
      </c>
      <c r="CA77" s="241" t="e">
        <f>MIN(dryad_cap,#REF!/dryad_bonus)</f>
        <v>#REF!</v>
      </c>
      <c r="CB77" s="241" t="e">
        <f>MIN(rocka_cap,#REF!/rocka_bonus)</f>
        <v>#REF!</v>
      </c>
      <c r="CC77" s="241" t="e">
        <f>MIN(adept_op_cap,#REF!/adept_op_bonus)</f>
        <v>#REF!</v>
      </c>
      <c r="CD77" s="241" t="e">
        <f>MIN(adept_dp_cap,#REF!/adept_dp_bonus)</f>
        <v>#REF!</v>
      </c>
      <c r="CE77" s="39" t="e">
        <f>MIN(#REF!,#REF!)*2</f>
        <v>#REF!</v>
      </c>
      <c r="CF77" s="39" t="e">
        <f>MIN(#REF!,#REF!)*2</f>
        <v>#REF!</v>
      </c>
      <c r="CG77" s="241" t="e">
        <f>MIN(frost_mage_cap,#REF!/frost_mage_bonus)</f>
        <v>#REF!</v>
      </c>
      <c r="CH77" s="3" t="e">
        <f>MIN(ice_elem_cap,#REF!*ice_elem_bonus)</f>
        <v>#REF!</v>
      </c>
      <c r="CI77" s="241">
        <f t="shared" si="3"/>
        <v>0.83333333333333337</v>
      </c>
      <c r="CJ77" s="241" t="e">
        <f>MIN(nox_nightshade_cap,#REF!/#REF!/nox_nightshade_swamp_bonus)</f>
        <v>#REF!</v>
      </c>
      <c r="CK77" s="242"/>
      <c r="CL77" s="242"/>
      <c r="CM77" s="242"/>
      <c r="CN77" s="241" t="e">
        <f>MIN(6,#REF!+Races!$F$19)*1.8 +  IF(#REF!+Races!$F$19&gt;6,(#REF!+Races!$F$19-6)*0.2,0) - Races!$I$19</f>
        <v>#REF!</v>
      </c>
      <c r="CO77" s="241" t="e">
        <f>1.8 * MIN(MAX(#REF!+Races!$E$20,#REF!+Races!$F$20),6)  +  0.45 * MIN(MIN(#REF!+Races!$E$20,#REF!+Races!$F$20),6)  +  0.2 * ( MAX(#REF!+Races!$E$20-6,0) + MAX(#REF!+Races!$F$20-6,0) )  -  Races!$I$20</f>
        <v>#REF!</v>
      </c>
      <c r="CP77" s="39" t="e">
        <f>#REF!*#REF!+#REF!*#REF!</f>
        <v>#REF!</v>
      </c>
      <c r="CQ77" s="145" t="e">
        <f>MIN(6,#REF!+Races!$F$35)*1.8 +  IF(#REF!+Races!$F$35&gt;6,(#REF!+Races!$F$35-6)*0.2,0) - Races!$I$19</f>
        <v>#REF!</v>
      </c>
      <c r="CR77" s="39" t="e">
        <f>sylvan*(#REF!*#REF!)</f>
        <v>#REF!</v>
      </c>
      <c r="CS77" s="145" t="e">
        <f>1.8 * MIN(MAX(Races!$E$27,#REF!+Races!$F$27),6)  +  0.45 * MIN(MIN(Races!$E$27,#REF!+Races!$F$27),6)  +  0.2 * ( MAX(Races!$E$27-6,0) + MAX(#REF!+Races!$F$27-6,0) )  -  Races!$I$20</f>
        <v>#REF!</v>
      </c>
      <c r="CT77" s="39" t="e">
        <f>gnome*(#REF!*#REF!)</f>
        <v>#REF!</v>
      </c>
      <c r="CU77" s="145" t="e">
        <f>1.8 * MIN(MAX(#REF!+Races!$E$47,#REF!+Races!$F$47),6)  +  0.45 * MIN(MIN(#REF!+Races!$E$47,#REF!+Races!$F$47),6)  +  0.2 * ( MAX(#REF!+Races!$E$47-6,0) + MAX(#REF!+Races!$F$47-6,0) )  -  Races!$I$47</f>
        <v>#REF!</v>
      </c>
      <c r="CV77" s="39" t="e">
        <f>dark_elf*(#REF!*#REF!)</f>
        <v>#REF!</v>
      </c>
      <c r="CW77" s="145" t="e">
        <f>1.8 * MIN(MAX(#REF!+Races!$F$71,Races!$E$71),6)  +  0.45 * MIN(MIN(#REF!+Races!$F$71,Races!$E$71),6)  +  0.2 * ( MAX(#REF!+Races!$F$71-6,0) + MAX(Races!$E$71-6,0) )  -  Races!$I$71</f>
        <v>#REF!</v>
      </c>
      <c r="CX77" s="145" t="e">
        <f>1.8 * MIN(MAX(#REF!+Races!$E$71,Races!$F$71),6)  +  0.45 * MIN(MIN(#REF!+Races!$E$71,Races!$F$71),6)  +  0.2 * ( MAX(#REF!+Races!$E$71-6,0) + MAX(Races!$F$71-6,0) )  -  Races!$I$71</f>
        <v>#REF!</v>
      </c>
      <c r="CY77" s="39" t="e">
        <f>#REF!*#REF!+#REF!*#REF!</f>
        <v>#REF!</v>
      </c>
      <c r="CZ77" s="243"/>
      <c r="DA77" s="135" t="e">
        <f>MIN(SUM(#REF!)/#REF!/favorable_terrain_bonus/100,favorable_terrain_max)</f>
        <v>#REF!</v>
      </c>
      <c r="DB77" s="243"/>
      <c r="DC77"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77" s="134"/>
      <c r="DE77" s="244" t="e">
        <f>(#REF!+2*#REF!)/#REF!</f>
        <v>#REF!</v>
      </c>
      <c r="DF77" s="244" t="e">
        <f>#REF!*(1+race_wizard_strength+IF(#REF!&gt;72,tech_magical_weaponry_wiz*#REF!,0))</f>
        <v>#REF!</v>
      </c>
    </row>
    <row r="78" spans="1:110" x14ac:dyDescent="0.25">
      <c r="A78" s="130" t="e">
        <f>#REF!</f>
        <v>#REF!</v>
      </c>
      <c r="B78" s="236" t="e">
        <f ca="1">SUM(#REF!)+SUM(OFFSET(#REF!,-8,0):#REF!) + SUM(OFFSET(#REF!,-11,0):#REF!) +#REF!</f>
        <v>#REF!</v>
      </c>
      <c r="C78" s="132" t="e">
        <f>#REF!</f>
        <v>#REF!</v>
      </c>
      <c r="D78" s="134"/>
      <c r="E78" s="3" t="e">
        <f ca="1">OFFSET(#REF!,-1,0) + OFFSET(#REF!,-9,0) -#REF!</f>
        <v>#REF!</v>
      </c>
      <c r="F78" s="3" t="e">
        <f ca="1">OFFSET(#REF!,-1,0) + OFFSET(#REF!,-9,0)-#REF!</f>
        <v>#REF!</v>
      </c>
      <c r="G78" s="3" t="e">
        <f ca="1">OFFSET(#REF!,-1,0) + OFFSET(#REF!,-12,0)-#REF!</f>
        <v>#REF!</v>
      </c>
      <c r="H78" s="3" t="e">
        <f ca="1">OFFSET(#REF!,-1,0) + OFFSET(#REF!,-12,0)-#REF!</f>
        <v>#REF!</v>
      </c>
      <c r="I78" s="3" t="e">
        <f ca="1">OFFSET(#REF!,-1,0) + OFFSET(#REF!,-12,0) -#REF!-#REF!</f>
        <v>#REF!</v>
      </c>
      <c r="J78" s="3" t="e">
        <f ca="1">OFFSET(#REF!,-1,0) + OFFSET(#REF!,-12,0) -#REF!</f>
        <v>#REF!</v>
      </c>
      <c r="K78" s="3" t="e">
        <f ca="1">OFFSET(#REF!,-1,0) + OFFSET(#REF!,-12,0) -#REF!-#REF!</f>
        <v>#REF!</v>
      </c>
      <c r="L78" s="3" t="e">
        <f ca="1">OFFSET(#REF!,-1,0) + OFFSET(#REF!,-12,0) -#REF!</f>
        <v>#REF!</v>
      </c>
      <c r="M78" s="134"/>
      <c r="N78" s="39" t="e">
        <f>#REF!</f>
        <v>#REF!</v>
      </c>
      <c r="O78" s="134"/>
      <c r="P78" s="237" t="e">
        <f>#REF!*spec_op+#REF!*(elite1_base_op)+#REF!*(elite2_base_op+dark_elf*#REF!+icekin*#REF!+woodie*#REF!+orc*#REF!)+kobold*#REF!</f>
        <v>#REF!</v>
      </c>
      <c r="Q78" s="132" t="e">
        <f>race_offense+#REF!+ROUND(MIN(gn_bonus*#REF!/#REF!,gn_bonus_cap),4)+MAX(IF(#REF!&gt;0,warsong_bonus),IF(#REF!&gt;0,howling_op_bonus),IF(#REF!&gt;0,nightfall_bonus),IF(#REF!&gt;0,#REF!)) +#REF!/ 100*prestige_offense_bonus + tech_5_4*#REF! + tech_7_4*#REF!</f>
        <v>#REF!</v>
      </c>
      <c r="R78" s="237" t="e">
        <f>#REF!*(1+#REF!)</f>
        <v>#REF!</v>
      </c>
      <c r="S78" s="237" t="e">
        <f>#REF!*spec_dp+#REF!*(elite1_base_dp+woodie*#REF!+sylvan*#REF!+gnome*#REF!+icekin*#REF!+nox*#REF!)+#REF!*(elite2_base_dp+woodie*#REF!) + fh_peas_dp*MIN(#REF!,20*#REF!)+kobold*#REF!</f>
        <v>#REF!</v>
      </c>
      <c r="T78" s="237" t="e">
        <f>#REF!+#REF!</f>
        <v>#REF!</v>
      </c>
      <c r="U78" s="238" t="e">
        <f>race_defense +#REF! + ROUND( MIN(gt_bonus*#REF!/#REF!,gt_bonus_cap), 4) + IF(#REF!&gt;0,howling_dp_bonus,IF(#REF!&gt;0,ares_call_bonus))</f>
        <v>#REF!</v>
      </c>
      <c r="V78" s="239" t="e">
        <f>#REF! * (1 +#REF!)</f>
        <v>#REF!</v>
      </c>
      <c r="W78" s="237" t="e">
        <f>#REF! * (1 +#REF!)</f>
        <v>#REF!</v>
      </c>
      <c r="X78" s="237" t="e">
        <f>#REF!</f>
        <v>#REF!</v>
      </c>
      <c r="Y78" s="240"/>
      <c r="Z78" s="135" t="e">
        <f ca="1">IF(#REF!&lt;&gt;"",#REF!,OFFSET(#REF!,-1,0))</f>
        <v>#REF!</v>
      </c>
      <c r="AA78" s="39" t="e">
        <f ca="1">OFFSET(#REF!,-1,0)+OFFSET(#REF!,-1,0) - SUM(#REF!,#REF!) -#REF! + SUM(#REF!) -#REF!</f>
        <v>#REF!</v>
      </c>
      <c r="AB78" s="133"/>
      <c r="AC78" s="132" t="e">
        <f>(#REF!+#REF!)/(#REF!-#REF!*20)</f>
        <v>#REF!</v>
      </c>
      <c r="AD78" s="130"/>
      <c r="AE78" s="236" t="e">
        <f>#REF!</f>
        <v>#REF!</v>
      </c>
      <c r="AF78" s="131" t="e">
        <f>#REF!</f>
        <v>#REF!</v>
      </c>
      <c r="AG78" s="164"/>
      <c r="AH78" s="146"/>
      <c r="AI78" s="164"/>
      <c r="AJ78" s="164"/>
      <c r="AK78" s="164"/>
      <c r="AL78" s="164"/>
      <c r="AM78" s="164"/>
      <c r="AN78" s="164"/>
      <c r="AO78" s="134"/>
      <c r="AP78" s="39" t="e">
        <f>#REF!</f>
        <v>#REF!</v>
      </c>
      <c r="AQ78" s="39" t="e">
        <f>INDEX(#REF!:#REF!,COUNTA(#REF!:#REF!),MATCH(Military!$AQ$2,#REF!,0))</f>
        <v>#REF!</v>
      </c>
      <c r="AR78" s="39" t="e">
        <f>#REF!*#REF!+#REF!*#REF!+#REF!*#REF!+#REF!*#REF!+#REF!*#REF!+#REF!*#REF!+#REF!*#REF!</f>
        <v>#REF!</v>
      </c>
      <c r="AS78" s="39" t="e">
        <f>#REF!*#REF!+#REF!*#REF!+#REF!*#REF!+#REF!*#REF!</f>
        <v>#REF!</v>
      </c>
      <c r="AT78" s="134" t="e">
        <f>#REF!</f>
        <v>#REF!</v>
      </c>
      <c r="AU78" s="143" t="e">
        <f>#REF!</f>
        <v>#REF!</v>
      </c>
      <c r="AV78" s="39" t="e">
        <f>#REF!</f>
        <v>#REF!</v>
      </c>
      <c r="AW78" s="164"/>
      <c r="AX78" s="164"/>
      <c r="AY78" s="164"/>
      <c r="AZ78" s="164"/>
      <c r="BA78" s="164"/>
      <c r="BB78" s="164"/>
      <c r="BC78" s="164"/>
      <c r="BD78" s="164"/>
      <c r="BE78" s="164"/>
      <c r="BF78" s="134"/>
      <c r="BG78" s="132" t="e">
        <f>#REF!/#REF!</f>
        <v>#REF!</v>
      </c>
      <c r="BH78" s="132" t="e">
        <f>#REF!/#REF!</f>
        <v>#REF!</v>
      </c>
      <c r="BI78" s="39" t="e">
        <f>ROUNDUP((1-MIN(#REF!*smithy_bonus,smithy_bonus_cap) + tech_3_5*#REF! + tech_5_3*#REF! + tech_5_5*#REF!)*spec_op_plat,0)</f>
        <v>#REF!</v>
      </c>
      <c r="BJ78" s="39" t="e">
        <f>ROUNDUP(IF(race="Gnome",1,(1-MIN(#REF!*smithy_bonus,smithy_bonus_cap) + tech_3_5*#REF! + tech_5_3*#REF! + tech_5_5*#REF!))*spec_op_ore,0)</f>
        <v>#REF!</v>
      </c>
      <c r="BK78" s="39" t="e">
        <f>ROUNDUP((1-MIN(#REF!*smithy_bonus,smithy_bonus_cap) + tech_3_5*#REF! + tech_5_3*#REF! + tech_5_5*#REF!)*spec_dp_plat,0)</f>
        <v>#REF!</v>
      </c>
      <c r="BL78" s="39" t="e">
        <f>ROUNDUP(IF(race="Gnome",1,(1-MIN(#REF!*smithy_bonus,smithy_bonus_cap) + tech_3_5*#REF! + tech_5_3*#REF! + tech_5_5*#REF!))*spec_dp_ore,0)</f>
        <v>#REF!</v>
      </c>
      <c r="BM78" s="39" t="e">
        <f>ROUNDUP((1-MIN(#REF!*smithy_bonus,smithy_bonus_cap) + tech_3_5*#REF! + tech_5_3*#REF! + tech_5_5*#REF!)*elite1_plat,0)</f>
        <v>#REF!</v>
      </c>
      <c r="BN78" s="39" t="e">
        <f>ROUNDUP(IF(race="Gnome",1,(1-MIN(#REF!*smithy_bonus,smithy_bonus_cap) + tech_3_5*#REF! + tech_5_3*#REF! + tech_5_5*#REF!))*elite1_ore,0)</f>
        <v>#REF!</v>
      </c>
      <c r="BO78" s="39" t="e">
        <f>ROUNDUP((1-MIN(#REF!*smithy_bonus,smithy_bonus_cap) + tech_3_5*#REF! + tech_5_3*#REF! + tech_5_5*#REF!)*elite2_plat,0)</f>
        <v>#REF!</v>
      </c>
      <c r="BP78" s="39" t="e">
        <f>ROUNDUP(IF(race="Gnome",1,(1-MIN(#REF!*smithy_bonus,smithy_bonus_cap) + tech_3_5*#REF! + tech_5_3*#REF! + tech_5_5*#REF!))*elite2_ore,0)</f>
        <v>#REF!</v>
      </c>
      <c r="BQ78" s="39" t="e">
        <f>ROUNDUP((1-MIN(ROUND(fh_spy_cost_red*#REF!,4),fh_spy_cost_cap)+ tech_1_9*#REF! + tech_9_1*#REF!)*spy_plat,0)</f>
        <v>#REF!</v>
      </c>
      <c r="BR78" s="39" t="e">
        <f>ROUNDUP((1-MIN(ROUND(fh_spy_cost_red*#REF!,4),fh_spy_cost_cap)+ tech_1_9*#REF! + tech_9_1*#REF!)*archspy_plat,0)</f>
        <v>#REF!</v>
      </c>
      <c r="BS78" s="39" t="e">
        <f>ROUNDUP((1-MIN(ROUND(wg_wiz_cost_bonus*#REF!,4),wg_wiz_cost_cap) + tech_1_9_2*#REF! + tech_9_1_2*#REF!)*wizard_plat,0)</f>
        <v>#REF!</v>
      </c>
      <c r="BT78" s="39" t="e">
        <f>ROUNDUP((1-MIN(ROUND(wg_wiz_cost_bonus*#REF!,4),wg_wiz_cost_cap) + tech_1_9_2*#REF! + tech_9_1_2*#REF!)*archmage_plat,0)</f>
        <v>#REF!</v>
      </c>
      <c r="BU78" s="134"/>
      <c r="BV78" s="132" t="e">
        <f>#REF!/#REF!</f>
        <v>#REF!</v>
      </c>
      <c r="BW78" s="132" t="e">
        <f>#REF!</f>
        <v>#REF!</v>
      </c>
      <c r="BX78" s="241" t="e">
        <f>IF(mystic_cap="none",#REF!/mystic_bonus,MIN(mystic_cap,#REF!/mystic_bonus))</f>
        <v>#REF!</v>
      </c>
      <c r="BY78" s="241" t="e">
        <f>IF(druid_op_cap="none",#REF!/druid_op_bonus,MIN(druid_op_cap,#REF!/druid_op_bonus))</f>
        <v>#REF!</v>
      </c>
      <c r="BZ78" s="241" t="e">
        <f>IF(druid_dp_cap="none",#REF!/druid_dp_bonus,MIN(druid_dp_cap,#REF!/druid_dp_bonus))</f>
        <v>#REF!</v>
      </c>
      <c r="CA78" s="241" t="e">
        <f>MIN(dryad_cap,#REF!/dryad_bonus)</f>
        <v>#REF!</v>
      </c>
      <c r="CB78" s="241" t="e">
        <f>MIN(rocka_cap,#REF!/rocka_bonus)</f>
        <v>#REF!</v>
      </c>
      <c r="CC78" s="241" t="e">
        <f>MIN(adept_op_cap,#REF!/adept_op_bonus)</f>
        <v>#REF!</v>
      </c>
      <c r="CD78" s="241" t="e">
        <f>MIN(adept_dp_cap,#REF!/adept_dp_bonus)</f>
        <v>#REF!</v>
      </c>
      <c r="CE78" s="39" t="e">
        <f>MIN(#REF!,#REF!)*2</f>
        <v>#REF!</v>
      </c>
      <c r="CF78" s="39" t="e">
        <f>MIN(#REF!,#REF!)*2</f>
        <v>#REF!</v>
      </c>
      <c r="CG78" s="241" t="e">
        <f>MIN(frost_mage_cap,#REF!/frost_mage_bonus)</f>
        <v>#REF!</v>
      </c>
      <c r="CH78" s="3" t="e">
        <f>MIN(ice_elem_cap,#REF!*ice_elem_bonus)</f>
        <v>#REF!</v>
      </c>
      <c r="CI78" s="241">
        <f t="shared" si="3"/>
        <v>0.83333333333333337</v>
      </c>
      <c r="CJ78" s="241" t="e">
        <f>MIN(nox_nightshade_cap,#REF!/#REF!/nox_nightshade_swamp_bonus)</f>
        <v>#REF!</v>
      </c>
      <c r="CK78" s="242"/>
      <c r="CL78" s="242"/>
      <c r="CM78" s="242"/>
      <c r="CN78" s="241" t="e">
        <f>MIN(6,#REF!+Races!$F$19)*1.8 +  IF(#REF!+Races!$F$19&gt;6,(#REF!+Races!$F$19-6)*0.2,0) - Races!$I$19</f>
        <v>#REF!</v>
      </c>
      <c r="CO78" s="241" t="e">
        <f>1.8 * MIN(MAX(#REF!+Races!$E$20,#REF!+Races!$F$20),6)  +  0.45 * MIN(MIN(#REF!+Races!$E$20,#REF!+Races!$F$20),6)  +  0.2 * ( MAX(#REF!+Races!$E$20-6,0) + MAX(#REF!+Races!$F$20-6,0) )  -  Races!$I$20</f>
        <v>#REF!</v>
      </c>
      <c r="CP78" s="39" t="e">
        <f>#REF!*#REF!+#REF!*#REF!</f>
        <v>#REF!</v>
      </c>
      <c r="CQ78" s="145" t="e">
        <f>MIN(6,#REF!+Races!$F$35)*1.8 +  IF(#REF!+Races!$F$35&gt;6,(#REF!+Races!$F$35-6)*0.2,0) - Races!$I$19</f>
        <v>#REF!</v>
      </c>
      <c r="CR78" s="39" t="e">
        <f>sylvan*(#REF!*#REF!)</f>
        <v>#REF!</v>
      </c>
      <c r="CS78" s="145" t="e">
        <f>1.8 * MIN(MAX(Races!$E$27,#REF!+Races!$F$27),6)  +  0.45 * MIN(MIN(Races!$E$27,#REF!+Races!$F$27),6)  +  0.2 * ( MAX(Races!$E$27-6,0) + MAX(#REF!+Races!$F$27-6,0) )  -  Races!$I$20</f>
        <v>#REF!</v>
      </c>
      <c r="CT78" s="39" t="e">
        <f>gnome*(#REF!*#REF!)</f>
        <v>#REF!</v>
      </c>
      <c r="CU78" s="145" t="e">
        <f>1.8 * MIN(MAX(#REF!+Races!$E$47,#REF!+Races!$F$47),6)  +  0.45 * MIN(MIN(#REF!+Races!$E$47,#REF!+Races!$F$47),6)  +  0.2 * ( MAX(#REF!+Races!$E$47-6,0) + MAX(#REF!+Races!$F$47-6,0) )  -  Races!$I$47</f>
        <v>#REF!</v>
      </c>
      <c r="CV78" s="39" t="e">
        <f>dark_elf*(#REF!*#REF!)</f>
        <v>#REF!</v>
      </c>
      <c r="CW78" s="145" t="e">
        <f>1.8 * MIN(MAX(#REF!+Races!$F$71,Races!$E$71),6)  +  0.45 * MIN(MIN(#REF!+Races!$F$71,Races!$E$71),6)  +  0.2 * ( MAX(#REF!+Races!$F$71-6,0) + MAX(Races!$E$71-6,0) )  -  Races!$I$71</f>
        <v>#REF!</v>
      </c>
      <c r="CX78" s="145" t="e">
        <f>1.8 * MIN(MAX(#REF!+Races!$E$71,Races!$F$71),6)  +  0.45 * MIN(MIN(#REF!+Races!$E$71,Races!$F$71),6)  +  0.2 * ( MAX(#REF!+Races!$E$71-6,0) + MAX(Races!$F$71-6,0) )  -  Races!$I$71</f>
        <v>#REF!</v>
      </c>
      <c r="CY78" s="39" t="e">
        <f>#REF!*#REF!+#REF!*#REF!</f>
        <v>#REF!</v>
      </c>
      <c r="CZ78" s="243"/>
      <c r="DA78" s="135" t="e">
        <f>MIN(SUM(#REF!)/#REF!/favorable_terrain_bonus/100,favorable_terrain_max)</f>
        <v>#REF!</v>
      </c>
      <c r="DB78" s="243"/>
      <c r="DC78"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78" s="134"/>
      <c r="DE78" s="244" t="e">
        <f>(#REF!+2*#REF!)/#REF!</f>
        <v>#REF!</v>
      </c>
      <c r="DF78" s="244" t="e">
        <f>#REF!*(1+race_wizard_strength+IF(#REF!&gt;72,tech_magical_weaponry_wiz*#REF!,0))</f>
        <v>#REF!</v>
      </c>
    </row>
    <row r="79" spans="1:110" x14ac:dyDescent="0.25">
      <c r="A79" s="130" t="e">
        <f>#REF!</f>
        <v>#REF!</v>
      </c>
      <c r="B79" s="236" t="e">
        <f ca="1">SUM(#REF!)+SUM(OFFSET(#REF!,-8,0):#REF!) + SUM(OFFSET(#REF!,-11,0):#REF!) +#REF!</f>
        <v>#REF!</v>
      </c>
      <c r="C79" s="132" t="e">
        <f>#REF!</f>
        <v>#REF!</v>
      </c>
      <c r="D79" s="134"/>
      <c r="E79" s="3" t="e">
        <f ca="1">OFFSET(#REF!,-1,0) + OFFSET(#REF!,-9,0) -#REF!</f>
        <v>#REF!</v>
      </c>
      <c r="F79" s="3" t="e">
        <f ca="1">OFFSET(#REF!,-1,0) + OFFSET(#REF!,-9,0)-#REF!</f>
        <v>#REF!</v>
      </c>
      <c r="G79" s="3" t="e">
        <f ca="1">OFFSET(#REF!,-1,0) + OFFSET(#REF!,-12,0)-#REF!</f>
        <v>#REF!</v>
      </c>
      <c r="H79" s="3" t="e">
        <f ca="1">OFFSET(#REF!,-1,0) + OFFSET(#REF!,-12,0)-#REF!</f>
        <v>#REF!</v>
      </c>
      <c r="I79" s="3" t="e">
        <f ca="1">OFFSET(#REF!,-1,0) + OFFSET(#REF!,-12,0) -#REF!-#REF!</f>
        <v>#REF!</v>
      </c>
      <c r="J79" s="3" t="e">
        <f ca="1">OFFSET(#REF!,-1,0) + OFFSET(#REF!,-12,0) -#REF!</f>
        <v>#REF!</v>
      </c>
      <c r="K79" s="3" t="e">
        <f ca="1">OFFSET(#REF!,-1,0) + OFFSET(#REF!,-12,0) -#REF!-#REF!</f>
        <v>#REF!</v>
      </c>
      <c r="L79" s="3" t="e">
        <f ca="1">OFFSET(#REF!,-1,0) + OFFSET(#REF!,-12,0) -#REF!</f>
        <v>#REF!</v>
      </c>
      <c r="M79" s="134"/>
      <c r="N79" s="39" t="e">
        <f>#REF!</f>
        <v>#REF!</v>
      </c>
      <c r="O79" s="134"/>
      <c r="P79" s="237" t="e">
        <f>#REF!*spec_op+#REF!*(elite1_base_op)+#REF!*(elite2_base_op+dark_elf*#REF!+icekin*#REF!+woodie*#REF!+orc*#REF!)+kobold*#REF!</f>
        <v>#REF!</v>
      </c>
      <c r="Q79" s="132" t="e">
        <f>race_offense+#REF!+ROUND(MIN(gn_bonus*#REF!/#REF!,gn_bonus_cap),4)+MAX(IF(#REF!&gt;0,warsong_bonus),IF(#REF!&gt;0,howling_op_bonus),IF(#REF!&gt;0,nightfall_bonus),IF(#REF!&gt;0,#REF!)) +#REF!/ 100*prestige_offense_bonus + tech_5_4*#REF! + tech_7_4*#REF!</f>
        <v>#REF!</v>
      </c>
      <c r="R79" s="237" t="e">
        <f>#REF!*(1+#REF!)</f>
        <v>#REF!</v>
      </c>
      <c r="S79" s="237" t="e">
        <f>#REF!*spec_dp+#REF!*(elite1_base_dp+woodie*#REF!+sylvan*#REF!+gnome*#REF!+icekin*#REF!+nox*#REF!)+#REF!*(elite2_base_dp+woodie*#REF!) + fh_peas_dp*MIN(#REF!,20*#REF!)+kobold*#REF!</f>
        <v>#REF!</v>
      </c>
      <c r="T79" s="237" t="e">
        <f>#REF!+#REF!</f>
        <v>#REF!</v>
      </c>
      <c r="U79" s="238" t="e">
        <f>race_defense +#REF! + ROUND( MIN(gt_bonus*#REF!/#REF!,gt_bonus_cap), 4) + IF(#REF!&gt;0,howling_dp_bonus,IF(#REF!&gt;0,ares_call_bonus))</f>
        <v>#REF!</v>
      </c>
      <c r="V79" s="239" t="e">
        <f>#REF! * (1 +#REF!)</f>
        <v>#REF!</v>
      </c>
      <c r="W79" s="237" t="e">
        <f>#REF! * (1 +#REF!)</f>
        <v>#REF!</v>
      </c>
      <c r="X79" s="237" t="e">
        <f>#REF!</f>
        <v>#REF!</v>
      </c>
      <c r="Y79" s="240"/>
      <c r="Z79" s="135" t="e">
        <f ca="1">IF(#REF!&lt;&gt;"",#REF!,OFFSET(#REF!,-1,0))</f>
        <v>#REF!</v>
      </c>
      <c r="AA79" s="39" t="e">
        <f ca="1">OFFSET(#REF!,-1,0)+OFFSET(#REF!,-1,0) - SUM(#REF!,#REF!) -#REF! + SUM(#REF!) -#REF!</f>
        <v>#REF!</v>
      </c>
      <c r="AB79" s="133"/>
      <c r="AC79" s="132" t="e">
        <f>(#REF!+#REF!)/(#REF!-#REF!*20)</f>
        <v>#REF!</v>
      </c>
      <c r="AD79" s="130"/>
      <c r="AE79" s="236" t="e">
        <f>#REF!</f>
        <v>#REF!</v>
      </c>
      <c r="AF79" s="131" t="e">
        <f>#REF!</f>
        <v>#REF!</v>
      </c>
      <c r="AG79" s="164"/>
      <c r="AH79" s="164"/>
      <c r="AI79" s="164"/>
      <c r="AJ79" s="164"/>
      <c r="AK79" s="164"/>
      <c r="AL79" s="164"/>
      <c r="AM79" s="164"/>
      <c r="AN79" s="164"/>
      <c r="AO79" s="134"/>
      <c r="AP79" s="39" t="e">
        <f>#REF!</f>
        <v>#REF!</v>
      </c>
      <c r="AQ79" s="39" t="e">
        <f>INDEX(#REF!:#REF!,COUNTA(#REF!:#REF!),MATCH(Military!$AQ$2,#REF!,0))</f>
        <v>#REF!</v>
      </c>
      <c r="AR79" s="39" t="e">
        <f>#REF!*#REF!+#REF!*#REF!+#REF!*#REF!+#REF!*#REF!+#REF!*#REF!+#REF!*#REF!+#REF!*#REF!</f>
        <v>#REF!</v>
      </c>
      <c r="AS79" s="39" t="e">
        <f>#REF!*#REF!+#REF!*#REF!+#REF!*#REF!+#REF!*#REF!</f>
        <v>#REF!</v>
      </c>
      <c r="AT79" s="134" t="e">
        <f>#REF!</f>
        <v>#REF!</v>
      </c>
      <c r="AU79" s="143" t="e">
        <f>#REF!</f>
        <v>#REF!</v>
      </c>
      <c r="AV79" s="39" t="e">
        <f>#REF!</f>
        <v>#REF!</v>
      </c>
      <c r="AW79" s="146"/>
      <c r="AX79" s="164"/>
      <c r="AY79" s="164"/>
      <c r="AZ79" s="164"/>
      <c r="BA79" s="164"/>
      <c r="BB79" s="164"/>
      <c r="BC79" s="164"/>
      <c r="BD79" s="164"/>
      <c r="BE79" s="164"/>
      <c r="BF79" s="134"/>
      <c r="BG79" s="132" t="e">
        <f>#REF!/#REF!</f>
        <v>#REF!</v>
      </c>
      <c r="BH79" s="132" t="e">
        <f>#REF!/#REF!</f>
        <v>#REF!</v>
      </c>
      <c r="BI79" s="39" t="e">
        <f>ROUNDUP((1-MIN(#REF!*smithy_bonus,smithy_bonus_cap) + tech_3_5*#REF! + tech_5_3*#REF! + tech_5_5*#REF!)*spec_op_plat,0)</f>
        <v>#REF!</v>
      </c>
      <c r="BJ79" s="39" t="e">
        <f>ROUNDUP(IF(race="Gnome",1,(1-MIN(#REF!*smithy_bonus,smithy_bonus_cap) + tech_3_5*#REF! + tech_5_3*#REF! + tech_5_5*#REF!))*spec_op_ore,0)</f>
        <v>#REF!</v>
      </c>
      <c r="BK79" s="39" t="e">
        <f>ROUNDUP((1-MIN(#REF!*smithy_bonus,smithy_bonus_cap) + tech_3_5*#REF! + tech_5_3*#REF! + tech_5_5*#REF!)*spec_dp_plat,0)</f>
        <v>#REF!</v>
      </c>
      <c r="BL79" s="39" t="e">
        <f>ROUNDUP(IF(race="Gnome",1,(1-MIN(#REF!*smithy_bonus,smithy_bonus_cap) + tech_3_5*#REF! + tech_5_3*#REF! + tech_5_5*#REF!))*spec_dp_ore,0)</f>
        <v>#REF!</v>
      </c>
      <c r="BM79" s="39" t="e">
        <f>ROUNDUP((1-MIN(#REF!*smithy_bonus,smithy_bonus_cap) + tech_3_5*#REF! + tech_5_3*#REF! + tech_5_5*#REF!)*elite1_plat,0)</f>
        <v>#REF!</v>
      </c>
      <c r="BN79" s="39" t="e">
        <f>ROUNDUP(IF(race="Gnome",1,(1-MIN(#REF!*smithy_bonus,smithy_bonus_cap) + tech_3_5*#REF! + tech_5_3*#REF! + tech_5_5*#REF!))*elite1_ore,0)</f>
        <v>#REF!</v>
      </c>
      <c r="BO79" s="39" t="e">
        <f>ROUNDUP((1-MIN(#REF!*smithy_bonus,smithy_bonus_cap) + tech_3_5*#REF! + tech_5_3*#REF! + tech_5_5*#REF!)*elite2_plat,0)</f>
        <v>#REF!</v>
      </c>
      <c r="BP79" s="39" t="e">
        <f>ROUNDUP(IF(race="Gnome",1,(1-MIN(#REF!*smithy_bonus,smithy_bonus_cap) + tech_3_5*#REF! + tech_5_3*#REF! + tech_5_5*#REF!))*elite2_ore,0)</f>
        <v>#REF!</v>
      </c>
      <c r="BQ79" s="39" t="e">
        <f>ROUNDUP((1-MIN(ROUND(fh_spy_cost_red*#REF!,4),fh_spy_cost_cap)+ tech_1_9*#REF! + tech_9_1*#REF!)*spy_plat,0)</f>
        <v>#REF!</v>
      </c>
      <c r="BR79" s="39" t="e">
        <f>ROUNDUP((1-MIN(ROUND(fh_spy_cost_red*#REF!,4),fh_spy_cost_cap)+ tech_1_9*#REF! + tech_9_1*#REF!)*archspy_plat,0)</f>
        <v>#REF!</v>
      </c>
      <c r="BS79" s="39" t="e">
        <f>ROUNDUP((1-MIN(ROUND(wg_wiz_cost_bonus*#REF!,4),wg_wiz_cost_cap) + tech_1_9_2*#REF! + tech_9_1_2*#REF!)*wizard_plat,0)</f>
        <v>#REF!</v>
      </c>
      <c r="BT79" s="39" t="e">
        <f>ROUNDUP((1-MIN(ROUND(wg_wiz_cost_bonus*#REF!,4),wg_wiz_cost_cap) + tech_1_9_2*#REF! + tech_9_1_2*#REF!)*archmage_plat,0)</f>
        <v>#REF!</v>
      </c>
      <c r="BU79" s="134"/>
      <c r="BV79" s="132" t="e">
        <f>#REF!/#REF!</f>
        <v>#REF!</v>
      </c>
      <c r="BW79" s="132" t="e">
        <f>#REF!</f>
        <v>#REF!</v>
      </c>
      <c r="BX79" s="241" t="e">
        <f>IF(mystic_cap="none",#REF!/mystic_bonus,MIN(mystic_cap,#REF!/mystic_bonus))</f>
        <v>#REF!</v>
      </c>
      <c r="BY79" s="241" t="e">
        <f>IF(druid_op_cap="none",#REF!/druid_op_bonus,MIN(druid_op_cap,#REF!/druid_op_bonus))</f>
        <v>#REF!</v>
      </c>
      <c r="BZ79" s="241" t="e">
        <f>IF(druid_dp_cap="none",#REF!/druid_dp_bonus,MIN(druid_dp_cap,#REF!/druid_dp_bonus))</f>
        <v>#REF!</v>
      </c>
      <c r="CA79" s="241" t="e">
        <f>MIN(dryad_cap,#REF!/dryad_bonus)</f>
        <v>#REF!</v>
      </c>
      <c r="CB79" s="241" t="e">
        <f>MIN(rocka_cap,#REF!/rocka_bonus)</f>
        <v>#REF!</v>
      </c>
      <c r="CC79" s="241" t="e">
        <f>MIN(adept_op_cap,#REF!/adept_op_bonus)</f>
        <v>#REF!</v>
      </c>
      <c r="CD79" s="241" t="e">
        <f>MIN(adept_dp_cap,#REF!/adept_dp_bonus)</f>
        <v>#REF!</v>
      </c>
      <c r="CE79" s="39" t="e">
        <f>MIN(#REF!,#REF!)*2</f>
        <v>#REF!</v>
      </c>
      <c r="CF79" s="39" t="e">
        <f>MIN(#REF!,#REF!)*2</f>
        <v>#REF!</v>
      </c>
      <c r="CG79" s="241" t="e">
        <f>MIN(frost_mage_cap,#REF!/frost_mage_bonus)</f>
        <v>#REF!</v>
      </c>
      <c r="CH79" s="3" t="e">
        <f>MIN(ice_elem_cap,#REF!*ice_elem_bonus)</f>
        <v>#REF!</v>
      </c>
      <c r="CI79" s="241">
        <f t="shared" si="3"/>
        <v>0.83333333333333337</v>
      </c>
      <c r="CJ79" s="241" t="e">
        <f>MIN(nox_nightshade_cap,#REF!/#REF!/nox_nightshade_swamp_bonus)</f>
        <v>#REF!</v>
      </c>
      <c r="CK79" s="242"/>
      <c r="CL79" s="242"/>
      <c r="CM79" s="242"/>
      <c r="CN79" s="241" t="e">
        <f>MIN(6,#REF!+Races!$F$19)*1.8 +  IF(#REF!+Races!$F$19&gt;6,(#REF!+Races!$F$19-6)*0.2,0) - Races!$I$19</f>
        <v>#REF!</v>
      </c>
      <c r="CO79" s="241" t="e">
        <f>1.8 * MIN(MAX(#REF!+Races!$E$20,#REF!+Races!$F$20),6)  +  0.45 * MIN(MIN(#REF!+Races!$E$20,#REF!+Races!$F$20),6)  +  0.2 * ( MAX(#REF!+Races!$E$20-6,0) + MAX(#REF!+Races!$F$20-6,0) )  -  Races!$I$20</f>
        <v>#REF!</v>
      </c>
      <c r="CP79" s="39" t="e">
        <f>#REF!*#REF!+#REF!*#REF!</f>
        <v>#REF!</v>
      </c>
      <c r="CQ79" s="145" t="e">
        <f>MIN(6,#REF!+Races!$F$35)*1.8 +  IF(#REF!+Races!$F$35&gt;6,(#REF!+Races!$F$35-6)*0.2,0) - Races!$I$19</f>
        <v>#REF!</v>
      </c>
      <c r="CR79" s="39" t="e">
        <f>sylvan*(#REF!*#REF!)</f>
        <v>#REF!</v>
      </c>
      <c r="CS79" s="145" t="e">
        <f>1.8 * MIN(MAX(Races!$E$27,#REF!+Races!$F$27),6)  +  0.45 * MIN(MIN(Races!$E$27,#REF!+Races!$F$27),6)  +  0.2 * ( MAX(Races!$E$27-6,0) + MAX(#REF!+Races!$F$27-6,0) )  -  Races!$I$20</f>
        <v>#REF!</v>
      </c>
      <c r="CT79" s="39" t="e">
        <f>gnome*(#REF!*#REF!)</f>
        <v>#REF!</v>
      </c>
      <c r="CU79" s="145" t="e">
        <f>1.8 * MIN(MAX(#REF!+Races!$E$47,#REF!+Races!$F$47),6)  +  0.45 * MIN(MIN(#REF!+Races!$E$47,#REF!+Races!$F$47),6)  +  0.2 * ( MAX(#REF!+Races!$E$47-6,0) + MAX(#REF!+Races!$F$47-6,0) )  -  Races!$I$47</f>
        <v>#REF!</v>
      </c>
      <c r="CV79" s="39" t="e">
        <f>dark_elf*(#REF!*#REF!)</f>
        <v>#REF!</v>
      </c>
      <c r="CW79" s="145" t="e">
        <f>1.8 * MIN(MAX(#REF!+Races!$F$71,Races!$E$71),6)  +  0.45 * MIN(MIN(#REF!+Races!$F$71,Races!$E$71),6)  +  0.2 * ( MAX(#REF!+Races!$F$71-6,0) + MAX(Races!$E$71-6,0) )  -  Races!$I$71</f>
        <v>#REF!</v>
      </c>
      <c r="CX79" s="145" t="e">
        <f>1.8 * MIN(MAX(#REF!+Races!$E$71,Races!$F$71),6)  +  0.45 * MIN(MIN(#REF!+Races!$E$71,Races!$F$71),6)  +  0.2 * ( MAX(#REF!+Races!$E$71-6,0) + MAX(Races!$F$71-6,0) )  -  Races!$I$71</f>
        <v>#REF!</v>
      </c>
      <c r="CY79" s="39" t="e">
        <f>#REF!*#REF!+#REF!*#REF!</f>
        <v>#REF!</v>
      </c>
      <c r="CZ79" s="243"/>
      <c r="DA79" s="135" t="e">
        <f>MIN(SUM(#REF!)/#REF!/favorable_terrain_bonus/100,favorable_terrain_max)</f>
        <v>#REF!</v>
      </c>
      <c r="DB79" s="243"/>
      <c r="DC79"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79" s="134"/>
      <c r="DE79" s="244" t="e">
        <f>(#REF!+2*#REF!)/#REF!</f>
        <v>#REF!</v>
      </c>
      <c r="DF79" s="244" t="e">
        <f>#REF!*(1+race_wizard_strength+IF(#REF!&gt;72,tech_magical_weaponry_wiz*#REF!,0))</f>
        <v>#REF!</v>
      </c>
    </row>
    <row r="80" spans="1:110" x14ac:dyDescent="0.25">
      <c r="A80" s="130" t="e">
        <f>#REF!</f>
        <v>#REF!</v>
      </c>
      <c r="B80" s="236" t="e">
        <f ca="1">SUM(#REF!)+SUM(OFFSET(#REF!,-8,0):#REF!) + SUM(OFFSET(#REF!,-11,0):#REF!) +#REF!</f>
        <v>#REF!</v>
      </c>
      <c r="C80" s="132" t="e">
        <f>#REF!</f>
        <v>#REF!</v>
      </c>
      <c r="D80" s="134"/>
      <c r="E80" s="3" t="e">
        <f ca="1">OFFSET(#REF!,-1,0) + OFFSET(#REF!,-9,0) -#REF!</f>
        <v>#REF!</v>
      </c>
      <c r="F80" s="3" t="e">
        <f ca="1">OFFSET(#REF!,-1,0) + OFFSET(#REF!,-9,0)-#REF!</f>
        <v>#REF!</v>
      </c>
      <c r="G80" s="3" t="e">
        <f ca="1">OFFSET(#REF!,-1,0) + OFFSET(#REF!,-12,0)-#REF!</f>
        <v>#REF!</v>
      </c>
      <c r="H80" s="3" t="e">
        <f ca="1">OFFSET(#REF!,-1,0) + OFFSET(#REF!,-12,0)-#REF!</f>
        <v>#REF!</v>
      </c>
      <c r="I80" s="3" t="e">
        <f ca="1">OFFSET(#REF!,-1,0) + OFFSET(#REF!,-12,0) -#REF!-#REF!</f>
        <v>#REF!</v>
      </c>
      <c r="J80" s="3" t="e">
        <f ca="1">OFFSET(#REF!,-1,0) + OFFSET(#REF!,-12,0) -#REF!</f>
        <v>#REF!</v>
      </c>
      <c r="K80" s="3" t="e">
        <f ca="1">OFFSET(#REF!,-1,0) + OFFSET(#REF!,-12,0) -#REF!-#REF!</f>
        <v>#REF!</v>
      </c>
      <c r="L80" s="3" t="e">
        <f ca="1">OFFSET(#REF!,-1,0) + OFFSET(#REF!,-12,0) -#REF!</f>
        <v>#REF!</v>
      </c>
      <c r="M80" s="134"/>
      <c r="N80" s="39" t="e">
        <f>#REF!</f>
        <v>#REF!</v>
      </c>
      <c r="O80" s="134"/>
      <c r="P80" s="237" t="e">
        <f>#REF!*spec_op+#REF!*(elite1_base_op)+#REF!*(elite2_base_op+dark_elf*#REF!+icekin*#REF!+woodie*#REF!+orc*#REF!)+kobold*#REF!</f>
        <v>#REF!</v>
      </c>
      <c r="Q80" s="132" t="e">
        <f>race_offense+#REF!+ROUND(MIN(gn_bonus*#REF!/#REF!,gn_bonus_cap),4)+MAX(IF(#REF!&gt;0,warsong_bonus),IF(#REF!&gt;0,howling_op_bonus),IF(#REF!&gt;0,nightfall_bonus),IF(#REF!&gt;0,#REF!)) +#REF!/ 100*prestige_offense_bonus + tech_5_4*#REF! + tech_7_4*#REF!</f>
        <v>#REF!</v>
      </c>
      <c r="R80" s="237" t="e">
        <f>#REF!*(1+#REF!)</f>
        <v>#REF!</v>
      </c>
      <c r="S80" s="237" t="e">
        <f>#REF!*spec_dp+#REF!*(elite1_base_dp+woodie*#REF!+sylvan*#REF!+gnome*#REF!+icekin*#REF!+nox*#REF!)+#REF!*(elite2_base_dp+woodie*#REF!) + fh_peas_dp*MIN(#REF!,20*#REF!)+kobold*#REF!</f>
        <v>#REF!</v>
      </c>
      <c r="T80" s="237" t="e">
        <f>#REF!+#REF!</f>
        <v>#REF!</v>
      </c>
      <c r="U80" s="238" t="e">
        <f>race_defense +#REF! + ROUND( MIN(gt_bonus*#REF!/#REF!,gt_bonus_cap), 4) + IF(#REF!&gt;0,howling_dp_bonus,IF(#REF!&gt;0,ares_call_bonus))</f>
        <v>#REF!</v>
      </c>
      <c r="V80" s="239" t="e">
        <f>#REF! * (1 +#REF!)</f>
        <v>#REF!</v>
      </c>
      <c r="W80" s="237" t="e">
        <f>#REF! * (1 +#REF!)</f>
        <v>#REF!</v>
      </c>
      <c r="X80" s="237" t="e">
        <f>#REF!</f>
        <v>#REF!</v>
      </c>
      <c r="Y80" s="240"/>
      <c r="Z80" s="135" t="e">
        <f ca="1">IF(#REF!&lt;&gt;"",#REF!,OFFSET(#REF!,-1,0))</f>
        <v>#REF!</v>
      </c>
      <c r="AA80" s="39" t="e">
        <f ca="1">OFFSET(#REF!,-1,0)+OFFSET(#REF!,-1,0) - SUM(#REF!,#REF!) -#REF! + SUM(#REF!) -#REF!</f>
        <v>#REF!</v>
      </c>
      <c r="AB80" s="133"/>
      <c r="AC80" s="132" t="e">
        <f>(#REF!+#REF!)/(#REF!-#REF!*20)</f>
        <v>#REF!</v>
      </c>
      <c r="AD80" s="130"/>
      <c r="AE80" s="236" t="e">
        <f>#REF!</f>
        <v>#REF!</v>
      </c>
      <c r="AF80" s="131" t="e">
        <f>#REF!</f>
        <v>#REF!</v>
      </c>
      <c r="AG80" s="164"/>
      <c r="AH80" s="164"/>
      <c r="AI80" s="164"/>
      <c r="AJ80" s="164"/>
      <c r="AK80" s="164"/>
      <c r="AL80" s="164"/>
      <c r="AM80" s="164"/>
      <c r="AN80" s="164"/>
      <c r="AO80" s="134"/>
      <c r="AP80" s="39" t="e">
        <f>#REF!</f>
        <v>#REF!</v>
      </c>
      <c r="AQ80" s="39" t="e">
        <f>INDEX(#REF!:#REF!,COUNTA(#REF!:#REF!),MATCH(Military!$AQ$2,#REF!,0))</f>
        <v>#REF!</v>
      </c>
      <c r="AR80" s="39" t="e">
        <f>#REF!*#REF!+#REF!*#REF!+#REF!*#REF!+#REF!*#REF!+#REF!*#REF!+#REF!*#REF!+#REF!*#REF!</f>
        <v>#REF!</v>
      </c>
      <c r="AS80" s="39" t="e">
        <f>#REF!*#REF!+#REF!*#REF!+#REF!*#REF!+#REF!*#REF!</f>
        <v>#REF!</v>
      </c>
      <c r="AT80" s="134" t="e">
        <f>#REF!</f>
        <v>#REF!</v>
      </c>
      <c r="AU80" s="143" t="e">
        <f>#REF!</f>
        <v>#REF!</v>
      </c>
      <c r="AV80" s="39" t="e">
        <f>#REF!</f>
        <v>#REF!</v>
      </c>
      <c r="AW80" s="146"/>
      <c r="AX80" s="164"/>
      <c r="AY80" s="164"/>
      <c r="AZ80" s="164"/>
      <c r="BA80" s="164"/>
      <c r="BB80" s="164"/>
      <c r="BC80" s="164"/>
      <c r="BD80" s="164"/>
      <c r="BE80" s="164"/>
      <c r="BF80" s="134"/>
      <c r="BG80" s="132" t="e">
        <f>#REF!/#REF!</f>
        <v>#REF!</v>
      </c>
      <c r="BH80" s="132" t="e">
        <f>#REF!/#REF!</f>
        <v>#REF!</v>
      </c>
      <c r="BI80" s="39" t="e">
        <f>ROUNDUP((1-MIN(#REF!*smithy_bonus,smithy_bonus_cap) + tech_3_5*#REF! + tech_5_3*#REF! + tech_5_5*#REF!)*spec_op_plat,0)</f>
        <v>#REF!</v>
      </c>
      <c r="BJ80" s="39" t="e">
        <f>ROUNDUP(IF(race="Gnome",1,(1-MIN(#REF!*smithy_bonus,smithy_bonus_cap) + tech_3_5*#REF! + tech_5_3*#REF! + tech_5_5*#REF!))*spec_op_ore,0)</f>
        <v>#REF!</v>
      </c>
      <c r="BK80" s="39" t="e">
        <f>ROUNDUP((1-MIN(#REF!*smithy_bonus,smithy_bonus_cap) + tech_3_5*#REF! + tech_5_3*#REF! + tech_5_5*#REF!)*spec_dp_plat,0)</f>
        <v>#REF!</v>
      </c>
      <c r="BL80" s="39" t="e">
        <f>ROUNDUP(IF(race="Gnome",1,(1-MIN(#REF!*smithy_bonus,smithy_bonus_cap) + tech_3_5*#REF! + tech_5_3*#REF! + tech_5_5*#REF!))*spec_dp_ore,0)</f>
        <v>#REF!</v>
      </c>
      <c r="BM80" s="39" t="e">
        <f>ROUNDUP((1-MIN(#REF!*smithy_bonus,smithy_bonus_cap) + tech_3_5*#REF! + tech_5_3*#REF! + tech_5_5*#REF!)*elite1_plat,0)</f>
        <v>#REF!</v>
      </c>
      <c r="BN80" s="39" t="e">
        <f>ROUNDUP(IF(race="Gnome",1,(1-MIN(#REF!*smithy_bonus,smithy_bonus_cap) + tech_3_5*#REF! + tech_5_3*#REF! + tech_5_5*#REF!))*elite1_ore,0)</f>
        <v>#REF!</v>
      </c>
      <c r="BO80" s="39" t="e">
        <f>ROUNDUP((1-MIN(#REF!*smithy_bonus,smithy_bonus_cap) + tech_3_5*#REF! + tech_5_3*#REF! + tech_5_5*#REF!)*elite2_plat,0)</f>
        <v>#REF!</v>
      </c>
      <c r="BP80" s="39" t="e">
        <f>ROUNDUP(IF(race="Gnome",1,(1-MIN(#REF!*smithy_bonus,smithy_bonus_cap) + tech_3_5*#REF! + tech_5_3*#REF! + tech_5_5*#REF!))*elite2_ore,0)</f>
        <v>#REF!</v>
      </c>
      <c r="BQ80" s="39" t="e">
        <f>ROUNDUP((1-MIN(ROUND(fh_spy_cost_red*#REF!,4),fh_spy_cost_cap)+ tech_1_9*#REF! + tech_9_1*#REF!)*spy_plat,0)</f>
        <v>#REF!</v>
      </c>
      <c r="BR80" s="39" t="e">
        <f>ROUNDUP((1-MIN(ROUND(fh_spy_cost_red*#REF!,4),fh_spy_cost_cap)+ tech_1_9*#REF! + tech_9_1*#REF!)*archspy_plat,0)</f>
        <v>#REF!</v>
      </c>
      <c r="BS80" s="39" t="e">
        <f>ROUNDUP((1-MIN(ROUND(wg_wiz_cost_bonus*#REF!,4),wg_wiz_cost_cap) + tech_1_9_2*#REF! + tech_9_1_2*#REF!)*wizard_plat,0)</f>
        <v>#REF!</v>
      </c>
      <c r="BT80" s="39" t="e">
        <f>ROUNDUP((1-MIN(ROUND(wg_wiz_cost_bonus*#REF!,4),wg_wiz_cost_cap) + tech_1_9_2*#REF! + tech_9_1_2*#REF!)*archmage_plat,0)</f>
        <v>#REF!</v>
      </c>
      <c r="BU80" s="134"/>
      <c r="BV80" s="132" t="e">
        <f>#REF!/#REF!</f>
        <v>#REF!</v>
      </c>
      <c r="BW80" s="132" t="e">
        <f>#REF!</f>
        <v>#REF!</v>
      </c>
      <c r="BX80" s="241" t="e">
        <f>IF(mystic_cap="none",#REF!/mystic_bonus,MIN(mystic_cap,#REF!/mystic_bonus))</f>
        <v>#REF!</v>
      </c>
      <c r="BY80" s="241" t="e">
        <f>IF(druid_op_cap="none",#REF!/druid_op_bonus,MIN(druid_op_cap,#REF!/druid_op_bonus))</f>
        <v>#REF!</v>
      </c>
      <c r="BZ80" s="241" t="e">
        <f>IF(druid_dp_cap="none",#REF!/druid_dp_bonus,MIN(druid_dp_cap,#REF!/druid_dp_bonus))</f>
        <v>#REF!</v>
      </c>
      <c r="CA80" s="241" t="e">
        <f>MIN(dryad_cap,#REF!/dryad_bonus)</f>
        <v>#REF!</v>
      </c>
      <c r="CB80" s="241" t="e">
        <f>MIN(rocka_cap,#REF!/rocka_bonus)</f>
        <v>#REF!</v>
      </c>
      <c r="CC80" s="241" t="e">
        <f>MIN(adept_op_cap,#REF!/adept_op_bonus)</f>
        <v>#REF!</v>
      </c>
      <c r="CD80" s="241" t="e">
        <f>MIN(adept_dp_cap,#REF!/adept_dp_bonus)</f>
        <v>#REF!</v>
      </c>
      <c r="CE80" s="39" t="e">
        <f>MIN(#REF!,#REF!)*2</f>
        <v>#REF!</v>
      </c>
      <c r="CF80" s="39" t="e">
        <f>MIN(#REF!,#REF!)*2</f>
        <v>#REF!</v>
      </c>
      <c r="CG80" s="241" t="e">
        <f>MIN(frost_mage_cap,#REF!/frost_mage_bonus)</f>
        <v>#REF!</v>
      </c>
      <c r="CH80" s="3" t="e">
        <f>MIN(ice_elem_cap,#REF!*ice_elem_bonus)</f>
        <v>#REF!</v>
      </c>
      <c r="CI80" s="241">
        <f t="shared" si="3"/>
        <v>0.83333333333333337</v>
      </c>
      <c r="CJ80" s="241" t="e">
        <f>MIN(nox_nightshade_cap,#REF!/#REF!/nox_nightshade_swamp_bonus)</f>
        <v>#REF!</v>
      </c>
      <c r="CK80" s="242"/>
      <c r="CL80" s="242"/>
      <c r="CM80" s="242"/>
      <c r="CN80" s="241" t="e">
        <f>MIN(6,#REF!+Races!$F$19)*1.8 +  IF(#REF!+Races!$F$19&gt;6,(#REF!+Races!$F$19-6)*0.2,0) - Races!$I$19</f>
        <v>#REF!</v>
      </c>
      <c r="CO80" s="241" t="e">
        <f>1.8 * MIN(MAX(#REF!+Races!$E$20,#REF!+Races!$F$20),6)  +  0.45 * MIN(MIN(#REF!+Races!$E$20,#REF!+Races!$F$20),6)  +  0.2 * ( MAX(#REF!+Races!$E$20-6,0) + MAX(#REF!+Races!$F$20-6,0) )  -  Races!$I$20</f>
        <v>#REF!</v>
      </c>
      <c r="CP80" s="39" t="e">
        <f>#REF!*#REF!+#REF!*#REF!</f>
        <v>#REF!</v>
      </c>
      <c r="CQ80" s="145" t="e">
        <f>MIN(6,#REF!+Races!$F$35)*1.8 +  IF(#REF!+Races!$F$35&gt;6,(#REF!+Races!$F$35-6)*0.2,0) - Races!$I$19</f>
        <v>#REF!</v>
      </c>
      <c r="CR80" s="39" t="e">
        <f>sylvan*(#REF!*#REF!)</f>
        <v>#REF!</v>
      </c>
      <c r="CS80" s="145" t="e">
        <f>1.8 * MIN(MAX(Races!$E$27,#REF!+Races!$F$27),6)  +  0.45 * MIN(MIN(Races!$E$27,#REF!+Races!$F$27),6)  +  0.2 * ( MAX(Races!$E$27-6,0) + MAX(#REF!+Races!$F$27-6,0) )  -  Races!$I$20</f>
        <v>#REF!</v>
      </c>
      <c r="CT80" s="39" t="e">
        <f>gnome*(#REF!*#REF!)</f>
        <v>#REF!</v>
      </c>
      <c r="CU80" s="145" t="e">
        <f>1.8 * MIN(MAX(#REF!+Races!$E$47,#REF!+Races!$F$47),6)  +  0.45 * MIN(MIN(#REF!+Races!$E$47,#REF!+Races!$F$47),6)  +  0.2 * ( MAX(#REF!+Races!$E$47-6,0) + MAX(#REF!+Races!$F$47-6,0) )  -  Races!$I$47</f>
        <v>#REF!</v>
      </c>
      <c r="CV80" s="39" t="e">
        <f>dark_elf*(#REF!*#REF!)</f>
        <v>#REF!</v>
      </c>
      <c r="CW80" s="145" t="e">
        <f>1.8 * MIN(MAX(#REF!+Races!$F$71,Races!$E$71),6)  +  0.45 * MIN(MIN(#REF!+Races!$F$71,Races!$E$71),6)  +  0.2 * ( MAX(#REF!+Races!$F$71-6,0) + MAX(Races!$E$71-6,0) )  -  Races!$I$71</f>
        <v>#REF!</v>
      </c>
      <c r="CX80" s="145" t="e">
        <f>1.8 * MIN(MAX(#REF!+Races!$E$71,Races!$F$71),6)  +  0.45 * MIN(MIN(#REF!+Races!$E$71,Races!$F$71),6)  +  0.2 * ( MAX(#REF!+Races!$E$71-6,0) + MAX(Races!$F$71-6,0) )  -  Races!$I$71</f>
        <v>#REF!</v>
      </c>
      <c r="CY80" s="39" t="e">
        <f>#REF!*#REF!+#REF!*#REF!</f>
        <v>#REF!</v>
      </c>
      <c r="CZ80" s="243"/>
      <c r="DA80" s="135" t="e">
        <f>MIN(SUM(#REF!)/#REF!/favorable_terrain_bonus/100,favorable_terrain_max)</f>
        <v>#REF!</v>
      </c>
      <c r="DB80" s="243"/>
      <c r="DC80"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80" s="134"/>
      <c r="DE80" s="244" t="e">
        <f>(#REF!+2*#REF!)/#REF!</f>
        <v>#REF!</v>
      </c>
      <c r="DF80" s="244" t="e">
        <f>#REF!*(1+race_wizard_strength+IF(#REF!&gt;72,tech_magical_weaponry_wiz*#REF!,0))</f>
        <v>#REF!</v>
      </c>
    </row>
    <row r="81" spans="1:110" x14ac:dyDescent="0.25">
      <c r="A81" s="130" t="e">
        <f>#REF!</f>
        <v>#REF!</v>
      </c>
      <c r="B81" s="236" t="e">
        <f ca="1">SUM(#REF!)+SUM(OFFSET(#REF!,-8,0):#REF!) + SUM(OFFSET(#REF!,-11,0):#REF!) +#REF!</f>
        <v>#REF!</v>
      </c>
      <c r="C81" s="132" t="e">
        <f>#REF!</f>
        <v>#REF!</v>
      </c>
      <c r="D81" s="134"/>
      <c r="E81" s="3" t="e">
        <f ca="1">OFFSET(#REF!,-1,0) + OFFSET(#REF!,-9,0) -#REF!</f>
        <v>#REF!</v>
      </c>
      <c r="F81" s="3" t="e">
        <f ca="1">OFFSET(#REF!,-1,0) + OFFSET(#REF!,-9,0)-#REF!</f>
        <v>#REF!</v>
      </c>
      <c r="G81" s="3" t="e">
        <f ca="1">OFFSET(#REF!,-1,0) + OFFSET(#REF!,-12,0)-#REF!</f>
        <v>#REF!</v>
      </c>
      <c r="H81" s="3" t="e">
        <f ca="1">OFFSET(#REF!,-1,0) + OFFSET(#REF!,-12,0)-#REF!</f>
        <v>#REF!</v>
      </c>
      <c r="I81" s="3" t="e">
        <f ca="1">OFFSET(#REF!,-1,0) + OFFSET(#REF!,-12,0) -#REF!-#REF!</f>
        <v>#REF!</v>
      </c>
      <c r="J81" s="3" t="e">
        <f ca="1">OFFSET(#REF!,-1,0) + OFFSET(#REF!,-12,0) -#REF!</f>
        <v>#REF!</v>
      </c>
      <c r="K81" s="3" t="e">
        <f ca="1">OFFSET(#REF!,-1,0) + OFFSET(#REF!,-12,0) -#REF!-#REF!</f>
        <v>#REF!</v>
      </c>
      <c r="L81" s="3" t="e">
        <f ca="1">OFFSET(#REF!,-1,0) + OFFSET(#REF!,-12,0) -#REF!</f>
        <v>#REF!</v>
      </c>
      <c r="M81" s="134"/>
      <c r="N81" s="39" t="e">
        <f>#REF!</f>
        <v>#REF!</v>
      </c>
      <c r="O81" s="134"/>
      <c r="P81" s="237" t="e">
        <f>#REF!*spec_op+#REF!*(elite1_base_op)+#REF!*(elite2_base_op+dark_elf*#REF!+icekin*#REF!+woodie*#REF!+orc*#REF!)+kobold*#REF!</f>
        <v>#REF!</v>
      </c>
      <c r="Q81" s="132" t="e">
        <f>race_offense+#REF!+ROUND(MIN(gn_bonus*#REF!/#REF!,gn_bonus_cap),4)+MAX(IF(#REF!&gt;0,warsong_bonus),IF(#REF!&gt;0,howling_op_bonus),IF(#REF!&gt;0,nightfall_bonus),IF(#REF!&gt;0,#REF!)) +#REF!/ 100*prestige_offense_bonus + tech_5_4*#REF! + tech_7_4*#REF!</f>
        <v>#REF!</v>
      </c>
      <c r="R81" s="237" t="e">
        <f>#REF!*(1+#REF!)</f>
        <v>#REF!</v>
      </c>
      <c r="S81" s="237" t="e">
        <f>#REF!*spec_dp+#REF!*(elite1_base_dp+woodie*#REF!+sylvan*#REF!+gnome*#REF!+icekin*#REF!+nox*#REF!)+#REF!*(elite2_base_dp+woodie*#REF!) + fh_peas_dp*MIN(#REF!,20*#REF!)+kobold*#REF!</f>
        <v>#REF!</v>
      </c>
      <c r="T81" s="237" t="e">
        <f>#REF!+#REF!</f>
        <v>#REF!</v>
      </c>
      <c r="U81" s="238" t="e">
        <f>race_defense +#REF! + ROUND( MIN(gt_bonus*#REF!/#REF!,gt_bonus_cap), 4) + IF(#REF!&gt;0,howling_dp_bonus,IF(#REF!&gt;0,ares_call_bonus))</f>
        <v>#REF!</v>
      </c>
      <c r="V81" s="239" t="e">
        <f>#REF! * (1 +#REF!)</f>
        <v>#REF!</v>
      </c>
      <c r="W81" s="237" t="e">
        <f>#REF! * (1 +#REF!)</f>
        <v>#REF!</v>
      </c>
      <c r="X81" s="237" t="e">
        <f>#REF!</f>
        <v>#REF!</v>
      </c>
      <c r="Y81" s="240"/>
      <c r="Z81" s="135" t="e">
        <f ca="1">IF(#REF!&lt;&gt;"",#REF!,OFFSET(#REF!,-1,0))</f>
        <v>#REF!</v>
      </c>
      <c r="AA81" s="39" t="e">
        <f ca="1">OFFSET(#REF!,-1,0)+OFFSET(#REF!,-1,0) - SUM(#REF!,#REF!) -#REF! + SUM(#REF!) -#REF!</f>
        <v>#REF!</v>
      </c>
      <c r="AB81" s="133"/>
      <c r="AC81" s="132" t="e">
        <f>(#REF!+#REF!)/(#REF!-#REF!*20)</f>
        <v>#REF!</v>
      </c>
      <c r="AD81" s="130"/>
      <c r="AE81" s="236" t="e">
        <f>#REF!</f>
        <v>#REF!</v>
      </c>
      <c r="AF81" s="131" t="e">
        <f>#REF!</f>
        <v>#REF!</v>
      </c>
      <c r="AG81" s="164"/>
      <c r="AH81" s="164"/>
      <c r="AI81" s="164"/>
      <c r="AJ81" s="164"/>
      <c r="AK81" s="164"/>
      <c r="AL81" s="164"/>
      <c r="AM81" s="164"/>
      <c r="AN81" s="164"/>
      <c r="AO81" s="134"/>
      <c r="AP81" s="39" t="e">
        <f>#REF!</f>
        <v>#REF!</v>
      </c>
      <c r="AQ81" s="39" t="e">
        <f>INDEX(#REF!:#REF!,COUNTA(#REF!:#REF!),MATCH(Military!$AQ$2,#REF!,0))</f>
        <v>#REF!</v>
      </c>
      <c r="AR81" s="39" t="e">
        <f>#REF!*#REF!+#REF!*#REF!+#REF!*#REF!+#REF!*#REF!+#REF!*#REF!+#REF!*#REF!+#REF!*#REF!</f>
        <v>#REF!</v>
      </c>
      <c r="AS81" s="39" t="e">
        <f>#REF!*#REF!+#REF!*#REF!+#REF!*#REF!+#REF!*#REF!</f>
        <v>#REF!</v>
      </c>
      <c r="AT81" s="134" t="e">
        <f>#REF!</f>
        <v>#REF!</v>
      </c>
      <c r="AU81" s="143" t="e">
        <f>#REF!</f>
        <v>#REF!</v>
      </c>
      <c r="AV81" s="39" t="e">
        <f>#REF!</f>
        <v>#REF!</v>
      </c>
      <c r="AW81" s="146"/>
      <c r="AX81" s="164"/>
      <c r="AY81" s="164"/>
      <c r="AZ81" s="164"/>
      <c r="BA81" s="164"/>
      <c r="BB81" s="164"/>
      <c r="BC81" s="164"/>
      <c r="BD81" s="164"/>
      <c r="BE81" s="164"/>
      <c r="BF81" s="134"/>
      <c r="BG81" s="132" t="e">
        <f>#REF!/#REF!</f>
        <v>#REF!</v>
      </c>
      <c r="BH81" s="132" t="e">
        <f>#REF!/#REF!</f>
        <v>#REF!</v>
      </c>
      <c r="BI81" s="39" t="e">
        <f>ROUNDUP((1-MIN(#REF!*smithy_bonus,smithy_bonus_cap) + tech_3_5*#REF! + tech_5_3*#REF! + tech_5_5*#REF!)*spec_op_plat,0)</f>
        <v>#REF!</v>
      </c>
      <c r="BJ81" s="39" t="e">
        <f>ROUNDUP(IF(race="Gnome",1,(1-MIN(#REF!*smithy_bonus,smithy_bonus_cap) + tech_3_5*#REF! + tech_5_3*#REF! + tech_5_5*#REF!))*spec_op_ore,0)</f>
        <v>#REF!</v>
      </c>
      <c r="BK81" s="39" t="e">
        <f>ROUNDUP((1-MIN(#REF!*smithy_bonus,smithy_bonus_cap) + tech_3_5*#REF! + tech_5_3*#REF! + tech_5_5*#REF!)*spec_dp_plat,0)</f>
        <v>#REF!</v>
      </c>
      <c r="BL81" s="39" t="e">
        <f>ROUNDUP(IF(race="Gnome",1,(1-MIN(#REF!*smithy_bonus,smithy_bonus_cap) + tech_3_5*#REF! + tech_5_3*#REF! + tech_5_5*#REF!))*spec_dp_ore,0)</f>
        <v>#REF!</v>
      </c>
      <c r="BM81" s="39" t="e">
        <f>ROUNDUP((1-MIN(#REF!*smithy_bonus,smithy_bonus_cap) + tech_3_5*#REF! + tech_5_3*#REF! + tech_5_5*#REF!)*elite1_plat,0)</f>
        <v>#REF!</v>
      </c>
      <c r="BN81" s="39" t="e">
        <f>ROUNDUP(IF(race="Gnome",1,(1-MIN(#REF!*smithy_bonus,smithy_bonus_cap) + tech_3_5*#REF! + tech_5_3*#REF! + tech_5_5*#REF!))*elite1_ore,0)</f>
        <v>#REF!</v>
      </c>
      <c r="BO81" s="39" t="e">
        <f>ROUNDUP((1-MIN(#REF!*smithy_bonus,smithy_bonus_cap) + tech_3_5*#REF! + tech_5_3*#REF! + tech_5_5*#REF!)*elite2_plat,0)</f>
        <v>#REF!</v>
      </c>
      <c r="BP81" s="39" t="e">
        <f>ROUNDUP(IF(race="Gnome",1,(1-MIN(#REF!*smithy_bonus,smithy_bonus_cap) + tech_3_5*#REF! + tech_5_3*#REF! + tech_5_5*#REF!))*elite2_ore,0)</f>
        <v>#REF!</v>
      </c>
      <c r="BQ81" s="39" t="e">
        <f>ROUNDUP((1-MIN(ROUND(fh_spy_cost_red*#REF!,4),fh_spy_cost_cap)+ tech_1_9*#REF! + tech_9_1*#REF!)*spy_plat,0)</f>
        <v>#REF!</v>
      </c>
      <c r="BR81" s="39" t="e">
        <f>ROUNDUP((1-MIN(ROUND(fh_spy_cost_red*#REF!,4),fh_spy_cost_cap)+ tech_1_9*#REF! + tech_9_1*#REF!)*archspy_plat,0)</f>
        <v>#REF!</v>
      </c>
      <c r="BS81" s="39" t="e">
        <f>ROUNDUP((1-MIN(ROUND(wg_wiz_cost_bonus*#REF!,4),wg_wiz_cost_cap) + tech_1_9_2*#REF! + tech_9_1_2*#REF!)*wizard_plat,0)</f>
        <v>#REF!</v>
      </c>
      <c r="BT81" s="39" t="e">
        <f>ROUNDUP((1-MIN(ROUND(wg_wiz_cost_bonus*#REF!,4),wg_wiz_cost_cap) + tech_1_9_2*#REF! + tech_9_1_2*#REF!)*archmage_plat,0)</f>
        <v>#REF!</v>
      </c>
      <c r="BU81" s="134"/>
      <c r="BV81" s="132" t="e">
        <f>#REF!/#REF!</f>
        <v>#REF!</v>
      </c>
      <c r="BW81" s="132" t="e">
        <f>#REF!</f>
        <v>#REF!</v>
      </c>
      <c r="BX81" s="241" t="e">
        <f>IF(mystic_cap="none",#REF!/mystic_bonus,MIN(mystic_cap,#REF!/mystic_bonus))</f>
        <v>#REF!</v>
      </c>
      <c r="BY81" s="241" t="e">
        <f>IF(druid_op_cap="none",#REF!/druid_op_bonus,MIN(druid_op_cap,#REF!/druid_op_bonus))</f>
        <v>#REF!</v>
      </c>
      <c r="BZ81" s="241" t="e">
        <f>IF(druid_dp_cap="none",#REF!/druid_dp_bonus,MIN(druid_dp_cap,#REF!/druid_dp_bonus))</f>
        <v>#REF!</v>
      </c>
      <c r="CA81" s="241" t="e">
        <f>MIN(dryad_cap,#REF!/dryad_bonus)</f>
        <v>#REF!</v>
      </c>
      <c r="CB81" s="241" t="e">
        <f>MIN(rocka_cap,#REF!/rocka_bonus)</f>
        <v>#REF!</v>
      </c>
      <c r="CC81" s="241" t="e">
        <f>MIN(adept_op_cap,#REF!/adept_op_bonus)</f>
        <v>#REF!</v>
      </c>
      <c r="CD81" s="241" t="e">
        <f>MIN(adept_dp_cap,#REF!/adept_dp_bonus)</f>
        <v>#REF!</v>
      </c>
      <c r="CE81" s="39" t="e">
        <f>MIN(#REF!,#REF!)*2</f>
        <v>#REF!</v>
      </c>
      <c r="CF81" s="39" t="e">
        <f>MIN(#REF!,#REF!)*2</f>
        <v>#REF!</v>
      </c>
      <c r="CG81" s="241" t="e">
        <f>MIN(frost_mage_cap,#REF!/frost_mage_bonus)</f>
        <v>#REF!</v>
      </c>
      <c r="CH81" s="3" t="e">
        <f>MIN(ice_elem_cap,#REF!*ice_elem_bonus)</f>
        <v>#REF!</v>
      </c>
      <c r="CI81" s="241">
        <f t="shared" si="3"/>
        <v>0.83333333333333337</v>
      </c>
      <c r="CJ81" s="241" t="e">
        <f>MIN(nox_nightshade_cap,#REF!/#REF!/nox_nightshade_swamp_bonus)</f>
        <v>#REF!</v>
      </c>
      <c r="CK81" s="242"/>
      <c r="CL81" s="242"/>
      <c r="CM81" s="242"/>
      <c r="CN81" s="241" t="e">
        <f>MIN(6,#REF!+Races!$F$19)*1.8 +  IF(#REF!+Races!$F$19&gt;6,(#REF!+Races!$F$19-6)*0.2,0) - Races!$I$19</f>
        <v>#REF!</v>
      </c>
      <c r="CO81" s="241" t="e">
        <f>1.8 * MIN(MAX(#REF!+Races!$E$20,#REF!+Races!$F$20),6)  +  0.45 * MIN(MIN(#REF!+Races!$E$20,#REF!+Races!$F$20),6)  +  0.2 * ( MAX(#REF!+Races!$E$20-6,0) + MAX(#REF!+Races!$F$20-6,0) )  -  Races!$I$20</f>
        <v>#REF!</v>
      </c>
      <c r="CP81" s="39" t="e">
        <f>#REF!*#REF!+#REF!*#REF!</f>
        <v>#REF!</v>
      </c>
      <c r="CQ81" s="145" t="e">
        <f>MIN(6,#REF!+Races!$F$35)*1.8 +  IF(#REF!+Races!$F$35&gt;6,(#REF!+Races!$F$35-6)*0.2,0) - Races!$I$19</f>
        <v>#REF!</v>
      </c>
      <c r="CR81" s="39" t="e">
        <f>sylvan*(#REF!*#REF!)</f>
        <v>#REF!</v>
      </c>
      <c r="CS81" s="145" t="e">
        <f>1.8 * MIN(MAX(Races!$E$27,#REF!+Races!$F$27),6)  +  0.45 * MIN(MIN(Races!$E$27,#REF!+Races!$F$27),6)  +  0.2 * ( MAX(Races!$E$27-6,0) + MAX(#REF!+Races!$F$27-6,0) )  -  Races!$I$20</f>
        <v>#REF!</v>
      </c>
      <c r="CT81" s="39" t="e">
        <f>gnome*(#REF!*#REF!)</f>
        <v>#REF!</v>
      </c>
      <c r="CU81" s="145" t="e">
        <f>1.8 * MIN(MAX(#REF!+Races!$E$47,#REF!+Races!$F$47),6)  +  0.45 * MIN(MIN(#REF!+Races!$E$47,#REF!+Races!$F$47),6)  +  0.2 * ( MAX(#REF!+Races!$E$47-6,0) + MAX(#REF!+Races!$F$47-6,0) )  -  Races!$I$47</f>
        <v>#REF!</v>
      </c>
      <c r="CV81" s="39" t="e">
        <f>dark_elf*(#REF!*#REF!)</f>
        <v>#REF!</v>
      </c>
      <c r="CW81" s="145" t="e">
        <f>1.8 * MIN(MAX(#REF!+Races!$F$71,Races!$E$71),6)  +  0.45 * MIN(MIN(#REF!+Races!$F$71,Races!$E$71),6)  +  0.2 * ( MAX(#REF!+Races!$F$71-6,0) + MAX(Races!$E$71-6,0) )  -  Races!$I$71</f>
        <v>#REF!</v>
      </c>
      <c r="CX81" s="145" t="e">
        <f>1.8 * MIN(MAX(#REF!+Races!$E$71,Races!$F$71),6)  +  0.45 * MIN(MIN(#REF!+Races!$E$71,Races!$F$71),6)  +  0.2 * ( MAX(#REF!+Races!$E$71-6,0) + MAX(Races!$F$71-6,0) )  -  Races!$I$71</f>
        <v>#REF!</v>
      </c>
      <c r="CY81" s="39" t="e">
        <f>#REF!*#REF!+#REF!*#REF!</f>
        <v>#REF!</v>
      </c>
      <c r="CZ81" s="243"/>
      <c r="DA81" s="135" t="e">
        <f>MIN(SUM(#REF!)/#REF!/favorable_terrain_bonus/100,favorable_terrain_max)</f>
        <v>#REF!</v>
      </c>
      <c r="DB81" s="243"/>
      <c r="DC81"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81" s="134"/>
      <c r="DE81" s="244" t="e">
        <f>(#REF!+2*#REF!)/#REF!</f>
        <v>#REF!</v>
      </c>
      <c r="DF81" s="244" t="e">
        <f>#REF!*(1+race_wizard_strength+IF(#REF!&gt;72,tech_magical_weaponry_wiz*#REF!,0))</f>
        <v>#REF!</v>
      </c>
    </row>
    <row r="82" spans="1:110" x14ac:dyDescent="0.25">
      <c r="A82" s="130" t="e">
        <f>#REF!</f>
        <v>#REF!</v>
      </c>
      <c r="B82" s="236" t="e">
        <f ca="1">SUM(#REF!)+SUM(OFFSET(#REF!,-8,0):#REF!) + SUM(OFFSET(#REF!,-11,0):#REF!) +#REF!</f>
        <v>#REF!</v>
      </c>
      <c r="C82" s="132" t="e">
        <f>#REF!</f>
        <v>#REF!</v>
      </c>
      <c r="D82" s="134"/>
      <c r="E82" s="3" t="e">
        <f ca="1">OFFSET(#REF!,-1,0) + OFFSET(#REF!,-9,0) -#REF!</f>
        <v>#REF!</v>
      </c>
      <c r="F82" s="3" t="e">
        <f ca="1">OFFSET(#REF!,-1,0) + OFFSET(#REF!,-9,0)-#REF!</f>
        <v>#REF!</v>
      </c>
      <c r="G82" s="3" t="e">
        <f ca="1">OFFSET(#REF!,-1,0) + OFFSET(#REF!,-12,0)-#REF!</f>
        <v>#REF!</v>
      </c>
      <c r="H82" s="3" t="e">
        <f ca="1">OFFSET(#REF!,-1,0) + OFFSET(#REF!,-12,0)-#REF!</f>
        <v>#REF!</v>
      </c>
      <c r="I82" s="3" t="e">
        <f ca="1">OFFSET(#REF!,-1,0) + OFFSET(#REF!,-12,0) -#REF!-#REF!</f>
        <v>#REF!</v>
      </c>
      <c r="J82" s="3" t="e">
        <f ca="1">OFFSET(#REF!,-1,0) + OFFSET(#REF!,-12,0) -#REF!</f>
        <v>#REF!</v>
      </c>
      <c r="K82" s="3" t="e">
        <f ca="1">OFFSET(#REF!,-1,0) + OFFSET(#REF!,-12,0) -#REF!-#REF!</f>
        <v>#REF!</v>
      </c>
      <c r="L82" s="3" t="e">
        <f ca="1">OFFSET(#REF!,-1,0) + OFFSET(#REF!,-12,0) -#REF!</f>
        <v>#REF!</v>
      </c>
      <c r="M82" s="134"/>
      <c r="N82" s="39" t="e">
        <f>#REF!</f>
        <v>#REF!</v>
      </c>
      <c r="O82" s="134"/>
      <c r="P82" s="237" t="e">
        <f>#REF!*spec_op+#REF!*(elite1_base_op)+#REF!*(elite2_base_op+dark_elf*#REF!+icekin*#REF!+woodie*#REF!+orc*#REF!)+kobold*#REF!</f>
        <v>#REF!</v>
      </c>
      <c r="Q82" s="132" t="e">
        <f>race_offense+#REF!+ROUND(MIN(gn_bonus*#REF!/#REF!,gn_bonus_cap),4)+MAX(IF(#REF!&gt;0,warsong_bonus),IF(#REF!&gt;0,howling_op_bonus),IF(#REF!&gt;0,nightfall_bonus),IF(#REF!&gt;0,#REF!)) +#REF!/ 100*prestige_offense_bonus + tech_5_4*#REF! + tech_7_4*#REF!</f>
        <v>#REF!</v>
      </c>
      <c r="R82" s="237" t="e">
        <f>#REF!*(1+#REF!)</f>
        <v>#REF!</v>
      </c>
      <c r="S82" s="237" t="e">
        <f>#REF!*spec_dp+#REF!*(elite1_base_dp+woodie*#REF!+sylvan*#REF!+gnome*#REF!+icekin*#REF!+nox*#REF!)+#REF!*(elite2_base_dp+woodie*#REF!) + fh_peas_dp*MIN(#REF!,20*#REF!)+kobold*#REF!</f>
        <v>#REF!</v>
      </c>
      <c r="T82" s="237" t="e">
        <f>#REF!+#REF!</f>
        <v>#REF!</v>
      </c>
      <c r="U82" s="238" t="e">
        <f>race_defense +#REF! + ROUND( MIN(gt_bonus*#REF!/#REF!,gt_bonus_cap), 4) + IF(#REF!&gt;0,howling_dp_bonus,IF(#REF!&gt;0,ares_call_bonus))</f>
        <v>#REF!</v>
      </c>
      <c r="V82" s="239" t="e">
        <f>#REF! * (1 +#REF!)</f>
        <v>#REF!</v>
      </c>
      <c r="W82" s="237" t="e">
        <f>#REF! * (1 +#REF!)</f>
        <v>#REF!</v>
      </c>
      <c r="X82" s="237" t="e">
        <f>#REF!</f>
        <v>#REF!</v>
      </c>
      <c r="Y82" s="240"/>
      <c r="Z82" s="135" t="e">
        <f ca="1">IF(#REF!&lt;&gt;"",#REF!,OFFSET(#REF!,-1,0))</f>
        <v>#REF!</v>
      </c>
      <c r="AA82" s="39" t="e">
        <f ca="1">OFFSET(#REF!,-1,0)+OFFSET(#REF!,-1,0) - SUM(#REF!,#REF!) -#REF! + SUM(#REF!) -#REF!</f>
        <v>#REF!</v>
      </c>
      <c r="AB82" s="133"/>
      <c r="AC82" s="132" t="e">
        <f>(#REF!+#REF!)/(#REF!-#REF!*20)</f>
        <v>#REF!</v>
      </c>
      <c r="AD82" s="130"/>
      <c r="AE82" s="236" t="e">
        <f>#REF!</f>
        <v>#REF!</v>
      </c>
      <c r="AF82" s="131" t="e">
        <f>#REF!</f>
        <v>#REF!</v>
      </c>
      <c r="AG82" s="164"/>
      <c r="AH82" s="164"/>
      <c r="AI82" s="164"/>
      <c r="AJ82" s="164"/>
      <c r="AK82" s="164"/>
      <c r="AL82" s="164"/>
      <c r="AM82" s="164"/>
      <c r="AN82" s="164"/>
      <c r="AO82" s="134"/>
      <c r="AP82" s="39" t="e">
        <f>#REF!</f>
        <v>#REF!</v>
      </c>
      <c r="AQ82" s="39" t="e">
        <f>INDEX(#REF!:#REF!,COUNTA(#REF!:#REF!),MATCH(Military!$AQ$2,#REF!,0))</f>
        <v>#REF!</v>
      </c>
      <c r="AR82" s="39" t="e">
        <f>#REF!*#REF!+#REF!*#REF!+#REF!*#REF!+#REF!*#REF!+#REF!*#REF!+#REF!*#REF!+#REF!*#REF!</f>
        <v>#REF!</v>
      </c>
      <c r="AS82" s="39" t="e">
        <f>#REF!*#REF!+#REF!*#REF!+#REF!*#REF!+#REF!*#REF!</f>
        <v>#REF!</v>
      </c>
      <c r="AT82" s="134" t="e">
        <f>#REF!</f>
        <v>#REF!</v>
      </c>
      <c r="AU82" s="143" t="e">
        <f>#REF!</f>
        <v>#REF!</v>
      </c>
      <c r="AV82" s="39" t="e">
        <f>#REF!</f>
        <v>#REF!</v>
      </c>
      <c r="AW82" s="146"/>
      <c r="AX82" s="164"/>
      <c r="AY82" s="164"/>
      <c r="AZ82" s="164"/>
      <c r="BA82" s="164"/>
      <c r="BB82" s="164"/>
      <c r="BC82" s="164"/>
      <c r="BD82" s="164"/>
      <c r="BE82" s="164"/>
      <c r="BF82" s="134"/>
      <c r="BG82" s="132" t="e">
        <f>#REF!/#REF!</f>
        <v>#REF!</v>
      </c>
      <c r="BH82" s="132" t="e">
        <f>#REF!/#REF!</f>
        <v>#REF!</v>
      </c>
      <c r="BI82" s="39" t="e">
        <f>ROUNDUP((1-MIN(#REF!*smithy_bonus,smithy_bonus_cap) + tech_3_5*#REF! + tech_5_3*#REF! + tech_5_5*#REF!)*spec_op_plat,0)</f>
        <v>#REF!</v>
      </c>
      <c r="BJ82" s="39" t="e">
        <f>ROUNDUP(IF(race="Gnome",1,(1-MIN(#REF!*smithy_bonus,smithy_bonus_cap) + tech_3_5*#REF! + tech_5_3*#REF! + tech_5_5*#REF!))*spec_op_ore,0)</f>
        <v>#REF!</v>
      </c>
      <c r="BK82" s="39" t="e">
        <f>ROUNDUP((1-MIN(#REF!*smithy_bonus,smithy_bonus_cap) + tech_3_5*#REF! + tech_5_3*#REF! + tech_5_5*#REF!)*spec_dp_plat,0)</f>
        <v>#REF!</v>
      </c>
      <c r="BL82" s="39" t="e">
        <f>ROUNDUP(IF(race="Gnome",1,(1-MIN(#REF!*smithy_bonus,smithy_bonus_cap) + tech_3_5*#REF! + tech_5_3*#REF! + tech_5_5*#REF!))*spec_dp_ore,0)</f>
        <v>#REF!</v>
      </c>
      <c r="BM82" s="39" t="e">
        <f>ROUNDUP((1-MIN(#REF!*smithy_bonus,smithy_bonus_cap) + tech_3_5*#REF! + tech_5_3*#REF! + tech_5_5*#REF!)*elite1_plat,0)</f>
        <v>#REF!</v>
      </c>
      <c r="BN82" s="39" t="e">
        <f>ROUNDUP(IF(race="Gnome",1,(1-MIN(#REF!*smithy_bonus,smithy_bonus_cap) + tech_3_5*#REF! + tech_5_3*#REF! + tech_5_5*#REF!))*elite1_ore,0)</f>
        <v>#REF!</v>
      </c>
      <c r="BO82" s="39" t="e">
        <f>ROUNDUP((1-MIN(#REF!*smithy_bonus,smithy_bonus_cap) + tech_3_5*#REF! + tech_5_3*#REF! + tech_5_5*#REF!)*elite2_plat,0)</f>
        <v>#REF!</v>
      </c>
      <c r="BP82" s="39" t="e">
        <f>ROUNDUP(IF(race="Gnome",1,(1-MIN(#REF!*smithy_bonus,smithy_bonus_cap) + tech_3_5*#REF! + tech_5_3*#REF! + tech_5_5*#REF!))*elite2_ore,0)</f>
        <v>#REF!</v>
      </c>
      <c r="BQ82" s="39" t="e">
        <f>ROUNDUP((1-MIN(ROUND(fh_spy_cost_red*#REF!,4),fh_spy_cost_cap)+ tech_1_9*#REF! + tech_9_1*#REF!)*spy_plat,0)</f>
        <v>#REF!</v>
      </c>
      <c r="BR82" s="39" t="e">
        <f>ROUNDUP((1-MIN(ROUND(fh_spy_cost_red*#REF!,4),fh_spy_cost_cap)+ tech_1_9*#REF! + tech_9_1*#REF!)*archspy_plat,0)</f>
        <v>#REF!</v>
      </c>
      <c r="BS82" s="39" t="e">
        <f>ROUNDUP((1-MIN(ROUND(wg_wiz_cost_bonus*#REF!,4),wg_wiz_cost_cap) + tech_1_9_2*#REF! + tech_9_1_2*#REF!)*wizard_plat,0)</f>
        <v>#REF!</v>
      </c>
      <c r="BT82" s="39" t="e">
        <f>ROUNDUP((1-MIN(ROUND(wg_wiz_cost_bonus*#REF!,4),wg_wiz_cost_cap) + tech_1_9_2*#REF! + tech_9_1_2*#REF!)*archmage_plat,0)</f>
        <v>#REF!</v>
      </c>
      <c r="BU82" s="134"/>
      <c r="BV82" s="132" t="e">
        <f>#REF!/#REF!</f>
        <v>#REF!</v>
      </c>
      <c r="BW82" s="132" t="e">
        <f>#REF!</f>
        <v>#REF!</v>
      </c>
      <c r="BX82" s="241" t="e">
        <f>IF(mystic_cap="none",#REF!/mystic_bonus,MIN(mystic_cap,#REF!/mystic_bonus))</f>
        <v>#REF!</v>
      </c>
      <c r="BY82" s="241" t="e">
        <f>IF(druid_op_cap="none",#REF!/druid_op_bonus,MIN(druid_op_cap,#REF!/druid_op_bonus))</f>
        <v>#REF!</v>
      </c>
      <c r="BZ82" s="241" t="e">
        <f>IF(druid_dp_cap="none",#REF!/druid_dp_bonus,MIN(druid_dp_cap,#REF!/druid_dp_bonus))</f>
        <v>#REF!</v>
      </c>
      <c r="CA82" s="241" t="e">
        <f>MIN(dryad_cap,#REF!/dryad_bonus)</f>
        <v>#REF!</v>
      </c>
      <c r="CB82" s="241" t="e">
        <f>MIN(rocka_cap,#REF!/rocka_bonus)</f>
        <v>#REF!</v>
      </c>
      <c r="CC82" s="241" t="e">
        <f>MIN(adept_op_cap,#REF!/adept_op_bonus)</f>
        <v>#REF!</v>
      </c>
      <c r="CD82" s="241" t="e">
        <f>MIN(adept_dp_cap,#REF!/adept_dp_bonus)</f>
        <v>#REF!</v>
      </c>
      <c r="CE82" s="39" t="e">
        <f>MIN(#REF!,#REF!)*2</f>
        <v>#REF!</v>
      </c>
      <c r="CF82" s="39" t="e">
        <f>MIN(#REF!,#REF!)*2</f>
        <v>#REF!</v>
      </c>
      <c r="CG82" s="241" t="e">
        <f>MIN(frost_mage_cap,#REF!/frost_mage_bonus)</f>
        <v>#REF!</v>
      </c>
      <c r="CH82" s="3" t="e">
        <f>MIN(ice_elem_cap,#REF!*ice_elem_bonus)</f>
        <v>#REF!</v>
      </c>
      <c r="CI82" s="241">
        <f t="shared" si="3"/>
        <v>0.83333333333333337</v>
      </c>
      <c r="CJ82" s="241" t="e">
        <f>MIN(nox_nightshade_cap,#REF!/#REF!/nox_nightshade_swamp_bonus)</f>
        <v>#REF!</v>
      </c>
      <c r="CK82" s="242"/>
      <c r="CL82" s="242"/>
      <c r="CM82" s="242"/>
      <c r="CN82" s="241" t="e">
        <f>MIN(6,#REF!+Races!$F$19)*1.8 +  IF(#REF!+Races!$F$19&gt;6,(#REF!+Races!$F$19-6)*0.2,0) - Races!$I$19</f>
        <v>#REF!</v>
      </c>
      <c r="CO82" s="241" t="e">
        <f>1.8 * MIN(MAX(#REF!+Races!$E$20,#REF!+Races!$F$20),6)  +  0.45 * MIN(MIN(#REF!+Races!$E$20,#REF!+Races!$F$20),6)  +  0.2 * ( MAX(#REF!+Races!$E$20-6,0) + MAX(#REF!+Races!$F$20-6,0) )  -  Races!$I$20</f>
        <v>#REF!</v>
      </c>
      <c r="CP82" s="39" t="e">
        <f>#REF!*#REF!+#REF!*#REF!</f>
        <v>#REF!</v>
      </c>
      <c r="CQ82" s="145" t="e">
        <f>MIN(6,#REF!+Races!$F$35)*1.8 +  IF(#REF!+Races!$F$35&gt;6,(#REF!+Races!$F$35-6)*0.2,0) - Races!$I$19</f>
        <v>#REF!</v>
      </c>
      <c r="CR82" s="39" t="e">
        <f>sylvan*(#REF!*#REF!)</f>
        <v>#REF!</v>
      </c>
      <c r="CS82" s="145" t="e">
        <f>1.8 * MIN(MAX(Races!$E$27,#REF!+Races!$F$27),6)  +  0.45 * MIN(MIN(Races!$E$27,#REF!+Races!$F$27),6)  +  0.2 * ( MAX(Races!$E$27-6,0) + MAX(#REF!+Races!$F$27-6,0) )  -  Races!$I$20</f>
        <v>#REF!</v>
      </c>
      <c r="CT82" s="39" t="e">
        <f>gnome*(#REF!*#REF!)</f>
        <v>#REF!</v>
      </c>
      <c r="CU82" s="145" t="e">
        <f>1.8 * MIN(MAX(#REF!+Races!$E$47,#REF!+Races!$F$47),6)  +  0.45 * MIN(MIN(#REF!+Races!$E$47,#REF!+Races!$F$47),6)  +  0.2 * ( MAX(#REF!+Races!$E$47-6,0) + MAX(#REF!+Races!$F$47-6,0) )  -  Races!$I$47</f>
        <v>#REF!</v>
      </c>
      <c r="CV82" s="39" t="e">
        <f>dark_elf*(#REF!*#REF!)</f>
        <v>#REF!</v>
      </c>
      <c r="CW82" s="145" t="e">
        <f>1.8 * MIN(MAX(#REF!+Races!$F$71,Races!$E$71),6)  +  0.45 * MIN(MIN(#REF!+Races!$F$71,Races!$E$71),6)  +  0.2 * ( MAX(#REF!+Races!$F$71-6,0) + MAX(Races!$E$71-6,0) )  -  Races!$I$71</f>
        <v>#REF!</v>
      </c>
      <c r="CX82" s="145" t="e">
        <f>1.8 * MIN(MAX(#REF!+Races!$E$71,Races!$F$71),6)  +  0.45 * MIN(MIN(#REF!+Races!$E$71,Races!$F$71),6)  +  0.2 * ( MAX(#REF!+Races!$E$71-6,0) + MAX(Races!$F$71-6,0) )  -  Races!$I$71</f>
        <v>#REF!</v>
      </c>
      <c r="CY82" s="39" t="e">
        <f>#REF!*#REF!+#REF!*#REF!</f>
        <v>#REF!</v>
      </c>
      <c r="CZ82" s="243"/>
      <c r="DA82" s="135" t="e">
        <f>MIN(SUM(#REF!)/#REF!/favorable_terrain_bonus/100,favorable_terrain_max)</f>
        <v>#REF!</v>
      </c>
      <c r="DB82" s="243"/>
      <c r="DC82"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82" s="134"/>
      <c r="DE82" s="244" t="e">
        <f>(#REF!+2*#REF!)/#REF!</f>
        <v>#REF!</v>
      </c>
      <c r="DF82" s="244" t="e">
        <f>#REF!*(1+race_wizard_strength+IF(#REF!&gt;72,tech_magical_weaponry_wiz*#REF!,0))</f>
        <v>#REF!</v>
      </c>
    </row>
    <row r="83" spans="1:110" x14ac:dyDescent="0.25">
      <c r="A83" s="130" t="e">
        <f>#REF!</f>
        <v>#REF!</v>
      </c>
      <c r="B83" s="236" t="e">
        <f ca="1">SUM(#REF!)+SUM(OFFSET(#REF!,-8,0):#REF!) + SUM(OFFSET(#REF!,-11,0):#REF!) +#REF!</f>
        <v>#REF!</v>
      </c>
      <c r="C83" s="132" t="e">
        <f>#REF!</f>
        <v>#REF!</v>
      </c>
      <c r="D83" s="134"/>
      <c r="E83" s="3" t="e">
        <f ca="1">OFFSET(#REF!,-1,0) + OFFSET(#REF!,-9,0) -#REF!</f>
        <v>#REF!</v>
      </c>
      <c r="F83" s="3" t="e">
        <f ca="1">OFFSET(#REF!,-1,0) + OFFSET(#REF!,-9,0)-#REF!</f>
        <v>#REF!</v>
      </c>
      <c r="G83" s="3" t="e">
        <f ca="1">OFFSET(#REF!,-1,0) + OFFSET(#REF!,-12,0)-#REF!</f>
        <v>#REF!</v>
      </c>
      <c r="H83" s="3" t="e">
        <f ca="1">OFFSET(#REF!,-1,0) + OFFSET(#REF!,-12,0)-#REF!</f>
        <v>#REF!</v>
      </c>
      <c r="I83" s="3" t="e">
        <f ca="1">OFFSET(#REF!,-1,0) + OFFSET(#REF!,-12,0) -#REF!-#REF!</f>
        <v>#REF!</v>
      </c>
      <c r="J83" s="3" t="e">
        <f ca="1">OFFSET(#REF!,-1,0) + OFFSET(#REF!,-12,0) -#REF!</f>
        <v>#REF!</v>
      </c>
      <c r="K83" s="3" t="e">
        <f ca="1">OFFSET(#REF!,-1,0) + OFFSET(#REF!,-12,0) -#REF!-#REF!</f>
        <v>#REF!</v>
      </c>
      <c r="L83" s="3" t="e">
        <f ca="1">OFFSET(#REF!,-1,0) + OFFSET(#REF!,-12,0) -#REF!</f>
        <v>#REF!</v>
      </c>
      <c r="M83" s="134"/>
      <c r="N83" s="39" t="e">
        <f>#REF!</f>
        <v>#REF!</v>
      </c>
      <c r="O83" s="134"/>
      <c r="P83" s="237" t="e">
        <f>#REF!*spec_op+#REF!*(elite1_base_op)+#REF!*(elite2_base_op+dark_elf*#REF!+icekin*#REF!+woodie*#REF!+orc*#REF!)+kobold*#REF!</f>
        <v>#REF!</v>
      </c>
      <c r="Q83" s="132" t="e">
        <f>race_offense+#REF!+ROUND(MIN(gn_bonus*#REF!/#REF!,gn_bonus_cap),4)+MAX(IF(#REF!&gt;0,warsong_bonus),IF(#REF!&gt;0,howling_op_bonus),IF(#REF!&gt;0,nightfall_bonus),IF(#REF!&gt;0,#REF!)) +#REF!/ 100*prestige_offense_bonus + tech_5_4*#REF! + tech_7_4*#REF!</f>
        <v>#REF!</v>
      </c>
      <c r="R83" s="237" t="e">
        <f>#REF!*(1+#REF!)</f>
        <v>#REF!</v>
      </c>
      <c r="S83" s="237" t="e">
        <f>#REF!*spec_dp+#REF!*(elite1_base_dp+woodie*#REF!+sylvan*#REF!+gnome*#REF!+icekin*#REF!+nox*#REF!)+#REF!*(elite2_base_dp+woodie*#REF!) + fh_peas_dp*MIN(#REF!,20*#REF!)+kobold*#REF!</f>
        <v>#REF!</v>
      </c>
      <c r="T83" s="237" t="e">
        <f>#REF!+#REF!</f>
        <v>#REF!</v>
      </c>
      <c r="U83" s="238" t="e">
        <f>race_defense +#REF! + ROUND( MIN(gt_bonus*#REF!/#REF!,gt_bonus_cap), 4) + IF(#REF!&gt;0,howling_dp_bonus,IF(#REF!&gt;0,ares_call_bonus))</f>
        <v>#REF!</v>
      </c>
      <c r="V83" s="239" t="e">
        <f>#REF! * (1 +#REF!)</f>
        <v>#REF!</v>
      </c>
      <c r="W83" s="237" t="e">
        <f>#REF! * (1 +#REF!)</f>
        <v>#REF!</v>
      </c>
      <c r="X83" s="237" t="e">
        <f>#REF!</f>
        <v>#REF!</v>
      </c>
      <c r="Y83" s="240"/>
      <c r="Z83" s="135" t="e">
        <f ca="1">IF(#REF!&lt;&gt;"",#REF!,OFFSET(#REF!,-1,0))</f>
        <v>#REF!</v>
      </c>
      <c r="AA83" s="39" t="e">
        <f ca="1">OFFSET(#REF!,-1,0)+OFFSET(#REF!,-1,0) - SUM(#REF!,#REF!) -#REF! + SUM(#REF!) -#REF!</f>
        <v>#REF!</v>
      </c>
      <c r="AB83" s="133"/>
      <c r="AC83" s="132" t="e">
        <f>(#REF!+#REF!)/(#REF!-#REF!*20)</f>
        <v>#REF!</v>
      </c>
      <c r="AD83" s="130"/>
      <c r="AE83" s="236" t="e">
        <f>#REF!</f>
        <v>#REF!</v>
      </c>
      <c r="AF83" s="131" t="e">
        <f>#REF!</f>
        <v>#REF!</v>
      </c>
      <c r="AG83" s="164"/>
      <c r="AH83" s="164"/>
      <c r="AI83" s="164"/>
      <c r="AJ83" s="164"/>
      <c r="AK83" s="164"/>
      <c r="AL83" s="164"/>
      <c r="AM83" s="164"/>
      <c r="AN83" s="164"/>
      <c r="AO83" s="134"/>
      <c r="AP83" s="39" t="e">
        <f>#REF!</f>
        <v>#REF!</v>
      </c>
      <c r="AQ83" s="39" t="e">
        <f>INDEX(#REF!:#REF!,COUNTA(#REF!:#REF!),MATCH(Military!$AQ$2,#REF!,0))</f>
        <v>#REF!</v>
      </c>
      <c r="AR83" s="39" t="e">
        <f>#REF!*#REF!+#REF!*#REF!+#REF!*#REF!+#REF!*#REF!+#REF!*#REF!+#REF!*#REF!+#REF!*#REF!</f>
        <v>#REF!</v>
      </c>
      <c r="AS83" s="39" t="e">
        <f>#REF!*#REF!+#REF!*#REF!+#REF!*#REF!+#REF!*#REF!</f>
        <v>#REF!</v>
      </c>
      <c r="AT83" s="134" t="e">
        <f>#REF!</f>
        <v>#REF!</v>
      </c>
      <c r="AU83" s="143" t="e">
        <f>#REF!</f>
        <v>#REF!</v>
      </c>
      <c r="AV83" s="39" t="e">
        <f>#REF!</f>
        <v>#REF!</v>
      </c>
      <c r="AW83" s="146"/>
      <c r="AX83" s="164"/>
      <c r="AY83" s="164"/>
      <c r="AZ83" s="164"/>
      <c r="BA83" s="164"/>
      <c r="BB83" s="164"/>
      <c r="BC83" s="164"/>
      <c r="BD83" s="164"/>
      <c r="BE83" s="164"/>
      <c r="BF83" s="134"/>
      <c r="BG83" s="132" t="e">
        <f>#REF!/#REF!</f>
        <v>#REF!</v>
      </c>
      <c r="BH83" s="132" t="e">
        <f>#REF!/#REF!</f>
        <v>#REF!</v>
      </c>
      <c r="BI83" s="39" t="e">
        <f>ROUNDUP((1-MIN(#REF!*smithy_bonus,smithy_bonus_cap) + tech_3_5*#REF! + tech_5_3*#REF! + tech_5_5*#REF!)*spec_op_plat,0)</f>
        <v>#REF!</v>
      </c>
      <c r="BJ83" s="39" t="e">
        <f>ROUNDUP(IF(race="Gnome",1,(1-MIN(#REF!*smithy_bonus,smithy_bonus_cap) + tech_3_5*#REF! + tech_5_3*#REF! + tech_5_5*#REF!))*spec_op_ore,0)</f>
        <v>#REF!</v>
      </c>
      <c r="BK83" s="39" t="e">
        <f>ROUNDUP((1-MIN(#REF!*smithy_bonus,smithy_bonus_cap) + tech_3_5*#REF! + tech_5_3*#REF! + tech_5_5*#REF!)*spec_dp_plat,0)</f>
        <v>#REF!</v>
      </c>
      <c r="BL83" s="39" t="e">
        <f>ROUNDUP(IF(race="Gnome",1,(1-MIN(#REF!*smithy_bonus,smithy_bonus_cap) + tech_3_5*#REF! + tech_5_3*#REF! + tech_5_5*#REF!))*spec_dp_ore,0)</f>
        <v>#REF!</v>
      </c>
      <c r="BM83" s="39" t="e">
        <f>ROUNDUP((1-MIN(#REF!*smithy_bonus,smithy_bonus_cap) + tech_3_5*#REF! + tech_5_3*#REF! + tech_5_5*#REF!)*elite1_plat,0)</f>
        <v>#REF!</v>
      </c>
      <c r="BN83" s="39" t="e">
        <f>ROUNDUP(IF(race="Gnome",1,(1-MIN(#REF!*smithy_bonus,smithy_bonus_cap) + tech_3_5*#REF! + tech_5_3*#REF! + tech_5_5*#REF!))*elite1_ore,0)</f>
        <v>#REF!</v>
      </c>
      <c r="BO83" s="39" t="e">
        <f>ROUNDUP((1-MIN(#REF!*smithy_bonus,smithy_bonus_cap) + tech_3_5*#REF! + tech_5_3*#REF! + tech_5_5*#REF!)*elite2_plat,0)</f>
        <v>#REF!</v>
      </c>
      <c r="BP83" s="39" t="e">
        <f>ROUNDUP(IF(race="Gnome",1,(1-MIN(#REF!*smithy_bonus,smithy_bonus_cap) + tech_3_5*#REF! + tech_5_3*#REF! + tech_5_5*#REF!))*elite2_ore,0)</f>
        <v>#REF!</v>
      </c>
      <c r="BQ83" s="39" t="e">
        <f>ROUNDUP((1-MIN(ROUND(fh_spy_cost_red*#REF!,4),fh_spy_cost_cap)+ tech_1_9*#REF! + tech_9_1*#REF!)*spy_plat,0)</f>
        <v>#REF!</v>
      </c>
      <c r="BR83" s="39" t="e">
        <f>ROUNDUP((1-MIN(ROUND(fh_spy_cost_red*#REF!,4),fh_spy_cost_cap)+ tech_1_9*#REF! + tech_9_1*#REF!)*archspy_plat,0)</f>
        <v>#REF!</v>
      </c>
      <c r="BS83" s="39" t="e">
        <f>ROUNDUP((1-MIN(ROUND(wg_wiz_cost_bonus*#REF!,4),wg_wiz_cost_cap) + tech_1_9_2*#REF! + tech_9_1_2*#REF!)*wizard_plat,0)</f>
        <v>#REF!</v>
      </c>
      <c r="BT83" s="39" t="e">
        <f>ROUNDUP((1-MIN(ROUND(wg_wiz_cost_bonus*#REF!,4),wg_wiz_cost_cap) + tech_1_9_2*#REF! + tech_9_1_2*#REF!)*archmage_plat,0)</f>
        <v>#REF!</v>
      </c>
      <c r="BU83" s="134"/>
      <c r="BV83" s="132" t="e">
        <f>#REF!/#REF!</f>
        <v>#REF!</v>
      </c>
      <c r="BW83" s="132" t="e">
        <f>#REF!</f>
        <v>#REF!</v>
      </c>
      <c r="BX83" s="241" t="e">
        <f>IF(mystic_cap="none",#REF!/mystic_bonus,MIN(mystic_cap,#REF!/mystic_bonus))</f>
        <v>#REF!</v>
      </c>
      <c r="BY83" s="241" t="e">
        <f>IF(druid_op_cap="none",#REF!/druid_op_bonus,MIN(druid_op_cap,#REF!/druid_op_bonus))</f>
        <v>#REF!</v>
      </c>
      <c r="BZ83" s="241" t="e">
        <f>IF(druid_dp_cap="none",#REF!/druid_dp_bonus,MIN(druid_dp_cap,#REF!/druid_dp_bonus))</f>
        <v>#REF!</v>
      </c>
      <c r="CA83" s="241" t="e">
        <f>MIN(dryad_cap,#REF!/dryad_bonus)</f>
        <v>#REF!</v>
      </c>
      <c r="CB83" s="241" t="e">
        <f>MIN(rocka_cap,#REF!/rocka_bonus)</f>
        <v>#REF!</v>
      </c>
      <c r="CC83" s="241" t="e">
        <f>MIN(adept_op_cap,#REF!/adept_op_bonus)</f>
        <v>#REF!</v>
      </c>
      <c r="CD83" s="241" t="e">
        <f>MIN(adept_dp_cap,#REF!/adept_dp_bonus)</f>
        <v>#REF!</v>
      </c>
      <c r="CE83" s="39" t="e">
        <f>MIN(#REF!,#REF!)*2</f>
        <v>#REF!</v>
      </c>
      <c r="CF83" s="39" t="e">
        <f>MIN(#REF!,#REF!)*2</f>
        <v>#REF!</v>
      </c>
      <c r="CG83" s="241" t="e">
        <f>MIN(frost_mage_cap,#REF!/frost_mage_bonus)</f>
        <v>#REF!</v>
      </c>
      <c r="CH83" s="3" t="e">
        <f>MIN(ice_elem_cap,#REF!*ice_elem_bonus)</f>
        <v>#REF!</v>
      </c>
      <c r="CI83" s="241">
        <f t="shared" si="3"/>
        <v>0.83333333333333337</v>
      </c>
      <c r="CJ83" s="241" t="e">
        <f>MIN(nox_nightshade_cap,#REF!/#REF!/nox_nightshade_swamp_bonus)</f>
        <v>#REF!</v>
      </c>
      <c r="CK83" s="242"/>
      <c r="CL83" s="242"/>
      <c r="CM83" s="242"/>
      <c r="CN83" s="241" t="e">
        <f>MIN(6,#REF!+Races!$F$19)*1.8 +  IF(#REF!+Races!$F$19&gt;6,(#REF!+Races!$F$19-6)*0.2,0) - Races!$I$19</f>
        <v>#REF!</v>
      </c>
      <c r="CO83" s="241" t="e">
        <f>1.8 * MIN(MAX(#REF!+Races!$E$20,#REF!+Races!$F$20),6)  +  0.45 * MIN(MIN(#REF!+Races!$E$20,#REF!+Races!$F$20),6)  +  0.2 * ( MAX(#REF!+Races!$E$20-6,0) + MAX(#REF!+Races!$F$20-6,0) )  -  Races!$I$20</f>
        <v>#REF!</v>
      </c>
      <c r="CP83" s="39" t="e">
        <f>#REF!*#REF!+#REF!*#REF!</f>
        <v>#REF!</v>
      </c>
      <c r="CQ83" s="145" t="e">
        <f>MIN(6,#REF!+Races!$F$35)*1.8 +  IF(#REF!+Races!$F$35&gt;6,(#REF!+Races!$F$35-6)*0.2,0) - Races!$I$19</f>
        <v>#REF!</v>
      </c>
      <c r="CR83" s="39" t="e">
        <f>sylvan*(#REF!*#REF!)</f>
        <v>#REF!</v>
      </c>
      <c r="CS83" s="145" t="e">
        <f>1.8 * MIN(MAX(Races!$E$27,#REF!+Races!$F$27),6)  +  0.45 * MIN(MIN(Races!$E$27,#REF!+Races!$F$27),6)  +  0.2 * ( MAX(Races!$E$27-6,0) + MAX(#REF!+Races!$F$27-6,0) )  -  Races!$I$20</f>
        <v>#REF!</v>
      </c>
      <c r="CT83" s="39" t="e">
        <f>gnome*(#REF!*#REF!)</f>
        <v>#REF!</v>
      </c>
      <c r="CU83" s="145" t="e">
        <f>1.8 * MIN(MAX(#REF!+Races!$E$47,#REF!+Races!$F$47),6)  +  0.45 * MIN(MIN(#REF!+Races!$E$47,#REF!+Races!$F$47),6)  +  0.2 * ( MAX(#REF!+Races!$E$47-6,0) + MAX(#REF!+Races!$F$47-6,0) )  -  Races!$I$47</f>
        <v>#REF!</v>
      </c>
      <c r="CV83" s="39" t="e">
        <f>dark_elf*(#REF!*#REF!)</f>
        <v>#REF!</v>
      </c>
      <c r="CW83" s="145" t="e">
        <f>1.8 * MIN(MAX(#REF!+Races!$F$71,Races!$E$71),6)  +  0.45 * MIN(MIN(#REF!+Races!$F$71,Races!$E$71),6)  +  0.2 * ( MAX(#REF!+Races!$F$71-6,0) + MAX(Races!$E$71-6,0) )  -  Races!$I$71</f>
        <v>#REF!</v>
      </c>
      <c r="CX83" s="145" t="e">
        <f>1.8 * MIN(MAX(#REF!+Races!$E$71,Races!$F$71),6)  +  0.45 * MIN(MIN(#REF!+Races!$E$71,Races!$F$71),6)  +  0.2 * ( MAX(#REF!+Races!$E$71-6,0) + MAX(Races!$F$71-6,0) )  -  Races!$I$71</f>
        <v>#REF!</v>
      </c>
      <c r="CY83" s="39" t="e">
        <f>#REF!*#REF!+#REF!*#REF!</f>
        <v>#REF!</v>
      </c>
      <c r="CZ83" s="243"/>
      <c r="DA83" s="135" t="e">
        <f>MIN(SUM(#REF!)/#REF!/favorable_terrain_bonus/100,favorable_terrain_max)</f>
        <v>#REF!</v>
      </c>
      <c r="DB83" s="243"/>
      <c r="DC83"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83" s="134"/>
      <c r="DE83" s="244" t="e">
        <f>(#REF!+2*#REF!)/#REF!</f>
        <v>#REF!</v>
      </c>
      <c r="DF83" s="244" t="e">
        <f>#REF!*(1+race_wizard_strength+IF(#REF!&gt;72,tech_magical_weaponry_wiz*#REF!,0))</f>
        <v>#REF!</v>
      </c>
    </row>
    <row r="84" spans="1:110" x14ac:dyDescent="0.25">
      <c r="A84" s="130" t="e">
        <f>#REF!</f>
        <v>#REF!</v>
      </c>
      <c r="B84" s="236" t="e">
        <f ca="1">SUM(#REF!)+SUM(OFFSET(#REF!,-8,0):#REF!) + SUM(OFFSET(#REF!,-11,0):#REF!) +#REF!</f>
        <v>#REF!</v>
      </c>
      <c r="C84" s="132" t="e">
        <f>#REF!</f>
        <v>#REF!</v>
      </c>
      <c r="D84" s="134"/>
      <c r="E84" s="3" t="e">
        <f ca="1">OFFSET(#REF!,-1,0) + OFFSET(#REF!,-9,0) -#REF!</f>
        <v>#REF!</v>
      </c>
      <c r="F84" s="3" t="e">
        <f ca="1">OFFSET(#REF!,-1,0) + OFFSET(#REF!,-9,0)-#REF!</f>
        <v>#REF!</v>
      </c>
      <c r="G84" s="3" t="e">
        <f ca="1">OFFSET(#REF!,-1,0) + OFFSET(#REF!,-12,0)-#REF!</f>
        <v>#REF!</v>
      </c>
      <c r="H84" s="3" t="e">
        <f ca="1">OFFSET(#REF!,-1,0) + OFFSET(#REF!,-12,0)-#REF!</f>
        <v>#REF!</v>
      </c>
      <c r="I84" s="3" t="e">
        <f ca="1">OFFSET(#REF!,-1,0) + OFFSET(#REF!,-12,0) -#REF!-#REF!</f>
        <v>#REF!</v>
      </c>
      <c r="J84" s="3" t="e">
        <f ca="1">OFFSET(#REF!,-1,0) + OFFSET(#REF!,-12,0) -#REF!</f>
        <v>#REF!</v>
      </c>
      <c r="K84" s="3" t="e">
        <f ca="1">OFFSET(#REF!,-1,0) + OFFSET(#REF!,-12,0) -#REF!-#REF!</f>
        <v>#REF!</v>
      </c>
      <c r="L84" s="3" t="e">
        <f ca="1">OFFSET(#REF!,-1,0) + OFFSET(#REF!,-12,0) -#REF!</f>
        <v>#REF!</v>
      </c>
      <c r="M84" s="134"/>
      <c r="N84" s="39" t="e">
        <f>#REF!</f>
        <v>#REF!</v>
      </c>
      <c r="O84" s="134"/>
      <c r="P84" s="237" t="e">
        <f>#REF!*spec_op+#REF!*(elite1_base_op)+#REF!*(elite2_base_op+dark_elf*#REF!+icekin*#REF!+woodie*#REF!+orc*#REF!)+kobold*#REF!</f>
        <v>#REF!</v>
      </c>
      <c r="Q84" s="132" t="e">
        <f>race_offense+#REF!+ROUND(MIN(gn_bonus*#REF!/#REF!,gn_bonus_cap),4)+MAX(IF(#REF!&gt;0,warsong_bonus),IF(#REF!&gt;0,howling_op_bonus),IF(#REF!&gt;0,nightfall_bonus),IF(#REF!&gt;0,#REF!)) +#REF!/ 100*prestige_offense_bonus + tech_5_4*#REF! + tech_7_4*#REF!</f>
        <v>#REF!</v>
      </c>
      <c r="R84" s="237" t="e">
        <f>#REF!*(1+#REF!)</f>
        <v>#REF!</v>
      </c>
      <c r="S84" s="237" t="e">
        <f>#REF!*spec_dp+#REF!*(elite1_base_dp+woodie*#REF!+sylvan*#REF!+gnome*#REF!+icekin*#REF!+nox*#REF!)+#REF!*(elite2_base_dp+woodie*#REF!) + fh_peas_dp*MIN(#REF!,20*#REF!)+kobold*#REF!</f>
        <v>#REF!</v>
      </c>
      <c r="T84" s="237" t="e">
        <f>#REF!+#REF!</f>
        <v>#REF!</v>
      </c>
      <c r="U84" s="238" t="e">
        <f>race_defense +#REF! + ROUND( MIN(gt_bonus*#REF!/#REF!,gt_bonus_cap), 4) + IF(#REF!&gt;0,howling_dp_bonus,IF(#REF!&gt;0,ares_call_bonus))</f>
        <v>#REF!</v>
      </c>
      <c r="V84" s="239" t="e">
        <f>#REF! * (1 +#REF!)</f>
        <v>#REF!</v>
      </c>
      <c r="W84" s="237" t="e">
        <f>#REF! * (1 +#REF!)</f>
        <v>#REF!</v>
      </c>
      <c r="X84" s="237" t="e">
        <f>#REF!</f>
        <v>#REF!</v>
      </c>
      <c r="Y84" s="240"/>
      <c r="Z84" s="135" t="e">
        <f ca="1">IF(#REF!&lt;&gt;"",#REF!,OFFSET(#REF!,-1,0))</f>
        <v>#REF!</v>
      </c>
      <c r="AA84" s="39" t="e">
        <f ca="1">OFFSET(#REF!,-1,0)+OFFSET(#REF!,-1,0) - SUM(#REF!,#REF!) -#REF! + SUM(#REF!) -#REF!</f>
        <v>#REF!</v>
      </c>
      <c r="AB84" s="133"/>
      <c r="AC84" s="132" t="e">
        <f>(#REF!+#REF!)/(#REF!-#REF!*20)</f>
        <v>#REF!</v>
      </c>
      <c r="AD84" s="130"/>
      <c r="AE84" s="236" t="e">
        <f>#REF!</f>
        <v>#REF!</v>
      </c>
      <c r="AF84" s="131" t="e">
        <f>#REF!</f>
        <v>#REF!</v>
      </c>
      <c r="AG84" s="164"/>
      <c r="AH84" s="164"/>
      <c r="AI84" s="164"/>
      <c r="AJ84" s="164"/>
      <c r="AK84" s="164"/>
      <c r="AL84" s="164"/>
      <c r="AM84" s="164"/>
      <c r="AN84" s="164"/>
      <c r="AO84" s="134"/>
      <c r="AP84" s="39" t="e">
        <f>#REF!</f>
        <v>#REF!</v>
      </c>
      <c r="AQ84" s="39" t="e">
        <f>INDEX(#REF!:#REF!,COUNTA(#REF!:#REF!),MATCH(Military!$AQ$2,#REF!,0))</f>
        <v>#REF!</v>
      </c>
      <c r="AR84" s="39" t="e">
        <f>#REF!*#REF!+#REF!*#REF!+#REF!*#REF!+#REF!*#REF!+#REF!*#REF!+#REF!*#REF!+#REF!*#REF!</f>
        <v>#REF!</v>
      </c>
      <c r="AS84" s="39" t="e">
        <f>#REF!*#REF!+#REF!*#REF!+#REF!*#REF!+#REF!*#REF!</f>
        <v>#REF!</v>
      </c>
      <c r="AT84" s="134" t="e">
        <f>#REF!</f>
        <v>#REF!</v>
      </c>
      <c r="AU84" s="143" t="e">
        <f>#REF!</f>
        <v>#REF!</v>
      </c>
      <c r="AV84" s="39" t="e">
        <f>#REF!</f>
        <v>#REF!</v>
      </c>
      <c r="AW84" s="146"/>
      <c r="AX84" s="164"/>
      <c r="AY84" s="164"/>
      <c r="AZ84" s="164"/>
      <c r="BA84" s="164"/>
      <c r="BB84" s="164"/>
      <c r="BC84" s="164"/>
      <c r="BD84" s="164"/>
      <c r="BE84" s="164"/>
      <c r="BF84" s="134"/>
      <c r="BG84" s="132" t="e">
        <f>#REF!/#REF!</f>
        <v>#REF!</v>
      </c>
      <c r="BH84" s="132" t="e">
        <f>#REF!/#REF!</f>
        <v>#REF!</v>
      </c>
      <c r="BI84" s="39" t="e">
        <f>ROUNDUP((1-MIN(#REF!*smithy_bonus,smithy_bonus_cap) + tech_3_5*#REF! + tech_5_3*#REF! + tech_5_5*#REF!)*spec_op_plat,0)</f>
        <v>#REF!</v>
      </c>
      <c r="BJ84" s="39" t="e">
        <f>ROUNDUP(IF(race="Gnome",1,(1-MIN(#REF!*smithy_bonus,smithy_bonus_cap) + tech_3_5*#REF! + tech_5_3*#REF! + tech_5_5*#REF!))*spec_op_ore,0)</f>
        <v>#REF!</v>
      </c>
      <c r="BK84" s="39" t="e">
        <f>ROUNDUP((1-MIN(#REF!*smithy_bonus,smithy_bonus_cap) + tech_3_5*#REF! + tech_5_3*#REF! + tech_5_5*#REF!)*spec_dp_plat,0)</f>
        <v>#REF!</v>
      </c>
      <c r="BL84" s="39" t="e">
        <f>ROUNDUP(IF(race="Gnome",1,(1-MIN(#REF!*smithy_bonus,smithy_bonus_cap) + tech_3_5*#REF! + tech_5_3*#REF! + tech_5_5*#REF!))*spec_dp_ore,0)</f>
        <v>#REF!</v>
      </c>
      <c r="BM84" s="39" t="e">
        <f>ROUNDUP((1-MIN(#REF!*smithy_bonus,smithy_bonus_cap) + tech_3_5*#REF! + tech_5_3*#REF! + tech_5_5*#REF!)*elite1_plat,0)</f>
        <v>#REF!</v>
      </c>
      <c r="BN84" s="39" t="e">
        <f>ROUNDUP(IF(race="Gnome",1,(1-MIN(#REF!*smithy_bonus,smithy_bonus_cap) + tech_3_5*#REF! + tech_5_3*#REF! + tech_5_5*#REF!))*elite1_ore,0)</f>
        <v>#REF!</v>
      </c>
      <c r="BO84" s="39" t="e">
        <f>ROUNDUP((1-MIN(#REF!*smithy_bonus,smithy_bonus_cap) + tech_3_5*#REF! + tech_5_3*#REF! + tech_5_5*#REF!)*elite2_plat,0)</f>
        <v>#REF!</v>
      </c>
      <c r="BP84" s="39" t="e">
        <f>ROUNDUP(IF(race="Gnome",1,(1-MIN(#REF!*smithy_bonus,smithy_bonus_cap) + tech_3_5*#REF! + tech_5_3*#REF! + tech_5_5*#REF!))*elite2_ore,0)</f>
        <v>#REF!</v>
      </c>
      <c r="BQ84" s="39" t="e">
        <f>ROUNDUP((1-MIN(ROUND(fh_spy_cost_red*#REF!,4),fh_spy_cost_cap)+ tech_1_9*#REF! + tech_9_1*#REF!)*spy_plat,0)</f>
        <v>#REF!</v>
      </c>
      <c r="BR84" s="39" t="e">
        <f>ROUNDUP((1-MIN(ROUND(fh_spy_cost_red*#REF!,4),fh_spy_cost_cap)+ tech_1_9*#REF! + tech_9_1*#REF!)*archspy_plat,0)</f>
        <v>#REF!</v>
      </c>
      <c r="BS84" s="39" t="e">
        <f>ROUNDUP((1-MIN(ROUND(wg_wiz_cost_bonus*#REF!,4),wg_wiz_cost_cap) + tech_1_9_2*#REF! + tech_9_1_2*#REF!)*wizard_plat,0)</f>
        <v>#REF!</v>
      </c>
      <c r="BT84" s="39" t="e">
        <f>ROUNDUP((1-MIN(ROUND(wg_wiz_cost_bonus*#REF!,4),wg_wiz_cost_cap) + tech_1_9_2*#REF! + tech_9_1_2*#REF!)*archmage_plat,0)</f>
        <v>#REF!</v>
      </c>
      <c r="BU84" s="134"/>
      <c r="BV84" s="132" t="e">
        <f>#REF!/#REF!</f>
        <v>#REF!</v>
      </c>
      <c r="BW84" s="132" t="e">
        <f>#REF!</f>
        <v>#REF!</v>
      </c>
      <c r="BX84" s="241" t="e">
        <f>IF(mystic_cap="none",#REF!/mystic_bonus,MIN(mystic_cap,#REF!/mystic_bonus))</f>
        <v>#REF!</v>
      </c>
      <c r="BY84" s="241" t="e">
        <f>IF(druid_op_cap="none",#REF!/druid_op_bonus,MIN(druid_op_cap,#REF!/druid_op_bonus))</f>
        <v>#REF!</v>
      </c>
      <c r="BZ84" s="241" t="e">
        <f>IF(druid_dp_cap="none",#REF!/druid_dp_bonus,MIN(druid_dp_cap,#REF!/druid_dp_bonus))</f>
        <v>#REF!</v>
      </c>
      <c r="CA84" s="241" t="e">
        <f>MIN(dryad_cap,#REF!/dryad_bonus)</f>
        <v>#REF!</v>
      </c>
      <c r="CB84" s="241" t="e">
        <f>MIN(rocka_cap,#REF!/rocka_bonus)</f>
        <v>#REF!</v>
      </c>
      <c r="CC84" s="241" t="e">
        <f>MIN(adept_op_cap,#REF!/adept_op_bonus)</f>
        <v>#REF!</v>
      </c>
      <c r="CD84" s="241" t="e">
        <f>MIN(adept_dp_cap,#REF!/adept_dp_bonus)</f>
        <v>#REF!</v>
      </c>
      <c r="CE84" s="39" t="e">
        <f>MIN(#REF!,#REF!)*2</f>
        <v>#REF!</v>
      </c>
      <c r="CF84" s="39" t="e">
        <f>MIN(#REF!,#REF!)*2</f>
        <v>#REF!</v>
      </c>
      <c r="CG84" s="241" t="e">
        <f>MIN(frost_mage_cap,#REF!/frost_mage_bonus)</f>
        <v>#REF!</v>
      </c>
      <c r="CH84" s="3" t="e">
        <f>MIN(ice_elem_cap,#REF!*ice_elem_bonus)</f>
        <v>#REF!</v>
      </c>
      <c r="CI84" s="241">
        <f t="shared" si="3"/>
        <v>0.83333333333333337</v>
      </c>
      <c r="CJ84" s="241" t="e">
        <f>MIN(nox_nightshade_cap,#REF!/#REF!/nox_nightshade_swamp_bonus)</f>
        <v>#REF!</v>
      </c>
      <c r="CK84" s="242"/>
      <c r="CL84" s="242"/>
      <c r="CM84" s="242"/>
      <c r="CN84" s="241" t="e">
        <f>MIN(6,#REF!+Races!$F$19)*1.8 +  IF(#REF!+Races!$F$19&gt;6,(#REF!+Races!$F$19-6)*0.2,0) - Races!$I$19</f>
        <v>#REF!</v>
      </c>
      <c r="CO84" s="241" t="e">
        <f>1.8 * MIN(MAX(#REF!+Races!$E$20,#REF!+Races!$F$20),6)  +  0.45 * MIN(MIN(#REF!+Races!$E$20,#REF!+Races!$F$20),6)  +  0.2 * ( MAX(#REF!+Races!$E$20-6,0) + MAX(#REF!+Races!$F$20-6,0) )  -  Races!$I$20</f>
        <v>#REF!</v>
      </c>
      <c r="CP84" s="39" t="e">
        <f>#REF!*#REF!+#REF!*#REF!</f>
        <v>#REF!</v>
      </c>
      <c r="CQ84" s="145" t="e">
        <f>MIN(6,#REF!+Races!$F$35)*1.8 +  IF(#REF!+Races!$F$35&gt;6,(#REF!+Races!$F$35-6)*0.2,0) - Races!$I$19</f>
        <v>#REF!</v>
      </c>
      <c r="CR84" s="39" t="e">
        <f>sylvan*(#REF!*#REF!)</f>
        <v>#REF!</v>
      </c>
      <c r="CS84" s="145" t="e">
        <f>1.8 * MIN(MAX(Races!$E$27,#REF!+Races!$F$27),6)  +  0.45 * MIN(MIN(Races!$E$27,#REF!+Races!$F$27),6)  +  0.2 * ( MAX(Races!$E$27-6,0) + MAX(#REF!+Races!$F$27-6,0) )  -  Races!$I$20</f>
        <v>#REF!</v>
      </c>
      <c r="CT84" s="39" t="e">
        <f>gnome*(#REF!*#REF!)</f>
        <v>#REF!</v>
      </c>
      <c r="CU84" s="145" t="e">
        <f>1.8 * MIN(MAX(#REF!+Races!$E$47,#REF!+Races!$F$47),6)  +  0.45 * MIN(MIN(#REF!+Races!$E$47,#REF!+Races!$F$47),6)  +  0.2 * ( MAX(#REF!+Races!$E$47-6,0) + MAX(#REF!+Races!$F$47-6,0) )  -  Races!$I$47</f>
        <v>#REF!</v>
      </c>
      <c r="CV84" s="39" t="e">
        <f>dark_elf*(#REF!*#REF!)</f>
        <v>#REF!</v>
      </c>
      <c r="CW84" s="145" t="e">
        <f>1.8 * MIN(MAX(#REF!+Races!$F$71,Races!$E$71),6)  +  0.45 * MIN(MIN(#REF!+Races!$F$71,Races!$E$71),6)  +  0.2 * ( MAX(#REF!+Races!$F$71-6,0) + MAX(Races!$E$71-6,0) )  -  Races!$I$71</f>
        <v>#REF!</v>
      </c>
      <c r="CX84" s="145" t="e">
        <f>1.8 * MIN(MAX(#REF!+Races!$E$71,Races!$F$71),6)  +  0.45 * MIN(MIN(#REF!+Races!$E$71,Races!$F$71),6)  +  0.2 * ( MAX(#REF!+Races!$E$71-6,0) + MAX(Races!$F$71-6,0) )  -  Races!$I$71</f>
        <v>#REF!</v>
      </c>
      <c r="CY84" s="39" t="e">
        <f>#REF!*#REF!+#REF!*#REF!</f>
        <v>#REF!</v>
      </c>
      <c r="CZ84" s="243"/>
      <c r="DA84" s="135" t="e">
        <f>MIN(SUM(#REF!)/#REF!/favorable_terrain_bonus/100,favorable_terrain_max)</f>
        <v>#REF!</v>
      </c>
      <c r="DB84" s="243"/>
      <c r="DC84"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84" s="134"/>
      <c r="DE84" s="244" t="e">
        <f>(#REF!+2*#REF!)/#REF!</f>
        <v>#REF!</v>
      </c>
      <c r="DF84" s="244" t="e">
        <f>#REF!*(1+race_wizard_strength+IF(#REF!&gt;72,tech_magical_weaponry_wiz*#REF!,0))</f>
        <v>#REF!</v>
      </c>
    </row>
    <row r="85" spans="1:110" x14ac:dyDescent="0.25">
      <c r="A85" s="130" t="e">
        <f>#REF!</f>
        <v>#REF!</v>
      </c>
      <c r="B85" s="236" t="e">
        <f ca="1">SUM(#REF!)+SUM(OFFSET(#REF!,-8,0):#REF!) + SUM(OFFSET(#REF!,-11,0):#REF!) +#REF!</f>
        <v>#REF!</v>
      </c>
      <c r="C85" s="132" t="e">
        <f>#REF!</f>
        <v>#REF!</v>
      </c>
      <c r="D85" s="134"/>
      <c r="E85" s="3" t="e">
        <f ca="1">OFFSET(#REF!,-1,0) + OFFSET(#REF!,-9,0) -#REF!</f>
        <v>#REF!</v>
      </c>
      <c r="F85" s="3" t="e">
        <f ca="1">OFFSET(#REF!,-1,0) + OFFSET(#REF!,-9,0)-#REF!</f>
        <v>#REF!</v>
      </c>
      <c r="G85" s="3" t="e">
        <f ca="1">OFFSET(#REF!,-1,0) + OFFSET(#REF!,-12,0)-#REF!</f>
        <v>#REF!</v>
      </c>
      <c r="H85" s="3" t="e">
        <f ca="1">OFFSET(#REF!,-1,0) + OFFSET(#REF!,-12,0)-#REF!</f>
        <v>#REF!</v>
      </c>
      <c r="I85" s="3" t="e">
        <f ca="1">OFFSET(#REF!,-1,0) + OFFSET(#REF!,-12,0) -#REF!-#REF!</f>
        <v>#REF!</v>
      </c>
      <c r="J85" s="3" t="e">
        <f ca="1">OFFSET(#REF!,-1,0) + OFFSET(#REF!,-12,0) -#REF!</f>
        <v>#REF!</v>
      </c>
      <c r="K85" s="3" t="e">
        <f ca="1">OFFSET(#REF!,-1,0) + OFFSET(#REF!,-12,0) -#REF!-#REF!</f>
        <v>#REF!</v>
      </c>
      <c r="L85" s="3" t="e">
        <f ca="1">OFFSET(#REF!,-1,0) + OFFSET(#REF!,-12,0) -#REF!</f>
        <v>#REF!</v>
      </c>
      <c r="M85" s="134"/>
      <c r="N85" s="39" t="e">
        <f>#REF!</f>
        <v>#REF!</v>
      </c>
      <c r="O85" s="134"/>
      <c r="P85" s="237" t="e">
        <f>#REF!*spec_op+#REF!*(elite1_base_op)+#REF!*(elite2_base_op+dark_elf*#REF!+icekin*#REF!+woodie*#REF!+orc*#REF!)+kobold*#REF!</f>
        <v>#REF!</v>
      </c>
      <c r="Q85" s="132" t="e">
        <f>race_offense+#REF!+ROUND(MIN(gn_bonus*#REF!/#REF!,gn_bonus_cap),4)+MAX(IF(#REF!&gt;0,warsong_bonus),IF(#REF!&gt;0,howling_op_bonus),IF(#REF!&gt;0,nightfall_bonus),IF(#REF!&gt;0,#REF!)) +#REF!/ 100*prestige_offense_bonus + tech_5_4*#REF! + tech_7_4*#REF!</f>
        <v>#REF!</v>
      </c>
      <c r="R85" s="237" t="e">
        <f>#REF!*(1+#REF!)</f>
        <v>#REF!</v>
      </c>
      <c r="S85" s="237" t="e">
        <f>#REF!*spec_dp+#REF!*(elite1_base_dp+woodie*#REF!+sylvan*#REF!+gnome*#REF!+icekin*#REF!+nox*#REF!)+#REF!*(elite2_base_dp+woodie*#REF!) + fh_peas_dp*MIN(#REF!,20*#REF!)+kobold*#REF!</f>
        <v>#REF!</v>
      </c>
      <c r="T85" s="237" t="e">
        <f>#REF!+#REF!</f>
        <v>#REF!</v>
      </c>
      <c r="U85" s="238" t="e">
        <f>race_defense +#REF! + ROUND( MIN(gt_bonus*#REF!/#REF!,gt_bonus_cap), 4) + IF(#REF!&gt;0,howling_dp_bonus,IF(#REF!&gt;0,ares_call_bonus))</f>
        <v>#REF!</v>
      </c>
      <c r="V85" s="239" t="e">
        <f>#REF! * (1 +#REF!)</f>
        <v>#REF!</v>
      </c>
      <c r="W85" s="237" t="e">
        <f>#REF! * (1 +#REF!)</f>
        <v>#REF!</v>
      </c>
      <c r="X85" s="237" t="e">
        <f>#REF!</f>
        <v>#REF!</v>
      </c>
      <c r="Y85" s="240"/>
      <c r="Z85" s="135" t="e">
        <f ca="1">IF(#REF!&lt;&gt;"",#REF!,OFFSET(#REF!,-1,0))</f>
        <v>#REF!</v>
      </c>
      <c r="AA85" s="39" t="e">
        <f ca="1">OFFSET(#REF!,-1,0)+OFFSET(#REF!,-1,0) - SUM(#REF!,#REF!) -#REF! + SUM(#REF!) -#REF!</f>
        <v>#REF!</v>
      </c>
      <c r="AB85" s="133"/>
      <c r="AC85" s="132" t="e">
        <f>(#REF!+#REF!)/(#REF!-#REF!*20)</f>
        <v>#REF!</v>
      </c>
      <c r="AD85" s="130"/>
      <c r="AE85" s="236" t="e">
        <f>#REF!</f>
        <v>#REF!</v>
      </c>
      <c r="AF85" s="131" t="e">
        <f>#REF!</f>
        <v>#REF!</v>
      </c>
      <c r="AG85" s="164"/>
      <c r="AH85" s="164"/>
      <c r="AI85" s="164"/>
      <c r="AJ85" s="164"/>
      <c r="AK85" s="164"/>
      <c r="AL85" s="164"/>
      <c r="AM85" s="164"/>
      <c r="AN85" s="164"/>
      <c r="AO85" s="134"/>
      <c r="AP85" s="39" t="e">
        <f>#REF!</f>
        <v>#REF!</v>
      </c>
      <c r="AQ85" s="39" t="e">
        <f>INDEX(#REF!:#REF!,COUNTA(#REF!:#REF!),MATCH(Military!$AQ$2,#REF!,0))</f>
        <v>#REF!</v>
      </c>
      <c r="AR85" s="39" t="e">
        <f>#REF!*#REF!+#REF!*#REF!+#REF!*#REF!+#REF!*#REF!+#REF!*#REF!+#REF!*#REF!+#REF!*#REF!</f>
        <v>#REF!</v>
      </c>
      <c r="AS85" s="39" t="e">
        <f>#REF!*#REF!+#REF!*#REF!+#REF!*#REF!+#REF!*#REF!</f>
        <v>#REF!</v>
      </c>
      <c r="AT85" s="134" t="e">
        <f>#REF!</f>
        <v>#REF!</v>
      </c>
      <c r="AU85" s="143" t="e">
        <f>#REF!</f>
        <v>#REF!</v>
      </c>
      <c r="AV85" s="39" t="e">
        <f>#REF!</f>
        <v>#REF!</v>
      </c>
      <c r="AW85" s="146"/>
      <c r="AX85" s="164"/>
      <c r="AY85" s="164"/>
      <c r="AZ85" s="164"/>
      <c r="BA85" s="164"/>
      <c r="BB85" s="164"/>
      <c r="BC85" s="164"/>
      <c r="BD85" s="164"/>
      <c r="BE85" s="164"/>
      <c r="BF85" s="134"/>
      <c r="BG85" s="132" t="e">
        <f>#REF!/#REF!</f>
        <v>#REF!</v>
      </c>
      <c r="BH85" s="132" t="e">
        <f>#REF!/#REF!</f>
        <v>#REF!</v>
      </c>
      <c r="BI85" s="39" t="e">
        <f>ROUNDUP((1-MIN(#REF!*smithy_bonus,smithy_bonus_cap) + tech_3_5*#REF! + tech_5_3*#REF! + tech_5_5*#REF!)*spec_op_plat,0)</f>
        <v>#REF!</v>
      </c>
      <c r="BJ85" s="39" t="e">
        <f>ROUNDUP(IF(race="Gnome",1,(1-MIN(#REF!*smithy_bonus,smithy_bonus_cap) + tech_3_5*#REF! + tech_5_3*#REF! + tech_5_5*#REF!))*spec_op_ore,0)</f>
        <v>#REF!</v>
      </c>
      <c r="BK85" s="39" t="e">
        <f>ROUNDUP((1-MIN(#REF!*smithy_bonus,smithy_bonus_cap) + tech_3_5*#REF! + tech_5_3*#REF! + tech_5_5*#REF!)*spec_dp_plat,0)</f>
        <v>#REF!</v>
      </c>
      <c r="BL85" s="39" t="e">
        <f>ROUNDUP(IF(race="Gnome",1,(1-MIN(#REF!*smithy_bonus,smithy_bonus_cap) + tech_3_5*#REF! + tech_5_3*#REF! + tech_5_5*#REF!))*spec_dp_ore,0)</f>
        <v>#REF!</v>
      </c>
      <c r="BM85" s="39" t="e">
        <f>ROUNDUP((1-MIN(#REF!*smithy_bonus,smithy_bonus_cap) + tech_3_5*#REF! + tech_5_3*#REF! + tech_5_5*#REF!)*elite1_plat,0)</f>
        <v>#REF!</v>
      </c>
      <c r="BN85" s="39" t="e">
        <f>ROUNDUP(IF(race="Gnome",1,(1-MIN(#REF!*smithy_bonus,smithy_bonus_cap) + tech_3_5*#REF! + tech_5_3*#REF! + tech_5_5*#REF!))*elite1_ore,0)</f>
        <v>#REF!</v>
      </c>
      <c r="BO85" s="39" t="e">
        <f>ROUNDUP((1-MIN(#REF!*smithy_bonus,smithy_bonus_cap) + tech_3_5*#REF! + tech_5_3*#REF! + tech_5_5*#REF!)*elite2_plat,0)</f>
        <v>#REF!</v>
      </c>
      <c r="BP85" s="39" t="e">
        <f>ROUNDUP(IF(race="Gnome",1,(1-MIN(#REF!*smithy_bonus,smithy_bonus_cap) + tech_3_5*#REF! + tech_5_3*#REF! + tech_5_5*#REF!))*elite2_ore,0)</f>
        <v>#REF!</v>
      </c>
      <c r="BQ85" s="39" t="e">
        <f>ROUNDUP((1-MIN(ROUND(fh_spy_cost_red*#REF!,4),fh_spy_cost_cap)+ tech_1_9*#REF! + tech_9_1*#REF!)*spy_plat,0)</f>
        <v>#REF!</v>
      </c>
      <c r="BR85" s="39" t="e">
        <f>ROUNDUP((1-MIN(ROUND(fh_spy_cost_red*#REF!,4),fh_spy_cost_cap)+ tech_1_9*#REF! + tech_9_1*#REF!)*archspy_plat,0)</f>
        <v>#REF!</v>
      </c>
      <c r="BS85" s="39" t="e">
        <f>ROUNDUP((1-MIN(ROUND(wg_wiz_cost_bonus*#REF!,4),wg_wiz_cost_cap) + tech_1_9_2*#REF! + tech_9_1_2*#REF!)*wizard_plat,0)</f>
        <v>#REF!</v>
      </c>
      <c r="BT85" s="39" t="e">
        <f>ROUNDUP((1-MIN(ROUND(wg_wiz_cost_bonus*#REF!,4),wg_wiz_cost_cap) + tech_1_9_2*#REF! + tech_9_1_2*#REF!)*archmage_plat,0)</f>
        <v>#REF!</v>
      </c>
      <c r="BU85" s="134"/>
      <c r="BV85" s="132" t="e">
        <f>#REF!/#REF!</f>
        <v>#REF!</v>
      </c>
      <c r="BW85" s="132" t="e">
        <f>#REF!</f>
        <v>#REF!</v>
      </c>
      <c r="BX85" s="241" t="e">
        <f>IF(mystic_cap="none",#REF!/mystic_bonus,MIN(mystic_cap,#REF!/mystic_bonus))</f>
        <v>#REF!</v>
      </c>
      <c r="BY85" s="241" t="e">
        <f>IF(druid_op_cap="none",#REF!/druid_op_bonus,MIN(druid_op_cap,#REF!/druid_op_bonus))</f>
        <v>#REF!</v>
      </c>
      <c r="BZ85" s="241" t="e">
        <f>IF(druid_dp_cap="none",#REF!/druid_dp_bonus,MIN(druid_dp_cap,#REF!/druid_dp_bonus))</f>
        <v>#REF!</v>
      </c>
      <c r="CA85" s="241" t="e">
        <f>MIN(dryad_cap,#REF!/dryad_bonus)</f>
        <v>#REF!</v>
      </c>
      <c r="CB85" s="241" t="e">
        <f>MIN(rocka_cap,#REF!/rocka_bonus)</f>
        <v>#REF!</v>
      </c>
      <c r="CC85" s="241" t="e">
        <f>MIN(adept_op_cap,#REF!/adept_op_bonus)</f>
        <v>#REF!</v>
      </c>
      <c r="CD85" s="241" t="e">
        <f>MIN(adept_dp_cap,#REF!/adept_dp_bonus)</f>
        <v>#REF!</v>
      </c>
      <c r="CE85" s="39" t="e">
        <f>MIN(#REF!,#REF!)*2</f>
        <v>#REF!</v>
      </c>
      <c r="CF85" s="39" t="e">
        <f>MIN(#REF!,#REF!)*2</f>
        <v>#REF!</v>
      </c>
      <c r="CG85" s="241" t="e">
        <f>MIN(frost_mage_cap,#REF!/frost_mage_bonus)</f>
        <v>#REF!</v>
      </c>
      <c r="CH85" s="3" t="e">
        <f>MIN(ice_elem_cap,#REF!*ice_elem_bonus)</f>
        <v>#REF!</v>
      </c>
      <c r="CI85" s="241">
        <f t="shared" si="3"/>
        <v>0.83333333333333337</v>
      </c>
      <c r="CJ85" s="241" t="e">
        <f>MIN(nox_nightshade_cap,#REF!/#REF!/nox_nightshade_swamp_bonus)</f>
        <v>#REF!</v>
      </c>
      <c r="CK85" s="242"/>
      <c r="CL85" s="242"/>
      <c r="CM85" s="242"/>
      <c r="CN85" s="241" t="e">
        <f>MIN(6,#REF!+Races!$F$19)*1.8 +  IF(#REF!+Races!$F$19&gt;6,(#REF!+Races!$F$19-6)*0.2,0) - Races!$I$19</f>
        <v>#REF!</v>
      </c>
      <c r="CO85" s="241" t="e">
        <f>1.8 * MIN(MAX(#REF!+Races!$E$20,#REF!+Races!$F$20),6)  +  0.45 * MIN(MIN(#REF!+Races!$E$20,#REF!+Races!$F$20),6)  +  0.2 * ( MAX(#REF!+Races!$E$20-6,0) + MAX(#REF!+Races!$F$20-6,0) )  -  Races!$I$20</f>
        <v>#REF!</v>
      </c>
      <c r="CP85" s="39" t="e">
        <f>#REF!*#REF!+#REF!*#REF!</f>
        <v>#REF!</v>
      </c>
      <c r="CQ85" s="145" t="e">
        <f>MIN(6,#REF!+Races!$F$35)*1.8 +  IF(#REF!+Races!$F$35&gt;6,(#REF!+Races!$F$35-6)*0.2,0) - Races!$I$19</f>
        <v>#REF!</v>
      </c>
      <c r="CR85" s="39" t="e">
        <f>sylvan*(#REF!*#REF!)</f>
        <v>#REF!</v>
      </c>
      <c r="CS85" s="145" t="e">
        <f>1.8 * MIN(MAX(Races!$E$27,#REF!+Races!$F$27),6)  +  0.45 * MIN(MIN(Races!$E$27,#REF!+Races!$F$27),6)  +  0.2 * ( MAX(Races!$E$27-6,0) + MAX(#REF!+Races!$F$27-6,0) )  -  Races!$I$20</f>
        <v>#REF!</v>
      </c>
      <c r="CT85" s="39" t="e">
        <f>gnome*(#REF!*#REF!)</f>
        <v>#REF!</v>
      </c>
      <c r="CU85" s="145" t="e">
        <f>1.8 * MIN(MAX(#REF!+Races!$E$47,#REF!+Races!$F$47),6)  +  0.45 * MIN(MIN(#REF!+Races!$E$47,#REF!+Races!$F$47),6)  +  0.2 * ( MAX(#REF!+Races!$E$47-6,0) + MAX(#REF!+Races!$F$47-6,0) )  -  Races!$I$47</f>
        <v>#REF!</v>
      </c>
      <c r="CV85" s="39" t="e">
        <f>dark_elf*(#REF!*#REF!)</f>
        <v>#REF!</v>
      </c>
      <c r="CW85" s="145" t="e">
        <f>1.8 * MIN(MAX(#REF!+Races!$F$71,Races!$E$71),6)  +  0.45 * MIN(MIN(#REF!+Races!$F$71,Races!$E$71),6)  +  0.2 * ( MAX(#REF!+Races!$F$71-6,0) + MAX(Races!$E$71-6,0) )  -  Races!$I$71</f>
        <v>#REF!</v>
      </c>
      <c r="CX85" s="145" t="e">
        <f>1.8 * MIN(MAX(#REF!+Races!$E$71,Races!$F$71),6)  +  0.45 * MIN(MIN(#REF!+Races!$E$71,Races!$F$71),6)  +  0.2 * ( MAX(#REF!+Races!$E$71-6,0) + MAX(Races!$F$71-6,0) )  -  Races!$I$71</f>
        <v>#REF!</v>
      </c>
      <c r="CY85" s="39" t="e">
        <f>#REF!*#REF!+#REF!*#REF!</f>
        <v>#REF!</v>
      </c>
      <c r="CZ85" s="243"/>
      <c r="DA85" s="135" t="e">
        <f>MIN(SUM(#REF!)/#REF!/favorable_terrain_bonus/100,favorable_terrain_max)</f>
        <v>#REF!</v>
      </c>
      <c r="DB85" s="243"/>
      <c r="DC85"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85" s="134"/>
      <c r="DE85" s="244" t="e">
        <f>(#REF!+2*#REF!)/#REF!</f>
        <v>#REF!</v>
      </c>
      <c r="DF85" s="244" t="e">
        <f>#REF!*(1+race_wizard_strength+IF(#REF!&gt;72,tech_magical_weaponry_wiz*#REF!,0))</f>
        <v>#REF!</v>
      </c>
    </row>
    <row r="86" spans="1:110" x14ac:dyDescent="0.25">
      <c r="A86" s="130" t="e">
        <f>#REF!</f>
        <v>#REF!</v>
      </c>
      <c r="B86" s="236" t="e">
        <f ca="1">SUM(#REF!)+SUM(OFFSET(#REF!,-8,0):#REF!) + SUM(OFFSET(#REF!,-11,0):#REF!) +#REF!</f>
        <v>#REF!</v>
      </c>
      <c r="C86" s="132" t="e">
        <f>#REF!</f>
        <v>#REF!</v>
      </c>
      <c r="D86" s="134"/>
      <c r="E86" s="3" t="e">
        <f ca="1">OFFSET(#REF!,-1,0) + OFFSET(#REF!,-9,0) -#REF!</f>
        <v>#REF!</v>
      </c>
      <c r="F86" s="3" t="e">
        <f ca="1">OFFSET(#REF!,-1,0) + OFFSET(#REF!,-9,0)-#REF!</f>
        <v>#REF!</v>
      </c>
      <c r="G86" s="3" t="e">
        <f ca="1">OFFSET(#REF!,-1,0) + OFFSET(#REF!,-12,0)-#REF!</f>
        <v>#REF!</v>
      </c>
      <c r="H86" s="3" t="e">
        <f ca="1">OFFSET(#REF!,-1,0) + OFFSET(#REF!,-12,0)-#REF!</f>
        <v>#REF!</v>
      </c>
      <c r="I86" s="3" t="e">
        <f ca="1">OFFSET(#REF!,-1,0) + OFFSET(#REF!,-12,0) -#REF!-#REF!</f>
        <v>#REF!</v>
      </c>
      <c r="J86" s="3" t="e">
        <f ca="1">OFFSET(#REF!,-1,0) + OFFSET(#REF!,-12,0) -#REF!</f>
        <v>#REF!</v>
      </c>
      <c r="K86" s="3" t="e">
        <f ca="1">OFFSET(#REF!,-1,0) + OFFSET(#REF!,-12,0) -#REF!-#REF!</f>
        <v>#REF!</v>
      </c>
      <c r="L86" s="3" t="e">
        <f ca="1">OFFSET(#REF!,-1,0) + OFFSET(#REF!,-12,0) -#REF!</f>
        <v>#REF!</v>
      </c>
      <c r="M86" s="134"/>
      <c r="N86" s="39" t="e">
        <f>#REF!</f>
        <v>#REF!</v>
      </c>
      <c r="O86" s="134"/>
      <c r="P86" s="237" t="e">
        <f>#REF!*spec_op+#REF!*(elite1_base_op)+#REF!*(elite2_base_op+dark_elf*#REF!+icekin*#REF!+woodie*#REF!+orc*#REF!)+kobold*#REF!</f>
        <v>#REF!</v>
      </c>
      <c r="Q86" s="132" t="e">
        <f>race_offense+#REF!+ROUND(MIN(gn_bonus*#REF!/#REF!,gn_bonus_cap),4)+MAX(IF(#REF!&gt;0,warsong_bonus),IF(#REF!&gt;0,howling_op_bonus),IF(#REF!&gt;0,nightfall_bonus),IF(#REF!&gt;0,#REF!)) +#REF!/ 100*prestige_offense_bonus + tech_5_4*#REF! + tech_7_4*#REF!</f>
        <v>#REF!</v>
      </c>
      <c r="R86" s="237" t="e">
        <f>#REF!*(1+#REF!)</f>
        <v>#REF!</v>
      </c>
      <c r="S86" s="237" t="e">
        <f>#REF!*spec_dp+#REF!*(elite1_base_dp+woodie*#REF!+sylvan*#REF!+gnome*#REF!+icekin*#REF!+nox*#REF!)+#REF!*(elite2_base_dp+woodie*#REF!) + fh_peas_dp*MIN(#REF!,20*#REF!)+kobold*#REF!</f>
        <v>#REF!</v>
      </c>
      <c r="T86" s="237" t="e">
        <f>#REF!+#REF!</f>
        <v>#REF!</v>
      </c>
      <c r="U86" s="238" t="e">
        <f>race_defense +#REF! + ROUND( MIN(gt_bonus*#REF!/#REF!,gt_bonus_cap), 4) + IF(#REF!&gt;0,howling_dp_bonus,IF(#REF!&gt;0,ares_call_bonus))</f>
        <v>#REF!</v>
      </c>
      <c r="V86" s="239" t="e">
        <f>#REF! * (1 +#REF!)</f>
        <v>#REF!</v>
      </c>
      <c r="W86" s="237" t="e">
        <f>#REF! * (1 +#REF!)</f>
        <v>#REF!</v>
      </c>
      <c r="X86" s="237" t="e">
        <f>#REF!</f>
        <v>#REF!</v>
      </c>
      <c r="Y86" s="240"/>
      <c r="Z86" s="135" t="e">
        <f ca="1">IF(#REF!&lt;&gt;"",#REF!,OFFSET(#REF!,-1,0))</f>
        <v>#REF!</v>
      </c>
      <c r="AA86" s="39" t="e">
        <f ca="1">OFFSET(#REF!,-1,0)+OFFSET(#REF!,-1,0) - SUM(#REF!,#REF!) -#REF! + SUM(#REF!) -#REF!</f>
        <v>#REF!</v>
      </c>
      <c r="AB86" s="133"/>
      <c r="AC86" s="132" t="e">
        <f>(#REF!+#REF!)/(#REF!-#REF!*20)</f>
        <v>#REF!</v>
      </c>
      <c r="AD86" s="130"/>
      <c r="AE86" s="236" t="e">
        <f>#REF!</f>
        <v>#REF!</v>
      </c>
      <c r="AF86" s="131" t="e">
        <f>#REF!</f>
        <v>#REF!</v>
      </c>
      <c r="AG86" s="164"/>
      <c r="AH86" s="164"/>
      <c r="AI86" s="164"/>
      <c r="AJ86" s="164"/>
      <c r="AK86" s="164"/>
      <c r="AL86" s="164"/>
      <c r="AM86" s="164"/>
      <c r="AN86" s="164"/>
      <c r="AO86" s="134"/>
      <c r="AP86" s="39" t="e">
        <f>#REF!</f>
        <v>#REF!</v>
      </c>
      <c r="AQ86" s="39" t="e">
        <f>INDEX(#REF!:#REF!,COUNTA(#REF!:#REF!),MATCH(Military!$AQ$2,#REF!,0))</f>
        <v>#REF!</v>
      </c>
      <c r="AR86" s="39" t="e">
        <f>#REF!*#REF!+#REF!*#REF!+#REF!*#REF!+#REF!*#REF!+#REF!*#REF!+#REF!*#REF!+#REF!*#REF!</f>
        <v>#REF!</v>
      </c>
      <c r="AS86" s="39" t="e">
        <f>#REF!*#REF!+#REF!*#REF!+#REF!*#REF!+#REF!*#REF!</f>
        <v>#REF!</v>
      </c>
      <c r="AT86" s="134" t="e">
        <f>#REF!</f>
        <v>#REF!</v>
      </c>
      <c r="AU86" s="143" t="e">
        <f>#REF!</f>
        <v>#REF!</v>
      </c>
      <c r="AV86" s="39" t="e">
        <f>#REF!</f>
        <v>#REF!</v>
      </c>
      <c r="AW86" s="146"/>
      <c r="AX86" s="164"/>
      <c r="AY86" s="164"/>
      <c r="AZ86" s="164"/>
      <c r="BA86" s="164"/>
      <c r="BB86" s="164"/>
      <c r="BC86" s="164"/>
      <c r="BD86" s="164"/>
      <c r="BE86" s="164"/>
      <c r="BF86" s="134"/>
      <c r="BG86" s="132" t="e">
        <f>#REF!/#REF!</f>
        <v>#REF!</v>
      </c>
      <c r="BH86" s="132" t="e">
        <f>#REF!/#REF!</f>
        <v>#REF!</v>
      </c>
      <c r="BI86" s="39" t="e">
        <f>ROUNDUP((1-MIN(#REF!*smithy_bonus,smithy_bonus_cap) + tech_3_5*#REF! + tech_5_3*#REF! + tech_5_5*#REF!)*spec_op_plat,0)</f>
        <v>#REF!</v>
      </c>
      <c r="BJ86" s="39" t="e">
        <f>ROUNDUP(IF(race="Gnome",1,(1-MIN(#REF!*smithy_bonus,smithy_bonus_cap) + tech_3_5*#REF! + tech_5_3*#REF! + tech_5_5*#REF!))*spec_op_ore,0)</f>
        <v>#REF!</v>
      </c>
      <c r="BK86" s="39" t="e">
        <f>ROUNDUP((1-MIN(#REF!*smithy_bonus,smithy_bonus_cap) + tech_3_5*#REF! + tech_5_3*#REF! + tech_5_5*#REF!)*spec_dp_plat,0)</f>
        <v>#REF!</v>
      </c>
      <c r="BL86" s="39" t="e">
        <f>ROUNDUP(IF(race="Gnome",1,(1-MIN(#REF!*smithy_bonus,smithy_bonus_cap) + tech_3_5*#REF! + tech_5_3*#REF! + tech_5_5*#REF!))*spec_dp_ore,0)</f>
        <v>#REF!</v>
      </c>
      <c r="BM86" s="39" t="e">
        <f>ROUNDUP((1-MIN(#REF!*smithy_bonus,smithy_bonus_cap) + tech_3_5*#REF! + tech_5_3*#REF! + tech_5_5*#REF!)*elite1_plat,0)</f>
        <v>#REF!</v>
      </c>
      <c r="BN86" s="39" t="e">
        <f>ROUNDUP(IF(race="Gnome",1,(1-MIN(#REF!*smithy_bonus,smithy_bonus_cap) + tech_3_5*#REF! + tech_5_3*#REF! + tech_5_5*#REF!))*elite1_ore,0)</f>
        <v>#REF!</v>
      </c>
      <c r="BO86" s="39" t="e">
        <f>ROUNDUP((1-MIN(#REF!*smithy_bonus,smithy_bonus_cap) + tech_3_5*#REF! + tech_5_3*#REF! + tech_5_5*#REF!)*elite2_plat,0)</f>
        <v>#REF!</v>
      </c>
      <c r="BP86" s="39" t="e">
        <f>ROUNDUP(IF(race="Gnome",1,(1-MIN(#REF!*smithy_bonus,smithy_bonus_cap) + tech_3_5*#REF! + tech_5_3*#REF! + tech_5_5*#REF!))*elite2_ore,0)</f>
        <v>#REF!</v>
      </c>
      <c r="BQ86" s="39" t="e">
        <f>ROUNDUP((1-MIN(ROUND(fh_spy_cost_red*#REF!,4),fh_spy_cost_cap)+ tech_1_9*#REF! + tech_9_1*#REF!)*spy_plat,0)</f>
        <v>#REF!</v>
      </c>
      <c r="BR86" s="39" t="e">
        <f>ROUNDUP((1-MIN(ROUND(fh_spy_cost_red*#REF!,4),fh_spy_cost_cap)+ tech_1_9*#REF! + tech_9_1*#REF!)*archspy_plat,0)</f>
        <v>#REF!</v>
      </c>
      <c r="BS86" s="39" t="e">
        <f>ROUNDUP((1-MIN(ROUND(wg_wiz_cost_bonus*#REF!,4),wg_wiz_cost_cap) + tech_1_9_2*#REF! + tech_9_1_2*#REF!)*wizard_plat,0)</f>
        <v>#REF!</v>
      </c>
      <c r="BT86" s="39" t="e">
        <f>ROUNDUP((1-MIN(ROUND(wg_wiz_cost_bonus*#REF!,4),wg_wiz_cost_cap) + tech_1_9_2*#REF! + tech_9_1_2*#REF!)*archmage_plat,0)</f>
        <v>#REF!</v>
      </c>
      <c r="BU86" s="134"/>
      <c r="BV86" s="132" t="e">
        <f>#REF!/#REF!</f>
        <v>#REF!</v>
      </c>
      <c r="BW86" s="132" t="e">
        <f>#REF!</f>
        <v>#REF!</v>
      </c>
      <c r="BX86" s="241" t="e">
        <f>IF(mystic_cap="none",#REF!/mystic_bonus,MIN(mystic_cap,#REF!/mystic_bonus))</f>
        <v>#REF!</v>
      </c>
      <c r="BY86" s="241" t="e">
        <f>IF(druid_op_cap="none",#REF!/druid_op_bonus,MIN(druid_op_cap,#REF!/druid_op_bonus))</f>
        <v>#REF!</v>
      </c>
      <c r="BZ86" s="241" t="e">
        <f>IF(druid_dp_cap="none",#REF!/druid_dp_bonus,MIN(druid_dp_cap,#REF!/druid_dp_bonus))</f>
        <v>#REF!</v>
      </c>
      <c r="CA86" s="241" t="e">
        <f>MIN(dryad_cap,#REF!/dryad_bonus)</f>
        <v>#REF!</v>
      </c>
      <c r="CB86" s="241" t="e">
        <f>MIN(rocka_cap,#REF!/rocka_bonus)</f>
        <v>#REF!</v>
      </c>
      <c r="CC86" s="241" t="e">
        <f>MIN(adept_op_cap,#REF!/adept_op_bonus)</f>
        <v>#REF!</v>
      </c>
      <c r="CD86" s="241" t="e">
        <f>MIN(adept_dp_cap,#REF!/adept_dp_bonus)</f>
        <v>#REF!</v>
      </c>
      <c r="CE86" s="39" t="e">
        <f>MIN(#REF!,#REF!)*2</f>
        <v>#REF!</v>
      </c>
      <c r="CF86" s="39" t="e">
        <f>MIN(#REF!,#REF!)*2</f>
        <v>#REF!</v>
      </c>
      <c r="CG86" s="241" t="e">
        <f>MIN(frost_mage_cap,#REF!/frost_mage_bonus)</f>
        <v>#REF!</v>
      </c>
      <c r="CH86" s="3" t="e">
        <f>MIN(ice_elem_cap,#REF!*ice_elem_bonus)</f>
        <v>#REF!</v>
      </c>
      <c r="CI86" s="241">
        <f t="shared" si="3"/>
        <v>0.83333333333333337</v>
      </c>
      <c r="CJ86" s="241" t="e">
        <f>MIN(nox_nightshade_cap,#REF!/#REF!/nox_nightshade_swamp_bonus)</f>
        <v>#REF!</v>
      </c>
      <c r="CK86" s="242"/>
      <c r="CL86" s="242"/>
      <c r="CM86" s="242"/>
      <c r="CN86" s="241" t="e">
        <f>MIN(6,#REF!+Races!$F$19)*1.8 +  IF(#REF!+Races!$F$19&gt;6,(#REF!+Races!$F$19-6)*0.2,0) - Races!$I$19</f>
        <v>#REF!</v>
      </c>
      <c r="CO86" s="241" t="e">
        <f>1.8 * MIN(MAX(#REF!+Races!$E$20,#REF!+Races!$F$20),6)  +  0.45 * MIN(MIN(#REF!+Races!$E$20,#REF!+Races!$F$20),6)  +  0.2 * ( MAX(#REF!+Races!$E$20-6,0) + MAX(#REF!+Races!$F$20-6,0) )  -  Races!$I$20</f>
        <v>#REF!</v>
      </c>
      <c r="CP86" s="39" t="e">
        <f>#REF!*#REF!+#REF!*#REF!</f>
        <v>#REF!</v>
      </c>
      <c r="CQ86" s="145" t="e">
        <f>MIN(6,#REF!+Races!$F$35)*1.8 +  IF(#REF!+Races!$F$35&gt;6,(#REF!+Races!$F$35-6)*0.2,0) - Races!$I$19</f>
        <v>#REF!</v>
      </c>
      <c r="CR86" s="39" t="e">
        <f>sylvan*(#REF!*#REF!)</f>
        <v>#REF!</v>
      </c>
      <c r="CS86" s="145" t="e">
        <f>1.8 * MIN(MAX(Races!$E$27,#REF!+Races!$F$27),6)  +  0.45 * MIN(MIN(Races!$E$27,#REF!+Races!$F$27),6)  +  0.2 * ( MAX(Races!$E$27-6,0) + MAX(#REF!+Races!$F$27-6,0) )  -  Races!$I$20</f>
        <v>#REF!</v>
      </c>
      <c r="CT86" s="39" t="e">
        <f>gnome*(#REF!*#REF!)</f>
        <v>#REF!</v>
      </c>
      <c r="CU86" s="145" t="e">
        <f>1.8 * MIN(MAX(#REF!+Races!$E$47,#REF!+Races!$F$47),6)  +  0.45 * MIN(MIN(#REF!+Races!$E$47,#REF!+Races!$F$47),6)  +  0.2 * ( MAX(#REF!+Races!$E$47-6,0) + MAX(#REF!+Races!$F$47-6,0) )  -  Races!$I$47</f>
        <v>#REF!</v>
      </c>
      <c r="CV86" s="39" t="e">
        <f>dark_elf*(#REF!*#REF!)</f>
        <v>#REF!</v>
      </c>
      <c r="CW86" s="145" t="e">
        <f>1.8 * MIN(MAX(#REF!+Races!$F$71,Races!$E$71),6)  +  0.45 * MIN(MIN(#REF!+Races!$F$71,Races!$E$71),6)  +  0.2 * ( MAX(#REF!+Races!$F$71-6,0) + MAX(Races!$E$71-6,0) )  -  Races!$I$71</f>
        <v>#REF!</v>
      </c>
      <c r="CX86" s="145" t="e">
        <f>1.8 * MIN(MAX(#REF!+Races!$E$71,Races!$F$71),6)  +  0.45 * MIN(MIN(#REF!+Races!$E$71,Races!$F$71),6)  +  0.2 * ( MAX(#REF!+Races!$E$71-6,0) + MAX(Races!$F$71-6,0) )  -  Races!$I$71</f>
        <v>#REF!</v>
      </c>
      <c r="CY86" s="39" t="e">
        <f>#REF!*#REF!+#REF!*#REF!</f>
        <v>#REF!</v>
      </c>
      <c r="CZ86" s="243"/>
      <c r="DA86" s="135" t="e">
        <f>MIN(SUM(#REF!)/#REF!/favorable_terrain_bonus/100,favorable_terrain_max)</f>
        <v>#REF!</v>
      </c>
      <c r="DB86" s="243"/>
      <c r="DC86"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86" s="134"/>
      <c r="DE86" s="244" t="e">
        <f>(#REF!+2*#REF!)/#REF!</f>
        <v>#REF!</v>
      </c>
      <c r="DF86" s="244" t="e">
        <f>#REF!*(1+race_wizard_strength+IF(#REF!&gt;72,tech_magical_weaponry_wiz*#REF!,0))</f>
        <v>#REF!</v>
      </c>
    </row>
    <row r="87" spans="1:110" x14ac:dyDescent="0.25">
      <c r="A87" s="130" t="e">
        <f>#REF!</f>
        <v>#REF!</v>
      </c>
      <c r="B87" s="236" t="e">
        <f ca="1">SUM(#REF!)+SUM(OFFSET(#REF!,-8,0):#REF!) + SUM(OFFSET(#REF!,-11,0):#REF!) +#REF!</f>
        <v>#REF!</v>
      </c>
      <c r="C87" s="132" t="e">
        <f>#REF!</f>
        <v>#REF!</v>
      </c>
      <c r="D87" s="134"/>
      <c r="E87" s="3" t="e">
        <f ca="1">OFFSET(#REF!,-1,0) + OFFSET(#REF!,-9,0) -#REF!</f>
        <v>#REF!</v>
      </c>
      <c r="F87" s="3" t="e">
        <f ca="1">OFFSET(#REF!,-1,0) + OFFSET(#REF!,-9,0)-#REF!</f>
        <v>#REF!</v>
      </c>
      <c r="G87" s="3" t="e">
        <f ca="1">OFFSET(#REF!,-1,0) + OFFSET(#REF!,-12,0)-#REF!</f>
        <v>#REF!</v>
      </c>
      <c r="H87" s="3" t="e">
        <f ca="1">OFFSET(#REF!,-1,0) + OFFSET(#REF!,-12,0)-#REF!</f>
        <v>#REF!</v>
      </c>
      <c r="I87" s="3" t="e">
        <f ca="1">OFFSET(#REF!,-1,0) + OFFSET(#REF!,-12,0) -#REF!-#REF!</f>
        <v>#REF!</v>
      </c>
      <c r="J87" s="3" t="e">
        <f ca="1">OFFSET(#REF!,-1,0) + OFFSET(#REF!,-12,0) -#REF!</f>
        <v>#REF!</v>
      </c>
      <c r="K87" s="3" t="e">
        <f ca="1">OFFSET(#REF!,-1,0) + OFFSET(#REF!,-12,0) -#REF!-#REF!</f>
        <v>#REF!</v>
      </c>
      <c r="L87" s="3" t="e">
        <f ca="1">OFFSET(#REF!,-1,0) + OFFSET(#REF!,-12,0) -#REF!</f>
        <v>#REF!</v>
      </c>
      <c r="M87" s="134"/>
      <c r="N87" s="39" t="e">
        <f>#REF!</f>
        <v>#REF!</v>
      </c>
      <c r="O87" s="134"/>
      <c r="P87" s="237" t="e">
        <f>#REF!*spec_op+#REF!*(elite1_base_op)+#REF!*(elite2_base_op+dark_elf*#REF!+icekin*#REF!+woodie*#REF!+orc*#REF!)+kobold*#REF!</f>
        <v>#REF!</v>
      </c>
      <c r="Q87" s="132" t="e">
        <f>race_offense+#REF!+ROUND(MIN(gn_bonus*#REF!/#REF!,gn_bonus_cap),4)+MAX(IF(#REF!&gt;0,warsong_bonus),IF(#REF!&gt;0,howling_op_bonus),IF(#REF!&gt;0,nightfall_bonus),IF(#REF!&gt;0,#REF!)) +#REF!/ 100*prestige_offense_bonus + tech_5_4*#REF! + tech_7_4*#REF!</f>
        <v>#REF!</v>
      </c>
      <c r="R87" s="237" t="e">
        <f>#REF!*(1+#REF!)</f>
        <v>#REF!</v>
      </c>
      <c r="S87" s="237" t="e">
        <f>#REF!*spec_dp+#REF!*(elite1_base_dp+woodie*#REF!+sylvan*#REF!+gnome*#REF!+icekin*#REF!+nox*#REF!)+#REF!*(elite2_base_dp+woodie*#REF!) + fh_peas_dp*MIN(#REF!,20*#REF!)+kobold*#REF!</f>
        <v>#REF!</v>
      </c>
      <c r="T87" s="237" t="e">
        <f>#REF!+#REF!</f>
        <v>#REF!</v>
      </c>
      <c r="U87" s="238" t="e">
        <f>race_defense +#REF! + ROUND( MIN(gt_bonus*#REF!/#REF!,gt_bonus_cap), 4) + IF(#REF!&gt;0,howling_dp_bonus,IF(#REF!&gt;0,ares_call_bonus))</f>
        <v>#REF!</v>
      </c>
      <c r="V87" s="239" t="e">
        <f>#REF! * (1 +#REF!)</f>
        <v>#REF!</v>
      </c>
      <c r="W87" s="237" t="e">
        <f>#REF! * (1 +#REF!)</f>
        <v>#REF!</v>
      </c>
      <c r="X87" s="237" t="e">
        <f>#REF!</f>
        <v>#REF!</v>
      </c>
      <c r="Y87" s="240"/>
      <c r="Z87" s="135" t="e">
        <f ca="1">IF(#REF!&lt;&gt;"",#REF!,OFFSET(#REF!,-1,0))</f>
        <v>#REF!</v>
      </c>
      <c r="AA87" s="39" t="e">
        <f ca="1">OFFSET(#REF!,-1,0)+OFFSET(#REF!,-1,0) - SUM(#REF!,#REF!) -#REF! + SUM(#REF!) -#REF!</f>
        <v>#REF!</v>
      </c>
      <c r="AB87" s="133"/>
      <c r="AC87" s="132" t="e">
        <f>(#REF!+#REF!)/(#REF!-#REF!*20)</f>
        <v>#REF!</v>
      </c>
      <c r="AD87" s="130"/>
      <c r="AE87" s="236" t="e">
        <f>#REF!</f>
        <v>#REF!</v>
      </c>
      <c r="AF87" s="131" t="e">
        <f>#REF!</f>
        <v>#REF!</v>
      </c>
      <c r="AG87" s="164"/>
      <c r="AH87" s="164"/>
      <c r="AI87" s="164"/>
      <c r="AJ87" s="164"/>
      <c r="AK87" s="164"/>
      <c r="AL87" s="164"/>
      <c r="AM87" s="164"/>
      <c r="AN87" s="164"/>
      <c r="AO87" s="134"/>
      <c r="AP87" s="39" t="e">
        <f>#REF!</f>
        <v>#REF!</v>
      </c>
      <c r="AQ87" s="39" t="e">
        <f>INDEX(#REF!:#REF!,COUNTA(#REF!:#REF!),MATCH(Military!$AQ$2,#REF!,0))</f>
        <v>#REF!</v>
      </c>
      <c r="AR87" s="39" t="e">
        <f>#REF!*#REF!+#REF!*#REF!+#REF!*#REF!+#REF!*#REF!+#REF!*#REF!+#REF!*#REF!+#REF!*#REF!</f>
        <v>#REF!</v>
      </c>
      <c r="AS87" s="39" t="e">
        <f>#REF!*#REF!+#REF!*#REF!+#REF!*#REF!+#REF!*#REF!</f>
        <v>#REF!</v>
      </c>
      <c r="AT87" s="134" t="e">
        <f>#REF!</f>
        <v>#REF!</v>
      </c>
      <c r="AU87" s="143" t="e">
        <f>#REF!</f>
        <v>#REF!</v>
      </c>
      <c r="AV87" s="39" t="e">
        <f>#REF!</f>
        <v>#REF!</v>
      </c>
      <c r="AW87" s="146"/>
      <c r="AX87" s="164"/>
      <c r="AY87" s="164"/>
      <c r="AZ87" s="164"/>
      <c r="BA87" s="164"/>
      <c r="BB87" s="164"/>
      <c r="BC87" s="164"/>
      <c r="BD87" s="164"/>
      <c r="BE87" s="164"/>
      <c r="BF87" s="134"/>
      <c r="BG87" s="132" t="e">
        <f>#REF!/#REF!</f>
        <v>#REF!</v>
      </c>
      <c r="BH87" s="132" t="e">
        <f>#REF!/#REF!</f>
        <v>#REF!</v>
      </c>
      <c r="BI87" s="39" t="e">
        <f>ROUNDUP((1-MIN(#REF!*smithy_bonus,smithy_bonus_cap) + tech_3_5*#REF! + tech_5_3*#REF! + tech_5_5*#REF!)*spec_op_plat,0)</f>
        <v>#REF!</v>
      </c>
      <c r="BJ87" s="39" t="e">
        <f>ROUNDUP(IF(race="Gnome",1,(1-MIN(#REF!*smithy_bonus,smithy_bonus_cap) + tech_3_5*#REF! + tech_5_3*#REF! + tech_5_5*#REF!))*spec_op_ore,0)</f>
        <v>#REF!</v>
      </c>
      <c r="BK87" s="39" t="e">
        <f>ROUNDUP((1-MIN(#REF!*smithy_bonus,smithy_bonus_cap) + tech_3_5*#REF! + tech_5_3*#REF! + tech_5_5*#REF!)*spec_dp_plat,0)</f>
        <v>#REF!</v>
      </c>
      <c r="BL87" s="39" t="e">
        <f>ROUNDUP(IF(race="Gnome",1,(1-MIN(#REF!*smithy_bonus,smithy_bonus_cap) + tech_3_5*#REF! + tech_5_3*#REF! + tech_5_5*#REF!))*spec_dp_ore,0)</f>
        <v>#REF!</v>
      </c>
      <c r="BM87" s="39" t="e">
        <f>ROUNDUP((1-MIN(#REF!*smithy_bonus,smithy_bonus_cap) + tech_3_5*#REF! + tech_5_3*#REF! + tech_5_5*#REF!)*elite1_plat,0)</f>
        <v>#REF!</v>
      </c>
      <c r="BN87" s="39" t="e">
        <f>ROUNDUP(IF(race="Gnome",1,(1-MIN(#REF!*smithy_bonus,smithy_bonus_cap) + tech_3_5*#REF! + tech_5_3*#REF! + tech_5_5*#REF!))*elite1_ore,0)</f>
        <v>#REF!</v>
      </c>
      <c r="BO87" s="39" t="e">
        <f>ROUNDUP((1-MIN(#REF!*smithy_bonus,smithy_bonus_cap) + tech_3_5*#REF! + tech_5_3*#REF! + tech_5_5*#REF!)*elite2_plat,0)</f>
        <v>#REF!</v>
      </c>
      <c r="BP87" s="39" t="e">
        <f>ROUNDUP(IF(race="Gnome",1,(1-MIN(#REF!*smithy_bonus,smithy_bonus_cap) + tech_3_5*#REF! + tech_5_3*#REF! + tech_5_5*#REF!))*elite2_ore,0)</f>
        <v>#REF!</v>
      </c>
      <c r="BQ87" s="39" t="e">
        <f>ROUNDUP((1-MIN(ROUND(fh_spy_cost_red*#REF!,4),fh_spy_cost_cap)+ tech_1_9*#REF! + tech_9_1*#REF!)*spy_plat,0)</f>
        <v>#REF!</v>
      </c>
      <c r="BR87" s="39" t="e">
        <f>ROUNDUP((1-MIN(ROUND(fh_spy_cost_red*#REF!,4),fh_spy_cost_cap)+ tech_1_9*#REF! + tech_9_1*#REF!)*archspy_plat,0)</f>
        <v>#REF!</v>
      </c>
      <c r="BS87" s="39" t="e">
        <f>ROUNDUP((1-MIN(ROUND(wg_wiz_cost_bonus*#REF!,4),wg_wiz_cost_cap) + tech_1_9_2*#REF! + tech_9_1_2*#REF!)*wizard_plat,0)</f>
        <v>#REF!</v>
      </c>
      <c r="BT87" s="39" t="e">
        <f>ROUNDUP((1-MIN(ROUND(wg_wiz_cost_bonus*#REF!,4),wg_wiz_cost_cap) + tech_1_9_2*#REF! + tech_9_1_2*#REF!)*archmage_plat,0)</f>
        <v>#REF!</v>
      </c>
      <c r="BU87" s="134"/>
      <c r="BV87" s="132" t="e">
        <f>#REF!/#REF!</f>
        <v>#REF!</v>
      </c>
      <c r="BW87" s="132" t="e">
        <f>#REF!</f>
        <v>#REF!</v>
      </c>
      <c r="BX87" s="241" t="e">
        <f>IF(mystic_cap="none",#REF!/mystic_bonus,MIN(mystic_cap,#REF!/mystic_bonus))</f>
        <v>#REF!</v>
      </c>
      <c r="BY87" s="241" t="e">
        <f>IF(druid_op_cap="none",#REF!/druid_op_bonus,MIN(druid_op_cap,#REF!/druid_op_bonus))</f>
        <v>#REF!</v>
      </c>
      <c r="BZ87" s="241" t="e">
        <f>IF(druid_dp_cap="none",#REF!/druid_dp_bonus,MIN(druid_dp_cap,#REF!/druid_dp_bonus))</f>
        <v>#REF!</v>
      </c>
      <c r="CA87" s="241" t="e">
        <f>MIN(dryad_cap,#REF!/dryad_bonus)</f>
        <v>#REF!</v>
      </c>
      <c r="CB87" s="241" t="e">
        <f>MIN(rocka_cap,#REF!/rocka_bonus)</f>
        <v>#REF!</v>
      </c>
      <c r="CC87" s="241" t="e">
        <f>MIN(adept_op_cap,#REF!/adept_op_bonus)</f>
        <v>#REF!</v>
      </c>
      <c r="CD87" s="241" t="e">
        <f>MIN(adept_dp_cap,#REF!/adept_dp_bonus)</f>
        <v>#REF!</v>
      </c>
      <c r="CE87" s="39" t="e">
        <f>MIN(#REF!,#REF!)*2</f>
        <v>#REF!</v>
      </c>
      <c r="CF87" s="39" t="e">
        <f>MIN(#REF!,#REF!)*2</f>
        <v>#REF!</v>
      </c>
      <c r="CG87" s="241" t="e">
        <f>MIN(frost_mage_cap,#REF!/frost_mage_bonus)</f>
        <v>#REF!</v>
      </c>
      <c r="CH87" s="3" t="e">
        <f>MIN(ice_elem_cap,#REF!*ice_elem_bonus)</f>
        <v>#REF!</v>
      </c>
      <c r="CI87" s="241">
        <f t="shared" si="3"/>
        <v>0.83333333333333337</v>
      </c>
      <c r="CJ87" s="241" t="e">
        <f>MIN(nox_nightshade_cap,#REF!/#REF!/nox_nightshade_swamp_bonus)</f>
        <v>#REF!</v>
      </c>
      <c r="CK87" s="242"/>
      <c r="CL87" s="242"/>
      <c r="CM87" s="242"/>
      <c r="CN87" s="241" t="e">
        <f>MIN(6,#REF!+Races!$F$19)*1.8 +  IF(#REF!+Races!$F$19&gt;6,(#REF!+Races!$F$19-6)*0.2,0) - Races!$I$19</f>
        <v>#REF!</v>
      </c>
      <c r="CO87" s="241" t="e">
        <f>1.8 * MIN(MAX(#REF!+Races!$E$20,#REF!+Races!$F$20),6)  +  0.45 * MIN(MIN(#REF!+Races!$E$20,#REF!+Races!$F$20),6)  +  0.2 * ( MAX(#REF!+Races!$E$20-6,0) + MAX(#REF!+Races!$F$20-6,0) )  -  Races!$I$20</f>
        <v>#REF!</v>
      </c>
      <c r="CP87" s="39" t="e">
        <f>#REF!*#REF!+#REF!*#REF!</f>
        <v>#REF!</v>
      </c>
      <c r="CQ87" s="145" t="e">
        <f>MIN(6,#REF!+Races!$F$35)*1.8 +  IF(#REF!+Races!$F$35&gt;6,(#REF!+Races!$F$35-6)*0.2,0) - Races!$I$19</f>
        <v>#REF!</v>
      </c>
      <c r="CR87" s="39" t="e">
        <f>sylvan*(#REF!*#REF!)</f>
        <v>#REF!</v>
      </c>
      <c r="CS87" s="145" t="e">
        <f>1.8 * MIN(MAX(Races!$E$27,#REF!+Races!$F$27),6)  +  0.45 * MIN(MIN(Races!$E$27,#REF!+Races!$F$27),6)  +  0.2 * ( MAX(Races!$E$27-6,0) + MAX(#REF!+Races!$F$27-6,0) )  -  Races!$I$20</f>
        <v>#REF!</v>
      </c>
      <c r="CT87" s="39" t="e">
        <f>gnome*(#REF!*#REF!)</f>
        <v>#REF!</v>
      </c>
      <c r="CU87" s="145" t="e">
        <f>1.8 * MIN(MAX(#REF!+Races!$E$47,#REF!+Races!$F$47),6)  +  0.45 * MIN(MIN(#REF!+Races!$E$47,#REF!+Races!$F$47),6)  +  0.2 * ( MAX(#REF!+Races!$E$47-6,0) + MAX(#REF!+Races!$F$47-6,0) )  -  Races!$I$47</f>
        <v>#REF!</v>
      </c>
      <c r="CV87" s="39" t="e">
        <f>dark_elf*(#REF!*#REF!)</f>
        <v>#REF!</v>
      </c>
      <c r="CW87" s="145" t="e">
        <f>1.8 * MIN(MAX(#REF!+Races!$F$71,Races!$E$71),6)  +  0.45 * MIN(MIN(#REF!+Races!$F$71,Races!$E$71),6)  +  0.2 * ( MAX(#REF!+Races!$F$71-6,0) + MAX(Races!$E$71-6,0) )  -  Races!$I$71</f>
        <v>#REF!</v>
      </c>
      <c r="CX87" s="145" t="e">
        <f>1.8 * MIN(MAX(#REF!+Races!$E$71,Races!$F$71),6)  +  0.45 * MIN(MIN(#REF!+Races!$E$71,Races!$F$71),6)  +  0.2 * ( MAX(#REF!+Races!$E$71-6,0) + MAX(Races!$F$71-6,0) )  -  Races!$I$71</f>
        <v>#REF!</v>
      </c>
      <c r="CY87" s="39" t="e">
        <f>#REF!*#REF!+#REF!*#REF!</f>
        <v>#REF!</v>
      </c>
      <c r="CZ87" s="243"/>
      <c r="DA87" s="135" t="e">
        <f>MIN(SUM(#REF!)/#REF!/favorable_terrain_bonus/100,favorable_terrain_max)</f>
        <v>#REF!</v>
      </c>
      <c r="DB87" s="243"/>
      <c r="DC87"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87" s="134"/>
      <c r="DE87" s="244" t="e">
        <f>(#REF!+2*#REF!)/#REF!</f>
        <v>#REF!</v>
      </c>
      <c r="DF87" s="244" t="e">
        <f>#REF!*(1+race_wizard_strength+IF(#REF!&gt;72,tech_magical_weaponry_wiz*#REF!,0))</f>
        <v>#REF!</v>
      </c>
    </row>
    <row r="88" spans="1:110" x14ac:dyDescent="0.25">
      <c r="A88" s="130" t="e">
        <f>#REF!</f>
        <v>#REF!</v>
      </c>
      <c r="B88" s="236" t="e">
        <f ca="1">SUM(#REF!)+SUM(OFFSET(#REF!,-8,0):#REF!) + SUM(OFFSET(#REF!,-11,0):#REF!) +#REF!</f>
        <v>#REF!</v>
      </c>
      <c r="C88" s="132" t="e">
        <f>#REF!</f>
        <v>#REF!</v>
      </c>
      <c r="D88" s="134"/>
      <c r="E88" s="3" t="e">
        <f ca="1">OFFSET(#REF!,-1,0) + OFFSET(#REF!,-9,0) -#REF!</f>
        <v>#REF!</v>
      </c>
      <c r="F88" s="3" t="e">
        <f ca="1">OFFSET(#REF!,-1,0) + OFFSET(#REF!,-9,0)-#REF!</f>
        <v>#REF!</v>
      </c>
      <c r="G88" s="3" t="e">
        <f ca="1">OFFSET(#REF!,-1,0) + OFFSET(#REF!,-12,0)-#REF!</f>
        <v>#REF!</v>
      </c>
      <c r="H88" s="3" t="e">
        <f ca="1">OFFSET(#REF!,-1,0) + OFFSET(#REF!,-12,0)-#REF!</f>
        <v>#REF!</v>
      </c>
      <c r="I88" s="3" t="e">
        <f ca="1">OFFSET(#REF!,-1,0) + OFFSET(#REF!,-12,0) -#REF!-#REF!</f>
        <v>#REF!</v>
      </c>
      <c r="J88" s="3" t="e">
        <f ca="1">OFFSET(#REF!,-1,0) + OFFSET(#REF!,-12,0) -#REF!</f>
        <v>#REF!</v>
      </c>
      <c r="K88" s="3" t="e">
        <f ca="1">OFFSET(#REF!,-1,0) + OFFSET(#REF!,-12,0) -#REF!-#REF!</f>
        <v>#REF!</v>
      </c>
      <c r="L88" s="3" t="e">
        <f ca="1">OFFSET(#REF!,-1,0) + OFFSET(#REF!,-12,0) -#REF!</f>
        <v>#REF!</v>
      </c>
      <c r="M88" s="134"/>
      <c r="N88" s="39" t="e">
        <f>#REF!</f>
        <v>#REF!</v>
      </c>
      <c r="O88" s="134"/>
      <c r="P88" s="237" t="e">
        <f>#REF!*spec_op+#REF!*(elite1_base_op)+#REF!*(elite2_base_op+dark_elf*#REF!+icekin*#REF!+woodie*#REF!+orc*#REF!)+kobold*#REF!</f>
        <v>#REF!</v>
      </c>
      <c r="Q88" s="132" t="e">
        <f>race_offense+#REF!+ROUND(MIN(gn_bonus*#REF!/#REF!,gn_bonus_cap),4)+MAX(IF(#REF!&gt;0,warsong_bonus),IF(#REF!&gt;0,howling_op_bonus),IF(#REF!&gt;0,nightfall_bonus),IF(#REF!&gt;0,#REF!)) +#REF!/ 100*prestige_offense_bonus + tech_5_4*#REF! + tech_7_4*#REF!</f>
        <v>#REF!</v>
      </c>
      <c r="R88" s="237" t="e">
        <f>#REF!*(1+#REF!)</f>
        <v>#REF!</v>
      </c>
      <c r="S88" s="237" t="e">
        <f>#REF!*spec_dp+#REF!*(elite1_base_dp+woodie*#REF!+sylvan*#REF!+gnome*#REF!+icekin*#REF!+nox*#REF!)+#REF!*(elite2_base_dp+woodie*#REF!) + fh_peas_dp*MIN(#REF!,20*#REF!)+kobold*#REF!</f>
        <v>#REF!</v>
      </c>
      <c r="T88" s="237" t="e">
        <f>#REF!+#REF!</f>
        <v>#REF!</v>
      </c>
      <c r="U88" s="238" t="e">
        <f>race_defense +#REF! + ROUND( MIN(gt_bonus*#REF!/#REF!,gt_bonus_cap), 4) + IF(#REF!&gt;0,howling_dp_bonus,IF(#REF!&gt;0,ares_call_bonus))</f>
        <v>#REF!</v>
      </c>
      <c r="V88" s="239" t="e">
        <f>#REF! * (1 +#REF!)</f>
        <v>#REF!</v>
      </c>
      <c r="W88" s="237" t="e">
        <f>#REF! * (1 +#REF!)</f>
        <v>#REF!</v>
      </c>
      <c r="X88" s="237" t="e">
        <f>#REF!</f>
        <v>#REF!</v>
      </c>
      <c r="Y88" s="240"/>
      <c r="Z88" s="135" t="e">
        <f ca="1">IF(#REF!&lt;&gt;"",#REF!,OFFSET(#REF!,-1,0))</f>
        <v>#REF!</v>
      </c>
      <c r="AA88" s="39" t="e">
        <f ca="1">OFFSET(#REF!,-1,0)+OFFSET(#REF!,-1,0) - SUM(#REF!,#REF!) -#REF! + SUM(#REF!) -#REF!</f>
        <v>#REF!</v>
      </c>
      <c r="AB88" s="133"/>
      <c r="AC88" s="132" t="e">
        <f>(#REF!+#REF!)/(#REF!-#REF!*20)</f>
        <v>#REF!</v>
      </c>
      <c r="AD88" s="236"/>
      <c r="AE88" s="236" t="e">
        <f>#REF!</f>
        <v>#REF!</v>
      </c>
      <c r="AF88" s="131" t="e">
        <f>#REF!</f>
        <v>#REF!</v>
      </c>
      <c r="AG88" s="164"/>
      <c r="AH88" s="164"/>
      <c r="AI88" s="164"/>
      <c r="AJ88" s="164"/>
      <c r="AK88" s="164"/>
      <c r="AL88" s="164"/>
      <c r="AM88" s="164"/>
      <c r="AN88" s="164"/>
      <c r="AO88" s="134"/>
      <c r="AP88" s="39" t="e">
        <f>#REF!</f>
        <v>#REF!</v>
      </c>
      <c r="AQ88" s="39" t="e">
        <f>INDEX(#REF!:#REF!,COUNTA(#REF!:#REF!),MATCH(Military!$AQ$2,#REF!,0))</f>
        <v>#REF!</v>
      </c>
      <c r="AR88" s="39" t="e">
        <f>#REF!*#REF!+#REF!*#REF!+#REF!*#REF!+#REF!*#REF!+#REF!*#REF!+#REF!*#REF!+#REF!*#REF!</f>
        <v>#REF!</v>
      </c>
      <c r="AS88" s="39" t="e">
        <f>#REF!*#REF!+#REF!*#REF!+#REF!*#REF!+#REF!*#REF!</f>
        <v>#REF!</v>
      </c>
      <c r="AT88" s="134" t="e">
        <f>#REF!</f>
        <v>#REF!</v>
      </c>
      <c r="AU88" s="143" t="e">
        <f>#REF!</f>
        <v>#REF!</v>
      </c>
      <c r="AV88" s="39" t="e">
        <f>#REF!</f>
        <v>#REF!</v>
      </c>
      <c r="AW88" s="164"/>
      <c r="AX88" s="164"/>
      <c r="AY88" s="164"/>
      <c r="AZ88" s="164"/>
      <c r="BA88" s="164"/>
      <c r="BB88" s="164"/>
      <c r="BC88" s="164"/>
      <c r="BD88" s="164"/>
      <c r="BE88" s="164"/>
      <c r="BF88" s="134"/>
      <c r="BG88" s="132" t="e">
        <f>#REF!/#REF!</f>
        <v>#REF!</v>
      </c>
      <c r="BH88" s="132" t="e">
        <f>#REF!/#REF!</f>
        <v>#REF!</v>
      </c>
      <c r="BI88" s="39" t="e">
        <f>ROUNDUP((1-MIN(#REF!*smithy_bonus,smithy_bonus_cap) + tech_3_5*#REF! + tech_5_3*#REF! + tech_5_5*#REF!)*spec_op_plat,0)</f>
        <v>#REF!</v>
      </c>
      <c r="BJ88" s="39" t="e">
        <f>ROUNDUP(IF(race="Gnome",1,(1-MIN(#REF!*smithy_bonus,smithy_bonus_cap) + tech_3_5*#REF! + tech_5_3*#REF! + tech_5_5*#REF!))*spec_op_ore,0)</f>
        <v>#REF!</v>
      </c>
      <c r="BK88" s="39" t="e">
        <f>ROUNDUP((1-MIN(#REF!*smithy_bonus,smithy_bonus_cap) + tech_3_5*#REF! + tech_5_3*#REF! + tech_5_5*#REF!)*spec_dp_plat,0)</f>
        <v>#REF!</v>
      </c>
      <c r="BL88" s="39" t="e">
        <f>ROUNDUP(IF(race="Gnome",1,(1-MIN(#REF!*smithy_bonus,smithy_bonus_cap) + tech_3_5*#REF! + tech_5_3*#REF! + tech_5_5*#REF!))*spec_dp_ore,0)</f>
        <v>#REF!</v>
      </c>
      <c r="BM88" s="39" t="e">
        <f>ROUNDUP((1-MIN(#REF!*smithy_bonus,smithy_bonus_cap) + tech_3_5*#REF! + tech_5_3*#REF! + tech_5_5*#REF!)*elite1_plat,0)</f>
        <v>#REF!</v>
      </c>
      <c r="BN88" s="39" t="e">
        <f>ROUNDUP(IF(race="Gnome",1,(1-MIN(#REF!*smithy_bonus,smithy_bonus_cap) + tech_3_5*#REF! + tech_5_3*#REF! + tech_5_5*#REF!))*elite1_ore,0)</f>
        <v>#REF!</v>
      </c>
      <c r="BO88" s="39" t="e">
        <f>ROUNDUP((1-MIN(#REF!*smithy_bonus,smithy_bonus_cap) + tech_3_5*#REF! + tech_5_3*#REF! + tech_5_5*#REF!)*elite2_plat,0)</f>
        <v>#REF!</v>
      </c>
      <c r="BP88" s="39" t="e">
        <f>ROUNDUP(IF(race="Gnome",1,(1-MIN(#REF!*smithy_bonus,smithy_bonus_cap) + tech_3_5*#REF! + tech_5_3*#REF! + tech_5_5*#REF!))*elite2_ore,0)</f>
        <v>#REF!</v>
      </c>
      <c r="BQ88" s="39" t="e">
        <f>ROUNDUP((1-MIN(ROUND(fh_spy_cost_red*#REF!,4),fh_spy_cost_cap)+ tech_1_9*#REF! + tech_9_1*#REF!)*spy_plat,0)</f>
        <v>#REF!</v>
      </c>
      <c r="BR88" s="39" t="e">
        <f>ROUNDUP((1-MIN(ROUND(fh_spy_cost_red*#REF!,4),fh_spy_cost_cap)+ tech_1_9*#REF! + tech_9_1*#REF!)*archspy_plat,0)</f>
        <v>#REF!</v>
      </c>
      <c r="BS88" s="39" t="e">
        <f>ROUNDUP((1-MIN(ROUND(wg_wiz_cost_bonus*#REF!,4),wg_wiz_cost_cap) + tech_1_9_2*#REF! + tech_9_1_2*#REF!)*wizard_plat,0)</f>
        <v>#REF!</v>
      </c>
      <c r="BT88" s="39" t="e">
        <f>ROUNDUP((1-MIN(ROUND(wg_wiz_cost_bonus*#REF!,4),wg_wiz_cost_cap) + tech_1_9_2*#REF! + tech_9_1_2*#REF!)*archmage_plat,0)</f>
        <v>#REF!</v>
      </c>
      <c r="BU88" s="134"/>
      <c r="BV88" s="132" t="e">
        <f>#REF!/#REF!</f>
        <v>#REF!</v>
      </c>
      <c r="BW88" s="132" t="e">
        <f>#REF!</f>
        <v>#REF!</v>
      </c>
      <c r="BX88" s="241" t="e">
        <f>IF(mystic_cap="none",#REF!/mystic_bonus,MIN(mystic_cap,#REF!/mystic_bonus))</f>
        <v>#REF!</v>
      </c>
      <c r="BY88" s="241" t="e">
        <f>IF(druid_op_cap="none",#REF!/druid_op_bonus,MIN(druid_op_cap,#REF!/druid_op_bonus))</f>
        <v>#REF!</v>
      </c>
      <c r="BZ88" s="241" t="e">
        <f>IF(druid_dp_cap="none",#REF!/druid_dp_bonus,MIN(druid_dp_cap,#REF!/druid_dp_bonus))</f>
        <v>#REF!</v>
      </c>
      <c r="CA88" s="241" t="e">
        <f>MIN(dryad_cap,#REF!/dryad_bonus)</f>
        <v>#REF!</v>
      </c>
      <c r="CB88" s="241" t="e">
        <f>MIN(rocka_cap,#REF!/rocka_bonus)</f>
        <v>#REF!</v>
      </c>
      <c r="CC88" s="241" t="e">
        <f>MIN(adept_op_cap,#REF!/adept_op_bonus)</f>
        <v>#REF!</v>
      </c>
      <c r="CD88" s="241" t="e">
        <f>MIN(adept_dp_cap,#REF!/adept_dp_bonus)</f>
        <v>#REF!</v>
      </c>
      <c r="CE88" s="39" t="e">
        <f>MIN(#REF!,#REF!)*2</f>
        <v>#REF!</v>
      </c>
      <c r="CF88" s="39" t="e">
        <f>MIN(#REF!,#REF!)*2</f>
        <v>#REF!</v>
      </c>
      <c r="CG88" s="241" t="e">
        <f>MIN(frost_mage_cap,#REF!/frost_mage_bonus)</f>
        <v>#REF!</v>
      </c>
      <c r="CH88" s="3" t="e">
        <f>MIN(ice_elem_cap,#REF!*ice_elem_bonus)</f>
        <v>#REF!</v>
      </c>
      <c r="CI88" s="241">
        <f t="shared" si="3"/>
        <v>0.83333333333333337</v>
      </c>
      <c r="CJ88" s="241" t="e">
        <f>MIN(nox_nightshade_cap,#REF!/#REF!/nox_nightshade_swamp_bonus)</f>
        <v>#REF!</v>
      </c>
      <c r="CK88" s="242"/>
      <c r="CL88" s="242"/>
      <c r="CM88" s="242"/>
      <c r="CN88" s="241" t="e">
        <f>MIN(6,#REF!+Races!$F$19)*1.8 +  IF(#REF!+Races!$F$19&gt;6,(#REF!+Races!$F$19-6)*0.2,0) - Races!$I$19</f>
        <v>#REF!</v>
      </c>
      <c r="CO88" s="241" t="e">
        <f>1.8 * MIN(MAX(#REF!+Races!$E$20,#REF!+Races!$F$20),6)  +  0.45 * MIN(MIN(#REF!+Races!$E$20,#REF!+Races!$F$20),6)  +  0.2 * ( MAX(#REF!+Races!$E$20-6,0) + MAX(#REF!+Races!$F$20-6,0) )  -  Races!$I$20</f>
        <v>#REF!</v>
      </c>
      <c r="CP88" s="39" t="e">
        <f>#REF!*#REF!+#REF!*#REF!</f>
        <v>#REF!</v>
      </c>
      <c r="CQ88" s="145" t="e">
        <f>MIN(6,#REF!+Races!$F$35)*1.8 +  IF(#REF!+Races!$F$35&gt;6,(#REF!+Races!$F$35-6)*0.2,0) - Races!$I$19</f>
        <v>#REF!</v>
      </c>
      <c r="CR88" s="39" t="e">
        <f>sylvan*(#REF!*#REF!)</f>
        <v>#REF!</v>
      </c>
      <c r="CS88" s="145" t="e">
        <f>1.8 * MIN(MAX(Races!$E$27,#REF!+Races!$F$27),6)  +  0.45 * MIN(MIN(Races!$E$27,#REF!+Races!$F$27),6)  +  0.2 * ( MAX(Races!$E$27-6,0) + MAX(#REF!+Races!$F$27-6,0) )  -  Races!$I$20</f>
        <v>#REF!</v>
      </c>
      <c r="CT88" s="39" t="e">
        <f>gnome*(#REF!*#REF!)</f>
        <v>#REF!</v>
      </c>
      <c r="CU88" s="145" t="e">
        <f>1.8 * MIN(MAX(#REF!+Races!$E$47,#REF!+Races!$F$47),6)  +  0.45 * MIN(MIN(#REF!+Races!$E$47,#REF!+Races!$F$47),6)  +  0.2 * ( MAX(#REF!+Races!$E$47-6,0) + MAX(#REF!+Races!$F$47-6,0) )  -  Races!$I$47</f>
        <v>#REF!</v>
      </c>
      <c r="CV88" s="39" t="e">
        <f>dark_elf*(#REF!*#REF!)</f>
        <v>#REF!</v>
      </c>
      <c r="CW88" s="145" t="e">
        <f>1.8 * MIN(MAX(#REF!+Races!$F$71,Races!$E$71),6)  +  0.45 * MIN(MIN(#REF!+Races!$F$71,Races!$E$71),6)  +  0.2 * ( MAX(#REF!+Races!$F$71-6,0) + MAX(Races!$E$71-6,0) )  -  Races!$I$71</f>
        <v>#REF!</v>
      </c>
      <c r="CX88" s="145" t="e">
        <f>1.8 * MIN(MAX(#REF!+Races!$E$71,Races!$F$71),6)  +  0.45 * MIN(MIN(#REF!+Races!$E$71,Races!$F$71),6)  +  0.2 * ( MAX(#REF!+Races!$E$71-6,0) + MAX(Races!$F$71-6,0) )  -  Races!$I$71</f>
        <v>#REF!</v>
      </c>
      <c r="CY88" s="39" t="e">
        <f>#REF!*#REF!+#REF!*#REF!</f>
        <v>#REF!</v>
      </c>
      <c r="CZ88" s="243"/>
      <c r="DA88" s="135" t="e">
        <f>MIN(SUM(#REF!)/#REF!/favorable_terrain_bonus/100,favorable_terrain_max)</f>
        <v>#REF!</v>
      </c>
      <c r="DB88" s="243"/>
      <c r="DC88"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88" s="134"/>
      <c r="DE88" s="244" t="e">
        <f>(#REF!+2*#REF!)/#REF!</f>
        <v>#REF!</v>
      </c>
      <c r="DF88" s="244" t="e">
        <f>#REF!*(1+race_wizard_strength+IF(#REF!&gt;72,tech_magical_weaponry_wiz*#REF!,0))</f>
        <v>#REF!</v>
      </c>
    </row>
    <row r="89" spans="1:110" x14ac:dyDescent="0.25">
      <c r="A89" s="130" t="e">
        <f>#REF!</f>
        <v>#REF!</v>
      </c>
      <c r="B89" s="236" t="e">
        <f ca="1">SUM(#REF!)+SUM(OFFSET(#REF!,-8,0):#REF!) + SUM(OFFSET(#REF!,-11,0):#REF!) +#REF!</f>
        <v>#REF!</v>
      </c>
      <c r="C89" s="132" t="e">
        <f>#REF!</f>
        <v>#REF!</v>
      </c>
      <c r="D89" s="134"/>
      <c r="E89" s="3" t="e">
        <f ca="1">OFFSET(#REF!,-1,0) + OFFSET(#REF!,-9,0) -#REF!</f>
        <v>#REF!</v>
      </c>
      <c r="F89" s="3" t="e">
        <f ca="1">OFFSET(#REF!,-1,0) + OFFSET(#REF!,-9,0)-#REF!</f>
        <v>#REF!</v>
      </c>
      <c r="G89" s="3" t="e">
        <f ca="1">OFFSET(#REF!,-1,0) + OFFSET(#REF!,-12,0)-#REF!</f>
        <v>#REF!</v>
      </c>
      <c r="H89" s="3" t="e">
        <f ca="1">OFFSET(#REF!,-1,0) + OFFSET(#REF!,-12,0)-#REF!</f>
        <v>#REF!</v>
      </c>
      <c r="I89" s="3" t="e">
        <f ca="1">OFFSET(#REF!,-1,0) + OFFSET(#REF!,-12,0) -#REF!-#REF!</f>
        <v>#REF!</v>
      </c>
      <c r="J89" s="3" t="e">
        <f ca="1">OFFSET(#REF!,-1,0) + OFFSET(#REF!,-12,0) -#REF!</f>
        <v>#REF!</v>
      </c>
      <c r="K89" s="3" t="e">
        <f ca="1">OFFSET(#REF!,-1,0) + OFFSET(#REF!,-12,0) -#REF!-#REF!</f>
        <v>#REF!</v>
      </c>
      <c r="L89" s="3" t="e">
        <f ca="1">OFFSET(#REF!,-1,0) + OFFSET(#REF!,-12,0) -#REF!</f>
        <v>#REF!</v>
      </c>
      <c r="M89" s="134"/>
      <c r="N89" s="39" t="e">
        <f>#REF!</f>
        <v>#REF!</v>
      </c>
      <c r="O89" s="134"/>
      <c r="P89" s="237" t="e">
        <f>#REF!*spec_op+#REF!*(elite1_base_op)+#REF!*(elite2_base_op+dark_elf*#REF!+icekin*#REF!+woodie*#REF!+orc*#REF!)+kobold*#REF!</f>
        <v>#REF!</v>
      </c>
      <c r="Q89" s="132" t="e">
        <f>race_offense+#REF!+ROUND(MIN(gn_bonus*#REF!/#REF!,gn_bonus_cap),4)+MAX(IF(#REF!&gt;0,warsong_bonus),IF(#REF!&gt;0,howling_op_bonus),IF(#REF!&gt;0,nightfall_bonus),IF(#REF!&gt;0,#REF!)) +#REF!/ 100*prestige_offense_bonus + tech_5_4*#REF! + tech_7_4*#REF!</f>
        <v>#REF!</v>
      </c>
      <c r="R89" s="237" t="e">
        <f>#REF!*(1+#REF!)</f>
        <v>#REF!</v>
      </c>
      <c r="S89" s="237" t="e">
        <f>#REF!*spec_dp+#REF!*(elite1_base_dp+woodie*#REF!+sylvan*#REF!+gnome*#REF!+icekin*#REF!+nox*#REF!)+#REF!*(elite2_base_dp+woodie*#REF!) + fh_peas_dp*MIN(#REF!,20*#REF!)+kobold*#REF!</f>
        <v>#REF!</v>
      </c>
      <c r="T89" s="237" t="e">
        <f>#REF!+#REF!</f>
        <v>#REF!</v>
      </c>
      <c r="U89" s="238" t="e">
        <f>race_defense +#REF! + ROUND( MIN(gt_bonus*#REF!/#REF!,gt_bonus_cap), 4) + IF(#REF!&gt;0,howling_dp_bonus,IF(#REF!&gt;0,ares_call_bonus))</f>
        <v>#REF!</v>
      </c>
      <c r="V89" s="239" t="e">
        <f>#REF! * (1 +#REF!)</f>
        <v>#REF!</v>
      </c>
      <c r="W89" s="237" t="e">
        <f>#REF! * (1 +#REF!)</f>
        <v>#REF!</v>
      </c>
      <c r="X89" s="237" t="e">
        <f>#REF!</f>
        <v>#REF!</v>
      </c>
      <c r="Y89" s="240"/>
      <c r="Z89" s="135" t="e">
        <f ca="1">IF(#REF!&lt;&gt;"",#REF!,OFFSET(#REF!,-1,0))</f>
        <v>#REF!</v>
      </c>
      <c r="AA89" s="39" t="e">
        <f ca="1">OFFSET(#REF!,-1,0)+OFFSET(#REF!,-1,0) - SUM(#REF!,#REF!) -#REF! + SUM(#REF!) -#REF!</f>
        <v>#REF!</v>
      </c>
      <c r="AB89" s="133"/>
      <c r="AC89" s="132" t="e">
        <f>(#REF!+#REF!)/(#REF!-#REF!*20)</f>
        <v>#REF!</v>
      </c>
      <c r="AD89" s="130"/>
      <c r="AE89" s="236" t="e">
        <f>#REF!</f>
        <v>#REF!</v>
      </c>
      <c r="AF89" s="131" t="e">
        <f>#REF!</f>
        <v>#REF!</v>
      </c>
      <c r="AG89" s="164"/>
      <c r="AH89" s="164"/>
      <c r="AI89" s="164"/>
      <c r="AJ89" s="164"/>
      <c r="AK89" s="164"/>
      <c r="AL89" s="164"/>
      <c r="AM89" s="164"/>
      <c r="AN89" s="164"/>
      <c r="AO89" s="134"/>
      <c r="AP89" s="39" t="e">
        <f>#REF!</f>
        <v>#REF!</v>
      </c>
      <c r="AQ89" s="39" t="e">
        <f>INDEX(#REF!:#REF!,COUNTA(#REF!:#REF!),MATCH(Military!$AQ$2,#REF!,0))</f>
        <v>#REF!</v>
      </c>
      <c r="AR89" s="39" t="e">
        <f>#REF!*#REF!+#REF!*#REF!+#REF!*#REF!+#REF!*#REF!+#REF!*#REF!+#REF!*#REF!+#REF!*#REF!</f>
        <v>#REF!</v>
      </c>
      <c r="AS89" s="39" t="e">
        <f>#REF!*#REF!+#REF!*#REF!+#REF!*#REF!+#REF!*#REF!</f>
        <v>#REF!</v>
      </c>
      <c r="AT89" s="134" t="e">
        <f>#REF!</f>
        <v>#REF!</v>
      </c>
      <c r="AU89" s="143" t="e">
        <f>#REF!</f>
        <v>#REF!</v>
      </c>
      <c r="AV89" s="39" t="e">
        <f>#REF!</f>
        <v>#REF!</v>
      </c>
      <c r="AW89" s="164"/>
      <c r="AX89" s="164"/>
      <c r="AY89" s="164"/>
      <c r="AZ89" s="164"/>
      <c r="BA89" s="164"/>
      <c r="BB89" s="164"/>
      <c r="BC89" s="164"/>
      <c r="BD89" s="164"/>
      <c r="BE89" s="164"/>
      <c r="BF89" s="134"/>
      <c r="BG89" s="132" t="e">
        <f>#REF!/#REF!</f>
        <v>#REF!</v>
      </c>
      <c r="BH89" s="132" t="e">
        <f>#REF!/#REF!</f>
        <v>#REF!</v>
      </c>
      <c r="BI89" s="39" t="e">
        <f>ROUNDUP((1-MIN(#REF!*smithy_bonus,smithy_bonus_cap) + tech_3_5*#REF! + tech_5_3*#REF! + tech_5_5*#REF!)*spec_op_plat,0)</f>
        <v>#REF!</v>
      </c>
      <c r="BJ89" s="39" t="e">
        <f>ROUNDUP(IF(race="Gnome",1,(1-MIN(#REF!*smithy_bonus,smithy_bonus_cap) + tech_3_5*#REF! + tech_5_3*#REF! + tech_5_5*#REF!))*spec_op_ore,0)</f>
        <v>#REF!</v>
      </c>
      <c r="BK89" s="39" t="e">
        <f>ROUNDUP((1-MIN(#REF!*smithy_bonus,smithy_bonus_cap) + tech_3_5*#REF! + tech_5_3*#REF! + tech_5_5*#REF!)*spec_dp_plat,0)</f>
        <v>#REF!</v>
      </c>
      <c r="BL89" s="39" t="e">
        <f>ROUNDUP(IF(race="Gnome",1,(1-MIN(#REF!*smithy_bonus,smithy_bonus_cap) + tech_3_5*#REF! + tech_5_3*#REF! + tech_5_5*#REF!))*spec_dp_ore,0)</f>
        <v>#REF!</v>
      </c>
      <c r="BM89" s="39" t="e">
        <f>ROUNDUP((1-MIN(#REF!*smithy_bonus,smithy_bonus_cap) + tech_3_5*#REF! + tech_5_3*#REF! + tech_5_5*#REF!)*elite1_plat,0)</f>
        <v>#REF!</v>
      </c>
      <c r="BN89" s="39" t="e">
        <f>ROUNDUP(IF(race="Gnome",1,(1-MIN(#REF!*smithy_bonus,smithy_bonus_cap) + tech_3_5*#REF! + tech_5_3*#REF! + tech_5_5*#REF!))*elite1_ore,0)</f>
        <v>#REF!</v>
      </c>
      <c r="BO89" s="39" t="e">
        <f>ROUNDUP((1-MIN(#REF!*smithy_bonus,smithy_bonus_cap) + tech_3_5*#REF! + tech_5_3*#REF! + tech_5_5*#REF!)*elite2_plat,0)</f>
        <v>#REF!</v>
      </c>
      <c r="BP89" s="39" t="e">
        <f>ROUNDUP(IF(race="Gnome",1,(1-MIN(#REF!*smithy_bonus,smithy_bonus_cap) + tech_3_5*#REF! + tech_5_3*#REF! + tech_5_5*#REF!))*elite2_ore,0)</f>
        <v>#REF!</v>
      </c>
      <c r="BQ89" s="39" t="e">
        <f>ROUNDUP((1-MIN(ROUND(fh_spy_cost_red*#REF!,4),fh_spy_cost_cap)+ tech_1_9*#REF! + tech_9_1*#REF!)*spy_plat,0)</f>
        <v>#REF!</v>
      </c>
      <c r="BR89" s="39" t="e">
        <f>ROUNDUP((1-MIN(ROUND(fh_spy_cost_red*#REF!,4),fh_spy_cost_cap)+ tech_1_9*#REF! + tech_9_1*#REF!)*archspy_plat,0)</f>
        <v>#REF!</v>
      </c>
      <c r="BS89" s="39" t="e">
        <f>ROUNDUP((1-MIN(ROUND(wg_wiz_cost_bonus*#REF!,4),wg_wiz_cost_cap) + tech_1_9_2*#REF! + tech_9_1_2*#REF!)*wizard_plat,0)</f>
        <v>#REF!</v>
      </c>
      <c r="BT89" s="39" t="e">
        <f>ROUNDUP((1-MIN(ROUND(wg_wiz_cost_bonus*#REF!,4),wg_wiz_cost_cap) + tech_1_9_2*#REF! + tech_9_1_2*#REF!)*archmage_plat,0)</f>
        <v>#REF!</v>
      </c>
      <c r="BU89" s="134"/>
      <c r="BV89" s="132" t="e">
        <f>#REF!/#REF!</f>
        <v>#REF!</v>
      </c>
      <c r="BW89" s="132" t="e">
        <f>#REF!</f>
        <v>#REF!</v>
      </c>
      <c r="BX89" s="241" t="e">
        <f>IF(mystic_cap="none",#REF!/mystic_bonus,MIN(mystic_cap,#REF!/mystic_bonus))</f>
        <v>#REF!</v>
      </c>
      <c r="BY89" s="241" t="e">
        <f>IF(druid_op_cap="none",#REF!/druid_op_bonus,MIN(druid_op_cap,#REF!/druid_op_bonus))</f>
        <v>#REF!</v>
      </c>
      <c r="BZ89" s="241" t="e">
        <f>IF(druid_dp_cap="none",#REF!/druid_dp_bonus,MIN(druid_dp_cap,#REF!/druid_dp_bonus))</f>
        <v>#REF!</v>
      </c>
      <c r="CA89" s="241" t="e">
        <f>MIN(dryad_cap,#REF!/dryad_bonus)</f>
        <v>#REF!</v>
      </c>
      <c r="CB89" s="241" t="e">
        <f>MIN(rocka_cap,#REF!/rocka_bonus)</f>
        <v>#REF!</v>
      </c>
      <c r="CC89" s="241" t="e">
        <f>MIN(adept_op_cap,#REF!/adept_op_bonus)</f>
        <v>#REF!</v>
      </c>
      <c r="CD89" s="241" t="e">
        <f>MIN(adept_dp_cap,#REF!/adept_dp_bonus)</f>
        <v>#REF!</v>
      </c>
      <c r="CE89" s="39" t="e">
        <f>MIN(#REF!,#REF!)*2</f>
        <v>#REF!</v>
      </c>
      <c r="CF89" s="39" t="e">
        <f>MIN(#REF!,#REF!)*2</f>
        <v>#REF!</v>
      </c>
      <c r="CG89" s="241" t="e">
        <f>MIN(frost_mage_cap,#REF!/frost_mage_bonus)</f>
        <v>#REF!</v>
      </c>
      <c r="CH89" s="3" t="e">
        <f>MIN(ice_elem_cap,#REF!*ice_elem_bonus)</f>
        <v>#REF!</v>
      </c>
      <c r="CI89" s="241">
        <f t="shared" si="3"/>
        <v>0.83333333333333337</v>
      </c>
      <c r="CJ89" s="241" t="e">
        <f>MIN(nox_nightshade_cap,#REF!/#REF!/nox_nightshade_swamp_bonus)</f>
        <v>#REF!</v>
      </c>
      <c r="CK89" s="242"/>
      <c r="CL89" s="242"/>
      <c r="CM89" s="242"/>
      <c r="CN89" s="241" t="e">
        <f>MIN(6,#REF!+Races!$F$19)*1.8 +  IF(#REF!+Races!$F$19&gt;6,(#REF!+Races!$F$19-6)*0.2,0) - Races!$I$19</f>
        <v>#REF!</v>
      </c>
      <c r="CO89" s="241" t="e">
        <f>1.8 * MIN(MAX(#REF!+Races!$E$20,#REF!+Races!$F$20),6)  +  0.45 * MIN(MIN(#REF!+Races!$E$20,#REF!+Races!$F$20),6)  +  0.2 * ( MAX(#REF!+Races!$E$20-6,0) + MAX(#REF!+Races!$F$20-6,0) )  -  Races!$I$20</f>
        <v>#REF!</v>
      </c>
      <c r="CP89" s="39" t="e">
        <f>#REF!*#REF!+#REF!*#REF!</f>
        <v>#REF!</v>
      </c>
      <c r="CQ89" s="145" t="e">
        <f>MIN(6,#REF!+Races!$F$35)*1.8 +  IF(#REF!+Races!$F$35&gt;6,(#REF!+Races!$F$35-6)*0.2,0) - Races!$I$19</f>
        <v>#REF!</v>
      </c>
      <c r="CR89" s="39" t="e">
        <f>sylvan*(#REF!*#REF!)</f>
        <v>#REF!</v>
      </c>
      <c r="CS89" s="145" t="e">
        <f>1.8 * MIN(MAX(Races!$E$27,#REF!+Races!$F$27),6)  +  0.45 * MIN(MIN(Races!$E$27,#REF!+Races!$F$27),6)  +  0.2 * ( MAX(Races!$E$27-6,0) + MAX(#REF!+Races!$F$27-6,0) )  -  Races!$I$20</f>
        <v>#REF!</v>
      </c>
      <c r="CT89" s="39" t="e">
        <f>gnome*(#REF!*#REF!)</f>
        <v>#REF!</v>
      </c>
      <c r="CU89" s="145" t="e">
        <f>1.8 * MIN(MAX(#REF!+Races!$E$47,#REF!+Races!$F$47),6)  +  0.45 * MIN(MIN(#REF!+Races!$E$47,#REF!+Races!$F$47),6)  +  0.2 * ( MAX(#REF!+Races!$E$47-6,0) + MAX(#REF!+Races!$F$47-6,0) )  -  Races!$I$47</f>
        <v>#REF!</v>
      </c>
      <c r="CV89" s="39" t="e">
        <f>dark_elf*(#REF!*#REF!)</f>
        <v>#REF!</v>
      </c>
      <c r="CW89" s="145" t="e">
        <f>1.8 * MIN(MAX(#REF!+Races!$F$71,Races!$E$71),6)  +  0.45 * MIN(MIN(#REF!+Races!$F$71,Races!$E$71),6)  +  0.2 * ( MAX(#REF!+Races!$F$71-6,0) + MAX(Races!$E$71-6,0) )  -  Races!$I$71</f>
        <v>#REF!</v>
      </c>
      <c r="CX89" s="145" t="e">
        <f>1.8 * MIN(MAX(#REF!+Races!$E$71,Races!$F$71),6)  +  0.45 * MIN(MIN(#REF!+Races!$E$71,Races!$F$71),6)  +  0.2 * ( MAX(#REF!+Races!$E$71-6,0) + MAX(Races!$F$71-6,0) )  -  Races!$I$71</f>
        <v>#REF!</v>
      </c>
      <c r="CY89" s="39" t="e">
        <f>#REF!*#REF!+#REF!*#REF!</f>
        <v>#REF!</v>
      </c>
      <c r="CZ89" s="243"/>
      <c r="DA89" s="135" t="e">
        <f>MIN(SUM(#REF!)/#REF!/favorable_terrain_bonus/100,favorable_terrain_max)</f>
        <v>#REF!</v>
      </c>
      <c r="DB89" s="243"/>
      <c r="DC89"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89" s="134"/>
      <c r="DE89" s="244" t="e">
        <f>(#REF!+2*#REF!)/#REF!</f>
        <v>#REF!</v>
      </c>
      <c r="DF89" s="244" t="e">
        <f>#REF!*(1+race_wizard_strength+IF(#REF!&gt;72,tech_magical_weaponry_wiz*#REF!,0))</f>
        <v>#REF!</v>
      </c>
    </row>
    <row r="90" spans="1:110" x14ac:dyDescent="0.25">
      <c r="A90" s="130" t="e">
        <f>#REF!</f>
        <v>#REF!</v>
      </c>
      <c r="B90" s="236" t="e">
        <f ca="1">SUM(#REF!)+SUM(OFFSET(#REF!,-8,0):#REF!) + SUM(OFFSET(#REF!,-11,0):#REF!) +#REF!</f>
        <v>#REF!</v>
      </c>
      <c r="C90" s="132" t="e">
        <f>#REF!</f>
        <v>#REF!</v>
      </c>
      <c r="D90" s="134"/>
      <c r="E90" s="3" t="e">
        <f ca="1">OFFSET(#REF!,-1,0) + OFFSET(#REF!,-9,0) -#REF!</f>
        <v>#REF!</v>
      </c>
      <c r="F90" s="3" t="e">
        <f ca="1">OFFSET(#REF!,-1,0) + OFFSET(#REF!,-9,0)-#REF!</f>
        <v>#REF!</v>
      </c>
      <c r="G90" s="3" t="e">
        <f ca="1">OFFSET(#REF!,-1,0) + OFFSET(#REF!,-12,0)-#REF!</f>
        <v>#REF!</v>
      </c>
      <c r="H90" s="3" t="e">
        <f ca="1">OFFSET(#REF!,-1,0) + OFFSET(#REF!,-12,0)-#REF!</f>
        <v>#REF!</v>
      </c>
      <c r="I90" s="3" t="e">
        <f ca="1">OFFSET(#REF!,-1,0) + OFFSET(#REF!,-12,0) -#REF!-#REF!</f>
        <v>#REF!</v>
      </c>
      <c r="J90" s="3" t="e">
        <f ca="1">OFFSET(#REF!,-1,0) + OFFSET(#REF!,-12,0) -#REF!</f>
        <v>#REF!</v>
      </c>
      <c r="K90" s="3" t="e">
        <f ca="1">OFFSET(#REF!,-1,0) + OFFSET(#REF!,-12,0) -#REF!-#REF!</f>
        <v>#REF!</v>
      </c>
      <c r="L90" s="3" t="e">
        <f ca="1">OFFSET(#REF!,-1,0) + OFFSET(#REF!,-12,0) -#REF!</f>
        <v>#REF!</v>
      </c>
      <c r="M90" s="134"/>
      <c r="N90" s="39" t="e">
        <f>#REF!</f>
        <v>#REF!</v>
      </c>
      <c r="O90" s="134"/>
      <c r="P90" s="237" t="e">
        <f>#REF!*spec_op+#REF!*(elite1_base_op)+#REF!*(elite2_base_op+dark_elf*#REF!+icekin*#REF!+woodie*#REF!+orc*#REF!)+kobold*#REF!</f>
        <v>#REF!</v>
      </c>
      <c r="Q90" s="132" t="e">
        <f>race_offense+#REF!+ROUND(MIN(gn_bonus*#REF!/#REF!,gn_bonus_cap),4)+MAX(IF(#REF!&gt;0,warsong_bonus),IF(#REF!&gt;0,howling_op_bonus),IF(#REF!&gt;0,nightfall_bonus),IF(#REF!&gt;0,#REF!)) +#REF!/ 100*prestige_offense_bonus + tech_5_4*#REF! + tech_7_4*#REF!</f>
        <v>#REF!</v>
      </c>
      <c r="R90" s="237" t="e">
        <f>#REF!*(1+#REF!)</f>
        <v>#REF!</v>
      </c>
      <c r="S90" s="237" t="e">
        <f>#REF!*spec_dp+#REF!*(elite1_base_dp+woodie*#REF!+sylvan*#REF!+gnome*#REF!+icekin*#REF!+nox*#REF!)+#REF!*(elite2_base_dp+woodie*#REF!) + fh_peas_dp*MIN(#REF!,20*#REF!)+kobold*#REF!</f>
        <v>#REF!</v>
      </c>
      <c r="T90" s="237" t="e">
        <f>#REF!+#REF!</f>
        <v>#REF!</v>
      </c>
      <c r="U90" s="238" t="e">
        <f>race_defense +#REF! + ROUND( MIN(gt_bonus*#REF!/#REF!,gt_bonus_cap), 4) + IF(#REF!&gt;0,howling_dp_bonus,IF(#REF!&gt;0,ares_call_bonus))</f>
        <v>#REF!</v>
      </c>
      <c r="V90" s="239" t="e">
        <f>#REF! * (1 +#REF!)</f>
        <v>#REF!</v>
      </c>
      <c r="W90" s="237" t="e">
        <f>#REF! * (1 +#REF!)</f>
        <v>#REF!</v>
      </c>
      <c r="X90" s="237" t="e">
        <f>#REF!</f>
        <v>#REF!</v>
      </c>
      <c r="Y90" s="240"/>
      <c r="Z90" s="135" t="e">
        <f ca="1">IF(#REF!&lt;&gt;"",#REF!,OFFSET(#REF!,-1,0))</f>
        <v>#REF!</v>
      </c>
      <c r="AA90" s="39" t="e">
        <f ca="1">OFFSET(#REF!,-1,0)+OFFSET(#REF!,-1,0) - SUM(#REF!,#REF!) -#REF! + SUM(#REF!) -#REF!</f>
        <v>#REF!</v>
      </c>
      <c r="AB90" s="133"/>
      <c r="AC90" s="132" t="e">
        <f>(#REF!+#REF!)/(#REF!-#REF!*20)</f>
        <v>#REF!</v>
      </c>
      <c r="AD90" s="130"/>
      <c r="AE90" s="236" t="e">
        <f>#REF!</f>
        <v>#REF!</v>
      </c>
      <c r="AF90" s="131" t="e">
        <f>#REF!</f>
        <v>#REF!</v>
      </c>
      <c r="AG90" s="164"/>
      <c r="AH90" s="164"/>
      <c r="AI90" s="164"/>
      <c r="AJ90" s="164"/>
      <c r="AK90" s="164"/>
      <c r="AL90" s="164"/>
      <c r="AM90" s="164"/>
      <c r="AN90" s="164"/>
      <c r="AO90" s="134"/>
      <c r="AP90" s="39" t="e">
        <f>#REF!</f>
        <v>#REF!</v>
      </c>
      <c r="AQ90" s="39" t="e">
        <f>INDEX(#REF!:#REF!,COUNTA(#REF!:#REF!),MATCH(Military!$AQ$2,#REF!,0))</f>
        <v>#REF!</v>
      </c>
      <c r="AR90" s="39" t="e">
        <f>#REF!*#REF!+#REF!*#REF!+#REF!*#REF!+#REF!*#REF!+#REF!*#REF!+#REF!*#REF!+#REF!*#REF!</f>
        <v>#REF!</v>
      </c>
      <c r="AS90" s="39" t="e">
        <f>#REF!*#REF!+#REF!*#REF!+#REF!*#REF!+#REF!*#REF!</f>
        <v>#REF!</v>
      </c>
      <c r="AT90" s="134" t="e">
        <f>#REF!</f>
        <v>#REF!</v>
      </c>
      <c r="AU90" s="143" t="e">
        <f>#REF!</f>
        <v>#REF!</v>
      </c>
      <c r="AV90" s="39" t="e">
        <f>#REF!</f>
        <v>#REF!</v>
      </c>
      <c r="AW90" s="164"/>
      <c r="AX90" s="164"/>
      <c r="AY90" s="164"/>
      <c r="AZ90" s="164"/>
      <c r="BA90" s="164"/>
      <c r="BB90" s="164"/>
      <c r="BC90" s="164"/>
      <c r="BD90" s="164"/>
      <c r="BE90" s="164"/>
      <c r="BF90" s="134"/>
      <c r="BG90" s="132" t="e">
        <f>#REF!/#REF!</f>
        <v>#REF!</v>
      </c>
      <c r="BH90" s="132" t="e">
        <f>#REF!/#REF!</f>
        <v>#REF!</v>
      </c>
      <c r="BI90" s="39" t="e">
        <f>ROUNDUP((1-MIN(#REF!*smithy_bonus,smithy_bonus_cap) + tech_3_5*#REF! + tech_5_3*#REF! + tech_5_5*#REF!)*spec_op_plat,0)</f>
        <v>#REF!</v>
      </c>
      <c r="BJ90" s="39" t="e">
        <f>ROUNDUP(IF(race="Gnome",1,(1-MIN(#REF!*smithy_bonus,smithy_bonus_cap) + tech_3_5*#REF! + tech_5_3*#REF! + tech_5_5*#REF!))*spec_op_ore,0)</f>
        <v>#REF!</v>
      </c>
      <c r="BK90" s="39" t="e">
        <f>ROUNDUP((1-MIN(#REF!*smithy_bonus,smithy_bonus_cap) + tech_3_5*#REF! + tech_5_3*#REF! + tech_5_5*#REF!)*spec_dp_plat,0)</f>
        <v>#REF!</v>
      </c>
      <c r="BL90" s="39" t="e">
        <f>ROUNDUP(IF(race="Gnome",1,(1-MIN(#REF!*smithy_bonus,smithy_bonus_cap) + tech_3_5*#REF! + tech_5_3*#REF! + tech_5_5*#REF!))*spec_dp_ore,0)</f>
        <v>#REF!</v>
      </c>
      <c r="BM90" s="39" t="e">
        <f>ROUNDUP((1-MIN(#REF!*smithy_bonus,smithy_bonus_cap) + tech_3_5*#REF! + tech_5_3*#REF! + tech_5_5*#REF!)*elite1_plat,0)</f>
        <v>#REF!</v>
      </c>
      <c r="BN90" s="39" t="e">
        <f>ROUNDUP(IF(race="Gnome",1,(1-MIN(#REF!*smithy_bonus,smithy_bonus_cap) + tech_3_5*#REF! + tech_5_3*#REF! + tech_5_5*#REF!))*elite1_ore,0)</f>
        <v>#REF!</v>
      </c>
      <c r="BO90" s="39" t="e">
        <f>ROUNDUP((1-MIN(#REF!*smithy_bonus,smithy_bonus_cap) + tech_3_5*#REF! + tech_5_3*#REF! + tech_5_5*#REF!)*elite2_plat,0)</f>
        <v>#REF!</v>
      </c>
      <c r="BP90" s="39" t="e">
        <f>ROUNDUP(IF(race="Gnome",1,(1-MIN(#REF!*smithy_bonus,smithy_bonus_cap) + tech_3_5*#REF! + tech_5_3*#REF! + tech_5_5*#REF!))*elite2_ore,0)</f>
        <v>#REF!</v>
      </c>
      <c r="BQ90" s="39" t="e">
        <f>ROUNDUP((1-MIN(ROUND(fh_spy_cost_red*#REF!,4),fh_spy_cost_cap)+ tech_1_9*#REF! + tech_9_1*#REF!)*spy_plat,0)</f>
        <v>#REF!</v>
      </c>
      <c r="BR90" s="39" t="e">
        <f>ROUNDUP((1-MIN(ROUND(fh_spy_cost_red*#REF!,4),fh_spy_cost_cap)+ tech_1_9*#REF! + tech_9_1*#REF!)*archspy_plat,0)</f>
        <v>#REF!</v>
      </c>
      <c r="BS90" s="39" t="e">
        <f>ROUNDUP((1-MIN(ROUND(wg_wiz_cost_bonus*#REF!,4),wg_wiz_cost_cap) + tech_1_9_2*#REF! + tech_9_1_2*#REF!)*wizard_plat,0)</f>
        <v>#REF!</v>
      </c>
      <c r="BT90" s="39" t="e">
        <f>ROUNDUP((1-MIN(ROUND(wg_wiz_cost_bonus*#REF!,4),wg_wiz_cost_cap) + tech_1_9_2*#REF! + tech_9_1_2*#REF!)*archmage_plat,0)</f>
        <v>#REF!</v>
      </c>
      <c r="BU90" s="134"/>
      <c r="BV90" s="132" t="e">
        <f>#REF!/#REF!</f>
        <v>#REF!</v>
      </c>
      <c r="BW90" s="132" t="e">
        <f>#REF!</f>
        <v>#REF!</v>
      </c>
      <c r="BX90" s="241" t="e">
        <f>IF(mystic_cap="none",#REF!/mystic_bonus,MIN(mystic_cap,#REF!/mystic_bonus))</f>
        <v>#REF!</v>
      </c>
      <c r="BY90" s="241" t="e">
        <f>IF(druid_op_cap="none",#REF!/druid_op_bonus,MIN(druid_op_cap,#REF!/druid_op_bonus))</f>
        <v>#REF!</v>
      </c>
      <c r="BZ90" s="241" t="e">
        <f>IF(druid_dp_cap="none",#REF!/druid_dp_bonus,MIN(druid_dp_cap,#REF!/druid_dp_bonus))</f>
        <v>#REF!</v>
      </c>
      <c r="CA90" s="241" t="e">
        <f>MIN(dryad_cap,#REF!/dryad_bonus)</f>
        <v>#REF!</v>
      </c>
      <c r="CB90" s="241" t="e">
        <f>MIN(rocka_cap,#REF!/rocka_bonus)</f>
        <v>#REF!</v>
      </c>
      <c r="CC90" s="241" t="e">
        <f>MIN(adept_op_cap,#REF!/adept_op_bonus)</f>
        <v>#REF!</v>
      </c>
      <c r="CD90" s="241" t="e">
        <f>MIN(adept_dp_cap,#REF!/adept_dp_bonus)</f>
        <v>#REF!</v>
      </c>
      <c r="CE90" s="39" t="e">
        <f>MIN(#REF!,#REF!)*2</f>
        <v>#REF!</v>
      </c>
      <c r="CF90" s="39" t="e">
        <f>MIN(#REF!,#REF!)*2</f>
        <v>#REF!</v>
      </c>
      <c r="CG90" s="241" t="e">
        <f>MIN(frost_mage_cap,#REF!/frost_mage_bonus)</f>
        <v>#REF!</v>
      </c>
      <c r="CH90" s="3" t="e">
        <f>MIN(ice_elem_cap,#REF!*ice_elem_bonus)</f>
        <v>#REF!</v>
      </c>
      <c r="CI90" s="241">
        <f t="shared" si="3"/>
        <v>0.83333333333333337</v>
      </c>
      <c r="CJ90" s="241" t="e">
        <f>MIN(nox_nightshade_cap,#REF!/#REF!/nox_nightshade_swamp_bonus)</f>
        <v>#REF!</v>
      </c>
      <c r="CK90" s="242"/>
      <c r="CL90" s="242"/>
      <c r="CM90" s="242"/>
      <c r="CN90" s="241" t="e">
        <f>MIN(6,#REF!+Races!$F$19)*1.8 +  IF(#REF!+Races!$F$19&gt;6,(#REF!+Races!$F$19-6)*0.2,0) - Races!$I$19</f>
        <v>#REF!</v>
      </c>
      <c r="CO90" s="241" t="e">
        <f>1.8 * MIN(MAX(#REF!+Races!$E$20,#REF!+Races!$F$20),6)  +  0.45 * MIN(MIN(#REF!+Races!$E$20,#REF!+Races!$F$20),6)  +  0.2 * ( MAX(#REF!+Races!$E$20-6,0) + MAX(#REF!+Races!$F$20-6,0) )  -  Races!$I$20</f>
        <v>#REF!</v>
      </c>
      <c r="CP90" s="39" t="e">
        <f>#REF!*#REF!+#REF!*#REF!</f>
        <v>#REF!</v>
      </c>
      <c r="CQ90" s="145" t="e">
        <f>MIN(6,#REF!+Races!$F$35)*1.8 +  IF(#REF!+Races!$F$35&gt;6,(#REF!+Races!$F$35-6)*0.2,0) - Races!$I$19</f>
        <v>#REF!</v>
      </c>
      <c r="CR90" s="39" t="e">
        <f>sylvan*(#REF!*#REF!)</f>
        <v>#REF!</v>
      </c>
      <c r="CS90" s="145" t="e">
        <f>1.8 * MIN(MAX(Races!$E$27,#REF!+Races!$F$27),6)  +  0.45 * MIN(MIN(Races!$E$27,#REF!+Races!$F$27),6)  +  0.2 * ( MAX(Races!$E$27-6,0) + MAX(#REF!+Races!$F$27-6,0) )  -  Races!$I$20</f>
        <v>#REF!</v>
      </c>
      <c r="CT90" s="39" t="e">
        <f>gnome*(#REF!*#REF!)</f>
        <v>#REF!</v>
      </c>
      <c r="CU90" s="145" t="e">
        <f>1.8 * MIN(MAX(#REF!+Races!$E$47,#REF!+Races!$F$47),6)  +  0.45 * MIN(MIN(#REF!+Races!$E$47,#REF!+Races!$F$47),6)  +  0.2 * ( MAX(#REF!+Races!$E$47-6,0) + MAX(#REF!+Races!$F$47-6,0) )  -  Races!$I$47</f>
        <v>#REF!</v>
      </c>
      <c r="CV90" s="39" t="e">
        <f>dark_elf*(#REF!*#REF!)</f>
        <v>#REF!</v>
      </c>
      <c r="CW90" s="145" t="e">
        <f>1.8 * MIN(MAX(#REF!+Races!$F$71,Races!$E$71),6)  +  0.45 * MIN(MIN(#REF!+Races!$F$71,Races!$E$71),6)  +  0.2 * ( MAX(#REF!+Races!$F$71-6,0) + MAX(Races!$E$71-6,0) )  -  Races!$I$71</f>
        <v>#REF!</v>
      </c>
      <c r="CX90" s="145" t="e">
        <f>1.8 * MIN(MAX(#REF!+Races!$E$71,Races!$F$71),6)  +  0.45 * MIN(MIN(#REF!+Races!$E$71,Races!$F$71),6)  +  0.2 * ( MAX(#REF!+Races!$E$71-6,0) + MAX(Races!$F$71-6,0) )  -  Races!$I$71</f>
        <v>#REF!</v>
      </c>
      <c r="CY90" s="39" t="e">
        <f>#REF!*#REF!+#REF!*#REF!</f>
        <v>#REF!</v>
      </c>
      <c r="CZ90" s="243"/>
      <c r="DA90" s="135" t="e">
        <f>MIN(SUM(#REF!)/#REF!/favorable_terrain_bonus/100,favorable_terrain_max)</f>
        <v>#REF!</v>
      </c>
      <c r="DB90" s="243"/>
      <c r="DC90"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90" s="134"/>
      <c r="DE90" s="244" t="e">
        <f>(#REF!+2*#REF!)/#REF!</f>
        <v>#REF!</v>
      </c>
      <c r="DF90" s="244" t="e">
        <f>#REF!*(1+race_wizard_strength+IF(#REF!&gt;72,tech_magical_weaponry_wiz*#REF!,0))</f>
        <v>#REF!</v>
      </c>
    </row>
    <row r="91" spans="1:110" x14ac:dyDescent="0.25">
      <c r="A91" s="130" t="e">
        <f>#REF!</f>
        <v>#REF!</v>
      </c>
      <c r="B91" s="236" t="e">
        <f ca="1">SUM(#REF!)+SUM(OFFSET(#REF!,-8,0):#REF!) + SUM(OFFSET(#REF!,-11,0):#REF!) +#REF!</f>
        <v>#REF!</v>
      </c>
      <c r="C91" s="132" t="e">
        <f>#REF!</f>
        <v>#REF!</v>
      </c>
      <c r="D91" s="134"/>
      <c r="E91" s="3" t="e">
        <f ca="1">OFFSET(#REF!,-1,0) + OFFSET(#REF!,-9,0) -#REF!</f>
        <v>#REF!</v>
      </c>
      <c r="F91" s="3" t="e">
        <f ca="1">OFFSET(#REF!,-1,0) + OFFSET(#REF!,-9,0)-#REF!</f>
        <v>#REF!</v>
      </c>
      <c r="G91" s="3" t="e">
        <f ca="1">OFFSET(#REF!,-1,0) + OFFSET(#REF!,-12,0)-#REF!</f>
        <v>#REF!</v>
      </c>
      <c r="H91" s="3" t="e">
        <f ca="1">OFFSET(#REF!,-1,0) + OFFSET(#REF!,-12,0)-#REF!</f>
        <v>#REF!</v>
      </c>
      <c r="I91" s="3" t="e">
        <f ca="1">OFFSET(#REF!,-1,0) + OFFSET(#REF!,-12,0) -#REF!-#REF!</f>
        <v>#REF!</v>
      </c>
      <c r="J91" s="3" t="e">
        <f ca="1">OFFSET(#REF!,-1,0) + OFFSET(#REF!,-12,0) -#REF!</f>
        <v>#REF!</v>
      </c>
      <c r="K91" s="3" t="e">
        <f ca="1">OFFSET(#REF!,-1,0) + OFFSET(#REF!,-12,0) -#REF!-#REF!</f>
        <v>#REF!</v>
      </c>
      <c r="L91" s="3" t="e">
        <f ca="1">OFFSET(#REF!,-1,0) + OFFSET(#REF!,-12,0) -#REF!</f>
        <v>#REF!</v>
      </c>
      <c r="M91" s="134"/>
      <c r="N91" s="39" t="e">
        <f>#REF!</f>
        <v>#REF!</v>
      </c>
      <c r="O91" s="134"/>
      <c r="P91" s="237" t="e">
        <f>#REF!*spec_op+#REF!*(elite1_base_op)+#REF!*(elite2_base_op+dark_elf*#REF!+icekin*#REF!+woodie*#REF!+orc*#REF!)+kobold*#REF!</f>
        <v>#REF!</v>
      </c>
      <c r="Q91" s="132" t="e">
        <f>race_offense+#REF!+ROUND(MIN(gn_bonus*#REF!/#REF!,gn_bonus_cap),4)+MAX(IF(#REF!&gt;0,warsong_bonus),IF(#REF!&gt;0,howling_op_bonus),IF(#REF!&gt;0,nightfall_bonus),IF(#REF!&gt;0,#REF!)) +#REF!/ 100*prestige_offense_bonus + tech_5_4*#REF! + tech_7_4*#REF!</f>
        <v>#REF!</v>
      </c>
      <c r="R91" s="237" t="e">
        <f>#REF!*(1+#REF!)</f>
        <v>#REF!</v>
      </c>
      <c r="S91" s="237" t="e">
        <f>#REF!*spec_dp+#REF!*(elite1_base_dp+woodie*#REF!+sylvan*#REF!+gnome*#REF!+icekin*#REF!+nox*#REF!)+#REF!*(elite2_base_dp+woodie*#REF!) + fh_peas_dp*MIN(#REF!,20*#REF!)+kobold*#REF!</f>
        <v>#REF!</v>
      </c>
      <c r="T91" s="237" t="e">
        <f>#REF!+#REF!</f>
        <v>#REF!</v>
      </c>
      <c r="U91" s="238" t="e">
        <f>race_defense +#REF! + ROUND( MIN(gt_bonus*#REF!/#REF!,gt_bonus_cap), 4) + IF(#REF!&gt;0,howling_dp_bonus,IF(#REF!&gt;0,ares_call_bonus))</f>
        <v>#REF!</v>
      </c>
      <c r="V91" s="239" t="e">
        <f>#REF! * (1 +#REF!)</f>
        <v>#REF!</v>
      </c>
      <c r="W91" s="237" t="e">
        <f>#REF! * (1 +#REF!)</f>
        <v>#REF!</v>
      </c>
      <c r="X91" s="237" t="e">
        <f>#REF!</f>
        <v>#REF!</v>
      </c>
      <c r="Y91" s="240"/>
      <c r="Z91" s="135" t="e">
        <f ca="1">IF(#REF!&lt;&gt;"",#REF!,OFFSET(#REF!,-1,0))</f>
        <v>#REF!</v>
      </c>
      <c r="AA91" s="39" t="e">
        <f ca="1">OFFSET(#REF!,-1,0)+OFFSET(#REF!,-1,0) - SUM(#REF!,#REF!) -#REF! + SUM(#REF!) -#REF!</f>
        <v>#REF!</v>
      </c>
      <c r="AB91" s="133"/>
      <c r="AC91" s="132" t="e">
        <f>(#REF!+#REF!)/(#REF!-#REF!*20)</f>
        <v>#REF!</v>
      </c>
      <c r="AD91" s="130"/>
      <c r="AE91" s="236" t="e">
        <f>#REF!</f>
        <v>#REF!</v>
      </c>
      <c r="AF91" s="131" t="e">
        <f>#REF!</f>
        <v>#REF!</v>
      </c>
      <c r="AG91" s="164"/>
      <c r="AH91" s="164"/>
      <c r="AI91" s="164"/>
      <c r="AJ91" s="164"/>
      <c r="AK91" s="164"/>
      <c r="AL91" s="164"/>
      <c r="AM91" s="164"/>
      <c r="AN91" s="164"/>
      <c r="AO91" s="134"/>
      <c r="AP91" s="39" t="e">
        <f>#REF!</f>
        <v>#REF!</v>
      </c>
      <c r="AQ91" s="39" t="e">
        <f>INDEX(#REF!:#REF!,COUNTA(#REF!:#REF!),MATCH(Military!$AQ$2,#REF!,0))</f>
        <v>#REF!</v>
      </c>
      <c r="AR91" s="39" t="e">
        <f>#REF!*#REF!+#REF!*#REF!+#REF!*#REF!+#REF!*#REF!+#REF!*#REF!+#REF!*#REF!+#REF!*#REF!</f>
        <v>#REF!</v>
      </c>
      <c r="AS91" s="39" t="e">
        <f>#REF!*#REF!+#REF!*#REF!+#REF!*#REF!+#REF!*#REF!</f>
        <v>#REF!</v>
      </c>
      <c r="AT91" s="134" t="e">
        <f>#REF!</f>
        <v>#REF!</v>
      </c>
      <c r="AU91" s="143" t="e">
        <f>#REF!</f>
        <v>#REF!</v>
      </c>
      <c r="AV91" s="39" t="e">
        <f>#REF!</f>
        <v>#REF!</v>
      </c>
      <c r="AW91" s="164"/>
      <c r="AX91" s="164"/>
      <c r="AY91" s="164"/>
      <c r="AZ91" s="164"/>
      <c r="BA91" s="164"/>
      <c r="BB91" s="164"/>
      <c r="BC91" s="164"/>
      <c r="BD91" s="164"/>
      <c r="BE91" s="164"/>
      <c r="BF91" s="134"/>
      <c r="BG91" s="132" t="e">
        <f>#REF!/#REF!</f>
        <v>#REF!</v>
      </c>
      <c r="BH91" s="132" t="e">
        <f>#REF!/#REF!</f>
        <v>#REF!</v>
      </c>
      <c r="BI91" s="39" t="e">
        <f>ROUNDUP((1-MIN(#REF!*smithy_bonus,smithy_bonus_cap) + tech_3_5*#REF! + tech_5_3*#REF! + tech_5_5*#REF!)*spec_op_plat,0)</f>
        <v>#REF!</v>
      </c>
      <c r="BJ91" s="39" t="e">
        <f>ROUNDUP(IF(race="Gnome",1,(1-MIN(#REF!*smithy_bonus,smithy_bonus_cap) + tech_3_5*#REF! + tech_5_3*#REF! + tech_5_5*#REF!))*spec_op_ore,0)</f>
        <v>#REF!</v>
      </c>
      <c r="BK91" s="39" t="e">
        <f>ROUNDUP((1-MIN(#REF!*smithy_bonus,smithy_bonus_cap) + tech_3_5*#REF! + tech_5_3*#REF! + tech_5_5*#REF!)*spec_dp_plat,0)</f>
        <v>#REF!</v>
      </c>
      <c r="BL91" s="39" t="e">
        <f>ROUNDUP(IF(race="Gnome",1,(1-MIN(#REF!*smithy_bonus,smithy_bonus_cap) + tech_3_5*#REF! + tech_5_3*#REF! + tech_5_5*#REF!))*spec_dp_ore,0)</f>
        <v>#REF!</v>
      </c>
      <c r="BM91" s="39" t="e">
        <f>ROUNDUP((1-MIN(#REF!*smithy_bonus,smithy_bonus_cap) + tech_3_5*#REF! + tech_5_3*#REF! + tech_5_5*#REF!)*elite1_plat,0)</f>
        <v>#REF!</v>
      </c>
      <c r="BN91" s="39" t="e">
        <f>ROUNDUP(IF(race="Gnome",1,(1-MIN(#REF!*smithy_bonus,smithy_bonus_cap) + tech_3_5*#REF! + tech_5_3*#REF! + tech_5_5*#REF!))*elite1_ore,0)</f>
        <v>#REF!</v>
      </c>
      <c r="BO91" s="39" t="e">
        <f>ROUNDUP((1-MIN(#REF!*smithy_bonus,smithy_bonus_cap) + tech_3_5*#REF! + tech_5_3*#REF! + tech_5_5*#REF!)*elite2_plat,0)</f>
        <v>#REF!</v>
      </c>
      <c r="BP91" s="39" t="e">
        <f>ROUNDUP(IF(race="Gnome",1,(1-MIN(#REF!*smithy_bonus,smithy_bonus_cap) + tech_3_5*#REF! + tech_5_3*#REF! + tech_5_5*#REF!))*elite2_ore,0)</f>
        <v>#REF!</v>
      </c>
      <c r="BQ91" s="39" t="e">
        <f>ROUNDUP((1-MIN(ROUND(fh_spy_cost_red*#REF!,4),fh_spy_cost_cap)+ tech_1_9*#REF! + tech_9_1*#REF!)*spy_plat,0)</f>
        <v>#REF!</v>
      </c>
      <c r="BR91" s="39" t="e">
        <f>ROUNDUP((1-MIN(ROUND(fh_spy_cost_red*#REF!,4),fh_spy_cost_cap)+ tech_1_9*#REF! + tech_9_1*#REF!)*archspy_plat,0)</f>
        <v>#REF!</v>
      </c>
      <c r="BS91" s="39" t="e">
        <f>ROUNDUP((1-MIN(ROUND(wg_wiz_cost_bonus*#REF!,4),wg_wiz_cost_cap) + tech_1_9_2*#REF! + tech_9_1_2*#REF!)*wizard_plat,0)</f>
        <v>#REF!</v>
      </c>
      <c r="BT91" s="39" t="e">
        <f>ROUNDUP((1-MIN(ROUND(wg_wiz_cost_bonus*#REF!,4),wg_wiz_cost_cap) + tech_1_9_2*#REF! + tech_9_1_2*#REF!)*archmage_plat,0)</f>
        <v>#REF!</v>
      </c>
      <c r="BU91" s="134"/>
      <c r="BV91" s="132" t="e">
        <f>#REF!/#REF!</f>
        <v>#REF!</v>
      </c>
      <c r="BW91" s="132" t="e">
        <f>#REF!</f>
        <v>#REF!</v>
      </c>
      <c r="BX91" s="241" t="e">
        <f>IF(mystic_cap="none",#REF!/mystic_bonus,MIN(mystic_cap,#REF!/mystic_bonus))</f>
        <v>#REF!</v>
      </c>
      <c r="BY91" s="241" t="e">
        <f>IF(druid_op_cap="none",#REF!/druid_op_bonus,MIN(druid_op_cap,#REF!/druid_op_bonus))</f>
        <v>#REF!</v>
      </c>
      <c r="BZ91" s="241" t="e">
        <f>IF(druid_dp_cap="none",#REF!/druid_dp_bonus,MIN(druid_dp_cap,#REF!/druid_dp_bonus))</f>
        <v>#REF!</v>
      </c>
      <c r="CA91" s="241" t="e">
        <f>MIN(dryad_cap,#REF!/dryad_bonus)</f>
        <v>#REF!</v>
      </c>
      <c r="CB91" s="241" t="e">
        <f>MIN(rocka_cap,#REF!/rocka_bonus)</f>
        <v>#REF!</v>
      </c>
      <c r="CC91" s="241" t="e">
        <f>MIN(adept_op_cap,#REF!/adept_op_bonus)</f>
        <v>#REF!</v>
      </c>
      <c r="CD91" s="241" t="e">
        <f>MIN(adept_dp_cap,#REF!/adept_dp_bonus)</f>
        <v>#REF!</v>
      </c>
      <c r="CE91" s="39" t="e">
        <f>MIN(#REF!,#REF!)*2</f>
        <v>#REF!</v>
      </c>
      <c r="CF91" s="39" t="e">
        <f>MIN(#REF!,#REF!)*2</f>
        <v>#REF!</v>
      </c>
      <c r="CG91" s="241" t="e">
        <f>MIN(frost_mage_cap,#REF!/frost_mage_bonus)</f>
        <v>#REF!</v>
      </c>
      <c r="CH91" s="3" t="e">
        <f>MIN(ice_elem_cap,#REF!*ice_elem_bonus)</f>
        <v>#REF!</v>
      </c>
      <c r="CI91" s="241">
        <f t="shared" si="3"/>
        <v>0.83333333333333337</v>
      </c>
      <c r="CJ91" s="241" t="e">
        <f>MIN(nox_nightshade_cap,#REF!/#REF!/nox_nightshade_swamp_bonus)</f>
        <v>#REF!</v>
      </c>
      <c r="CK91" s="242"/>
      <c r="CL91" s="242"/>
      <c r="CM91" s="242"/>
      <c r="CN91" s="241" t="e">
        <f>MIN(6,#REF!+Races!$F$19)*1.8 +  IF(#REF!+Races!$F$19&gt;6,(#REF!+Races!$F$19-6)*0.2,0) - Races!$I$19</f>
        <v>#REF!</v>
      </c>
      <c r="CO91" s="241" t="e">
        <f>1.8 * MIN(MAX(#REF!+Races!$E$20,#REF!+Races!$F$20),6)  +  0.45 * MIN(MIN(#REF!+Races!$E$20,#REF!+Races!$F$20),6)  +  0.2 * ( MAX(#REF!+Races!$E$20-6,0) + MAX(#REF!+Races!$F$20-6,0) )  -  Races!$I$20</f>
        <v>#REF!</v>
      </c>
      <c r="CP91" s="39" t="e">
        <f>#REF!*#REF!+#REF!*#REF!</f>
        <v>#REF!</v>
      </c>
      <c r="CQ91" s="145" t="e">
        <f>MIN(6,#REF!+Races!$F$35)*1.8 +  IF(#REF!+Races!$F$35&gt;6,(#REF!+Races!$F$35-6)*0.2,0) - Races!$I$19</f>
        <v>#REF!</v>
      </c>
      <c r="CR91" s="39" t="e">
        <f>sylvan*(#REF!*#REF!)</f>
        <v>#REF!</v>
      </c>
      <c r="CS91" s="145" t="e">
        <f>1.8 * MIN(MAX(Races!$E$27,#REF!+Races!$F$27),6)  +  0.45 * MIN(MIN(Races!$E$27,#REF!+Races!$F$27),6)  +  0.2 * ( MAX(Races!$E$27-6,0) + MAX(#REF!+Races!$F$27-6,0) )  -  Races!$I$20</f>
        <v>#REF!</v>
      </c>
      <c r="CT91" s="39" t="e">
        <f>gnome*(#REF!*#REF!)</f>
        <v>#REF!</v>
      </c>
      <c r="CU91" s="145" t="e">
        <f>1.8 * MIN(MAX(#REF!+Races!$E$47,#REF!+Races!$F$47),6)  +  0.45 * MIN(MIN(#REF!+Races!$E$47,#REF!+Races!$F$47),6)  +  0.2 * ( MAX(#REF!+Races!$E$47-6,0) + MAX(#REF!+Races!$F$47-6,0) )  -  Races!$I$47</f>
        <v>#REF!</v>
      </c>
      <c r="CV91" s="39" t="e">
        <f>dark_elf*(#REF!*#REF!)</f>
        <v>#REF!</v>
      </c>
      <c r="CW91" s="145" t="e">
        <f>1.8 * MIN(MAX(#REF!+Races!$F$71,Races!$E$71),6)  +  0.45 * MIN(MIN(#REF!+Races!$F$71,Races!$E$71),6)  +  0.2 * ( MAX(#REF!+Races!$F$71-6,0) + MAX(Races!$E$71-6,0) )  -  Races!$I$71</f>
        <v>#REF!</v>
      </c>
      <c r="CX91" s="145" t="e">
        <f>1.8 * MIN(MAX(#REF!+Races!$E$71,Races!$F$71),6)  +  0.45 * MIN(MIN(#REF!+Races!$E$71,Races!$F$71),6)  +  0.2 * ( MAX(#REF!+Races!$E$71-6,0) + MAX(Races!$F$71-6,0) )  -  Races!$I$71</f>
        <v>#REF!</v>
      </c>
      <c r="CY91" s="39" t="e">
        <f>#REF!*#REF!+#REF!*#REF!</f>
        <v>#REF!</v>
      </c>
      <c r="CZ91" s="243"/>
      <c r="DA91" s="135" t="e">
        <f>MIN(SUM(#REF!)/#REF!/favorable_terrain_bonus/100,favorable_terrain_max)</f>
        <v>#REF!</v>
      </c>
      <c r="DB91" s="243"/>
      <c r="DC91"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91" s="134"/>
      <c r="DE91" s="244" t="e">
        <f>(#REF!+2*#REF!)/#REF!</f>
        <v>#REF!</v>
      </c>
      <c r="DF91" s="244" t="e">
        <f>#REF!*(1+race_wizard_strength+IF(#REF!&gt;72,tech_magical_weaponry_wiz*#REF!,0))</f>
        <v>#REF!</v>
      </c>
    </row>
    <row r="92" spans="1:110" x14ac:dyDescent="0.25">
      <c r="A92" s="130" t="e">
        <f>#REF!</f>
        <v>#REF!</v>
      </c>
      <c r="B92" s="236" t="e">
        <f ca="1">SUM(#REF!)+SUM(OFFSET(#REF!,-8,0):#REF!) + SUM(OFFSET(#REF!,-11,0):#REF!) +#REF!</f>
        <v>#REF!</v>
      </c>
      <c r="C92" s="132" t="e">
        <f>#REF!</f>
        <v>#REF!</v>
      </c>
      <c r="D92" s="134"/>
      <c r="E92" s="3" t="e">
        <f ca="1">OFFSET(#REF!,-1,0) + OFFSET(#REF!,-9,0) -#REF!</f>
        <v>#REF!</v>
      </c>
      <c r="F92" s="3" t="e">
        <f ca="1">OFFSET(#REF!,-1,0) + OFFSET(#REF!,-9,0)-#REF!</f>
        <v>#REF!</v>
      </c>
      <c r="G92" s="3" t="e">
        <f ca="1">OFFSET(#REF!,-1,0) + OFFSET(#REF!,-12,0)-#REF!</f>
        <v>#REF!</v>
      </c>
      <c r="H92" s="3" t="e">
        <f ca="1">OFFSET(#REF!,-1,0) + OFFSET(#REF!,-12,0)-#REF!</f>
        <v>#REF!</v>
      </c>
      <c r="I92" s="3" t="e">
        <f ca="1">OFFSET(#REF!,-1,0) + OFFSET(#REF!,-12,0) -#REF!-#REF!</f>
        <v>#REF!</v>
      </c>
      <c r="J92" s="3" t="e">
        <f ca="1">OFFSET(#REF!,-1,0) + OFFSET(#REF!,-12,0) -#REF!</f>
        <v>#REF!</v>
      </c>
      <c r="K92" s="3" t="e">
        <f ca="1">OFFSET(#REF!,-1,0) + OFFSET(#REF!,-12,0) -#REF!-#REF!</f>
        <v>#REF!</v>
      </c>
      <c r="L92" s="3" t="e">
        <f ca="1">OFFSET(#REF!,-1,0) + OFFSET(#REF!,-12,0) -#REF!</f>
        <v>#REF!</v>
      </c>
      <c r="M92" s="134"/>
      <c r="N92" s="39" t="e">
        <f>#REF!</f>
        <v>#REF!</v>
      </c>
      <c r="O92" s="134"/>
      <c r="P92" s="237" t="e">
        <f>#REF!*spec_op+#REF!*(elite1_base_op)+#REF!*(elite2_base_op+dark_elf*#REF!+icekin*#REF!+woodie*#REF!+orc*#REF!)+kobold*#REF!</f>
        <v>#REF!</v>
      </c>
      <c r="Q92" s="132" t="e">
        <f>race_offense+#REF!+ROUND(MIN(gn_bonus*#REF!/#REF!,gn_bonus_cap),4)+MAX(IF(#REF!&gt;0,warsong_bonus),IF(#REF!&gt;0,howling_op_bonus),IF(#REF!&gt;0,nightfall_bonus),IF(#REF!&gt;0,#REF!)) +#REF!/ 100*prestige_offense_bonus + tech_5_4*#REF! + tech_7_4*#REF!</f>
        <v>#REF!</v>
      </c>
      <c r="R92" s="237" t="e">
        <f>#REF!*(1+#REF!)</f>
        <v>#REF!</v>
      </c>
      <c r="S92" s="237" t="e">
        <f>#REF!*spec_dp+#REF!*(elite1_base_dp+woodie*#REF!+sylvan*#REF!+gnome*#REF!+icekin*#REF!+nox*#REF!)+#REF!*(elite2_base_dp+woodie*#REF!) + fh_peas_dp*MIN(#REF!,20*#REF!)+kobold*#REF!</f>
        <v>#REF!</v>
      </c>
      <c r="T92" s="237" t="e">
        <f>#REF!+#REF!</f>
        <v>#REF!</v>
      </c>
      <c r="U92" s="238" t="e">
        <f>race_defense +#REF! + ROUND( MIN(gt_bonus*#REF!/#REF!,gt_bonus_cap), 4) + IF(#REF!&gt;0,howling_dp_bonus,IF(#REF!&gt;0,ares_call_bonus))</f>
        <v>#REF!</v>
      </c>
      <c r="V92" s="239" t="e">
        <f>#REF! * (1 +#REF!)</f>
        <v>#REF!</v>
      </c>
      <c r="W92" s="237" t="e">
        <f>#REF! * (1 +#REF!)</f>
        <v>#REF!</v>
      </c>
      <c r="X92" s="237" t="e">
        <f>#REF!</f>
        <v>#REF!</v>
      </c>
      <c r="Y92" s="240"/>
      <c r="Z92" s="135" t="e">
        <f ca="1">IF(#REF!&lt;&gt;"",#REF!,OFFSET(#REF!,-1,0))</f>
        <v>#REF!</v>
      </c>
      <c r="AA92" s="39" t="e">
        <f ca="1">OFFSET(#REF!,-1,0)+OFFSET(#REF!,-1,0) - SUM(#REF!,#REF!) -#REF! + SUM(#REF!) -#REF!</f>
        <v>#REF!</v>
      </c>
      <c r="AB92" s="133"/>
      <c r="AC92" s="132" t="e">
        <f>(#REF!+#REF!)/(#REF!-#REF!*20)</f>
        <v>#REF!</v>
      </c>
      <c r="AD92" s="130"/>
      <c r="AE92" s="236" t="e">
        <f>#REF!</f>
        <v>#REF!</v>
      </c>
      <c r="AF92" s="131" t="e">
        <f>#REF!</f>
        <v>#REF!</v>
      </c>
      <c r="AG92" s="164"/>
      <c r="AH92" s="164"/>
      <c r="AI92" s="164"/>
      <c r="AJ92" s="164"/>
      <c r="AK92" s="164"/>
      <c r="AL92" s="164"/>
      <c r="AM92" s="164"/>
      <c r="AN92" s="164"/>
      <c r="AO92" s="134"/>
      <c r="AP92" s="39" t="e">
        <f>#REF!</f>
        <v>#REF!</v>
      </c>
      <c r="AQ92" s="39" t="e">
        <f>INDEX(#REF!:#REF!,COUNTA(#REF!:#REF!),MATCH(Military!$AQ$2,#REF!,0))</f>
        <v>#REF!</v>
      </c>
      <c r="AR92" s="39" t="e">
        <f>#REF!*#REF!+#REF!*#REF!+#REF!*#REF!+#REF!*#REF!+#REF!*#REF!+#REF!*#REF!+#REF!*#REF!</f>
        <v>#REF!</v>
      </c>
      <c r="AS92" s="39" t="e">
        <f>#REF!*#REF!+#REF!*#REF!+#REF!*#REF!+#REF!*#REF!</f>
        <v>#REF!</v>
      </c>
      <c r="AT92" s="134" t="e">
        <f>#REF!</f>
        <v>#REF!</v>
      </c>
      <c r="AU92" s="143" t="e">
        <f>#REF!</f>
        <v>#REF!</v>
      </c>
      <c r="AV92" s="39" t="e">
        <f>#REF!</f>
        <v>#REF!</v>
      </c>
      <c r="AW92" s="164"/>
      <c r="AX92" s="164"/>
      <c r="AY92" s="164"/>
      <c r="AZ92" s="164"/>
      <c r="BA92" s="164"/>
      <c r="BB92" s="164"/>
      <c r="BC92" s="164"/>
      <c r="BD92" s="164"/>
      <c r="BE92" s="164"/>
      <c r="BF92" s="134"/>
      <c r="BG92" s="132" t="e">
        <f>#REF!/#REF!</f>
        <v>#REF!</v>
      </c>
      <c r="BH92" s="132" t="e">
        <f>#REF!/#REF!</f>
        <v>#REF!</v>
      </c>
      <c r="BI92" s="39" t="e">
        <f>ROUNDUP((1-MIN(#REF!*smithy_bonus,smithy_bonus_cap) + tech_3_5*#REF! + tech_5_3*#REF! + tech_5_5*#REF!)*spec_op_plat,0)</f>
        <v>#REF!</v>
      </c>
      <c r="BJ92" s="39" t="e">
        <f>ROUNDUP(IF(race="Gnome",1,(1-MIN(#REF!*smithy_bonus,smithy_bonus_cap) + tech_3_5*#REF! + tech_5_3*#REF! + tech_5_5*#REF!))*spec_op_ore,0)</f>
        <v>#REF!</v>
      </c>
      <c r="BK92" s="39" t="e">
        <f>ROUNDUP((1-MIN(#REF!*smithy_bonus,smithy_bonus_cap) + tech_3_5*#REF! + tech_5_3*#REF! + tech_5_5*#REF!)*spec_dp_plat,0)</f>
        <v>#REF!</v>
      </c>
      <c r="BL92" s="39" t="e">
        <f>ROUNDUP(IF(race="Gnome",1,(1-MIN(#REF!*smithy_bonus,smithy_bonus_cap) + tech_3_5*#REF! + tech_5_3*#REF! + tech_5_5*#REF!))*spec_dp_ore,0)</f>
        <v>#REF!</v>
      </c>
      <c r="BM92" s="39" t="e">
        <f>ROUNDUP((1-MIN(#REF!*smithy_bonus,smithy_bonus_cap) + tech_3_5*#REF! + tech_5_3*#REF! + tech_5_5*#REF!)*elite1_plat,0)</f>
        <v>#REF!</v>
      </c>
      <c r="BN92" s="39" t="e">
        <f>ROUNDUP(IF(race="Gnome",1,(1-MIN(#REF!*smithy_bonus,smithy_bonus_cap) + tech_3_5*#REF! + tech_5_3*#REF! + tech_5_5*#REF!))*elite1_ore,0)</f>
        <v>#REF!</v>
      </c>
      <c r="BO92" s="39" t="e">
        <f>ROUNDUP((1-MIN(#REF!*smithy_bonus,smithy_bonus_cap) + tech_3_5*#REF! + tech_5_3*#REF! + tech_5_5*#REF!)*elite2_plat,0)</f>
        <v>#REF!</v>
      </c>
      <c r="BP92" s="39" t="e">
        <f>ROUNDUP(IF(race="Gnome",1,(1-MIN(#REF!*smithy_bonus,smithy_bonus_cap) + tech_3_5*#REF! + tech_5_3*#REF! + tech_5_5*#REF!))*elite2_ore,0)</f>
        <v>#REF!</v>
      </c>
      <c r="BQ92" s="39" t="e">
        <f>ROUNDUP((1-MIN(ROUND(fh_spy_cost_red*#REF!,4),fh_spy_cost_cap)+ tech_1_9*#REF! + tech_9_1*#REF!)*spy_plat,0)</f>
        <v>#REF!</v>
      </c>
      <c r="BR92" s="39" t="e">
        <f>ROUNDUP((1-MIN(ROUND(fh_spy_cost_red*#REF!,4),fh_spy_cost_cap)+ tech_1_9*#REF! + tech_9_1*#REF!)*archspy_plat,0)</f>
        <v>#REF!</v>
      </c>
      <c r="BS92" s="39" t="e">
        <f>ROUNDUP((1-MIN(ROUND(wg_wiz_cost_bonus*#REF!,4),wg_wiz_cost_cap) + tech_1_9_2*#REF! + tech_9_1_2*#REF!)*wizard_plat,0)</f>
        <v>#REF!</v>
      </c>
      <c r="BT92" s="39" t="e">
        <f>ROUNDUP((1-MIN(ROUND(wg_wiz_cost_bonus*#REF!,4),wg_wiz_cost_cap) + tech_1_9_2*#REF! + tech_9_1_2*#REF!)*archmage_plat,0)</f>
        <v>#REF!</v>
      </c>
      <c r="BU92" s="134"/>
      <c r="BV92" s="132" t="e">
        <f>#REF!/#REF!</f>
        <v>#REF!</v>
      </c>
      <c r="BW92" s="132" t="e">
        <f>#REF!</f>
        <v>#REF!</v>
      </c>
      <c r="BX92" s="241" t="e">
        <f>IF(mystic_cap="none",#REF!/mystic_bonus,MIN(mystic_cap,#REF!/mystic_bonus))</f>
        <v>#REF!</v>
      </c>
      <c r="BY92" s="241" t="e">
        <f>IF(druid_op_cap="none",#REF!/druid_op_bonus,MIN(druid_op_cap,#REF!/druid_op_bonus))</f>
        <v>#REF!</v>
      </c>
      <c r="BZ92" s="241" t="e">
        <f>IF(druid_dp_cap="none",#REF!/druid_dp_bonus,MIN(druid_dp_cap,#REF!/druid_dp_bonus))</f>
        <v>#REF!</v>
      </c>
      <c r="CA92" s="241" t="e">
        <f>MIN(dryad_cap,#REF!/dryad_bonus)</f>
        <v>#REF!</v>
      </c>
      <c r="CB92" s="241" t="e">
        <f>MIN(rocka_cap,#REF!/rocka_bonus)</f>
        <v>#REF!</v>
      </c>
      <c r="CC92" s="241" t="e">
        <f>MIN(adept_op_cap,#REF!/adept_op_bonus)</f>
        <v>#REF!</v>
      </c>
      <c r="CD92" s="241" t="e">
        <f>MIN(adept_dp_cap,#REF!/adept_dp_bonus)</f>
        <v>#REF!</v>
      </c>
      <c r="CE92" s="39" t="e">
        <f>MIN(#REF!,#REF!)*2</f>
        <v>#REF!</v>
      </c>
      <c r="CF92" s="39" t="e">
        <f>MIN(#REF!,#REF!)*2</f>
        <v>#REF!</v>
      </c>
      <c r="CG92" s="241" t="e">
        <f>MIN(frost_mage_cap,#REF!/frost_mage_bonus)</f>
        <v>#REF!</v>
      </c>
      <c r="CH92" s="3" t="e">
        <f>MIN(ice_elem_cap,#REF!*ice_elem_bonus)</f>
        <v>#REF!</v>
      </c>
      <c r="CI92" s="241">
        <f t="shared" si="3"/>
        <v>0.83333333333333337</v>
      </c>
      <c r="CJ92" s="241" t="e">
        <f>MIN(nox_nightshade_cap,#REF!/#REF!/nox_nightshade_swamp_bonus)</f>
        <v>#REF!</v>
      </c>
      <c r="CK92" s="242"/>
      <c r="CL92" s="242"/>
      <c r="CM92" s="242"/>
      <c r="CN92" s="241" t="e">
        <f>MIN(6,#REF!+Races!$F$19)*1.8 +  IF(#REF!+Races!$F$19&gt;6,(#REF!+Races!$F$19-6)*0.2,0) - Races!$I$19</f>
        <v>#REF!</v>
      </c>
      <c r="CO92" s="241" t="e">
        <f>1.8 * MIN(MAX(#REF!+Races!$E$20,#REF!+Races!$F$20),6)  +  0.45 * MIN(MIN(#REF!+Races!$E$20,#REF!+Races!$F$20),6)  +  0.2 * ( MAX(#REF!+Races!$E$20-6,0) + MAX(#REF!+Races!$F$20-6,0) )  -  Races!$I$20</f>
        <v>#REF!</v>
      </c>
      <c r="CP92" s="39" t="e">
        <f>#REF!*#REF!+#REF!*#REF!</f>
        <v>#REF!</v>
      </c>
      <c r="CQ92" s="145" t="e">
        <f>MIN(6,#REF!+Races!$F$35)*1.8 +  IF(#REF!+Races!$F$35&gt;6,(#REF!+Races!$F$35-6)*0.2,0) - Races!$I$19</f>
        <v>#REF!</v>
      </c>
      <c r="CR92" s="39" t="e">
        <f>sylvan*(#REF!*#REF!)</f>
        <v>#REF!</v>
      </c>
      <c r="CS92" s="145" t="e">
        <f>1.8 * MIN(MAX(Races!$E$27,#REF!+Races!$F$27),6)  +  0.45 * MIN(MIN(Races!$E$27,#REF!+Races!$F$27),6)  +  0.2 * ( MAX(Races!$E$27-6,0) + MAX(#REF!+Races!$F$27-6,0) )  -  Races!$I$20</f>
        <v>#REF!</v>
      </c>
      <c r="CT92" s="39" t="e">
        <f>gnome*(#REF!*#REF!)</f>
        <v>#REF!</v>
      </c>
      <c r="CU92" s="145" t="e">
        <f>1.8 * MIN(MAX(#REF!+Races!$E$47,#REF!+Races!$F$47),6)  +  0.45 * MIN(MIN(#REF!+Races!$E$47,#REF!+Races!$F$47),6)  +  0.2 * ( MAX(#REF!+Races!$E$47-6,0) + MAX(#REF!+Races!$F$47-6,0) )  -  Races!$I$47</f>
        <v>#REF!</v>
      </c>
      <c r="CV92" s="39" t="e">
        <f>dark_elf*(#REF!*#REF!)</f>
        <v>#REF!</v>
      </c>
      <c r="CW92" s="145" t="e">
        <f>1.8 * MIN(MAX(#REF!+Races!$F$71,Races!$E$71),6)  +  0.45 * MIN(MIN(#REF!+Races!$F$71,Races!$E$71),6)  +  0.2 * ( MAX(#REF!+Races!$F$71-6,0) + MAX(Races!$E$71-6,0) )  -  Races!$I$71</f>
        <v>#REF!</v>
      </c>
      <c r="CX92" s="145" t="e">
        <f>1.8 * MIN(MAX(#REF!+Races!$E$71,Races!$F$71),6)  +  0.45 * MIN(MIN(#REF!+Races!$E$71,Races!$F$71),6)  +  0.2 * ( MAX(#REF!+Races!$E$71-6,0) + MAX(Races!$F$71-6,0) )  -  Races!$I$71</f>
        <v>#REF!</v>
      </c>
      <c r="CY92" s="39" t="e">
        <f>#REF!*#REF!+#REF!*#REF!</f>
        <v>#REF!</v>
      </c>
      <c r="CZ92" s="243"/>
      <c r="DA92" s="135" t="e">
        <f>MIN(SUM(#REF!)/#REF!/favorable_terrain_bonus/100,favorable_terrain_max)</f>
        <v>#REF!</v>
      </c>
      <c r="DB92" s="243"/>
      <c r="DC92"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92" s="134"/>
      <c r="DE92" s="244" t="e">
        <f>(#REF!+2*#REF!)/#REF!</f>
        <v>#REF!</v>
      </c>
      <c r="DF92" s="244" t="e">
        <f>#REF!*(1+race_wizard_strength+IF(#REF!&gt;72,tech_magical_weaponry_wiz*#REF!,0))</f>
        <v>#REF!</v>
      </c>
    </row>
    <row r="93" spans="1:110" x14ac:dyDescent="0.25">
      <c r="A93" s="130" t="e">
        <f>#REF!</f>
        <v>#REF!</v>
      </c>
      <c r="B93" s="236" t="e">
        <f ca="1">SUM(#REF!)+SUM(OFFSET(#REF!,-8,0):#REF!) + SUM(OFFSET(#REF!,-11,0):#REF!) +#REF!</f>
        <v>#REF!</v>
      </c>
      <c r="C93" s="132" t="e">
        <f>#REF!</f>
        <v>#REF!</v>
      </c>
      <c r="D93" s="134"/>
      <c r="E93" s="3" t="e">
        <f ca="1">OFFSET(#REF!,-1,0) + OFFSET(#REF!,-9,0) -#REF!</f>
        <v>#REF!</v>
      </c>
      <c r="F93" s="3" t="e">
        <f ca="1">OFFSET(#REF!,-1,0) + OFFSET(#REF!,-9,0)-#REF!</f>
        <v>#REF!</v>
      </c>
      <c r="G93" s="3" t="e">
        <f ca="1">OFFSET(#REF!,-1,0) + OFFSET(#REF!,-12,0)-#REF!</f>
        <v>#REF!</v>
      </c>
      <c r="H93" s="3" t="e">
        <f ca="1">OFFSET(#REF!,-1,0) + OFFSET(#REF!,-12,0)-#REF!</f>
        <v>#REF!</v>
      </c>
      <c r="I93" s="3" t="e">
        <f ca="1">OFFSET(#REF!,-1,0) + OFFSET(#REF!,-12,0) -#REF!-#REF!</f>
        <v>#REF!</v>
      </c>
      <c r="J93" s="3" t="e">
        <f ca="1">OFFSET(#REF!,-1,0) + OFFSET(#REF!,-12,0) -#REF!</f>
        <v>#REF!</v>
      </c>
      <c r="K93" s="3" t="e">
        <f ca="1">OFFSET(#REF!,-1,0) + OFFSET(#REF!,-12,0) -#REF!-#REF!</f>
        <v>#REF!</v>
      </c>
      <c r="L93" s="3" t="e">
        <f ca="1">OFFSET(#REF!,-1,0) + OFFSET(#REF!,-12,0) -#REF!</f>
        <v>#REF!</v>
      </c>
      <c r="M93" s="134"/>
      <c r="N93" s="39" t="e">
        <f>#REF!</f>
        <v>#REF!</v>
      </c>
      <c r="O93" s="134"/>
      <c r="P93" s="237" t="e">
        <f>#REF!*spec_op+#REF!*(elite1_base_op)+#REF!*(elite2_base_op+dark_elf*#REF!+icekin*#REF!+woodie*#REF!+orc*#REF!)+kobold*#REF!</f>
        <v>#REF!</v>
      </c>
      <c r="Q93" s="132" t="e">
        <f>race_offense+#REF!+ROUND(MIN(gn_bonus*#REF!/#REF!,gn_bonus_cap),4)+MAX(IF(#REF!&gt;0,warsong_bonus),IF(#REF!&gt;0,howling_op_bonus),IF(#REF!&gt;0,nightfall_bonus),IF(#REF!&gt;0,#REF!)) +#REF!/ 100*prestige_offense_bonus + tech_5_4*#REF! + tech_7_4*#REF!</f>
        <v>#REF!</v>
      </c>
      <c r="R93" s="237" t="e">
        <f>#REF!*(1+#REF!)</f>
        <v>#REF!</v>
      </c>
      <c r="S93" s="237" t="e">
        <f>#REF!*spec_dp+#REF!*(elite1_base_dp+woodie*#REF!+sylvan*#REF!+gnome*#REF!+icekin*#REF!+nox*#REF!)+#REF!*(elite2_base_dp+woodie*#REF!) + fh_peas_dp*MIN(#REF!,20*#REF!)+kobold*#REF!</f>
        <v>#REF!</v>
      </c>
      <c r="T93" s="237" t="e">
        <f>#REF!+#REF!</f>
        <v>#REF!</v>
      </c>
      <c r="U93" s="238" t="e">
        <f>race_defense +#REF! + ROUND( MIN(gt_bonus*#REF!/#REF!,gt_bonus_cap), 4) + IF(#REF!&gt;0,howling_dp_bonus,IF(#REF!&gt;0,ares_call_bonus))</f>
        <v>#REF!</v>
      </c>
      <c r="V93" s="239" t="e">
        <f>#REF! * (1 +#REF!)</f>
        <v>#REF!</v>
      </c>
      <c r="W93" s="237" t="e">
        <f>#REF! * (1 +#REF!)</f>
        <v>#REF!</v>
      </c>
      <c r="X93" s="237" t="e">
        <f>#REF!</f>
        <v>#REF!</v>
      </c>
      <c r="Y93" s="240"/>
      <c r="Z93" s="135" t="e">
        <f ca="1">IF(#REF!&lt;&gt;"",#REF!,OFFSET(#REF!,-1,0))</f>
        <v>#REF!</v>
      </c>
      <c r="AA93" s="39" t="e">
        <f ca="1">OFFSET(#REF!,-1,0)+OFFSET(#REF!,-1,0) - SUM(#REF!,#REF!) -#REF! + SUM(#REF!) -#REF!</f>
        <v>#REF!</v>
      </c>
      <c r="AB93" s="133"/>
      <c r="AC93" s="132" t="e">
        <f>(#REF!+#REF!)/(#REF!-#REF!*20)</f>
        <v>#REF!</v>
      </c>
      <c r="AD93" s="130"/>
      <c r="AE93" s="236" t="e">
        <f>#REF!</f>
        <v>#REF!</v>
      </c>
      <c r="AF93" s="131" t="e">
        <f>#REF!</f>
        <v>#REF!</v>
      </c>
      <c r="AG93" s="164"/>
      <c r="AH93" s="164"/>
      <c r="AI93" s="164"/>
      <c r="AJ93" s="164"/>
      <c r="AK93" s="164"/>
      <c r="AL93" s="164"/>
      <c r="AM93" s="164"/>
      <c r="AN93" s="164"/>
      <c r="AO93" s="134"/>
      <c r="AP93" s="39" t="e">
        <f>#REF!</f>
        <v>#REF!</v>
      </c>
      <c r="AQ93" s="39" t="e">
        <f>INDEX(#REF!:#REF!,COUNTA(#REF!:#REF!),MATCH(Military!$AQ$2,#REF!,0))</f>
        <v>#REF!</v>
      </c>
      <c r="AR93" s="39" t="e">
        <f>#REF!*#REF!+#REF!*#REF!+#REF!*#REF!+#REF!*#REF!+#REF!*#REF!+#REF!*#REF!+#REF!*#REF!</f>
        <v>#REF!</v>
      </c>
      <c r="AS93" s="39" t="e">
        <f>#REF!*#REF!+#REF!*#REF!+#REF!*#REF!+#REF!*#REF!</f>
        <v>#REF!</v>
      </c>
      <c r="AT93" s="134" t="e">
        <f>#REF!</f>
        <v>#REF!</v>
      </c>
      <c r="AU93" s="143" t="e">
        <f>#REF!</f>
        <v>#REF!</v>
      </c>
      <c r="AV93" s="39" t="e">
        <f>#REF!</f>
        <v>#REF!</v>
      </c>
      <c r="AW93" s="164"/>
      <c r="AX93" s="164"/>
      <c r="AY93" s="164"/>
      <c r="AZ93" s="164"/>
      <c r="BA93" s="164"/>
      <c r="BB93" s="164"/>
      <c r="BC93" s="164"/>
      <c r="BD93" s="164"/>
      <c r="BE93" s="164"/>
      <c r="BF93" s="134"/>
      <c r="BG93" s="132" t="e">
        <f>#REF!/#REF!</f>
        <v>#REF!</v>
      </c>
      <c r="BH93" s="132" t="e">
        <f>#REF!/#REF!</f>
        <v>#REF!</v>
      </c>
      <c r="BI93" s="39" t="e">
        <f>ROUNDUP((1-MIN(#REF!*smithy_bonus,smithy_bonus_cap) + tech_3_5*#REF! + tech_5_3*#REF! + tech_5_5*#REF!)*spec_op_plat,0)</f>
        <v>#REF!</v>
      </c>
      <c r="BJ93" s="39" t="e">
        <f>ROUNDUP(IF(race="Gnome",1,(1-MIN(#REF!*smithy_bonus,smithy_bonus_cap) + tech_3_5*#REF! + tech_5_3*#REF! + tech_5_5*#REF!))*spec_op_ore,0)</f>
        <v>#REF!</v>
      </c>
      <c r="BK93" s="39" t="e">
        <f>ROUNDUP((1-MIN(#REF!*smithy_bonus,smithy_bonus_cap) + tech_3_5*#REF! + tech_5_3*#REF! + tech_5_5*#REF!)*spec_dp_plat,0)</f>
        <v>#REF!</v>
      </c>
      <c r="BL93" s="39" t="e">
        <f>ROUNDUP(IF(race="Gnome",1,(1-MIN(#REF!*smithy_bonus,smithy_bonus_cap) + tech_3_5*#REF! + tech_5_3*#REF! + tech_5_5*#REF!))*spec_dp_ore,0)</f>
        <v>#REF!</v>
      </c>
      <c r="BM93" s="39" t="e">
        <f>ROUNDUP((1-MIN(#REF!*smithy_bonus,smithy_bonus_cap) + tech_3_5*#REF! + tech_5_3*#REF! + tech_5_5*#REF!)*elite1_plat,0)</f>
        <v>#REF!</v>
      </c>
      <c r="BN93" s="39" t="e">
        <f>ROUNDUP(IF(race="Gnome",1,(1-MIN(#REF!*smithy_bonus,smithy_bonus_cap) + tech_3_5*#REF! + tech_5_3*#REF! + tech_5_5*#REF!))*elite1_ore,0)</f>
        <v>#REF!</v>
      </c>
      <c r="BO93" s="39" t="e">
        <f>ROUNDUP((1-MIN(#REF!*smithy_bonus,smithy_bonus_cap) + tech_3_5*#REF! + tech_5_3*#REF! + tech_5_5*#REF!)*elite2_plat,0)</f>
        <v>#REF!</v>
      </c>
      <c r="BP93" s="39" t="e">
        <f>ROUNDUP(IF(race="Gnome",1,(1-MIN(#REF!*smithy_bonus,smithy_bonus_cap) + tech_3_5*#REF! + tech_5_3*#REF! + tech_5_5*#REF!))*elite2_ore,0)</f>
        <v>#REF!</v>
      </c>
      <c r="BQ93" s="39" t="e">
        <f>ROUNDUP((1-MIN(ROUND(fh_spy_cost_red*#REF!,4),fh_spy_cost_cap)+ tech_1_9*#REF! + tech_9_1*#REF!)*spy_plat,0)</f>
        <v>#REF!</v>
      </c>
      <c r="BR93" s="39" t="e">
        <f>ROUNDUP((1-MIN(ROUND(fh_spy_cost_red*#REF!,4),fh_spy_cost_cap)+ tech_1_9*#REF! + tech_9_1*#REF!)*archspy_plat,0)</f>
        <v>#REF!</v>
      </c>
      <c r="BS93" s="39" t="e">
        <f>ROUNDUP((1-MIN(ROUND(wg_wiz_cost_bonus*#REF!,4),wg_wiz_cost_cap) + tech_1_9_2*#REF! + tech_9_1_2*#REF!)*wizard_plat,0)</f>
        <v>#REF!</v>
      </c>
      <c r="BT93" s="39" t="e">
        <f>ROUNDUP((1-MIN(ROUND(wg_wiz_cost_bonus*#REF!,4),wg_wiz_cost_cap) + tech_1_9_2*#REF! + tech_9_1_2*#REF!)*archmage_plat,0)</f>
        <v>#REF!</v>
      </c>
      <c r="BU93" s="134"/>
      <c r="BV93" s="132" t="e">
        <f>#REF!/#REF!</f>
        <v>#REF!</v>
      </c>
      <c r="BW93" s="132" t="e">
        <f>#REF!</f>
        <v>#REF!</v>
      </c>
      <c r="BX93" s="241" t="e">
        <f>IF(mystic_cap="none",#REF!/mystic_bonus,MIN(mystic_cap,#REF!/mystic_bonus))</f>
        <v>#REF!</v>
      </c>
      <c r="BY93" s="241" t="e">
        <f>IF(druid_op_cap="none",#REF!/druid_op_bonus,MIN(druid_op_cap,#REF!/druid_op_bonus))</f>
        <v>#REF!</v>
      </c>
      <c r="BZ93" s="241" t="e">
        <f>IF(druid_dp_cap="none",#REF!/druid_dp_bonus,MIN(druid_dp_cap,#REF!/druid_dp_bonus))</f>
        <v>#REF!</v>
      </c>
      <c r="CA93" s="241" t="e">
        <f>MIN(dryad_cap,#REF!/dryad_bonus)</f>
        <v>#REF!</v>
      </c>
      <c r="CB93" s="241" t="e">
        <f>MIN(rocka_cap,#REF!/rocka_bonus)</f>
        <v>#REF!</v>
      </c>
      <c r="CC93" s="241" t="e">
        <f>MIN(adept_op_cap,#REF!/adept_op_bonus)</f>
        <v>#REF!</v>
      </c>
      <c r="CD93" s="241" t="e">
        <f>MIN(adept_dp_cap,#REF!/adept_dp_bonus)</f>
        <v>#REF!</v>
      </c>
      <c r="CE93" s="39" t="e">
        <f>MIN(#REF!,#REF!)*2</f>
        <v>#REF!</v>
      </c>
      <c r="CF93" s="39" t="e">
        <f>MIN(#REF!,#REF!)*2</f>
        <v>#REF!</v>
      </c>
      <c r="CG93" s="241" t="e">
        <f>MIN(frost_mage_cap,#REF!/frost_mage_bonus)</f>
        <v>#REF!</v>
      </c>
      <c r="CH93" s="3" t="e">
        <f>MIN(ice_elem_cap,#REF!*ice_elem_bonus)</f>
        <v>#REF!</v>
      </c>
      <c r="CI93" s="241">
        <f t="shared" si="3"/>
        <v>0.83333333333333337</v>
      </c>
      <c r="CJ93" s="241" t="e">
        <f>MIN(nox_nightshade_cap,#REF!/#REF!/nox_nightshade_swamp_bonus)</f>
        <v>#REF!</v>
      </c>
      <c r="CK93" s="242"/>
      <c r="CL93" s="242"/>
      <c r="CM93" s="242"/>
      <c r="CN93" s="241" t="e">
        <f>MIN(6,#REF!+Races!$F$19)*1.8 +  IF(#REF!+Races!$F$19&gt;6,(#REF!+Races!$F$19-6)*0.2,0) - Races!$I$19</f>
        <v>#REF!</v>
      </c>
      <c r="CO93" s="241" t="e">
        <f>1.8 * MIN(MAX(#REF!+Races!$E$20,#REF!+Races!$F$20),6)  +  0.45 * MIN(MIN(#REF!+Races!$E$20,#REF!+Races!$F$20),6)  +  0.2 * ( MAX(#REF!+Races!$E$20-6,0) + MAX(#REF!+Races!$F$20-6,0) )  -  Races!$I$20</f>
        <v>#REF!</v>
      </c>
      <c r="CP93" s="39" t="e">
        <f>#REF!*#REF!+#REF!*#REF!</f>
        <v>#REF!</v>
      </c>
      <c r="CQ93" s="145" t="e">
        <f>MIN(6,#REF!+Races!$F$35)*1.8 +  IF(#REF!+Races!$F$35&gt;6,(#REF!+Races!$F$35-6)*0.2,0) - Races!$I$19</f>
        <v>#REF!</v>
      </c>
      <c r="CR93" s="39" t="e">
        <f>sylvan*(#REF!*#REF!)</f>
        <v>#REF!</v>
      </c>
      <c r="CS93" s="145" t="e">
        <f>1.8 * MIN(MAX(Races!$E$27,#REF!+Races!$F$27),6)  +  0.45 * MIN(MIN(Races!$E$27,#REF!+Races!$F$27),6)  +  0.2 * ( MAX(Races!$E$27-6,0) + MAX(#REF!+Races!$F$27-6,0) )  -  Races!$I$20</f>
        <v>#REF!</v>
      </c>
      <c r="CT93" s="39" t="e">
        <f>gnome*(#REF!*#REF!)</f>
        <v>#REF!</v>
      </c>
      <c r="CU93" s="145" t="e">
        <f>1.8 * MIN(MAX(#REF!+Races!$E$47,#REF!+Races!$F$47),6)  +  0.45 * MIN(MIN(#REF!+Races!$E$47,#REF!+Races!$F$47),6)  +  0.2 * ( MAX(#REF!+Races!$E$47-6,0) + MAX(#REF!+Races!$F$47-6,0) )  -  Races!$I$47</f>
        <v>#REF!</v>
      </c>
      <c r="CV93" s="39" t="e">
        <f>dark_elf*(#REF!*#REF!)</f>
        <v>#REF!</v>
      </c>
      <c r="CW93" s="145" t="e">
        <f>1.8 * MIN(MAX(#REF!+Races!$F$71,Races!$E$71),6)  +  0.45 * MIN(MIN(#REF!+Races!$F$71,Races!$E$71),6)  +  0.2 * ( MAX(#REF!+Races!$F$71-6,0) + MAX(Races!$E$71-6,0) )  -  Races!$I$71</f>
        <v>#REF!</v>
      </c>
      <c r="CX93" s="145" t="e">
        <f>1.8 * MIN(MAX(#REF!+Races!$E$71,Races!$F$71),6)  +  0.45 * MIN(MIN(#REF!+Races!$E$71,Races!$F$71),6)  +  0.2 * ( MAX(#REF!+Races!$E$71-6,0) + MAX(Races!$F$71-6,0) )  -  Races!$I$71</f>
        <v>#REF!</v>
      </c>
      <c r="CY93" s="39" t="e">
        <f>#REF!*#REF!+#REF!*#REF!</f>
        <v>#REF!</v>
      </c>
      <c r="CZ93" s="243"/>
      <c r="DA93" s="135" t="e">
        <f>MIN(SUM(#REF!)/#REF!/favorable_terrain_bonus/100,favorable_terrain_max)</f>
        <v>#REF!</v>
      </c>
      <c r="DB93" s="243"/>
      <c r="DC93"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93" s="134"/>
      <c r="DE93" s="244" t="e">
        <f>(#REF!+2*#REF!)/#REF!</f>
        <v>#REF!</v>
      </c>
      <c r="DF93" s="244" t="e">
        <f>#REF!*(1+race_wizard_strength+IF(#REF!&gt;72,tech_magical_weaponry_wiz*#REF!,0))</f>
        <v>#REF!</v>
      </c>
    </row>
    <row r="94" spans="1:110" x14ac:dyDescent="0.25">
      <c r="A94" s="130" t="e">
        <f>#REF!</f>
        <v>#REF!</v>
      </c>
      <c r="B94" s="236" t="e">
        <f ca="1">SUM(#REF!)+SUM(OFFSET(#REF!,-8,0):#REF!) + SUM(OFFSET(#REF!,-11,0):#REF!) +#REF!</f>
        <v>#REF!</v>
      </c>
      <c r="C94" s="132" t="e">
        <f>#REF!</f>
        <v>#REF!</v>
      </c>
      <c r="D94" s="134"/>
      <c r="E94" s="3" t="e">
        <f ca="1">OFFSET(#REF!,-1,0) + OFFSET(#REF!,-9,0) -#REF!</f>
        <v>#REF!</v>
      </c>
      <c r="F94" s="3" t="e">
        <f ca="1">OFFSET(#REF!,-1,0) + OFFSET(#REF!,-9,0)-#REF!</f>
        <v>#REF!</v>
      </c>
      <c r="G94" s="3" t="e">
        <f ca="1">OFFSET(#REF!,-1,0) + OFFSET(#REF!,-12,0)-#REF!</f>
        <v>#REF!</v>
      </c>
      <c r="H94" s="3" t="e">
        <f ca="1">OFFSET(#REF!,-1,0) + OFFSET(#REF!,-12,0)-#REF!</f>
        <v>#REF!</v>
      </c>
      <c r="I94" s="3" t="e">
        <f ca="1">OFFSET(#REF!,-1,0) + OFFSET(#REF!,-12,0) -#REF!-#REF!</f>
        <v>#REF!</v>
      </c>
      <c r="J94" s="3" t="e">
        <f ca="1">OFFSET(#REF!,-1,0) + OFFSET(#REF!,-12,0) -#REF!</f>
        <v>#REF!</v>
      </c>
      <c r="K94" s="3" t="e">
        <f ca="1">OFFSET(#REF!,-1,0) + OFFSET(#REF!,-12,0) -#REF!-#REF!</f>
        <v>#REF!</v>
      </c>
      <c r="L94" s="3" t="e">
        <f ca="1">OFFSET(#REF!,-1,0) + OFFSET(#REF!,-12,0) -#REF!</f>
        <v>#REF!</v>
      </c>
      <c r="M94" s="134"/>
      <c r="N94" s="39" t="e">
        <f>#REF!</f>
        <v>#REF!</v>
      </c>
      <c r="O94" s="134"/>
      <c r="P94" s="237" t="e">
        <f>#REF!*spec_op+#REF!*(elite1_base_op)+#REF!*(elite2_base_op+dark_elf*#REF!+icekin*#REF!+woodie*#REF!+orc*#REF!)+kobold*#REF!</f>
        <v>#REF!</v>
      </c>
      <c r="Q94" s="132" t="e">
        <f>race_offense+#REF!+ROUND(MIN(gn_bonus*#REF!/#REF!,gn_bonus_cap),4)+MAX(IF(#REF!&gt;0,warsong_bonus),IF(#REF!&gt;0,howling_op_bonus),IF(#REF!&gt;0,nightfall_bonus),IF(#REF!&gt;0,#REF!)) +#REF!/ 100*prestige_offense_bonus + tech_5_4*#REF! + tech_7_4*#REF!</f>
        <v>#REF!</v>
      </c>
      <c r="R94" s="237" t="e">
        <f>#REF!*(1+#REF!)</f>
        <v>#REF!</v>
      </c>
      <c r="S94" s="237" t="e">
        <f>#REF!*spec_dp+#REF!*(elite1_base_dp+woodie*#REF!+sylvan*#REF!+gnome*#REF!+icekin*#REF!+nox*#REF!)+#REF!*(elite2_base_dp+woodie*#REF!) + fh_peas_dp*MIN(#REF!,20*#REF!)+kobold*#REF!</f>
        <v>#REF!</v>
      </c>
      <c r="T94" s="237" t="e">
        <f>#REF!+#REF!</f>
        <v>#REF!</v>
      </c>
      <c r="U94" s="238" t="e">
        <f>race_defense +#REF! + ROUND( MIN(gt_bonus*#REF!/#REF!,gt_bonus_cap), 4) + IF(#REF!&gt;0,howling_dp_bonus,IF(#REF!&gt;0,ares_call_bonus))</f>
        <v>#REF!</v>
      </c>
      <c r="V94" s="239" t="e">
        <f>#REF! * (1 +#REF!)</f>
        <v>#REF!</v>
      </c>
      <c r="W94" s="237" t="e">
        <f>#REF! * (1 +#REF!)</f>
        <v>#REF!</v>
      </c>
      <c r="X94" s="237" t="e">
        <f>#REF!</f>
        <v>#REF!</v>
      </c>
      <c r="Y94" s="240"/>
      <c r="Z94" s="135" t="e">
        <f ca="1">IF(#REF!&lt;&gt;"",#REF!,OFFSET(#REF!,-1,0))</f>
        <v>#REF!</v>
      </c>
      <c r="AA94" s="39" t="e">
        <f ca="1">OFFSET(#REF!,-1,0)+OFFSET(#REF!,-1,0) - SUM(#REF!,#REF!) -#REF! + SUM(#REF!) -#REF!</f>
        <v>#REF!</v>
      </c>
      <c r="AB94" s="133"/>
      <c r="AC94" s="132" t="e">
        <f>(#REF!+#REF!)/(#REF!-#REF!*20)</f>
        <v>#REF!</v>
      </c>
      <c r="AD94" s="130"/>
      <c r="AE94" s="236" t="e">
        <f>#REF!</f>
        <v>#REF!</v>
      </c>
      <c r="AF94" s="131" t="e">
        <f>#REF!</f>
        <v>#REF!</v>
      </c>
      <c r="AG94" s="164"/>
      <c r="AH94" s="164"/>
      <c r="AI94" s="164"/>
      <c r="AJ94" s="164"/>
      <c r="AK94" s="164"/>
      <c r="AL94" s="164"/>
      <c r="AM94" s="164"/>
      <c r="AN94" s="164"/>
      <c r="AO94" s="134"/>
      <c r="AP94" s="39" t="e">
        <f>#REF!</f>
        <v>#REF!</v>
      </c>
      <c r="AQ94" s="39" t="e">
        <f>INDEX(#REF!:#REF!,COUNTA(#REF!:#REF!),MATCH(Military!$AQ$2,#REF!,0))</f>
        <v>#REF!</v>
      </c>
      <c r="AR94" s="39" t="e">
        <f>#REF!*#REF!+#REF!*#REF!+#REF!*#REF!+#REF!*#REF!+#REF!*#REF!+#REF!*#REF!+#REF!*#REF!</f>
        <v>#REF!</v>
      </c>
      <c r="AS94" s="39" t="e">
        <f>#REF!*#REF!+#REF!*#REF!+#REF!*#REF!+#REF!*#REF!</f>
        <v>#REF!</v>
      </c>
      <c r="AT94" s="134" t="e">
        <f>#REF!</f>
        <v>#REF!</v>
      </c>
      <c r="AU94" s="143" t="e">
        <f>#REF!</f>
        <v>#REF!</v>
      </c>
      <c r="AV94" s="39" t="e">
        <f>#REF!</f>
        <v>#REF!</v>
      </c>
      <c r="AW94" s="164"/>
      <c r="AX94" s="164"/>
      <c r="AY94" s="164"/>
      <c r="AZ94" s="164"/>
      <c r="BA94" s="164"/>
      <c r="BB94" s="164"/>
      <c r="BC94" s="164"/>
      <c r="BD94" s="164"/>
      <c r="BE94" s="164"/>
      <c r="BF94" s="134"/>
      <c r="BG94" s="132" t="e">
        <f>#REF!/#REF!</f>
        <v>#REF!</v>
      </c>
      <c r="BH94" s="132" t="e">
        <f>#REF!/#REF!</f>
        <v>#REF!</v>
      </c>
      <c r="BI94" s="39" t="e">
        <f>ROUNDUP((1-MIN(#REF!*smithy_bonus,smithy_bonus_cap) + tech_3_5*#REF! + tech_5_3*#REF! + tech_5_5*#REF!)*spec_op_plat,0)</f>
        <v>#REF!</v>
      </c>
      <c r="BJ94" s="39" t="e">
        <f>ROUNDUP(IF(race="Gnome",1,(1-MIN(#REF!*smithy_bonus,smithy_bonus_cap) + tech_3_5*#REF! + tech_5_3*#REF! + tech_5_5*#REF!))*spec_op_ore,0)</f>
        <v>#REF!</v>
      </c>
      <c r="BK94" s="39" t="e">
        <f>ROUNDUP((1-MIN(#REF!*smithy_bonus,smithy_bonus_cap) + tech_3_5*#REF! + tech_5_3*#REF! + tech_5_5*#REF!)*spec_dp_plat,0)</f>
        <v>#REF!</v>
      </c>
      <c r="BL94" s="39" t="e">
        <f>ROUNDUP(IF(race="Gnome",1,(1-MIN(#REF!*smithy_bonus,smithy_bonus_cap) + tech_3_5*#REF! + tech_5_3*#REF! + tech_5_5*#REF!))*spec_dp_ore,0)</f>
        <v>#REF!</v>
      </c>
      <c r="BM94" s="39" t="e">
        <f>ROUNDUP((1-MIN(#REF!*smithy_bonus,smithy_bonus_cap) + tech_3_5*#REF! + tech_5_3*#REF! + tech_5_5*#REF!)*elite1_plat,0)</f>
        <v>#REF!</v>
      </c>
      <c r="BN94" s="39" t="e">
        <f>ROUNDUP(IF(race="Gnome",1,(1-MIN(#REF!*smithy_bonus,smithy_bonus_cap) + tech_3_5*#REF! + tech_5_3*#REF! + tech_5_5*#REF!))*elite1_ore,0)</f>
        <v>#REF!</v>
      </c>
      <c r="BO94" s="39" t="e">
        <f>ROUNDUP((1-MIN(#REF!*smithy_bonus,smithy_bonus_cap) + tech_3_5*#REF! + tech_5_3*#REF! + tech_5_5*#REF!)*elite2_plat,0)</f>
        <v>#REF!</v>
      </c>
      <c r="BP94" s="39" t="e">
        <f>ROUNDUP(IF(race="Gnome",1,(1-MIN(#REF!*smithy_bonus,smithy_bonus_cap) + tech_3_5*#REF! + tech_5_3*#REF! + tech_5_5*#REF!))*elite2_ore,0)</f>
        <v>#REF!</v>
      </c>
      <c r="BQ94" s="39" t="e">
        <f>ROUNDUP((1-MIN(ROUND(fh_spy_cost_red*#REF!,4),fh_spy_cost_cap)+ tech_1_9*#REF! + tech_9_1*#REF!)*spy_plat,0)</f>
        <v>#REF!</v>
      </c>
      <c r="BR94" s="39" t="e">
        <f>ROUNDUP((1-MIN(ROUND(fh_spy_cost_red*#REF!,4),fh_spy_cost_cap)+ tech_1_9*#REF! + tech_9_1*#REF!)*archspy_plat,0)</f>
        <v>#REF!</v>
      </c>
      <c r="BS94" s="39" t="e">
        <f>ROUNDUP((1-MIN(ROUND(wg_wiz_cost_bonus*#REF!,4),wg_wiz_cost_cap) + tech_1_9_2*#REF! + tech_9_1_2*#REF!)*wizard_plat,0)</f>
        <v>#REF!</v>
      </c>
      <c r="BT94" s="39" t="e">
        <f>ROUNDUP((1-MIN(ROUND(wg_wiz_cost_bonus*#REF!,4),wg_wiz_cost_cap) + tech_1_9_2*#REF! + tech_9_1_2*#REF!)*archmage_plat,0)</f>
        <v>#REF!</v>
      </c>
      <c r="BU94" s="134"/>
      <c r="BV94" s="132" t="e">
        <f>#REF!/#REF!</f>
        <v>#REF!</v>
      </c>
      <c r="BW94" s="132" t="e">
        <f>#REF!</f>
        <v>#REF!</v>
      </c>
      <c r="BX94" s="241" t="e">
        <f>IF(mystic_cap="none",#REF!/mystic_bonus,MIN(mystic_cap,#REF!/mystic_bonus))</f>
        <v>#REF!</v>
      </c>
      <c r="BY94" s="241" t="e">
        <f>IF(druid_op_cap="none",#REF!/druid_op_bonus,MIN(druid_op_cap,#REF!/druid_op_bonus))</f>
        <v>#REF!</v>
      </c>
      <c r="BZ94" s="241" t="e">
        <f>IF(druid_dp_cap="none",#REF!/druid_dp_bonus,MIN(druid_dp_cap,#REF!/druid_dp_bonus))</f>
        <v>#REF!</v>
      </c>
      <c r="CA94" s="241" t="e">
        <f>MIN(dryad_cap,#REF!/dryad_bonus)</f>
        <v>#REF!</v>
      </c>
      <c r="CB94" s="241" t="e">
        <f>MIN(rocka_cap,#REF!/rocka_bonus)</f>
        <v>#REF!</v>
      </c>
      <c r="CC94" s="241" t="e">
        <f>MIN(adept_op_cap,#REF!/adept_op_bonus)</f>
        <v>#REF!</v>
      </c>
      <c r="CD94" s="241" t="e">
        <f>MIN(adept_dp_cap,#REF!/adept_dp_bonus)</f>
        <v>#REF!</v>
      </c>
      <c r="CE94" s="39" t="e">
        <f>MIN(#REF!,#REF!)*2</f>
        <v>#REF!</v>
      </c>
      <c r="CF94" s="39" t="e">
        <f>MIN(#REF!,#REF!)*2</f>
        <v>#REF!</v>
      </c>
      <c r="CG94" s="241" t="e">
        <f>MIN(frost_mage_cap,#REF!/frost_mage_bonus)</f>
        <v>#REF!</v>
      </c>
      <c r="CH94" s="3" t="e">
        <f>MIN(ice_elem_cap,#REF!*ice_elem_bonus)</f>
        <v>#REF!</v>
      </c>
      <c r="CI94" s="241">
        <f t="shared" si="3"/>
        <v>0.83333333333333337</v>
      </c>
      <c r="CJ94" s="241" t="e">
        <f>MIN(nox_nightshade_cap,#REF!/#REF!/nox_nightshade_swamp_bonus)</f>
        <v>#REF!</v>
      </c>
      <c r="CK94" s="242"/>
      <c r="CL94" s="242"/>
      <c r="CM94" s="242"/>
      <c r="CN94" s="241" t="e">
        <f>MIN(6,#REF!+Races!$F$19)*1.8 +  IF(#REF!+Races!$F$19&gt;6,(#REF!+Races!$F$19-6)*0.2,0) - Races!$I$19</f>
        <v>#REF!</v>
      </c>
      <c r="CO94" s="241" t="e">
        <f>1.8 * MIN(MAX(#REF!+Races!$E$20,#REF!+Races!$F$20),6)  +  0.45 * MIN(MIN(#REF!+Races!$E$20,#REF!+Races!$F$20),6)  +  0.2 * ( MAX(#REF!+Races!$E$20-6,0) + MAX(#REF!+Races!$F$20-6,0) )  -  Races!$I$20</f>
        <v>#REF!</v>
      </c>
      <c r="CP94" s="39" t="e">
        <f>#REF!*#REF!+#REF!*#REF!</f>
        <v>#REF!</v>
      </c>
      <c r="CQ94" s="145" t="e">
        <f>MIN(6,#REF!+Races!$F$35)*1.8 +  IF(#REF!+Races!$F$35&gt;6,(#REF!+Races!$F$35-6)*0.2,0) - Races!$I$19</f>
        <v>#REF!</v>
      </c>
      <c r="CR94" s="39" t="e">
        <f>sylvan*(#REF!*#REF!)</f>
        <v>#REF!</v>
      </c>
      <c r="CS94" s="145" t="e">
        <f>1.8 * MIN(MAX(Races!$E$27,#REF!+Races!$F$27),6)  +  0.45 * MIN(MIN(Races!$E$27,#REF!+Races!$F$27),6)  +  0.2 * ( MAX(Races!$E$27-6,0) + MAX(#REF!+Races!$F$27-6,0) )  -  Races!$I$20</f>
        <v>#REF!</v>
      </c>
      <c r="CT94" s="39" t="e">
        <f>gnome*(#REF!*#REF!)</f>
        <v>#REF!</v>
      </c>
      <c r="CU94" s="145" t="e">
        <f>1.8 * MIN(MAX(#REF!+Races!$E$47,#REF!+Races!$F$47),6)  +  0.45 * MIN(MIN(#REF!+Races!$E$47,#REF!+Races!$F$47),6)  +  0.2 * ( MAX(#REF!+Races!$E$47-6,0) + MAX(#REF!+Races!$F$47-6,0) )  -  Races!$I$47</f>
        <v>#REF!</v>
      </c>
      <c r="CV94" s="39" t="e">
        <f>dark_elf*(#REF!*#REF!)</f>
        <v>#REF!</v>
      </c>
      <c r="CW94" s="145" t="e">
        <f>1.8 * MIN(MAX(#REF!+Races!$F$71,Races!$E$71),6)  +  0.45 * MIN(MIN(#REF!+Races!$F$71,Races!$E$71),6)  +  0.2 * ( MAX(#REF!+Races!$F$71-6,0) + MAX(Races!$E$71-6,0) )  -  Races!$I$71</f>
        <v>#REF!</v>
      </c>
      <c r="CX94" s="145" t="e">
        <f>1.8 * MIN(MAX(#REF!+Races!$E$71,Races!$F$71),6)  +  0.45 * MIN(MIN(#REF!+Races!$E$71,Races!$F$71),6)  +  0.2 * ( MAX(#REF!+Races!$E$71-6,0) + MAX(Races!$F$71-6,0) )  -  Races!$I$71</f>
        <v>#REF!</v>
      </c>
      <c r="CY94" s="39" t="e">
        <f>#REF!*#REF!+#REF!*#REF!</f>
        <v>#REF!</v>
      </c>
      <c r="CZ94" s="243"/>
      <c r="DA94" s="135" t="e">
        <f>MIN(SUM(#REF!)/#REF!/favorable_terrain_bonus/100,favorable_terrain_max)</f>
        <v>#REF!</v>
      </c>
      <c r="DB94" s="243"/>
      <c r="DC94"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94" s="134"/>
      <c r="DE94" s="244" t="e">
        <f>(#REF!+2*#REF!)/#REF!</f>
        <v>#REF!</v>
      </c>
      <c r="DF94" s="244" t="e">
        <f>#REF!*(1+race_wizard_strength+IF(#REF!&gt;72,tech_magical_weaponry_wiz*#REF!,0))</f>
        <v>#REF!</v>
      </c>
    </row>
    <row r="95" spans="1:110" x14ac:dyDescent="0.25">
      <c r="A95" s="130" t="e">
        <f>#REF!</f>
        <v>#REF!</v>
      </c>
      <c r="B95" s="236" t="e">
        <f ca="1">SUM(#REF!)+SUM(OFFSET(#REF!,-8,0):#REF!) + SUM(OFFSET(#REF!,-11,0):#REF!) +#REF!</f>
        <v>#REF!</v>
      </c>
      <c r="C95" s="132" t="e">
        <f>#REF!</f>
        <v>#REF!</v>
      </c>
      <c r="D95" s="134"/>
      <c r="E95" s="3" t="e">
        <f ca="1">OFFSET(#REF!,-1,0) + OFFSET(#REF!,-9,0) -#REF!</f>
        <v>#REF!</v>
      </c>
      <c r="F95" s="3" t="e">
        <f ca="1">OFFSET(#REF!,-1,0) + OFFSET(#REF!,-9,0)-#REF!</f>
        <v>#REF!</v>
      </c>
      <c r="G95" s="3" t="e">
        <f ca="1">OFFSET(#REF!,-1,0) + OFFSET(#REF!,-12,0)-#REF!</f>
        <v>#REF!</v>
      </c>
      <c r="H95" s="3" t="e">
        <f ca="1">OFFSET(#REF!,-1,0) + OFFSET(#REF!,-12,0)-#REF!</f>
        <v>#REF!</v>
      </c>
      <c r="I95" s="3" t="e">
        <f ca="1">OFFSET(#REF!,-1,0) + OFFSET(#REF!,-12,0) -#REF!-#REF!</f>
        <v>#REF!</v>
      </c>
      <c r="J95" s="3" t="e">
        <f ca="1">OFFSET(#REF!,-1,0) + OFFSET(#REF!,-12,0) -#REF!</f>
        <v>#REF!</v>
      </c>
      <c r="K95" s="3" t="e">
        <f ca="1">OFFSET(#REF!,-1,0) + OFFSET(#REF!,-12,0) -#REF!-#REF!</f>
        <v>#REF!</v>
      </c>
      <c r="L95" s="3" t="e">
        <f ca="1">OFFSET(#REF!,-1,0) + OFFSET(#REF!,-12,0) -#REF!</f>
        <v>#REF!</v>
      </c>
      <c r="M95" s="134"/>
      <c r="N95" s="39" t="e">
        <f>#REF!</f>
        <v>#REF!</v>
      </c>
      <c r="O95" s="134"/>
      <c r="P95" s="237" t="e">
        <f>#REF!*spec_op+#REF!*(elite1_base_op)+#REF!*(elite2_base_op+dark_elf*#REF!+icekin*#REF!+woodie*#REF!+orc*#REF!)+kobold*#REF!</f>
        <v>#REF!</v>
      </c>
      <c r="Q95" s="132" t="e">
        <f>race_offense+#REF!+ROUND(MIN(gn_bonus*#REF!/#REF!,gn_bonus_cap),4)+MAX(IF(#REF!&gt;0,warsong_bonus),IF(#REF!&gt;0,howling_op_bonus),IF(#REF!&gt;0,nightfall_bonus),IF(#REF!&gt;0,#REF!)) +#REF!/ 100*prestige_offense_bonus + tech_5_4*#REF! + tech_7_4*#REF!</f>
        <v>#REF!</v>
      </c>
      <c r="R95" s="237" t="e">
        <f>#REF!*(1+#REF!)</f>
        <v>#REF!</v>
      </c>
      <c r="S95" s="237" t="e">
        <f>#REF!*spec_dp+#REF!*(elite1_base_dp+woodie*#REF!+sylvan*#REF!+gnome*#REF!+icekin*#REF!+nox*#REF!)+#REF!*(elite2_base_dp+woodie*#REF!) + fh_peas_dp*MIN(#REF!,20*#REF!)+kobold*#REF!</f>
        <v>#REF!</v>
      </c>
      <c r="T95" s="237" t="e">
        <f>#REF!+#REF!</f>
        <v>#REF!</v>
      </c>
      <c r="U95" s="238" t="e">
        <f>race_defense +#REF! + ROUND( MIN(gt_bonus*#REF!/#REF!,gt_bonus_cap), 4) + IF(#REF!&gt;0,howling_dp_bonus,IF(#REF!&gt;0,ares_call_bonus))</f>
        <v>#REF!</v>
      </c>
      <c r="V95" s="239" t="e">
        <f>#REF! * (1 +#REF!)</f>
        <v>#REF!</v>
      </c>
      <c r="W95" s="237" t="e">
        <f>#REF! * (1 +#REF!)</f>
        <v>#REF!</v>
      </c>
      <c r="X95" s="237" t="e">
        <f>#REF!</f>
        <v>#REF!</v>
      </c>
      <c r="Y95" s="240"/>
      <c r="Z95" s="135" t="e">
        <f ca="1">IF(#REF!&lt;&gt;"",#REF!,OFFSET(#REF!,-1,0))</f>
        <v>#REF!</v>
      </c>
      <c r="AA95" s="39" t="e">
        <f ca="1">OFFSET(#REF!,-1,0)+OFFSET(#REF!,-1,0) - SUM(#REF!,#REF!) -#REF! + SUM(#REF!) -#REF!</f>
        <v>#REF!</v>
      </c>
      <c r="AB95" s="133"/>
      <c r="AC95" s="132" t="e">
        <f>(#REF!+#REF!)/(#REF!-#REF!*20)</f>
        <v>#REF!</v>
      </c>
      <c r="AD95" s="130"/>
      <c r="AE95" s="236" t="e">
        <f>#REF!</f>
        <v>#REF!</v>
      </c>
      <c r="AF95" s="131" t="e">
        <f>#REF!</f>
        <v>#REF!</v>
      </c>
      <c r="AG95" s="164"/>
      <c r="AH95" s="164"/>
      <c r="AI95" s="164"/>
      <c r="AJ95" s="164"/>
      <c r="AK95" s="164"/>
      <c r="AL95" s="164"/>
      <c r="AM95" s="164"/>
      <c r="AN95" s="164"/>
      <c r="AO95" s="134"/>
      <c r="AP95" s="39" t="e">
        <f>#REF!</f>
        <v>#REF!</v>
      </c>
      <c r="AQ95" s="39" t="e">
        <f>INDEX(#REF!:#REF!,COUNTA(#REF!:#REF!),MATCH(Military!$AQ$2,#REF!,0))</f>
        <v>#REF!</v>
      </c>
      <c r="AR95" s="39" t="e">
        <f>#REF!*#REF!+#REF!*#REF!+#REF!*#REF!+#REF!*#REF!+#REF!*#REF!+#REF!*#REF!+#REF!*#REF!</f>
        <v>#REF!</v>
      </c>
      <c r="AS95" s="39" t="e">
        <f>#REF!*#REF!+#REF!*#REF!+#REF!*#REF!+#REF!*#REF!</f>
        <v>#REF!</v>
      </c>
      <c r="AT95" s="134" t="e">
        <f>#REF!</f>
        <v>#REF!</v>
      </c>
      <c r="AU95" s="143" t="e">
        <f>#REF!</f>
        <v>#REF!</v>
      </c>
      <c r="AV95" s="39" t="e">
        <f>#REF!</f>
        <v>#REF!</v>
      </c>
      <c r="AW95" s="164"/>
      <c r="AX95" s="164"/>
      <c r="AY95" s="164"/>
      <c r="AZ95" s="164"/>
      <c r="BA95" s="164"/>
      <c r="BB95" s="164"/>
      <c r="BC95" s="164"/>
      <c r="BD95" s="164"/>
      <c r="BE95" s="164"/>
      <c r="BF95" s="134"/>
      <c r="BG95" s="132" t="e">
        <f>#REF!/#REF!</f>
        <v>#REF!</v>
      </c>
      <c r="BH95" s="132" t="e">
        <f>#REF!/#REF!</f>
        <v>#REF!</v>
      </c>
      <c r="BI95" s="39" t="e">
        <f>ROUNDUP((1-MIN(#REF!*smithy_bonus,smithy_bonus_cap) + tech_3_5*#REF! + tech_5_3*#REF! + tech_5_5*#REF!)*spec_op_plat,0)</f>
        <v>#REF!</v>
      </c>
      <c r="BJ95" s="39" t="e">
        <f>ROUNDUP(IF(race="Gnome",1,(1-MIN(#REF!*smithy_bonus,smithy_bonus_cap) + tech_3_5*#REF! + tech_5_3*#REF! + tech_5_5*#REF!))*spec_op_ore,0)</f>
        <v>#REF!</v>
      </c>
      <c r="BK95" s="39" t="e">
        <f>ROUNDUP((1-MIN(#REF!*smithy_bonus,smithy_bonus_cap) + tech_3_5*#REF! + tech_5_3*#REF! + tech_5_5*#REF!)*spec_dp_plat,0)</f>
        <v>#REF!</v>
      </c>
      <c r="BL95" s="39" t="e">
        <f>ROUNDUP(IF(race="Gnome",1,(1-MIN(#REF!*smithy_bonus,smithy_bonus_cap) + tech_3_5*#REF! + tech_5_3*#REF! + tech_5_5*#REF!))*spec_dp_ore,0)</f>
        <v>#REF!</v>
      </c>
      <c r="BM95" s="39" t="e">
        <f>ROUNDUP((1-MIN(#REF!*smithy_bonus,smithy_bonus_cap) + tech_3_5*#REF! + tech_5_3*#REF! + tech_5_5*#REF!)*elite1_plat,0)</f>
        <v>#REF!</v>
      </c>
      <c r="BN95" s="39" t="e">
        <f>ROUNDUP(IF(race="Gnome",1,(1-MIN(#REF!*smithy_bonus,smithy_bonus_cap) + tech_3_5*#REF! + tech_5_3*#REF! + tech_5_5*#REF!))*elite1_ore,0)</f>
        <v>#REF!</v>
      </c>
      <c r="BO95" s="39" t="e">
        <f>ROUNDUP((1-MIN(#REF!*smithy_bonus,smithy_bonus_cap) + tech_3_5*#REF! + tech_5_3*#REF! + tech_5_5*#REF!)*elite2_plat,0)</f>
        <v>#REF!</v>
      </c>
      <c r="BP95" s="39" t="e">
        <f>ROUNDUP(IF(race="Gnome",1,(1-MIN(#REF!*smithy_bonus,smithy_bonus_cap) + tech_3_5*#REF! + tech_5_3*#REF! + tech_5_5*#REF!))*elite2_ore,0)</f>
        <v>#REF!</v>
      </c>
      <c r="BQ95" s="39" t="e">
        <f>ROUNDUP((1-MIN(ROUND(fh_spy_cost_red*#REF!,4),fh_spy_cost_cap)+ tech_1_9*#REF! + tech_9_1*#REF!)*spy_plat,0)</f>
        <v>#REF!</v>
      </c>
      <c r="BR95" s="39" t="e">
        <f>ROUNDUP((1-MIN(ROUND(fh_spy_cost_red*#REF!,4),fh_spy_cost_cap)+ tech_1_9*#REF! + tech_9_1*#REF!)*archspy_plat,0)</f>
        <v>#REF!</v>
      </c>
      <c r="BS95" s="39" t="e">
        <f>ROUNDUP((1-MIN(ROUND(wg_wiz_cost_bonus*#REF!,4),wg_wiz_cost_cap) + tech_1_9_2*#REF! + tech_9_1_2*#REF!)*wizard_plat,0)</f>
        <v>#REF!</v>
      </c>
      <c r="BT95" s="39" t="e">
        <f>ROUNDUP((1-MIN(ROUND(wg_wiz_cost_bonus*#REF!,4),wg_wiz_cost_cap) + tech_1_9_2*#REF! + tech_9_1_2*#REF!)*archmage_plat,0)</f>
        <v>#REF!</v>
      </c>
      <c r="BU95" s="134"/>
      <c r="BV95" s="132" t="e">
        <f>#REF!/#REF!</f>
        <v>#REF!</v>
      </c>
      <c r="BW95" s="132" t="e">
        <f>#REF!</f>
        <v>#REF!</v>
      </c>
      <c r="BX95" s="241" t="e">
        <f>IF(mystic_cap="none",#REF!/mystic_bonus,MIN(mystic_cap,#REF!/mystic_bonus))</f>
        <v>#REF!</v>
      </c>
      <c r="BY95" s="241" t="e">
        <f>IF(druid_op_cap="none",#REF!/druid_op_bonus,MIN(druid_op_cap,#REF!/druid_op_bonus))</f>
        <v>#REF!</v>
      </c>
      <c r="BZ95" s="241" t="e">
        <f>IF(druid_dp_cap="none",#REF!/druid_dp_bonus,MIN(druid_dp_cap,#REF!/druid_dp_bonus))</f>
        <v>#REF!</v>
      </c>
      <c r="CA95" s="241" t="e">
        <f>MIN(dryad_cap,#REF!/dryad_bonus)</f>
        <v>#REF!</v>
      </c>
      <c r="CB95" s="241" t="e">
        <f>MIN(rocka_cap,#REF!/rocka_bonus)</f>
        <v>#REF!</v>
      </c>
      <c r="CC95" s="241" t="e">
        <f>MIN(adept_op_cap,#REF!/adept_op_bonus)</f>
        <v>#REF!</v>
      </c>
      <c r="CD95" s="241" t="e">
        <f>MIN(adept_dp_cap,#REF!/adept_dp_bonus)</f>
        <v>#REF!</v>
      </c>
      <c r="CE95" s="39" t="e">
        <f>MIN(#REF!,#REF!)*2</f>
        <v>#REF!</v>
      </c>
      <c r="CF95" s="39" t="e">
        <f>MIN(#REF!,#REF!)*2</f>
        <v>#REF!</v>
      </c>
      <c r="CG95" s="241" t="e">
        <f>MIN(frost_mage_cap,#REF!/frost_mage_bonus)</f>
        <v>#REF!</v>
      </c>
      <c r="CH95" s="3" t="e">
        <f>MIN(ice_elem_cap,#REF!*ice_elem_bonus)</f>
        <v>#REF!</v>
      </c>
      <c r="CI95" s="241">
        <f t="shared" si="3"/>
        <v>0.83333333333333337</v>
      </c>
      <c r="CJ95" s="241" t="e">
        <f>MIN(nox_nightshade_cap,#REF!/#REF!/nox_nightshade_swamp_bonus)</f>
        <v>#REF!</v>
      </c>
      <c r="CK95" s="242"/>
      <c r="CL95" s="242"/>
      <c r="CM95" s="242"/>
      <c r="CN95" s="241" t="e">
        <f>MIN(6,#REF!+Races!$F$19)*1.8 +  IF(#REF!+Races!$F$19&gt;6,(#REF!+Races!$F$19-6)*0.2,0) - Races!$I$19</f>
        <v>#REF!</v>
      </c>
      <c r="CO95" s="241" t="e">
        <f>1.8 * MIN(MAX(#REF!+Races!$E$20,#REF!+Races!$F$20),6)  +  0.45 * MIN(MIN(#REF!+Races!$E$20,#REF!+Races!$F$20),6)  +  0.2 * ( MAX(#REF!+Races!$E$20-6,0) + MAX(#REF!+Races!$F$20-6,0) )  -  Races!$I$20</f>
        <v>#REF!</v>
      </c>
      <c r="CP95" s="39" t="e">
        <f>#REF!*#REF!+#REF!*#REF!</f>
        <v>#REF!</v>
      </c>
      <c r="CQ95" s="145" t="e">
        <f>MIN(6,#REF!+Races!$F$35)*1.8 +  IF(#REF!+Races!$F$35&gt;6,(#REF!+Races!$F$35-6)*0.2,0) - Races!$I$19</f>
        <v>#REF!</v>
      </c>
      <c r="CR95" s="39" t="e">
        <f>sylvan*(#REF!*#REF!)</f>
        <v>#REF!</v>
      </c>
      <c r="CS95" s="145" t="e">
        <f>1.8 * MIN(MAX(Races!$E$27,#REF!+Races!$F$27),6)  +  0.45 * MIN(MIN(Races!$E$27,#REF!+Races!$F$27),6)  +  0.2 * ( MAX(Races!$E$27-6,0) + MAX(#REF!+Races!$F$27-6,0) )  -  Races!$I$20</f>
        <v>#REF!</v>
      </c>
      <c r="CT95" s="39" t="e">
        <f>gnome*(#REF!*#REF!)</f>
        <v>#REF!</v>
      </c>
      <c r="CU95" s="145" t="e">
        <f>1.8 * MIN(MAX(#REF!+Races!$E$47,#REF!+Races!$F$47),6)  +  0.45 * MIN(MIN(#REF!+Races!$E$47,#REF!+Races!$F$47),6)  +  0.2 * ( MAX(#REF!+Races!$E$47-6,0) + MAX(#REF!+Races!$F$47-6,0) )  -  Races!$I$47</f>
        <v>#REF!</v>
      </c>
      <c r="CV95" s="39" t="e">
        <f>dark_elf*(#REF!*#REF!)</f>
        <v>#REF!</v>
      </c>
      <c r="CW95" s="145" t="e">
        <f>1.8 * MIN(MAX(#REF!+Races!$F$71,Races!$E$71),6)  +  0.45 * MIN(MIN(#REF!+Races!$F$71,Races!$E$71),6)  +  0.2 * ( MAX(#REF!+Races!$F$71-6,0) + MAX(Races!$E$71-6,0) )  -  Races!$I$71</f>
        <v>#REF!</v>
      </c>
      <c r="CX95" s="145" t="e">
        <f>1.8 * MIN(MAX(#REF!+Races!$E$71,Races!$F$71),6)  +  0.45 * MIN(MIN(#REF!+Races!$E$71,Races!$F$71),6)  +  0.2 * ( MAX(#REF!+Races!$E$71-6,0) + MAX(Races!$F$71-6,0) )  -  Races!$I$71</f>
        <v>#REF!</v>
      </c>
      <c r="CY95" s="39" t="e">
        <f>#REF!*#REF!+#REF!*#REF!</f>
        <v>#REF!</v>
      </c>
      <c r="CZ95" s="243"/>
      <c r="DA95" s="135" t="e">
        <f>MIN(SUM(#REF!)/#REF!/favorable_terrain_bonus/100,favorable_terrain_max)</f>
        <v>#REF!</v>
      </c>
      <c r="DB95" s="243"/>
      <c r="DC95"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95" s="134"/>
      <c r="DE95" s="244" t="e">
        <f>(#REF!+2*#REF!)/#REF!</f>
        <v>#REF!</v>
      </c>
      <c r="DF95" s="244" t="e">
        <f>#REF!*(1+race_wizard_strength+IF(#REF!&gt;72,tech_magical_weaponry_wiz*#REF!,0))</f>
        <v>#REF!</v>
      </c>
    </row>
    <row r="96" spans="1:110" x14ac:dyDescent="0.25">
      <c r="A96" s="130" t="e">
        <f>#REF!</f>
        <v>#REF!</v>
      </c>
      <c r="B96" s="236" t="e">
        <f ca="1">SUM(#REF!)+SUM(OFFSET(#REF!,-8,0):#REF!) + SUM(OFFSET(#REF!,-11,0):#REF!) +#REF!</f>
        <v>#REF!</v>
      </c>
      <c r="C96" s="132" t="e">
        <f>#REF!</f>
        <v>#REF!</v>
      </c>
      <c r="D96" s="134"/>
      <c r="E96" s="3" t="e">
        <f ca="1">OFFSET(#REF!,-1,0) + OFFSET(#REF!,-9,0) -#REF!</f>
        <v>#REF!</v>
      </c>
      <c r="F96" s="3" t="e">
        <f ca="1">OFFSET(#REF!,-1,0) + OFFSET(#REF!,-9,0)-#REF!</f>
        <v>#REF!</v>
      </c>
      <c r="G96" s="3" t="e">
        <f ca="1">OFFSET(#REF!,-1,0) + OFFSET(#REF!,-12,0)-#REF!</f>
        <v>#REF!</v>
      </c>
      <c r="H96" s="3" t="e">
        <f ca="1">OFFSET(#REF!,-1,0) + OFFSET(#REF!,-12,0)-#REF!</f>
        <v>#REF!</v>
      </c>
      <c r="I96" s="3" t="e">
        <f ca="1">OFFSET(#REF!,-1,0) + OFFSET(#REF!,-12,0) -#REF!-#REF!</f>
        <v>#REF!</v>
      </c>
      <c r="J96" s="3" t="e">
        <f ca="1">OFFSET(#REF!,-1,0) + OFFSET(#REF!,-12,0) -#REF!</f>
        <v>#REF!</v>
      </c>
      <c r="K96" s="3" t="e">
        <f ca="1">OFFSET(#REF!,-1,0) + OFFSET(#REF!,-12,0) -#REF!-#REF!</f>
        <v>#REF!</v>
      </c>
      <c r="L96" s="3" t="e">
        <f ca="1">OFFSET(#REF!,-1,0) + OFFSET(#REF!,-12,0) -#REF!</f>
        <v>#REF!</v>
      </c>
      <c r="M96" s="134"/>
      <c r="N96" s="39" t="e">
        <f>#REF!</f>
        <v>#REF!</v>
      </c>
      <c r="O96" s="134"/>
      <c r="P96" s="237" t="e">
        <f>#REF!*spec_op+#REF!*(elite1_base_op)+#REF!*(elite2_base_op+dark_elf*#REF!+icekin*#REF!+woodie*#REF!+orc*#REF!)+kobold*#REF!</f>
        <v>#REF!</v>
      </c>
      <c r="Q96" s="132" t="e">
        <f>race_offense+#REF!+ROUND(MIN(gn_bonus*#REF!/#REF!,gn_bonus_cap),4)+MAX(IF(#REF!&gt;0,warsong_bonus),IF(#REF!&gt;0,howling_op_bonus),IF(#REF!&gt;0,nightfall_bonus),IF(#REF!&gt;0,#REF!)) +#REF!/ 100*prestige_offense_bonus + tech_5_4*#REF! + tech_7_4*#REF!</f>
        <v>#REF!</v>
      </c>
      <c r="R96" s="237" t="e">
        <f>#REF!*(1+#REF!)</f>
        <v>#REF!</v>
      </c>
      <c r="S96" s="237" t="e">
        <f>#REF!*spec_dp+#REF!*(elite1_base_dp+woodie*#REF!+sylvan*#REF!+gnome*#REF!+icekin*#REF!+nox*#REF!)+#REF!*(elite2_base_dp+woodie*#REF!) + fh_peas_dp*MIN(#REF!,20*#REF!)+kobold*#REF!</f>
        <v>#REF!</v>
      </c>
      <c r="T96" s="237" t="e">
        <f>#REF!+#REF!</f>
        <v>#REF!</v>
      </c>
      <c r="U96" s="238" t="e">
        <f>race_defense +#REF! + ROUND( MIN(gt_bonus*#REF!/#REF!,gt_bonus_cap), 4) + IF(#REF!&gt;0,howling_dp_bonus,IF(#REF!&gt;0,ares_call_bonus))</f>
        <v>#REF!</v>
      </c>
      <c r="V96" s="239" t="e">
        <f>#REF! * (1 +#REF!)</f>
        <v>#REF!</v>
      </c>
      <c r="W96" s="237" t="e">
        <f>#REF! * (1 +#REF!)</f>
        <v>#REF!</v>
      </c>
      <c r="X96" s="237" t="e">
        <f>#REF!</f>
        <v>#REF!</v>
      </c>
      <c r="Y96" s="240"/>
      <c r="Z96" s="135" t="e">
        <f ca="1">IF(#REF!&lt;&gt;"",#REF!,OFFSET(#REF!,-1,0))</f>
        <v>#REF!</v>
      </c>
      <c r="AA96" s="39" t="e">
        <f ca="1">OFFSET(#REF!,-1,0)+OFFSET(#REF!,-1,0) - SUM(#REF!,#REF!) -#REF! + SUM(#REF!) -#REF!</f>
        <v>#REF!</v>
      </c>
      <c r="AB96" s="133"/>
      <c r="AC96" s="132" t="e">
        <f>(#REF!+#REF!)/(#REF!-#REF!*20)</f>
        <v>#REF!</v>
      </c>
      <c r="AD96" s="130"/>
      <c r="AE96" s="236" t="e">
        <f>#REF!</f>
        <v>#REF!</v>
      </c>
      <c r="AF96" s="131" t="e">
        <f>#REF!</f>
        <v>#REF!</v>
      </c>
      <c r="AG96" s="164"/>
      <c r="AH96" s="164"/>
      <c r="AI96" s="164"/>
      <c r="AJ96" s="164"/>
      <c r="AK96" s="164"/>
      <c r="AL96" s="164"/>
      <c r="AM96" s="164"/>
      <c r="AN96" s="164"/>
      <c r="AO96" s="134"/>
      <c r="AP96" s="39" t="e">
        <f>#REF!</f>
        <v>#REF!</v>
      </c>
      <c r="AQ96" s="39" t="e">
        <f>INDEX(#REF!:#REF!,COUNTA(#REF!:#REF!),MATCH(Military!$AQ$2,#REF!,0))</f>
        <v>#REF!</v>
      </c>
      <c r="AR96" s="39" t="e">
        <f>#REF!*#REF!+#REF!*#REF!+#REF!*#REF!+#REF!*#REF!+#REF!*#REF!+#REF!*#REF!+#REF!*#REF!</f>
        <v>#REF!</v>
      </c>
      <c r="AS96" s="39" t="e">
        <f>#REF!*#REF!+#REF!*#REF!+#REF!*#REF!+#REF!*#REF!</f>
        <v>#REF!</v>
      </c>
      <c r="AT96" s="134" t="e">
        <f>#REF!</f>
        <v>#REF!</v>
      </c>
      <c r="AU96" s="143" t="e">
        <f>#REF!</f>
        <v>#REF!</v>
      </c>
      <c r="AV96" s="39" t="e">
        <f>#REF!</f>
        <v>#REF!</v>
      </c>
      <c r="AW96" s="164"/>
      <c r="AX96" s="164"/>
      <c r="AY96" s="164"/>
      <c r="AZ96" s="164"/>
      <c r="BA96" s="164"/>
      <c r="BB96" s="164"/>
      <c r="BC96" s="164"/>
      <c r="BD96" s="164"/>
      <c r="BE96" s="164"/>
      <c r="BF96" s="134"/>
      <c r="BG96" s="132" t="e">
        <f>#REF!/#REF!</f>
        <v>#REF!</v>
      </c>
      <c r="BH96" s="132" t="e">
        <f>#REF!/#REF!</f>
        <v>#REF!</v>
      </c>
      <c r="BI96" s="39" t="e">
        <f>ROUNDUP((1-MIN(#REF!*smithy_bonus,smithy_bonus_cap) + tech_3_5*#REF! + tech_5_3*#REF! + tech_5_5*#REF!)*spec_op_plat,0)</f>
        <v>#REF!</v>
      </c>
      <c r="BJ96" s="39" t="e">
        <f>ROUNDUP(IF(race="Gnome",1,(1-MIN(#REF!*smithy_bonus,smithy_bonus_cap) + tech_3_5*#REF! + tech_5_3*#REF! + tech_5_5*#REF!))*spec_op_ore,0)</f>
        <v>#REF!</v>
      </c>
      <c r="BK96" s="39" t="e">
        <f>ROUNDUP((1-MIN(#REF!*smithy_bonus,smithy_bonus_cap) + tech_3_5*#REF! + tech_5_3*#REF! + tech_5_5*#REF!)*spec_dp_plat,0)</f>
        <v>#REF!</v>
      </c>
      <c r="BL96" s="39" t="e">
        <f>ROUNDUP(IF(race="Gnome",1,(1-MIN(#REF!*smithy_bonus,smithy_bonus_cap) + tech_3_5*#REF! + tech_5_3*#REF! + tech_5_5*#REF!))*spec_dp_ore,0)</f>
        <v>#REF!</v>
      </c>
      <c r="BM96" s="39" t="e">
        <f>ROUNDUP((1-MIN(#REF!*smithy_bonus,smithy_bonus_cap) + tech_3_5*#REF! + tech_5_3*#REF! + tech_5_5*#REF!)*elite1_plat,0)</f>
        <v>#REF!</v>
      </c>
      <c r="BN96" s="39" t="e">
        <f>ROUNDUP(IF(race="Gnome",1,(1-MIN(#REF!*smithy_bonus,smithy_bonus_cap) + tech_3_5*#REF! + tech_5_3*#REF! + tech_5_5*#REF!))*elite1_ore,0)</f>
        <v>#REF!</v>
      </c>
      <c r="BO96" s="39" t="e">
        <f>ROUNDUP((1-MIN(#REF!*smithy_bonus,smithy_bonus_cap) + tech_3_5*#REF! + tech_5_3*#REF! + tech_5_5*#REF!)*elite2_plat,0)</f>
        <v>#REF!</v>
      </c>
      <c r="BP96" s="39" t="e">
        <f>ROUNDUP(IF(race="Gnome",1,(1-MIN(#REF!*smithy_bonus,smithy_bonus_cap) + tech_3_5*#REF! + tech_5_3*#REF! + tech_5_5*#REF!))*elite2_ore,0)</f>
        <v>#REF!</v>
      </c>
      <c r="BQ96" s="39" t="e">
        <f>ROUNDUP((1-MIN(ROUND(fh_spy_cost_red*#REF!,4),fh_spy_cost_cap)+ tech_1_9*#REF! + tech_9_1*#REF!)*spy_plat,0)</f>
        <v>#REF!</v>
      </c>
      <c r="BR96" s="39" t="e">
        <f>ROUNDUP((1-MIN(ROUND(fh_spy_cost_red*#REF!,4),fh_spy_cost_cap)+ tech_1_9*#REF! + tech_9_1*#REF!)*archspy_plat,0)</f>
        <v>#REF!</v>
      </c>
      <c r="BS96" s="39" t="e">
        <f>ROUNDUP((1-MIN(ROUND(wg_wiz_cost_bonus*#REF!,4),wg_wiz_cost_cap) + tech_1_9_2*#REF! + tech_9_1_2*#REF!)*wizard_plat,0)</f>
        <v>#REF!</v>
      </c>
      <c r="BT96" s="39" t="e">
        <f>ROUNDUP((1-MIN(ROUND(wg_wiz_cost_bonus*#REF!,4),wg_wiz_cost_cap) + tech_1_9_2*#REF! + tech_9_1_2*#REF!)*archmage_plat,0)</f>
        <v>#REF!</v>
      </c>
      <c r="BU96" s="134"/>
      <c r="BV96" s="132" t="e">
        <f>#REF!/#REF!</f>
        <v>#REF!</v>
      </c>
      <c r="BW96" s="132" t="e">
        <f>#REF!</f>
        <v>#REF!</v>
      </c>
      <c r="BX96" s="241" t="e">
        <f>IF(mystic_cap="none",#REF!/mystic_bonus,MIN(mystic_cap,#REF!/mystic_bonus))</f>
        <v>#REF!</v>
      </c>
      <c r="BY96" s="241" t="e">
        <f>IF(druid_op_cap="none",#REF!/druid_op_bonus,MIN(druid_op_cap,#REF!/druid_op_bonus))</f>
        <v>#REF!</v>
      </c>
      <c r="BZ96" s="241" t="e">
        <f>IF(druid_dp_cap="none",#REF!/druid_dp_bonus,MIN(druid_dp_cap,#REF!/druid_dp_bonus))</f>
        <v>#REF!</v>
      </c>
      <c r="CA96" s="241" t="e">
        <f>MIN(dryad_cap,#REF!/dryad_bonus)</f>
        <v>#REF!</v>
      </c>
      <c r="CB96" s="241" t="e">
        <f>MIN(rocka_cap,#REF!/rocka_bonus)</f>
        <v>#REF!</v>
      </c>
      <c r="CC96" s="241" t="e">
        <f>MIN(adept_op_cap,#REF!/adept_op_bonus)</f>
        <v>#REF!</v>
      </c>
      <c r="CD96" s="241" t="e">
        <f>MIN(adept_dp_cap,#REF!/adept_dp_bonus)</f>
        <v>#REF!</v>
      </c>
      <c r="CE96" s="39" t="e">
        <f>MIN(#REF!,#REF!)*2</f>
        <v>#REF!</v>
      </c>
      <c r="CF96" s="39" t="e">
        <f>MIN(#REF!,#REF!)*2</f>
        <v>#REF!</v>
      </c>
      <c r="CG96" s="241" t="e">
        <f>MIN(frost_mage_cap,#REF!/frost_mage_bonus)</f>
        <v>#REF!</v>
      </c>
      <c r="CH96" s="3" t="e">
        <f>MIN(ice_elem_cap,#REF!*ice_elem_bonus)</f>
        <v>#REF!</v>
      </c>
      <c r="CI96" s="241">
        <f t="shared" si="3"/>
        <v>0.83333333333333337</v>
      </c>
      <c r="CJ96" s="241" t="e">
        <f>MIN(nox_nightshade_cap,#REF!/#REF!/nox_nightshade_swamp_bonus)</f>
        <v>#REF!</v>
      </c>
      <c r="CK96" s="242"/>
      <c r="CL96" s="242"/>
      <c r="CM96" s="242"/>
      <c r="CN96" s="241" t="e">
        <f>MIN(6,#REF!+Races!$F$19)*1.8 +  IF(#REF!+Races!$F$19&gt;6,(#REF!+Races!$F$19-6)*0.2,0) - Races!$I$19</f>
        <v>#REF!</v>
      </c>
      <c r="CO96" s="241" t="e">
        <f>1.8 * MIN(MAX(#REF!+Races!$E$20,#REF!+Races!$F$20),6)  +  0.45 * MIN(MIN(#REF!+Races!$E$20,#REF!+Races!$F$20),6)  +  0.2 * ( MAX(#REF!+Races!$E$20-6,0) + MAX(#REF!+Races!$F$20-6,0) )  -  Races!$I$20</f>
        <v>#REF!</v>
      </c>
      <c r="CP96" s="39" t="e">
        <f>#REF!*#REF!+#REF!*#REF!</f>
        <v>#REF!</v>
      </c>
      <c r="CQ96" s="145" t="e">
        <f>MIN(6,#REF!+Races!$F$35)*1.8 +  IF(#REF!+Races!$F$35&gt;6,(#REF!+Races!$F$35-6)*0.2,0) - Races!$I$19</f>
        <v>#REF!</v>
      </c>
      <c r="CR96" s="39" t="e">
        <f>sylvan*(#REF!*#REF!)</f>
        <v>#REF!</v>
      </c>
      <c r="CS96" s="145" t="e">
        <f>1.8 * MIN(MAX(Races!$E$27,#REF!+Races!$F$27),6)  +  0.45 * MIN(MIN(Races!$E$27,#REF!+Races!$F$27),6)  +  0.2 * ( MAX(Races!$E$27-6,0) + MAX(#REF!+Races!$F$27-6,0) )  -  Races!$I$20</f>
        <v>#REF!</v>
      </c>
      <c r="CT96" s="39" t="e">
        <f>gnome*(#REF!*#REF!)</f>
        <v>#REF!</v>
      </c>
      <c r="CU96" s="145" t="e">
        <f>1.8 * MIN(MAX(#REF!+Races!$E$47,#REF!+Races!$F$47),6)  +  0.45 * MIN(MIN(#REF!+Races!$E$47,#REF!+Races!$F$47),6)  +  0.2 * ( MAX(#REF!+Races!$E$47-6,0) + MAX(#REF!+Races!$F$47-6,0) )  -  Races!$I$47</f>
        <v>#REF!</v>
      </c>
      <c r="CV96" s="39" t="e">
        <f>dark_elf*(#REF!*#REF!)</f>
        <v>#REF!</v>
      </c>
      <c r="CW96" s="145" t="e">
        <f>1.8 * MIN(MAX(#REF!+Races!$F$71,Races!$E$71),6)  +  0.45 * MIN(MIN(#REF!+Races!$F$71,Races!$E$71),6)  +  0.2 * ( MAX(#REF!+Races!$F$71-6,0) + MAX(Races!$E$71-6,0) )  -  Races!$I$71</f>
        <v>#REF!</v>
      </c>
      <c r="CX96" s="145" t="e">
        <f>1.8 * MIN(MAX(#REF!+Races!$E$71,Races!$F$71),6)  +  0.45 * MIN(MIN(#REF!+Races!$E$71,Races!$F$71),6)  +  0.2 * ( MAX(#REF!+Races!$E$71-6,0) + MAX(Races!$F$71-6,0) )  -  Races!$I$71</f>
        <v>#REF!</v>
      </c>
      <c r="CY96" s="39" t="e">
        <f>#REF!*#REF!+#REF!*#REF!</f>
        <v>#REF!</v>
      </c>
      <c r="CZ96" s="243"/>
      <c r="DA96" s="135" t="e">
        <f>MIN(SUM(#REF!)/#REF!/favorable_terrain_bonus/100,favorable_terrain_max)</f>
        <v>#REF!</v>
      </c>
      <c r="DB96" s="243"/>
      <c r="DC96"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96" s="134"/>
      <c r="DE96" s="244" t="e">
        <f>(#REF!+2*#REF!)/#REF!</f>
        <v>#REF!</v>
      </c>
      <c r="DF96" s="244" t="e">
        <f>#REF!*(1+race_wizard_strength+IF(#REF!&gt;72,tech_magical_weaponry_wiz*#REF!,0))</f>
        <v>#REF!</v>
      </c>
    </row>
    <row r="97" spans="1:110" x14ac:dyDescent="0.25">
      <c r="A97" s="130" t="e">
        <f>#REF!</f>
        <v>#REF!</v>
      </c>
      <c r="B97" s="236" t="e">
        <f ca="1">SUM(#REF!)+SUM(OFFSET(#REF!,-8,0):#REF!) + SUM(OFFSET(#REF!,-11,0):#REF!) +#REF!</f>
        <v>#REF!</v>
      </c>
      <c r="C97" s="132" t="e">
        <f>#REF!</f>
        <v>#REF!</v>
      </c>
      <c r="D97" s="134"/>
      <c r="E97" s="3" t="e">
        <f ca="1">OFFSET(#REF!,-1,0) + OFFSET(#REF!,-9,0) -#REF!</f>
        <v>#REF!</v>
      </c>
      <c r="F97" s="3" t="e">
        <f ca="1">OFFSET(#REF!,-1,0) + OFFSET(#REF!,-9,0)-#REF!</f>
        <v>#REF!</v>
      </c>
      <c r="G97" s="3" t="e">
        <f ca="1">OFFSET(#REF!,-1,0) + OFFSET(#REF!,-12,0)-#REF!</f>
        <v>#REF!</v>
      </c>
      <c r="H97" s="3" t="e">
        <f ca="1">OFFSET(#REF!,-1,0) + OFFSET(#REF!,-12,0)-#REF!</f>
        <v>#REF!</v>
      </c>
      <c r="I97" s="3" t="e">
        <f ca="1">OFFSET(#REF!,-1,0) + OFFSET(#REF!,-12,0) -#REF!-#REF!</f>
        <v>#REF!</v>
      </c>
      <c r="J97" s="3" t="e">
        <f ca="1">OFFSET(#REF!,-1,0) + OFFSET(#REF!,-12,0) -#REF!</f>
        <v>#REF!</v>
      </c>
      <c r="K97" s="3" t="e">
        <f ca="1">OFFSET(#REF!,-1,0) + OFFSET(#REF!,-12,0) -#REF!-#REF!</f>
        <v>#REF!</v>
      </c>
      <c r="L97" s="3" t="e">
        <f ca="1">OFFSET(#REF!,-1,0) + OFFSET(#REF!,-12,0) -#REF!</f>
        <v>#REF!</v>
      </c>
      <c r="M97" s="134"/>
      <c r="N97" s="39" t="e">
        <f>#REF!</f>
        <v>#REF!</v>
      </c>
      <c r="O97" s="134"/>
      <c r="P97" s="237" t="e">
        <f>#REF!*spec_op+#REF!*(elite1_base_op)+#REF!*(elite2_base_op+dark_elf*#REF!+icekin*#REF!+woodie*#REF!+orc*#REF!)+kobold*#REF!</f>
        <v>#REF!</v>
      </c>
      <c r="Q97" s="132" t="e">
        <f>race_offense+#REF!+ROUND(MIN(gn_bonus*#REF!/#REF!,gn_bonus_cap),4)+MAX(IF(#REF!&gt;0,warsong_bonus),IF(#REF!&gt;0,howling_op_bonus),IF(#REF!&gt;0,nightfall_bonus),IF(#REF!&gt;0,#REF!)) +#REF!/ 100*prestige_offense_bonus + tech_5_4*#REF! + tech_7_4*#REF!</f>
        <v>#REF!</v>
      </c>
      <c r="R97" s="237" t="e">
        <f>#REF!*(1+#REF!)</f>
        <v>#REF!</v>
      </c>
      <c r="S97" s="237" t="e">
        <f>#REF!*spec_dp+#REF!*(elite1_base_dp+woodie*#REF!+sylvan*#REF!+gnome*#REF!+icekin*#REF!+nox*#REF!)+#REF!*(elite2_base_dp+woodie*#REF!) + fh_peas_dp*MIN(#REF!,20*#REF!)+kobold*#REF!</f>
        <v>#REF!</v>
      </c>
      <c r="T97" s="237" t="e">
        <f>#REF!+#REF!</f>
        <v>#REF!</v>
      </c>
      <c r="U97" s="238" t="e">
        <f>race_defense +#REF! + ROUND( MIN(gt_bonus*#REF!/#REF!,gt_bonus_cap), 4) + IF(#REF!&gt;0,howling_dp_bonus,IF(#REF!&gt;0,ares_call_bonus))</f>
        <v>#REF!</v>
      </c>
      <c r="V97" s="239" t="e">
        <f>#REF! * (1 +#REF!)</f>
        <v>#REF!</v>
      </c>
      <c r="W97" s="237" t="e">
        <f>#REF! * (1 +#REF!)</f>
        <v>#REF!</v>
      </c>
      <c r="X97" s="237" t="e">
        <f>#REF!</f>
        <v>#REF!</v>
      </c>
      <c r="Y97" s="240"/>
      <c r="Z97" s="135" t="e">
        <f ca="1">IF(#REF!&lt;&gt;"",#REF!,OFFSET(#REF!,-1,0))</f>
        <v>#REF!</v>
      </c>
      <c r="AA97" s="39" t="e">
        <f ca="1">OFFSET(#REF!,-1,0)+OFFSET(#REF!,-1,0) - SUM(#REF!,#REF!) -#REF! + SUM(#REF!) -#REF!</f>
        <v>#REF!</v>
      </c>
      <c r="AB97" s="133"/>
      <c r="AC97" s="132" t="e">
        <f>(#REF!+#REF!)/(#REF!-#REF!*20)</f>
        <v>#REF!</v>
      </c>
      <c r="AD97" s="130"/>
      <c r="AE97" s="236" t="e">
        <f>#REF!</f>
        <v>#REF!</v>
      </c>
      <c r="AF97" s="131" t="e">
        <f>#REF!</f>
        <v>#REF!</v>
      </c>
      <c r="AG97" s="164"/>
      <c r="AH97" s="164"/>
      <c r="AI97" s="164"/>
      <c r="AJ97" s="164"/>
      <c r="AK97" s="164"/>
      <c r="AL97" s="164"/>
      <c r="AM97" s="164"/>
      <c r="AN97" s="164"/>
      <c r="AO97" s="134"/>
      <c r="AP97" s="39" t="e">
        <f>#REF!</f>
        <v>#REF!</v>
      </c>
      <c r="AQ97" s="39" t="e">
        <f>INDEX(#REF!:#REF!,COUNTA(#REF!:#REF!),MATCH(Military!$AQ$2,#REF!,0))</f>
        <v>#REF!</v>
      </c>
      <c r="AR97" s="39" t="e">
        <f>#REF!*#REF!+#REF!*#REF!+#REF!*#REF!+#REF!*#REF!+#REF!*#REF!+#REF!*#REF!+#REF!*#REF!</f>
        <v>#REF!</v>
      </c>
      <c r="AS97" s="39" t="e">
        <f>#REF!*#REF!+#REF!*#REF!+#REF!*#REF!+#REF!*#REF!</f>
        <v>#REF!</v>
      </c>
      <c r="AT97" s="134" t="e">
        <f>#REF!</f>
        <v>#REF!</v>
      </c>
      <c r="AU97" s="143" t="e">
        <f>#REF!</f>
        <v>#REF!</v>
      </c>
      <c r="AV97" s="39" t="e">
        <f>#REF!</f>
        <v>#REF!</v>
      </c>
      <c r="AW97" s="164"/>
      <c r="AX97" s="164"/>
      <c r="AY97" s="164"/>
      <c r="AZ97" s="164"/>
      <c r="BA97" s="164"/>
      <c r="BB97" s="164"/>
      <c r="BC97" s="164"/>
      <c r="BD97" s="164"/>
      <c r="BE97" s="164"/>
      <c r="BF97" s="134"/>
      <c r="BG97" s="132" t="e">
        <f>#REF!/#REF!</f>
        <v>#REF!</v>
      </c>
      <c r="BH97" s="132" t="e">
        <f>#REF!/#REF!</f>
        <v>#REF!</v>
      </c>
      <c r="BI97" s="39" t="e">
        <f>ROUNDUP((1-MIN(#REF!*smithy_bonus,smithy_bonus_cap) + tech_3_5*#REF! + tech_5_3*#REF! + tech_5_5*#REF!)*spec_op_plat,0)</f>
        <v>#REF!</v>
      </c>
      <c r="BJ97" s="39" t="e">
        <f>ROUNDUP(IF(race="Gnome",1,(1-MIN(#REF!*smithy_bonus,smithy_bonus_cap) + tech_3_5*#REF! + tech_5_3*#REF! + tech_5_5*#REF!))*spec_op_ore,0)</f>
        <v>#REF!</v>
      </c>
      <c r="BK97" s="39" t="e">
        <f>ROUNDUP((1-MIN(#REF!*smithy_bonus,smithy_bonus_cap) + tech_3_5*#REF! + tech_5_3*#REF! + tech_5_5*#REF!)*spec_dp_plat,0)</f>
        <v>#REF!</v>
      </c>
      <c r="BL97" s="39" t="e">
        <f>ROUNDUP(IF(race="Gnome",1,(1-MIN(#REF!*smithy_bonus,smithy_bonus_cap) + tech_3_5*#REF! + tech_5_3*#REF! + tech_5_5*#REF!))*spec_dp_ore,0)</f>
        <v>#REF!</v>
      </c>
      <c r="BM97" s="39" t="e">
        <f>ROUNDUP((1-MIN(#REF!*smithy_bonus,smithy_bonus_cap) + tech_3_5*#REF! + tech_5_3*#REF! + tech_5_5*#REF!)*elite1_plat,0)</f>
        <v>#REF!</v>
      </c>
      <c r="BN97" s="39" t="e">
        <f>ROUNDUP(IF(race="Gnome",1,(1-MIN(#REF!*smithy_bonus,smithy_bonus_cap) + tech_3_5*#REF! + tech_5_3*#REF! + tech_5_5*#REF!))*elite1_ore,0)</f>
        <v>#REF!</v>
      </c>
      <c r="BO97" s="39" t="e">
        <f>ROUNDUP((1-MIN(#REF!*smithy_bonus,smithy_bonus_cap) + tech_3_5*#REF! + tech_5_3*#REF! + tech_5_5*#REF!)*elite2_plat,0)</f>
        <v>#REF!</v>
      </c>
      <c r="BP97" s="39" t="e">
        <f>ROUNDUP(IF(race="Gnome",1,(1-MIN(#REF!*smithy_bonus,smithy_bonus_cap) + tech_3_5*#REF! + tech_5_3*#REF! + tech_5_5*#REF!))*elite2_ore,0)</f>
        <v>#REF!</v>
      </c>
      <c r="BQ97" s="39" t="e">
        <f>ROUNDUP((1-MIN(ROUND(fh_spy_cost_red*#REF!,4),fh_spy_cost_cap)+ tech_1_9*#REF! + tech_9_1*#REF!)*spy_plat,0)</f>
        <v>#REF!</v>
      </c>
      <c r="BR97" s="39" t="e">
        <f>ROUNDUP((1-MIN(ROUND(fh_spy_cost_red*#REF!,4),fh_spy_cost_cap)+ tech_1_9*#REF! + tech_9_1*#REF!)*archspy_plat,0)</f>
        <v>#REF!</v>
      </c>
      <c r="BS97" s="39" t="e">
        <f>ROUNDUP((1-MIN(ROUND(wg_wiz_cost_bonus*#REF!,4),wg_wiz_cost_cap) + tech_1_9_2*#REF! + tech_9_1_2*#REF!)*wizard_plat,0)</f>
        <v>#REF!</v>
      </c>
      <c r="BT97" s="39" t="e">
        <f>ROUNDUP((1-MIN(ROUND(wg_wiz_cost_bonus*#REF!,4),wg_wiz_cost_cap) + tech_1_9_2*#REF! + tech_9_1_2*#REF!)*archmage_plat,0)</f>
        <v>#REF!</v>
      </c>
      <c r="BU97" s="134"/>
      <c r="BV97" s="132" t="e">
        <f>#REF!/#REF!</f>
        <v>#REF!</v>
      </c>
      <c r="BW97" s="132" t="e">
        <f>#REF!</f>
        <v>#REF!</v>
      </c>
      <c r="BX97" s="241" t="e">
        <f>IF(mystic_cap="none",#REF!/mystic_bonus,MIN(mystic_cap,#REF!/mystic_bonus))</f>
        <v>#REF!</v>
      </c>
      <c r="BY97" s="241" t="e">
        <f>IF(druid_op_cap="none",#REF!/druid_op_bonus,MIN(druid_op_cap,#REF!/druid_op_bonus))</f>
        <v>#REF!</v>
      </c>
      <c r="BZ97" s="241" t="e">
        <f>IF(druid_dp_cap="none",#REF!/druid_dp_bonus,MIN(druid_dp_cap,#REF!/druid_dp_bonus))</f>
        <v>#REF!</v>
      </c>
      <c r="CA97" s="241" t="e">
        <f>MIN(dryad_cap,#REF!/dryad_bonus)</f>
        <v>#REF!</v>
      </c>
      <c r="CB97" s="241" t="e">
        <f>MIN(rocka_cap,#REF!/rocka_bonus)</f>
        <v>#REF!</v>
      </c>
      <c r="CC97" s="241" t="e">
        <f>MIN(adept_op_cap,#REF!/adept_op_bonus)</f>
        <v>#REF!</v>
      </c>
      <c r="CD97" s="241" t="e">
        <f>MIN(adept_dp_cap,#REF!/adept_dp_bonus)</f>
        <v>#REF!</v>
      </c>
      <c r="CE97" s="39" t="e">
        <f>MIN(#REF!,#REF!)*2</f>
        <v>#REF!</v>
      </c>
      <c r="CF97" s="39" t="e">
        <f>MIN(#REF!,#REF!)*2</f>
        <v>#REF!</v>
      </c>
      <c r="CG97" s="241" t="e">
        <f>MIN(frost_mage_cap,#REF!/frost_mage_bonus)</f>
        <v>#REF!</v>
      </c>
      <c r="CH97" s="3" t="e">
        <f>MIN(ice_elem_cap,#REF!*ice_elem_bonus)</f>
        <v>#REF!</v>
      </c>
      <c r="CI97" s="241">
        <f t="shared" si="3"/>
        <v>0.83333333333333337</v>
      </c>
      <c r="CJ97" s="241" t="e">
        <f>MIN(nox_nightshade_cap,#REF!/#REF!/nox_nightshade_swamp_bonus)</f>
        <v>#REF!</v>
      </c>
      <c r="CK97" s="242"/>
      <c r="CL97" s="242"/>
      <c r="CM97" s="242"/>
      <c r="CN97" s="241" t="e">
        <f>MIN(6,#REF!+Races!$F$19)*1.8 +  IF(#REF!+Races!$F$19&gt;6,(#REF!+Races!$F$19-6)*0.2,0) - Races!$I$19</f>
        <v>#REF!</v>
      </c>
      <c r="CO97" s="241" t="e">
        <f>1.8 * MIN(MAX(#REF!+Races!$E$20,#REF!+Races!$F$20),6)  +  0.45 * MIN(MIN(#REF!+Races!$E$20,#REF!+Races!$F$20),6)  +  0.2 * ( MAX(#REF!+Races!$E$20-6,0) + MAX(#REF!+Races!$F$20-6,0) )  -  Races!$I$20</f>
        <v>#REF!</v>
      </c>
      <c r="CP97" s="39" t="e">
        <f>#REF!*#REF!+#REF!*#REF!</f>
        <v>#REF!</v>
      </c>
      <c r="CQ97" s="145" t="e">
        <f>MIN(6,#REF!+Races!$F$35)*1.8 +  IF(#REF!+Races!$F$35&gt;6,(#REF!+Races!$F$35-6)*0.2,0) - Races!$I$19</f>
        <v>#REF!</v>
      </c>
      <c r="CR97" s="39" t="e">
        <f>sylvan*(#REF!*#REF!)</f>
        <v>#REF!</v>
      </c>
      <c r="CS97" s="145" t="e">
        <f>1.8 * MIN(MAX(Races!$E$27,#REF!+Races!$F$27),6)  +  0.45 * MIN(MIN(Races!$E$27,#REF!+Races!$F$27),6)  +  0.2 * ( MAX(Races!$E$27-6,0) + MAX(#REF!+Races!$F$27-6,0) )  -  Races!$I$20</f>
        <v>#REF!</v>
      </c>
      <c r="CT97" s="39" t="e">
        <f>gnome*(#REF!*#REF!)</f>
        <v>#REF!</v>
      </c>
      <c r="CU97" s="145" t="e">
        <f>1.8 * MIN(MAX(#REF!+Races!$E$47,#REF!+Races!$F$47),6)  +  0.45 * MIN(MIN(#REF!+Races!$E$47,#REF!+Races!$F$47),6)  +  0.2 * ( MAX(#REF!+Races!$E$47-6,0) + MAX(#REF!+Races!$F$47-6,0) )  -  Races!$I$47</f>
        <v>#REF!</v>
      </c>
      <c r="CV97" s="39" t="e">
        <f>dark_elf*(#REF!*#REF!)</f>
        <v>#REF!</v>
      </c>
      <c r="CW97" s="145" t="e">
        <f>1.8 * MIN(MAX(#REF!+Races!$F$71,Races!$E$71),6)  +  0.45 * MIN(MIN(#REF!+Races!$F$71,Races!$E$71),6)  +  0.2 * ( MAX(#REF!+Races!$F$71-6,0) + MAX(Races!$E$71-6,0) )  -  Races!$I$71</f>
        <v>#REF!</v>
      </c>
      <c r="CX97" s="145" t="e">
        <f>1.8 * MIN(MAX(#REF!+Races!$E$71,Races!$F$71),6)  +  0.45 * MIN(MIN(#REF!+Races!$E$71,Races!$F$71),6)  +  0.2 * ( MAX(#REF!+Races!$E$71-6,0) + MAX(Races!$F$71-6,0) )  -  Races!$I$71</f>
        <v>#REF!</v>
      </c>
      <c r="CY97" s="39" t="e">
        <f>#REF!*#REF!+#REF!*#REF!</f>
        <v>#REF!</v>
      </c>
      <c r="CZ97" s="243"/>
      <c r="DA97" s="135" t="e">
        <f>MIN(SUM(#REF!)/#REF!/favorable_terrain_bonus/100,favorable_terrain_max)</f>
        <v>#REF!</v>
      </c>
      <c r="DB97" s="243"/>
      <c r="DC97"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97" s="134"/>
      <c r="DE97" s="244" t="e">
        <f>(#REF!+2*#REF!)/#REF!</f>
        <v>#REF!</v>
      </c>
      <c r="DF97" s="244" t="e">
        <f>#REF!*(1+race_wizard_strength+IF(#REF!&gt;72,tech_magical_weaponry_wiz*#REF!,0))</f>
        <v>#REF!</v>
      </c>
    </row>
    <row r="98" spans="1:110" x14ac:dyDescent="0.25">
      <c r="A98" s="130" t="e">
        <f>#REF!</f>
        <v>#REF!</v>
      </c>
      <c r="B98" s="236" t="e">
        <f ca="1">SUM(#REF!)+SUM(OFFSET(#REF!,-8,0):#REF!) + SUM(OFFSET(#REF!,-11,0):#REF!) +#REF!</f>
        <v>#REF!</v>
      </c>
      <c r="C98" s="132" t="e">
        <f>#REF!</f>
        <v>#REF!</v>
      </c>
      <c r="D98" s="134"/>
      <c r="E98" s="3" t="e">
        <f ca="1">OFFSET(#REF!,-1,0) + OFFSET(#REF!,-9,0) -#REF!</f>
        <v>#REF!</v>
      </c>
      <c r="F98" s="3" t="e">
        <f ca="1">OFFSET(#REF!,-1,0) + OFFSET(#REF!,-9,0)-#REF!</f>
        <v>#REF!</v>
      </c>
      <c r="G98" s="3" t="e">
        <f ca="1">OFFSET(#REF!,-1,0) + OFFSET(#REF!,-12,0)-#REF!</f>
        <v>#REF!</v>
      </c>
      <c r="H98" s="3" t="e">
        <f ca="1">OFFSET(#REF!,-1,0) + OFFSET(#REF!,-12,0)-#REF!</f>
        <v>#REF!</v>
      </c>
      <c r="I98" s="3" t="e">
        <f ca="1">OFFSET(#REF!,-1,0) + OFFSET(#REF!,-12,0) -#REF!-#REF!</f>
        <v>#REF!</v>
      </c>
      <c r="J98" s="3" t="e">
        <f ca="1">OFFSET(#REF!,-1,0) + OFFSET(#REF!,-12,0) -#REF!</f>
        <v>#REF!</v>
      </c>
      <c r="K98" s="3" t="e">
        <f ca="1">OFFSET(#REF!,-1,0) + OFFSET(#REF!,-12,0) -#REF!-#REF!</f>
        <v>#REF!</v>
      </c>
      <c r="L98" s="3" t="e">
        <f ca="1">OFFSET(#REF!,-1,0) + OFFSET(#REF!,-12,0) -#REF!</f>
        <v>#REF!</v>
      </c>
      <c r="M98" s="134"/>
      <c r="N98" s="39" t="e">
        <f>#REF!</f>
        <v>#REF!</v>
      </c>
      <c r="O98" s="134"/>
      <c r="P98" s="237" t="e">
        <f>#REF!*spec_op+#REF!*(elite1_base_op)+#REF!*(elite2_base_op+dark_elf*#REF!+icekin*#REF!+woodie*#REF!+orc*#REF!)+kobold*#REF!</f>
        <v>#REF!</v>
      </c>
      <c r="Q98" s="132" t="e">
        <f>race_offense+#REF!+ROUND(MIN(gn_bonus*#REF!/#REF!,gn_bonus_cap),4)+MAX(IF(#REF!&gt;0,warsong_bonus),IF(#REF!&gt;0,howling_op_bonus),IF(#REF!&gt;0,nightfall_bonus),IF(#REF!&gt;0,#REF!)) +#REF!/ 100*prestige_offense_bonus + tech_5_4*#REF! + tech_7_4*#REF!</f>
        <v>#REF!</v>
      </c>
      <c r="R98" s="237" t="e">
        <f>#REF!*(1+#REF!)</f>
        <v>#REF!</v>
      </c>
      <c r="S98" s="237" t="e">
        <f>#REF!*spec_dp+#REF!*(elite1_base_dp+woodie*#REF!+sylvan*#REF!+gnome*#REF!+icekin*#REF!+nox*#REF!)+#REF!*(elite2_base_dp+woodie*#REF!) + fh_peas_dp*MIN(#REF!,20*#REF!)+kobold*#REF!</f>
        <v>#REF!</v>
      </c>
      <c r="T98" s="237" t="e">
        <f>#REF!+#REF!</f>
        <v>#REF!</v>
      </c>
      <c r="U98" s="238" t="e">
        <f>race_defense +#REF! + ROUND( MIN(gt_bonus*#REF!/#REF!,gt_bonus_cap), 4) + IF(#REF!&gt;0,howling_dp_bonus,IF(#REF!&gt;0,ares_call_bonus))</f>
        <v>#REF!</v>
      </c>
      <c r="V98" s="239" t="e">
        <f>#REF! * (1 +#REF!)</f>
        <v>#REF!</v>
      </c>
      <c r="W98" s="237" t="e">
        <f>#REF! * (1 +#REF!)</f>
        <v>#REF!</v>
      </c>
      <c r="X98" s="237" t="e">
        <f>#REF!</f>
        <v>#REF!</v>
      </c>
      <c r="Y98" s="240"/>
      <c r="Z98" s="135" t="e">
        <f ca="1">IF(#REF!&lt;&gt;"",#REF!,OFFSET(#REF!,-1,0))</f>
        <v>#REF!</v>
      </c>
      <c r="AA98" s="39" t="e">
        <f ca="1">OFFSET(#REF!,-1,0)+OFFSET(#REF!,-1,0) - SUM(#REF!,#REF!) -#REF! + SUM(#REF!) -#REF!</f>
        <v>#REF!</v>
      </c>
      <c r="AB98" s="133"/>
      <c r="AC98" s="132" t="e">
        <f>(#REF!+#REF!)/(#REF!-#REF!*20)</f>
        <v>#REF!</v>
      </c>
      <c r="AD98" s="130"/>
      <c r="AE98" s="236" t="e">
        <f>#REF!</f>
        <v>#REF!</v>
      </c>
      <c r="AF98" s="131" t="e">
        <f>#REF!</f>
        <v>#REF!</v>
      </c>
      <c r="AG98" s="164"/>
      <c r="AH98" s="164"/>
      <c r="AI98" s="164"/>
      <c r="AJ98" s="164"/>
      <c r="AK98" s="164"/>
      <c r="AL98" s="164"/>
      <c r="AM98" s="164"/>
      <c r="AN98" s="164"/>
      <c r="AO98" s="134"/>
      <c r="AP98" s="39" t="e">
        <f>#REF!</f>
        <v>#REF!</v>
      </c>
      <c r="AQ98" s="39" t="e">
        <f>INDEX(#REF!:#REF!,COUNTA(#REF!:#REF!),MATCH(Military!$AQ$2,#REF!,0))</f>
        <v>#REF!</v>
      </c>
      <c r="AR98" s="39" t="e">
        <f>#REF!*#REF!+#REF!*#REF!+#REF!*#REF!+#REF!*#REF!+#REF!*#REF!+#REF!*#REF!+#REF!*#REF!</f>
        <v>#REF!</v>
      </c>
      <c r="AS98" s="39" t="e">
        <f>#REF!*#REF!+#REF!*#REF!+#REF!*#REF!+#REF!*#REF!</f>
        <v>#REF!</v>
      </c>
      <c r="AT98" s="134" t="e">
        <f>#REF!</f>
        <v>#REF!</v>
      </c>
      <c r="AU98" s="143" t="e">
        <f>#REF!</f>
        <v>#REF!</v>
      </c>
      <c r="AV98" s="39" t="e">
        <f>#REF!</f>
        <v>#REF!</v>
      </c>
      <c r="AW98" s="164"/>
      <c r="AX98" s="164"/>
      <c r="AY98" s="164"/>
      <c r="AZ98" s="164"/>
      <c r="BA98" s="164"/>
      <c r="BB98" s="164"/>
      <c r="BC98" s="164"/>
      <c r="BD98" s="164"/>
      <c r="BE98" s="164"/>
      <c r="BF98" s="134"/>
      <c r="BG98" s="132" t="e">
        <f>#REF!/#REF!</f>
        <v>#REF!</v>
      </c>
      <c r="BH98" s="132" t="e">
        <f>#REF!/#REF!</f>
        <v>#REF!</v>
      </c>
      <c r="BI98" s="39" t="e">
        <f>ROUNDUP((1-MIN(#REF!*smithy_bonus,smithy_bonus_cap) + tech_3_5*#REF! + tech_5_3*#REF! + tech_5_5*#REF!)*spec_op_plat,0)</f>
        <v>#REF!</v>
      </c>
      <c r="BJ98" s="39" t="e">
        <f>ROUNDUP(IF(race="Gnome",1,(1-MIN(#REF!*smithy_bonus,smithy_bonus_cap) + tech_3_5*#REF! + tech_5_3*#REF! + tech_5_5*#REF!))*spec_op_ore,0)</f>
        <v>#REF!</v>
      </c>
      <c r="BK98" s="39" t="e">
        <f>ROUNDUP((1-MIN(#REF!*smithy_bonus,smithy_bonus_cap) + tech_3_5*#REF! + tech_5_3*#REF! + tech_5_5*#REF!)*spec_dp_plat,0)</f>
        <v>#REF!</v>
      </c>
      <c r="BL98" s="39" t="e">
        <f>ROUNDUP(IF(race="Gnome",1,(1-MIN(#REF!*smithy_bonus,smithy_bonus_cap) + tech_3_5*#REF! + tech_5_3*#REF! + tech_5_5*#REF!))*spec_dp_ore,0)</f>
        <v>#REF!</v>
      </c>
      <c r="BM98" s="39" t="e">
        <f>ROUNDUP((1-MIN(#REF!*smithy_bonus,smithy_bonus_cap) + tech_3_5*#REF! + tech_5_3*#REF! + tech_5_5*#REF!)*elite1_plat,0)</f>
        <v>#REF!</v>
      </c>
      <c r="BN98" s="39" t="e">
        <f>ROUNDUP(IF(race="Gnome",1,(1-MIN(#REF!*smithy_bonus,smithy_bonus_cap) + tech_3_5*#REF! + tech_5_3*#REF! + tech_5_5*#REF!))*elite1_ore,0)</f>
        <v>#REF!</v>
      </c>
      <c r="BO98" s="39" t="e">
        <f>ROUNDUP((1-MIN(#REF!*smithy_bonus,smithy_bonus_cap) + tech_3_5*#REF! + tech_5_3*#REF! + tech_5_5*#REF!)*elite2_plat,0)</f>
        <v>#REF!</v>
      </c>
      <c r="BP98" s="39" t="e">
        <f>ROUNDUP(IF(race="Gnome",1,(1-MIN(#REF!*smithy_bonus,smithy_bonus_cap) + tech_3_5*#REF! + tech_5_3*#REF! + tech_5_5*#REF!))*elite2_ore,0)</f>
        <v>#REF!</v>
      </c>
      <c r="BQ98" s="39" t="e">
        <f>ROUNDUP((1-MIN(ROUND(fh_spy_cost_red*#REF!,4),fh_spy_cost_cap)+ tech_1_9*#REF! + tech_9_1*#REF!)*spy_plat,0)</f>
        <v>#REF!</v>
      </c>
      <c r="BR98" s="39" t="e">
        <f>ROUNDUP((1-MIN(ROUND(fh_spy_cost_red*#REF!,4),fh_spy_cost_cap)+ tech_1_9*#REF! + tech_9_1*#REF!)*archspy_plat,0)</f>
        <v>#REF!</v>
      </c>
      <c r="BS98" s="39" t="e">
        <f>ROUNDUP((1-MIN(ROUND(wg_wiz_cost_bonus*#REF!,4),wg_wiz_cost_cap) + tech_1_9_2*#REF! + tech_9_1_2*#REF!)*wizard_plat,0)</f>
        <v>#REF!</v>
      </c>
      <c r="BT98" s="39" t="e">
        <f>ROUNDUP((1-MIN(ROUND(wg_wiz_cost_bonus*#REF!,4),wg_wiz_cost_cap) + tech_1_9_2*#REF! + tech_9_1_2*#REF!)*archmage_plat,0)</f>
        <v>#REF!</v>
      </c>
      <c r="BU98" s="134"/>
      <c r="BV98" s="132" t="e">
        <f>#REF!/#REF!</f>
        <v>#REF!</v>
      </c>
      <c r="BW98" s="132" t="e">
        <f>#REF!</f>
        <v>#REF!</v>
      </c>
      <c r="BX98" s="241" t="e">
        <f>IF(mystic_cap="none",#REF!/mystic_bonus,MIN(mystic_cap,#REF!/mystic_bonus))</f>
        <v>#REF!</v>
      </c>
      <c r="BY98" s="241" t="e">
        <f>IF(druid_op_cap="none",#REF!/druid_op_bonus,MIN(druid_op_cap,#REF!/druid_op_bonus))</f>
        <v>#REF!</v>
      </c>
      <c r="BZ98" s="241" t="e">
        <f>IF(druid_dp_cap="none",#REF!/druid_dp_bonus,MIN(druid_dp_cap,#REF!/druid_dp_bonus))</f>
        <v>#REF!</v>
      </c>
      <c r="CA98" s="241" t="e">
        <f>MIN(dryad_cap,#REF!/dryad_bonus)</f>
        <v>#REF!</v>
      </c>
      <c r="CB98" s="241" t="e">
        <f>MIN(rocka_cap,#REF!/rocka_bonus)</f>
        <v>#REF!</v>
      </c>
      <c r="CC98" s="241" t="e">
        <f>MIN(adept_op_cap,#REF!/adept_op_bonus)</f>
        <v>#REF!</v>
      </c>
      <c r="CD98" s="241" t="e">
        <f>MIN(adept_dp_cap,#REF!/adept_dp_bonus)</f>
        <v>#REF!</v>
      </c>
      <c r="CE98" s="39" t="e">
        <f>MIN(#REF!,#REF!)*2</f>
        <v>#REF!</v>
      </c>
      <c r="CF98" s="39" t="e">
        <f>MIN(#REF!,#REF!)*2</f>
        <v>#REF!</v>
      </c>
      <c r="CG98" s="241" t="e">
        <f>MIN(frost_mage_cap,#REF!/frost_mage_bonus)</f>
        <v>#REF!</v>
      </c>
      <c r="CH98" s="3" t="e">
        <f>MIN(ice_elem_cap,#REF!*ice_elem_bonus)</f>
        <v>#REF!</v>
      </c>
      <c r="CI98" s="241">
        <f t="shared" si="3"/>
        <v>0.83333333333333337</v>
      </c>
      <c r="CJ98" s="241" t="e">
        <f>MIN(nox_nightshade_cap,#REF!/#REF!/nox_nightshade_swamp_bonus)</f>
        <v>#REF!</v>
      </c>
      <c r="CK98" s="242"/>
      <c r="CL98" s="242"/>
      <c r="CM98" s="242"/>
      <c r="CN98" s="241" t="e">
        <f>MIN(6,#REF!+Races!$F$19)*1.8 +  IF(#REF!+Races!$F$19&gt;6,(#REF!+Races!$F$19-6)*0.2,0) - Races!$I$19</f>
        <v>#REF!</v>
      </c>
      <c r="CO98" s="241" t="e">
        <f>1.8 * MIN(MAX(#REF!+Races!$E$20,#REF!+Races!$F$20),6)  +  0.45 * MIN(MIN(#REF!+Races!$E$20,#REF!+Races!$F$20),6)  +  0.2 * ( MAX(#REF!+Races!$E$20-6,0) + MAX(#REF!+Races!$F$20-6,0) )  -  Races!$I$20</f>
        <v>#REF!</v>
      </c>
      <c r="CP98" s="39" t="e">
        <f>#REF!*#REF!+#REF!*#REF!</f>
        <v>#REF!</v>
      </c>
      <c r="CQ98" s="145" t="e">
        <f>MIN(6,#REF!+Races!$F$35)*1.8 +  IF(#REF!+Races!$F$35&gt;6,(#REF!+Races!$F$35-6)*0.2,0) - Races!$I$19</f>
        <v>#REF!</v>
      </c>
      <c r="CR98" s="39" t="e">
        <f>sylvan*(#REF!*#REF!)</f>
        <v>#REF!</v>
      </c>
      <c r="CS98" s="145" t="e">
        <f>1.8 * MIN(MAX(Races!$E$27,#REF!+Races!$F$27),6)  +  0.45 * MIN(MIN(Races!$E$27,#REF!+Races!$F$27),6)  +  0.2 * ( MAX(Races!$E$27-6,0) + MAX(#REF!+Races!$F$27-6,0) )  -  Races!$I$20</f>
        <v>#REF!</v>
      </c>
      <c r="CT98" s="39" t="e">
        <f>gnome*(#REF!*#REF!)</f>
        <v>#REF!</v>
      </c>
      <c r="CU98" s="145" t="e">
        <f>1.8 * MIN(MAX(#REF!+Races!$E$47,#REF!+Races!$F$47),6)  +  0.45 * MIN(MIN(#REF!+Races!$E$47,#REF!+Races!$F$47),6)  +  0.2 * ( MAX(#REF!+Races!$E$47-6,0) + MAX(#REF!+Races!$F$47-6,0) )  -  Races!$I$47</f>
        <v>#REF!</v>
      </c>
      <c r="CV98" s="39" t="e">
        <f>dark_elf*(#REF!*#REF!)</f>
        <v>#REF!</v>
      </c>
      <c r="CW98" s="145" t="e">
        <f>1.8 * MIN(MAX(#REF!+Races!$F$71,Races!$E$71),6)  +  0.45 * MIN(MIN(#REF!+Races!$F$71,Races!$E$71),6)  +  0.2 * ( MAX(#REF!+Races!$F$71-6,0) + MAX(Races!$E$71-6,0) )  -  Races!$I$71</f>
        <v>#REF!</v>
      </c>
      <c r="CX98" s="145" t="e">
        <f>1.8 * MIN(MAX(#REF!+Races!$E$71,Races!$F$71),6)  +  0.45 * MIN(MIN(#REF!+Races!$E$71,Races!$F$71),6)  +  0.2 * ( MAX(#REF!+Races!$E$71-6,0) + MAX(Races!$F$71-6,0) )  -  Races!$I$71</f>
        <v>#REF!</v>
      </c>
      <c r="CY98" s="39" t="e">
        <f>#REF!*#REF!+#REF!*#REF!</f>
        <v>#REF!</v>
      </c>
      <c r="CZ98" s="243"/>
      <c r="DA98" s="135" t="e">
        <f>MIN(SUM(#REF!)/#REF!/favorable_terrain_bonus/100,favorable_terrain_max)</f>
        <v>#REF!</v>
      </c>
      <c r="DB98" s="243"/>
      <c r="DC98"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98" s="134"/>
      <c r="DE98" s="244" t="e">
        <f>(#REF!+2*#REF!)/#REF!</f>
        <v>#REF!</v>
      </c>
      <c r="DF98" s="244" t="e">
        <f>#REF!*(1+race_wizard_strength+IF(#REF!&gt;72,tech_magical_weaponry_wiz*#REF!,0))</f>
        <v>#REF!</v>
      </c>
    </row>
    <row r="99" spans="1:110" x14ac:dyDescent="0.25">
      <c r="A99" s="130" t="e">
        <f>#REF!</f>
        <v>#REF!</v>
      </c>
      <c r="B99" s="236" t="e">
        <f ca="1">SUM(#REF!)+SUM(OFFSET(#REF!,-8,0):#REF!) + SUM(OFFSET(#REF!,-11,0):#REF!) +#REF!</f>
        <v>#REF!</v>
      </c>
      <c r="C99" s="132" t="e">
        <f>#REF!</f>
        <v>#REF!</v>
      </c>
      <c r="D99" s="134"/>
      <c r="E99" s="3" t="e">
        <f ca="1">OFFSET(#REF!,-1,0) + OFFSET(#REF!,-9,0) -#REF!</f>
        <v>#REF!</v>
      </c>
      <c r="F99" s="3" t="e">
        <f ca="1">OFFSET(#REF!,-1,0) + OFFSET(#REF!,-9,0)-#REF!</f>
        <v>#REF!</v>
      </c>
      <c r="G99" s="3" t="e">
        <f ca="1">OFFSET(#REF!,-1,0) + OFFSET(#REF!,-12,0)-#REF!</f>
        <v>#REF!</v>
      </c>
      <c r="H99" s="3" t="e">
        <f ca="1">OFFSET(#REF!,-1,0) + OFFSET(#REF!,-12,0)-#REF!</f>
        <v>#REF!</v>
      </c>
      <c r="I99" s="3" t="e">
        <f ca="1">OFFSET(#REF!,-1,0) + OFFSET(#REF!,-12,0) -#REF!-#REF!</f>
        <v>#REF!</v>
      </c>
      <c r="J99" s="3" t="e">
        <f ca="1">OFFSET(#REF!,-1,0) + OFFSET(#REF!,-12,0) -#REF!</f>
        <v>#REF!</v>
      </c>
      <c r="K99" s="3" t="e">
        <f ca="1">OFFSET(#REF!,-1,0) + OFFSET(#REF!,-12,0) -#REF!-#REF!</f>
        <v>#REF!</v>
      </c>
      <c r="L99" s="3" t="e">
        <f ca="1">OFFSET(#REF!,-1,0) + OFFSET(#REF!,-12,0) -#REF!</f>
        <v>#REF!</v>
      </c>
      <c r="M99" s="134"/>
      <c r="N99" s="39" t="e">
        <f>#REF!</f>
        <v>#REF!</v>
      </c>
      <c r="O99" s="134"/>
      <c r="P99" s="237" t="e">
        <f>#REF!*spec_op+#REF!*(elite1_base_op)+#REF!*(elite2_base_op+dark_elf*#REF!+icekin*#REF!+woodie*#REF!+orc*#REF!)+kobold*#REF!</f>
        <v>#REF!</v>
      </c>
      <c r="Q99" s="132" t="e">
        <f>race_offense+#REF!+ROUND(MIN(gn_bonus*#REF!/#REF!,gn_bonus_cap),4)+MAX(IF(#REF!&gt;0,warsong_bonus),IF(#REF!&gt;0,howling_op_bonus),IF(#REF!&gt;0,nightfall_bonus),IF(#REF!&gt;0,#REF!)) +#REF!/ 100*prestige_offense_bonus + tech_5_4*#REF! + tech_7_4*#REF!</f>
        <v>#REF!</v>
      </c>
      <c r="R99" s="237" t="e">
        <f>#REF!*(1+#REF!)</f>
        <v>#REF!</v>
      </c>
      <c r="S99" s="237" t="e">
        <f>#REF!*spec_dp+#REF!*(elite1_base_dp+woodie*#REF!+sylvan*#REF!+gnome*#REF!+icekin*#REF!+nox*#REF!)+#REF!*(elite2_base_dp+woodie*#REF!) + fh_peas_dp*MIN(#REF!,20*#REF!)+kobold*#REF!</f>
        <v>#REF!</v>
      </c>
      <c r="T99" s="237" t="e">
        <f>#REF!+#REF!</f>
        <v>#REF!</v>
      </c>
      <c r="U99" s="238" t="e">
        <f>race_defense +#REF! + ROUND( MIN(gt_bonus*#REF!/#REF!,gt_bonus_cap), 4) + IF(#REF!&gt;0,howling_dp_bonus,IF(#REF!&gt;0,ares_call_bonus))</f>
        <v>#REF!</v>
      </c>
      <c r="V99" s="239" t="e">
        <f>#REF! * (1 +#REF!)</f>
        <v>#REF!</v>
      </c>
      <c r="W99" s="237" t="e">
        <f>#REF! * (1 +#REF!)</f>
        <v>#REF!</v>
      </c>
      <c r="X99" s="237" t="e">
        <f>#REF!</f>
        <v>#REF!</v>
      </c>
      <c r="Y99" s="240"/>
      <c r="Z99" s="135" t="e">
        <f ca="1">IF(#REF!&lt;&gt;"",#REF!,OFFSET(#REF!,-1,0))</f>
        <v>#REF!</v>
      </c>
      <c r="AA99" s="39" t="e">
        <f ca="1">OFFSET(#REF!,-1,0)+OFFSET(#REF!,-1,0) - SUM(#REF!,#REF!) -#REF! + SUM(#REF!) -#REF!</f>
        <v>#REF!</v>
      </c>
      <c r="AB99" s="133"/>
      <c r="AC99" s="132" t="e">
        <f>(#REF!+#REF!)/(#REF!-#REF!*20)</f>
        <v>#REF!</v>
      </c>
      <c r="AD99" s="130"/>
      <c r="AE99" s="236" t="e">
        <f>#REF!</f>
        <v>#REF!</v>
      </c>
      <c r="AF99" s="131" t="e">
        <f>#REF!</f>
        <v>#REF!</v>
      </c>
      <c r="AG99" s="164"/>
      <c r="AH99" s="164"/>
      <c r="AI99" s="164"/>
      <c r="AJ99" s="164"/>
      <c r="AK99" s="164"/>
      <c r="AL99" s="164"/>
      <c r="AM99" s="164"/>
      <c r="AN99" s="164"/>
      <c r="AO99" s="134"/>
      <c r="AP99" s="39" t="e">
        <f>#REF!</f>
        <v>#REF!</v>
      </c>
      <c r="AQ99" s="39" t="e">
        <f>INDEX(#REF!:#REF!,COUNTA(#REF!:#REF!),MATCH(Military!$AQ$2,#REF!,0))</f>
        <v>#REF!</v>
      </c>
      <c r="AR99" s="39" t="e">
        <f>#REF!*#REF!+#REF!*#REF!+#REF!*#REF!+#REF!*#REF!+#REF!*#REF!+#REF!*#REF!+#REF!*#REF!</f>
        <v>#REF!</v>
      </c>
      <c r="AS99" s="39" t="e">
        <f>#REF!*#REF!+#REF!*#REF!+#REF!*#REF!+#REF!*#REF!</f>
        <v>#REF!</v>
      </c>
      <c r="AT99" s="134" t="e">
        <f>#REF!</f>
        <v>#REF!</v>
      </c>
      <c r="AU99" s="143" t="e">
        <f>#REF!</f>
        <v>#REF!</v>
      </c>
      <c r="AV99" s="39" t="e">
        <f>#REF!</f>
        <v>#REF!</v>
      </c>
      <c r="AW99" s="164"/>
      <c r="AX99" s="164"/>
      <c r="AY99" s="164"/>
      <c r="AZ99" s="164"/>
      <c r="BA99" s="164"/>
      <c r="BB99" s="164"/>
      <c r="BC99" s="164"/>
      <c r="BD99" s="164"/>
      <c r="BE99" s="164"/>
      <c r="BF99" s="134"/>
      <c r="BG99" s="132" t="e">
        <f>#REF!/#REF!</f>
        <v>#REF!</v>
      </c>
      <c r="BH99" s="132" t="e">
        <f>#REF!/#REF!</f>
        <v>#REF!</v>
      </c>
      <c r="BI99" s="39" t="e">
        <f>ROUNDUP((1-MIN(#REF!*smithy_bonus,smithy_bonus_cap) + tech_3_5*#REF! + tech_5_3*#REF! + tech_5_5*#REF!)*spec_op_plat,0)</f>
        <v>#REF!</v>
      </c>
      <c r="BJ99" s="39" t="e">
        <f>ROUNDUP(IF(race="Gnome",1,(1-MIN(#REF!*smithy_bonus,smithy_bonus_cap) + tech_3_5*#REF! + tech_5_3*#REF! + tech_5_5*#REF!))*spec_op_ore,0)</f>
        <v>#REF!</v>
      </c>
      <c r="BK99" s="39" t="e">
        <f>ROUNDUP((1-MIN(#REF!*smithy_bonus,smithy_bonus_cap) + tech_3_5*#REF! + tech_5_3*#REF! + tech_5_5*#REF!)*spec_dp_plat,0)</f>
        <v>#REF!</v>
      </c>
      <c r="BL99" s="39" t="e">
        <f>ROUNDUP(IF(race="Gnome",1,(1-MIN(#REF!*smithy_bonus,smithy_bonus_cap) + tech_3_5*#REF! + tech_5_3*#REF! + tech_5_5*#REF!))*spec_dp_ore,0)</f>
        <v>#REF!</v>
      </c>
      <c r="BM99" s="39" t="e">
        <f>ROUNDUP((1-MIN(#REF!*smithy_bonus,smithy_bonus_cap) + tech_3_5*#REF! + tech_5_3*#REF! + tech_5_5*#REF!)*elite1_plat,0)</f>
        <v>#REF!</v>
      </c>
      <c r="BN99" s="39" t="e">
        <f>ROUNDUP(IF(race="Gnome",1,(1-MIN(#REF!*smithy_bonus,smithy_bonus_cap) + tech_3_5*#REF! + tech_5_3*#REF! + tech_5_5*#REF!))*elite1_ore,0)</f>
        <v>#REF!</v>
      </c>
      <c r="BO99" s="39" t="e">
        <f>ROUNDUP((1-MIN(#REF!*smithy_bonus,smithy_bonus_cap) + tech_3_5*#REF! + tech_5_3*#REF! + tech_5_5*#REF!)*elite2_plat,0)</f>
        <v>#REF!</v>
      </c>
      <c r="BP99" s="39" t="e">
        <f>ROUNDUP(IF(race="Gnome",1,(1-MIN(#REF!*smithy_bonus,smithy_bonus_cap) + tech_3_5*#REF! + tech_5_3*#REF! + tech_5_5*#REF!))*elite2_ore,0)</f>
        <v>#REF!</v>
      </c>
      <c r="BQ99" s="39" t="e">
        <f>ROUNDUP((1-MIN(ROUND(fh_spy_cost_red*#REF!,4),fh_spy_cost_cap)+ tech_1_9*#REF! + tech_9_1*#REF!)*spy_plat,0)</f>
        <v>#REF!</v>
      </c>
      <c r="BR99" s="39" t="e">
        <f>ROUNDUP((1-MIN(ROUND(fh_spy_cost_red*#REF!,4),fh_spy_cost_cap)+ tech_1_9*#REF! + tech_9_1*#REF!)*archspy_plat,0)</f>
        <v>#REF!</v>
      </c>
      <c r="BS99" s="39" t="e">
        <f>ROUNDUP((1-MIN(ROUND(wg_wiz_cost_bonus*#REF!,4),wg_wiz_cost_cap) + tech_1_9_2*#REF! + tech_9_1_2*#REF!)*wizard_plat,0)</f>
        <v>#REF!</v>
      </c>
      <c r="BT99" s="39" t="e">
        <f>ROUNDUP((1-MIN(ROUND(wg_wiz_cost_bonus*#REF!,4),wg_wiz_cost_cap) + tech_1_9_2*#REF! + tech_9_1_2*#REF!)*archmage_plat,0)</f>
        <v>#REF!</v>
      </c>
      <c r="BU99" s="134"/>
      <c r="BV99" s="132" t="e">
        <f>#REF!/#REF!</f>
        <v>#REF!</v>
      </c>
      <c r="BW99" s="132" t="e">
        <f>#REF!</f>
        <v>#REF!</v>
      </c>
      <c r="BX99" s="241" t="e">
        <f>IF(mystic_cap="none",#REF!/mystic_bonus,MIN(mystic_cap,#REF!/mystic_bonus))</f>
        <v>#REF!</v>
      </c>
      <c r="BY99" s="241" t="e">
        <f>IF(druid_op_cap="none",#REF!/druid_op_bonus,MIN(druid_op_cap,#REF!/druid_op_bonus))</f>
        <v>#REF!</v>
      </c>
      <c r="BZ99" s="241" t="e">
        <f>IF(druid_dp_cap="none",#REF!/druid_dp_bonus,MIN(druid_dp_cap,#REF!/druid_dp_bonus))</f>
        <v>#REF!</v>
      </c>
      <c r="CA99" s="241" t="e">
        <f>MIN(dryad_cap,#REF!/dryad_bonus)</f>
        <v>#REF!</v>
      </c>
      <c r="CB99" s="241" t="e">
        <f>MIN(rocka_cap,#REF!/rocka_bonus)</f>
        <v>#REF!</v>
      </c>
      <c r="CC99" s="241" t="e">
        <f>MIN(adept_op_cap,#REF!/adept_op_bonus)</f>
        <v>#REF!</v>
      </c>
      <c r="CD99" s="241" t="e">
        <f>MIN(adept_dp_cap,#REF!/adept_dp_bonus)</f>
        <v>#REF!</v>
      </c>
      <c r="CE99" s="39" t="e">
        <f>MIN(#REF!,#REF!)*2</f>
        <v>#REF!</v>
      </c>
      <c r="CF99" s="39" t="e">
        <f>MIN(#REF!,#REF!)*2</f>
        <v>#REF!</v>
      </c>
      <c r="CG99" s="241" t="e">
        <f>MIN(frost_mage_cap,#REF!/frost_mage_bonus)</f>
        <v>#REF!</v>
      </c>
      <c r="CH99" s="3" t="e">
        <f>MIN(ice_elem_cap,#REF!*ice_elem_bonus)</f>
        <v>#REF!</v>
      </c>
      <c r="CI99" s="241">
        <f t="shared" si="3"/>
        <v>0.83333333333333337</v>
      </c>
      <c r="CJ99" s="241" t="e">
        <f>MIN(nox_nightshade_cap,#REF!/#REF!/nox_nightshade_swamp_bonus)</f>
        <v>#REF!</v>
      </c>
      <c r="CK99" s="242"/>
      <c r="CL99" s="242"/>
      <c r="CM99" s="242"/>
      <c r="CN99" s="241" t="e">
        <f>MIN(6,#REF!+Races!$F$19)*1.8 +  IF(#REF!+Races!$F$19&gt;6,(#REF!+Races!$F$19-6)*0.2,0) - Races!$I$19</f>
        <v>#REF!</v>
      </c>
      <c r="CO99" s="241" t="e">
        <f>1.8 * MIN(MAX(#REF!+Races!$E$20,#REF!+Races!$F$20),6)  +  0.45 * MIN(MIN(#REF!+Races!$E$20,#REF!+Races!$F$20),6)  +  0.2 * ( MAX(#REF!+Races!$E$20-6,0) + MAX(#REF!+Races!$F$20-6,0) )  -  Races!$I$20</f>
        <v>#REF!</v>
      </c>
      <c r="CP99" s="39" t="e">
        <f>#REF!*#REF!+#REF!*#REF!</f>
        <v>#REF!</v>
      </c>
      <c r="CQ99" s="145" t="e">
        <f>MIN(6,#REF!+Races!$F$35)*1.8 +  IF(#REF!+Races!$F$35&gt;6,(#REF!+Races!$F$35-6)*0.2,0) - Races!$I$19</f>
        <v>#REF!</v>
      </c>
      <c r="CR99" s="39" t="e">
        <f>sylvan*(#REF!*#REF!)</f>
        <v>#REF!</v>
      </c>
      <c r="CS99" s="145" t="e">
        <f>1.8 * MIN(MAX(Races!$E$27,#REF!+Races!$F$27),6)  +  0.45 * MIN(MIN(Races!$E$27,#REF!+Races!$F$27),6)  +  0.2 * ( MAX(Races!$E$27-6,0) + MAX(#REF!+Races!$F$27-6,0) )  -  Races!$I$20</f>
        <v>#REF!</v>
      </c>
      <c r="CT99" s="39" t="e">
        <f>gnome*(#REF!*#REF!)</f>
        <v>#REF!</v>
      </c>
      <c r="CU99" s="145" t="e">
        <f>1.8 * MIN(MAX(#REF!+Races!$E$47,#REF!+Races!$F$47),6)  +  0.45 * MIN(MIN(#REF!+Races!$E$47,#REF!+Races!$F$47),6)  +  0.2 * ( MAX(#REF!+Races!$E$47-6,0) + MAX(#REF!+Races!$F$47-6,0) )  -  Races!$I$47</f>
        <v>#REF!</v>
      </c>
      <c r="CV99" s="39" t="e">
        <f>dark_elf*(#REF!*#REF!)</f>
        <v>#REF!</v>
      </c>
      <c r="CW99" s="145" t="e">
        <f>1.8 * MIN(MAX(#REF!+Races!$F$71,Races!$E$71),6)  +  0.45 * MIN(MIN(#REF!+Races!$F$71,Races!$E$71),6)  +  0.2 * ( MAX(#REF!+Races!$F$71-6,0) + MAX(Races!$E$71-6,0) )  -  Races!$I$71</f>
        <v>#REF!</v>
      </c>
      <c r="CX99" s="145" t="e">
        <f>1.8 * MIN(MAX(#REF!+Races!$E$71,Races!$F$71),6)  +  0.45 * MIN(MIN(#REF!+Races!$E$71,Races!$F$71),6)  +  0.2 * ( MAX(#REF!+Races!$E$71-6,0) + MAX(Races!$F$71-6,0) )  -  Races!$I$71</f>
        <v>#REF!</v>
      </c>
      <c r="CY99" s="39" t="e">
        <f>#REF!*#REF!+#REF!*#REF!</f>
        <v>#REF!</v>
      </c>
      <c r="CZ99" s="243"/>
      <c r="DA99" s="135" t="e">
        <f>MIN(SUM(#REF!)/#REF!/favorable_terrain_bonus/100,favorable_terrain_max)</f>
        <v>#REF!</v>
      </c>
      <c r="DB99" s="243"/>
      <c r="DC99"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99" s="134"/>
      <c r="DE99" s="244" t="e">
        <f>(#REF!+2*#REF!)/#REF!</f>
        <v>#REF!</v>
      </c>
      <c r="DF99" s="244" t="e">
        <f>#REF!*(1+race_wizard_strength+IF(#REF!&gt;72,tech_magical_weaponry_wiz*#REF!,0))</f>
        <v>#REF!</v>
      </c>
    </row>
    <row r="100" spans="1:110" x14ac:dyDescent="0.25">
      <c r="A100" s="130" t="e">
        <f>#REF!</f>
        <v>#REF!</v>
      </c>
      <c r="B100" s="236" t="e">
        <f ca="1">SUM(#REF!)+SUM(OFFSET(#REF!,-8,0):#REF!) + SUM(OFFSET(#REF!,-11,0):#REF!) +#REF!</f>
        <v>#REF!</v>
      </c>
      <c r="C100" s="132" t="e">
        <f>#REF!</f>
        <v>#REF!</v>
      </c>
      <c r="D100" s="134"/>
      <c r="E100" s="3" t="e">
        <f ca="1">OFFSET(#REF!,-1,0) + OFFSET(#REF!,-9,0) -#REF!</f>
        <v>#REF!</v>
      </c>
      <c r="F100" s="3" t="e">
        <f ca="1">OFFSET(#REF!,-1,0) + OFFSET(#REF!,-9,0)-#REF!</f>
        <v>#REF!</v>
      </c>
      <c r="G100" s="3" t="e">
        <f ca="1">OFFSET(#REF!,-1,0) + OFFSET(#REF!,-12,0)-#REF!</f>
        <v>#REF!</v>
      </c>
      <c r="H100" s="3" t="e">
        <f ca="1">OFFSET(#REF!,-1,0) + OFFSET(#REF!,-12,0)-#REF!</f>
        <v>#REF!</v>
      </c>
      <c r="I100" s="3" t="e">
        <f ca="1">OFFSET(#REF!,-1,0) + OFFSET(#REF!,-12,0) -#REF!-#REF!</f>
        <v>#REF!</v>
      </c>
      <c r="J100" s="3" t="e">
        <f ca="1">OFFSET(#REF!,-1,0) + OFFSET(#REF!,-12,0) -#REF!</f>
        <v>#REF!</v>
      </c>
      <c r="K100" s="3" t="e">
        <f ca="1">OFFSET(#REF!,-1,0) + OFFSET(#REF!,-12,0) -#REF!-#REF!</f>
        <v>#REF!</v>
      </c>
      <c r="L100" s="3" t="e">
        <f ca="1">OFFSET(#REF!,-1,0) + OFFSET(#REF!,-12,0) -#REF!</f>
        <v>#REF!</v>
      </c>
      <c r="M100" s="134"/>
      <c r="N100" s="39" t="e">
        <f>#REF!</f>
        <v>#REF!</v>
      </c>
      <c r="O100" s="134"/>
      <c r="P100" s="237" t="e">
        <f>#REF!*spec_op+#REF!*(elite1_base_op)+#REF!*(elite2_base_op+dark_elf*#REF!+icekin*#REF!+woodie*#REF!+orc*#REF!)+kobold*#REF!</f>
        <v>#REF!</v>
      </c>
      <c r="Q100" s="132" t="e">
        <f>race_offense+#REF!+ROUND(MIN(gn_bonus*#REF!/#REF!,gn_bonus_cap),4)+MAX(IF(#REF!&gt;0,warsong_bonus),IF(#REF!&gt;0,howling_op_bonus),IF(#REF!&gt;0,nightfall_bonus),IF(#REF!&gt;0,#REF!)) +#REF!/ 100*prestige_offense_bonus + tech_5_4*#REF! + tech_7_4*#REF!</f>
        <v>#REF!</v>
      </c>
      <c r="R100" s="237" t="e">
        <f>#REF!*(1+#REF!)</f>
        <v>#REF!</v>
      </c>
      <c r="S100" s="237" t="e">
        <f>#REF!*spec_dp+#REF!*(elite1_base_dp+woodie*#REF!+sylvan*#REF!+gnome*#REF!+icekin*#REF!+nox*#REF!)+#REF!*(elite2_base_dp+woodie*#REF!) + fh_peas_dp*MIN(#REF!,20*#REF!)+kobold*#REF!</f>
        <v>#REF!</v>
      </c>
      <c r="T100" s="237" t="e">
        <f>#REF!+#REF!</f>
        <v>#REF!</v>
      </c>
      <c r="U100" s="238" t="e">
        <f>race_defense +#REF! + ROUND( MIN(gt_bonus*#REF!/#REF!,gt_bonus_cap), 4) + IF(#REF!&gt;0,howling_dp_bonus,IF(#REF!&gt;0,ares_call_bonus))</f>
        <v>#REF!</v>
      </c>
      <c r="V100" s="239" t="e">
        <f>#REF! * (1 +#REF!)</f>
        <v>#REF!</v>
      </c>
      <c r="W100" s="237" t="e">
        <f>#REF! * (1 +#REF!)</f>
        <v>#REF!</v>
      </c>
      <c r="X100" s="237" t="e">
        <f>#REF!</f>
        <v>#REF!</v>
      </c>
      <c r="Y100" s="240"/>
      <c r="Z100" s="135" t="e">
        <f ca="1">IF(#REF!&lt;&gt;"",#REF!,OFFSET(#REF!,-1,0))</f>
        <v>#REF!</v>
      </c>
      <c r="AA100" s="39" t="e">
        <f ca="1">OFFSET(#REF!,-1,0)+OFFSET(#REF!,-1,0) - SUM(#REF!,#REF!) -#REF! + SUM(#REF!) -#REF!</f>
        <v>#REF!</v>
      </c>
      <c r="AB100" s="133"/>
      <c r="AC100" s="132" t="e">
        <f>(#REF!+#REF!)/(#REF!-#REF!*20)</f>
        <v>#REF!</v>
      </c>
      <c r="AD100" s="130"/>
      <c r="AE100" s="236" t="e">
        <f>#REF!</f>
        <v>#REF!</v>
      </c>
      <c r="AF100" s="131" t="e">
        <f>#REF!</f>
        <v>#REF!</v>
      </c>
      <c r="AG100" s="164"/>
      <c r="AH100" s="164"/>
      <c r="AI100" s="164"/>
      <c r="AJ100" s="164"/>
      <c r="AK100" s="164"/>
      <c r="AL100" s="164"/>
      <c r="AM100" s="164"/>
      <c r="AN100" s="164"/>
      <c r="AO100" s="134"/>
      <c r="AP100" s="39" t="e">
        <f>#REF!</f>
        <v>#REF!</v>
      </c>
      <c r="AQ100" s="39" t="e">
        <f>INDEX(#REF!:#REF!,COUNTA(#REF!:#REF!),MATCH(Military!$AQ$2,#REF!,0))</f>
        <v>#REF!</v>
      </c>
      <c r="AR100" s="39" t="e">
        <f>#REF!*#REF!+#REF!*#REF!+#REF!*#REF!+#REF!*#REF!+#REF!*#REF!+#REF!*#REF!+#REF!*#REF!</f>
        <v>#REF!</v>
      </c>
      <c r="AS100" s="39" t="e">
        <f>#REF!*#REF!+#REF!*#REF!+#REF!*#REF!+#REF!*#REF!</f>
        <v>#REF!</v>
      </c>
      <c r="AT100" s="134" t="e">
        <f>#REF!</f>
        <v>#REF!</v>
      </c>
      <c r="AU100" s="143" t="e">
        <f>#REF!</f>
        <v>#REF!</v>
      </c>
      <c r="AV100" s="39" t="e">
        <f>#REF!</f>
        <v>#REF!</v>
      </c>
      <c r="AW100" s="164"/>
      <c r="AX100" s="164"/>
      <c r="AY100" s="164"/>
      <c r="AZ100" s="164"/>
      <c r="BA100" s="164"/>
      <c r="BB100" s="164"/>
      <c r="BC100" s="164"/>
      <c r="BD100" s="164"/>
      <c r="BE100" s="164"/>
      <c r="BF100" s="134"/>
      <c r="BG100" s="132" t="e">
        <f>#REF!/#REF!</f>
        <v>#REF!</v>
      </c>
      <c r="BH100" s="132" t="e">
        <f>#REF!/#REF!</f>
        <v>#REF!</v>
      </c>
      <c r="BI100" s="39" t="e">
        <f>ROUNDUP((1-MIN(#REF!*smithy_bonus,smithy_bonus_cap) + tech_3_5*#REF! + tech_5_3*#REF! + tech_5_5*#REF!)*spec_op_plat,0)</f>
        <v>#REF!</v>
      </c>
      <c r="BJ100" s="39" t="e">
        <f>ROUNDUP(IF(race="Gnome",1,(1-MIN(#REF!*smithy_bonus,smithy_bonus_cap) + tech_3_5*#REF! + tech_5_3*#REF! + tech_5_5*#REF!))*spec_op_ore,0)</f>
        <v>#REF!</v>
      </c>
      <c r="BK100" s="39" t="e">
        <f>ROUNDUP((1-MIN(#REF!*smithy_bonus,smithy_bonus_cap) + tech_3_5*#REF! + tech_5_3*#REF! + tech_5_5*#REF!)*spec_dp_plat,0)</f>
        <v>#REF!</v>
      </c>
      <c r="BL100" s="39" t="e">
        <f>ROUNDUP(IF(race="Gnome",1,(1-MIN(#REF!*smithy_bonus,smithy_bonus_cap) + tech_3_5*#REF! + tech_5_3*#REF! + tech_5_5*#REF!))*spec_dp_ore,0)</f>
        <v>#REF!</v>
      </c>
      <c r="BM100" s="39" t="e">
        <f>ROUNDUP((1-MIN(#REF!*smithy_bonus,smithy_bonus_cap) + tech_3_5*#REF! + tech_5_3*#REF! + tech_5_5*#REF!)*elite1_plat,0)</f>
        <v>#REF!</v>
      </c>
      <c r="BN100" s="39" t="e">
        <f>ROUNDUP(IF(race="Gnome",1,(1-MIN(#REF!*smithy_bonus,smithy_bonus_cap) + tech_3_5*#REF! + tech_5_3*#REF! + tech_5_5*#REF!))*elite1_ore,0)</f>
        <v>#REF!</v>
      </c>
      <c r="BO100" s="39" t="e">
        <f>ROUNDUP((1-MIN(#REF!*smithy_bonus,smithy_bonus_cap) + tech_3_5*#REF! + tech_5_3*#REF! + tech_5_5*#REF!)*elite2_plat,0)</f>
        <v>#REF!</v>
      </c>
      <c r="BP100" s="39" t="e">
        <f>ROUNDUP(IF(race="Gnome",1,(1-MIN(#REF!*smithy_bonus,smithy_bonus_cap) + tech_3_5*#REF! + tech_5_3*#REF! + tech_5_5*#REF!))*elite2_ore,0)</f>
        <v>#REF!</v>
      </c>
      <c r="BQ100" s="39" t="e">
        <f>ROUNDUP((1-MIN(ROUND(fh_spy_cost_red*#REF!,4),fh_spy_cost_cap)+ tech_1_9*#REF! + tech_9_1*#REF!)*spy_plat,0)</f>
        <v>#REF!</v>
      </c>
      <c r="BR100" s="39" t="e">
        <f>ROUNDUP((1-MIN(ROUND(fh_spy_cost_red*#REF!,4),fh_spy_cost_cap)+ tech_1_9*#REF! + tech_9_1*#REF!)*archspy_plat,0)</f>
        <v>#REF!</v>
      </c>
      <c r="BS100" s="39" t="e">
        <f>ROUNDUP((1-MIN(ROUND(wg_wiz_cost_bonus*#REF!,4),wg_wiz_cost_cap) + tech_1_9_2*#REF! + tech_9_1_2*#REF!)*wizard_plat,0)</f>
        <v>#REF!</v>
      </c>
      <c r="BT100" s="39" t="e">
        <f>ROUNDUP((1-MIN(ROUND(wg_wiz_cost_bonus*#REF!,4),wg_wiz_cost_cap) + tech_1_9_2*#REF! + tech_9_1_2*#REF!)*archmage_plat,0)</f>
        <v>#REF!</v>
      </c>
      <c r="BU100" s="134"/>
      <c r="BV100" s="132" t="e">
        <f>#REF!/#REF!</f>
        <v>#REF!</v>
      </c>
      <c r="BW100" s="132" t="e">
        <f>#REF!</f>
        <v>#REF!</v>
      </c>
      <c r="BX100" s="241" t="e">
        <f>IF(mystic_cap="none",#REF!/mystic_bonus,MIN(mystic_cap,#REF!/mystic_bonus))</f>
        <v>#REF!</v>
      </c>
      <c r="BY100" s="241" t="e">
        <f>IF(druid_op_cap="none",#REF!/druid_op_bonus,MIN(druid_op_cap,#REF!/druid_op_bonus))</f>
        <v>#REF!</v>
      </c>
      <c r="BZ100" s="241" t="e">
        <f>IF(druid_dp_cap="none",#REF!/druid_dp_bonus,MIN(druid_dp_cap,#REF!/druid_dp_bonus))</f>
        <v>#REF!</v>
      </c>
      <c r="CA100" s="241" t="e">
        <f>MIN(dryad_cap,#REF!/dryad_bonus)</f>
        <v>#REF!</v>
      </c>
      <c r="CB100" s="241" t="e">
        <f>MIN(rocka_cap,#REF!/rocka_bonus)</f>
        <v>#REF!</v>
      </c>
      <c r="CC100" s="241" t="e">
        <f>MIN(adept_op_cap,#REF!/adept_op_bonus)</f>
        <v>#REF!</v>
      </c>
      <c r="CD100" s="241" t="e">
        <f>MIN(adept_dp_cap,#REF!/adept_dp_bonus)</f>
        <v>#REF!</v>
      </c>
      <c r="CE100" s="39" t="e">
        <f>MIN(#REF!,#REF!)*2</f>
        <v>#REF!</v>
      </c>
      <c r="CF100" s="39" t="e">
        <f>MIN(#REF!,#REF!)*2</f>
        <v>#REF!</v>
      </c>
      <c r="CG100" s="241" t="e">
        <f>MIN(frost_mage_cap,#REF!/frost_mage_bonus)</f>
        <v>#REF!</v>
      </c>
      <c r="CH100" s="3" t="e">
        <f>MIN(ice_elem_cap,#REF!*ice_elem_bonus)</f>
        <v>#REF!</v>
      </c>
      <c r="CI100" s="241">
        <f t="shared" ref="CI100:CI136" si="4">MIN(bone_breaker_cap,250/bone_breaker_bonus)</f>
        <v>0.83333333333333337</v>
      </c>
      <c r="CJ100" s="241" t="e">
        <f>MIN(nox_nightshade_cap,#REF!/#REF!/nox_nightshade_swamp_bonus)</f>
        <v>#REF!</v>
      </c>
      <c r="CK100" s="242"/>
      <c r="CL100" s="242"/>
      <c r="CM100" s="242"/>
      <c r="CN100" s="241" t="e">
        <f>MIN(6,#REF!+Races!$F$19)*1.8 +  IF(#REF!+Races!$F$19&gt;6,(#REF!+Races!$F$19-6)*0.2,0) - Races!$I$19</f>
        <v>#REF!</v>
      </c>
      <c r="CO100" s="241" t="e">
        <f>1.8 * MIN(MAX(#REF!+Races!$E$20,#REF!+Races!$F$20),6)  +  0.45 * MIN(MIN(#REF!+Races!$E$20,#REF!+Races!$F$20),6)  +  0.2 * ( MAX(#REF!+Races!$E$20-6,0) + MAX(#REF!+Races!$F$20-6,0) )  -  Races!$I$20</f>
        <v>#REF!</v>
      </c>
      <c r="CP100" s="39" t="e">
        <f>#REF!*#REF!+#REF!*#REF!</f>
        <v>#REF!</v>
      </c>
      <c r="CQ100" s="145" t="e">
        <f>MIN(6,#REF!+Races!$F$35)*1.8 +  IF(#REF!+Races!$F$35&gt;6,(#REF!+Races!$F$35-6)*0.2,0) - Races!$I$19</f>
        <v>#REF!</v>
      </c>
      <c r="CR100" s="39" t="e">
        <f>sylvan*(#REF!*#REF!)</f>
        <v>#REF!</v>
      </c>
      <c r="CS100" s="145" t="e">
        <f>1.8 * MIN(MAX(Races!$E$27,#REF!+Races!$F$27),6)  +  0.45 * MIN(MIN(Races!$E$27,#REF!+Races!$F$27),6)  +  0.2 * ( MAX(Races!$E$27-6,0) + MAX(#REF!+Races!$F$27-6,0) )  -  Races!$I$20</f>
        <v>#REF!</v>
      </c>
      <c r="CT100" s="39" t="e">
        <f>gnome*(#REF!*#REF!)</f>
        <v>#REF!</v>
      </c>
      <c r="CU100" s="145" t="e">
        <f>1.8 * MIN(MAX(#REF!+Races!$E$47,#REF!+Races!$F$47),6)  +  0.45 * MIN(MIN(#REF!+Races!$E$47,#REF!+Races!$F$47),6)  +  0.2 * ( MAX(#REF!+Races!$E$47-6,0) + MAX(#REF!+Races!$F$47-6,0) )  -  Races!$I$47</f>
        <v>#REF!</v>
      </c>
      <c r="CV100" s="39" t="e">
        <f>dark_elf*(#REF!*#REF!)</f>
        <v>#REF!</v>
      </c>
      <c r="CW100" s="145" t="e">
        <f>1.8 * MIN(MAX(#REF!+Races!$F$71,Races!$E$71),6)  +  0.45 * MIN(MIN(#REF!+Races!$F$71,Races!$E$71),6)  +  0.2 * ( MAX(#REF!+Races!$F$71-6,0) + MAX(Races!$E$71-6,0) )  -  Races!$I$71</f>
        <v>#REF!</v>
      </c>
      <c r="CX100" s="145" t="e">
        <f>1.8 * MIN(MAX(#REF!+Races!$E$71,Races!$F$71),6)  +  0.45 * MIN(MIN(#REF!+Races!$E$71,Races!$F$71),6)  +  0.2 * ( MAX(#REF!+Races!$E$71-6,0) + MAX(Races!$F$71-6,0) )  -  Races!$I$71</f>
        <v>#REF!</v>
      </c>
      <c r="CY100" s="39" t="e">
        <f>#REF!*#REF!+#REF!*#REF!</f>
        <v>#REF!</v>
      </c>
      <c r="CZ100" s="243"/>
      <c r="DA100" s="135" t="e">
        <f>MIN(SUM(#REF!)/#REF!/favorable_terrain_bonus/100,favorable_terrain_max)</f>
        <v>#REF!</v>
      </c>
      <c r="DB100" s="243"/>
      <c r="DC100"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00" s="134"/>
      <c r="DE100" s="244" t="e">
        <f>(#REF!+2*#REF!)/#REF!</f>
        <v>#REF!</v>
      </c>
      <c r="DF100" s="244" t="e">
        <f>#REF!*(1+race_wizard_strength+IF(#REF!&gt;72,tech_magical_weaponry_wiz*#REF!,0))</f>
        <v>#REF!</v>
      </c>
    </row>
    <row r="101" spans="1:110" x14ac:dyDescent="0.25">
      <c r="A101" s="130" t="e">
        <f>#REF!</f>
        <v>#REF!</v>
      </c>
      <c r="B101" s="236" t="e">
        <f ca="1">SUM(#REF!)+SUM(OFFSET(#REF!,-8,0):#REF!) + SUM(OFFSET(#REF!,-11,0):#REF!) +#REF!</f>
        <v>#REF!</v>
      </c>
      <c r="C101" s="132" t="e">
        <f>#REF!</f>
        <v>#REF!</v>
      </c>
      <c r="D101" s="134"/>
      <c r="E101" s="3" t="e">
        <f ca="1">OFFSET(#REF!,-1,0) + OFFSET(#REF!,-9,0) -#REF!</f>
        <v>#REF!</v>
      </c>
      <c r="F101" s="3" t="e">
        <f ca="1">OFFSET(#REF!,-1,0) + OFFSET(#REF!,-9,0)-#REF!</f>
        <v>#REF!</v>
      </c>
      <c r="G101" s="3" t="e">
        <f ca="1">OFFSET(#REF!,-1,0) + OFFSET(#REF!,-12,0)-#REF!</f>
        <v>#REF!</v>
      </c>
      <c r="H101" s="3" t="e">
        <f ca="1">OFFSET(#REF!,-1,0) + OFFSET(#REF!,-12,0)-#REF!</f>
        <v>#REF!</v>
      </c>
      <c r="I101" s="3" t="e">
        <f ca="1">OFFSET(#REF!,-1,0) + OFFSET(#REF!,-12,0) -#REF!-#REF!</f>
        <v>#REF!</v>
      </c>
      <c r="J101" s="3" t="e">
        <f ca="1">OFFSET(#REF!,-1,0) + OFFSET(#REF!,-12,0) -#REF!</f>
        <v>#REF!</v>
      </c>
      <c r="K101" s="3" t="e">
        <f ca="1">OFFSET(#REF!,-1,0) + OFFSET(#REF!,-12,0) -#REF!-#REF!</f>
        <v>#REF!</v>
      </c>
      <c r="L101" s="3" t="e">
        <f ca="1">OFFSET(#REF!,-1,0) + OFFSET(#REF!,-12,0) -#REF!</f>
        <v>#REF!</v>
      </c>
      <c r="M101" s="134"/>
      <c r="N101" s="39" t="e">
        <f>#REF!</f>
        <v>#REF!</v>
      </c>
      <c r="O101" s="134"/>
      <c r="P101" s="237" t="e">
        <f>#REF!*spec_op+#REF!*(elite1_base_op)+#REF!*(elite2_base_op+dark_elf*#REF!+icekin*#REF!+woodie*#REF!+orc*#REF!)+kobold*#REF!</f>
        <v>#REF!</v>
      </c>
      <c r="Q101" s="132" t="e">
        <f>race_offense+#REF!+ROUND(MIN(gn_bonus*#REF!/#REF!,gn_bonus_cap),4)+MAX(IF(#REF!&gt;0,warsong_bonus),IF(#REF!&gt;0,howling_op_bonus),IF(#REF!&gt;0,nightfall_bonus),IF(#REF!&gt;0,#REF!)) +#REF!/ 100*prestige_offense_bonus + tech_5_4*#REF! + tech_7_4*#REF!</f>
        <v>#REF!</v>
      </c>
      <c r="R101" s="237" t="e">
        <f>#REF!*(1+#REF!)</f>
        <v>#REF!</v>
      </c>
      <c r="S101" s="237" t="e">
        <f>#REF!*spec_dp+#REF!*(elite1_base_dp+woodie*#REF!+sylvan*#REF!+gnome*#REF!+icekin*#REF!+nox*#REF!)+#REF!*(elite2_base_dp+woodie*#REF!) + fh_peas_dp*MIN(#REF!,20*#REF!)+kobold*#REF!</f>
        <v>#REF!</v>
      </c>
      <c r="T101" s="237" t="e">
        <f>#REF!+#REF!</f>
        <v>#REF!</v>
      </c>
      <c r="U101" s="238" t="e">
        <f>race_defense +#REF! + ROUND( MIN(gt_bonus*#REF!/#REF!,gt_bonus_cap), 4) + IF(#REF!&gt;0,howling_dp_bonus,IF(#REF!&gt;0,ares_call_bonus))</f>
        <v>#REF!</v>
      </c>
      <c r="V101" s="239" t="e">
        <f>#REF! * (1 +#REF!)</f>
        <v>#REF!</v>
      </c>
      <c r="W101" s="237" t="e">
        <f>#REF! * (1 +#REF!)</f>
        <v>#REF!</v>
      </c>
      <c r="X101" s="237" t="e">
        <f>#REF!</f>
        <v>#REF!</v>
      </c>
      <c r="Y101" s="240"/>
      <c r="Z101" s="135" t="e">
        <f ca="1">IF(#REF!&lt;&gt;"",#REF!,OFFSET(#REF!,-1,0))</f>
        <v>#REF!</v>
      </c>
      <c r="AA101" s="39" t="e">
        <f ca="1">OFFSET(#REF!,-1,0)+OFFSET(#REF!,-1,0) - SUM(#REF!,#REF!) -#REF! + SUM(#REF!) -#REF!</f>
        <v>#REF!</v>
      </c>
      <c r="AB101" s="133"/>
      <c r="AC101" s="132" t="e">
        <f>(#REF!+#REF!)/(#REF!-#REF!*20)</f>
        <v>#REF!</v>
      </c>
      <c r="AD101" s="130"/>
      <c r="AE101" s="236" t="e">
        <f>#REF!</f>
        <v>#REF!</v>
      </c>
      <c r="AF101" s="131" t="e">
        <f>#REF!</f>
        <v>#REF!</v>
      </c>
      <c r="AG101" s="164"/>
      <c r="AH101" s="164"/>
      <c r="AI101" s="164"/>
      <c r="AJ101" s="164"/>
      <c r="AK101" s="164"/>
      <c r="AL101" s="164"/>
      <c r="AM101" s="164"/>
      <c r="AN101" s="164"/>
      <c r="AO101" s="134"/>
      <c r="AP101" s="39" t="e">
        <f>#REF!</f>
        <v>#REF!</v>
      </c>
      <c r="AQ101" s="39" t="e">
        <f>INDEX(#REF!:#REF!,COUNTA(#REF!:#REF!),MATCH(Military!$AQ$2,#REF!,0))</f>
        <v>#REF!</v>
      </c>
      <c r="AR101" s="39" t="e">
        <f>#REF!*#REF!+#REF!*#REF!+#REF!*#REF!+#REF!*#REF!+#REF!*#REF!+#REF!*#REF!+#REF!*#REF!</f>
        <v>#REF!</v>
      </c>
      <c r="AS101" s="39" t="e">
        <f>#REF!*#REF!+#REF!*#REF!+#REF!*#REF!+#REF!*#REF!</f>
        <v>#REF!</v>
      </c>
      <c r="AT101" s="134" t="e">
        <f>#REF!</f>
        <v>#REF!</v>
      </c>
      <c r="AU101" s="143" t="e">
        <f>#REF!</f>
        <v>#REF!</v>
      </c>
      <c r="AV101" s="39" t="e">
        <f>#REF!</f>
        <v>#REF!</v>
      </c>
      <c r="AW101" s="164"/>
      <c r="AX101" s="164"/>
      <c r="AY101" s="164"/>
      <c r="AZ101" s="164"/>
      <c r="BA101" s="164"/>
      <c r="BB101" s="164"/>
      <c r="BC101" s="164"/>
      <c r="BD101" s="164"/>
      <c r="BE101" s="164"/>
      <c r="BF101" s="134"/>
      <c r="BG101" s="132" t="e">
        <f>#REF!/#REF!</f>
        <v>#REF!</v>
      </c>
      <c r="BH101" s="132" t="e">
        <f>#REF!/#REF!</f>
        <v>#REF!</v>
      </c>
      <c r="BI101" s="39" t="e">
        <f>ROUNDUP((1-MIN(#REF!*smithy_bonus,smithy_bonus_cap) + tech_3_5*#REF! + tech_5_3*#REF! + tech_5_5*#REF!)*spec_op_plat,0)</f>
        <v>#REF!</v>
      </c>
      <c r="BJ101" s="39" t="e">
        <f>ROUNDUP(IF(race="Gnome",1,(1-MIN(#REF!*smithy_bonus,smithy_bonus_cap) + tech_3_5*#REF! + tech_5_3*#REF! + tech_5_5*#REF!))*spec_op_ore,0)</f>
        <v>#REF!</v>
      </c>
      <c r="BK101" s="39" t="e">
        <f>ROUNDUP((1-MIN(#REF!*smithy_bonus,smithy_bonus_cap) + tech_3_5*#REF! + tech_5_3*#REF! + tech_5_5*#REF!)*spec_dp_plat,0)</f>
        <v>#REF!</v>
      </c>
      <c r="BL101" s="39" t="e">
        <f>ROUNDUP(IF(race="Gnome",1,(1-MIN(#REF!*smithy_bonus,smithy_bonus_cap) + tech_3_5*#REF! + tech_5_3*#REF! + tech_5_5*#REF!))*spec_dp_ore,0)</f>
        <v>#REF!</v>
      </c>
      <c r="BM101" s="39" t="e">
        <f>ROUNDUP((1-MIN(#REF!*smithy_bonus,smithy_bonus_cap) + tech_3_5*#REF! + tech_5_3*#REF! + tech_5_5*#REF!)*elite1_plat,0)</f>
        <v>#REF!</v>
      </c>
      <c r="BN101" s="39" t="e">
        <f>ROUNDUP(IF(race="Gnome",1,(1-MIN(#REF!*smithy_bonus,smithy_bonus_cap) + tech_3_5*#REF! + tech_5_3*#REF! + tech_5_5*#REF!))*elite1_ore,0)</f>
        <v>#REF!</v>
      </c>
      <c r="BO101" s="39" t="e">
        <f>ROUNDUP((1-MIN(#REF!*smithy_bonus,smithy_bonus_cap) + tech_3_5*#REF! + tech_5_3*#REF! + tech_5_5*#REF!)*elite2_plat,0)</f>
        <v>#REF!</v>
      </c>
      <c r="BP101" s="39" t="e">
        <f>ROUNDUP(IF(race="Gnome",1,(1-MIN(#REF!*smithy_bonus,smithy_bonus_cap) + tech_3_5*#REF! + tech_5_3*#REF! + tech_5_5*#REF!))*elite2_ore,0)</f>
        <v>#REF!</v>
      </c>
      <c r="BQ101" s="39" t="e">
        <f>ROUNDUP((1-MIN(ROUND(fh_spy_cost_red*#REF!,4),fh_spy_cost_cap)+ tech_1_9*#REF! + tech_9_1*#REF!)*spy_plat,0)</f>
        <v>#REF!</v>
      </c>
      <c r="BR101" s="39" t="e">
        <f>ROUNDUP((1-MIN(ROUND(fh_spy_cost_red*#REF!,4),fh_spy_cost_cap)+ tech_1_9*#REF! + tech_9_1*#REF!)*archspy_plat,0)</f>
        <v>#REF!</v>
      </c>
      <c r="BS101" s="39" t="e">
        <f>ROUNDUP((1-MIN(ROUND(wg_wiz_cost_bonus*#REF!,4),wg_wiz_cost_cap) + tech_1_9_2*#REF! + tech_9_1_2*#REF!)*wizard_plat,0)</f>
        <v>#REF!</v>
      </c>
      <c r="BT101" s="39" t="e">
        <f>ROUNDUP((1-MIN(ROUND(wg_wiz_cost_bonus*#REF!,4),wg_wiz_cost_cap) + tech_1_9_2*#REF! + tech_9_1_2*#REF!)*archmage_plat,0)</f>
        <v>#REF!</v>
      </c>
      <c r="BU101" s="134"/>
      <c r="BV101" s="132" t="e">
        <f>#REF!/#REF!</f>
        <v>#REF!</v>
      </c>
      <c r="BW101" s="132" t="e">
        <f>#REF!</f>
        <v>#REF!</v>
      </c>
      <c r="BX101" s="241" t="e">
        <f>IF(mystic_cap="none",#REF!/mystic_bonus,MIN(mystic_cap,#REF!/mystic_bonus))</f>
        <v>#REF!</v>
      </c>
      <c r="BY101" s="241" t="e">
        <f>IF(druid_op_cap="none",#REF!/druid_op_bonus,MIN(druid_op_cap,#REF!/druid_op_bonus))</f>
        <v>#REF!</v>
      </c>
      <c r="BZ101" s="241" t="e">
        <f>IF(druid_dp_cap="none",#REF!/druid_dp_bonus,MIN(druid_dp_cap,#REF!/druid_dp_bonus))</f>
        <v>#REF!</v>
      </c>
      <c r="CA101" s="241" t="e">
        <f>MIN(dryad_cap,#REF!/dryad_bonus)</f>
        <v>#REF!</v>
      </c>
      <c r="CB101" s="241" t="e">
        <f>MIN(rocka_cap,#REF!/rocka_bonus)</f>
        <v>#REF!</v>
      </c>
      <c r="CC101" s="241" t="e">
        <f>MIN(adept_op_cap,#REF!/adept_op_bonus)</f>
        <v>#REF!</v>
      </c>
      <c r="CD101" s="241" t="e">
        <f>MIN(adept_dp_cap,#REF!/adept_dp_bonus)</f>
        <v>#REF!</v>
      </c>
      <c r="CE101" s="39" t="e">
        <f>MIN(#REF!,#REF!)*2</f>
        <v>#REF!</v>
      </c>
      <c r="CF101" s="39" t="e">
        <f>MIN(#REF!,#REF!)*2</f>
        <v>#REF!</v>
      </c>
      <c r="CG101" s="241" t="e">
        <f>MIN(frost_mage_cap,#REF!/frost_mage_bonus)</f>
        <v>#REF!</v>
      </c>
      <c r="CH101" s="3" t="e">
        <f>MIN(ice_elem_cap,#REF!*ice_elem_bonus)</f>
        <v>#REF!</v>
      </c>
      <c r="CI101" s="241">
        <f t="shared" si="4"/>
        <v>0.83333333333333337</v>
      </c>
      <c r="CJ101" s="241" t="e">
        <f>MIN(nox_nightshade_cap,#REF!/#REF!/nox_nightshade_swamp_bonus)</f>
        <v>#REF!</v>
      </c>
      <c r="CK101" s="242"/>
      <c r="CL101" s="242"/>
      <c r="CM101" s="242"/>
      <c r="CN101" s="241" t="e">
        <f>MIN(6,#REF!+Races!$F$19)*1.8 +  IF(#REF!+Races!$F$19&gt;6,(#REF!+Races!$F$19-6)*0.2,0) - Races!$I$19</f>
        <v>#REF!</v>
      </c>
      <c r="CO101" s="241" t="e">
        <f>1.8 * MIN(MAX(#REF!+Races!$E$20,#REF!+Races!$F$20),6)  +  0.45 * MIN(MIN(#REF!+Races!$E$20,#REF!+Races!$F$20),6)  +  0.2 * ( MAX(#REF!+Races!$E$20-6,0) + MAX(#REF!+Races!$F$20-6,0) )  -  Races!$I$20</f>
        <v>#REF!</v>
      </c>
      <c r="CP101" s="39" t="e">
        <f>#REF!*#REF!+#REF!*#REF!</f>
        <v>#REF!</v>
      </c>
      <c r="CQ101" s="145" t="e">
        <f>MIN(6,#REF!+Races!$F$35)*1.8 +  IF(#REF!+Races!$F$35&gt;6,(#REF!+Races!$F$35-6)*0.2,0) - Races!$I$19</f>
        <v>#REF!</v>
      </c>
      <c r="CR101" s="39" t="e">
        <f>sylvan*(#REF!*#REF!)</f>
        <v>#REF!</v>
      </c>
      <c r="CS101" s="145" t="e">
        <f>1.8 * MIN(MAX(Races!$E$27,#REF!+Races!$F$27),6)  +  0.45 * MIN(MIN(Races!$E$27,#REF!+Races!$F$27),6)  +  0.2 * ( MAX(Races!$E$27-6,0) + MAX(#REF!+Races!$F$27-6,0) )  -  Races!$I$20</f>
        <v>#REF!</v>
      </c>
      <c r="CT101" s="39" t="e">
        <f>gnome*(#REF!*#REF!)</f>
        <v>#REF!</v>
      </c>
      <c r="CU101" s="145" t="e">
        <f>1.8 * MIN(MAX(#REF!+Races!$E$47,#REF!+Races!$F$47),6)  +  0.45 * MIN(MIN(#REF!+Races!$E$47,#REF!+Races!$F$47),6)  +  0.2 * ( MAX(#REF!+Races!$E$47-6,0) + MAX(#REF!+Races!$F$47-6,0) )  -  Races!$I$47</f>
        <v>#REF!</v>
      </c>
      <c r="CV101" s="39" t="e">
        <f>dark_elf*(#REF!*#REF!)</f>
        <v>#REF!</v>
      </c>
      <c r="CW101" s="145" t="e">
        <f>1.8 * MIN(MAX(#REF!+Races!$F$71,Races!$E$71),6)  +  0.45 * MIN(MIN(#REF!+Races!$F$71,Races!$E$71),6)  +  0.2 * ( MAX(#REF!+Races!$F$71-6,0) + MAX(Races!$E$71-6,0) )  -  Races!$I$71</f>
        <v>#REF!</v>
      </c>
      <c r="CX101" s="145" t="e">
        <f>1.8 * MIN(MAX(#REF!+Races!$E$71,Races!$F$71),6)  +  0.45 * MIN(MIN(#REF!+Races!$E$71,Races!$F$71),6)  +  0.2 * ( MAX(#REF!+Races!$E$71-6,0) + MAX(Races!$F$71-6,0) )  -  Races!$I$71</f>
        <v>#REF!</v>
      </c>
      <c r="CY101" s="39" t="e">
        <f>#REF!*#REF!+#REF!*#REF!</f>
        <v>#REF!</v>
      </c>
      <c r="CZ101" s="243"/>
      <c r="DA101" s="135" t="e">
        <f>MIN(SUM(#REF!)/#REF!/favorable_terrain_bonus/100,favorable_terrain_max)</f>
        <v>#REF!</v>
      </c>
      <c r="DB101" s="243"/>
      <c r="DC101"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01" s="134"/>
      <c r="DE101" s="244" t="e">
        <f>(#REF!+2*#REF!)/#REF!</f>
        <v>#REF!</v>
      </c>
      <c r="DF101" s="244" t="e">
        <f>#REF!*(1+race_wizard_strength+IF(#REF!&gt;72,tech_magical_weaponry_wiz*#REF!,0))</f>
        <v>#REF!</v>
      </c>
    </row>
    <row r="102" spans="1:110" x14ac:dyDescent="0.25">
      <c r="A102" s="130" t="e">
        <f>#REF!</f>
        <v>#REF!</v>
      </c>
      <c r="B102" s="236" t="e">
        <f ca="1">SUM(#REF!)+SUM(OFFSET(#REF!,-8,0):#REF!) + SUM(OFFSET(#REF!,-11,0):#REF!) +#REF!</f>
        <v>#REF!</v>
      </c>
      <c r="C102" s="132" t="e">
        <f>#REF!</f>
        <v>#REF!</v>
      </c>
      <c r="D102" s="134"/>
      <c r="E102" s="3" t="e">
        <f ca="1">OFFSET(#REF!,-1,0) + OFFSET(#REF!,-9,0) -#REF!</f>
        <v>#REF!</v>
      </c>
      <c r="F102" s="3" t="e">
        <f ca="1">OFFSET(#REF!,-1,0) + OFFSET(#REF!,-9,0)-#REF!</f>
        <v>#REF!</v>
      </c>
      <c r="G102" s="3" t="e">
        <f ca="1">OFFSET(#REF!,-1,0) + OFFSET(#REF!,-12,0)-#REF!</f>
        <v>#REF!</v>
      </c>
      <c r="H102" s="3" t="e">
        <f ca="1">OFFSET(#REF!,-1,0) + OFFSET(#REF!,-12,0)-#REF!</f>
        <v>#REF!</v>
      </c>
      <c r="I102" s="3" t="e">
        <f ca="1">OFFSET(#REF!,-1,0) + OFFSET(#REF!,-12,0) -#REF!-#REF!</f>
        <v>#REF!</v>
      </c>
      <c r="J102" s="3" t="e">
        <f ca="1">OFFSET(#REF!,-1,0) + OFFSET(#REF!,-12,0) -#REF!</f>
        <v>#REF!</v>
      </c>
      <c r="K102" s="3" t="e">
        <f ca="1">OFFSET(#REF!,-1,0) + OFFSET(#REF!,-12,0) -#REF!-#REF!</f>
        <v>#REF!</v>
      </c>
      <c r="L102" s="3" t="e">
        <f ca="1">OFFSET(#REF!,-1,0) + OFFSET(#REF!,-12,0) -#REF!</f>
        <v>#REF!</v>
      </c>
      <c r="M102" s="134"/>
      <c r="N102" s="39" t="e">
        <f>#REF!</f>
        <v>#REF!</v>
      </c>
      <c r="O102" s="134"/>
      <c r="P102" s="237" t="e">
        <f>#REF!*spec_op+#REF!*(elite1_base_op)+#REF!*(elite2_base_op+dark_elf*#REF!+icekin*#REF!+woodie*#REF!+orc*#REF!)+kobold*#REF!</f>
        <v>#REF!</v>
      </c>
      <c r="Q102" s="132" t="e">
        <f>race_offense+#REF!+ROUND(MIN(gn_bonus*#REF!/#REF!,gn_bonus_cap),4)+MAX(IF(#REF!&gt;0,warsong_bonus),IF(#REF!&gt;0,howling_op_bonus),IF(#REF!&gt;0,nightfall_bonus),IF(#REF!&gt;0,#REF!)) +#REF!/ 100*prestige_offense_bonus + tech_5_4*#REF! + tech_7_4*#REF!</f>
        <v>#REF!</v>
      </c>
      <c r="R102" s="237" t="e">
        <f>#REF!*(1+#REF!)</f>
        <v>#REF!</v>
      </c>
      <c r="S102" s="237" t="e">
        <f>#REF!*spec_dp+#REF!*(elite1_base_dp+woodie*#REF!+sylvan*#REF!+gnome*#REF!+icekin*#REF!+nox*#REF!)+#REF!*(elite2_base_dp+woodie*#REF!) + fh_peas_dp*MIN(#REF!,20*#REF!)+kobold*#REF!</f>
        <v>#REF!</v>
      </c>
      <c r="T102" s="237" t="e">
        <f>#REF!+#REF!</f>
        <v>#REF!</v>
      </c>
      <c r="U102" s="238" t="e">
        <f>race_defense +#REF! + ROUND( MIN(gt_bonus*#REF!/#REF!,gt_bonus_cap), 4) + IF(#REF!&gt;0,howling_dp_bonus,IF(#REF!&gt;0,ares_call_bonus))</f>
        <v>#REF!</v>
      </c>
      <c r="V102" s="239" t="e">
        <f>#REF! * (1 +#REF!)</f>
        <v>#REF!</v>
      </c>
      <c r="W102" s="237" t="e">
        <f>#REF! * (1 +#REF!)</f>
        <v>#REF!</v>
      </c>
      <c r="X102" s="237" t="e">
        <f>#REF!</f>
        <v>#REF!</v>
      </c>
      <c r="Y102" s="240"/>
      <c r="Z102" s="135" t="e">
        <f ca="1">IF(#REF!&lt;&gt;"",#REF!,OFFSET(#REF!,-1,0))</f>
        <v>#REF!</v>
      </c>
      <c r="AA102" s="39" t="e">
        <f ca="1">OFFSET(#REF!,-1,0)+OFFSET(#REF!,-1,0) - SUM(#REF!,#REF!) -#REF! + SUM(#REF!) -#REF!</f>
        <v>#REF!</v>
      </c>
      <c r="AB102" s="133"/>
      <c r="AC102" s="132" t="e">
        <f>(#REF!+#REF!)/(#REF!-#REF!*20)</f>
        <v>#REF!</v>
      </c>
      <c r="AD102" s="130"/>
      <c r="AE102" s="236" t="e">
        <f>#REF!</f>
        <v>#REF!</v>
      </c>
      <c r="AF102" s="131" t="e">
        <f>#REF!</f>
        <v>#REF!</v>
      </c>
      <c r="AG102" s="164"/>
      <c r="AH102" s="164"/>
      <c r="AI102" s="164"/>
      <c r="AJ102" s="164"/>
      <c r="AK102" s="164"/>
      <c r="AL102" s="164"/>
      <c r="AM102" s="164"/>
      <c r="AN102" s="164"/>
      <c r="AO102" s="134"/>
      <c r="AP102" s="39" t="e">
        <f>#REF!</f>
        <v>#REF!</v>
      </c>
      <c r="AQ102" s="39" t="e">
        <f>INDEX(#REF!:#REF!,COUNTA(#REF!:#REF!),MATCH(Military!$AQ$2,#REF!,0))</f>
        <v>#REF!</v>
      </c>
      <c r="AR102" s="39" t="e">
        <f>#REF!*#REF!+#REF!*#REF!+#REF!*#REF!+#REF!*#REF!+#REF!*#REF!+#REF!*#REF!+#REF!*#REF!</f>
        <v>#REF!</v>
      </c>
      <c r="AS102" s="39" t="e">
        <f>#REF!*#REF!+#REF!*#REF!+#REF!*#REF!+#REF!*#REF!</f>
        <v>#REF!</v>
      </c>
      <c r="AT102" s="134" t="e">
        <f>#REF!</f>
        <v>#REF!</v>
      </c>
      <c r="AU102" s="143" t="e">
        <f>#REF!</f>
        <v>#REF!</v>
      </c>
      <c r="AV102" s="39" t="e">
        <f>#REF!</f>
        <v>#REF!</v>
      </c>
      <c r="AW102" s="164"/>
      <c r="AX102" s="164"/>
      <c r="AY102" s="164"/>
      <c r="AZ102" s="164"/>
      <c r="BA102" s="164"/>
      <c r="BB102" s="164"/>
      <c r="BC102" s="164"/>
      <c r="BD102" s="164"/>
      <c r="BE102" s="164"/>
      <c r="BF102" s="134"/>
      <c r="BG102" s="132" t="e">
        <f>#REF!/#REF!</f>
        <v>#REF!</v>
      </c>
      <c r="BH102" s="132" t="e">
        <f>#REF!/#REF!</f>
        <v>#REF!</v>
      </c>
      <c r="BI102" s="39" t="e">
        <f>ROUNDUP((1-MIN(#REF!*smithy_bonus,smithy_bonus_cap) + tech_3_5*#REF! + tech_5_3*#REF! + tech_5_5*#REF!)*spec_op_plat,0)</f>
        <v>#REF!</v>
      </c>
      <c r="BJ102" s="39" t="e">
        <f>ROUNDUP(IF(race="Gnome",1,(1-MIN(#REF!*smithy_bonus,smithy_bonus_cap) + tech_3_5*#REF! + tech_5_3*#REF! + tech_5_5*#REF!))*spec_op_ore,0)</f>
        <v>#REF!</v>
      </c>
      <c r="BK102" s="39" t="e">
        <f>ROUNDUP((1-MIN(#REF!*smithy_bonus,smithy_bonus_cap) + tech_3_5*#REF! + tech_5_3*#REF! + tech_5_5*#REF!)*spec_dp_plat,0)</f>
        <v>#REF!</v>
      </c>
      <c r="BL102" s="39" t="e">
        <f>ROUNDUP(IF(race="Gnome",1,(1-MIN(#REF!*smithy_bonus,smithy_bonus_cap) + tech_3_5*#REF! + tech_5_3*#REF! + tech_5_5*#REF!))*spec_dp_ore,0)</f>
        <v>#REF!</v>
      </c>
      <c r="BM102" s="39" t="e">
        <f>ROUNDUP((1-MIN(#REF!*smithy_bonus,smithy_bonus_cap) + tech_3_5*#REF! + tech_5_3*#REF! + tech_5_5*#REF!)*elite1_plat,0)</f>
        <v>#REF!</v>
      </c>
      <c r="BN102" s="39" t="e">
        <f>ROUNDUP(IF(race="Gnome",1,(1-MIN(#REF!*smithy_bonus,smithy_bonus_cap) + tech_3_5*#REF! + tech_5_3*#REF! + tech_5_5*#REF!))*elite1_ore,0)</f>
        <v>#REF!</v>
      </c>
      <c r="BO102" s="39" t="e">
        <f>ROUNDUP((1-MIN(#REF!*smithy_bonus,smithy_bonus_cap) + tech_3_5*#REF! + tech_5_3*#REF! + tech_5_5*#REF!)*elite2_plat,0)</f>
        <v>#REF!</v>
      </c>
      <c r="BP102" s="39" t="e">
        <f>ROUNDUP(IF(race="Gnome",1,(1-MIN(#REF!*smithy_bonus,smithy_bonus_cap) + tech_3_5*#REF! + tech_5_3*#REF! + tech_5_5*#REF!))*elite2_ore,0)</f>
        <v>#REF!</v>
      </c>
      <c r="BQ102" s="39" t="e">
        <f>ROUNDUP((1-MIN(ROUND(fh_spy_cost_red*#REF!,4),fh_spy_cost_cap)+ tech_1_9*#REF! + tech_9_1*#REF!)*spy_plat,0)</f>
        <v>#REF!</v>
      </c>
      <c r="BR102" s="39" t="e">
        <f>ROUNDUP((1-MIN(ROUND(fh_spy_cost_red*#REF!,4),fh_spy_cost_cap)+ tech_1_9*#REF! + tech_9_1*#REF!)*archspy_plat,0)</f>
        <v>#REF!</v>
      </c>
      <c r="BS102" s="39" t="e">
        <f>ROUNDUP((1-MIN(ROUND(wg_wiz_cost_bonus*#REF!,4),wg_wiz_cost_cap) + tech_1_9_2*#REF! + tech_9_1_2*#REF!)*wizard_plat,0)</f>
        <v>#REF!</v>
      </c>
      <c r="BT102" s="39" t="e">
        <f>ROUNDUP((1-MIN(ROUND(wg_wiz_cost_bonus*#REF!,4),wg_wiz_cost_cap) + tech_1_9_2*#REF! + tech_9_1_2*#REF!)*archmage_plat,0)</f>
        <v>#REF!</v>
      </c>
      <c r="BU102" s="134"/>
      <c r="BV102" s="132" t="e">
        <f>#REF!/#REF!</f>
        <v>#REF!</v>
      </c>
      <c r="BW102" s="132" t="e">
        <f>#REF!</f>
        <v>#REF!</v>
      </c>
      <c r="BX102" s="241" t="e">
        <f>IF(mystic_cap="none",#REF!/mystic_bonus,MIN(mystic_cap,#REF!/mystic_bonus))</f>
        <v>#REF!</v>
      </c>
      <c r="BY102" s="241" t="e">
        <f>IF(druid_op_cap="none",#REF!/druid_op_bonus,MIN(druid_op_cap,#REF!/druid_op_bonus))</f>
        <v>#REF!</v>
      </c>
      <c r="BZ102" s="241" t="e">
        <f>IF(druid_dp_cap="none",#REF!/druid_dp_bonus,MIN(druid_dp_cap,#REF!/druid_dp_bonus))</f>
        <v>#REF!</v>
      </c>
      <c r="CA102" s="241" t="e">
        <f>MIN(dryad_cap,#REF!/dryad_bonus)</f>
        <v>#REF!</v>
      </c>
      <c r="CB102" s="241" t="e">
        <f>MIN(rocka_cap,#REF!/rocka_bonus)</f>
        <v>#REF!</v>
      </c>
      <c r="CC102" s="241" t="e">
        <f>MIN(adept_op_cap,#REF!/adept_op_bonus)</f>
        <v>#REF!</v>
      </c>
      <c r="CD102" s="241" t="e">
        <f>MIN(adept_dp_cap,#REF!/adept_dp_bonus)</f>
        <v>#REF!</v>
      </c>
      <c r="CE102" s="39" t="e">
        <f>MIN(#REF!,#REF!)*2</f>
        <v>#REF!</v>
      </c>
      <c r="CF102" s="39" t="e">
        <f>MIN(#REF!,#REF!)*2</f>
        <v>#REF!</v>
      </c>
      <c r="CG102" s="241" t="e">
        <f>MIN(frost_mage_cap,#REF!/frost_mage_bonus)</f>
        <v>#REF!</v>
      </c>
      <c r="CH102" s="3" t="e">
        <f>MIN(ice_elem_cap,#REF!*ice_elem_bonus)</f>
        <v>#REF!</v>
      </c>
      <c r="CI102" s="241">
        <f t="shared" si="4"/>
        <v>0.83333333333333337</v>
      </c>
      <c r="CJ102" s="241" t="e">
        <f>MIN(nox_nightshade_cap,#REF!/#REF!/nox_nightshade_swamp_bonus)</f>
        <v>#REF!</v>
      </c>
      <c r="CK102" s="242"/>
      <c r="CL102" s="242"/>
      <c r="CM102" s="242"/>
      <c r="CN102" s="241" t="e">
        <f>MIN(6,#REF!+Races!$F$19)*1.8 +  IF(#REF!+Races!$F$19&gt;6,(#REF!+Races!$F$19-6)*0.2,0) - Races!$I$19</f>
        <v>#REF!</v>
      </c>
      <c r="CO102" s="241" t="e">
        <f>1.8 * MIN(MAX(#REF!+Races!$E$20,#REF!+Races!$F$20),6)  +  0.45 * MIN(MIN(#REF!+Races!$E$20,#REF!+Races!$F$20),6)  +  0.2 * ( MAX(#REF!+Races!$E$20-6,0) + MAX(#REF!+Races!$F$20-6,0) )  -  Races!$I$20</f>
        <v>#REF!</v>
      </c>
      <c r="CP102" s="39" t="e">
        <f>#REF!*#REF!+#REF!*#REF!</f>
        <v>#REF!</v>
      </c>
      <c r="CQ102" s="145" t="e">
        <f>MIN(6,#REF!+Races!$F$35)*1.8 +  IF(#REF!+Races!$F$35&gt;6,(#REF!+Races!$F$35-6)*0.2,0) - Races!$I$19</f>
        <v>#REF!</v>
      </c>
      <c r="CR102" s="39" t="e">
        <f>sylvan*(#REF!*#REF!)</f>
        <v>#REF!</v>
      </c>
      <c r="CS102" s="145" t="e">
        <f>1.8 * MIN(MAX(Races!$E$27,#REF!+Races!$F$27),6)  +  0.45 * MIN(MIN(Races!$E$27,#REF!+Races!$F$27),6)  +  0.2 * ( MAX(Races!$E$27-6,0) + MAX(#REF!+Races!$F$27-6,0) )  -  Races!$I$20</f>
        <v>#REF!</v>
      </c>
      <c r="CT102" s="39" t="e">
        <f>gnome*(#REF!*#REF!)</f>
        <v>#REF!</v>
      </c>
      <c r="CU102" s="145" t="e">
        <f>1.8 * MIN(MAX(#REF!+Races!$E$47,#REF!+Races!$F$47),6)  +  0.45 * MIN(MIN(#REF!+Races!$E$47,#REF!+Races!$F$47),6)  +  0.2 * ( MAX(#REF!+Races!$E$47-6,0) + MAX(#REF!+Races!$F$47-6,0) )  -  Races!$I$47</f>
        <v>#REF!</v>
      </c>
      <c r="CV102" s="39" t="e">
        <f>dark_elf*(#REF!*#REF!)</f>
        <v>#REF!</v>
      </c>
      <c r="CW102" s="145" t="e">
        <f>1.8 * MIN(MAX(#REF!+Races!$F$71,Races!$E$71),6)  +  0.45 * MIN(MIN(#REF!+Races!$F$71,Races!$E$71),6)  +  0.2 * ( MAX(#REF!+Races!$F$71-6,0) + MAX(Races!$E$71-6,0) )  -  Races!$I$71</f>
        <v>#REF!</v>
      </c>
      <c r="CX102" s="145" t="e">
        <f>1.8 * MIN(MAX(#REF!+Races!$E$71,Races!$F$71),6)  +  0.45 * MIN(MIN(#REF!+Races!$E$71,Races!$F$71),6)  +  0.2 * ( MAX(#REF!+Races!$E$71-6,0) + MAX(Races!$F$71-6,0) )  -  Races!$I$71</f>
        <v>#REF!</v>
      </c>
      <c r="CY102" s="39" t="e">
        <f>#REF!*#REF!+#REF!*#REF!</f>
        <v>#REF!</v>
      </c>
      <c r="CZ102" s="243"/>
      <c r="DA102" s="135" t="e">
        <f>MIN(SUM(#REF!)/#REF!/favorable_terrain_bonus/100,favorable_terrain_max)</f>
        <v>#REF!</v>
      </c>
      <c r="DB102" s="243"/>
      <c r="DC102"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02" s="134"/>
      <c r="DE102" s="244" t="e">
        <f>(#REF!+2*#REF!)/#REF!</f>
        <v>#REF!</v>
      </c>
      <c r="DF102" s="244" t="e">
        <f>#REF!*(1+race_wizard_strength+IF(#REF!&gt;72,tech_magical_weaponry_wiz*#REF!,0))</f>
        <v>#REF!</v>
      </c>
    </row>
    <row r="103" spans="1:110" x14ac:dyDescent="0.25">
      <c r="A103" s="130" t="e">
        <f>#REF!</f>
        <v>#REF!</v>
      </c>
      <c r="B103" s="236" t="e">
        <f ca="1">SUM(#REF!)+SUM(OFFSET(#REF!,-8,0):#REF!) + SUM(OFFSET(#REF!,-11,0):#REF!) +#REF!</f>
        <v>#REF!</v>
      </c>
      <c r="C103" s="132" t="e">
        <f>#REF!</f>
        <v>#REF!</v>
      </c>
      <c r="D103" s="134"/>
      <c r="E103" s="3" t="e">
        <f ca="1">OFFSET(#REF!,-1,0) + OFFSET(#REF!,-9,0) -#REF!</f>
        <v>#REF!</v>
      </c>
      <c r="F103" s="3" t="e">
        <f ca="1">OFFSET(#REF!,-1,0) + OFFSET(#REF!,-9,0)-#REF!</f>
        <v>#REF!</v>
      </c>
      <c r="G103" s="3" t="e">
        <f ca="1">OFFSET(#REF!,-1,0) + OFFSET(#REF!,-12,0)-#REF!</f>
        <v>#REF!</v>
      </c>
      <c r="H103" s="3" t="e">
        <f ca="1">OFFSET(#REF!,-1,0) + OFFSET(#REF!,-12,0)-#REF!</f>
        <v>#REF!</v>
      </c>
      <c r="I103" s="3" t="e">
        <f ca="1">OFFSET(#REF!,-1,0) + OFFSET(#REF!,-12,0) -#REF!-#REF!</f>
        <v>#REF!</v>
      </c>
      <c r="J103" s="3" t="e">
        <f ca="1">OFFSET(#REF!,-1,0) + OFFSET(#REF!,-12,0) -#REF!</f>
        <v>#REF!</v>
      </c>
      <c r="K103" s="3" t="e">
        <f ca="1">OFFSET(#REF!,-1,0) + OFFSET(#REF!,-12,0) -#REF!-#REF!</f>
        <v>#REF!</v>
      </c>
      <c r="L103" s="3" t="e">
        <f ca="1">OFFSET(#REF!,-1,0) + OFFSET(#REF!,-12,0) -#REF!</f>
        <v>#REF!</v>
      </c>
      <c r="M103" s="134"/>
      <c r="N103" s="39" t="e">
        <f>#REF!</f>
        <v>#REF!</v>
      </c>
      <c r="O103" s="134"/>
      <c r="P103" s="237" t="e">
        <f>#REF!*spec_op+#REF!*(elite1_base_op)+#REF!*(elite2_base_op+dark_elf*#REF!+icekin*#REF!+woodie*#REF!+orc*#REF!)+kobold*#REF!</f>
        <v>#REF!</v>
      </c>
      <c r="Q103" s="132" t="e">
        <f>race_offense+#REF!+ROUND(MIN(gn_bonus*#REF!/#REF!,gn_bonus_cap),4)+MAX(IF(#REF!&gt;0,warsong_bonus),IF(#REF!&gt;0,howling_op_bonus),IF(#REF!&gt;0,nightfall_bonus),IF(#REF!&gt;0,#REF!)) +#REF!/ 100*prestige_offense_bonus + tech_5_4*#REF! + tech_7_4*#REF!</f>
        <v>#REF!</v>
      </c>
      <c r="R103" s="237" t="e">
        <f>#REF!*(1+#REF!)</f>
        <v>#REF!</v>
      </c>
      <c r="S103" s="237" t="e">
        <f>#REF!*spec_dp+#REF!*(elite1_base_dp+woodie*#REF!+sylvan*#REF!+gnome*#REF!+icekin*#REF!+nox*#REF!)+#REF!*(elite2_base_dp+woodie*#REF!) + fh_peas_dp*MIN(#REF!,20*#REF!)+kobold*#REF!</f>
        <v>#REF!</v>
      </c>
      <c r="T103" s="237" t="e">
        <f>#REF!+#REF!</f>
        <v>#REF!</v>
      </c>
      <c r="U103" s="238" t="e">
        <f>race_defense +#REF! + ROUND( MIN(gt_bonus*#REF!/#REF!,gt_bonus_cap), 4) + IF(#REF!&gt;0,howling_dp_bonus,IF(#REF!&gt;0,ares_call_bonus))</f>
        <v>#REF!</v>
      </c>
      <c r="V103" s="239" t="e">
        <f>#REF! * (1 +#REF!)</f>
        <v>#REF!</v>
      </c>
      <c r="W103" s="237" t="e">
        <f>#REF! * (1 +#REF!)</f>
        <v>#REF!</v>
      </c>
      <c r="X103" s="237" t="e">
        <f>#REF!</f>
        <v>#REF!</v>
      </c>
      <c r="Y103" s="240"/>
      <c r="Z103" s="135" t="e">
        <f ca="1">IF(#REF!&lt;&gt;"",#REF!,OFFSET(#REF!,-1,0))</f>
        <v>#REF!</v>
      </c>
      <c r="AA103" s="39" t="e">
        <f ca="1">OFFSET(#REF!,-1,0)+OFFSET(#REF!,-1,0) - SUM(#REF!,#REF!) -#REF! + SUM(#REF!) -#REF!</f>
        <v>#REF!</v>
      </c>
      <c r="AB103" s="133"/>
      <c r="AC103" s="132" t="e">
        <f>(#REF!+#REF!)/(#REF!-#REF!*20)</f>
        <v>#REF!</v>
      </c>
      <c r="AD103" s="130"/>
      <c r="AE103" s="236" t="e">
        <f>#REF!</f>
        <v>#REF!</v>
      </c>
      <c r="AF103" s="131" t="e">
        <f>#REF!</f>
        <v>#REF!</v>
      </c>
      <c r="AG103" s="164"/>
      <c r="AH103" s="164"/>
      <c r="AI103" s="164"/>
      <c r="AJ103" s="164"/>
      <c r="AK103" s="164"/>
      <c r="AL103" s="164"/>
      <c r="AM103" s="164"/>
      <c r="AN103" s="164"/>
      <c r="AO103" s="134"/>
      <c r="AP103" s="39" t="e">
        <f>#REF!</f>
        <v>#REF!</v>
      </c>
      <c r="AQ103" s="39" t="e">
        <f>INDEX(#REF!:#REF!,COUNTA(#REF!:#REF!),MATCH(Military!$AQ$2,#REF!,0))</f>
        <v>#REF!</v>
      </c>
      <c r="AR103" s="39" t="e">
        <f>#REF!*#REF!+#REF!*#REF!+#REF!*#REF!+#REF!*#REF!+#REF!*#REF!+#REF!*#REF!+#REF!*#REF!</f>
        <v>#REF!</v>
      </c>
      <c r="AS103" s="39" t="e">
        <f>#REF!*#REF!+#REF!*#REF!+#REF!*#REF!+#REF!*#REF!</f>
        <v>#REF!</v>
      </c>
      <c r="AT103" s="134" t="e">
        <f>#REF!</f>
        <v>#REF!</v>
      </c>
      <c r="AU103" s="143" t="e">
        <f>#REF!</f>
        <v>#REF!</v>
      </c>
      <c r="AV103" s="39" t="e">
        <f>#REF!</f>
        <v>#REF!</v>
      </c>
      <c r="AW103" s="164"/>
      <c r="AX103" s="164"/>
      <c r="AY103" s="164"/>
      <c r="AZ103" s="164"/>
      <c r="BA103" s="164"/>
      <c r="BB103" s="164"/>
      <c r="BC103" s="164"/>
      <c r="BD103" s="164"/>
      <c r="BE103" s="164"/>
      <c r="BF103" s="134"/>
      <c r="BG103" s="132" t="e">
        <f>#REF!/#REF!</f>
        <v>#REF!</v>
      </c>
      <c r="BH103" s="132" t="e">
        <f>#REF!/#REF!</f>
        <v>#REF!</v>
      </c>
      <c r="BI103" s="39" t="e">
        <f>ROUNDUP((1-MIN(#REF!*smithy_bonus,smithy_bonus_cap) + tech_3_5*#REF! + tech_5_3*#REF! + tech_5_5*#REF!)*spec_op_plat,0)</f>
        <v>#REF!</v>
      </c>
      <c r="BJ103" s="39" t="e">
        <f>ROUNDUP(IF(race="Gnome",1,(1-MIN(#REF!*smithy_bonus,smithy_bonus_cap) + tech_3_5*#REF! + tech_5_3*#REF! + tech_5_5*#REF!))*spec_op_ore,0)</f>
        <v>#REF!</v>
      </c>
      <c r="BK103" s="39" t="e">
        <f>ROUNDUP((1-MIN(#REF!*smithy_bonus,smithy_bonus_cap) + tech_3_5*#REF! + tech_5_3*#REF! + tech_5_5*#REF!)*spec_dp_plat,0)</f>
        <v>#REF!</v>
      </c>
      <c r="BL103" s="39" t="e">
        <f>ROUNDUP(IF(race="Gnome",1,(1-MIN(#REF!*smithy_bonus,smithy_bonus_cap) + tech_3_5*#REF! + tech_5_3*#REF! + tech_5_5*#REF!))*spec_dp_ore,0)</f>
        <v>#REF!</v>
      </c>
      <c r="BM103" s="39" t="e">
        <f>ROUNDUP((1-MIN(#REF!*smithy_bonus,smithy_bonus_cap) + tech_3_5*#REF! + tech_5_3*#REF! + tech_5_5*#REF!)*elite1_plat,0)</f>
        <v>#REF!</v>
      </c>
      <c r="BN103" s="39" t="e">
        <f>ROUNDUP(IF(race="Gnome",1,(1-MIN(#REF!*smithy_bonus,smithy_bonus_cap) + tech_3_5*#REF! + tech_5_3*#REF! + tech_5_5*#REF!))*elite1_ore,0)</f>
        <v>#REF!</v>
      </c>
      <c r="BO103" s="39" t="e">
        <f>ROUNDUP((1-MIN(#REF!*smithy_bonus,smithy_bonus_cap) + tech_3_5*#REF! + tech_5_3*#REF! + tech_5_5*#REF!)*elite2_plat,0)</f>
        <v>#REF!</v>
      </c>
      <c r="BP103" s="39" t="e">
        <f>ROUNDUP(IF(race="Gnome",1,(1-MIN(#REF!*smithy_bonus,smithy_bonus_cap) + tech_3_5*#REF! + tech_5_3*#REF! + tech_5_5*#REF!))*elite2_ore,0)</f>
        <v>#REF!</v>
      </c>
      <c r="BQ103" s="39" t="e">
        <f>ROUNDUP((1-MIN(ROUND(fh_spy_cost_red*#REF!,4),fh_spy_cost_cap)+ tech_1_9*#REF! + tech_9_1*#REF!)*spy_plat,0)</f>
        <v>#REF!</v>
      </c>
      <c r="BR103" s="39" t="e">
        <f>ROUNDUP((1-MIN(ROUND(fh_spy_cost_red*#REF!,4),fh_spy_cost_cap)+ tech_1_9*#REF! + tech_9_1*#REF!)*archspy_plat,0)</f>
        <v>#REF!</v>
      </c>
      <c r="BS103" s="39" t="e">
        <f>ROUNDUP((1-MIN(ROUND(wg_wiz_cost_bonus*#REF!,4),wg_wiz_cost_cap) + tech_1_9_2*#REF! + tech_9_1_2*#REF!)*wizard_plat,0)</f>
        <v>#REF!</v>
      </c>
      <c r="BT103" s="39" t="e">
        <f>ROUNDUP((1-MIN(ROUND(wg_wiz_cost_bonus*#REF!,4),wg_wiz_cost_cap) + tech_1_9_2*#REF! + tech_9_1_2*#REF!)*archmage_plat,0)</f>
        <v>#REF!</v>
      </c>
      <c r="BU103" s="134"/>
      <c r="BV103" s="132" t="e">
        <f>#REF!/#REF!</f>
        <v>#REF!</v>
      </c>
      <c r="BW103" s="132" t="e">
        <f>#REF!</f>
        <v>#REF!</v>
      </c>
      <c r="BX103" s="241" t="e">
        <f>IF(mystic_cap="none",#REF!/mystic_bonus,MIN(mystic_cap,#REF!/mystic_bonus))</f>
        <v>#REF!</v>
      </c>
      <c r="BY103" s="241" t="e">
        <f>IF(druid_op_cap="none",#REF!/druid_op_bonus,MIN(druid_op_cap,#REF!/druid_op_bonus))</f>
        <v>#REF!</v>
      </c>
      <c r="BZ103" s="241" t="e">
        <f>IF(druid_dp_cap="none",#REF!/druid_dp_bonus,MIN(druid_dp_cap,#REF!/druid_dp_bonus))</f>
        <v>#REF!</v>
      </c>
      <c r="CA103" s="241" t="e">
        <f>MIN(dryad_cap,#REF!/dryad_bonus)</f>
        <v>#REF!</v>
      </c>
      <c r="CB103" s="241" t="e">
        <f>MIN(rocka_cap,#REF!/rocka_bonus)</f>
        <v>#REF!</v>
      </c>
      <c r="CC103" s="241" t="e">
        <f>MIN(adept_op_cap,#REF!/adept_op_bonus)</f>
        <v>#REF!</v>
      </c>
      <c r="CD103" s="241" t="e">
        <f>MIN(adept_dp_cap,#REF!/adept_dp_bonus)</f>
        <v>#REF!</v>
      </c>
      <c r="CE103" s="39" t="e">
        <f>MIN(#REF!,#REF!)*2</f>
        <v>#REF!</v>
      </c>
      <c r="CF103" s="39" t="e">
        <f>MIN(#REF!,#REF!)*2</f>
        <v>#REF!</v>
      </c>
      <c r="CG103" s="241" t="e">
        <f>MIN(frost_mage_cap,#REF!/frost_mage_bonus)</f>
        <v>#REF!</v>
      </c>
      <c r="CH103" s="3" t="e">
        <f>MIN(ice_elem_cap,#REF!*ice_elem_bonus)</f>
        <v>#REF!</v>
      </c>
      <c r="CI103" s="241">
        <f t="shared" si="4"/>
        <v>0.83333333333333337</v>
      </c>
      <c r="CJ103" s="241" t="e">
        <f>MIN(nox_nightshade_cap,#REF!/#REF!/nox_nightshade_swamp_bonus)</f>
        <v>#REF!</v>
      </c>
      <c r="CK103" s="242"/>
      <c r="CL103" s="242"/>
      <c r="CM103" s="242"/>
      <c r="CN103" s="241" t="e">
        <f>MIN(6,#REF!+Races!$F$19)*1.8 +  IF(#REF!+Races!$F$19&gt;6,(#REF!+Races!$F$19-6)*0.2,0) - Races!$I$19</f>
        <v>#REF!</v>
      </c>
      <c r="CO103" s="241" t="e">
        <f>1.8 * MIN(MAX(#REF!+Races!$E$20,#REF!+Races!$F$20),6)  +  0.45 * MIN(MIN(#REF!+Races!$E$20,#REF!+Races!$F$20),6)  +  0.2 * ( MAX(#REF!+Races!$E$20-6,0) + MAX(#REF!+Races!$F$20-6,0) )  -  Races!$I$20</f>
        <v>#REF!</v>
      </c>
      <c r="CP103" s="39" t="e">
        <f>#REF!*#REF!+#REF!*#REF!</f>
        <v>#REF!</v>
      </c>
      <c r="CQ103" s="145" t="e">
        <f>MIN(6,#REF!+Races!$F$35)*1.8 +  IF(#REF!+Races!$F$35&gt;6,(#REF!+Races!$F$35-6)*0.2,0) - Races!$I$19</f>
        <v>#REF!</v>
      </c>
      <c r="CR103" s="39" t="e">
        <f>sylvan*(#REF!*#REF!)</f>
        <v>#REF!</v>
      </c>
      <c r="CS103" s="145" t="e">
        <f>1.8 * MIN(MAX(Races!$E$27,#REF!+Races!$F$27),6)  +  0.45 * MIN(MIN(Races!$E$27,#REF!+Races!$F$27),6)  +  0.2 * ( MAX(Races!$E$27-6,0) + MAX(#REF!+Races!$F$27-6,0) )  -  Races!$I$20</f>
        <v>#REF!</v>
      </c>
      <c r="CT103" s="39" t="e">
        <f>gnome*(#REF!*#REF!)</f>
        <v>#REF!</v>
      </c>
      <c r="CU103" s="145" t="e">
        <f>1.8 * MIN(MAX(#REF!+Races!$E$47,#REF!+Races!$F$47),6)  +  0.45 * MIN(MIN(#REF!+Races!$E$47,#REF!+Races!$F$47),6)  +  0.2 * ( MAX(#REF!+Races!$E$47-6,0) + MAX(#REF!+Races!$F$47-6,0) )  -  Races!$I$47</f>
        <v>#REF!</v>
      </c>
      <c r="CV103" s="39" t="e">
        <f>dark_elf*(#REF!*#REF!)</f>
        <v>#REF!</v>
      </c>
      <c r="CW103" s="145" t="e">
        <f>1.8 * MIN(MAX(#REF!+Races!$F$71,Races!$E$71),6)  +  0.45 * MIN(MIN(#REF!+Races!$F$71,Races!$E$71),6)  +  0.2 * ( MAX(#REF!+Races!$F$71-6,0) + MAX(Races!$E$71-6,0) )  -  Races!$I$71</f>
        <v>#REF!</v>
      </c>
      <c r="CX103" s="145" t="e">
        <f>1.8 * MIN(MAX(#REF!+Races!$E$71,Races!$F$71),6)  +  0.45 * MIN(MIN(#REF!+Races!$E$71,Races!$F$71),6)  +  0.2 * ( MAX(#REF!+Races!$E$71-6,0) + MAX(Races!$F$71-6,0) )  -  Races!$I$71</f>
        <v>#REF!</v>
      </c>
      <c r="CY103" s="39" t="e">
        <f>#REF!*#REF!+#REF!*#REF!</f>
        <v>#REF!</v>
      </c>
      <c r="CZ103" s="243"/>
      <c r="DA103" s="135" t="e">
        <f>MIN(SUM(#REF!)/#REF!/favorable_terrain_bonus/100,favorable_terrain_max)</f>
        <v>#REF!</v>
      </c>
      <c r="DB103" s="243"/>
      <c r="DC103"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03" s="134"/>
      <c r="DE103" s="244" t="e">
        <f>(#REF!+2*#REF!)/#REF!</f>
        <v>#REF!</v>
      </c>
      <c r="DF103" s="244" t="e">
        <f>#REF!*(1+race_wizard_strength+IF(#REF!&gt;72,tech_magical_weaponry_wiz*#REF!,0))</f>
        <v>#REF!</v>
      </c>
    </row>
    <row r="104" spans="1:110" x14ac:dyDescent="0.25">
      <c r="A104" s="130" t="e">
        <f>#REF!</f>
        <v>#REF!</v>
      </c>
      <c r="B104" s="236" t="e">
        <f ca="1">SUM(#REF!)+SUM(OFFSET(#REF!,-8,0):#REF!) + SUM(OFFSET(#REF!,-11,0):#REF!) +#REF!</f>
        <v>#REF!</v>
      </c>
      <c r="C104" s="132" t="e">
        <f>#REF!</f>
        <v>#REF!</v>
      </c>
      <c r="D104" s="134"/>
      <c r="E104" s="3" t="e">
        <f ca="1">OFFSET(#REF!,-1,0) + OFFSET(#REF!,-9,0) -#REF!</f>
        <v>#REF!</v>
      </c>
      <c r="F104" s="3" t="e">
        <f ca="1">OFFSET(#REF!,-1,0) + OFFSET(#REF!,-9,0)-#REF!</f>
        <v>#REF!</v>
      </c>
      <c r="G104" s="3" t="e">
        <f ca="1">OFFSET(#REF!,-1,0) + OFFSET(#REF!,-12,0)-#REF!</f>
        <v>#REF!</v>
      </c>
      <c r="H104" s="3" t="e">
        <f ca="1">OFFSET(#REF!,-1,0) + OFFSET(#REF!,-12,0)-#REF!</f>
        <v>#REF!</v>
      </c>
      <c r="I104" s="3" t="e">
        <f ca="1">OFFSET(#REF!,-1,0) + OFFSET(#REF!,-12,0) -#REF!-#REF!</f>
        <v>#REF!</v>
      </c>
      <c r="J104" s="3" t="e">
        <f ca="1">OFFSET(#REF!,-1,0) + OFFSET(#REF!,-12,0) -#REF!</f>
        <v>#REF!</v>
      </c>
      <c r="K104" s="3" t="e">
        <f ca="1">OFFSET(#REF!,-1,0) + OFFSET(#REF!,-12,0) -#REF!-#REF!</f>
        <v>#REF!</v>
      </c>
      <c r="L104" s="3" t="e">
        <f ca="1">OFFSET(#REF!,-1,0) + OFFSET(#REF!,-12,0) -#REF!</f>
        <v>#REF!</v>
      </c>
      <c r="M104" s="134"/>
      <c r="N104" s="39" t="e">
        <f>#REF!</f>
        <v>#REF!</v>
      </c>
      <c r="O104" s="134"/>
      <c r="P104" s="237" t="e">
        <f>#REF!*spec_op+#REF!*(elite1_base_op)+#REF!*(elite2_base_op+dark_elf*#REF!+icekin*#REF!+woodie*#REF!+orc*#REF!)+kobold*#REF!</f>
        <v>#REF!</v>
      </c>
      <c r="Q104" s="132" t="e">
        <f>race_offense+#REF!+ROUND(MIN(gn_bonus*#REF!/#REF!,gn_bonus_cap),4)+MAX(IF(#REF!&gt;0,warsong_bonus),IF(#REF!&gt;0,howling_op_bonus),IF(#REF!&gt;0,nightfall_bonus),IF(#REF!&gt;0,#REF!)) +#REF!/ 100*prestige_offense_bonus + tech_5_4*#REF! + tech_7_4*#REF!</f>
        <v>#REF!</v>
      </c>
      <c r="R104" s="237" t="e">
        <f>#REF!*(1+#REF!)</f>
        <v>#REF!</v>
      </c>
      <c r="S104" s="237" t="e">
        <f>#REF!*spec_dp+#REF!*(elite1_base_dp+woodie*#REF!+sylvan*#REF!+gnome*#REF!+icekin*#REF!+nox*#REF!)+#REF!*(elite2_base_dp+woodie*#REF!) + fh_peas_dp*MIN(#REF!,20*#REF!)+kobold*#REF!</f>
        <v>#REF!</v>
      </c>
      <c r="T104" s="237" t="e">
        <f>#REF!+#REF!</f>
        <v>#REF!</v>
      </c>
      <c r="U104" s="238" t="e">
        <f>race_defense +#REF! + ROUND( MIN(gt_bonus*#REF!/#REF!,gt_bonus_cap), 4) + IF(#REF!&gt;0,howling_dp_bonus,IF(#REF!&gt;0,ares_call_bonus))</f>
        <v>#REF!</v>
      </c>
      <c r="V104" s="239" t="e">
        <f>#REF! * (1 +#REF!)</f>
        <v>#REF!</v>
      </c>
      <c r="W104" s="237" t="e">
        <f>#REF! * (1 +#REF!)</f>
        <v>#REF!</v>
      </c>
      <c r="X104" s="237" t="e">
        <f>#REF!</f>
        <v>#REF!</v>
      </c>
      <c r="Y104" s="240"/>
      <c r="Z104" s="135" t="e">
        <f ca="1">IF(#REF!&lt;&gt;"",#REF!,OFFSET(#REF!,-1,0))</f>
        <v>#REF!</v>
      </c>
      <c r="AA104" s="39" t="e">
        <f ca="1">OFFSET(#REF!,-1,0)+OFFSET(#REF!,-1,0) - SUM(#REF!,#REF!) -#REF! + SUM(#REF!) -#REF!</f>
        <v>#REF!</v>
      </c>
      <c r="AB104" s="133"/>
      <c r="AC104" s="132" t="e">
        <f>(#REF!+#REF!)/(#REF!-#REF!*20)</f>
        <v>#REF!</v>
      </c>
      <c r="AD104" s="130"/>
      <c r="AE104" s="236" t="e">
        <f>#REF!</f>
        <v>#REF!</v>
      </c>
      <c r="AF104" s="131" t="e">
        <f>#REF!</f>
        <v>#REF!</v>
      </c>
      <c r="AG104" s="164"/>
      <c r="AH104" s="164"/>
      <c r="AI104" s="164"/>
      <c r="AJ104" s="164"/>
      <c r="AK104" s="164"/>
      <c r="AL104" s="164"/>
      <c r="AM104" s="164"/>
      <c r="AN104" s="164"/>
      <c r="AO104" s="134"/>
      <c r="AP104" s="39" t="e">
        <f>#REF!</f>
        <v>#REF!</v>
      </c>
      <c r="AQ104" s="39" t="e">
        <f>INDEX(#REF!:#REF!,COUNTA(#REF!:#REF!),MATCH(Military!$AQ$2,#REF!,0))</f>
        <v>#REF!</v>
      </c>
      <c r="AR104" s="39" t="e">
        <f>#REF!*#REF!+#REF!*#REF!+#REF!*#REF!+#REF!*#REF!+#REF!*#REF!+#REF!*#REF!+#REF!*#REF!</f>
        <v>#REF!</v>
      </c>
      <c r="AS104" s="39" t="e">
        <f>#REF!*#REF!+#REF!*#REF!+#REF!*#REF!+#REF!*#REF!</f>
        <v>#REF!</v>
      </c>
      <c r="AT104" s="134" t="e">
        <f>#REF!</f>
        <v>#REF!</v>
      </c>
      <c r="AU104" s="143" t="e">
        <f>#REF!</f>
        <v>#REF!</v>
      </c>
      <c r="AV104" s="39" t="e">
        <f>#REF!</f>
        <v>#REF!</v>
      </c>
      <c r="AW104" s="164"/>
      <c r="AX104" s="164"/>
      <c r="AY104" s="164"/>
      <c r="AZ104" s="164"/>
      <c r="BA104" s="164"/>
      <c r="BB104" s="164"/>
      <c r="BC104" s="164"/>
      <c r="BD104" s="164"/>
      <c r="BE104" s="164"/>
      <c r="BF104" s="134"/>
      <c r="BG104" s="132" t="e">
        <f>#REF!/#REF!</f>
        <v>#REF!</v>
      </c>
      <c r="BH104" s="132" t="e">
        <f>#REF!/#REF!</f>
        <v>#REF!</v>
      </c>
      <c r="BI104" s="39" t="e">
        <f>ROUNDUP((1-MIN(#REF!*smithy_bonus,smithy_bonus_cap) + tech_3_5*#REF! + tech_5_3*#REF! + tech_5_5*#REF!)*spec_op_plat,0)</f>
        <v>#REF!</v>
      </c>
      <c r="BJ104" s="39" t="e">
        <f>ROUNDUP(IF(race="Gnome",1,(1-MIN(#REF!*smithy_bonus,smithy_bonus_cap) + tech_3_5*#REF! + tech_5_3*#REF! + tech_5_5*#REF!))*spec_op_ore,0)</f>
        <v>#REF!</v>
      </c>
      <c r="BK104" s="39" t="e">
        <f>ROUNDUP((1-MIN(#REF!*smithy_bonus,smithy_bonus_cap) + tech_3_5*#REF! + tech_5_3*#REF! + tech_5_5*#REF!)*spec_dp_plat,0)</f>
        <v>#REF!</v>
      </c>
      <c r="BL104" s="39" t="e">
        <f>ROUNDUP(IF(race="Gnome",1,(1-MIN(#REF!*smithy_bonus,smithy_bonus_cap) + tech_3_5*#REF! + tech_5_3*#REF! + tech_5_5*#REF!))*spec_dp_ore,0)</f>
        <v>#REF!</v>
      </c>
      <c r="BM104" s="39" t="e">
        <f>ROUNDUP((1-MIN(#REF!*smithy_bonus,smithy_bonus_cap) + tech_3_5*#REF! + tech_5_3*#REF! + tech_5_5*#REF!)*elite1_plat,0)</f>
        <v>#REF!</v>
      </c>
      <c r="BN104" s="39" t="e">
        <f>ROUNDUP(IF(race="Gnome",1,(1-MIN(#REF!*smithy_bonus,smithy_bonus_cap) + tech_3_5*#REF! + tech_5_3*#REF! + tech_5_5*#REF!))*elite1_ore,0)</f>
        <v>#REF!</v>
      </c>
      <c r="BO104" s="39" t="e">
        <f>ROUNDUP((1-MIN(#REF!*smithy_bonus,smithy_bonus_cap) + tech_3_5*#REF! + tech_5_3*#REF! + tech_5_5*#REF!)*elite2_plat,0)</f>
        <v>#REF!</v>
      </c>
      <c r="BP104" s="39" t="e">
        <f>ROUNDUP(IF(race="Gnome",1,(1-MIN(#REF!*smithy_bonus,smithy_bonus_cap) + tech_3_5*#REF! + tech_5_3*#REF! + tech_5_5*#REF!))*elite2_ore,0)</f>
        <v>#REF!</v>
      </c>
      <c r="BQ104" s="39" t="e">
        <f>ROUNDUP((1-MIN(ROUND(fh_spy_cost_red*#REF!,4),fh_spy_cost_cap)+ tech_1_9*#REF! + tech_9_1*#REF!)*spy_plat,0)</f>
        <v>#REF!</v>
      </c>
      <c r="BR104" s="39" t="e">
        <f>ROUNDUP((1-MIN(ROUND(fh_spy_cost_red*#REF!,4),fh_spy_cost_cap)+ tech_1_9*#REF! + tech_9_1*#REF!)*archspy_plat,0)</f>
        <v>#REF!</v>
      </c>
      <c r="BS104" s="39" t="e">
        <f>ROUNDUP((1-MIN(ROUND(wg_wiz_cost_bonus*#REF!,4),wg_wiz_cost_cap) + tech_1_9_2*#REF! + tech_9_1_2*#REF!)*wizard_plat,0)</f>
        <v>#REF!</v>
      </c>
      <c r="BT104" s="39" t="e">
        <f>ROUNDUP((1-MIN(ROUND(wg_wiz_cost_bonus*#REF!,4),wg_wiz_cost_cap) + tech_1_9_2*#REF! + tech_9_1_2*#REF!)*archmage_plat,0)</f>
        <v>#REF!</v>
      </c>
      <c r="BU104" s="134"/>
      <c r="BV104" s="132" t="e">
        <f>#REF!/#REF!</f>
        <v>#REF!</v>
      </c>
      <c r="BW104" s="132" t="e">
        <f>#REF!</f>
        <v>#REF!</v>
      </c>
      <c r="BX104" s="241" t="e">
        <f>IF(mystic_cap="none",#REF!/mystic_bonus,MIN(mystic_cap,#REF!/mystic_bonus))</f>
        <v>#REF!</v>
      </c>
      <c r="BY104" s="241" t="e">
        <f>IF(druid_op_cap="none",#REF!/druid_op_bonus,MIN(druid_op_cap,#REF!/druid_op_bonus))</f>
        <v>#REF!</v>
      </c>
      <c r="BZ104" s="241" t="e">
        <f>IF(druid_dp_cap="none",#REF!/druid_dp_bonus,MIN(druid_dp_cap,#REF!/druid_dp_bonus))</f>
        <v>#REF!</v>
      </c>
      <c r="CA104" s="241" t="e">
        <f>MIN(dryad_cap,#REF!/dryad_bonus)</f>
        <v>#REF!</v>
      </c>
      <c r="CB104" s="241" t="e">
        <f>MIN(rocka_cap,#REF!/rocka_bonus)</f>
        <v>#REF!</v>
      </c>
      <c r="CC104" s="241" t="e">
        <f>MIN(adept_op_cap,#REF!/adept_op_bonus)</f>
        <v>#REF!</v>
      </c>
      <c r="CD104" s="241" t="e">
        <f>MIN(adept_dp_cap,#REF!/adept_dp_bonus)</f>
        <v>#REF!</v>
      </c>
      <c r="CE104" s="39" t="e">
        <f>MIN(#REF!,#REF!)*2</f>
        <v>#REF!</v>
      </c>
      <c r="CF104" s="39" t="e">
        <f>MIN(#REF!,#REF!)*2</f>
        <v>#REF!</v>
      </c>
      <c r="CG104" s="241" t="e">
        <f>MIN(frost_mage_cap,#REF!/frost_mage_bonus)</f>
        <v>#REF!</v>
      </c>
      <c r="CH104" s="3" t="e">
        <f>MIN(ice_elem_cap,#REF!*ice_elem_bonus)</f>
        <v>#REF!</v>
      </c>
      <c r="CI104" s="241">
        <f t="shared" si="4"/>
        <v>0.83333333333333337</v>
      </c>
      <c r="CJ104" s="241" t="e">
        <f>MIN(nox_nightshade_cap,#REF!/#REF!/nox_nightshade_swamp_bonus)</f>
        <v>#REF!</v>
      </c>
      <c r="CK104" s="242"/>
      <c r="CL104" s="242"/>
      <c r="CM104" s="242"/>
      <c r="CN104" s="241" t="e">
        <f>MIN(6,#REF!+Races!$F$19)*1.8 +  IF(#REF!+Races!$F$19&gt;6,(#REF!+Races!$F$19-6)*0.2,0) - Races!$I$19</f>
        <v>#REF!</v>
      </c>
      <c r="CO104" s="241" t="e">
        <f>1.8 * MIN(MAX(#REF!+Races!$E$20,#REF!+Races!$F$20),6)  +  0.45 * MIN(MIN(#REF!+Races!$E$20,#REF!+Races!$F$20),6)  +  0.2 * ( MAX(#REF!+Races!$E$20-6,0) + MAX(#REF!+Races!$F$20-6,0) )  -  Races!$I$20</f>
        <v>#REF!</v>
      </c>
      <c r="CP104" s="39" t="e">
        <f>#REF!*#REF!+#REF!*#REF!</f>
        <v>#REF!</v>
      </c>
      <c r="CQ104" s="145" t="e">
        <f>MIN(6,#REF!+Races!$F$35)*1.8 +  IF(#REF!+Races!$F$35&gt;6,(#REF!+Races!$F$35-6)*0.2,0) - Races!$I$19</f>
        <v>#REF!</v>
      </c>
      <c r="CR104" s="39" t="e">
        <f>sylvan*(#REF!*#REF!)</f>
        <v>#REF!</v>
      </c>
      <c r="CS104" s="145" t="e">
        <f>1.8 * MIN(MAX(Races!$E$27,#REF!+Races!$F$27),6)  +  0.45 * MIN(MIN(Races!$E$27,#REF!+Races!$F$27),6)  +  0.2 * ( MAX(Races!$E$27-6,0) + MAX(#REF!+Races!$F$27-6,0) )  -  Races!$I$20</f>
        <v>#REF!</v>
      </c>
      <c r="CT104" s="39" t="e">
        <f>gnome*(#REF!*#REF!)</f>
        <v>#REF!</v>
      </c>
      <c r="CU104" s="145" t="e">
        <f>1.8 * MIN(MAX(#REF!+Races!$E$47,#REF!+Races!$F$47),6)  +  0.45 * MIN(MIN(#REF!+Races!$E$47,#REF!+Races!$F$47),6)  +  0.2 * ( MAX(#REF!+Races!$E$47-6,0) + MAX(#REF!+Races!$F$47-6,0) )  -  Races!$I$47</f>
        <v>#REF!</v>
      </c>
      <c r="CV104" s="39" t="e">
        <f>dark_elf*(#REF!*#REF!)</f>
        <v>#REF!</v>
      </c>
      <c r="CW104" s="145" t="e">
        <f>1.8 * MIN(MAX(#REF!+Races!$F$71,Races!$E$71),6)  +  0.45 * MIN(MIN(#REF!+Races!$F$71,Races!$E$71),6)  +  0.2 * ( MAX(#REF!+Races!$F$71-6,0) + MAX(Races!$E$71-6,0) )  -  Races!$I$71</f>
        <v>#REF!</v>
      </c>
      <c r="CX104" s="145" t="e">
        <f>1.8 * MIN(MAX(#REF!+Races!$E$71,Races!$F$71),6)  +  0.45 * MIN(MIN(#REF!+Races!$E$71,Races!$F$71),6)  +  0.2 * ( MAX(#REF!+Races!$E$71-6,0) + MAX(Races!$F$71-6,0) )  -  Races!$I$71</f>
        <v>#REF!</v>
      </c>
      <c r="CY104" s="39" t="e">
        <f>#REF!*#REF!+#REF!*#REF!</f>
        <v>#REF!</v>
      </c>
      <c r="CZ104" s="243"/>
      <c r="DA104" s="135" t="e">
        <f>MIN(SUM(#REF!)/#REF!/favorable_terrain_bonus/100,favorable_terrain_max)</f>
        <v>#REF!</v>
      </c>
      <c r="DB104" s="243"/>
      <c r="DC104"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04" s="134"/>
      <c r="DE104" s="244" t="e">
        <f>(#REF!+2*#REF!)/#REF!</f>
        <v>#REF!</v>
      </c>
      <c r="DF104" s="244" t="e">
        <f>#REF!*(1+race_wizard_strength+IF(#REF!&gt;72,tech_magical_weaponry_wiz*#REF!,0))</f>
        <v>#REF!</v>
      </c>
    </row>
    <row r="105" spans="1:110" x14ac:dyDescent="0.25">
      <c r="A105" s="130" t="e">
        <f>#REF!</f>
        <v>#REF!</v>
      </c>
      <c r="B105" s="236" t="e">
        <f ca="1">SUM(#REF!)+SUM(OFFSET(#REF!,-8,0):#REF!) + SUM(OFFSET(#REF!,-11,0):#REF!) +#REF!</f>
        <v>#REF!</v>
      </c>
      <c r="C105" s="132" t="e">
        <f>#REF!</f>
        <v>#REF!</v>
      </c>
      <c r="D105" s="134"/>
      <c r="E105" s="3" t="e">
        <f ca="1">OFFSET(#REF!,-1,0) + OFFSET(#REF!,-9,0) -#REF!</f>
        <v>#REF!</v>
      </c>
      <c r="F105" s="3" t="e">
        <f ca="1">OFFSET(#REF!,-1,0) + OFFSET(#REF!,-9,0)-#REF!</f>
        <v>#REF!</v>
      </c>
      <c r="G105" s="3" t="e">
        <f ca="1">OFFSET(#REF!,-1,0) + OFFSET(#REF!,-12,0)-#REF!</f>
        <v>#REF!</v>
      </c>
      <c r="H105" s="3" t="e">
        <f ca="1">OFFSET(#REF!,-1,0) + OFFSET(#REF!,-12,0)-#REF!</f>
        <v>#REF!</v>
      </c>
      <c r="I105" s="3" t="e">
        <f ca="1">OFFSET(#REF!,-1,0) + OFFSET(#REF!,-12,0) -#REF!-#REF!</f>
        <v>#REF!</v>
      </c>
      <c r="J105" s="3" t="e">
        <f ca="1">OFFSET(#REF!,-1,0) + OFFSET(#REF!,-12,0) -#REF!</f>
        <v>#REF!</v>
      </c>
      <c r="K105" s="3" t="e">
        <f ca="1">OFFSET(#REF!,-1,0) + OFFSET(#REF!,-12,0) -#REF!-#REF!</f>
        <v>#REF!</v>
      </c>
      <c r="L105" s="3" t="e">
        <f ca="1">OFFSET(#REF!,-1,0) + OFFSET(#REF!,-12,0) -#REF!</f>
        <v>#REF!</v>
      </c>
      <c r="M105" s="134"/>
      <c r="N105" s="39" t="e">
        <f>#REF!</f>
        <v>#REF!</v>
      </c>
      <c r="O105" s="134"/>
      <c r="P105" s="237" t="e">
        <f>#REF!*spec_op+#REF!*(elite1_base_op)+#REF!*(elite2_base_op+dark_elf*#REF!+icekin*#REF!+woodie*#REF!+orc*#REF!)+kobold*#REF!</f>
        <v>#REF!</v>
      </c>
      <c r="Q105" s="132" t="e">
        <f>race_offense+#REF!+ROUND(MIN(gn_bonus*#REF!/#REF!,gn_bonus_cap),4)+MAX(IF(#REF!&gt;0,warsong_bonus),IF(#REF!&gt;0,howling_op_bonus),IF(#REF!&gt;0,nightfall_bonus),IF(#REF!&gt;0,#REF!)) +#REF!/ 100*prestige_offense_bonus + tech_5_4*#REF! + tech_7_4*#REF!</f>
        <v>#REF!</v>
      </c>
      <c r="R105" s="237" t="e">
        <f>#REF!*(1+#REF!)</f>
        <v>#REF!</v>
      </c>
      <c r="S105" s="237" t="e">
        <f>#REF!*spec_dp+#REF!*(elite1_base_dp+woodie*#REF!+sylvan*#REF!+gnome*#REF!+icekin*#REF!+nox*#REF!)+#REF!*(elite2_base_dp+woodie*#REF!) + fh_peas_dp*MIN(#REF!,20*#REF!)+kobold*#REF!</f>
        <v>#REF!</v>
      </c>
      <c r="T105" s="237" t="e">
        <f>#REF!+#REF!</f>
        <v>#REF!</v>
      </c>
      <c r="U105" s="238" t="e">
        <f>race_defense +#REF! + ROUND( MIN(gt_bonus*#REF!/#REF!,gt_bonus_cap), 4) + IF(#REF!&gt;0,howling_dp_bonus,IF(#REF!&gt;0,ares_call_bonus))</f>
        <v>#REF!</v>
      </c>
      <c r="V105" s="239" t="e">
        <f>#REF! * (1 +#REF!)</f>
        <v>#REF!</v>
      </c>
      <c r="W105" s="237" t="e">
        <f>#REF! * (1 +#REF!)</f>
        <v>#REF!</v>
      </c>
      <c r="X105" s="237" t="e">
        <f>#REF!</f>
        <v>#REF!</v>
      </c>
      <c r="Y105" s="240"/>
      <c r="Z105" s="135" t="e">
        <f ca="1">IF(#REF!&lt;&gt;"",#REF!,OFFSET(#REF!,-1,0))</f>
        <v>#REF!</v>
      </c>
      <c r="AA105" s="39" t="e">
        <f ca="1">OFFSET(#REF!,-1,0)+OFFSET(#REF!,-1,0) - SUM(#REF!,#REF!) -#REF! + SUM(#REF!) -#REF!</f>
        <v>#REF!</v>
      </c>
      <c r="AB105" s="133"/>
      <c r="AC105" s="132" t="e">
        <f>(#REF!+#REF!)/(#REF!-#REF!*20)</f>
        <v>#REF!</v>
      </c>
      <c r="AD105" s="130"/>
      <c r="AE105" s="236" t="e">
        <f>#REF!</f>
        <v>#REF!</v>
      </c>
      <c r="AF105" s="131" t="e">
        <f>#REF!</f>
        <v>#REF!</v>
      </c>
      <c r="AG105" s="164"/>
      <c r="AH105" s="164"/>
      <c r="AI105" s="164"/>
      <c r="AJ105" s="164"/>
      <c r="AK105" s="164"/>
      <c r="AL105" s="164"/>
      <c r="AM105" s="164"/>
      <c r="AN105" s="164"/>
      <c r="AO105" s="134"/>
      <c r="AP105" s="39" t="e">
        <f>#REF!</f>
        <v>#REF!</v>
      </c>
      <c r="AQ105" s="39" t="e">
        <f>INDEX(#REF!:#REF!,COUNTA(#REF!:#REF!),MATCH(Military!$AQ$2,#REF!,0))</f>
        <v>#REF!</v>
      </c>
      <c r="AR105" s="39" t="e">
        <f>#REF!*#REF!+#REF!*#REF!+#REF!*#REF!+#REF!*#REF!+#REF!*#REF!+#REF!*#REF!+#REF!*#REF!</f>
        <v>#REF!</v>
      </c>
      <c r="AS105" s="39" t="e">
        <f>#REF!*#REF!+#REF!*#REF!+#REF!*#REF!+#REF!*#REF!</f>
        <v>#REF!</v>
      </c>
      <c r="AT105" s="134" t="e">
        <f>#REF!</f>
        <v>#REF!</v>
      </c>
      <c r="AU105" s="143" t="e">
        <f>#REF!</f>
        <v>#REF!</v>
      </c>
      <c r="AV105" s="39" t="e">
        <f>#REF!</f>
        <v>#REF!</v>
      </c>
      <c r="AW105" s="164"/>
      <c r="AX105" s="164"/>
      <c r="AY105" s="164"/>
      <c r="AZ105" s="164"/>
      <c r="BA105" s="164"/>
      <c r="BB105" s="164"/>
      <c r="BC105" s="164"/>
      <c r="BD105" s="164"/>
      <c r="BE105" s="164"/>
      <c r="BF105" s="134"/>
      <c r="BG105" s="132" t="e">
        <f>#REF!/#REF!</f>
        <v>#REF!</v>
      </c>
      <c r="BH105" s="132" t="e">
        <f>#REF!/#REF!</f>
        <v>#REF!</v>
      </c>
      <c r="BI105" s="39" t="e">
        <f>ROUNDUP((1-MIN(#REF!*smithy_bonus,smithy_bonus_cap) + tech_3_5*#REF! + tech_5_3*#REF! + tech_5_5*#REF!)*spec_op_plat,0)</f>
        <v>#REF!</v>
      </c>
      <c r="BJ105" s="39" t="e">
        <f>ROUNDUP(IF(race="Gnome",1,(1-MIN(#REF!*smithy_bonus,smithy_bonus_cap) + tech_3_5*#REF! + tech_5_3*#REF! + tech_5_5*#REF!))*spec_op_ore,0)</f>
        <v>#REF!</v>
      </c>
      <c r="BK105" s="39" t="e">
        <f>ROUNDUP((1-MIN(#REF!*smithy_bonus,smithy_bonus_cap) + tech_3_5*#REF! + tech_5_3*#REF! + tech_5_5*#REF!)*spec_dp_plat,0)</f>
        <v>#REF!</v>
      </c>
      <c r="BL105" s="39" t="e">
        <f>ROUNDUP(IF(race="Gnome",1,(1-MIN(#REF!*smithy_bonus,smithy_bonus_cap) + tech_3_5*#REF! + tech_5_3*#REF! + tech_5_5*#REF!))*spec_dp_ore,0)</f>
        <v>#REF!</v>
      </c>
      <c r="BM105" s="39" t="e">
        <f>ROUNDUP((1-MIN(#REF!*smithy_bonus,smithy_bonus_cap) + tech_3_5*#REF! + tech_5_3*#REF! + tech_5_5*#REF!)*elite1_plat,0)</f>
        <v>#REF!</v>
      </c>
      <c r="BN105" s="39" t="e">
        <f>ROUNDUP(IF(race="Gnome",1,(1-MIN(#REF!*smithy_bonus,smithy_bonus_cap) + tech_3_5*#REF! + tech_5_3*#REF! + tech_5_5*#REF!))*elite1_ore,0)</f>
        <v>#REF!</v>
      </c>
      <c r="BO105" s="39" t="e">
        <f>ROUNDUP((1-MIN(#REF!*smithy_bonus,smithy_bonus_cap) + tech_3_5*#REF! + tech_5_3*#REF! + tech_5_5*#REF!)*elite2_plat,0)</f>
        <v>#REF!</v>
      </c>
      <c r="BP105" s="39" t="e">
        <f>ROUNDUP(IF(race="Gnome",1,(1-MIN(#REF!*smithy_bonus,smithy_bonus_cap) + tech_3_5*#REF! + tech_5_3*#REF! + tech_5_5*#REF!))*elite2_ore,0)</f>
        <v>#REF!</v>
      </c>
      <c r="BQ105" s="39" t="e">
        <f>ROUNDUP((1-MIN(ROUND(fh_spy_cost_red*#REF!,4),fh_spy_cost_cap)+ tech_1_9*#REF! + tech_9_1*#REF!)*spy_plat,0)</f>
        <v>#REF!</v>
      </c>
      <c r="BR105" s="39" t="e">
        <f>ROUNDUP((1-MIN(ROUND(fh_spy_cost_red*#REF!,4),fh_spy_cost_cap)+ tech_1_9*#REF! + tech_9_1*#REF!)*archspy_plat,0)</f>
        <v>#REF!</v>
      </c>
      <c r="BS105" s="39" t="e">
        <f>ROUNDUP((1-MIN(ROUND(wg_wiz_cost_bonus*#REF!,4),wg_wiz_cost_cap) + tech_1_9_2*#REF! + tech_9_1_2*#REF!)*wizard_plat,0)</f>
        <v>#REF!</v>
      </c>
      <c r="BT105" s="39" t="e">
        <f>ROUNDUP((1-MIN(ROUND(wg_wiz_cost_bonus*#REF!,4),wg_wiz_cost_cap) + tech_1_9_2*#REF! + tech_9_1_2*#REF!)*archmage_plat,0)</f>
        <v>#REF!</v>
      </c>
      <c r="BU105" s="134"/>
      <c r="BV105" s="132" t="e">
        <f>#REF!/#REF!</f>
        <v>#REF!</v>
      </c>
      <c r="BW105" s="132" t="e">
        <f>#REF!</f>
        <v>#REF!</v>
      </c>
      <c r="BX105" s="241" t="e">
        <f>IF(mystic_cap="none",#REF!/mystic_bonus,MIN(mystic_cap,#REF!/mystic_bonus))</f>
        <v>#REF!</v>
      </c>
      <c r="BY105" s="241" t="e">
        <f>IF(druid_op_cap="none",#REF!/druid_op_bonus,MIN(druid_op_cap,#REF!/druid_op_bonus))</f>
        <v>#REF!</v>
      </c>
      <c r="BZ105" s="241" t="e">
        <f>IF(druid_dp_cap="none",#REF!/druid_dp_bonus,MIN(druid_dp_cap,#REF!/druid_dp_bonus))</f>
        <v>#REF!</v>
      </c>
      <c r="CA105" s="241" t="e">
        <f>MIN(dryad_cap,#REF!/dryad_bonus)</f>
        <v>#REF!</v>
      </c>
      <c r="CB105" s="241" t="e">
        <f>MIN(rocka_cap,#REF!/rocka_bonus)</f>
        <v>#REF!</v>
      </c>
      <c r="CC105" s="241" t="e">
        <f>MIN(adept_op_cap,#REF!/adept_op_bonus)</f>
        <v>#REF!</v>
      </c>
      <c r="CD105" s="241" t="e">
        <f>MIN(adept_dp_cap,#REF!/adept_dp_bonus)</f>
        <v>#REF!</v>
      </c>
      <c r="CE105" s="39" t="e">
        <f>MIN(#REF!,#REF!)*2</f>
        <v>#REF!</v>
      </c>
      <c r="CF105" s="39" t="e">
        <f>MIN(#REF!,#REF!)*2</f>
        <v>#REF!</v>
      </c>
      <c r="CG105" s="241" t="e">
        <f>MIN(frost_mage_cap,#REF!/frost_mage_bonus)</f>
        <v>#REF!</v>
      </c>
      <c r="CH105" s="3" t="e">
        <f>MIN(ice_elem_cap,#REF!*ice_elem_bonus)</f>
        <v>#REF!</v>
      </c>
      <c r="CI105" s="241">
        <f t="shared" si="4"/>
        <v>0.83333333333333337</v>
      </c>
      <c r="CJ105" s="241" t="e">
        <f>MIN(nox_nightshade_cap,#REF!/#REF!/nox_nightshade_swamp_bonus)</f>
        <v>#REF!</v>
      </c>
      <c r="CK105" s="242"/>
      <c r="CL105" s="242"/>
      <c r="CM105" s="242"/>
      <c r="CN105" s="241" t="e">
        <f>MIN(6,#REF!+Races!$F$19)*1.8 +  IF(#REF!+Races!$F$19&gt;6,(#REF!+Races!$F$19-6)*0.2,0) - Races!$I$19</f>
        <v>#REF!</v>
      </c>
      <c r="CO105" s="241" t="e">
        <f>1.8 * MIN(MAX(#REF!+Races!$E$20,#REF!+Races!$F$20),6)  +  0.45 * MIN(MIN(#REF!+Races!$E$20,#REF!+Races!$F$20),6)  +  0.2 * ( MAX(#REF!+Races!$E$20-6,0) + MAX(#REF!+Races!$F$20-6,0) )  -  Races!$I$20</f>
        <v>#REF!</v>
      </c>
      <c r="CP105" s="39" t="e">
        <f>#REF!*#REF!+#REF!*#REF!</f>
        <v>#REF!</v>
      </c>
      <c r="CQ105" s="145" t="e">
        <f>MIN(6,#REF!+Races!$F$35)*1.8 +  IF(#REF!+Races!$F$35&gt;6,(#REF!+Races!$F$35-6)*0.2,0) - Races!$I$19</f>
        <v>#REF!</v>
      </c>
      <c r="CR105" s="39" t="e">
        <f>sylvan*(#REF!*#REF!)</f>
        <v>#REF!</v>
      </c>
      <c r="CS105" s="145" t="e">
        <f>1.8 * MIN(MAX(Races!$E$27,#REF!+Races!$F$27),6)  +  0.45 * MIN(MIN(Races!$E$27,#REF!+Races!$F$27),6)  +  0.2 * ( MAX(Races!$E$27-6,0) + MAX(#REF!+Races!$F$27-6,0) )  -  Races!$I$20</f>
        <v>#REF!</v>
      </c>
      <c r="CT105" s="39" t="e">
        <f>gnome*(#REF!*#REF!)</f>
        <v>#REF!</v>
      </c>
      <c r="CU105" s="145" t="e">
        <f>1.8 * MIN(MAX(#REF!+Races!$E$47,#REF!+Races!$F$47),6)  +  0.45 * MIN(MIN(#REF!+Races!$E$47,#REF!+Races!$F$47),6)  +  0.2 * ( MAX(#REF!+Races!$E$47-6,0) + MAX(#REF!+Races!$F$47-6,0) )  -  Races!$I$47</f>
        <v>#REF!</v>
      </c>
      <c r="CV105" s="39" t="e">
        <f>dark_elf*(#REF!*#REF!)</f>
        <v>#REF!</v>
      </c>
      <c r="CW105" s="145" t="e">
        <f>1.8 * MIN(MAX(#REF!+Races!$F$71,Races!$E$71),6)  +  0.45 * MIN(MIN(#REF!+Races!$F$71,Races!$E$71),6)  +  0.2 * ( MAX(#REF!+Races!$F$71-6,0) + MAX(Races!$E$71-6,0) )  -  Races!$I$71</f>
        <v>#REF!</v>
      </c>
      <c r="CX105" s="145" t="e">
        <f>1.8 * MIN(MAX(#REF!+Races!$E$71,Races!$F$71),6)  +  0.45 * MIN(MIN(#REF!+Races!$E$71,Races!$F$71),6)  +  0.2 * ( MAX(#REF!+Races!$E$71-6,0) + MAX(Races!$F$71-6,0) )  -  Races!$I$71</f>
        <v>#REF!</v>
      </c>
      <c r="CY105" s="39" t="e">
        <f>#REF!*#REF!+#REF!*#REF!</f>
        <v>#REF!</v>
      </c>
      <c r="CZ105" s="243"/>
      <c r="DA105" s="135" t="e">
        <f>MIN(SUM(#REF!)/#REF!/favorable_terrain_bonus/100,favorable_terrain_max)</f>
        <v>#REF!</v>
      </c>
      <c r="DB105" s="243"/>
      <c r="DC105"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05" s="134"/>
      <c r="DE105" s="244" t="e">
        <f>(#REF!+2*#REF!)/#REF!</f>
        <v>#REF!</v>
      </c>
      <c r="DF105" s="244" t="e">
        <f>#REF!*(1+race_wizard_strength+IF(#REF!&gt;72,tech_magical_weaponry_wiz*#REF!,0))</f>
        <v>#REF!</v>
      </c>
    </row>
    <row r="106" spans="1:110" x14ac:dyDescent="0.25">
      <c r="A106" s="130" t="e">
        <f>#REF!</f>
        <v>#REF!</v>
      </c>
      <c r="B106" s="236" t="e">
        <f ca="1">SUM(#REF!)+SUM(OFFSET(#REF!,-8,0):#REF!) + SUM(OFFSET(#REF!,-11,0):#REF!) +#REF!</f>
        <v>#REF!</v>
      </c>
      <c r="C106" s="132" t="e">
        <f>#REF!</f>
        <v>#REF!</v>
      </c>
      <c r="D106" s="134"/>
      <c r="E106" s="3" t="e">
        <f ca="1">OFFSET(#REF!,-1,0) + OFFSET(#REF!,-9,0) -#REF!</f>
        <v>#REF!</v>
      </c>
      <c r="F106" s="3" t="e">
        <f ca="1">OFFSET(#REF!,-1,0) + OFFSET(#REF!,-9,0)-#REF!</f>
        <v>#REF!</v>
      </c>
      <c r="G106" s="3" t="e">
        <f ca="1">OFFSET(#REF!,-1,0) + OFFSET(#REF!,-12,0)-#REF!</f>
        <v>#REF!</v>
      </c>
      <c r="H106" s="3" t="e">
        <f ca="1">OFFSET(#REF!,-1,0) + OFFSET(#REF!,-12,0)-#REF!</f>
        <v>#REF!</v>
      </c>
      <c r="I106" s="3" t="e">
        <f ca="1">OFFSET(#REF!,-1,0) + OFFSET(#REF!,-12,0) -#REF!-#REF!</f>
        <v>#REF!</v>
      </c>
      <c r="J106" s="3" t="e">
        <f ca="1">OFFSET(#REF!,-1,0) + OFFSET(#REF!,-12,0) -#REF!</f>
        <v>#REF!</v>
      </c>
      <c r="K106" s="3" t="e">
        <f ca="1">OFFSET(#REF!,-1,0) + OFFSET(#REF!,-12,0) -#REF!-#REF!</f>
        <v>#REF!</v>
      </c>
      <c r="L106" s="3" t="e">
        <f ca="1">OFFSET(#REF!,-1,0) + OFFSET(#REF!,-12,0) -#REF!</f>
        <v>#REF!</v>
      </c>
      <c r="M106" s="134"/>
      <c r="N106" s="39" t="e">
        <f>#REF!</f>
        <v>#REF!</v>
      </c>
      <c r="O106" s="134"/>
      <c r="P106" s="237" t="e">
        <f>#REF!*spec_op+#REF!*(elite1_base_op)+#REF!*(elite2_base_op+dark_elf*#REF!+icekin*#REF!+woodie*#REF!+orc*#REF!)+kobold*#REF!</f>
        <v>#REF!</v>
      </c>
      <c r="Q106" s="132" t="e">
        <f>race_offense+#REF!+ROUND(MIN(gn_bonus*#REF!/#REF!,gn_bonus_cap),4)+MAX(IF(#REF!&gt;0,warsong_bonus),IF(#REF!&gt;0,howling_op_bonus),IF(#REF!&gt;0,nightfall_bonus),IF(#REF!&gt;0,#REF!)) +#REF!/ 100*prestige_offense_bonus + tech_5_4*#REF! + tech_7_4*#REF!</f>
        <v>#REF!</v>
      </c>
      <c r="R106" s="237" t="e">
        <f>#REF!*(1+#REF!)</f>
        <v>#REF!</v>
      </c>
      <c r="S106" s="237" t="e">
        <f>#REF!*spec_dp+#REF!*(elite1_base_dp+woodie*#REF!+sylvan*#REF!+gnome*#REF!+icekin*#REF!+nox*#REF!)+#REF!*(elite2_base_dp+woodie*#REF!) + fh_peas_dp*MIN(#REF!,20*#REF!)+kobold*#REF!</f>
        <v>#REF!</v>
      </c>
      <c r="T106" s="237" t="e">
        <f>#REF!+#REF!</f>
        <v>#REF!</v>
      </c>
      <c r="U106" s="238" t="e">
        <f>race_defense +#REF! + ROUND( MIN(gt_bonus*#REF!/#REF!,gt_bonus_cap), 4) + IF(#REF!&gt;0,howling_dp_bonus,IF(#REF!&gt;0,ares_call_bonus))</f>
        <v>#REF!</v>
      </c>
      <c r="V106" s="239" t="e">
        <f>#REF! * (1 +#REF!)</f>
        <v>#REF!</v>
      </c>
      <c r="W106" s="237" t="e">
        <f>#REF! * (1 +#REF!)</f>
        <v>#REF!</v>
      </c>
      <c r="X106" s="237" t="e">
        <f>#REF!</f>
        <v>#REF!</v>
      </c>
      <c r="Y106" s="240"/>
      <c r="Z106" s="135" t="e">
        <f ca="1">IF(#REF!&lt;&gt;"",#REF!,OFFSET(#REF!,-1,0))</f>
        <v>#REF!</v>
      </c>
      <c r="AA106" s="39" t="e">
        <f ca="1">OFFSET(#REF!,-1,0)+OFFSET(#REF!,-1,0) - SUM(#REF!,#REF!) -#REF! + SUM(#REF!) -#REF!</f>
        <v>#REF!</v>
      </c>
      <c r="AB106" s="133"/>
      <c r="AC106" s="132" t="e">
        <f>(#REF!+#REF!)/(#REF!-#REF!*20)</f>
        <v>#REF!</v>
      </c>
      <c r="AD106" s="130"/>
      <c r="AE106" s="236" t="e">
        <f>#REF!</f>
        <v>#REF!</v>
      </c>
      <c r="AF106" s="131" t="e">
        <f>#REF!</f>
        <v>#REF!</v>
      </c>
      <c r="AG106" s="164"/>
      <c r="AH106" s="164"/>
      <c r="AI106" s="164"/>
      <c r="AJ106" s="164"/>
      <c r="AK106" s="164"/>
      <c r="AL106" s="164"/>
      <c r="AM106" s="164"/>
      <c r="AN106" s="164"/>
      <c r="AO106" s="134"/>
      <c r="AP106" s="39" t="e">
        <f>#REF!</f>
        <v>#REF!</v>
      </c>
      <c r="AQ106" s="39" t="e">
        <f>INDEX(#REF!:#REF!,COUNTA(#REF!:#REF!),MATCH(Military!$AQ$2,#REF!,0))</f>
        <v>#REF!</v>
      </c>
      <c r="AR106" s="39" t="e">
        <f>#REF!*#REF!+#REF!*#REF!+#REF!*#REF!+#REF!*#REF!+#REF!*#REF!+#REF!*#REF!+#REF!*#REF!</f>
        <v>#REF!</v>
      </c>
      <c r="AS106" s="39" t="e">
        <f>#REF!*#REF!+#REF!*#REF!+#REF!*#REF!+#REF!*#REF!</f>
        <v>#REF!</v>
      </c>
      <c r="AT106" s="134" t="e">
        <f>#REF!</f>
        <v>#REF!</v>
      </c>
      <c r="AU106" s="143" t="e">
        <f>#REF!</f>
        <v>#REF!</v>
      </c>
      <c r="AV106" s="39" t="e">
        <f>#REF!</f>
        <v>#REF!</v>
      </c>
      <c r="AW106" s="164"/>
      <c r="AX106" s="164"/>
      <c r="AY106" s="164"/>
      <c r="AZ106" s="164"/>
      <c r="BA106" s="164"/>
      <c r="BB106" s="164"/>
      <c r="BC106" s="164"/>
      <c r="BD106" s="164"/>
      <c r="BE106" s="164"/>
      <c r="BF106" s="134"/>
      <c r="BG106" s="132" t="e">
        <f>#REF!/#REF!</f>
        <v>#REF!</v>
      </c>
      <c r="BH106" s="132" t="e">
        <f>#REF!/#REF!</f>
        <v>#REF!</v>
      </c>
      <c r="BI106" s="39" t="e">
        <f>ROUNDUP((1-MIN(#REF!*smithy_bonus,smithy_bonus_cap) + tech_3_5*#REF! + tech_5_3*#REF! + tech_5_5*#REF!)*spec_op_plat,0)</f>
        <v>#REF!</v>
      </c>
      <c r="BJ106" s="39" t="e">
        <f>ROUNDUP(IF(race="Gnome",1,(1-MIN(#REF!*smithy_bonus,smithy_bonus_cap) + tech_3_5*#REF! + tech_5_3*#REF! + tech_5_5*#REF!))*spec_op_ore,0)</f>
        <v>#REF!</v>
      </c>
      <c r="BK106" s="39" t="e">
        <f>ROUNDUP((1-MIN(#REF!*smithy_bonus,smithy_bonus_cap) + tech_3_5*#REF! + tech_5_3*#REF! + tech_5_5*#REF!)*spec_dp_plat,0)</f>
        <v>#REF!</v>
      </c>
      <c r="BL106" s="39" t="e">
        <f>ROUNDUP(IF(race="Gnome",1,(1-MIN(#REF!*smithy_bonus,smithy_bonus_cap) + tech_3_5*#REF! + tech_5_3*#REF! + tech_5_5*#REF!))*spec_dp_ore,0)</f>
        <v>#REF!</v>
      </c>
      <c r="BM106" s="39" t="e">
        <f>ROUNDUP((1-MIN(#REF!*smithy_bonus,smithy_bonus_cap) + tech_3_5*#REF! + tech_5_3*#REF! + tech_5_5*#REF!)*elite1_plat,0)</f>
        <v>#REF!</v>
      </c>
      <c r="BN106" s="39" t="e">
        <f>ROUNDUP(IF(race="Gnome",1,(1-MIN(#REF!*smithy_bonus,smithy_bonus_cap) + tech_3_5*#REF! + tech_5_3*#REF! + tech_5_5*#REF!))*elite1_ore,0)</f>
        <v>#REF!</v>
      </c>
      <c r="BO106" s="39" t="e">
        <f>ROUNDUP((1-MIN(#REF!*smithy_bonus,smithy_bonus_cap) + tech_3_5*#REF! + tech_5_3*#REF! + tech_5_5*#REF!)*elite2_plat,0)</f>
        <v>#REF!</v>
      </c>
      <c r="BP106" s="39" t="e">
        <f>ROUNDUP(IF(race="Gnome",1,(1-MIN(#REF!*smithy_bonus,smithy_bonus_cap) + tech_3_5*#REF! + tech_5_3*#REF! + tech_5_5*#REF!))*elite2_ore,0)</f>
        <v>#REF!</v>
      </c>
      <c r="BQ106" s="39" t="e">
        <f>ROUNDUP((1-MIN(ROUND(fh_spy_cost_red*#REF!,4),fh_spy_cost_cap)+ tech_1_9*#REF! + tech_9_1*#REF!)*spy_plat,0)</f>
        <v>#REF!</v>
      </c>
      <c r="BR106" s="39" t="e">
        <f>ROUNDUP((1-MIN(ROUND(fh_spy_cost_red*#REF!,4),fh_spy_cost_cap)+ tech_1_9*#REF! + tech_9_1*#REF!)*archspy_plat,0)</f>
        <v>#REF!</v>
      </c>
      <c r="BS106" s="39" t="e">
        <f>ROUNDUP((1-MIN(ROUND(wg_wiz_cost_bonus*#REF!,4),wg_wiz_cost_cap) + tech_1_9_2*#REF! + tech_9_1_2*#REF!)*wizard_plat,0)</f>
        <v>#REF!</v>
      </c>
      <c r="BT106" s="39" t="e">
        <f>ROUNDUP((1-MIN(ROUND(wg_wiz_cost_bonus*#REF!,4),wg_wiz_cost_cap) + tech_1_9_2*#REF! + tech_9_1_2*#REF!)*archmage_plat,0)</f>
        <v>#REF!</v>
      </c>
      <c r="BU106" s="134"/>
      <c r="BV106" s="132" t="e">
        <f>#REF!/#REF!</f>
        <v>#REF!</v>
      </c>
      <c r="BW106" s="132" t="e">
        <f>#REF!</f>
        <v>#REF!</v>
      </c>
      <c r="BX106" s="241" t="e">
        <f>IF(mystic_cap="none",#REF!/mystic_bonus,MIN(mystic_cap,#REF!/mystic_bonus))</f>
        <v>#REF!</v>
      </c>
      <c r="BY106" s="241" t="e">
        <f>IF(druid_op_cap="none",#REF!/druid_op_bonus,MIN(druid_op_cap,#REF!/druid_op_bonus))</f>
        <v>#REF!</v>
      </c>
      <c r="BZ106" s="241" t="e">
        <f>IF(druid_dp_cap="none",#REF!/druid_dp_bonus,MIN(druid_dp_cap,#REF!/druid_dp_bonus))</f>
        <v>#REF!</v>
      </c>
      <c r="CA106" s="241" t="e">
        <f>MIN(dryad_cap,#REF!/dryad_bonus)</f>
        <v>#REF!</v>
      </c>
      <c r="CB106" s="241" t="e">
        <f>MIN(rocka_cap,#REF!/rocka_bonus)</f>
        <v>#REF!</v>
      </c>
      <c r="CC106" s="241" t="e">
        <f>MIN(adept_op_cap,#REF!/adept_op_bonus)</f>
        <v>#REF!</v>
      </c>
      <c r="CD106" s="241" t="e">
        <f>MIN(adept_dp_cap,#REF!/adept_dp_bonus)</f>
        <v>#REF!</v>
      </c>
      <c r="CE106" s="39" t="e">
        <f>MIN(#REF!,#REF!)*2</f>
        <v>#REF!</v>
      </c>
      <c r="CF106" s="39" t="e">
        <f>MIN(#REF!,#REF!)*2</f>
        <v>#REF!</v>
      </c>
      <c r="CG106" s="241" t="e">
        <f>MIN(frost_mage_cap,#REF!/frost_mage_bonus)</f>
        <v>#REF!</v>
      </c>
      <c r="CH106" s="3" t="e">
        <f>MIN(ice_elem_cap,#REF!*ice_elem_bonus)</f>
        <v>#REF!</v>
      </c>
      <c r="CI106" s="241">
        <f t="shared" si="4"/>
        <v>0.83333333333333337</v>
      </c>
      <c r="CJ106" s="241" t="e">
        <f>MIN(nox_nightshade_cap,#REF!/#REF!/nox_nightshade_swamp_bonus)</f>
        <v>#REF!</v>
      </c>
      <c r="CK106" s="242"/>
      <c r="CL106" s="242"/>
      <c r="CM106" s="242"/>
      <c r="CN106" s="241" t="e">
        <f>MIN(6,#REF!+Races!$F$19)*1.8 +  IF(#REF!+Races!$F$19&gt;6,(#REF!+Races!$F$19-6)*0.2,0) - Races!$I$19</f>
        <v>#REF!</v>
      </c>
      <c r="CO106" s="241" t="e">
        <f>1.8 * MIN(MAX(#REF!+Races!$E$20,#REF!+Races!$F$20),6)  +  0.45 * MIN(MIN(#REF!+Races!$E$20,#REF!+Races!$F$20),6)  +  0.2 * ( MAX(#REF!+Races!$E$20-6,0) + MAX(#REF!+Races!$F$20-6,0) )  -  Races!$I$20</f>
        <v>#REF!</v>
      </c>
      <c r="CP106" s="39" t="e">
        <f>#REF!*#REF!+#REF!*#REF!</f>
        <v>#REF!</v>
      </c>
      <c r="CQ106" s="145" t="e">
        <f>MIN(6,#REF!+Races!$F$35)*1.8 +  IF(#REF!+Races!$F$35&gt;6,(#REF!+Races!$F$35-6)*0.2,0) - Races!$I$19</f>
        <v>#REF!</v>
      </c>
      <c r="CR106" s="39" t="e">
        <f>sylvan*(#REF!*#REF!)</f>
        <v>#REF!</v>
      </c>
      <c r="CS106" s="145" t="e">
        <f>1.8 * MIN(MAX(Races!$E$27,#REF!+Races!$F$27),6)  +  0.45 * MIN(MIN(Races!$E$27,#REF!+Races!$F$27),6)  +  0.2 * ( MAX(Races!$E$27-6,0) + MAX(#REF!+Races!$F$27-6,0) )  -  Races!$I$20</f>
        <v>#REF!</v>
      </c>
      <c r="CT106" s="39" t="e">
        <f>gnome*(#REF!*#REF!)</f>
        <v>#REF!</v>
      </c>
      <c r="CU106" s="145" t="e">
        <f>1.8 * MIN(MAX(#REF!+Races!$E$47,#REF!+Races!$F$47),6)  +  0.45 * MIN(MIN(#REF!+Races!$E$47,#REF!+Races!$F$47),6)  +  0.2 * ( MAX(#REF!+Races!$E$47-6,0) + MAX(#REF!+Races!$F$47-6,0) )  -  Races!$I$47</f>
        <v>#REF!</v>
      </c>
      <c r="CV106" s="39" t="e">
        <f>dark_elf*(#REF!*#REF!)</f>
        <v>#REF!</v>
      </c>
      <c r="CW106" s="145" t="e">
        <f>1.8 * MIN(MAX(#REF!+Races!$F$71,Races!$E$71),6)  +  0.45 * MIN(MIN(#REF!+Races!$F$71,Races!$E$71),6)  +  0.2 * ( MAX(#REF!+Races!$F$71-6,0) + MAX(Races!$E$71-6,0) )  -  Races!$I$71</f>
        <v>#REF!</v>
      </c>
      <c r="CX106" s="145" t="e">
        <f>1.8 * MIN(MAX(#REF!+Races!$E$71,Races!$F$71),6)  +  0.45 * MIN(MIN(#REF!+Races!$E$71,Races!$F$71),6)  +  0.2 * ( MAX(#REF!+Races!$E$71-6,0) + MAX(Races!$F$71-6,0) )  -  Races!$I$71</f>
        <v>#REF!</v>
      </c>
      <c r="CY106" s="39" t="e">
        <f>#REF!*#REF!+#REF!*#REF!</f>
        <v>#REF!</v>
      </c>
      <c r="CZ106" s="243"/>
      <c r="DA106" s="135" t="e">
        <f>MIN(SUM(#REF!)/#REF!/favorable_terrain_bonus/100,favorable_terrain_max)</f>
        <v>#REF!</v>
      </c>
      <c r="DB106" s="243"/>
      <c r="DC106"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06" s="134"/>
      <c r="DE106" s="244" t="e">
        <f>(#REF!+2*#REF!)/#REF!</f>
        <v>#REF!</v>
      </c>
      <c r="DF106" s="244" t="e">
        <f>#REF!*(1+race_wizard_strength+IF(#REF!&gt;72,tech_magical_weaponry_wiz*#REF!,0))</f>
        <v>#REF!</v>
      </c>
    </row>
    <row r="107" spans="1:110" x14ac:dyDescent="0.25">
      <c r="A107" s="130" t="e">
        <f>#REF!</f>
        <v>#REF!</v>
      </c>
      <c r="B107" s="236" t="e">
        <f ca="1">SUM(#REF!)+SUM(OFFSET(#REF!,-8,0):#REF!) + SUM(OFFSET(#REF!,-11,0):#REF!) +#REF!</f>
        <v>#REF!</v>
      </c>
      <c r="C107" s="132" t="e">
        <f>#REF!</f>
        <v>#REF!</v>
      </c>
      <c r="D107" s="134"/>
      <c r="E107" s="3" t="e">
        <f ca="1">OFFSET(#REF!,-1,0) + OFFSET(#REF!,-9,0) -#REF!</f>
        <v>#REF!</v>
      </c>
      <c r="F107" s="3" t="e">
        <f ca="1">OFFSET(#REF!,-1,0) + OFFSET(#REF!,-9,0)-#REF!</f>
        <v>#REF!</v>
      </c>
      <c r="G107" s="3" t="e">
        <f ca="1">OFFSET(#REF!,-1,0) + OFFSET(#REF!,-12,0)-#REF!</f>
        <v>#REF!</v>
      </c>
      <c r="H107" s="3" t="e">
        <f ca="1">OFFSET(#REF!,-1,0) + OFFSET(#REF!,-12,0)-#REF!</f>
        <v>#REF!</v>
      </c>
      <c r="I107" s="3" t="e">
        <f ca="1">OFFSET(#REF!,-1,0) + OFFSET(#REF!,-12,0) -#REF!-#REF!</f>
        <v>#REF!</v>
      </c>
      <c r="J107" s="3" t="e">
        <f ca="1">OFFSET(#REF!,-1,0) + OFFSET(#REF!,-12,0) -#REF!</f>
        <v>#REF!</v>
      </c>
      <c r="K107" s="3" t="e">
        <f ca="1">OFFSET(#REF!,-1,0) + OFFSET(#REF!,-12,0) -#REF!-#REF!</f>
        <v>#REF!</v>
      </c>
      <c r="L107" s="3" t="e">
        <f ca="1">OFFSET(#REF!,-1,0) + OFFSET(#REF!,-12,0) -#REF!</f>
        <v>#REF!</v>
      </c>
      <c r="M107" s="134"/>
      <c r="N107" s="39" t="e">
        <f>#REF!</f>
        <v>#REF!</v>
      </c>
      <c r="O107" s="134"/>
      <c r="P107" s="237" t="e">
        <f>#REF!*spec_op+#REF!*(elite1_base_op)+#REF!*(elite2_base_op+dark_elf*#REF!+icekin*#REF!+woodie*#REF!+orc*#REF!)+kobold*#REF!</f>
        <v>#REF!</v>
      </c>
      <c r="Q107" s="132" t="e">
        <f>race_offense+#REF!+ROUND(MIN(gn_bonus*#REF!/#REF!,gn_bonus_cap),4)+MAX(IF(#REF!&gt;0,warsong_bonus),IF(#REF!&gt;0,howling_op_bonus),IF(#REF!&gt;0,nightfall_bonus),IF(#REF!&gt;0,#REF!)) +#REF!/ 100*prestige_offense_bonus + tech_5_4*#REF! + tech_7_4*#REF!</f>
        <v>#REF!</v>
      </c>
      <c r="R107" s="237" t="e">
        <f>#REF!*(1+#REF!)</f>
        <v>#REF!</v>
      </c>
      <c r="S107" s="237" t="e">
        <f>#REF!*spec_dp+#REF!*(elite1_base_dp+woodie*#REF!+sylvan*#REF!+gnome*#REF!+icekin*#REF!+nox*#REF!)+#REF!*(elite2_base_dp+woodie*#REF!) + fh_peas_dp*MIN(#REF!,20*#REF!)+kobold*#REF!</f>
        <v>#REF!</v>
      </c>
      <c r="T107" s="237" t="e">
        <f>#REF!+#REF!</f>
        <v>#REF!</v>
      </c>
      <c r="U107" s="238" t="e">
        <f>race_defense +#REF! + ROUND( MIN(gt_bonus*#REF!/#REF!,gt_bonus_cap), 4) + IF(#REF!&gt;0,howling_dp_bonus,IF(#REF!&gt;0,ares_call_bonus))</f>
        <v>#REF!</v>
      </c>
      <c r="V107" s="239" t="e">
        <f>#REF! * (1 +#REF!)</f>
        <v>#REF!</v>
      </c>
      <c r="W107" s="237" t="e">
        <f>#REF! * (1 +#REF!)</f>
        <v>#REF!</v>
      </c>
      <c r="X107" s="237" t="e">
        <f>#REF!</f>
        <v>#REF!</v>
      </c>
      <c r="Y107" s="240"/>
      <c r="Z107" s="135" t="e">
        <f ca="1">IF(#REF!&lt;&gt;"",#REF!,OFFSET(#REF!,-1,0))</f>
        <v>#REF!</v>
      </c>
      <c r="AA107" s="39" t="e">
        <f ca="1">OFFSET(#REF!,-1,0)+OFFSET(#REF!,-1,0) - SUM(#REF!,#REF!) -#REF! + SUM(#REF!) -#REF!</f>
        <v>#REF!</v>
      </c>
      <c r="AB107" s="133"/>
      <c r="AC107" s="132" t="e">
        <f>(#REF!+#REF!)/(#REF!-#REF!*20)</f>
        <v>#REF!</v>
      </c>
      <c r="AD107" s="130"/>
      <c r="AE107" s="236" t="e">
        <f>#REF!</f>
        <v>#REF!</v>
      </c>
      <c r="AF107" s="131" t="e">
        <f>#REF!</f>
        <v>#REF!</v>
      </c>
      <c r="AG107" s="164"/>
      <c r="AH107" s="164"/>
      <c r="AI107" s="164"/>
      <c r="AJ107" s="164"/>
      <c r="AK107" s="164"/>
      <c r="AL107" s="164"/>
      <c r="AM107" s="164"/>
      <c r="AN107" s="164"/>
      <c r="AO107" s="134"/>
      <c r="AP107" s="39" t="e">
        <f>#REF!</f>
        <v>#REF!</v>
      </c>
      <c r="AQ107" s="39" t="e">
        <f>INDEX(#REF!:#REF!,COUNTA(#REF!:#REF!),MATCH(Military!$AQ$2,#REF!,0))</f>
        <v>#REF!</v>
      </c>
      <c r="AR107" s="39" t="e">
        <f>#REF!*#REF!+#REF!*#REF!+#REF!*#REF!+#REF!*#REF!+#REF!*#REF!+#REF!*#REF!+#REF!*#REF!</f>
        <v>#REF!</v>
      </c>
      <c r="AS107" s="39" t="e">
        <f>#REF!*#REF!+#REF!*#REF!+#REF!*#REF!+#REF!*#REF!</f>
        <v>#REF!</v>
      </c>
      <c r="AT107" s="134" t="e">
        <f>#REF!</f>
        <v>#REF!</v>
      </c>
      <c r="AU107" s="143" t="e">
        <f>#REF!</f>
        <v>#REF!</v>
      </c>
      <c r="AV107" s="39" t="e">
        <f>#REF!</f>
        <v>#REF!</v>
      </c>
      <c r="AW107" s="164"/>
      <c r="AX107" s="164"/>
      <c r="AY107" s="164"/>
      <c r="AZ107" s="164"/>
      <c r="BA107" s="164"/>
      <c r="BB107" s="164"/>
      <c r="BC107" s="164"/>
      <c r="BD107" s="164"/>
      <c r="BE107" s="164"/>
      <c r="BF107" s="134"/>
      <c r="BG107" s="132" t="e">
        <f>#REF!/#REF!</f>
        <v>#REF!</v>
      </c>
      <c r="BH107" s="132" t="e">
        <f>#REF!/#REF!</f>
        <v>#REF!</v>
      </c>
      <c r="BI107" s="39" t="e">
        <f>ROUNDUP((1-MIN(#REF!*smithy_bonus,smithy_bonus_cap) + tech_3_5*#REF! + tech_5_3*#REF! + tech_5_5*#REF!)*spec_op_plat,0)</f>
        <v>#REF!</v>
      </c>
      <c r="BJ107" s="39" t="e">
        <f>ROUNDUP(IF(race="Gnome",1,(1-MIN(#REF!*smithy_bonus,smithy_bonus_cap) + tech_3_5*#REF! + tech_5_3*#REF! + tech_5_5*#REF!))*spec_op_ore,0)</f>
        <v>#REF!</v>
      </c>
      <c r="BK107" s="39" t="e">
        <f>ROUNDUP((1-MIN(#REF!*smithy_bonus,smithy_bonus_cap) + tech_3_5*#REF! + tech_5_3*#REF! + tech_5_5*#REF!)*spec_dp_plat,0)</f>
        <v>#REF!</v>
      </c>
      <c r="BL107" s="39" t="e">
        <f>ROUNDUP(IF(race="Gnome",1,(1-MIN(#REF!*smithy_bonus,smithy_bonus_cap) + tech_3_5*#REF! + tech_5_3*#REF! + tech_5_5*#REF!))*spec_dp_ore,0)</f>
        <v>#REF!</v>
      </c>
      <c r="BM107" s="39" t="e">
        <f>ROUNDUP((1-MIN(#REF!*smithy_bonus,smithy_bonus_cap) + tech_3_5*#REF! + tech_5_3*#REF! + tech_5_5*#REF!)*elite1_plat,0)</f>
        <v>#REF!</v>
      </c>
      <c r="BN107" s="39" t="e">
        <f>ROUNDUP(IF(race="Gnome",1,(1-MIN(#REF!*smithy_bonus,smithy_bonus_cap) + tech_3_5*#REF! + tech_5_3*#REF! + tech_5_5*#REF!))*elite1_ore,0)</f>
        <v>#REF!</v>
      </c>
      <c r="BO107" s="39" t="e">
        <f>ROUNDUP((1-MIN(#REF!*smithy_bonus,smithy_bonus_cap) + tech_3_5*#REF! + tech_5_3*#REF! + tech_5_5*#REF!)*elite2_plat,0)</f>
        <v>#REF!</v>
      </c>
      <c r="BP107" s="39" t="e">
        <f>ROUNDUP(IF(race="Gnome",1,(1-MIN(#REF!*smithy_bonus,smithy_bonus_cap) + tech_3_5*#REF! + tech_5_3*#REF! + tech_5_5*#REF!))*elite2_ore,0)</f>
        <v>#REF!</v>
      </c>
      <c r="BQ107" s="39" t="e">
        <f>ROUNDUP((1-MIN(ROUND(fh_spy_cost_red*#REF!,4),fh_spy_cost_cap)+ tech_1_9*#REF! + tech_9_1*#REF!)*spy_plat,0)</f>
        <v>#REF!</v>
      </c>
      <c r="BR107" s="39" t="e">
        <f>ROUNDUP((1-MIN(ROUND(fh_spy_cost_red*#REF!,4),fh_spy_cost_cap)+ tech_1_9*#REF! + tech_9_1*#REF!)*archspy_plat,0)</f>
        <v>#REF!</v>
      </c>
      <c r="BS107" s="39" t="e">
        <f>ROUNDUP((1-MIN(ROUND(wg_wiz_cost_bonus*#REF!,4),wg_wiz_cost_cap) + tech_1_9_2*#REF! + tech_9_1_2*#REF!)*wizard_plat,0)</f>
        <v>#REF!</v>
      </c>
      <c r="BT107" s="39" t="e">
        <f>ROUNDUP((1-MIN(ROUND(wg_wiz_cost_bonus*#REF!,4),wg_wiz_cost_cap) + tech_1_9_2*#REF! + tech_9_1_2*#REF!)*archmage_plat,0)</f>
        <v>#REF!</v>
      </c>
      <c r="BU107" s="134"/>
      <c r="BV107" s="132" t="e">
        <f>#REF!/#REF!</f>
        <v>#REF!</v>
      </c>
      <c r="BW107" s="132" t="e">
        <f>#REF!</f>
        <v>#REF!</v>
      </c>
      <c r="BX107" s="241" t="e">
        <f>IF(mystic_cap="none",#REF!/mystic_bonus,MIN(mystic_cap,#REF!/mystic_bonus))</f>
        <v>#REF!</v>
      </c>
      <c r="BY107" s="241" t="e">
        <f>IF(druid_op_cap="none",#REF!/druid_op_bonus,MIN(druid_op_cap,#REF!/druid_op_bonus))</f>
        <v>#REF!</v>
      </c>
      <c r="BZ107" s="241" t="e">
        <f>IF(druid_dp_cap="none",#REF!/druid_dp_bonus,MIN(druid_dp_cap,#REF!/druid_dp_bonus))</f>
        <v>#REF!</v>
      </c>
      <c r="CA107" s="241" t="e">
        <f>MIN(dryad_cap,#REF!/dryad_bonus)</f>
        <v>#REF!</v>
      </c>
      <c r="CB107" s="241" t="e">
        <f>MIN(rocka_cap,#REF!/rocka_bonus)</f>
        <v>#REF!</v>
      </c>
      <c r="CC107" s="241" t="e">
        <f>MIN(adept_op_cap,#REF!/adept_op_bonus)</f>
        <v>#REF!</v>
      </c>
      <c r="CD107" s="241" t="e">
        <f>MIN(adept_dp_cap,#REF!/adept_dp_bonus)</f>
        <v>#REF!</v>
      </c>
      <c r="CE107" s="39" t="e">
        <f>MIN(#REF!,#REF!)*2</f>
        <v>#REF!</v>
      </c>
      <c r="CF107" s="39" t="e">
        <f>MIN(#REF!,#REF!)*2</f>
        <v>#REF!</v>
      </c>
      <c r="CG107" s="241" t="e">
        <f>MIN(frost_mage_cap,#REF!/frost_mage_bonus)</f>
        <v>#REF!</v>
      </c>
      <c r="CH107" s="3" t="e">
        <f>MIN(ice_elem_cap,#REF!*ice_elem_bonus)</f>
        <v>#REF!</v>
      </c>
      <c r="CI107" s="241">
        <f t="shared" si="4"/>
        <v>0.83333333333333337</v>
      </c>
      <c r="CJ107" s="241" t="e">
        <f>MIN(nox_nightshade_cap,#REF!/#REF!/nox_nightshade_swamp_bonus)</f>
        <v>#REF!</v>
      </c>
      <c r="CK107" s="242"/>
      <c r="CL107" s="242"/>
      <c r="CM107" s="242"/>
      <c r="CN107" s="241" t="e">
        <f>MIN(6,#REF!+Races!$F$19)*1.8 +  IF(#REF!+Races!$F$19&gt;6,(#REF!+Races!$F$19-6)*0.2,0) - Races!$I$19</f>
        <v>#REF!</v>
      </c>
      <c r="CO107" s="241" t="e">
        <f>1.8 * MIN(MAX(#REF!+Races!$E$20,#REF!+Races!$F$20),6)  +  0.45 * MIN(MIN(#REF!+Races!$E$20,#REF!+Races!$F$20),6)  +  0.2 * ( MAX(#REF!+Races!$E$20-6,0) + MAX(#REF!+Races!$F$20-6,0) )  -  Races!$I$20</f>
        <v>#REF!</v>
      </c>
      <c r="CP107" s="39" t="e">
        <f>#REF!*#REF!+#REF!*#REF!</f>
        <v>#REF!</v>
      </c>
      <c r="CQ107" s="145" t="e">
        <f>MIN(6,#REF!+Races!$F$35)*1.8 +  IF(#REF!+Races!$F$35&gt;6,(#REF!+Races!$F$35-6)*0.2,0) - Races!$I$19</f>
        <v>#REF!</v>
      </c>
      <c r="CR107" s="39" t="e">
        <f>sylvan*(#REF!*#REF!)</f>
        <v>#REF!</v>
      </c>
      <c r="CS107" s="145" t="e">
        <f>1.8 * MIN(MAX(Races!$E$27,#REF!+Races!$F$27),6)  +  0.45 * MIN(MIN(Races!$E$27,#REF!+Races!$F$27),6)  +  0.2 * ( MAX(Races!$E$27-6,0) + MAX(#REF!+Races!$F$27-6,0) )  -  Races!$I$20</f>
        <v>#REF!</v>
      </c>
      <c r="CT107" s="39" t="e">
        <f>gnome*(#REF!*#REF!)</f>
        <v>#REF!</v>
      </c>
      <c r="CU107" s="145" t="e">
        <f>1.8 * MIN(MAX(#REF!+Races!$E$47,#REF!+Races!$F$47),6)  +  0.45 * MIN(MIN(#REF!+Races!$E$47,#REF!+Races!$F$47),6)  +  0.2 * ( MAX(#REF!+Races!$E$47-6,0) + MAX(#REF!+Races!$F$47-6,0) )  -  Races!$I$47</f>
        <v>#REF!</v>
      </c>
      <c r="CV107" s="39" t="e">
        <f>dark_elf*(#REF!*#REF!)</f>
        <v>#REF!</v>
      </c>
      <c r="CW107" s="145" t="e">
        <f>1.8 * MIN(MAX(#REF!+Races!$F$71,Races!$E$71),6)  +  0.45 * MIN(MIN(#REF!+Races!$F$71,Races!$E$71),6)  +  0.2 * ( MAX(#REF!+Races!$F$71-6,0) + MAX(Races!$E$71-6,0) )  -  Races!$I$71</f>
        <v>#REF!</v>
      </c>
      <c r="CX107" s="145" t="e">
        <f>1.8 * MIN(MAX(#REF!+Races!$E$71,Races!$F$71),6)  +  0.45 * MIN(MIN(#REF!+Races!$E$71,Races!$F$71),6)  +  0.2 * ( MAX(#REF!+Races!$E$71-6,0) + MAX(Races!$F$71-6,0) )  -  Races!$I$71</f>
        <v>#REF!</v>
      </c>
      <c r="CY107" s="39" t="e">
        <f>#REF!*#REF!+#REF!*#REF!</f>
        <v>#REF!</v>
      </c>
      <c r="CZ107" s="243"/>
      <c r="DA107" s="135" t="e">
        <f>MIN(SUM(#REF!)/#REF!/favorable_terrain_bonus/100,favorable_terrain_max)</f>
        <v>#REF!</v>
      </c>
      <c r="DB107" s="243"/>
      <c r="DC107"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07" s="134"/>
      <c r="DE107" s="244" t="e">
        <f>(#REF!+2*#REF!)/#REF!</f>
        <v>#REF!</v>
      </c>
      <c r="DF107" s="244" t="e">
        <f>#REF!*(1+race_wizard_strength+IF(#REF!&gt;72,tech_magical_weaponry_wiz*#REF!,0))</f>
        <v>#REF!</v>
      </c>
    </row>
    <row r="108" spans="1:110" x14ac:dyDescent="0.25">
      <c r="A108" s="130" t="e">
        <f>#REF!</f>
        <v>#REF!</v>
      </c>
      <c r="B108" s="236" t="e">
        <f ca="1">SUM(#REF!)+SUM(OFFSET(#REF!,-8,0):#REF!) + SUM(OFFSET(#REF!,-11,0):#REF!) +#REF!</f>
        <v>#REF!</v>
      </c>
      <c r="C108" s="132" t="e">
        <f>#REF!</f>
        <v>#REF!</v>
      </c>
      <c r="D108" s="134"/>
      <c r="E108" s="3" t="e">
        <f ca="1">OFFSET(#REF!,-1,0) + OFFSET(#REF!,-9,0) -#REF!</f>
        <v>#REF!</v>
      </c>
      <c r="F108" s="3" t="e">
        <f ca="1">OFFSET(#REF!,-1,0) + OFFSET(#REF!,-9,0)-#REF!</f>
        <v>#REF!</v>
      </c>
      <c r="G108" s="3" t="e">
        <f ca="1">OFFSET(#REF!,-1,0) + OFFSET(#REF!,-12,0)-#REF!</f>
        <v>#REF!</v>
      </c>
      <c r="H108" s="3" t="e">
        <f ca="1">OFFSET(#REF!,-1,0) + OFFSET(#REF!,-12,0)-#REF!</f>
        <v>#REF!</v>
      </c>
      <c r="I108" s="3" t="e">
        <f ca="1">OFFSET(#REF!,-1,0) + OFFSET(#REF!,-12,0) -#REF!-#REF!</f>
        <v>#REF!</v>
      </c>
      <c r="J108" s="3" t="e">
        <f ca="1">OFFSET(#REF!,-1,0) + OFFSET(#REF!,-12,0) -#REF!</f>
        <v>#REF!</v>
      </c>
      <c r="K108" s="3" t="e">
        <f ca="1">OFFSET(#REF!,-1,0) + OFFSET(#REF!,-12,0) -#REF!-#REF!</f>
        <v>#REF!</v>
      </c>
      <c r="L108" s="3" t="e">
        <f ca="1">OFFSET(#REF!,-1,0) + OFFSET(#REF!,-12,0) -#REF!</f>
        <v>#REF!</v>
      </c>
      <c r="M108" s="134"/>
      <c r="N108" s="39" t="e">
        <f>#REF!</f>
        <v>#REF!</v>
      </c>
      <c r="O108" s="134"/>
      <c r="P108" s="237" t="e">
        <f>#REF!*spec_op+#REF!*(elite1_base_op)+#REF!*(elite2_base_op+dark_elf*#REF!+icekin*#REF!+woodie*#REF!+orc*#REF!)+kobold*#REF!</f>
        <v>#REF!</v>
      </c>
      <c r="Q108" s="132" t="e">
        <f>race_offense+#REF!+ROUND(MIN(gn_bonus*#REF!/#REF!,gn_bonus_cap),4)+MAX(IF(#REF!&gt;0,warsong_bonus),IF(#REF!&gt;0,howling_op_bonus),IF(#REF!&gt;0,nightfall_bonus),IF(#REF!&gt;0,#REF!)) +#REF!/ 100*prestige_offense_bonus + tech_5_4*#REF! + tech_7_4*#REF!</f>
        <v>#REF!</v>
      </c>
      <c r="R108" s="237" t="e">
        <f>#REF!*(1+#REF!)</f>
        <v>#REF!</v>
      </c>
      <c r="S108" s="237" t="e">
        <f>#REF!*spec_dp+#REF!*(elite1_base_dp+woodie*#REF!+sylvan*#REF!+gnome*#REF!+icekin*#REF!+nox*#REF!)+#REF!*(elite2_base_dp+woodie*#REF!) + fh_peas_dp*MIN(#REF!,20*#REF!)+kobold*#REF!</f>
        <v>#REF!</v>
      </c>
      <c r="T108" s="237" t="e">
        <f>#REF!+#REF!</f>
        <v>#REF!</v>
      </c>
      <c r="U108" s="238" t="e">
        <f>race_defense +#REF! + ROUND( MIN(gt_bonus*#REF!/#REF!,gt_bonus_cap), 4) + IF(#REF!&gt;0,howling_dp_bonus,IF(#REF!&gt;0,ares_call_bonus))</f>
        <v>#REF!</v>
      </c>
      <c r="V108" s="239" t="e">
        <f>#REF! * (1 +#REF!)</f>
        <v>#REF!</v>
      </c>
      <c r="W108" s="237" t="e">
        <f>#REF! * (1 +#REF!)</f>
        <v>#REF!</v>
      </c>
      <c r="X108" s="237" t="e">
        <f>#REF!</f>
        <v>#REF!</v>
      </c>
      <c r="Y108" s="240"/>
      <c r="Z108" s="135" t="e">
        <f ca="1">IF(#REF!&lt;&gt;"",#REF!,OFFSET(#REF!,-1,0))</f>
        <v>#REF!</v>
      </c>
      <c r="AA108" s="39" t="e">
        <f ca="1">OFFSET(#REF!,-1,0)+OFFSET(#REF!,-1,0) - SUM(#REF!,#REF!) -#REF! + SUM(#REF!) -#REF!</f>
        <v>#REF!</v>
      </c>
      <c r="AB108" s="133"/>
      <c r="AC108" s="132" t="e">
        <f>(#REF!+#REF!)/(#REF!-#REF!*20)</f>
        <v>#REF!</v>
      </c>
      <c r="AD108" s="130"/>
      <c r="AE108" s="236" t="e">
        <f>#REF!</f>
        <v>#REF!</v>
      </c>
      <c r="AF108" s="131" t="e">
        <f>#REF!</f>
        <v>#REF!</v>
      </c>
      <c r="AG108" s="164"/>
      <c r="AH108" s="164"/>
      <c r="AI108" s="164"/>
      <c r="AJ108" s="164"/>
      <c r="AK108" s="164"/>
      <c r="AL108" s="164"/>
      <c r="AM108" s="164"/>
      <c r="AN108" s="164"/>
      <c r="AO108" s="134"/>
      <c r="AP108" s="39" t="e">
        <f>#REF!</f>
        <v>#REF!</v>
      </c>
      <c r="AQ108" s="39" t="e">
        <f>INDEX(#REF!:#REF!,COUNTA(#REF!:#REF!),MATCH(Military!$AQ$2,#REF!,0))</f>
        <v>#REF!</v>
      </c>
      <c r="AR108" s="39" t="e">
        <f>#REF!*#REF!+#REF!*#REF!+#REF!*#REF!+#REF!*#REF!+#REF!*#REF!+#REF!*#REF!+#REF!*#REF!</f>
        <v>#REF!</v>
      </c>
      <c r="AS108" s="39" t="e">
        <f>#REF!*#REF!+#REF!*#REF!+#REF!*#REF!+#REF!*#REF!</f>
        <v>#REF!</v>
      </c>
      <c r="AT108" s="134" t="e">
        <f>#REF!</f>
        <v>#REF!</v>
      </c>
      <c r="AU108" s="143" t="e">
        <f>#REF!</f>
        <v>#REF!</v>
      </c>
      <c r="AV108" s="39" t="e">
        <f>#REF!</f>
        <v>#REF!</v>
      </c>
      <c r="AW108" s="164"/>
      <c r="AX108" s="164"/>
      <c r="AY108" s="164"/>
      <c r="AZ108" s="164"/>
      <c r="BA108" s="164"/>
      <c r="BB108" s="164"/>
      <c r="BC108" s="164"/>
      <c r="BD108" s="164"/>
      <c r="BE108" s="164"/>
      <c r="BF108" s="134"/>
      <c r="BG108" s="132" t="e">
        <f>#REF!/#REF!</f>
        <v>#REF!</v>
      </c>
      <c r="BH108" s="132" t="e">
        <f>#REF!/#REF!</f>
        <v>#REF!</v>
      </c>
      <c r="BI108" s="39" t="e">
        <f>ROUNDUP((1-MIN(#REF!*smithy_bonus,smithy_bonus_cap) + tech_3_5*#REF! + tech_5_3*#REF! + tech_5_5*#REF!)*spec_op_plat,0)</f>
        <v>#REF!</v>
      </c>
      <c r="BJ108" s="39" t="e">
        <f>ROUNDUP(IF(race="Gnome",1,(1-MIN(#REF!*smithy_bonus,smithy_bonus_cap) + tech_3_5*#REF! + tech_5_3*#REF! + tech_5_5*#REF!))*spec_op_ore,0)</f>
        <v>#REF!</v>
      </c>
      <c r="BK108" s="39" t="e">
        <f>ROUNDUP((1-MIN(#REF!*smithy_bonus,smithy_bonus_cap) + tech_3_5*#REF! + tech_5_3*#REF! + tech_5_5*#REF!)*spec_dp_plat,0)</f>
        <v>#REF!</v>
      </c>
      <c r="BL108" s="39" t="e">
        <f>ROUNDUP(IF(race="Gnome",1,(1-MIN(#REF!*smithy_bonus,smithy_bonus_cap) + tech_3_5*#REF! + tech_5_3*#REF! + tech_5_5*#REF!))*spec_dp_ore,0)</f>
        <v>#REF!</v>
      </c>
      <c r="BM108" s="39" t="e">
        <f>ROUNDUP((1-MIN(#REF!*smithy_bonus,smithy_bonus_cap) + tech_3_5*#REF! + tech_5_3*#REF! + tech_5_5*#REF!)*elite1_plat,0)</f>
        <v>#REF!</v>
      </c>
      <c r="BN108" s="39" t="e">
        <f>ROUNDUP(IF(race="Gnome",1,(1-MIN(#REF!*smithy_bonus,smithy_bonus_cap) + tech_3_5*#REF! + tech_5_3*#REF! + tech_5_5*#REF!))*elite1_ore,0)</f>
        <v>#REF!</v>
      </c>
      <c r="BO108" s="39" t="e">
        <f>ROUNDUP((1-MIN(#REF!*smithy_bonus,smithy_bonus_cap) + tech_3_5*#REF! + tech_5_3*#REF! + tech_5_5*#REF!)*elite2_plat,0)</f>
        <v>#REF!</v>
      </c>
      <c r="BP108" s="39" t="e">
        <f>ROUNDUP(IF(race="Gnome",1,(1-MIN(#REF!*smithy_bonus,smithy_bonus_cap) + tech_3_5*#REF! + tech_5_3*#REF! + tech_5_5*#REF!))*elite2_ore,0)</f>
        <v>#REF!</v>
      </c>
      <c r="BQ108" s="39" t="e">
        <f>ROUNDUP((1-MIN(ROUND(fh_spy_cost_red*#REF!,4),fh_spy_cost_cap)+ tech_1_9*#REF! + tech_9_1*#REF!)*spy_plat,0)</f>
        <v>#REF!</v>
      </c>
      <c r="BR108" s="39" t="e">
        <f>ROUNDUP((1-MIN(ROUND(fh_spy_cost_red*#REF!,4),fh_spy_cost_cap)+ tech_1_9*#REF! + tech_9_1*#REF!)*archspy_plat,0)</f>
        <v>#REF!</v>
      </c>
      <c r="BS108" s="39" t="e">
        <f>ROUNDUP((1-MIN(ROUND(wg_wiz_cost_bonus*#REF!,4),wg_wiz_cost_cap) + tech_1_9_2*#REF! + tech_9_1_2*#REF!)*wizard_plat,0)</f>
        <v>#REF!</v>
      </c>
      <c r="BT108" s="39" t="e">
        <f>ROUNDUP((1-MIN(ROUND(wg_wiz_cost_bonus*#REF!,4),wg_wiz_cost_cap) + tech_1_9_2*#REF! + tech_9_1_2*#REF!)*archmage_plat,0)</f>
        <v>#REF!</v>
      </c>
      <c r="BU108" s="134"/>
      <c r="BV108" s="132" t="e">
        <f>#REF!/#REF!</f>
        <v>#REF!</v>
      </c>
      <c r="BW108" s="132" t="e">
        <f>#REF!</f>
        <v>#REF!</v>
      </c>
      <c r="BX108" s="241" t="e">
        <f>IF(mystic_cap="none",#REF!/mystic_bonus,MIN(mystic_cap,#REF!/mystic_bonus))</f>
        <v>#REF!</v>
      </c>
      <c r="BY108" s="241" t="e">
        <f>IF(druid_op_cap="none",#REF!/druid_op_bonus,MIN(druid_op_cap,#REF!/druid_op_bonus))</f>
        <v>#REF!</v>
      </c>
      <c r="BZ108" s="241" t="e">
        <f>IF(druid_dp_cap="none",#REF!/druid_dp_bonus,MIN(druid_dp_cap,#REF!/druid_dp_bonus))</f>
        <v>#REF!</v>
      </c>
      <c r="CA108" s="241" t="e">
        <f>MIN(dryad_cap,#REF!/dryad_bonus)</f>
        <v>#REF!</v>
      </c>
      <c r="CB108" s="241" t="e">
        <f>MIN(rocka_cap,#REF!/rocka_bonus)</f>
        <v>#REF!</v>
      </c>
      <c r="CC108" s="241" t="e">
        <f>MIN(adept_op_cap,#REF!/adept_op_bonus)</f>
        <v>#REF!</v>
      </c>
      <c r="CD108" s="241" t="e">
        <f>MIN(adept_dp_cap,#REF!/adept_dp_bonus)</f>
        <v>#REF!</v>
      </c>
      <c r="CE108" s="39" t="e">
        <f>MIN(#REF!,#REF!)*2</f>
        <v>#REF!</v>
      </c>
      <c r="CF108" s="39" t="e">
        <f>MIN(#REF!,#REF!)*2</f>
        <v>#REF!</v>
      </c>
      <c r="CG108" s="241" t="e">
        <f>MIN(frost_mage_cap,#REF!/frost_mage_bonus)</f>
        <v>#REF!</v>
      </c>
      <c r="CH108" s="3" t="e">
        <f>MIN(ice_elem_cap,#REF!*ice_elem_bonus)</f>
        <v>#REF!</v>
      </c>
      <c r="CI108" s="241">
        <f t="shared" si="4"/>
        <v>0.83333333333333337</v>
      </c>
      <c r="CJ108" s="241" t="e">
        <f>MIN(nox_nightshade_cap,#REF!/#REF!/nox_nightshade_swamp_bonus)</f>
        <v>#REF!</v>
      </c>
      <c r="CK108" s="242"/>
      <c r="CL108" s="242"/>
      <c r="CM108" s="242"/>
      <c r="CN108" s="241" t="e">
        <f>MIN(6,#REF!+Races!$F$19)*1.8 +  IF(#REF!+Races!$F$19&gt;6,(#REF!+Races!$F$19-6)*0.2,0) - Races!$I$19</f>
        <v>#REF!</v>
      </c>
      <c r="CO108" s="241" t="e">
        <f>1.8 * MIN(MAX(#REF!+Races!$E$20,#REF!+Races!$F$20),6)  +  0.45 * MIN(MIN(#REF!+Races!$E$20,#REF!+Races!$F$20),6)  +  0.2 * ( MAX(#REF!+Races!$E$20-6,0) + MAX(#REF!+Races!$F$20-6,0) )  -  Races!$I$20</f>
        <v>#REF!</v>
      </c>
      <c r="CP108" s="39" t="e">
        <f>#REF!*#REF!+#REF!*#REF!</f>
        <v>#REF!</v>
      </c>
      <c r="CQ108" s="145" t="e">
        <f>MIN(6,#REF!+Races!$F$35)*1.8 +  IF(#REF!+Races!$F$35&gt;6,(#REF!+Races!$F$35-6)*0.2,0) - Races!$I$19</f>
        <v>#REF!</v>
      </c>
      <c r="CR108" s="39" t="e">
        <f>sylvan*(#REF!*#REF!)</f>
        <v>#REF!</v>
      </c>
      <c r="CS108" s="145" t="e">
        <f>1.8 * MIN(MAX(Races!$E$27,#REF!+Races!$F$27),6)  +  0.45 * MIN(MIN(Races!$E$27,#REF!+Races!$F$27),6)  +  0.2 * ( MAX(Races!$E$27-6,0) + MAX(#REF!+Races!$F$27-6,0) )  -  Races!$I$20</f>
        <v>#REF!</v>
      </c>
      <c r="CT108" s="39" t="e">
        <f>gnome*(#REF!*#REF!)</f>
        <v>#REF!</v>
      </c>
      <c r="CU108" s="145" t="e">
        <f>1.8 * MIN(MAX(#REF!+Races!$E$47,#REF!+Races!$F$47),6)  +  0.45 * MIN(MIN(#REF!+Races!$E$47,#REF!+Races!$F$47),6)  +  0.2 * ( MAX(#REF!+Races!$E$47-6,0) + MAX(#REF!+Races!$F$47-6,0) )  -  Races!$I$47</f>
        <v>#REF!</v>
      </c>
      <c r="CV108" s="39" t="e">
        <f>dark_elf*(#REF!*#REF!)</f>
        <v>#REF!</v>
      </c>
      <c r="CW108" s="145" t="e">
        <f>1.8 * MIN(MAX(#REF!+Races!$F$71,Races!$E$71),6)  +  0.45 * MIN(MIN(#REF!+Races!$F$71,Races!$E$71),6)  +  0.2 * ( MAX(#REF!+Races!$F$71-6,0) + MAX(Races!$E$71-6,0) )  -  Races!$I$71</f>
        <v>#REF!</v>
      </c>
      <c r="CX108" s="145" t="e">
        <f>1.8 * MIN(MAX(#REF!+Races!$E$71,Races!$F$71),6)  +  0.45 * MIN(MIN(#REF!+Races!$E$71,Races!$F$71),6)  +  0.2 * ( MAX(#REF!+Races!$E$71-6,0) + MAX(Races!$F$71-6,0) )  -  Races!$I$71</f>
        <v>#REF!</v>
      </c>
      <c r="CY108" s="39" t="e">
        <f>#REF!*#REF!+#REF!*#REF!</f>
        <v>#REF!</v>
      </c>
      <c r="CZ108" s="243"/>
      <c r="DA108" s="135" t="e">
        <f>MIN(SUM(#REF!)/#REF!/favorable_terrain_bonus/100,favorable_terrain_max)</f>
        <v>#REF!</v>
      </c>
      <c r="DB108" s="243"/>
      <c r="DC108"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08" s="134"/>
      <c r="DE108" s="244" t="e">
        <f>(#REF!+2*#REF!)/#REF!</f>
        <v>#REF!</v>
      </c>
      <c r="DF108" s="244" t="e">
        <f>#REF!*(1+race_wizard_strength+IF(#REF!&gt;72,tech_magical_weaponry_wiz*#REF!,0))</f>
        <v>#REF!</v>
      </c>
    </row>
    <row r="109" spans="1:110" x14ac:dyDescent="0.25">
      <c r="A109" s="130" t="e">
        <f>#REF!</f>
        <v>#REF!</v>
      </c>
      <c r="B109" s="236" t="e">
        <f ca="1">SUM(#REF!)+SUM(OFFSET(#REF!,-8,0):#REF!) + SUM(OFFSET(#REF!,-11,0):#REF!) +#REF!</f>
        <v>#REF!</v>
      </c>
      <c r="C109" s="132" t="e">
        <f>#REF!</f>
        <v>#REF!</v>
      </c>
      <c r="D109" s="134"/>
      <c r="E109" s="3" t="e">
        <f ca="1">OFFSET(#REF!,-1,0) + OFFSET(#REF!,-9,0) -#REF!</f>
        <v>#REF!</v>
      </c>
      <c r="F109" s="3" t="e">
        <f ca="1">OFFSET(#REF!,-1,0) + OFFSET(#REF!,-9,0)-#REF!</f>
        <v>#REF!</v>
      </c>
      <c r="G109" s="3" t="e">
        <f ca="1">OFFSET(#REF!,-1,0) + OFFSET(#REF!,-12,0)-#REF!</f>
        <v>#REF!</v>
      </c>
      <c r="H109" s="3" t="e">
        <f ca="1">OFFSET(#REF!,-1,0) + OFFSET(#REF!,-12,0)-#REF!</f>
        <v>#REF!</v>
      </c>
      <c r="I109" s="3" t="e">
        <f ca="1">OFFSET(#REF!,-1,0) + OFFSET(#REF!,-12,0) -#REF!-#REF!</f>
        <v>#REF!</v>
      </c>
      <c r="J109" s="3" t="e">
        <f ca="1">OFFSET(#REF!,-1,0) + OFFSET(#REF!,-12,0) -#REF!</f>
        <v>#REF!</v>
      </c>
      <c r="K109" s="3" t="e">
        <f ca="1">OFFSET(#REF!,-1,0) + OFFSET(#REF!,-12,0) -#REF!-#REF!</f>
        <v>#REF!</v>
      </c>
      <c r="L109" s="3" t="e">
        <f ca="1">OFFSET(#REF!,-1,0) + OFFSET(#REF!,-12,0) -#REF!</f>
        <v>#REF!</v>
      </c>
      <c r="M109" s="134"/>
      <c r="N109" s="39" t="e">
        <f>#REF!</f>
        <v>#REF!</v>
      </c>
      <c r="O109" s="134"/>
      <c r="P109" s="237" t="e">
        <f>#REF!*spec_op+#REF!*(elite1_base_op)+#REF!*(elite2_base_op+dark_elf*#REF!+icekin*#REF!+woodie*#REF!+orc*#REF!)+kobold*#REF!</f>
        <v>#REF!</v>
      </c>
      <c r="Q109" s="132" t="e">
        <f>race_offense+#REF!+ROUND(MIN(gn_bonus*#REF!/#REF!,gn_bonus_cap),4)+MAX(IF(#REF!&gt;0,warsong_bonus),IF(#REF!&gt;0,howling_op_bonus),IF(#REF!&gt;0,nightfall_bonus),IF(#REF!&gt;0,#REF!)) +#REF!/ 100*prestige_offense_bonus + tech_5_4*#REF! + tech_7_4*#REF!</f>
        <v>#REF!</v>
      </c>
      <c r="R109" s="237" t="e">
        <f>#REF!*(1+#REF!)</f>
        <v>#REF!</v>
      </c>
      <c r="S109" s="237" t="e">
        <f>#REF!*spec_dp+#REF!*(elite1_base_dp+woodie*#REF!+sylvan*#REF!+gnome*#REF!+icekin*#REF!+nox*#REF!)+#REF!*(elite2_base_dp+woodie*#REF!) + fh_peas_dp*MIN(#REF!,20*#REF!)+kobold*#REF!</f>
        <v>#REF!</v>
      </c>
      <c r="T109" s="237" t="e">
        <f>#REF!+#REF!</f>
        <v>#REF!</v>
      </c>
      <c r="U109" s="238" t="e">
        <f>race_defense +#REF! + ROUND( MIN(gt_bonus*#REF!/#REF!,gt_bonus_cap), 4) + IF(#REF!&gt;0,howling_dp_bonus,IF(#REF!&gt;0,ares_call_bonus))</f>
        <v>#REF!</v>
      </c>
      <c r="V109" s="239" t="e">
        <f>#REF! * (1 +#REF!)</f>
        <v>#REF!</v>
      </c>
      <c r="W109" s="237" t="e">
        <f>#REF! * (1 +#REF!)</f>
        <v>#REF!</v>
      </c>
      <c r="X109" s="237" t="e">
        <f>#REF!</f>
        <v>#REF!</v>
      </c>
      <c r="Y109" s="240"/>
      <c r="Z109" s="135" t="e">
        <f ca="1">IF(#REF!&lt;&gt;"",#REF!,OFFSET(#REF!,-1,0))</f>
        <v>#REF!</v>
      </c>
      <c r="AA109" s="39" t="e">
        <f ca="1">OFFSET(#REF!,-1,0)+OFFSET(#REF!,-1,0) - SUM(#REF!,#REF!) -#REF! + SUM(#REF!) -#REF!</f>
        <v>#REF!</v>
      </c>
      <c r="AB109" s="133"/>
      <c r="AC109" s="132" t="e">
        <f>(#REF!+#REF!)/(#REF!-#REF!*20)</f>
        <v>#REF!</v>
      </c>
      <c r="AD109" s="130"/>
      <c r="AE109" s="236" t="e">
        <f>#REF!</f>
        <v>#REF!</v>
      </c>
      <c r="AF109" s="131" t="e">
        <f>#REF!</f>
        <v>#REF!</v>
      </c>
      <c r="AG109" s="164"/>
      <c r="AH109" s="164"/>
      <c r="AI109" s="164"/>
      <c r="AJ109" s="164"/>
      <c r="AK109" s="164"/>
      <c r="AL109" s="164"/>
      <c r="AM109" s="164"/>
      <c r="AN109" s="164"/>
      <c r="AO109" s="134"/>
      <c r="AP109" s="39" t="e">
        <f>#REF!</f>
        <v>#REF!</v>
      </c>
      <c r="AQ109" s="39" t="e">
        <f>INDEX(#REF!:#REF!,COUNTA(#REF!:#REF!),MATCH(Military!$AQ$2,#REF!,0))</f>
        <v>#REF!</v>
      </c>
      <c r="AR109" s="39" t="e">
        <f>#REF!*#REF!+#REF!*#REF!+#REF!*#REF!+#REF!*#REF!+#REF!*#REF!+#REF!*#REF!+#REF!*#REF!</f>
        <v>#REF!</v>
      </c>
      <c r="AS109" s="39" t="e">
        <f>#REF!*#REF!+#REF!*#REF!+#REF!*#REF!+#REF!*#REF!</f>
        <v>#REF!</v>
      </c>
      <c r="AT109" s="134" t="e">
        <f>#REF!</f>
        <v>#REF!</v>
      </c>
      <c r="AU109" s="143" t="e">
        <f>#REF!</f>
        <v>#REF!</v>
      </c>
      <c r="AV109" s="39" t="e">
        <f>#REF!</f>
        <v>#REF!</v>
      </c>
      <c r="AW109" s="164"/>
      <c r="AX109" s="164"/>
      <c r="AY109" s="164"/>
      <c r="AZ109" s="164"/>
      <c r="BA109" s="164"/>
      <c r="BB109" s="164"/>
      <c r="BC109" s="164"/>
      <c r="BD109" s="164"/>
      <c r="BE109" s="164"/>
      <c r="BF109" s="134"/>
      <c r="BG109" s="132" t="e">
        <f>#REF!/#REF!</f>
        <v>#REF!</v>
      </c>
      <c r="BH109" s="132" t="e">
        <f>#REF!/#REF!</f>
        <v>#REF!</v>
      </c>
      <c r="BI109" s="39" t="e">
        <f>ROUNDUP((1-MIN(#REF!*smithy_bonus,smithy_bonus_cap) + tech_3_5*#REF! + tech_5_3*#REF! + tech_5_5*#REF!)*spec_op_plat,0)</f>
        <v>#REF!</v>
      </c>
      <c r="BJ109" s="39" t="e">
        <f>ROUNDUP(IF(race="Gnome",1,(1-MIN(#REF!*smithy_bonus,smithy_bonus_cap) + tech_3_5*#REF! + tech_5_3*#REF! + tech_5_5*#REF!))*spec_op_ore,0)</f>
        <v>#REF!</v>
      </c>
      <c r="BK109" s="39" t="e">
        <f>ROUNDUP((1-MIN(#REF!*smithy_bonus,smithy_bonus_cap) + tech_3_5*#REF! + tech_5_3*#REF! + tech_5_5*#REF!)*spec_dp_plat,0)</f>
        <v>#REF!</v>
      </c>
      <c r="BL109" s="39" t="e">
        <f>ROUNDUP(IF(race="Gnome",1,(1-MIN(#REF!*smithy_bonus,smithy_bonus_cap) + tech_3_5*#REF! + tech_5_3*#REF! + tech_5_5*#REF!))*spec_dp_ore,0)</f>
        <v>#REF!</v>
      </c>
      <c r="BM109" s="39" t="e">
        <f>ROUNDUP((1-MIN(#REF!*smithy_bonus,smithy_bonus_cap) + tech_3_5*#REF! + tech_5_3*#REF! + tech_5_5*#REF!)*elite1_plat,0)</f>
        <v>#REF!</v>
      </c>
      <c r="BN109" s="39" t="e">
        <f>ROUNDUP(IF(race="Gnome",1,(1-MIN(#REF!*smithy_bonus,smithy_bonus_cap) + tech_3_5*#REF! + tech_5_3*#REF! + tech_5_5*#REF!))*elite1_ore,0)</f>
        <v>#REF!</v>
      </c>
      <c r="BO109" s="39" t="e">
        <f>ROUNDUP((1-MIN(#REF!*smithy_bonus,smithy_bonus_cap) + tech_3_5*#REF! + tech_5_3*#REF! + tech_5_5*#REF!)*elite2_plat,0)</f>
        <v>#REF!</v>
      </c>
      <c r="BP109" s="39" t="e">
        <f>ROUNDUP(IF(race="Gnome",1,(1-MIN(#REF!*smithy_bonus,smithy_bonus_cap) + tech_3_5*#REF! + tech_5_3*#REF! + tech_5_5*#REF!))*elite2_ore,0)</f>
        <v>#REF!</v>
      </c>
      <c r="BQ109" s="39" t="e">
        <f>ROUNDUP((1-MIN(ROUND(fh_spy_cost_red*#REF!,4),fh_spy_cost_cap)+ tech_1_9*#REF! + tech_9_1*#REF!)*spy_plat,0)</f>
        <v>#REF!</v>
      </c>
      <c r="BR109" s="39" t="e">
        <f>ROUNDUP((1-MIN(ROUND(fh_spy_cost_red*#REF!,4),fh_spy_cost_cap)+ tech_1_9*#REF! + tech_9_1*#REF!)*archspy_plat,0)</f>
        <v>#REF!</v>
      </c>
      <c r="BS109" s="39" t="e">
        <f>ROUNDUP((1-MIN(ROUND(wg_wiz_cost_bonus*#REF!,4),wg_wiz_cost_cap) + tech_1_9_2*#REF! + tech_9_1_2*#REF!)*wizard_plat,0)</f>
        <v>#REF!</v>
      </c>
      <c r="BT109" s="39" t="e">
        <f>ROUNDUP((1-MIN(ROUND(wg_wiz_cost_bonus*#REF!,4),wg_wiz_cost_cap) + tech_1_9_2*#REF! + tech_9_1_2*#REF!)*archmage_plat,0)</f>
        <v>#REF!</v>
      </c>
      <c r="BU109" s="134"/>
      <c r="BV109" s="132" t="e">
        <f>#REF!/#REF!</f>
        <v>#REF!</v>
      </c>
      <c r="BW109" s="132" t="e">
        <f>#REF!</f>
        <v>#REF!</v>
      </c>
      <c r="BX109" s="241" t="e">
        <f>IF(mystic_cap="none",#REF!/mystic_bonus,MIN(mystic_cap,#REF!/mystic_bonus))</f>
        <v>#REF!</v>
      </c>
      <c r="BY109" s="241" t="e">
        <f>IF(druid_op_cap="none",#REF!/druid_op_bonus,MIN(druid_op_cap,#REF!/druid_op_bonus))</f>
        <v>#REF!</v>
      </c>
      <c r="BZ109" s="241" t="e">
        <f>IF(druid_dp_cap="none",#REF!/druid_dp_bonus,MIN(druid_dp_cap,#REF!/druid_dp_bonus))</f>
        <v>#REF!</v>
      </c>
      <c r="CA109" s="241" t="e">
        <f>MIN(dryad_cap,#REF!/dryad_bonus)</f>
        <v>#REF!</v>
      </c>
      <c r="CB109" s="241" t="e">
        <f>MIN(rocka_cap,#REF!/rocka_bonus)</f>
        <v>#REF!</v>
      </c>
      <c r="CC109" s="241" t="e">
        <f>MIN(adept_op_cap,#REF!/adept_op_bonus)</f>
        <v>#REF!</v>
      </c>
      <c r="CD109" s="241" t="e">
        <f>MIN(adept_dp_cap,#REF!/adept_dp_bonus)</f>
        <v>#REF!</v>
      </c>
      <c r="CE109" s="39" t="e">
        <f>MIN(#REF!,#REF!)*2</f>
        <v>#REF!</v>
      </c>
      <c r="CF109" s="39" t="e">
        <f>MIN(#REF!,#REF!)*2</f>
        <v>#REF!</v>
      </c>
      <c r="CG109" s="241" t="e">
        <f>MIN(frost_mage_cap,#REF!/frost_mage_bonus)</f>
        <v>#REF!</v>
      </c>
      <c r="CH109" s="3" t="e">
        <f>MIN(ice_elem_cap,#REF!*ice_elem_bonus)</f>
        <v>#REF!</v>
      </c>
      <c r="CI109" s="241">
        <f t="shared" si="4"/>
        <v>0.83333333333333337</v>
      </c>
      <c r="CJ109" s="241" t="e">
        <f>MIN(nox_nightshade_cap,#REF!/#REF!/nox_nightshade_swamp_bonus)</f>
        <v>#REF!</v>
      </c>
      <c r="CK109" s="242"/>
      <c r="CL109" s="242"/>
      <c r="CM109" s="242"/>
      <c r="CN109" s="241" t="e">
        <f>MIN(6,#REF!+Races!$F$19)*1.8 +  IF(#REF!+Races!$F$19&gt;6,(#REF!+Races!$F$19-6)*0.2,0) - Races!$I$19</f>
        <v>#REF!</v>
      </c>
      <c r="CO109" s="241" t="e">
        <f>1.8 * MIN(MAX(#REF!+Races!$E$20,#REF!+Races!$F$20),6)  +  0.45 * MIN(MIN(#REF!+Races!$E$20,#REF!+Races!$F$20),6)  +  0.2 * ( MAX(#REF!+Races!$E$20-6,0) + MAX(#REF!+Races!$F$20-6,0) )  -  Races!$I$20</f>
        <v>#REF!</v>
      </c>
      <c r="CP109" s="39" t="e">
        <f>#REF!*#REF!+#REF!*#REF!</f>
        <v>#REF!</v>
      </c>
      <c r="CQ109" s="145" t="e">
        <f>MIN(6,#REF!+Races!$F$35)*1.8 +  IF(#REF!+Races!$F$35&gt;6,(#REF!+Races!$F$35-6)*0.2,0) - Races!$I$19</f>
        <v>#REF!</v>
      </c>
      <c r="CR109" s="39" t="e">
        <f>sylvan*(#REF!*#REF!)</f>
        <v>#REF!</v>
      </c>
      <c r="CS109" s="145" t="e">
        <f>1.8 * MIN(MAX(Races!$E$27,#REF!+Races!$F$27),6)  +  0.45 * MIN(MIN(Races!$E$27,#REF!+Races!$F$27),6)  +  0.2 * ( MAX(Races!$E$27-6,0) + MAX(#REF!+Races!$F$27-6,0) )  -  Races!$I$20</f>
        <v>#REF!</v>
      </c>
      <c r="CT109" s="39" t="e">
        <f>gnome*(#REF!*#REF!)</f>
        <v>#REF!</v>
      </c>
      <c r="CU109" s="145" t="e">
        <f>1.8 * MIN(MAX(#REF!+Races!$E$47,#REF!+Races!$F$47),6)  +  0.45 * MIN(MIN(#REF!+Races!$E$47,#REF!+Races!$F$47),6)  +  0.2 * ( MAX(#REF!+Races!$E$47-6,0) + MAX(#REF!+Races!$F$47-6,0) )  -  Races!$I$47</f>
        <v>#REF!</v>
      </c>
      <c r="CV109" s="39" t="e">
        <f>dark_elf*(#REF!*#REF!)</f>
        <v>#REF!</v>
      </c>
      <c r="CW109" s="145" t="e">
        <f>1.8 * MIN(MAX(#REF!+Races!$F$71,Races!$E$71),6)  +  0.45 * MIN(MIN(#REF!+Races!$F$71,Races!$E$71),6)  +  0.2 * ( MAX(#REF!+Races!$F$71-6,0) + MAX(Races!$E$71-6,0) )  -  Races!$I$71</f>
        <v>#REF!</v>
      </c>
      <c r="CX109" s="145" t="e">
        <f>1.8 * MIN(MAX(#REF!+Races!$E$71,Races!$F$71),6)  +  0.45 * MIN(MIN(#REF!+Races!$E$71,Races!$F$71),6)  +  0.2 * ( MAX(#REF!+Races!$E$71-6,0) + MAX(Races!$F$71-6,0) )  -  Races!$I$71</f>
        <v>#REF!</v>
      </c>
      <c r="CY109" s="39" t="e">
        <f>#REF!*#REF!+#REF!*#REF!</f>
        <v>#REF!</v>
      </c>
      <c r="CZ109" s="243"/>
      <c r="DA109" s="135" t="e">
        <f>MIN(SUM(#REF!)/#REF!/favorable_terrain_bonus/100,favorable_terrain_max)</f>
        <v>#REF!</v>
      </c>
      <c r="DB109" s="243"/>
      <c r="DC109"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09" s="134"/>
      <c r="DE109" s="244" t="e">
        <f>(#REF!+2*#REF!)/#REF!</f>
        <v>#REF!</v>
      </c>
      <c r="DF109" s="244" t="e">
        <f>#REF!*(1+race_wizard_strength+IF(#REF!&gt;72,tech_magical_weaponry_wiz*#REF!,0))</f>
        <v>#REF!</v>
      </c>
    </row>
    <row r="110" spans="1:110" x14ac:dyDescent="0.25">
      <c r="A110" s="130" t="e">
        <f>#REF!</f>
        <v>#REF!</v>
      </c>
      <c r="B110" s="236" t="e">
        <f ca="1">SUM(#REF!)+SUM(OFFSET(#REF!,-8,0):#REF!) + SUM(OFFSET(#REF!,-11,0):#REF!) +#REF!</f>
        <v>#REF!</v>
      </c>
      <c r="C110" s="132" t="e">
        <f>#REF!</f>
        <v>#REF!</v>
      </c>
      <c r="D110" s="134"/>
      <c r="E110" s="3" t="e">
        <f ca="1">OFFSET(#REF!,-1,0) + OFFSET(#REF!,-9,0) -#REF!</f>
        <v>#REF!</v>
      </c>
      <c r="F110" s="3" t="e">
        <f ca="1">OFFSET(#REF!,-1,0) + OFFSET(#REF!,-9,0)-#REF!</f>
        <v>#REF!</v>
      </c>
      <c r="G110" s="3" t="e">
        <f ca="1">OFFSET(#REF!,-1,0) + OFFSET(#REF!,-12,0)-#REF!</f>
        <v>#REF!</v>
      </c>
      <c r="H110" s="3" t="e">
        <f ca="1">OFFSET(#REF!,-1,0) + OFFSET(#REF!,-12,0)-#REF!</f>
        <v>#REF!</v>
      </c>
      <c r="I110" s="3" t="e">
        <f ca="1">OFFSET(#REF!,-1,0) + OFFSET(#REF!,-12,0) -#REF!-#REF!</f>
        <v>#REF!</v>
      </c>
      <c r="J110" s="3" t="e">
        <f ca="1">OFFSET(#REF!,-1,0) + OFFSET(#REF!,-12,0) -#REF!</f>
        <v>#REF!</v>
      </c>
      <c r="K110" s="3" t="e">
        <f ca="1">OFFSET(#REF!,-1,0) + OFFSET(#REF!,-12,0) -#REF!-#REF!</f>
        <v>#REF!</v>
      </c>
      <c r="L110" s="3" t="e">
        <f ca="1">OFFSET(#REF!,-1,0) + OFFSET(#REF!,-12,0) -#REF!</f>
        <v>#REF!</v>
      </c>
      <c r="M110" s="134"/>
      <c r="N110" s="39" t="e">
        <f>#REF!</f>
        <v>#REF!</v>
      </c>
      <c r="O110" s="134"/>
      <c r="P110" s="237" t="e">
        <f>#REF!*spec_op+#REF!*(elite1_base_op)+#REF!*(elite2_base_op+dark_elf*#REF!+icekin*#REF!+woodie*#REF!+orc*#REF!)+kobold*#REF!</f>
        <v>#REF!</v>
      </c>
      <c r="Q110" s="132" t="e">
        <f>race_offense+#REF!+ROUND(MIN(gn_bonus*#REF!/#REF!,gn_bonus_cap),4)+MAX(IF(#REF!&gt;0,warsong_bonus),IF(#REF!&gt;0,howling_op_bonus),IF(#REF!&gt;0,nightfall_bonus),IF(#REF!&gt;0,#REF!)) +#REF!/ 100*prestige_offense_bonus + tech_5_4*#REF! + tech_7_4*#REF!</f>
        <v>#REF!</v>
      </c>
      <c r="R110" s="237" t="e">
        <f>#REF!*(1+#REF!)</f>
        <v>#REF!</v>
      </c>
      <c r="S110" s="237" t="e">
        <f>#REF!*spec_dp+#REF!*(elite1_base_dp+woodie*#REF!+sylvan*#REF!+gnome*#REF!+icekin*#REF!+nox*#REF!)+#REF!*(elite2_base_dp+woodie*#REF!) + fh_peas_dp*MIN(#REF!,20*#REF!)+kobold*#REF!</f>
        <v>#REF!</v>
      </c>
      <c r="T110" s="237" t="e">
        <f>#REF!+#REF!</f>
        <v>#REF!</v>
      </c>
      <c r="U110" s="238" t="e">
        <f>race_defense +#REF! + ROUND( MIN(gt_bonus*#REF!/#REF!,gt_bonus_cap), 4) + IF(#REF!&gt;0,howling_dp_bonus,IF(#REF!&gt;0,ares_call_bonus))</f>
        <v>#REF!</v>
      </c>
      <c r="V110" s="239" t="e">
        <f>#REF! * (1 +#REF!)</f>
        <v>#REF!</v>
      </c>
      <c r="W110" s="237" t="e">
        <f>#REF! * (1 +#REF!)</f>
        <v>#REF!</v>
      </c>
      <c r="X110" s="237" t="e">
        <f>#REF!</f>
        <v>#REF!</v>
      </c>
      <c r="Y110" s="240"/>
      <c r="Z110" s="135" t="e">
        <f ca="1">IF(#REF!&lt;&gt;"",#REF!,OFFSET(#REF!,-1,0))</f>
        <v>#REF!</v>
      </c>
      <c r="AA110" s="39" t="e">
        <f ca="1">OFFSET(#REF!,-1,0)+OFFSET(#REF!,-1,0) - SUM(#REF!,#REF!) -#REF! + SUM(#REF!) -#REF!</f>
        <v>#REF!</v>
      </c>
      <c r="AB110" s="133"/>
      <c r="AC110" s="132" t="e">
        <f>(#REF!+#REF!)/(#REF!-#REF!*20)</f>
        <v>#REF!</v>
      </c>
      <c r="AD110" s="130"/>
      <c r="AE110" s="236" t="e">
        <f>#REF!</f>
        <v>#REF!</v>
      </c>
      <c r="AF110" s="131" t="e">
        <f>#REF!</f>
        <v>#REF!</v>
      </c>
      <c r="AG110" s="164"/>
      <c r="AH110" s="164"/>
      <c r="AI110" s="164"/>
      <c r="AJ110" s="164"/>
      <c r="AK110" s="164"/>
      <c r="AL110" s="164"/>
      <c r="AM110" s="164"/>
      <c r="AN110" s="164"/>
      <c r="AO110" s="134"/>
      <c r="AP110" s="39" t="e">
        <f>#REF!</f>
        <v>#REF!</v>
      </c>
      <c r="AQ110" s="39" t="e">
        <f>INDEX(#REF!:#REF!,COUNTA(#REF!:#REF!),MATCH(Military!$AQ$2,#REF!,0))</f>
        <v>#REF!</v>
      </c>
      <c r="AR110" s="39" t="e">
        <f>#REF!*#REF!+#REF!*#REF!+#REF!*#REF!+#REF!*#REF!+#REF!*#REF!+#REF!*#REF!+#REF!*#REF!</f>
        <v>#REF!</v>
      </c>
      <c r="AS110" s="39" t="e">
        <f>#REF!*#REF!+#REF!*#REF!+#REF!*#REF!+#REF!*#REF!</f>
        <v>#REF!</v>
      </c>
      <c r="AT110" s="134" t="e">
        <f>#REF!</f>
        <v>#REF!</v>
      </c>
      <c r="AU110" s="143" t="e">
        <f>#REF!</f>
        <v>#REF!</v>
      </c>
      <c r="AV110" s="39" t="e">
        <f>#REF!</f>
        <v>#REF!</v>
      </c>
      <c r="AW110" s="164"/>
      <c r="AX110" s="164"/>
      <c r="AY110" s="164"/>
      <c r="AZ110" s="164"/>
      <c r="BA110" s="164"/>
      <c r="BB110" s="164"/>
      <c r="BC110" s="164"/>
      <c r="BD110" s="164"/>
      <c r="BE110" s="164"/>
      <c r="BF110" s="134"/>
      <c r="BG110" s="132" t="e">
        <f>#REF!/#REF!</f>
        <v>#REF!</v>
      </c>
      <c r="BH110" s="132" t="e">
        <f>#REF!/#REF!</f>
        <v>#REF!</v>
      </c>
      <c r="BI110" s="39" t="e">
        <f>ROUNDUP((1-MIN(#REF!*smithy_bonus,smithy_bonus_cap) + tech_3_5*#REF! + tech_5_3*#REF! + tech_5_5*#REF!)*spec_op_plat,0)</f>
        <v>#REF!</v>
      </c>
      <c r="BJ110" s="39" t="e">
        <f>ROUNDUP(IF(race="Gnome",1,(1-MIN(#REF!*smithy_bonus,smithy_bonus_cap) + tech_3_5*#REF! + tech_5_3*#REF! + tech_5_5*#REF!))*spec_op_ore,0)</f>
        <v>#REF!</v>
      </c>
      <c r="BK110" s="39" t="e">
        <f>ROUNDUP((1-MIN(#REF!*smithy_bonus,smithy_bonus_cap) + tech_3_5*#REF! + tech_5_3*#REF! + tech_5_5*#REF!)*spec_dp_plat,0)</f>
        <v>#REF!</v>
      </c>
      <c r="BL110" s="39" t="e">
        <f>ROUNDUP(IF(race="Gnome",1,(1-MIN(#REF!*smithy_bonus,smithy_bonus_cap) + tech_3_5*#REF! + tech_5_3*#REF! + tech_5_5*#REF!))*spec_dp_ore,0)</f>
        <v>#REF!</v>
      </c>
      <c r="BM110" s="39" t="e">
        <f>ROUNDUP((1-MIN(#REF!*smithy_bonus,smithy_bonus_cap) + tech_3_5*#REF! + tech_5_3*#REF! + tech_5_5*#REF!)*elite1_plat,0)</f>
        <v>#REF!</v>
      </c>
      <c r="BN110" s="39" t="e">
        <f>ROUNDUP(IF(race="Gnome",1,(1-MIN(#REF!*smithy_bonus,smithy_bonus_cap) + tech_3_5*#REF! + tech_5_3*#REF! + tech_5_5*#REF!))*elite1_ore,0)</f>
        <v>#REF!</v>
      </c>
      <c r="BO110" s="39" t="e">
        <f>ROUNDUP((1-MIN(#REF!*smithy_bonus,smithy_bonus_cap) + tech_3_5*#REF! + tech_5_3*#REF! + tech_5_5*#REF!)*elite2_plat,0)</f>
        <v>#REF!</v>
      </c>
      <c r="BP110" s="39" t="e">
        <f>ROUNDUP(IF(race="Gnome",1,(1-MIN(#REF!*smithy_bonus,smithy_bonus_cap) + tech_3_5*#REF! + tech_5_3*#REF! + tech_5_5*#REF!))*elite2_ore,0)</f>
        <v>#REF!</v>
      </c>
      <c r="BQ110" s="39" t="e">
        <f>ROUNDUP((1-MIN(ROUND(fh_spy_cost_red*#REF!,4),fh_spy_cost_cap)+ tech_1_9*#REF! + tech_9_1*#REF!)*spy_plat,0)</f>
        <v>#REF!</v>
      </c>
      <c r="BR110" s="39" t="e">
        <f>ROUNDUP((1-MIN(ROUND(fh_spy_cost_red*#REF!,4),fh_spy_cost_cap)+ tech_1_9*#REF! + tech_9_1*#REF!)*archspy_plat,0)</f>
        <v>#REF!</v>
      </c>
      <c r="BS110" s="39" t="e">
        <f>ROUNDUP((1-MIN(ROUND(wg_wiz_cost_bonus*#REF!,4),wg_wiz_cost_cap) + tech_1_9_2*#REF! + tech_9_1_2*#REF!)*wizard_plat,0)</f>
        <v>#REF!</v>
      </c>
      <c r="BT110" s="39" t="e">
        <f>ROUNDUP((1-MIN(ROUND(wg_wiz_cost_bonus*#REF!,4),wg_wiz_cost_cap) + tech_1_9_2*#REF! + tech_9_1_2*#REF!)*archmage_plat,0)</f>
        <v>#REF!</v>
      </c>
      <c r="BU110" s="134"/>
      <c r="BV110" s="132" t="e">
        <f>#REF!/#REF!</f>
        <v>#REF!</v>
      </c>
      <c r="BW110" s="132" t="e">
        <f>#REF!</f>
        <v>#REF!</v>
      </c>
      <c r="BX110" s="241" t="e">
        <f>IF(mystic_cap="none",#REF!/mystic_bonus,MIN(mystic_cap,#REF!/mystic_bonus))</f>
        <v>#REF!</v>
      </c>
      <c r="BY110" s="241" t="e">
        <f>IF(druid_op_cap="none",#REF!/druid_op_bonus,MIN(druid_op_cap,#REF!/druid_op_bonus))</f>
        <v>#REF!</v>
      </c>
      <c r="BZ110" s="241" t="e">
        <f>IF(druid_dp_cap="none",#REF!/druid_dp_bonus,MIN(druid_dp_cap,#REF!/druid_dp_bonus))</f>
        <v>#REF!</v>
      </c>
      <c r="CA110" s="241" t="e">
        <f>MIN(dryad_cap,#REF!/dryad_bonus)</f>
        <v>#REF!</v>
      </c>
      <c r="CB110" s="241" t="e">
        <f>MIN(rocka_cap,#REF!/rocka_bonus)</f>
        <v>#REF!</v>
      </c>
      <c r="CC110" s="241" t="e">
        <f>MIN(adept_op_cap,#REF!/adept_op_bonus)</f>
        <v>#REF!</v>
      </c>
      <c r="CD110" s="241" t="e">
        <f>MIN(adept_dp_cap,#REF!/adept_dp_bonus)</f>
        <v>#REF!</v>
      </c>
      <c r="CE110" s="39" t="e">
        <f>MIN(#REF!,#REF!)*2</f>
        <v>#REF!</v>
      </c>
      <c r="CF110" s="39" t="e">
        <f>MIN(#REF!,#REF!)*2</f>
        <v>#REF!</v>
      </c>
      <c r="CG110" s="241" t="e">
        <f>MIN(frost_mage_cap,#REF!/frost_mage_bonus)</f>
        <v>#REF!</v>
      </c>
      <c r="CH110" s="3" t="e">
        <f>MIN(ice_elem_cap,#REF!*ice_elem_bonus)</f>
        <v>#REF!</v>
      </c>
      <c r="CI110" s="241">
        <f t="shared" si="4"/>
        <v>0.83333333333333337</v>
      </c>
      <c r="CJ110" s="241" t="e">
        <f>MIN(nox_nightshade_cap,#REF!/#REF!/nox_nightshade_swamp_bonus)</f>
        <v>#REF!</v>
      </c>
      <c r="CK110" s="242"/>
      <c r="CL110" s="242"/>
      <c r="CM110" s="242"/>
      <c r="CN110" s="241" t="e">
        <f>MIN(6,#REF!+Races!$F$19)*1.8 +  IF(#REF!+Races!$F$19&gt;6,(#REF!+Races!$F$19-6)*0.2,0) - Races!$I$19</f>
        <v>#REF!</v>
      </c>
      <c r="CO110" s="241" t="e">
        <f>1.8 * MIN(MAX(#REF!+Races!$E$20,#REF!+Races!$F$20),6)  +  0.45 * MIN(MIN(#REF!+Races!$E$20,#REF!+Races!$F$20),6)  +  0.2 * ( MAX(#REF!+Races!$E$20-6,0) + MAX(#REF!+Races!$F$20-6,0) )  -  Races!$I$20</f>
        <v>#REF!</v>
      </c>
      <c r="CP110" s="39" t="e">
        <f>#REF!*#REF!+#REF!*#REF!</f>
        <v>#REF!</v>
      </c>
      <c r="CQ110" s="145" t="e">
        <f>MIN(6,#REF!+Races!$F$35)*1.8 +  IF(#REF!+Races!$F$35&gt;6,(#REF!+Races!$F$35-6)*0.2,0) - Races!$I$19</f>
        <v>#REF!</v>
      </c>
      <c r="CR110" s="39" t="e">
        <f>sylvan*(#REF!*#REF!)</f>
        <v>#REF!</v>
      </c>
      <c r="CS110" s="145" t="e">
        <f>1.8 * MIN(MAX(Races!$E$27,#REF!+Races!$F$27),6)  +  0.45 * MIN(MIN(Races!$E$27,#REF!+Races!$F$27),6)  +  0.2 * ( MAX(Races!$E$27-6,0) + MAX(#REF!+Races!$F$27-6,0) )  -  Races!$I$20</f>
        <v>#REF!</v>
      </c>
      <c r="CT110" s="39" t="e">
        <f>gnome*(#REF!*#REF!)</f>
        <v>#REF!</v>
      </c>
      <c r="CU110" s="145" t="e">
        <f>1.8 * MIN(MAX(#REF!+Races!$E$47,#REF!+Races!$F$47),6)  +  0.45 * MIN(MIN(#REF!+Races!$E$47,#REF!+Races!$F$47),6)  +  0.2 * ( MAX(#REF!+Races!$E$47-6,0) + MAX(#REF!+Races!$F$47-6,0) )  -  Races!$I$47</f>
        <v>#REF!</v>
      </c>
      <c r="CV110" s="39" t="e">
        <f>dark_elf*(#REF!*#REF!)</f>
        <v>#REF!</v>
      </c>
      <c r="CW110" s="145" t="e">
        <f>1.8 * MIN(MAX(#REF!+Races!$F$71,Races!$E$71),6)  +  0.45 * MIN(MIN(#REF!+Races!$F$71,Races!$E$71),6)  +  0.2 * ( MAX(#REF!+Races!$F$71-6,0) + MAX(Races!$E$71-6,0) )  -  Races!$I$71</f>
        <v>#REF!</v>
      </c>
      <c r="CX110" s="145" t="e">
        <f>1.8 * MIN(MAX(#REF!+Races!$E$71,Races!$F$71),6)  +  0.45 * MIN(MIN(#REF!+Races!$E$71,Races!$F$71),6)  +  0.2 * ( MAX(#REF!+Races!$E$71-6,0) + MAX(Races!$F$71-6,0) )  -  Races!$I$71</f>
        <v>#REF!</v>
      </c>
      <c r="CY110" s="39" t="e">
        <f>#REF!*#REF!+#REF!*#REF!</f>
        <v>#REF!</v>
      </c>
      <c r="CZ110" s="243"/>
      <c r="DA110" s="135" t="e">
        <f>MIN(SUM(#REF!)/#REF!/favorable_terrain_bonus/100,favorable_terrain_max)</f>
        <v>#REF!</v>
      </c>
      <c r="DB110" s="243"/>
      <c r="DC110"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10" s="134"/>
      <c r="DE110" s="244" t="e">
        <f>(#REF!+2*#REF!)/#REF!</f>
        <v>#REF!</v>
      </c>
      <c r="DF110" s="244" t="e">
        <f>#REF!*(1+race_wizard_strength+IF(#REF!&gt;72,tech_magical_weaponry_wiz*#REF!,0))</f>
        <v>#REF!</v>
      </c>
    </row>
    <row r="111" spans="1:110" x14ac:dyDescent="0.25">
      <c r="A111" s="130" t="e">
        <f>#REF!</f>
        <v>#REF!</v>
      </c>
      <c r="B111" s="236" t="e">
        <f ca="1">SUM(#REF!)+SUM(OFFSET(#REF!,-8,0):#REF!) + SUM(OFFSET(#REF!,-11,0):#REF!) +#REF!</f>
        <v>#REF!</v>
      </c>
      <c r="C111" s="132" t="e">
        <f>#REF!</f>
        <v>#REF!</v>
      </c>
      <c r="D111" s="134"/>
      <c r="E111" s="3" t="e">
        <f ca="1">OFFSET(#REF!,-1,0) + OFFSET(#REF!,-9,0) -#REF!</f>
        <v>#REF!</v>
      </c>
      <c r="F111" s="3" t="e">
        <f ca="1">OFFSET(#REF!,-1,0) + OFFSET(#REF!,-9,0)-#REF!</f>
        <v>#REF!</v>
      </c>
      <c r="G111" s="3" t="e">
        <f ca="1">OFFSET(#REF!,-1,0) + OFFSET(#REF!,-12,0)-#REF!</f>
        <v>#REF!</v>
      </c>
      <c r="H111" s="3" t="e">
        <f ca="1">OFFSET(#REF!,-1,0) + OFFSET(#REF!,-12,0)-#REF!</f>
        <v>#REF!</v>
      </c>
      <c r="I111" s="3" t="e">
        <f ca="1">OFFSET(#REF!,-1,0) + OFFSET(#REF!,-12,0) -#REF!-#REF!</f>
        <v>#REF!</v>
      </c>
      <c r="J111" s="3" t="e">
        <f ca="1">OFFSET(#REF!,-1,0) + OFFSET(#REF!,-12,0) -#REF!</f>
        <v>#REF!</v>
      </c>
      <c r="K111" s="3" t="e">
        <f ca="1">OFFSET(#REF!,-1,0) + OFFSET(#REF!,-12,0) -#REF!-#REF!</f>
        <v>#REF!</v>
      </c>
      <c r="L111" s="3" t="e">
        <f ca="1">OFFSET(#REF!,-1,0) + OFFSET(#REF!,-12,0) -#REF!</f>
        <v>#REF!</v>
      </c>
      <c r="M111" s="134"/>
      <c r="N111" s="39" t="e">
        <f>#REF!</f>
        <v>#REF!</v>
      </c>
      <c r="O111" s="134"/>
      <c r="P111" s="237" t="e">
        <f>#REF!*spec_op+#REF!*(elite1_base_op)+#REF!*(elite2_base_op+dark_elf*#REF!+icekin*#REF!+woodie*#REF!+orc*#REF!)+kobold*#REF!</f>
        <v>#REF!</v>
      </c>
      <c r="Q111" s="132" t="e">
        <f>race_offense+#REF!+ROUND(MIN(gn_bonus*#REF!/#REF!,gn_bonus_cap),4)+MAX(IF(#REF!&gt;0,warsong_bonus),IF(#REF!&gt;0,howling_op_bonus),IF(#REF!&gt;0,nightfall_bonus),IF(#REF!&gt;0,#REF!)) +#REF!/ 100*prestige_offense_bonus + tech_5_4*#REF! + tech_7_4*#REF!</f>
        <v>#REF!</v>
      </c>
      <c r="R111" s="237" t="e">
        <f>#REF!*(1+#REF!)</f>
        <v>#REF!</v>
      </c>
      <c r="S111" s="237" t="e">
        <f>#REF!*spec_dp+#REF!*(elite1_base_dp+woodie*#REF!+sylvan*#REF!+gnome*#REF!+icekin*#REF!+nox*#REF!)+#REF!*(elite2_base_dp+woodie*#REF!) + fh_peas_dp*MIN(#REF!,20*#REF!)+kobold*#REF!</f>
        <v>#REF!</v>
      </c>
      <c r="T111" s="237" t="e">
        <f>#REF!+#REF!</f>
        <v>#REF!</v>
      </c>
      <c r="U111" s="238" t="e">
        <f>race_defense +#REF! + ROUND( MIN(gt_bonus*#REF!/#REF!,gt_bonus_cap), 4) + IF(#REF!&gt;0,howling_dp_bonus,IF(#REF!&gt;0,ares_call_bonus))</f>
        <v>#REF!</v>
      </c>
      <c r="V111" s="239" t="e">
        <f>#REF! * (1 +#REF!)</f>
        <v>#REF!</v>
      </c>
      <c r="W111" s="237" t="e">
        <f>#REF! * (1 +#REF!)</f>
        <v>#REF!</v>
      </c>
      <c r="X111" s="237" t="e">
        <f>#REF!</f>
        <v>#REF!</v>
      </c>
      <c r="Y111" s="240"/>
      <c r="Z111" s="135" t="e">
        <f ca="1">IF(#REF!&lt;&gt;"",#REF!,OFFSET(#REF!,-1,0))</f>
        <v>#REF!</v>
      </c>
      <c r="AA111" s="39" t="e">
        <f ca="1">OFFSET(#REF!,-1,0)+OFFSET(#REF!,-1,0) - SUM(#REF!,#REF!) -#REF! + SUM(#REF!) -#REF!</f>
        <v>#REF!</v>
      </c>
      <c r="AB111" s="133"/>
      <c r="AC111" s="132" t="e">
        <f>(#REF!+#REF!)/(#REF!-#REF!*20)</f>
        <v>#REF!</v>
      </c>
      <c r="AD111" s="130"/>
      <c r="AE111" s="236" t="e">
        <f>#REF!</f>
        <v>#REF!</v>
      </c>
      <c r="AF111" s="131" t="e">
        <f>#REF!</f>
        <v>#REF!</v>
      </c>
      <c r="AG111" s="164"/>
      <c r="AH111" s="164"/>
      <c r="AI111" s="164"/>
      <c r="AJ111" s="164"/>
      <c r="AK111" s="164"/>
      <c r="AL111" s="164"/>
      <c r="AM111" s="164"/>
      <c r="AN111" s="164"/>
      <c r="AO111" s="134"/>
      <c r="AP111" s="39" t="e">
        <f>#REF!</f>
        <v>#REF!</v>
      </c>
      <c r="AQ111" s="39" t="e">
        <f>INDEX(#REF!:#REF!,COUNTA(#REF!:#REF!),MATCH(Military!$AQ$2,#REF!,0))</f>
        <v>#REF!</v>
      </c>
      <c r="AR111" s="39" t="e">
        <f>#REF!*#REF!+#REF!*#REF!+#REF!*#REF!+#REF!*#REF!+#REF!*#REF!+#REF!*#REF!+#REF!*#REF!</f>
        <v>#REF!</v>
      </c>
      <c r="AS111" s="39" t="e">
        <f>#REF!*#REF!+#REF!*#REF!+#REF!*#REF!+#REF!*#REF!</f>
        <v>#REF!</v>
      </c>
      <c r="AT111" s="134" t="e">
        <f>#REF!</f>
        <v>#REF!</v>
      </c>
      <c r="AU111" s="143" t="e">
        <f>#REF!</f>
        <v>#REF!</v>
      </c>
      <c r="AV111" s="39" t="e">
        <f>#REF!</f>
        <v>#REF!</v>
      </c>
      <c r="AW111" s="164"/>
      <c r="AX111" s="164"/>
      <c r="AY111" s="164"/>
      <c r="AZ111" s="164"/>
      <c r="BA111" s="164"/>
      <c r="BB111" s="164"/>
      <c r="BC111" s="164"/>
      <c r="BD111" s="164"/>
      <c r="BE111" s="164"/>
      <c r="BF111" s="134"/>
      <c r="BG111" s="132" t="e">
        <f>#REF!/#REF!</f>
        <v>#REF!</v>
      </c>
      <c r="BH111" s="132" t="e">
        <f>#REF!/#REF!</f>
        <v>#REF!</v>
      </c>
      <c r="BI111" s="39" t="e">
        <f>ROUNDUP((1-MIN(#REF!*smithy_bonus,smithy_bonus_cap) + tech_3_5*#REF! + tech_5_3*#REF! + tech_5_5*#REF!)*spec_op_plat,0)</f>
        <v>#REF!</v>
      </c>
      <c r="BJ111" s="39" t="e">
        <f>ROUNDUP(IF(race="Gnome",1,(1-MIN(#REF!*smithy_bonus,smithy_bonus_cap) + tech_3_5*#REF! + tech_5_3*#REF! + tech_5_5*#REF!))*spec_op_ore,0)</f>
        <v>#REF!</v>
      </c>
      <c r="BK111" s="39" t="e">
        <f>ROUNDUP((1-MIN(#REF!*smithy_bonus,smithy_bonus_cap) + tech_3_5*#REF! + tech_5_3*#REF! + tech_5_5*#REF!)*spec_dp_plat,0)</f>
        <v>#REF!</v>
      </c>
      <c r="BL111" s="39" t="e">
        <f>ROUNDUP(IF(race="Gnome",1,(1-MIN(#REF!*smithy_bonus,smithy_bonus_cap) + tech_3_5*#REF! + tech_5_3*#REF! + tech_5_5*#REF!))*spec_dp_ore,0)</f>
        <v>#REF!</v>
      </c>
      <c r="BM111" s="39" t="e">
        <f>ROUNDUP((1-MIN(#REF!*smithy_bonus,smithy_bonus_cap) + tech_3_5*#REF! + tech_5_3*#REF! + tech_5_5*#REF!)*elite1_plat,0)</f>
        <v>#REF!</v>
      </c>
      <c r="BN111" s="39" t="e">
        <f>ROUNDUP(IF(race="Gnome",1,(1-MIN(#REF!*smithy_bonus,smithy_bonus_cap) + tech_3_5*#REF! + tech_5_3*#REF! + tech_5_5*#REF!))*elite1_ore,0)</f>
        <v>#REF!</v>
      </c>
      <c r="BO111" s="39" t="e">
        <f>ROUNDUP((1-MIN(#REF!*smithy_bonus,smithy_bonus_cap) + tech_3_5*#REF! + tech_5_3*#REF! + tech_5_5*#REF!)*elite2_plat,0)</f>
        <v>#REF!</v>
      </c>
      <c r="BP111" s="39" t="e">
        <f>ROUNDUP(IF(race="Gnome",1,(1-MIN(#REF!*smithy_bonus,smithy_bonus_cap) + tech_3_5*#REF! + tech_5_3*#REF! + tech_5_5*#REF!))*elite2_ore,0)</f>
        <v>#REF!</v>
      </c>
      <c r="BQ111" s="39" t="e">
        <f>ROUNDUP((1-MIN(ROUND(fh_spy_cost_red*#REF!,4),fh_spy_cost_cap)+ tech_1_9*#REF! + tech_9_1*#REF!)*spy_plat,0)</f>
        <v>#REF!</v>
      </c>
      <c r="BR111" s="39" t="e">
        <f>ROUNDUP((1-MIN(ROUND(fh_spy_cost_red*#REF!,4),fh_spy_cost_cap)+ tech_1_9*#REF! + tech_9_1*#REF!)*archspy_plat,0)</f>
        <v>#REF!</v>
      </c>
      <c r="BS111" s="39" t="e">
        <f>ROUNDUP((1-MIN(ROUND(wg_wiz_cost_bonus*#REF!,4),wg_wiz_cost_cap) + tech_1_9_2*#REF! + tech_9_1_2*#REF!)*wizard_plat,0)</f>
        <v>#REF!</v>
      </c>
      <c r="BT111" s="39" t="e">
        <f>ROUNDUP((1-MIN(ROUND(wg_wiz_cost_bonus*#REF!,4),wg_wiz_cost_cap) + tech_1_9_2*#REF! + tech_9_1_2*#REF!)*archmage_plat,0)</f>
        <v>#REF!</v>
      </c>
      <c r="BU111" s="134"/>
      <c r="BV111" s="132" t="e">
        <f>#REF!/#REF!</f>
        <v>#REF!</v>
      </c>
      <c r="BW111" s="132" t="e">
        <f>#REF!</f>
        <v>#REF!</v>
      </c>
      <c r="BX111" s="241" t="e">
        <f>IF(mystic_cap="none",#REF!/mystic_bonus,MIN(mystic_cap,#REF!/mystic_bonus))</f>
        <v>#REF!</v>
      </c>
      <c r="BY111" s="241" t="e">
        <f>IF(druid_op_cap="none",#REF!/druid_op_bonus,MIN(druid_op_cap,#REF!/druid_op_bonus))</f>
        <v>#REF!</v>
      </c>
      <c r="BZ111" s="241" t="e">
        <f>IF(druid_dp_cap="none",#REF!/druid_dp_bonus,MIN(druid_dp_cap,#REF!/druid_dp_bonus))</f>
        <v>#REF!</v>
      </c>
      <c r="CA111" s="241" t="e">
        <f>MIN(dryad_cap,#REF!/dryad_bonus)</f>
        <v>#REF!</v>
      </c>
      <c r="CB111" s="241" t="e">
        <f>MIN(rocka_cap,#REF!/rocka_bonus)</f>
        <v>#REF!</v>
      </c>
      <c r="CC111" s="241" t="e">
        <f>MIN(adept_op_cap,#REF!/adept_op_bonus)</f>
        <v>#REF!</v>
      </c>
      <c r="CD111" s="241" t="e">
        <f>MIN(adept_dp_cap,#REF!/adept_dp_bonus)</f>
        <v>#REF!</v>
      </c>
      <c r="CE111" s="39" t="e">
        <f>MIN(#REF!,#REF!)*2</f>
        <v>#REF!</v>
      </c>
      <c r="CF111" s="39" t="e">
        <f>MIN(#REF!,#REF!)*2</f>
        <v>#REF!</v>
      </c>
      <c r="CG111" s="241" t="e">
        <f>MIN(frost_mage_cap,#REF!/frost_mage_bonus)</f>
        <v>#REF!</v>
      </c>
      <c r="CH111" s="3" t="e">
        <f>MIN(ice_elem_cap,#REF!*ice_elem_bonus)</f>
        <v>#REF!</v>
      </c>
      <c r="CI111" s="241">
        <f t="shared" si="4"/>
        <v>0.83333333333333337</v>
      </c>
      <c r="CJ111" s="241" t="e">
        <f>MIN(nox_nightshade_cap,#REF!/#REF!/nox_nightshade_swamp_bonus)</f>
        <v>#REF!</v>
      </c>
      <c r="CK111" s="242"/>
      <c r="CL111" s="242"/>
      <c r="CM111" s="242"/>
      <c r="CN111" s="241" t="e">
        <f>MIN(6,#REF!+Races!$F$19)*1.8 +  IF(#REF!+Races!$F$19&gt;6,(#REF!+Races!$F$19-6)*0.2,0) - Races!$I$19</f>
        <v>#REF!</v>
      </c>
      <c r="CO111" s="241" t="e">
        <f>1.8 * MIN(MAX(#REF!+Races!$E$20,#REF!+Races!$F$20),6)  +  0.45 * MIN(MIN(#REF!+Races!$E$20,#REF!+Races!$F$20),6)  +  0.2 * ( MAX(#REF!+Races!$E$20-6,0) + MAX(#REF!+Races!$F$20-6,0) )  -  Races!$I$20</f>
        <v>#REF!</v>
      </c>
      <c r="CP111" s="39" t="e">
        <f>#REF!*#REF!+#REF!*#REF!</f>
        <v>#REF!</v>
      </c>
      <c r="CQ111" s="145" t="e">
        <f>MIN(6,#REF!+Races!$F$35)*1.8 +  IF(#REF!+Races!$F$35&gt;6,(#REF!+Races!$F$35-6)*0.2,0) - Races!$I$19</f>
        <v>#REF!</v>
      </c>
      <c r="CR111" s="39" t="e">
        <f>sylvan*(#REF!*#REF!)</f>
        <v>#REF!</v>
      </c>
      <c r="CS111" s="145" t="e">
        <f>1.8 * MIN(MAX(Races!$E$27,#REF!+Races!$F$27),6)  +  0.45 * MIN(MIN(Races!$E$27,#REF!+Races!$F$27),6)  +  0.2 * ( MAX(Races!$E$27-6,0) + MAX(#REF!+Races!$F$27-6,0) )  -  Races!$I$20</f>
        <v>#REF!</v>
      </c>
      <c r="CT111" s="39" t="e">
        <f>gnome*(#REF!*#REF!)</f>
        <v>#REF!</v>
      </c>
      <c r="CU111" s="145" t="e">
        <f>1.8 * MIN(MAX(#REF!+Races!$E$47,#REF!+Races!$F$47),6)  +  0.45 * MIN(MIN(#REF!+Races!$E$47,#REF!+Races!$F$47),6)  +  0.2 * ( MAX(#REF!+Races!$E$47-6,0) + MAX(#REF!+Races!$F$47-6,0) )  -  Races!$I$47</f>
        <v>#REF!</v>
      </c>
      <c r="CV111" s="39" t="e">
        <f>dark_elf*(#REF!*#REF!)</f>
        <v>#REF!</v>
      </c>
      <c r="CW111" s="145" t="e">
        <f>1.8 * MIN(MAX(#REF!+Races!$F$71,Races!$E$71),6)  +  0.45 * MIN(MIN(#REF!+Races!$F$71,Races!$E$71),6)  +  0.2 * ( MAX(#REF!+Races!$F$71-6,0) + MAX(Races!$E$71-6,0) )  -  Races!$I$71</f>
        <v>#REF!</v>
      </c>
      <c r="CX111" s="145" t="e">
        <f>1.8 * MIN(MAX(#REF!+Races!$E$71,Races!$F$71),6)  +  0.45 * MIN(MIN(#REF!+Races!$E$71,Races!$F$71),6)  +  0.2 * ( MAX(#REF!+Races!$E$71-6,0) + MAX(Races!$F$71-6,0) )  -  Races!$I$71</f>
        <v>#REF!</v>
      </c>
      <c r="CY111" s="39" t="e">
        <f>#REF!*#REF!+#REF!*#REF!</f>
        <v>#REF!</v>
      </c>
      <c r="CZ111" s="243"/>
      <c r="DA111" s="135" t="e">
        <f>MIN(SUM(#REF!)/#REF!/favorable_terrain_bonus/100,favorable_terrain_max)</f>
        <v>#REF!</v>
      </c>
      <c r="DB111" s="243"/>
      <c r="DC111"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11" s="134"/>
      <c r="DE111" s="244" t="e">
        <f>(#REF!+2*#REF!)/#REF!</f>
        <v>#REF!</v>
      </c>
      <c r="DF111" s="244" t="e">
        <f>#REF!*(1+race_wizard_strength+IF(#REF!&gt;72,tech_magical_weaponry_wiz*#REF!,0))</f>
        <v>#REF!</v>
      </c>
    </row>
    <row r="112" spans="1:110" x14ac:dyDescent="0.25">
      <c r="A112" s="130" t="e">
        <f>#REF!</f>
        <v>#REF!</v>
      </c>
      <c r="B112" s="236" t="e">
        <f ca="1">SUM(#REF!)+SUM(OFFSET(#REF!,-8,0):#REF!) + SUM(OFFSET(#REF!,-11,0):#REF!) +#REF!</f>
        <v>#REF!</v>
      </c>
      <c r="C112" s="132" t="e">
        <f>#REF!</f>
        <v>#REF!</v>
      </c>
      <c r="D112" s="134"/>
      <c r="E112" s="3" t="e">
        <f ca="1">OFFSET(#REF!,-1,0) + OFFSET(#REF!,-9,0) -#REF!</f>
        <v>#REF!</v>
      </c>
      <c r="F112" s="3" t="e">
        <f ca="1">OFFSET(#REF!,-1,0) + OFFSET(#REF!,-9,0)-#REF!</f>
        <v>#REF!</v>
      </c>
      <c r="G112" s="3" t="e">
        <f ca="1">OFFSET(#REF!,-1,0) + OFFSET(#REF!,-12,0)-#REF!</f>
        <v>#REF!</v>
      </c>
      <c r="H112" s="3" t="e">
        <f ca="1">OFFSET(#REF!,-1,0) + OFFSET(#REF!,-12,0)-#REF!</f>
        <v>#REF!</v>
      </c>
      <c r="I112" s="3" t="e">
        <f ca="1">OFFSET(#REF!,-1,0) + OFFSET(#REF!,-12,0) -#REF!-#REF!</f>
        <v>#REF!</v>
      </c>
      <c r="J112" s="3" t="e">
        <f ca="1">OFFSET(#REF!,-1,0) + OFFSET(#REF!,-12,0) -#REF!</f>
        <v>#REF!</v>
      </c>
      <c r="K112" s="3" t="e">
        <f ca="1">OFFSET(#REF!,-1,0) + OFFSET(#REF!,-12,0) -#REF!-#REF!</f>
        <v>#REF!</v>
      </c>
      <c r="L112" s="3" t="e">
        <f ca="1">OFFSET(#REF!,-1,0) + OFFSET(#REF!,-12,0) -#REF!</f>
        <v>#REF!</v>
      </c>
      <c r="M112" s="134"/>
      <c r="N112" s="39" t="e">
        <f>#REF!</f>
        <v>#REF!</v>
      </c>
      <c r="O112" s="134"/>
      <c r="P112" s="237" t="e">
        <f>#REF!*spec_op+#REF!*(elite1_base_op)+#REF!*(elite2_base_op+dark_elf*#REF!+icekin*#REF!+woodie*#REF!+orc*#REF!)+kobold*#REF!</f>
        <v>#REF!</v>
      </c>
      <c r="Q112" s="132" t="e">
        <f>race_offense+#REF!+ROUND(MIN(gn_bonus*#REF!/#REF!,gn_bonus_cap),4)+MAX(IF(#REF!&gt;0,warsong_bonus),IF(#REF!&gt;0,howling_op_bonus),IF(#REF!&gt;0,nightfall_bonus),IF(#REF!&gt;0,#REF!)) +#REF!/ 100*prestige_offense_bonus + tech_5_4*#REF! + tech_7_4*#REF!</f>
        <v>#REF!</v>
      </c>
      <c r="R112" s="237" t="e">
        <f>#REF!*(1+#REF!)</f>
        <v>#REF!</v>
      </c>
      <c r="S112" s="237" t="e">
        <f>#REF!*spec_dp+#REF!*(elite1_base_dp+woodie*#REF!+sylvan*#REF!+gnome*#REF!+icekin*#REF!+nox*#REF!)+#REF!*(elite2_base_dp+woodie*#REF!) + fh_peas_dp*MIN(#REF!,20*#REF!)+kobold*#REF!</f>
        <v>#REF!</v>
      </c>
      <c r="T112" s="237" t="e">
        <f>#REF!+#REF!</f>
        <v>#REF!</v>
      </c>
      <c r="U112" s="238" t="e">
        <f>race_defense +#REF! + ROUND( MIN(gt_bonus*#REF!/#REF!,gt_bonus_cap), 4) + IF(#REF!&gt;0,howling_dp_bonus,IF(#REF!&gt;0,ares_call_bonus))</f>
        <v>#REF!</v>
      </c>
      <c r="V112" s="239" t="e">
        <f>#REF! * (1 +#REF!)</f>
        <v>#REF!</v>
      </c>
      <c r="W112" s="237" t="e">
        <f>#REF! * (1 +#REF!)</f>
        <v>#REF!</v>
      </c>
      <c r="X112" s="237" t="e">
        <f>#REF!</f>
        <v>#REF!</v>
      </c>
      <c r="Y112" s="240"/>
      <c r="Z112" s="135" t="e">
        <f ca="1">IF(#REF!&lt;&gt;"",#REF!,OFFSET(#REF!,-1,0))</f>
        <v>#REF!</v>
      </c>
      <c r="AA112" s="39" t="e">
        <f ca="1">OFFSET(#REF!,-1,0)+OFFSET(#REF!,-1,0) - SUM(#REF!,#REF!) -#REF! + SUM(#REF!) -#REF!</f>
        <v>#REF!</v>
      </c>
      <c r="AB112" s="133"/>
      <c r="AC112" s="132" t="e">
        <f>(#REF!+#REF!)/(#REF!-#REF!*20)</f>
        <v>#REF!</v>
      </c>
      <c r="AD112" s="130"/>
      <c r="AE112" s="236" t="e">
        <f>#REF!</f>
        <v>#REF!</v>
      </c>
      <c r="AF112" s="131" t="e">
        <f>#REF!</f>
        <v>#REF!</v>
      </c>
      <c r="AG112" s="164"/>
      <c r="AH112" s="164"/>
      <c r="AI112" s="164"/>
      <c r="AJ112" s="164"/>
      <c r="AK112" s="164"/>
      <c r="AL112" s="164"/>
      <c r="AM112" s="164"/>
      <c r="AN112" s="164"/>
      <c r="AO112" s="134"/>
      <c r="AP112" s="39" t="e">
        <f>#REF!</f>
        <v>#REF!</v>
      </c>
      <c r="AQ112" s="39" t="e">
        <f>INDEX(#REF!:#REF!,COUNTA(#REF!:#REF!),MATCH(Military!$AQ$2,#REF!,0))</f>
        <v>#REF!</v>
      </c>
      <c r="AR112" s="39" t="e">
        <f>#REF!*#REF!+#REF!*#REF!+#REF!*#REF!+#REF!*#REF!+#REF!*#REF!+#REF!*#REF!+#REF!*#REF!</f>
        <v>#REF!</v>
      </c>
      <c r="AS112" s="39" t="e">
        <f>#REF!*#REF!+#REF!*#REF!+#REF!*#REF!+#REF!*#REF!</f>
        <v>#REF!</v>
      </c>
      <c r="AT112" s="134" t="e">
        <f>#REF!</f>
        <v>#REF!</v>
      </c>
      <c r="AU112" s="143" t="e">
        <f>#REF!</f>
        <v>#REF!</v>
      </c>
      <c r="AV112" s="39" t="e">
        <f>#REF!</f>
        <v>#REF!</v>
      </c>
      <c r="AW112" s="164"/>
      <c r="AX112" s="164"/>
      <c r="AY112" s="164"/>
      <c r="AZ112" s="164"/>
      <c r="BA112" s="164"/>
      <c r="BB112" s="164"/>
      <c r="BC112" s="164"/>
      <c r="BD112" s="164"/>
      <c r="BE112" s="164"/>
      <c r="BF112" s="134"/>
      <c r="BG112" s="132" t="e">
        <f>#REF!/#REF!</f>
        <v>#REF!</v>
      </c>
      <c r="BH112" s="132" t="e">
        <f>#REF!/#REF!</f>
        <v>#REF!</v>
      </c>
      <c r="BI112" s="39" t="e">
        <f>ROUNDUP((1-MIN(#REF!*smithy_bonus,smithy_bonus_cap) + tech_3_5*#REF! + tech_5_3*#REF! + tech_5_5*#REF!)*spec_op_plat,0)</f>
        <v>#REF!</v>
      </c>
      <c r="BJ112" s="39" t="e">
        <f>ROUNDUP(IF(race="Gnome",1,(1-MIN(#REF!*smithy_bonus,smithy_bonus_cap) + tech_3_5*#REF! + tech_5_3*#REF! + tech_5_5*#REF!))*spec_op_ore,0)</f>
        <v>#REF!</v>
      </c>
      <c r="BK112" s="39" t="e">
        <f>ROUNDUP((1-MIN(#REF!*smithy_bonus,smithy_bonus_cap) + tech_3_5*#REF! + tech_5_3*#REF! + tech_5_5*#REF!)*spec_dp_plat,0)</f>
        <v>#REF!</v>
      </c>
      <c r="BL112" s="39" t="e">
        <f>ROUNDUP(IF(race="Gnome",1,(1-MIN(#REF!*smithy_bonus,smithy_bonus_cap) + tech_3_5*#REF! + tech_5_3*#REF! + tech_5_5*#REF!))*spec_dp_ore,0)</f>
        <v>#REF!</v>
      </c>
      <c r="BM112" s="39" t="e">
        <f>ROUNDUP((1-MIN(#REF!*smithy_bonus,smithy_bonus_cap) + tech_3_5*#REF! + tech_5_3*#REF! + tech_5_5*#REF!)*elite1_plat,0)</f>
        <v>#REF!</v>
      </c>
      <c r="BN112" s="39" t="e">
        <f>ROUNDUP(IF(race="Gnome",1,(1-MIN(#REF!*smithy_bonus,smithy_bonus_cap) + tech_3_5*#REF! + tech_5_3*#REF! + tech_5_5*#REF!))*elite1_ore,0)</f>
        <v>#REF!</v>
      </c>
      <c r="BO112" s="39" t="e">
        <f>ROUNDUP((1-MIN(#REF!*smithy_bonus,smithy_bonus_cap) + tech_3_5*#REF! + tech_5_3*#REF! + tech_5_5*#REF!)*elite2_plat,0)</f>
        <v>#REF!</v>
      </c>
      <c r="BP112" s="39" t="e">
        <f>ROUNDUP(IF(race="Gnome",1,(1-MIN(#REF!*smithy_bonus,smithy_bonus_cap) + tech_3_5*#REF! + tech_5_3*#REF! + tech_5_5*#REF!))*elite2_ore,0)</f>
        <v>#REF!</v>
      </c>
      <c r="BQ112" s="39" t="e">
        <f>ROUNDUP((1-MIN(ROUND(fh_spy_cost_red*#REF!,4),fh_spy_cost_cap)+ tech_1_9*#REF! + tech_9_1*#REF!)*spy_plat,0)</f>
        <v>#REF!</v>
      </c>
      <c r="BR112" s="39" t="e">
        <f>ROUNDUP((1-MIN(ROUND(fh_spy_cost_red*#REF!,4),fh_spy_cost_cap)+ tech_1_9*#REF! + tech_9_1*#REF!)*archspy_plat,0)</f>
        <v>#REF!</v>
      </c>
      <c r="BS112" s="39" t="e">
        <f>ROUNDUP((1-MIN(ROUND(wg_wiz_cost_bonus*#REF!,4),wg_wiz_cost_cap) + tech_1_9_2*#REF! + tech_9_1_2*#REF!)*wizard_plat,0)</f>
        <v>#REF!</v>
      </c>
      <c r="BT112" s="39" t="e">
        <f>ROUNDUP((1-MIN(ROUND(wg_wiz_cost_bonus*#REF!,4),wg_wiz_cost_cap) + tech_1_9_2*#REF! + tech_9_1_2*#REF!)*archmage_plat,0)</f>
        <v>#REF!</v>
      </c>
      <c r="BU112" s="134"/>
      <c r="BV112" s="132" t="e">
        <f>#REF!/#REF!</f>
        <v>#REF!</v>
      </c>
      <c r="BW112" s="132" t="e">
        <f>#REF!</f>
        <v>#REF!</v>
      </c>
      <c r="BX112" s="241" t="e">
        <f>IF(mystic_cap="none",#REF!/mystic_bonus,MIN(mystic_cap,#REF!/mystic_bonus))</f>
        <v>#REF!</v>
      </c>
      <c r="BY112" s="241" t="e">
        <f>IF(druid_op_cap="none",#REF!/druid_op_bonus,MIN(druid_op_cap,#REF!/druid_op_bonus))</f>
        <v>#REF!</v>
      </c>
      <c r="BZ112" s="241" t="e">
        <f>IF(druid_dp_cap="none",#REF!/druid_dp_bonus,MIN(druid_dp_cap,#REF!/druid_dp_bonus))</f>
        <v>#REF!</v>
      </c>
      <c r="CA112" s="241" t="e">
        <f>MIN(dryad_cap,#REF!/dryad_bonus)</f>
        <v>#REF!</v>
      </c>
      <c r="CB112" s="241" t="e">
        <f>MIN(rocka_cap,#REF!/rocka_bonus)</f>
        <v>#REF!</v>
      </c>
      <c r="CC112" s="241" t="e">
        <f>MIN(adept_op_cap,#REF!/adept_op_bonus)</f>
        <v>#REF!</v>
      </c>
      <c r="CD112" s="241" t="e">
        <f>MIN(adept_dp_cap,#REF!/adept_dp_bonus)</f>
        <v>#REF!</v>
      </c>
      <c r="CE112" s="39" t="e">
        <f>MIN(#REF!,#REF!)*2</f>
        <v>#REF!</v>
      </c>
      <c r="CF112" s="39" t="e">
        <f>MIN(#REF!,#REF!)*2</f>
        <v>#REF!</v>
      </c>
      <c r="CG112" s="241" t="e">
        <f>MIN(frost_mage_cap,#REF!/frost_mage_bonus)</f>
        <v>#REF!</v>
      </c>
      <c r="CH112" s="3" t="e">
        <f>MIN(ice_elem_cap,#REF!*ice_elem_bonus)</f>
        <v>#REF!</v>
      </c>
      <c r="CI112" s="241">
        <f t="shared" si="4"/>
        <v>0.83333333333333337</v>
      </c>
      <c r="CJ112" s="241" t="e">
        <f>MIN(nox_nightshade_cap,#REF!/#REF!/nox_nightshade_swamp_bonus)</f>
        <v>#REF!</v>
      </c>
      <c r="CK112" s="242"/>
      <c r="CL112" s="242"/>
      <c r="CM112" s="242"/>
      <c r="CN112" s="241" t="e">
        <f>MIN(6,#REF!+Races!$F$19)*1.8 +  IF(#REF!+Races!$F$19&gt;6,(#REF!+Races!$F$19-6)*0.2,0) - Races!$I$19</f>
        <v>#REF!</v>
      </c>
      <c r="CO112" s="241" t="e">
        <f>1.8 * MIN(MAX(#REF!+Races!$E$20,#REF!+Races!$F$20),6)  +  0.45 * MIN(MIN(#REF!+Races!$E$20,#REF!+Races!$F$20),6)  +  0.2 * ( MAX(#REF!+Races!$E$20-6,0) + MAX(#REF!+Races!$F$20-6,0) )  -  Races!$I$20</f>
        <v>#REF!</v>
      </c>
      <c r="CP112" s="39" t="e">
        <f>#REF!*#REF!+#REF!*#REF!</f>
        <v>#REF!</v>
      </c>
      <c r="CQ112" s="145" t="e">
        <f>MIN(6,#REF!+Races!$F$35)*1.8 +  IF(#REF!+Races!$F$35&gt;6,(#REF!+Races!$F$35-6)*0.2,0) - Races!$I$19</f>
        <v>#REF!</v>
      </c>
      <c r="CR112" s="39" t="e">
        <f>sylvan*(#REF!*#REF!)</f>
        <v>#REF!</v>
      </c>
      <c r="CS112" s="145" t="e">
        <f>1.8 * MIN(MAX(Races!$E$27,#REF!+Races!$F$27),6)  +  0.45 * MIN(MIN(Races!$E$27,#REF!+Races!$F$27),6)  +  0.2 * ( MAX(Races!$E$27-6,0) + MAX(#REF!+Races!$F$27-6,0) )  -  Races!$I$20</f>
        <v>#REF!</v>
      </c>
      <c r="CT112" s="39" t="e">
        <f>gnome*(#REF!*#REF!)</f>
        <v>#REF!</v>
      </c>
      <c r="CU112" s="145" t="e">
        <f>1.8 * MIN(MAX(#REF!+Races!$E$47,#REF!+Races!$F$47),6)  +  0.45 * MIN(MIN(#REF!+Races!$E$47,#REF!+Races!$F$47),6)  +  0.2 * ( MAX(#REF!+Races!$E$47-6,0) + MAX(#REF!+Races!$F$47-6,0) )  -  Races!$I$47</f>
        <v>#REF!</v>
      </c>
      <c r="CV112" s="39" t="e">
        <f>dark_elf*(#REF!*#REF!)</f>
        <v>#REF!</v>
      </c>
      <c r="CW112" s="145" t="e">
        <f>1.8 * MIN(MAX(#REF!+Races!$F$71,Races!$E$71),6)  +  0.45 * MIN(MIN(#REF!+Races!$F$71,Races!$E$71),6)  +  0.2 * ( MAX(#REF!+Races!$F$71-6,0) + MAX(Races!$E$71-6,0) )  -  Races!$I$71</f>
        <v>#REF!</v>
      </c>
      <c r="CX112" s="145" t="e">
        <f>1.8 * MIN(MAX(#REF!+Races!$E$71,Races!$F$71),6)  +  0.45 * MIN(MIN(#REF!+Races!$E$71,Races!$F$71),6)  +  0.2 * ( MAX(#REF!+Races!$E$71-6,0) + MAX(Races!$F$71-6,0) )  -  Races!$I$71</f>
        <v>#REF!</v>
      </c>
      <c r="CY112" s="39" t="e">
        <f>#REF!*#REF!+#REF!*#REF!</f>
        <v>#REF!</v>
      </c>
      <c r="CZ112" s="243"/>
      <c r="DA112" s="135" t="e">
        <f>MIN(SUM(#REF!)/#REF!/favorable_terrain_bonus/100,favorable_terrain_max)</f>
        <v>#REF!</v>
      </c>
      <c r="DB112" s="243"/>
      <c r="DC112"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12" s="134"/>
      <c r="DE112" s="244" t="e">
        <f>(#REF!+2*#REF!)/#REF!</f>
        <v>#REF!</v>
      </c>
      <c r="DF112" s="244" t="e">
        <f>#REF!*(1+race_wizard_strength+IF(#REF!&gt;72,tech_magical_weaponry_wiz*#REF!,0))</f>
        <v>#REF!</v>
      </c>
    </row>
    <row r="113" spans="1:110" x14ac:dyDescent="0.25">
      <c r="A113" s="130" t="e">
        <f>#REF!</f>
        <v>#REF!</v>
      </c>
      <c r="B113" s="236" t="e">
        <f ca="1">SUM(#REF!)+SUM(OFFSET(#REF!,-8,0):#REF!) + SUM(OFFSET(#REF!,-11,0):#REF!) +#REF!</f>
        <v>#REF!</v>
      </c>
      <c r="C113" s="132" t="e">
        <f>#REF!</f>
        <v>#REF!</v>
      </c>
      <c r="D113" s="134"/>
      <c r="E113" s="3" t="e">
        <f ca="1">OFFSET(#REF!,-1,0) + OFFSET(#REF!,-9,0) -#REF!</f>
        <v>#REF!</v>
      </c>
      <c r="F113" s="3" t="e">
        <f ca="1">OFFSET(#REF!,-1,0) + OFFSET(#REF!,-9,0)-#REF!</f>
        <v>#REF!</v>
      </c>
      <c r="G113" s="3" t="e">
        <f ca="1">OFFSET(#REF!,-1,0) + OFFSET(#REF!,-12,0)-#REF!</f>
        <v>#REF!</v>
      </c>
      <c r="H113" s="3" t="e">
        <f ca="1">OFFSET(#REF!,-1,0) + OFFSET(#REF!,-12,0)-#REF!</f>
        <v>#REF!</v>
      </c>
      <c r="I113" s="3" t="e">
        <f ca="1">OFFSET(#REF!,-1,0) + OFFSET(#REF!,-12,0) -#REF!-#REF!</f>
        <v>#REF!</v>
      </c>
      <c r="J113" s="3" t="e">
        <f ca="1">OFFSET(#REF!,-1,0) + OFFSET(#REF!,-12,0) -#REF!</f>
        <v>#REF!</v>
      </c>
      <c r="K113" s="3" t="e">
        <f ca="1">OFFSET(#REF!,-1,0) + OFFSET(#REF!,-12,0) -#REF!-#REF!</f>
        <v>#REF!</v>
      </c>
      <c r="L113" s="3" t="e">
        <f ca="1">OFFSET(#REF!,-1,0) + OFFSET(#REF!,-12,0) -#REF!</f>
        <v>#REF!</v>
      </c>
      <c r="M113" s="134"/>
      <c r="N113" s="39" t="e">
        <f>#REF!</f>
        <v>#REF!</v>
      </c>
      <c r="O113" s="134"/>
      <c r="P113" s="237" t="e">
        <f>#REF!*spec_op+#REF!*(elite1_base_op)+#REF!*(elite2_base_op+dark_elf*#REF!+icekin*#REF!+woodie*#REF!+orc*#REF!)+kobold*#REF!</f>
        <v>#REF!</v>
      </c>
      <c r="Q113" s="132" t="e">
        <f>race_offense+#REF!+ROUND(MIN(gn_bonus*#REF!/#REF!,gn_bonus_cap),4)+MAX(IF(#REF!&gt;0,warsong_bonus),IF(#REF!&gt;0,howling_op_bonus),IF(#REF!&gt;0,nightfall_bonus),IF(#REF!&gt;0,#REF!)) +#REF!/ 100*prestige_offense_bonus + tech_5_4*#REF! + tech_7_4*#REF!</f>
        <v>#REF!</v>
      </c>
      <c r="R113" s="237" t="e">
        <f>#REF!*(1+#REF!)</f>
        <v>#REF!</v>
      </c>
      <c r="S113" s="237" t="e">
        <f>#REF!*spec_dp+#REF!*(elite1_base_dp+woodie*#REF!+sylvan*#REF!+gnome*#REF!+icekin*#REF!+nox*#REF!)+#REF!*(elite2_base_dp+woodie*#REF!) + fh_peas_dp*MIN(#REF!,20*#REF!)+kobold*#REF!</f>
        <v>#REF!</v>
      </c>
      <c r="T113" s="237" t="e">
        <f>#REF!+#REF!</f>
        <v>#REF!</v>
      </c>
      <c r="U113" s="238" t="e">
        <f>race_defense +#REF! + ROUND( MIN(gt_bonus*#REF!/#REF!,gt_bonus_cap), 4) + IF(#REF!&gt;0,howling_dp_bonus,IF(#REF!&gt;0,ares_call_bonus))</f>
        <v>#REF!</v>
      </c>
      <c r="V113" s="239" t="e">
        <f>#REF! * (1 +#REF!)</f>
        <v>#REF!</v>
      </c>
      <c r="W113" s="237" t="e">
        <f>#REF! * (1 +#REF!)</f>
        <v>#REF!</v>
      </c>
      <c r="X113" s="237" t="e">
        <f>#REF!</f>
        <v>#REF!</v>
      </c>
      <c r="Y113" s="240"/>
      <c r="Z113" s="135" t="e">
        <f ca="1">IF(#REF!&lt;&gt;"",#REF!,OFFSET(#REF!,-1,0))</f>
        <v>#REF!</v>
      </c>
      <c r="AA113" s="39" t="e">
        <f ca="1">OFFSET(#REF!,-1,0)+OFFSET(#REF!,-1,0) - SUM(#REF!,#REF!) -#REF! + SUM(#REF!) -#REF!</f>
        <v>#REF!</v>
      </c>
      <c r="AB113" s="133"/>
      <c r="AC113" s="132" t="e">
        <f>(#REF!+#REF!)/(#REF!-#REF!*20)</f>
        <v>#REF!</v>
      </c>
      <c r="AD113" s="130"/>
      <c r="AE113" s="236" t="e">
        <f>#REF!</f>
        <v>#REF!</v>
      </c>
      <c r="AF113" s="131" t="e">
        <f>#REF!</f>
        <v>#REF!</v>
      </c>
      <c r="AG113" s="164"/>
      <c r="AH113" s="164"/>
      <c r="AI113" s="164"/>
      <c r="AJ113" s="164"/>
      <c r="AK113" s="164"/>
      <c r="AL113" s="164"/>
      <c r="AM113" s="164"/>
      <c r="AN113" s="164"/>
      <c r="AO113" s="134"/>
      <c r="AP113" s="39" t="e">
        <f>#REF!</f>
        <v>#REF!</v>
      </c>
      <c r="AQ113" s="39" t="e">
        <f>INDEX(#REF!:#REF!,COUNTA(#REF!:#REF!),MATCH(Military!$AQ$2,#REF!,0))</f>
        <v>#REF!</v>
      </c>
      <c r="AR113" s="39" t="e">
        <f>#REF!*#REF!+#REF!*#REF!+#REF!*#REF!+#REF!*#REF!+#REF!*#REF!+#REF!*#REF!+#REF!*#REF!</f>
        <v>#REF!</v>
      </c>
      <c r="AS113" s="39" t="e">
        <f>#REF!*#REF!+#REF!*#REF!+#REF!*#REF!+#REF!*#REF!</f>
        <v>#REF!</v>
      </c>
      <c r="AT113" s="134" t="e">
        <f>#REF!</f>
        <v>#REF!</v>
      </c>
      <c r="AU113" s="143" t="e">
        <f>#REF!</f>
        <v>#REF!</v>
      </c>
      <c r="AV113" s="39" t="e">
        <f>#REF!</f>
        <v>#REF!</v>
      </c>
      <c r="AW113" s="164"/>
      <c r="AX113" s="164"/>
      <c r="AY113" s="164"/>
      <c r="AZ113" s="164"/>
      <c r="BA113" s="164"/>
      <c r="BB113" s="164"/>
      <c r="BC113" s="164"/>
      <c r="BD113" s="164"/>
      <c r="BE113" s="164"/>
      <c r="BF113" s="134"/>
      <c r="BG113" s="132" t="e">
        <f>#REF!/#REF!</f>
        <v>#REF!</v>
      </c>
      <c r="BH113" s="132" t="e">
        <f>#REF!/#REF!</f>
        <v>#REF!</v>
      </c>
      <c r="BI113" s="39" t="e">
        <f>ROUNDUP((1-MIN(#REF!*smithy_bonus,smithy_bonus_cap) + tech_3_5*#REF! + tech_5_3*#REF! + tech_5_5*#REF!)*spec_op_plat,0)</f>
        <v>#REF!</v>
      </c>
      <c r="BJ113" s="39" t="e">
        <f>ROUNDUP(IF(race="Gnome",1,(1-MIN(#REF!*smithy_bonus,smithy_bonus_cap) + tech_3_5*#REF! + tech_5_3*#REF! + tech_5_5*#REF!))*spec_op_ore,0)</f>
        <v>#REF!</v>
      </c>
      <c r="BK113" s="39" t="e">
        <f>ROUNDUP((1-MIN(#REF!*smithy_bonus,smithy_bonus_cap) + tech_3_5*#REF! + tech_5_3*#REF! + tech_5_5*#REF!)*spec_dp_plat,0)</f>
        <v>#REF!</v>
      </c>
      <c r="BL113" s="39" t="e">
        <f>ROUNDUP(IF(race="Gnome",1,(1-MIN(#REF!*smithy_bonus,smithy_bonus_cap) + tech_3_5*#REF! + tech_5_3*#REF! + tech_5_5*#REF!))*spec_dp_ore,0)</f>
        <v>#REF!</v>
      </c>
      <c r="BM113" s="39" t="e">
        <f>ROUNDUP((1-MIN(#REF!*smithy_bonus,smithy_bonus_cap) + tech_3_5*#REF! + tech_5_3*#REF! + tech_5_5*#REF!)*elite1_plat,0)</f>
        <v>#REF!</v>
      </c>
      <c r="BN113" s="39" t="e">
        <f>ROUNDUP(IF(race="Gnome",1,(1-MIN(#REF!*smithy_bonus,smithy_bonus_cap) + tech_3_5*#REF! + tech_5_3*#REF! + tech_5_5*#REF!))*elite1_ore,0)</f>
        <v>#REF!</v>
      </c>
      <c r="BO113" s="39" t="e">
        <f>ROUNDUP((1-MIN(#REF!*smithy_bonus,smithy_bonus_cap) + tech_3_5*#REF! + tech_5_3*#REF! + tech_5_5*#REF!)*elite2_plat,0)</f>
        <v>#REF!</v>
      </c>
      <c r="BP113" s="39" t="e">
        <f>ROUNDUP(IF(race="Gnome",1,(1-MIN(#REF!*smithy_bonus,smithy_bonus_cap) + tech_3_5*#REF! + tech_5_3*#REF! + tech_5_5*#REF!))*elite2_ore,0)</f>
        <v>#REF!</v>
      </c>
      <c r="BQ113" s="39" t="e">
        <f>ROUNDUP((1-MIN(ROUND(fh_spy_cost_red*#REF!,4),fh_spy_cost_cap)+ tech_1_9*#REF! + tech_9_1*#REF!)*spy_plat,0)</f>
        <v>#REF!</v>
      </c>
      <c r="BR113" s="39" t="e">
        <f>ROUNDUP((1-MIN(ROUND(fh_spy_cost_red*#REF!,4),fh_spy_cost_cap)+ tech_1_9*#REF! + tech_9_1*#REF!)*archspy_plat,0)</f>
        <v>#REF!</v>
      </c>
      <c r="BS113" s="39" t="e">
        <f>ROUNDUP((1-MIN(ROUND(wg_wiz_cost_bonus*#REF!,4),wg_wiz_cost_cap) + tech_1_9_2*#REF! + tech_9_1_2*#REF!)*wizard_plat,0)</f>
        <v>#REF!</v>
      </c>
      <c r="BT113" s="39" t="e">
        <f>ROUNDUP((1-MIN(ROUND(wg_wiz_cost_bonus*#REF!,4),wg_wiz_cost_cap) + tech_1_9_2*#REF! + tech_9_1_2*#REF!)*archmage_plat,0)</f>
        <v>#REF!</v>
      </c>
      <c r="BU113" s="134"/>
      <c r="BV113" s="132" t="e">
        <f>#REF!/#REF!</f>
        <v>#REF!</v>
      </c>
      <c r="BW113" s="132" t="e">
        <f>#REF!</f>
        <v>#REF!</v>
      </c>
      <c r="BX113" s="241" t="e">
        <f>IF(mystic_cap="none",#REF!/mystic_bonus,MIN(mystic_cap,#REF!/mystic_bonus))</f>
        <v>#REF!</v>
      </c>
      <c r="BY113" s="241" t="e">
        <f>IF(druid_op_cap="none",#REF!/druid_op_bonus,MIN(druid_op_cap,#REF!/druid_op_bonus))</f>
        <v>#REF!</v>
      </c>
      <c r="BZ113" s="241" t="e">
        <f>IF(druid_dp_cap="none",#REF!/druid_dp_bonus,MIN(druid_dp_cap,#REF!/druid_dp_bonus))</f>
        <v>#REF!</v>
      </c>
      <c r="CA113" s="241" t="e">
        <f>MIN(dryad_cap,#REF!/dryad_bonus)</f>
        <v>#REF!</v>
      </c>
      <c r="CB113" s="241" t="e">
        <f>MIN(rocka_cap,#REF!/rocka_bonus)</f>
        <v>#REF!</v>
      </c>
      <c r="CC113" s="241" t="e">
        <f>MIN(adept_op_cap,#REF!/adept_op_bonus)</f>
        <v>#REF!</v>
      </c>
      <c r="CD113" s="241" t="e">
        <f>MIN(adept_dp_cap,#REF!/adept_dp_bonus)</f>
        <v>#REF!</v>
      </c>
      <c r="CE113" s="39" t="e">
        <f>MIN(#REF!,#REF!)*2</f>
        <v>#REF!</v>
      </c>
      <c r="CF113" s="39" t="e">
        <f>MIN(#REF!,#REF!)*2</f>
        <v>#REF!</v>
      </c>
      <c r="CG113" s="241" t="e">
        <f>MIN(frost_mage_cap,#REF!/frost_mage_bonus)</f>
        <v>#REF!</v>
      </c>
      <c r="CH113" s="3" t="e">
        <f>MIN(ice_elem_cap,#REF!*ice_elem_bonus)</f>
        <v>#REF!</v>
      </c>
      <c r="CI113" s="241">
        <f t="shared" si="4"/>
        <v>0.83333333333333337</v>
      </c>
      <c r="CJ113" s="241" t="e">
        <f>MIN(nox_nightshade_cap,#REF!/#REF!/nox_nightshade_swamp_bonus)</f>
        <v>#REF!</v>
      </c>
      <c r="CK113" s="242"/>
      <c r="CL113" s="242"/>
      <c r="CM113" s="242"/>
      <c r="CN113" s="241" t="e">
        <f>MIN(6,#REF!+Races!$F$19)*1.8 +  IF(#REF!+Races!$F$19&gt;6,(#REF!+Races!$F$19-6)*0.2,0) - Races!$I$19</f>
        <v>#REF!</v>
      </c>
      <c r="CO113" s="241" t="e">
        <f>1.8 * MIN(MAX(#REF!+Races!$E$20,#REF!+Races!$F$20),6)  +  0.45 * MIN(MIN(#REF!+Races!$E$20,#REF!+Races!$F$20),6)  +  0.2 * ( MAX(#REF!+Races!$E$20-6,0) + MAX(#REF!+Races!$F$20-6,0) )  -  Races!$I$20</f>
        <v>#REF!</v>
      </c>
      <c r="CP113" s="39" t="e">
        <f>#REF!*#REF!+#REF!*#REF!</f>
        <v>#REF!</v>
      </c>
      <c r="CQ113" s="145" t="e">
        <f>MIN(6,#REF!+Races!$F$35)*1.8 +  IF(#REF!+Races!$F$35&gt;6,(#REF!+Races!$F$35-6)*0.2,0) - Races!$I$19</f>
        <v>#REF!</v>
      </c>
      <c r="CR113" s="39" t="e">
        <f>sylvan*(#REF!*#REF!)</f>
        <v>#REF!</v>
      </c>
      <c r="CS113" s="145" t="e">
        <f>1.8 * MIN(MAX(Races!$E$27,#REF!+Races!$F$27),6)  +  0.45 * MIN(MIN(Races!$E$27,#REF!+Races!$F$27),6)  +  0.2 * ( MAX(Races!$E$27-6,0) + MAX(#REF!+Races!$F$27-6,0) )  -  Races!$I$20</f>
        <v>#REF!</v>
      </c>
      <c r="CT113" s="39" t="e">
        <f>gnome*(#REF!*#REF!)</f>
        <v>#REF!</v>
      </c>
      <c r="CU113" s="145" t="e">
        <f>1.8 * MIN(MAX(#REF!+Races!$E$47,#REF!+Races!$F$47),6)  +  0.45 * MIN(MIN(#REF!+Races!$E$47,#REF!+Races!$F$47),6)  +  0.2 * ( MAX(#REF!+Races!$E$47-6,0) + MAX(#REF!+Races!$F$47-6,0) )  -  Races!$I$47</f>
        <v>#REF!</v>
      </c>
      <c r="CV113" s="39" t="e">
        <f>dark_elf*(#REF!*#REF!)</f>
        <v>#REF!</v>
      </c>
      <c r="CW113" s="145" t="e">
        <f>1.8 * MIN(MAX(#REF!+Races!$F$71,Races!$E$71),6)  +  0.45 * MIN(MIN(#REF!+Races!$F$71,Races!$E$71),6)  +  0.2 * ( MAX(#REF!+Races!$F$71-6,0) + MAX(Races!$E$71-6,0) )  -  Races!$I$71</f>
        <v>#REF!</v>
      </c>
      <c r="CX113" s="145" t="e">
        <f>1.8 * MIN(MAX(#REF!+Races!$E$71,Races!$F$71),6)  +  0.45 * MIN(MIN(#REF!+Races!$E$71,Races!$F$71),6)  +  0.2 * ( MAX(#REF!+Races!$E$71-6,0) + MAX(Races!$F$71-6,0) )  -  Races!$I$71</f>
        <v>#REF!</v>
      </c>
      <c r="CY113" s="39" t="e">
        <f>#REF!*#REF!+#REF!*#REF!</f>
        <v>#REF!</v>
      </c>
      <c r="CZ113" s="243"/>
      <c r="DA113" s="135" t="e">
        <f>MIN(SUM(#REF!)/#REF!/favorable_terrain_bonus/100,favorable_terrain_max)</f>
        <v>#REF!</v>
      </c>
      <c r="DB113" s="243"/>
      <c r="DC113"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13" s="134"/>
      <c r="DE113" s="244" t="e">
        <f>(#REF!+2*#REF!)/#REF!</f>
        <v>#REF!</v>
      </c>
      <c r="DF113" s="244" t="e">
        <f>#REF!*(1+race_wizard_strength+IF(#REF!&gt;72,tech_magical_weaponry_wiz*#REF!,0))</f>
        <v>#REF!</v>
      </c>
    </row>
    <row r="114" spans="1:110" x14ac:dyDescent="0.25">
      <c r="A114" s="130" t="e">
        <f>#REF!</f>
        <v>#REF!</v>
      </c>
      <c r="B114" s="236" t="e">
        <f ca="1">SUM(#REF!)+SUM(OFFSET(#REF!,-8,0):#REF!) + SUM(OFFSET(#REF!,-11,0):#REF!) +#REF!</f>
        <v>#REF!</v>
      </c>
      <c r="C114" s="132" t="e">
        <f>#REF!</f>
        <v>#REF!</v>
      </c>
      <c r="D114" s="134"/>
      <c r="E114" s="3" t="e">
        <f ca="1">OFFSET(#REF!,-1,0) + OFFSET(#REF!,-9,0) -#REF!</f>
        <v>#REF!</v>
      </c>
      <c r="F114" s="3" t="e">
        <f ca="1">OFFSET(#REF!,-1,0) + OFFSET(#REF!,-9,0)-#REF!</f>
        <v>#REF!</v>
      </c>
      <c r="G114" s="3" t="e">
        <f ca="1">OFFSET(#REF!,-1,0) + OFFSET(#REF!,-12,0)-#REF!</f>
        <v>#REF!</v>
      </c>
      <c r="H114" s="3" t="e">
        <f ca="1">OFFSET(#REF!,-1,0) + OFFSET(#REF!,-12,0)-#REF!</f>
        <v>#REF!</v>
      </c>
      <c r="I114" s="3" t="e">
        <f ca="1">OFFSET(#REF!,-1,0) + OFFSET(#REF!,-12,0) -#REF!-#REF!</f>
        <v>#REF!</v>
      </c>
      <c r="J114" s="3" t="e">
        <f ca="1">OFFSET(#REF!,-1,0) + OFFSET(#REF!,-12,0) -#REF!</f>
        <v>#REF!</v>
      </c>
      <c r="K114" s="3" t="e">
        <f ca="1">OFFSET(#REF!,-1,0) + OFFSET(#REF!,-12,0) -#REF!-#REF!</f>
        <v>#REF!</v>
      </c>
      <c r="L114" s="3" t="e">
        <f ca="1">OFFSET(#REF!,-1,0) + OFFSET(#REF!,-12,0) -#REF!</f>
        <v>#REF!</v>
      </c>
      <c r="M114" s="134"/>
      <c r="N114" s="39" t="e">
        <f>#REF!</f>
        <v>#REF!</v>
      </c>
      <c r="O114" s="134"/>
      <c r="P114" s="237" t="e">
        <f>#REF!*spec_op+#REF!*(elite1_base_op)+#REF!*(elite2_base_op+dark_elf*#REF!+icekin*#REF!+woodie*#REF!+orc*#REF!)+kobold*#REF!</f>
        <v>#REF!</v>
      </c>
      <c r="Q114" s="132" t="e">
        <f>race_offense+#REF!+ROUND(MIN(gn_bonus*#REF!/#REF!,gn_bonus_cap),4)+MAX(IF(#REF!&gt;0,warsong_bonus),IF(#REF!&gt;0,howling_op_bonus),IF(#REF!&gt;0,nightfall_bonus),IF(#REF!&gt;0,#REF!)) +#REF!/ 100*prestige_offense_bonus + tech_5_4*#REF! + tech_7_4*#REF!</f>
        <v>#REF!</v>
      </c>
      <c r="R114" s="237" t="e">
        <f>#REF!*(1+#REF!)</f>
        <v>#REF!</v>
      </c>
      <c r="S114" s="237" t="e">
        <f>#REF!*spec_dp+#REF!*(elite1_base_dp+woodie*#REF!+sylvan*#REF!+gnome*#REF!+icekin*#REF!+nox*#REF!)+#REF!*(elite2_base_dp+woodie*#REF!) + fh_peas_dp*MIN(#REF!,20*#REF!)+kobold*#REF!</f>
        <v>#REF!</v>
      </c>
      <c r="T114" s="237" t="e">
        <f>#REF!+#REF!</f>
        <v>#REF!</v>
      </c>
      <c r="U114" s="238" t="e">
        <f>race_defense +#REF! + ROUND( MIN(gt_bonus*#REF!/#REF!,gt_bonus_cap), 4) + IF(#REF!&gt;0,howling_dp_bonus,IF(#REF!&gt;0,ares_call_bonus))</f>
        <v>#REF!</v>
      </c>
      <c r="V114" s="239" t="e">
        <f>#REF! * (1 +#REF!)</f>
        <v>#REF!</v>
      </c>
      <c r="W114" s="237" t="e">
        <f>#REF! * (1 +#REF!)</f>
        <v>#REF!</v>
      </c>
      <c r="X114" s="237" t="e">
        <f>#REF!</f>
        <v>#REF!</v>
      </c>
      <c r="Y114" s="240"/>
      <c r="Z114" s="135" t="e">
        <f ca="1">IF(#REF!&lt;&gt;"",#REF!,OFFSET(#REF!,-1,0))</f>
        <v>#REF!</v>
      </c>
      <c r="AA114" s="39" t="e">
        <f ca="1">OFFSET(#REF!,-1,0)+OFFSET(#REF!,-1,0) - SUM(#REF!,#REF!) -#REF! + SUM(#REF!) -#REF!</f>
        <v>#REF!</v>
      </c>
      <c r="AB114" s="133"/>
      <c r="AC114" s="132" t="e">
        <f>(#REF!+#REF!)/(#REF!-#REF!*20)</f>
        <v>#REF!</v>
      </c>
      <c r="AD114" s="130"/>
      <c r="AE114" s="236" t="e">
        <f>#REF!</f>
        <v>#REF!</v>
      </c>
      <c r="AF114" s="131" t="e">
        <f>#REF!</f>
        <v>#REF!</v>
      </c>
      <c r="AG114" s="164"/>
      <c r="AH114" s="164"/>
      <c r="AI114" s="164"/>
      <c r="AJ114" s="164"/>
      <c r="AK114" s="164"/>
      <c r="AL114" s="164"/>
      <c r="AM114" s="164"/>
      <c r="AN114" s="164"/>
      <c r="AO114" s="134"/>
      <c r="AP114" s="39" t="e">
        <f>#REF!</f>
        <v>#REF!</v>
      </c>
      <c r="AQ114" s="39" t="e">
        <f>INDEX(#REF!:#REF!,COUNTA(#REF!:#REF!),MATCH(Military!$AQ$2,#REF!,0))</f>
        <v>#REF!</v>
      </c>
      <c r="AR114" s="39" t="e">
        <f>#REF!*#REF!+#REF!*#REF!+#REF!*#REF!+#REF!*#REF!+#REF!*#REF!+#REF!*#REF!+#REF!*#REF!</f>
        <v>#REF!</v>
      </c>
      <c r="AS114" s="39" t="e">
        <f>#REF!*#REF!+#REF!*#REF!+#REF!*#REF!+#REF!*#REF!</f>
        <v>#REF!</v>
      </c>
      <c r="AT114" s="134" t="e">
        <f>#REF!</f>
        <v>#REF!</v>
      </c>
      <c r="AU114" s="143" t="e">
        <f>#REF!</f>
        <v>#REF!</v>
      </c>
      <c r="AV114" s="39" t="e">
        <f>#REF!</f>
        <v>#REF!</v>
      </c>
      <c r="AW114" s="164"/>
      <c r="AX114" s="164"/>
      <c r="AY114" s="164"/>
      <c r="AZ114" s="164"/>
      <c r="BA114" s="164"/>
      <c r="BB114" s="164"/>
      <c r="BC114" s="164"/>
      <c r="BD114" s="164"/>
      <c r="BE114" s="164"/>
      <c r="BF114" s="134"/>
      <c r="BG114" s="132" t="e">
        <f>#REF!/#REF!</f>
        <v>#REF!</v>
      </c>
      <c r="BH114" s="132" t="e">
        <f>#REF!/#REF!</f>
        <v>#REF!</v>
      </c>
      <c r="BI114" s="39" t="e">
        <f>ROUNDUP((1-MIN(#REF!*smithy_bonus,smithy_bonus_cap) + tech_3_5*#REF! + tech_5_3*#REF! + tech_5_5*#REF!)*spec_op_plat,0)</f>
        <v>#REF!</v>
      </c>
      <c r="BJ114" s="39" t="e">
        <f>ROUNDUP(IF(race="Gnome",1,(1-MIN(#REF!*smithy_bonus,smithy_bonus_cap) + tech_3_5*#REF! + tech_5_3*#REF! + tech_5_5*#REF!))*spec_op_ore,0)</f>
        <v>#REF!</v>
      </c>
      <c r="BK114" s="39" t="e">
        <f>ROUNDUP((1-MIN(#REF!*smithy_bonus,smithy_bonus_cap) + tech_3_5*#REF! + tech_5_3*#REF! + tech_5_5*#REF!)*spec_dp_plat,0)</f>
        <v>#REF!</v>
      </c>
      <c r="BL114" s="39" t="e">
        <f>ROUNDUP(IF(race="Gnome",1,(1-MIN(#REF!*smithy_bonus,smithy_bonus_cap) + tech_3_5*#REF! + tech_5_3*#REF! + tech_5_5*#REF!))*spec_dp_ore,0)</f>
        <v>#REF!</v>
      </c>
      <c r="BM114" s="39" t="e">
        <f>ROUNDUP((1-MIN(#REF!*smithy_bonus,smithy_bonus_cap) + tech_3_5*#REF! + tech_5_3*#REF! + tech_5_5*#REF!)*elite1_plat,0)</f>
        <v>#REF!</v>
      </c>
      <c r="BN114" s="39" t="e">
        <f>ROUNDUP(IF(race="Gnome",1,(1-MIN(#REF!*smithy_bonus,smithy_bonus_cap) + tech_3_5*#REF! + tech_5_3*#REF! + tech_5_5*#REF!))*elite1_ore,0)</f>
        <v>#REF!</v>
      </c>
      <c r="BO114" s="39" t="e">
        <f>ROUNDUP((1-MIN(#REF!*smithy_bonus,smithy_bonus_cap) + tech_3_5*#REF! + tech_5_3*#REF! + tech_5_5*#REF!)*elite2_plat,0)</f>
        <v>#REF!</v>
      </c>
      <c r="BP114" s="39" t="e">
        <f>ROUNDUP(IF(race="Gnome",1,(1-MIN(#REF!*smithy_bonus,smithy_bonus_cap) + tech_3_5*#REF! + tech_5_3*#REF! + tech_5_5*#REF!))*elite2_ore,0)</f>
        <v>#REF!</v>
      </c>
      <c r="BQ114" s="39" t="e">
        <f>ROUNDUP((1-MIN(ROUND(fh_spy_cost_red*#REF!,4),fh_spy_cost_cap)+ tech_1_9*#REF! + tech_9_1*#REF!)*spy_plat,0)</f>
        <v>#REF!</v>
      </c>
      <c r="BR114" s="39" t="e">
        <f>ROUNDUP((1-MIN(ROUND(fh_spy_cost_red*#REF!,4),fh_spy_cost_cap)+ tech_1_9*#REF! + tech_9_1*#REF!)*archspy_plat,0)</f>
        <v>#REF!</v>
      </c>
      <c r="BS114" s="39" t="e">
        <f>ROUNDUP((1-MIN(ROUND(wg_wiz_cost_bonus*#REF!,4),wg_wiz_cost_cap) + tech_1_9_2*#REF! + tech_9_1_2*#REF!)*wizard_plat,0)</f>
        <v>#REF!</v>
      </c>
      <c r="BT114" s="39" t="e">
        <f>ROUNDUP((1-MIN(ROUND(wg_wiz_cost_bonus*#REF!,4),wg_wiz_cost_cap) + tech_1_9_2*#REF! + tech_9_1_2*#REF!)*archmage_plat,0)</f>
        <v>#REF!</v>
      </c>
      <c r="BU114" s="134"/>
      <c r="BV114" s="132" t="e">
        <f>#REF!/#REF!</f>
        <v>#REF!</v>
      </c>
      <c r="BW114" s="132" t="e">
        <f>#REF!</f>
        <v>#REF!</v>
      </c>
      <c r="BX114" s="241" t="e">
        <f>IF(mystic_cap="none",#REF!/mystic_bonus,MIN(mystic_cap,#REF!/mystic_bonus))</f>
        <v>#REF!</v>
      </c>
      <c r="BY114" s="241" t="e">
        <f>IF(druid_op_cap="none",#REF!/druid_op_bonus,MIN(druid_op_cap,#REF!/druid_op_bonus))</f>
        <v>#REF!</v>
      </c>
      <c r="BZ114" s="241" t="e">
        <f>IF(druid_dp_cap="none",#REF!/druid_dp_bonus,MIN(druid_dp_cap,#REF!/druid_dp_bonus))</f>
        <v>#REF!</v>
      </c>
      <c r="CA114" s="241" t="e">
        <f>MIN(dryad_cap,#REF!/dryad_bonus)</f>
        <v>#REF!</v>
      </c>
      <c r="CB114" s="241" t="e">
        <f>MIN(rocka_cap,#REF!/rocka_bonus)</f>
        <v>#REF!</v>
      </c>
      <c r="CC114" s="241" t="e">
        <f>MIN(adept_op_cap,#REF!/adept_op_bonus)</f>
        <v>#REF!</v>
      </c>
      <c r="CD114" s="241" t="e">
        <f>MIN(adept_dp_cap,#REF!/adept_dp_bonus)</f>
        <v>#REF!</v>
      </c>
      <c r="CE114" s="39" t="e">
        <f>MIN(#REF!,#REF!)*2</f>
        <v>#REF!</v>
      </c>
      <c r="CF114" s="39" t="e">
        <f>MIN(#REF!,#REF!)*2</f>
        <v>#REF!</v>
      </c>
      <c r="CG114" s="241" t="e">
        <f>MIN(frost_mage_cap,#REF!/frost_mage_bonus)</f>
        <v>#REF!</v>
      </c>
      <c r="CH114" s="3" t="e">
        <f>MIN(ice_elem_cap,#REF!*ice_elem_bonus)</f>
        <v>#REF!</v>
      </c>
      <c r="CI114" s="241">
        <f t="shared" si="4"/>
        <v>0.83333333333333337</v>
      </c>
      <c r="CJ114" s="241" t="e">
        <f>MIN(nox_nightshade_cap,#REF!/#REF!/nox_nightshade_swamp_bonus)</f>
        <v>#REF!</v>
      </c>
      <c r="CK114" s="242"/>
      <c r="CL114" s="242"/>
      <c r="CM114" s="242"/>
      <c r="CN114" s="241" t="e">
        <f>MIN(6,#REF!+Races!$F$19)*1.8 +  IF(#REF!+Races!$F$19&gt;6,(#REF!+Races!$F$19-6)*0.2,0) - Races!$I$19</f>
        <v>#REF!</v>
      </c>
      <c r="CO114" s="241" t="e">
        <f>1.8 * MIN(MAX(#REF!+Races!$E$20,#REF!+Races!$F$20),6)  +  0.45 * MIN(MIN(#REF!+Races!$E$20,#REF!+Races!$F$20),6)  +  0.2 * ( MAX(#REF!+Races!$E$20-6,0) + MAX(#REF!+Races!$F$20-6,0) )  -  Races!$I$20</f>
        <v>#REF!</v>
      </c>
      <c r="CP114" s="39" t="e">
        <f>#REF!*#REF!+#REF!*#REF!</f>
        <v>#REF!</v>
      </c>
      <c r="CQ114" s="145" t="e">
        <f>MIN(6,#REF!+Races!$F$35)*1.8 +  IF(#REF!+Races!$F$35&gt;6,(#REF!+Races!$F$35-6)*0.2,0) - Races!$I$19</f>
        <v>#REF!</v>
      </c>
      <c r="CR114" s="39" t="e">
        <f>sylvan*(#REF!*#REF!)</f>
        <v>#REF!</v>
      </c>
      <c r="CS114" s="145" t="e">
        <f>1.8 * MIN(MAX(Races!$E$27,#REF!+Races!$F$27),6)  +  0.45 * MIN(MIN(Races!$E$27,#REF!+Races!$F$27),6)  +  0.2 * ( MAX(Races!$E$27-6,0) + MAX(#REF!+Races!$F$27-6,0) )  -  Races!$I$20</f>
        <v>#REF!</v>
      </c>
      <c r="CT114" s="39" t="e">
        <f>gnome*(#REF!*#REF!)</f>
        <v>#REF!</v>
      </c>
      <c r="CU114" s="145" t="e">
        <f>1.8 * MIN(MAX(#REF!+Races!$E$47,#REF!+Races!$F$47),6)  +  0.45 * MIN(MIN(#REF!+Races!$E$47,#REF!+Races!$F$47),6)  +  0.2 * ( MAX(#REF!+Races!$E$47-6,0) + MAX(#REF!+Races!$F$47-6,0) )  -  Races!$I$47</f>
        <v>#REF!</v>
      </c>
      <c r="CV114" s="39" t="e">
        <f>dark_elf*(#REF!*#REF!)</f>
        <v>#REF!</v>
      </c>
      <c r="CW114" s="145" t="e">
        <f>1.8 * MIN(MAX(#REF!+Races!$F$71,Races!$E$71),6)  +  0.45 * MIN(MIN(#REF!+Races!$F$71,Races!$E$71),6)  +  0.2 * ( MAX(#REF!+Races!$F$71-6,0) + MAX(Races!$E$71-6,0) )  -  Races!$I$71</f>
        <v>#REF!</v>
      </c>
      <c r="CX114" s="145" t="e">
        <f>1.8 * MIN(MAX(#REF!+Races!$E$71,Races!$F$71),6)  +  0.45 * MIN(MIN(#REF!+Races!$E$71,Races!$F$71),6)  +  0.2 * ( MAX(#REF!+Races!$E$71-6,0) + MAX(Races!$F$71-6,0) )  -  Races!$I$71</f>
        <v>#REF!</v>
      </c>
      <c r="CY114" s="39" t="e">
        <f>#REF!*#REF!+#REF!*#REF!</f>
        <v>#REF!</v>
      </c>
      <c r="CZ114" s="243"/>
      <c r="DA114" s="135" t="e">
        <f>MIN(SUM(#REF!)/#REF!/favorable_terrain_bonus/100,favorable_terrain_max)</f>
        <v>#REF!</v>
      </c>
      <c r="DB114" s="243"/>
      <c r="DC114"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14" s="134"/>
      <c r="DE114" s="244" t="e">
        <f>(#REF!+2*#REF!)/#REF!</f>
        <v>#REF!</v>
      </c>
      <c r="DF114" s="244" t="e">
        <f>#REF!*(1+race_wizard_strength+IF(#REF!&gt;72,tech_magical_weaponry_wiz*#REF!,0))</f>
        <v>#REF!</v>
      </c>
    </row>
    <row r="115" spans="1:110" x14ac:dyDescent="0.25">
      <c r="A115" s="130" t="e">
        <f>#REF!</f>
        <v>#REF!</v>
      </c>
      <c r="B115" s="236" t="e">
        <f ca="1">SUM(#REF!)+SUM(OFFSET(#REF!,-8,0):#REF!) + SUM(OFFSET(#REF!,-11,0):#REF!) +#REF!</f>
        <v>#REF!</v>
      </c>
      <c r="C115" s="132" t="e">
        <f>#REF!</f>
        <v>#REF!</v>
      </c>
      <c r="D115" s="134"/>
      <c r="E115" s="3" t="e">
        <f ca="1">OFFSET(#REF!,-1,0) + OFFSET(#REF!,-9,0) -#REF!</f>
        <v>#REF!</v>
      </c>
      <c r="F115" s="3" t="e">
        <f ca="1">OFFSET(#REF!,-1,0) + OFFSET(#REF!,-9,0)-#REF!</f>
        <v>#REF!</v>
      </c>
      <c r="G115" s="3" t="e">
        <f ca="1">OFFSET(#REF!,-1,0) + OFFSET(#REF!,-12,0)-#REF!</f>
        <v>#REF!</v>
      </c>
      <c r="H115" s="3" t="e">
        <f ca="1">OFFSET(#REF!,-1,0) + OFFSET(#REF!,-12,0)-#REF!</f>
        <v>#REF!</v>
      </c>
      <c r="I115" s="3" t="e">
        <f ca="1">OFFSET(#REF!,-1,0) + OFFSET(#REF!,-12,0) -#REF!-#REF!</f>
        <v>#REF!</v>
      </c>
      <c r="J115" s="3" t="e">
        <f ca="1">OFFSET(#REF!,-1,0) + OFFSET(#REF!,-12,0) -#REF!</f>
        <v>#REF!</v>
      </c>
      <c r="K115" s="3" t="e">
        <f ca="1">OFFSET(#REF!,-1,0) + OFFSET(#REF!,-12,0) -#REF!-#REF!</f>
        <v>#REF!</v>
      </c>
      <c r="L115" s="3" t="e">
        <f ca="1">OFFSET(#REF!,-1,0) + OFFSET(#REF!,-12,0) -#REF!</f>
        <v>#REF!</v>
      </c>
      <c r="M115" s="134"/>
      <c r="N115" s="39" t="e">
        <f>#REF!</f>
        <v>#REF!</v>
      </c>
      <c r="O115" s="134"/>
      <c r="P115" s="237" t="e">
        <f>#REF!*spec_op+#REF!*(elite1_base_op)+#REF!*(elite2_base_op+dark_elf*#REF!+icekin*#REF!+woodie*#REF!+orc*#REF!)+kobold*#REF!</f>
        <v>#REF!</v>
      </c>
      <c r="Q115" s="132" t="e">
        <f>race_offense+#REF!+ROUND(MIN(gn_bonus*#REF!/#REF!,gn_bonus_cap),4)+MAX(IF(#REF!&gt;0,warsong_bonus),IF(#REF!&gt;0,howling_op_bonus),IF(#REF!&gt;0,nightfall_bonus),IF(#REF!&gt;0,#REF!)) +#REF!/ 100*prestige_offense_bonus + tech_5_4*#REF! + tech_7_4*#REF!</f>
        <v>#REF!</v>
      </c>
      <c r="R115" s="237" t="e">
        <f>#REF!*(1+#REF!)</f>
        <v>#REF!</v>
      </c>
      <c r="S115" s="237" t="e">
        <f>#REF!*spec_dp+#REF!*(elite1_base_dp+woodie*#REF!+sylvan*#REF!+gnome*#REF!+icekin*#REF!+nox*#REF!)+#REF!*(elite2_base_dp+woodie*#REF!) + fh_peas_dp*MIN(#REF!,20*#REF!)+kobold*#REF!</f>
        <v>#REF!</v>
      </c>
      <c r="T115" s="237" t="e">
        <f>#REF!+#REF!</f>
        <v>#REF!</v>
      </c>
      <c r="U115" s="238" t="e">
        <f>race_defense +#REF! + ROUND( MIN(gt_bonus*#REF!/#REF!,gt_bonus_cap), 4) + IF(#REF!&gt;0,howling_dp_bonus,IF(#REF!&gt;0,ares_call_bonus))</f>
        <v>#REF!</v>
      </c>
      <c r="V115" s="239" t="e">
        <f>#REF! * (1 +#REF!)</f>
        <v>#REF!</v>
      </c>
      <c r="W115" s="237" t="e">
        <f>#REF! * (1 +#REF!)</f>
        <v>#REF!</v>
      </c>
      <c r="X115" s="237" t="e">
        <f>#REF!</f>
        <v>#REF!</v>
      </c>
      <c r="Y115" s="240"/>
      <c r="Z115" s="135" t="e">
        <f ca="1">IF(#REF!&lt;&gt;"",#REF!,OFFSET(#REF!,-1,0))</f>
        <v>#REF!</v>
      </c>
      <c r="AA115" s="39" t="e">
        <f ca="1">OFFSET(#REF!,-1,0)+OFFSET(#REF!,-1,0) - SUM(#REF!,#REF!) -#REF! + SUM(#REF!) -#REF!</f>
        <v>#REF!</v>
      </c>
      <c r="AB115" s="133"/>
      <c r="AC115" s="132" t="e">
        <f>(#REF!+#REF!)/(#REF!-#REF!*20)</f>
        <v>#REF!</v>
      </c>
      <c r="AD115" s="130"/>
      <c r="AE115" s="236" t="e">
        <f>#REF!</f>
        <v>#REF!</v>
      </c>
      <c r="AF115" s="131" t="e">
        <f>#REF!</f>
        <v>#REF!</v>
      </c>
      <c r="AG115" s="164"/>
      <c r="AH115" s="164"/>
      <c r="AI115" s="164"/>
      <c r="AJ115" s="164"/>
      <c r="AK115" s="164"/>
      <c r="AL115" s="164"/>
      <c r="AM115" s="164"/>
      <c r="AN115" s="164"/>
      <c r="AO115" s="134"/>
      <c r="AP115" s="39" t="e">
        <f>#REF!</f>
        <v>#REF!</v>
      </c>
      <c r="AQ115" s="39" t="e">
        <f>INDEX(#REF!:#REF!,COUNTA(#REF!:#REF!),MATCH(Military!$AQ$2,#REF!,0))</f>
        <v>#REF!</v>
      </c>
      <c r="AR115" s="39" t="e">
        <f>#REF!*#REF!+#REF!*#REF!+#REF!*#REF!+#REF!*#REF!+#REF!*#REF!+#REF!*#REF!+#REF!*#REF!</f>
        <v>#REF!</v>
      </c>
      <c r="AS115" s="39" t="e">
        <f>#REF!*#REF!+#REF!*#REF!+#REF!*#REF!+#REF!*#REF!</f>
        <v>#REF!</v>
      </c>
      <c r="AT115" s="134" t="e">
        <f>#REF!</f>
        <v>#REF!</v>
      </c>
      <c r="AU115" s="143" t="e">
        <f>#REF!</f>
        <v>#REF!</v>
      </c>
      <c r="AV115" s="39" t="e">
        <f>#REF!</f>
        <v>#REF!</v>
      </c>
      <c r="AW115" s="164"/>
      <c r="AX115" s="164"/>
      <c r="AY115" s="164"/>
      <c r="AZ115" s="164"/>
      <c r="BA115" s="164"/>
      <c r="BB115" s="164"/>
      <c r="BC115" s="164"/>
      <c r="BD115" s="164"/>
      <c r="BE115" s="164"/>
      <c r="BF115" s="134"/>
      <c r="BG115" s="132" t="e">
        <f>#REF!/#REF!</f>
        <v>#REF!</v>
      </c>
      <c r="BH115" s="132" t="e">
        <f>#REF!/#REF!</f>
        <v>#REF!</v>
      </c>
      <c r="BI115" s="39" t="e">
        <f>ROUNDUP((1-MIN(#REF!*smithy_bonus,smithy_bonus_cap) + tech_3_5*#REF! + tech_5_3*#REF! + tech_5_5*#REF!)*spec_op_plat,0)</f>
        <v>#REF!</v>
      </c>
      <c r="BJ115" s="39" t="e">
        <f>ROUNDUP(IF(race="Gnome",1,(1-MIN(#REF!*smithy_bonus,smithy_bonus_cap) + tech_3_5*#REF! + tech_5_3*#REF! + tech_5_5*#REF!))*spec_op_ore,0)</f>
        <v>#REF!</v>
      </c>
      <c r="BK115" s="39" t="e">
        <f>ROUNDUP((1-MIN(#REF!*smithy_bonus,smithy_bonus_cap) + tech_3_5*#REF! + tech_5_3*#REF! + tech_5_5*#REF!)*spec_dp_plat,0)</f>
        <v>#REF!</v>
      </c>
      <c r="BL115" s="39" t="e">
        <f>ROUNDUP(IF(race="Gnome",1,(1-MIN(#REF!*smithy_bonus,smithy_bonus_cap) + tech_3_5*#REF! + tech_5_3*#REF! + tech_5_5*#REF!))*spec_dp_ore,0)</f>
        <v>#REF!</v>
      </c>
      <c r="BM115" s="39" t="e">
        <f>ROUNDUP((1-MIN(#REF!*smithy_bonus,smithy_bonus_cap) + tech_3_5*#REF! + tech_5_3*#REF! + tech_5_5*#REF!)*elite1_plat,0)</f>
        <v>#REF!</v>
      </c>
      <c r="BN115" s="39" t="e">
        <f>ROUNDUP(IF(race="Gnome",1,(1-MIN(#REF!*smithy_bonus,smithy_bonus_cap) + tech_3_5*#REF! + tech_5_3*#REF! + tech_5_5*#REF!))*elite1_ore,0)</f>
        <v>#REF!</v>
      </c>
      <c r="BO115" s="39" t="e">
        <f>ROUNDUP((1-MIN(#REF!*smithy_bonus,smithy_bonus_cap) + tech_3_5*#REF! + tech_5_3*#REF! + tech_5_5*#REF!)*elite2_plat,0)</f>
        <v>#REF!</v>
      </c>
      <c r="BP115" s="39" t="e">
        <f>ROUNDUP(IF(race="Gnome",1,(1-MIN(#REF!*smithy_bonus,smithy_bonus_cap) + tech_3_5*#REF! + tech_5_3*#REF! + tech_5_5*#REF!))*elite2_ore,0)</f>
        <v>#REF!</v>
      </c>
      <c r="BQ115" s="39" t="e">
        <f>ROUNDUP((1-MIN(ROUND(fh_spy_cost_red*#REF!,4),fh_spy_cost_cap)+ tech_1_9*#REF! + tech_9_1*#REF!)*spy_plat,0)</f>
        <v>#REF!</v>
      </c>
      <c r="BR115" s="39" t="e">
        <f>ROUNDUP((1-MIN(ROUND(fh_spy_cost_red*#REF!,4),fh_spy_cost_cap)+ tech_1_9*#REF! + tech_9_1*#REF!)*archspy_plat,0)</f>
        <v>#REF!</v>
      </c>
      <c r="BS115" s="39" t="e">
        <f>ROUNDUP((1-MIN(ROUND(wg_wiz_cost_bonus*#REF!,4),wg_wiz_cost_cap) + tech_1_9_2*#REF! + tech_9_1_2*#REF!)*wizard_plat,0)</f>
        <v>#REF!</v>
      </c>
      <c r="BT115" s="39" t="e">
        <f>ROUNDUP((1-MIN(ROUND(wg_wiz_cost_bonus*#REF!,4),wg_wiz_cost_cap) + tech_1_9_2*#REF! + tech_9_1_2*#REF!)*archmage_plat,0)</f>
        <v>#REF!</v>
      </c>
      <c r="BU115" s="134"/>
      <c r="BV115" s="132" t="e">
        <f>#REF!/#REF!</f>
        <v>#REF!</v>
      </c>
      <c r="BW115" s="132" t="e">
        <f>#REF!</f>
        <v>#REF!</v>
      </c>
      <c r="BX115" s="241" t="e">
        <f>IF(mystic_cap="none",#REF!/mystic_bonus,MIN(mystic_cap,#REF!/mystic_bonus))</f>
        <v>#REF!</v>
      </c>
      <c r="BY115" s="241" t="e">
        <f>IF(druid_op_cap="none",#REF!/druid_op_bonus,MIN(druid_op_cap,#REF!/druid_op_bonus))</f>
        <v>#REF!</v>
      </c>
      <c r="BZ115" s="241" t="e">
        <f>IF(druid_dp_cap="none",#REF!/druid_dp_bonus,MIN(druid_dp_cap,#REF!/druid_dp_bonus))</f>
        <v>#REF!</v>
      </c>
      <c r="CA115" s="241" t="e">
        <f>MIN(dryad_cap,#REF!/dryad_bonus)</f>
        <v>#REF!</v>
      </c>
      <c r="CB115" s="241" t="e">
        <f>MIN(rocka_cap,#REF!/rocka_bonus)</f>
        <v>#REF!</v>
      </c>
      <c r="CC115" s="241" t="e">
        <f>MIN(adept_op_cap,#REF!/adept_op_bonus)</f>
        <v>#REF!</v>
      </c>
      <c r="CD115" s="241" t="e">
        <f>MIN(adept_dp_cap,#REF!/adept_dp_bonus)</f>
        <v>#REF!</v>
      </c>
      <c r="CE115" s="39" t="e">
        <f>MIN(#REF!,#REF!)*2</f>
        <v>#REF!</v>
      </c>
      <c r="CF115" s="39" t="e">
        <f>MIN(#REF!,#REF!)*2</f>
        <v>#REF!</v>
      </c>
      <c r="CG115" s="241" t="e">
        <f>MIN(frost_mage_cap,#REF!/frost_mage_bonus)</f>
        <v>#REF!</v>
      </c>
      <c r="CH115" s="3" t="e">
        <f>MIN(ice_elem_cap,#REF!*ice_elem_bonus)</f>
        <v>#REF!</v>
      </c>
      <c r="CI115" s="241">
        <f t="shared" si="4"/>
        <v>0.83333333333333337</v>
      </c>
      <c r="CJ115" s="241" t="e">
        <f>MIN(nox_nightshade_cap,#REF!/#REF!/nox_nightshade_swamp_bonus)</f>
        <v>#REF!</v>
      </c>
      <c r="CK115" s="242"/>
      <c r="CL115" s="242"/>
      <c r="CM115" s="242"/>
      <c r="CN115" s="241" t="e">
        <f>MIN(6,#REF!+Races!$F$19)*1.8 +  IF(#REF!+Races!$F$19&gt;6,(#REF!+Races!$F$19-6)*0.2,0) - Races!$I$19</f>
        <v>#REF!</v>
      </c>
      <c r="CO115" s="241" t="e">
        <f>1.8 * MIN(MAX(#REF!+Races!$E$20,#REF!+Races!$F$20),6)  +  0.45 * MIN(MIN(#REF!+Races!$E$20,#REF!+Races!$F$20),6)  +  0.2 * ( MAX(#REF!+Races!$E$20-6,0) + MAX(#REF!+Races!$F$20-6,0) )  -  Races!$I$20</f>
        <v>#REF!</v>
      </c>
      <c r="CP115" s="39" t="e">
        <f>#REF!*#REF!+#REF!*#REF!</f>
        <v>#REF!</v>
      </c>
      <c r="CQ115" s="145" t="e">
        <f>MIN(6,#REF!+Races!$F$35)*1.8 +  IF(#REF!+Races!$F$35&gt;6,(#REF!+Races!$F$35-6)*0.2,0) - Races!$I$19</f>
        <v>#REF!</v>
      </c>
      <c r="CR115" s="39" t="e">
        <f>sylvan*(#REF!*#REF!)</f>
        <v>#REF!</v>
      </c>
      <c r="CS115" s="145" t="e">
        <f>1.8 * MIN(MAX(Races!$E$27,#REF!+Races!$F$27),6)  +  0.45 * MIN(MIN(Races!$E$27,#REF!+Races!$F$27),6)  +  0.2 * ( MAX(Races!$E$27-6,0) + MAX(#REF!+Races!$F$27-6,0) )  -  Races!$I$20</f>
        <v>#REF!</v>
      </c>
      <c r="CT115" s="39" t="e">
        <f>gnome*(#REF!*#REF!)</f>
        <v>#REF!</v>
      </c>
      <c r="CU115" s="145" t="e">
        <f>1.8 * MIN(MAX(#REF!+Races!$E$47,#REF!+Races!$F$47),6)  +  0.45 * MIN(MIN(#REF!+Races!$E$47,#REF!+Races!$F$47),6)  +  0.2 * ( MAX(#REF!+Races!$E$47-6,0) + MAX(#REF!+Races!$F$47-6,0) )  -  Races!$I$47</f>
        <v>#REF!</v>
      </c>
      <c r="CV115" s="39" t="e">
        <f>dark_elf*(#REF!*#REF!)</f>
        <v>#REF!</v>
      </c>
      <c r="CW115" s="145" t="e">
        <f>1.8 * MIN(MAX(#REF!+Races!$F$71,Races!$E$71),6)  +  0.45 * MIN(MIN(#REF!+Races!$F$71,Races!$E$71),6)  +  0.2 * ( MAX(#REF!+Races!$F$71-6,0) + MAX(Races!$E$71-6,0) )  -  Races!$I$71</f>
        <v>#REF!</v>
      </c>
      <c r="CX115" s="145" t="e">
        <f>1.8 * MIN(MAX(#REF!+Races!$E$71,Races!$F$71),6)  +  0.45 * MIN(MIN(#REF!+Races!$E$71,Races!$F$71),6)  +  0.2 * ( MAX(#REF!+Races!$E$71-6,0) + MAX(Races!$F$71-6,0) )  -  Races!$I$71</f>
        <v>#REF!</v>
      </c>
      <c r="CY115" s="39" t="e">
        <f>#REF!*#REF!+#REF!*#REF!</f>
        <v>#REF!</v>
      </c>
      <c r="CZ115" s="243"/>
      <c r="DA115" s="135" t="e">
        <f>MIN(SUM(#REF!)/#REF!/favorable_terrain_bonus/100,favorable_terrain_max)</f>
        <v>#REF!</v>
      </c>
      <c r="DB115" s="243"/>
      <c r="DC115"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15" s="134"/>
      <c r="DE115" s="244" t="e">
        <f>(#REF!+2*#REF!)/#REF!</f>
        <v>#REF!</v>
      </c>
      <c r="DF115" s="244" t="e">
        <f>#REF!*(1+race_wizard_strength+IF(#REF!&gt;72,tech_magical_weaponry_wiz*#REF!,0))</f>
        <v>#REF!</v>
      </c>
    </row>
    <row r="116" spans="1:110" x14ac:dyDescent="0.25">
      <c r="A116" s="130" t="e">
        <f>#REF!</f>
        <v>#REF!</v>
      </c>
      <c r="B116" s="236" t="e">
        <f ca="1">SUM(#REF!)+SUM(OFFSET(#REF!,-8,0):#REF!) + SUM(OFFSET(#REF!,-11,0):#REF!) +#REF!</f>
        <v>#REF!</v>
      </c>
      <c r="C116" s="132" t="e">
        <f>#REF!</f>
        <v>#REF!</v>
      </c>
      <c r="D116" s="134"/>
      <c r="E116" s="3" t="e">
        <f ca="1">OFFSET(#REF!,-1,0) + OFFSET(#REF!,-9,0) -#REF!</f>
        <v>#REF!</v>
      </c>
      <c r="F116" s="3" t="e">
        <f ca="1">OFFSET(#REF!,-1,0) + OFFSET(#REF!,-9,0)-#REF!</f>
        <v>#REF!</v>
      </c>
      <c r="G116" s="3" t="e">
        <f ca="1">OFFSET(#REF!,-1,0) + OFFSET(#REF!,-12,0)-#REF!</f>
        <v>#REF!</v>
      </c>
      <c r="H116" s="3" t="e">
        <f ca="1">OFFSET(#REF!,-1,0) + OFFSET(#REF!,-12,0)-#REF!</f>
        <v>#REF!</v>
      </c>
      <c r="I116" s="3" t="e">
        <f ca="1">OFFSET(#REF!,-1,0) + OFFSET(#REF!,-12,0) -#REF!-#REF!</f>
        <v>#REF!</v>
      </c>
      <c r="J116" s="3" t="e">
        <f ca="1">OFFSET(#REF!,-1,0) + OFFSET(#REF!,-12,0) -#REF!</f>
        <v>#REF!</v>
      </c>
      <c r="K116" s="3" t="e">
        <f ca="1">OFFSET(#REF!,-1,0) + OFFSET(#REF!,-12,0) -#REF!-#REF!</f>
        <v>#REF!</v>
      </c>
      <c r="L116" s="3" t="e">
        <f ca="1">OFFSET(#REF!,-1,0) + OFFSET(#REF!,-12,0) -#REF!</f>
        <v>#REF!</v>
      </c>
      <c r="M116" s="134"/>
      <c r="N116" s="39" t="e">
        <f>#REF!</f>
        <v>#REF!</v>
      </c>
      <c r="O116" s="134"/>
      <c r="P116" s="237" t="e">
        <f>#REF!*spec_op+#REF!*(elite1_base_op)+#REF!*(elite2_base_op+dark_elf*#REF!+icekin*#REF!+woodie*#REF!+orc*#REF!)+kobold*#REF!</f>
        <v>#REF!</v>
      </c>
      <c r="Q116" s="132" t="e">
        <f>race_offense+#REF!+ROUND(MIN(gn_bonus*#REF!/#REF!,gn_bonus_cap),4)+MAX(IF(#REF!&gt;0,warsong_bonus),IF(#REF!&gt;0,howling_op_bonus),IF(#REF!&gt;0,nightfall_bonus),IF(#REF!&gt;0,#REF!)) +#REF!/ 100*prestige_offense_bonus + tech_5_4*#REF! + tech_7_4*#REF!</f>
        <v>#REF!</v>
      </c>
      <c r="R116" s="237" t="e">
        <f>#REF!*(1+#REF!)</f>
        <v>#REF!</v>
      </c>
      <c r="S116" s="237" t="e">
        <f>#REF!*spec_dp+#REF!*(elite1_base_dp+woodie*#REF!+sylvan*#REF!+gnome*#REF!+icekin*#REF!+nox*#REF!)+#REF!*(elite2_base_dp+woodie*#REF!) + fh_peas_dp*MIN(#REF!,20*#REF!)+kobold*#REF!</f>
        <v>#REF!</v>
      </c>
      <c r="T116" s="237" t="e">
        <f>#REF!+#REF!</f>
        <v>#REF!</v>
      </c>
      <c r="U116" s="238" t="e">
        <f>race_defense +#REF! + ROUND( MIN(gt_bonus*#REF!/#REF!,gt_bonus_cap), 4) + IF(#REF!&gt;0,howling_dp_bonus,IF(#REF!&gt;0,ares_call_bonus))</f>
        <v>#REF!</v>
      </c>
      <c r="V116" s="239" t="e">
        <f>#REF! * (1 +#REF!)</f>
        <v>#REF!</v>
      </c>
      <c r="W116" s="237" t="e">
        <f>#REF! * (1 +#REF!)</f>
        <v>#REF!</v>
      </c>
      <c r="X116" s="237" t="e">
        <f>#REF!</f>
        <v>#REF!</v>
      </c>
      <c r="Y116" s="240"/>
      <c r="Z116" s="135" t="e">
        <f ca="1">IF(#REF!&lt;&gt;"",#REF!,OFFSET(#REF!,-1,0))</f>
        <v>#REF!</v>
      </c>
      <c r="AA116" s="39" t="e">
        <f ca="1">OFFSET(#REF!,-1,0)+OFFSET(#REF!,-1,0) - SUM(#REF!,#REF!) -#REF! + SUM(#REF!) -#REF!</f>
        <v>#REF!</v>
      </c>
      <c r="AB116" s="133"/>
      <c r="AC116" s="132" t="e">
        <f>(#REF!+#REF!)/(#REF!-#REF!*20)</f>
        <v>#REF!</v>
      </c>
      <c r="AD116" s="130"/>
      <c r="AE116" s="236" t="e">
        <f>#REF!</f>
        <v>#REF!</v>
      </c>
      <c r="AF116" s="131" t="e">
        <f>#REF!</f>
        <v>#REF!</v>
      </c>
      <c r="AG116" s="164"/>
      <c r="AH116" s="164"/>
      <c r="AI116" s="164"/>
      <c r="AJ116" s="164"/>
      <c r="AK116" s="164"/>
      <c r="AL116" s="164"/>
      <c r="AM116" s="164"/>
      <c r="AN116" s="164"/>
      <c r="AO116" s="134"/>
      <c r="AP116" s="39" t="e">
        <f>#REF!</f>
        <v>#REF!</v>
      </c>
      <c r="AQ116" s="39" t="e">
        <f>INDEX(#REF!:#REF!,COUNTA(#REF!:#REF!),MATCH(Military!$AQ$2,#REF!,0))</f>
        <v>#REF!</v>
      </c>
      <c r="AR116" s="39" t="e">
        <f>#REF!*#REF!+#REF!*#REF!+#REF!*#REF!+#REF!*#REF!+#REF!*#REF!+#REF!*#REF!+#REF!*#REF!</f>
        <v>#REF!</v>
      </c>
      <c r="AS116" s="39" t="e">
        <f>#REF!*#REF!+#REF!*#REF!+#REF!*#REF!+#REF!*#REF!</f>
        <v>#REF!</v>
      </c>
      <c r="AT116" s="134" t="e">
        <f>#REF!</f>
        <v>#REF!</v>
      </c>
      <c r="AU116" s="143" t="e">
        <f>#REF!</f>
        <v>#REF!</v>
      </c>
      <c r="AV116" s="39" t="e">
        <f>#REF!</f>
        <v>#REF!</v>
      </c>
      <c r="AW116" s="164"/>
      <c r="AX116" s="164"/>
      <c r="AY116" s="164"/>
      <c r="AZ116" s="164"/>
      <c r="BA116" s="164"/>
      <c r="BB116" s="164"/>
      <c r="BC116" s="164"/>
      <c r="BD116" s="164"/>
      <c r="BE116" s="164"/>
      <c r="BF116" s="134"/>
      <c r="BG116" s="132" t="e">
        <f>#REF!/#REF!</f>
        <v>#REF!</v>
      </c>
      <c r="BH116" s="132" t="e">
        <f>#REF!/#REF!</f>
        <v>#REF!</v>
      </c>
      <c r="BI116" s="39" t="e">
        <f>ROUNDUP((1-MIN(#REF!*smithy_bonus,smithy_bonus_cap) + tech_3_5*#REF! + tech_5_3*#REF! + tech_5_5*#REF!)*spec_op_plat,0)</f>
        <v>#REF!</v>
      </c>
      <c r="BJ116" s="39" t="e">
        <f>ROUNDUP(IF(race="Gnome",1,(1-MIN(#REF!*smithy_bonus,smithy_bonus_cap) + tech_3_5*#REF! + tech_5_3*#REF! + tech_5_5*#REF!))*spec_op_ore,0)</f>
        <v>#REF!</v>
      </c>
      <c r="BK116" s="39" t="e">
        <f>ROUNDUP((1-MIN(#REF!*smithy_bonus,smithy_bonus_cap) + tech_3_5*#REF! + tech_5_3*#REF! + tech_5_5*#REF!)*spec_dp_plat,0)</f>
        <v>#REF!</v>
      </c>
      <c r="BL116" s="39" t="e">
        <f>ROUNDUP(IF(race="Gnome",1,(1-MIN(#REF!*smithy_bonus,smithy_bonus_cap) + tech_3_5*#REF! + tech_5_3*#REF! + tech_5_5*#REF!))*spec_dp_ore,0)</f>
        <v>#REF!</v>
      </c>
      <c r="BM116" s="39" t="e">
        <f>ROUNDUP((1-MIN(#REF!*smithy_bonus,smithy_bonus_cap) + tech_3_5*#REF! + tech_5_3*#REF! + tech_5_5*#REF!)*elite1_plat,0)</f>
        <v>#REF!</v>
      </c>
      <c r="BN116" s="39" t="e">
        <f>ROUNDUP(IF(race="Gnome",1,(1-MIN(#REF!*smithy_bonus,smithy_bonus_cap) + tech_3_5*#REF! + tech_5_3*#REF! + tech_5_5*#REF!))*elite1_ore,0)</f>
        <v>#REF!</v>
      </c>
      <c r="BO116" s="39" t="e">
        <f>ROUNDUP((1-MIN(#REF!*smithy_bonus,smithy_bonus_cap) + tech_3_5*#REF! + tech_5_3*#REF! + tech_5_5*#REF!)*elite2_plat,0)</f>
        <v>#REF!</v>
      </c>
      <c r="BP116" s="39" t="e">
        <f>ROUNDUP(IF(race="Gnome",1,(1-MIN(#REF!*smithy_bonus,smithy_bonus_cap) + tech_3_5*#REF! + tech_5_3*#REF! + tech_5_5*#REF!))*elite2_ore,0)</f>
        <v>#REF!</v>
      </c>
      <c r="BQ116" s="39" t="e">
        <f>ROUNDUP((1-MIN(ROUND(fh_spy_cost_red*#REF!,4),fh_spy_cost_cap)+ tech_1_9*#REF! + tech_9_1*#REF!)*spy_plat,0)</f>
        <v>#REF!</v>
      </c>
      <c r="BR116" s="39" t="e">
        <f>ROUNDUP((1-MIN(ROUND(fh_spy_cost_red*#REF!,4),fh_spy_cost_cap)+ tech_1_9*#REF! + tech_9_1*#REF!)*archspy_plat,0)</f>
        <v>#REF!</v>
      </c>
      <c r="BS116" s="39" t="e">
        <f>ROUNDUP((1-MIN(ROUND(wg_wiz_cost_bonus*#REF!,4),wg_wiz_cost_cap) + tech_1_9_2*#REF! + tech_9_1_2*#REF!)*wizard_plat,0)</f>
        <v>#REF!</v>
      </c>
      <c r="BT116" s="39" t="e">
        <f>ROUNDUP((1-MIN(ROUND(wg_wiz_cost_bonus*#REF!,4),wg_wiz_cost_cap) + tech_1_9_2*#REF! + tech_9_1_2*#REF!)*archmage_plat,0)</f>
        <v>#REF!</v>
      </c>
      <c r="BU116" s="134"/>
      <c r="BV116" s="132" t="e">
        <f>#REF!/#REF!</f>
        <v>#REF!</v>
      </c>
      <c r="BW116" s="132" t="e">
        <f>#REF!</f>
        <v>#REF!</v>
      </c>
      <c r="BX116" s="241" t="e">
        <f>IF(mystic_cap="none",#REF!/mystic_bonus,MIN(mystic_cap,#REF!/mystic_bonus))</f>
        <v>#REF!</v>
      </c>
      <c r="BY116" s="241" t="e">
        <f>IF(druid_op_cap="none",#REF!/druid_op_bonus,MIN(druid_op_cap,#REF!/druid_op_bonus))</f>
        <v>#REF!</v>
      </c>
      <c r="BZ116" s="241" t="e">
        <f>IF(druid_dp_cap="none",#REF!/druid_dp_bonus,MIN(druid_dp_cap,#REF!/druid_dp_bonus))</f>
        <v>#REF!</v>
      </c>
      <c r="CA116" s="241" t="e">
        <f>MIN(dryad_cap,#REF!/dryad_bonus)</f>
        <v>#REF!</v>
      </c>
      <c r="CB116" s="241" t="e">
        <f>MIN(rocka_cap,#REF!/rocka_bonus)</f>
        <v>#REF!</v>
      </c>
      <c r="CC116" s="241" t="e">
        <f>MIN(adept_op_cap,#REF!/adept_op_bonus)</f>
        <v>#REF!</v>
      </c>
      <c r="CD116" s="241" t="e">
        <f>MIN(adept_dp_cap,#REF!/adept_dp_bonus)</f>
        <v>#REF!</v>
      </c>
      <c r="CE116" s="39" t="e">
        <f>MIN(#REF!,#REF!)*2</f>
        <v>#REF!</v>
      </c>
      <c r="CF116" s="39" t="e">
        <f>MIN(#REF!,#REF!)*2</f>
        <v>#REF!</v>
      </c>
      <c r="CG116" s="241" t="e">
        <f>MIN(frost_mage_cap,#REF!/frost_mage_bonus)</f>
        <v>#REF!</v>
      </c>
      <c r="CH116" s="3" t="e">
        <f>MIN(ice_elem_cap,#REF!*ice_elem_bonus)</f>
        <v>#REF!</v>
      </c>
      <c r="CI116" s="241">
        <f t="shared" si="4"/>
        <v>0.83333333333333337</v>
      </c>
      <c r="CJ116" s="241" t="e">
        <f>MIN(nox_nightshade_cap,#REF!/#REF!/nox_nightshade_swamp_bonus)</f>
        <v>#REF!</v>
      </c>
      <c r="CK116" s="242"/>
      <c r="CL116" s="242"/>
      <c r="CM116" s="242"/>
      <c r="CN116" s="241" t="e">
        <f>MIN(6,#REF!+Races!$F$19)*1.8 +  IF(#REF!+Races!$F$19&gt;6,(#REF!+Races!$F$19-6)*0.2,0) - Races!$I$19</f>
        <v>#REF!</v>
      </c>
      <c r="CO116" s="241" t="e">
        <f>1.8 * MIN(MAX(#REF!+Races!$E$20,#REF!+Races!$F$20),6)  +  0.45 * MIN(MIN(#REF!+Races!$E$20,#REF!+Races!$F$20),6)  +  0.2 * ( MAX(#REF!+Races!$E$20-6,0) + MAX(#REF!+Races!$F$20-6,0) )  -  Races!$I$20</f>
        <v>#REF!</v>
      </c>
      <c r="CP116" s="39" t="e">
        <f>#REF!*#REF!+#REF!*#REF!</f>
        <v>#REF!</v>
      </c>
      <c r="CQ116" s="145" t="e">
        <f>MIN(6,#REF!+Races!$F$35)*1.8 +  IF(#REF!+Races!$F$35&gt;6,(#REF!+Races!$F$35-6)*0.2,0) - Races!$I$19</f>
        <v>#REF!</v>
      </c>
      <c r="CR116" s="39" t="e">
        <f>sylvan*(#REF!*#REF!)</f>
        <v>#REF!</v>
      </c>
      <c r="CS116" s="145" t="e">
        <f>1.8 * MIN(MAX(Races!$E$27,#REF!+Races!$F$27),6)  +  0.45 * MIN(MIN(Races!$E$27,#REF!+Races!$F$27),6)  +  0.2 * ( MAX(Races!$E$27-6,0) + MAX(#REF!+Races!$F$27-6,0) )  -  Races!$I$20</f>
        <v>#REF!</v>
      </c>
      <c r="CT116" s="39" t="e">
        <f>gnome*(#REF!*#REF!)</f>
        <v>#REF!</v>
      </c>
      <c r="CU116" s="145" t="e">
        <f>1.8 * MIN(MAX(#REF!+Races!$E$47,#REF!+Races!$F$47),6)  +  0.45 * MIN(MIN(#REF!+Races!$E$47,#REF!+Races!$F$47),6)  +  0.2 * ( MAX(#REF!+Races!$E$47-6,0) + MAX(#REF!+Races!$F$47-6,0) )  -  Races!$I$47</f>
        <v>#REF!</v>
      </c>
      <c r="CV116" s="39" t="e">
        <f>dark_elf*(#REF!*#REF!)</f>
        <v>#REF!</v>
      </c>
      <c r="CW116" s="145" t="e">
        <f>1.8 * MIN(MAX(#REF!+Races!$F$71,Races!$E$71),6)  +  0.45 * MIN(MIN(#REF!+Races!$F$71,Races!$E$71),6)  +  0.2 * ( MAX(#REF!+Races!$F$71-6,0) + MAX(Races!$E$71-6,0) )  -  Races!$I$71</f>
        <v>#REF!</v>
      </c>
      <c r="CX116" s="145" t="e">
        <f>1.8 * MIN(MAX(#REF!+Races!$E$71,Races!$F$71),6)  +  0.45 * MIN(MIN(#REF!+Races!$E$71,Races!$F$71),6)  +  0.2 * ( MAX(#REF!+Races!$E$71-6,0) + MAX(Races!$F$71-6,0) )  -  Races!$I$71</f>
        <v>#REF!</v>
      </c>
      <c r="CY116" s="39" t="e">
        <f>#REF!*#REF!+#REF!*#REF!</f>
        <v>#REF!</v>
      </c>
      <c r="CZ116" s="243"/>
      <c r="DA116" s="135" t="e">
        <f>MIN(SUM(#REF!)/#REF!/favorable_terrain_bonus/100,favorable_terrain_max)</f>
        <v>#REF!</v>
      </c>
      <c r="DB116" s="243"/>
      <c r="DC116"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16" s="134"/>
      <c r="DE116" s="244" t="e">
        <f>(#REF!+2*#REF!)/#REF!</f>
        <v>#REF!</v>
      </c>
      <c r="DF116" s="244" t="e">
        <f>#REF!*(1+race_wizard_strength+IF(#REF!&gt;72,tech_magical_weaponry_wiz*#REF!,0))</f>
        <v>#REF!</v>
      </c>
    </row>
    <row r="117" spans="1:110" x14ac:dyDescent="0.25">
      <c r="A117" s="130" t="e">
        <f>#REF!</f>
        <v>#REF!</v>
      </c>
      <c r="B117" s="236" t="e">
        <f ca="1">SUM(#REF!)+SUM(OFFSET(#REF!,-8,0):#REF!) + SUM(OFFSET(#REF!,-11,0):#REF!) +#REF!</f>
        <v>#REF!</v>
      </c>
      <c r="C117" s="132" t="e">
        <f>#REF!</f>
        <v>#REF!</v>
      </c>
      <c r="D117" s="134"/>
      <c r="E117" s="3" t="e">
        <f ca="1">OFFSET(#REF!,-1,0) + OFFSET(#REF!,-9,0) -#REF!</f>
        <v>#REF!</v>
      </c>
      <c r="F117" s="3" t="e">
        <f ca="1">OFFSET(#REF!,-1,0) + OFFSET(#REF!,-9,0)-#REF!</f>
        <v>#REF!</v>
      </c>
      <c r="G117" s="3" t="e">
        <f ca="1">OFFSET(#REF!,-1,0) + OFFSET(#REF!,-12,0)-#REF!</f>
        <v>#REF!</v>
      </c>
      <c r="H117" s="3" t="e">
        <f ca="1">OFFSET(#REF!,-1,0) + OFFSET(#REF!,-12,0)-#REF!</f>
        <v>#REF!</v>
      </c>
      <c r="I117" s="3" t="e">
        <f ca="1">OFFSET(#REF!,-1,0) + OFFSET(#REF!,-12,0) -#REF!-#REF!</f>
        <v>#REF!</v>
      </c>
      <c r="J117" s="3" t="e">
        <f ca="1">OFFSET(#REF!,-1,0) + OFFSET(#REF!,-12,0) -#REF!</f>
        <v>#REF!</v>
      </c>
      <c r="K117" s="3" t="e">
        <f ca="1">OFFSET(#REF!,-1,0) + OFFSET(#REF!,-12,0) -#REF!-#REF!</f>
        <v>#REF!</v>
      </c>
      <c r="L117" s="3" t="e">
        <f ca="1">OFFSET(#REF!,-1,0) + OFFSET(#REF!,-12,0) -#REF!</f>
        <v>#REF!</v>
      </c>
      <c r="M117" s="134"/>
      <c r="N117" s="39" t="e">
        <f>#REF!</f>
        <v>#REF!</v>
      </c>
      <c r="O117" s="134"/>
      <c r="P117" s="237" t="e">
        <f>#REF!*spec_op+#REF!*(elite1_base_op)+#REF!*(elite2_base_op+dark_elf*#REF!+icekin*#REF!+woodie*#REF!+orc*#REF!)+kobold*#REF!</f>
        <v>#REF!</v>
      </c>
      <c r="Q117" s="132" t="e">
        <f>race_offense+#REF!+ROUND(MIN(gn_bonus*#REF!/#REF!,gn_bonus_cap),4)+MAX(IF(#REF!&gt;0,warsong_bonus),IF(#REF!&gt;0,howling_op_bonus),IF(#REF!&gt;0,nightfall_bonus),IF(#REF!&gt;0,#REF!)) +#REF!/ 100*prestige_offense_bonus + tech_5_4*#REF! + tech_7_4*#REF!</f>
        <v>#REF!</v>
      </c>
      <c r="R117" s="237" t="e">
        <f>#REF!*(1+#REF!)</f>
        <v>#REF!</v>
      </c>
      <c r="S117" s="237" t="e">
        <f>#REF!*spec_dp+#REF!*(elite1_base_dp+woodie*#REF!+sylvan*#REF!+gnome*#REF!+icekin*#REF!+nox*#REF!)+#REF!*(elite2_base_dp+woodie*#REF!) + fh_peas_dp*MIN(#REF!,20*#REF!)+kobold*#REF!</f>
        <v>#REF!</v>
      </c>
      <c r="T117" s="237" t="e">
        <f>#REF!+#REF!</f>
        <v>#REF!</v>
      </c>
      <c r="U117" s="238" t="e">
        <f>race_defense +#REF! + ROUND( MIN(gt_bonus*#REF!/#REF!,gt_bonus_cap), 4) + IF(#REF!&gt;0,howling_dp_bonus,IF(#REF!&gt;0,ares_call_bonus))</f>
        <v>#REF!</v>
      </c>
      <c r="V117" s="239" t="e">
        <f>#REF! * (1 +#REF!)</f>
        <v>#REF!</v>
      </c>
      <c r="W117" s="237" t="e">
        <f>#REF! * (1 +#REF!)</f>
        <v>#REF!</v>
      </c>
      <c r="X117" s="237" t="e">
        <f>#REF!</f>
        <v>#REF!</v>
      </c>
      <c r="Y117" s="240"/>
      <c r="Z117" s="135" t="e">
        <f ca="1">IF(#REF!&lt;&gt;"",#REF!,OFFSET(#REF!,-1,0))</f>
        <v>#REF!</v>
      </c>
      <c r="AA117" s="39" t="e">
        <f ca="1">OFFSET(#REF!,-1,0)+OFFSET(#REF!,-1,0) - SUM(#REF!,#REF!) -#REF! + SUM(#REF!) -#REF!</f>
        <v>#REF!</v>
      </c>
      <c r="AB117" s="133"/>
      <c r="AC117" s="132" t="e">
        <f>(#REF!+#REF!)/(#REF!-#REF!*20)</f>
        <v>#REF!</v>
      </c>
      <c r="AD117" s="130"/>
      <c r="AE117" s="236" t="e">
        <f>#REF!</f>
        <v>#REF!</v>
      </c>
      <c r="AF117" s="131" t="e">
        <f>#REF!</f>
        <v>#REF!</v>
      </c>
      <c r="AG117" s="164"/>
      <c r="AH117" s="164"/>
      <c r="AI117" s="164"/>
      <c r="AJ117" s="164"/>
      <c r="AK117" s="164"/>
      <c r="AL117" s="164"/>
      <c r="AM117" s="164"/>
      <c r="AN117" s="164"/>
      <c r="AO117" s="134"/>
      <c r="AP117" s="39" t="e">
        <f>#REF!</f>
        <v>#REF!</v>
      </c>
      <c r="AQ117" s="39" t="e">
        <f>INDEX(#REF!:#REF!,COUNTA(#REF!:#REF!),MATCH(Military!$AQ$2,#REF!,0))</f>
        <v>#REF!</v>
      </c>
      <c r="AR117" s="39" t="e">
        <f>#REF!*#REF!+#REF!*#REF!+#REF!*#REF!+#REF!*#REF!+#REF!*#REF!+#REF!*#REF!+#REF!*#REF!</f>
        <v>#REF!</v>
      </c>
      <c r="AS117" s="39" t="e">
        <f>#REF!*#REF!+#REF!*#REF!+#REF!*#REF!+#REF!*#REF!</f>
        <v>#REF!</v>
      </c>
      <c r="AT117" s="134" t="e">
        <f>#REF!</f>
        <v>#REF!</v>
      </c>
      <c r="AU117" s="143" t="e">
        <f>#REF!</f>
        <v>#REF!</v>
      </c>
      <c r="AV117" s="39" t="e">
        <f>#REF!</f>
        <v>#REF!</v>
      </c>
      <c r="AW117" s="164"/>
      <c r="AX117" s="164"/>
      <c r="AY117" s="164"/>
      <c r="AZ117" s="164"/>
      <c r="BA117" s="164"/>
      <c r="BB117" s="164"/>
      <c r="BC117" s="164"/>
      <c r="BD117" s="164"/>
      <c r="BE117" s="164"/>
      <c r="BF117" s="134"/>
      <c r="BG117" s="132" t="e">
        <f>#REF!/#REF!</f>
        <v>#REF!</v>
      </c>
      <c r="BH117" s="132" t="e">
        <f>#REF!/#REF!</f>
        <v>#REF!</v>
      </c>
      <c r="BI117" s="39" t="e">
        <f>ROUNDUP((1-MIN(#REF!*smithy_bonus,smithy_bonus_cap) + tech_3_5*#REF! + tech_5_3*#REF! + tech_5_5*#REF!)*spec_op_plat,0)</f>
        <v>#REF!</v>
      </c>
      <c r="BJ117" s="39" t="e">
        <f>ROUNDUP(IF(race="Gnome",1,(1-MIN(#REF!*smithy_bonus,smithy_bonus_cap) + tech_3_5*#REF! + tech_5_3*#REF! + tech_5_5*#REF!))*spec_op_ore,0)</f>
        <v>#REF!</v>
      </c>
      <c r="BK117" s="39" t="e">
        <f>ROUNDUP((1-MIN(#REF!*smithy_bonus,smithy_bonus_cap) + tech_3_5*#REF! + tech_5_3*#REF! + tech_5_5*#REF!)*spec_dp_plat,0)</f>
        <v>#REF!</v>
      </c>
      <c r="BL117" s="39" t="e">
        <f>ROUNDUP(IF(race="Gnome",1,(1-MIN(#REF!*smithy_bonus,smithy_bonus_cap) + tech_3_5*#REF! + tech_5_3*#REF! + tech_5_5*#REF!))*spec_dp_ore,0)</f>
        <v>#REF!</v>
      </c>
      <c r="BM117" s="39" t="e">
        <f>ROUNDUP((1-MIN(#REF!*smithy_bonus,smithy_bonus_cap) + tech_3_5*#REF! + tech_5_3*#REF! + tech_5_5*#REF!)*elite1_plat,0)</f>
        <v>#REF!</v>
      </c>
      <c r="BN117" s="39" t="e">
        <f>ROUNDUP(IF(race="Gnome",1,(1-MIN(#REF!*smithy_bonus,smithy_bonus_cap) + tech_3_5*#REF! + tech_5_3*#REF! + tech_5_5*#REF!))*elite1_ore,0)</f>
        <v>#REF!</v>
      </c>
      <c r="BO117" s="39" t="e">
        <f>ROUNDUP((1-MIN(#REF!*smithy_bonus,smithy_bonus_cap) + tech_3_5*#REF! + tech_5_3*#REF! + tech_5_5*#REF!)*elite2_plat,0)</f>
        <v>#REF!</v>
      </c>
      <c r="BP117" s="39" t="e">
        <f>ROUNDUP(IF(race="Gnome",1,(1-MIN(#REF!*smithy_bonus,smithy_bonus_cap) + tech_3_5*#REF! + tech_5_3*#REF! + tech_5_5*#REF!))*elite2_ore,0)</f>
        <v>#REF!</v>
      </c>
      <c r="BQ117" s="39" t="e">
        <f>ROUNDUP((1-MIN(ROUND(fh_spy_cost_red*#REF!,4),fh_spy_cost_cap)+ tech_1_9*#REF! + tech_9_1*#REF!)*spy_plat,0)</f>
        <v>#REF!</v>
      </c>
      <c r="BR117" s="39" t="e">
        <f>ROUNDUP((1-MIN(ROUND(fh_spy_cost_red*#REF!,4),fh_spy_cost_cap)+ tech_1_9*#REF! + tech_9_1*#REF!)*archspy_plat,0)</f>
        <v>#REF!</v>
      </c>
      <c r="BS117" s="39" t="e">
        <f>ROUNDUP((1-MIN(ROUND(wg_wiz_cost_bonus*#REF!,4),wg_wiz_cost_cap) + tech_1_9_2*#REF! + tech_9_1_2*#REF!)*wizard_plat,0)</f>
        <v>#REF!</v>
      </c>
      <c r="BT117" s="39" t="e">
        <f>ROUNDUP((1-MIN(ROUND(wg_wiz_cost_bonus*#REF!,4),wg_wiz_cost_cap) + tech_1_9_2*#REF! + tech_9_1_2*#REF!)*archmage_plat,0)</f>
        <v>#REF!</v>
      </c>
      <c r="BU117" s="134"/>
      <c r="BV117" s="132" t="e">
        <f>#REF!/#REF!</f>
        <v>#REF!</v>
      </c>
      <c r="BW117" s="132" t="e">
        <f>#REF!</f>
        <v>#REF!</v>
      </c>
      <c r="BX117" s="241" t="e">
        <f>IF(mystic_cap="none",#REF!/mystic_bonus,MIN(mystic_cap,#REF!/mystic_bonus))</f>
        <v>#REF!</v>
      </c>
      <c r="BY117" s="241" t="e">
        <f>IF(druid_op_cap="none",#REF!/druid_op_bonus,MIN(druid_op_cap,#REF!/druid_op_bonus))</f>
        <v>#REF!</v>
      </c>
      <c r="BZ117" s="241" t="e">
        <f>IF(druid_dp_cap="none",#REF!/druid_dp_bonus,MIN(druid_dp_cap,#REF!/druid_dp_bonus))</f>
        <v>#REF!</v>
      </c>
      <c r="CA117" s="241" t="e">
        <f>MIN(dryad_cap,#REF!/dryad_bonus)</f>
        <v>#REF!</v>
      </c>
      <c r="CB117" s="241" t="e">
        <f>MIN(rocka_cap,#REF!/rocka_bonus)</f>
        <v>#REF!</v>
      </c>
      <c r="CC117" s="241" t="e">
        <f>MIN(adept_op_cap,#REF!/adept_op_bonus)</f>
        <v>#REF!</v>
      </c>
      <c r="CD117" s="241" t="e">
        <f>MIN(adept_dp_cap,#REF!/adept_dp_bonus)</f>
        <v>#REF!</v>
      </c>
      <c r="CE117" s="39" t="e">
        <f>MIN(#REF!,#REF!)*2</f>
        <v>#REF!</v>
      </c>
      <c r="CF117" s="39" t="e">
        <f>MIN(#REF!,#REF!)*2</f>
        <v>#REF!</v>
      </c>
      <c r="CG117" s="241" t="e">
        <f>MIN(frost_mage_cap,#REF!/frost_mage_bonus)</f>
        <v>#REF!</v>
      </c>
      <c r="CH117" s="3" t="e">
        <f>MIN(ice_elem_cap,#REF!*ice_elem_bonus)</f>
        <v>#REF!</v>
      </c>
      <c r="CI117" s="241">
        <f t="shared" si="4"/>
        <v>0.83333333333333337</v>
      </c>
      <c r="CJ117" s="241" t="e">
        <f>MIN(nox_nightshade_cap,#REF!/#REF!/nox_nightshade_swamp_bonus)</f>
        <v>#REF!</v>
      </c>
      <c r="CK117" s="242"/>
      <c r="CL117" s="242"/>
      <c r="CM117" s="242"/>
      <c r="CN117" s="241" t="e">
        <f>MIN(6,#REF!+Races!$F$19)*1.8 +  IF(#REF!+Races!$F$19&gt;6,(#REF!+Races!$F$19-6)*0.2,0) - Races!$I$19</f>
        <v>#REF!</v>
      </c>
      <c r="CO117" s="241" t="e">
        <f>1.8 * MIN(MAX(#REF!+Races!$E$20,#REF!+Races!$F$20),6)  +  0.45 * MIN(MIN(#REF!+Races!$E$20,#REF!+Races!$F$20),6)  +  0.2 * ( MAX(#REF!+Races!$E$20-6,0) + MAX(#REF!+Races!$F$20-6,0) )  -  Races!$I$20</f>
        <v>#REF!</v>
      </c>
      <c r="CP117" s="39" t="e">
        <f>#REF!*#REF!+#REF!*#REF!</f>
        <v>#REF!</v>
      </c>
      <c r="CQ117" s="145" t="e">
        <f>MIN(6,#REF!+Races!$F$35)*1.8 +  IF(#REF!+Races!$F$35&gt;6,(#REF!+Races!$F$35-6)*0.2,0) - Races!$I$19</f>
        <v>#REF!</v>
      </c>
      <c r="CR117" s="39" t="e">
        <f>sylvan*(#REF!*#REF!)</f>
        <v>#REF!</v>
      </c>
      <c r="CS117" s="145" t="e">
        <f>1.8 * MIN(MAX(Races!$E$27,#REF!+Races!$F$27),6)  +  0.45 * MIN(MIN(Races!$E$27,#REF!+Races!$F$27),6)  +  0.2 * ( MAX(Races!$E$27-6,0) + MAX(#REF!+Races!$F$27-6,0) )  -  Races!$I$20</f>
        <v>#REF!</v>
      </c>
      <c r="CT117" s="39" t="e">
        <f>gnome*(#REF!*#REF!)</f>
        <v>#REF!</v>
      </c>
      <c r="CU117" s="145" t="e">
        <f>1.8 * MIN(MAX(#REF!+Races!$E$47,#REF!+Races!$F$47),6)  +  0.45 * MIN(MIN(#REF!+Races!$E$47,#REF!+Races!$F$47),6)  +  0.2 * ( MAX(#REF!+Races!$E$47-6,0) + MAX(#REF!+Races!$F$47-6,0) )  -  Races!$I$47</f>
        <v>#REF!</v>
      </c>
      <c r="CV117" s="39" t="e">
        <f>dark_elf*(#REF!*#REF!)</f>
        <v>#REF!</v>
      </c>
      <c r="CW117" s="145" t="e">
        <f>1.8 * MIN(MAX(#REF!+Races!$F$71,Races!$E$71),6)  +  0.45 * MIN(MIN(#REF!+Races!$F$71,Races!$E$71),6)  +  0.2 * ( MAX(#REF!+Races!$F$71-6,0) + MAX(Races!$E$71-6,0) )  -  Races!$I$71</f>
        <v>#REF!</v>
      </c>
      <c r="CX117" s="145" t="e">
        <f>1.8 * MIN(MAX(#REF!+Races!$E$71,Races!$F$71),6)  +  0.45 * MIN(MIN(#REF!+Races!$E$71,Races!$F$71),6)  +  0.2 * ( MAX(#REF!+Races!$E$71-6,0) + MAX(Races!$F$71-6,0) )  -  Races!$I$71</f>
        <v>#REF!</v>
      </c>
      <c r="CY117" s="39" t="e">
        <f>#REF!*#REF!+#REF!*#REF!</f>
        <v>#REF!</v>
      </c>
      <c r="CZ117" s="243"/>
      <c r="DA117" s="135" t="e">
        <f>MIN(SUM(#REF!)/#REF!/favorable_terrain_bonus/100,favorable_terrain_max)</f>
        <v>#REF!</v>
      </c>
      <c r="DB117" s="243"/>
      <c r="DC117"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17" s="134"/>
      <c r="DE117" s="244" t="e">
        <f>(#REF!+2*#REF!)/#REF!</f>
        <v>#REF!</v>
      </c>
      <c r="DF117" s="244" t="e">
        <f>#REF!*(1+race_wizard_strength+IF(#REF!&gt;72,tech_magical_weaponry_wiz*#REF!,0))</f>
        <v>#REF!</v>
      </c>
    </row>
    <row r="118" spans="1:110" x14ac:dyDescent="0.25">
      <c r="A118" s="130" t="e">
        <f>#REF!</f>
        <v>#REF!</v>
      </c>
      <c r="B118" s="236" t="e">
        <f ca="1">SUM(#REF!)+SUM(OFFSET(#REF!,-8,0):#REF!) + SUM(OFFSET(#REF!,-11,0):#REF!) +#REF!</f>
        <v>#REF!</v>
      </c>
      <c r="C118" s="132" t="e">
        <f>#REF!</f>
        <v>#REF!</v>
      </c>
      <c r="D118" s="134"/>
      <c r="E118" s="3" t="e">
        <f ca="1">OFFSET(#REF!,-1,0) + OFFSET(#REF!,-9,0) -#REF!</f>
        <v>#REF!</v>
      </c>
      <c r="F118" s="3" t="e">
        <f ca="1">OFFSET(#REF!,-1,0) + OFFSET(#REF!,-9,0)-#REF!</f>
        <v>#REF!</v>
      </c>
      <c r="G118" s="3" t="e">
        <f ca="1">OFFSET(#REF!,-1,0) + OFFSET(#REF!,-12,0)-#REF!</f>
        <v>#REF!</v>
      </c>
      <c r="H118" s="3" t="e">
        <f ca="1">OFFSET(#REF!,-1,0) + OFFSET(#REF!,-12,0)-#REF!</f>
        <v>#REF!</v>
      </c>
      <c r="I118" s="3" t="e">
        <f ca="1">OFFSET(#REF!,-1,0) + OFFSET(#REF!,-12,0) -#REF!-#REF!</f>
        <v>#REF!</v>
      </c>
      <c r="J118" s="3" t="e">
        <f ca="1">OFFSET(#REF!,-1,0) + OFFSET(#REF!,-12,0) -#REF!</f>
        <v>#REF!</v>
      </c>
      <c r="K118" s="3" t="e">
        <f ca="1">OFFSET(#REF!,-1,0) + OFFSET(#REF!,-12,0) -#REF!-#REF!</f>
        <v>#REF!</v>
      </c>
      <c r="L118" s="3" t="e">
        <f ca="1">OFFSET(#REF!,-1,0) + OFFSET(#REF!,-12,0) -#REF!</f>
        <v>#REF!</v>
      </c>
      <c r="M118" s="134"/>
      <c r="N118" s="39" t="e">
        <f>#REF!</f>
        <v>#REF!</v>
      </c>
      <c r="O118" s="134"/>
      <c r="P118" s="237" t="e">
        <f>#REF!*spec_op+#REF!*(elite1_base_op)+#REF!*(elite2_base_op+dark_elf*#REF!+icekin*#REF!+woodie*#REF!+orc*#REF!)+kobold*#REF!</f>
        <v>#REF!</v>
      </c>
      <c r="Q118" s="132" t="e">
        <f>race_offense+#REF!+ROUND(MIN(gn_bonus*#REF!/#REF!,gn_bonus_cap),4)+MAX(IF(#REF!&gt;0,warsong_bonus),IF(#REF!&gt;0,howling_op_bonus),IF(#REF!&gt;0,nightfall_bonus),IF(#REF!&gt;0,#REF!)) +#REF!/ 100*prestige_offense_bonus + tech_5_4*#REF! + tech_7_4*#REF!</f>
        <v>#REF!</v>
      </c>
      <c r="R118" s="237" t="e">
        <f>#REF!*(1+#REF!)</f>
        <v>#REF!</v>
      </c>
      <c r="S118" s="237" t="e">
        <f>#REF!*spec_dp+#REF!*(elite1_base_dp+woodie*#REF!+sylvan*#REF!+gnome*#REF!+icekin*#REF!+nox*#REF!)+#REF!*(elite2_base_dp+woodie*#REF!) + fh_peas_dp*MIN(#REF!,20*#REF!)+kobold*#REF!</f>
        <v>#REF!</v>
      </c>
      <c r="T118" s="237" t="e">
        <f>#REF!+#REF!</f>
        <v>#REF!</v>
      </c>
      <c r="U118" s="238" t="e">
        <f>race_defense +#REF! + ROUND( MIN(gt_bonus*#REF!/#REF!,gt_bonus_cap), 4) + IF(#REF!&gt;0,howling_dp_bonus,IF(#REF!&gt;0,ares_call_bonus))</f>
        <v>#REF!</v>
      </c>
      <c r="V118" s="239" t="e">
        <f>#REF! * (1 +#REF!)</f>
        <v>#REF!</v>
      </c>
      <c r="W118" s="237" t="e">
        <f>#REF! * (1 +#REF!)</f>
        <v>#REF!</v>
      </c>
      <c r="X118" s="237" t="e">
        <f>#REF!</f>
        <v>#REF!</v>
      </c>
      <c r="Y118" s="240"/>
      <c r="Z118" s="135" t="e">
        <f ca="1">IF(#REF!&lt;&gt;"",#REF!,OFFSET(#REF!,-1,0))</f>
        <v>#REF!</v>
      </c>
      <c r="AA118" s="39" t="e">
        <f ca="1">OFFSET(#REF!,-1,0)+OFFSET(#REF!,-1,0) - SUM(#REF!,#REF!) -#REF! + SUM(#REF!) -#REF!</f>
        <v>#REF!</v>
      </c>
      <c r="AB118" s="133"/>
      <c r="AC118" s="132" t="e">
        <f>(#REF!+#REF!)/(#REF!-#REF!*20)</f>
        <v>#REF!</v>
      </c>
      <c r="AD118" s="130"/>
      <c r="AE118" s="236" t="e">
        <f>#REF!</f>
        <v>#REF!</v>
      </c>
      <c r="AF118" s="131" t="e">
        <f>#REF!</f>
        <v>#REF!</v>
      </c>
      <c r="AG118" s="164"/>
      <c r="AH118" s="164"/>
      <c r="AI118" s="164"/>
      <c r="AJ118" s="164"/>
      <c r="AK118" s="164"/>
      <c r="AL118" s="164"/>
      <c r="AM118" s="164"/>
      <c r="AN118" s="164"/>
      <c r="AO118" s="134"/>
      <c r="AP118" s="39" t="e">
        <f>#REF!</f>
        <v>#REF!</v>
      </c>
      <c r="AQ118" s="39" t="e">
        <f>INDEX(#REF!:#REF!,COUNTA(#REF!:#REF!),MATCH(Military!$AQ$2,#REF!,0))</f>
        <v>#REF!</v>
      </c>
      <c r="AR118" s="39" t="e">
        <f>#REF!*#REF!+#REF!*#REF!+#REF!*#REF!+#REF!*#REF!+#REF!*#REF!+#REF!*#REF!+#REF!*#REF!</f>
        <v>#REF!</v>
      </c>
      <c r="AS118" s="39" t="e">
        <f>#REF!*#REF!+#REF!*#REF!+#REF!*#REF!+#REF!*#REF!</f>
        <v>#REF!</v>
      </c>
      <c r="AT118" s="134" t="e">
        <f>#REF!</f>
        <v>#REF!</v>
      </c>
      <c r="AU118" s="143" t="e">
        <f>#REF!</f>
        <v>#REF!</v>
      </c>
      <c r="AV118" s="39" t="e">
        <f>#REF!</f>
        <v>#REF!</v>
      </c>
      <c r="AW118" s="164"/>
      <c r="AX118" s="164"/>
      <c r="AY118" s="164"/>
      <c r="AZ118" s="164"/>
      <c r="BA118" s="164"/>
      <c r="BB118" s="164"/>
      <c r="BC118" s="164"/>
      <c r="BD118" s="164"/>
      <c r="BE118" s="164"/>
      <c r="BF118" s="134"/>
      <c r="BG118" s="132" t="e">
        <f>#REF!/#REF!</f>
        <v>#REF!</v>
      </c>
      <c r="BH118" s="132" t="e">
        <f>#REF!/#REF!</f>
        <v>#REF!</v>
      </c>
      <c r="BI118" s="39" t="e">
        <f>ROUNDUP((1-MIN(#REF!*smithy_bonus,smithy_bonus_cap) + tech_3_5*#REF! + tech_5_3*#REF! + tech_5_5*#REF!)*spec_op_plat,0)</f>
        <v>#REF!</v>
      </c>
      <c r="BJ118" s="39" t="e">
        <f>ROUNDUP(IF(race="Gnome",1,(1-MIN(#REF!*smithy_bonus,smithy_bonus_cap) + tech_3_5*#REF! + tech_5_3*#REF! + tech_5_5*#REF!))*spec_op_ore,0)</f>
        <v>#REF!</v>
      </c>
      <c r="BK118" s="39" t="e">
        <f>ROUNDUP((1-MIN(#REF!*smithy_bonus,smithy_bonus_cap) + tech_3_5*#REF! + tech_5_3*#REF! + tech_5_5*#REF!)*spec_dp_plat,0)</f>
        <v>#REF!</v>
      </c>
      <c r="BL118" s="39" t="e">
        <f>ROUNDUP(IF(race="Gnome",1,(1-MIN(#REF!*smithy_bonus,smithy_bonus_cap) + tech_3_5*#REF! + tech_5_3*#REF! + tech_5_5*#REF!))*spec_dp_ore,0)</f>
        <v>#REF!</v>
      </c>
      <c r="BM118" s="39" t="e">
        <f>ROUNDUP((1-MIN(#REF!*smithy_bonus,smithy_bonus_cap) + tech_3_5*#REF! + tech_5_3*#REF! + tech_5_5*#REF!)*elite1_plat,0)</f>
        <v>#REF!</v>
      </c>
      <c r="BN118" s="39" t="e">
        <f>ROUNDUP(IF(race="Gnome",1,(1-MIN(#REF!*smithy_bonus,smithy_bonus_cap) + tech_3_5*#REF! + tech_5_3*#REF! + tech_5_5*#REF!))*elite1_ore,0)</f>
        <v>#REF!</v>
      </c>
      <c r="BO118" s="39" t="e">
        <f>ROUNDUP((1-MIN(#REF!*smithy_bonus,smithy_bonus_cap) + tech_3_5*#REF! + tech_5_3*#REF! + tech_5_5*#REF!)*elite2_plat,0)</f>
        <v>#REF!</v>
      </c>
      <c r="BP118" s="39" t="e">
        <f>ROUNDUP(IF(race="Gnome",1,(1-MIN(#REF!*smithy_bonus,smithy_bonus_cap) + tech_3_5*#REF! + tech_5_3*#REF! + tech_5_5*#REF!))*elite2_ore,0)</f>
        <v>#REF!</v>
      </c>
      <c r="BQ118" s="39" t="e">
        <f>ROUNDUP((1-MIN(ROUND(fh_spy_cost_red*#REF!,4),fh_spy_cost_cap)+ tech_1_9*#REF! + tech_9_1*#REF!)*spy_plat,0)</f>
        <v>#REF!</v>
      </c>
      <c r="BR118" s="39" t="e">
        <f>ROUNDUP((1-MIN(ROUND(fh_spy_cost_red*#REF!,4),fh_spy_cost_cap)+ tech_1_9*#REF! + tech_9_1*#REF!)*archspy_plat,0)</f>
        <v>#REF!</v>
      </c>
      <c r="BS118" s="39" t="e">
        <f>ROUNDUP((1-MIN(ROUND(wg_wiz_cost_bonus*#REF!,4),wg_wiz_cost_cap) + tech_1_9_2*#REF! + tech_9_1_2*#REF!)*wizard_plat,0)</f>
        <v>#REF!</v>
      </c>
      <c r="BT118" s="39" t="e">
        <f>ROUNDUP((1-MIN(ROUND(wg_wiz_cost_bonus*#REF!,4),wg_wiz_cost_cap) + tech_1_9_2*#REF! + tech_9_1_2*#REF!)*archmage_plat,0)</f>
        <v>#REF!</v>
      </c>
      <c r="BU118" s="134"/>
      <c r="BV118" s="132" t="e">
        <f>#REF!/#REF!</f>
        <v>#REF!</v>
      </c>
      <c r="BW118" s="132" t="e">
        <f>#REF!</f>
        <v>#REF!</v>
      </c>
      <c r="BX118" s="241" t="e">
        <f>IF(mystic_cap="none",#REF!/mystic_bonus,MIN(mystic_cap,#REF!/mystic_bonus))</f>
        <v>#REF!</v>
      </c>
      <c r="BY118" s="241" t="e">
        <f>IF(druid_op_cap="none",#REF!/druid_op_bonus,MIN(druid_op_cap,#REF!/druid_op_bonus))</f>
        <v>#REF!</v>
      </c>
      <c r="BZ118" s="241" t="e">
        <f>IF(druid_dp_cap="none",#REF!/druid_dp_bonus,MIN(druid_dp_cap,#REF!/druid_dp_bonus))</f>
        <v>#REF!</v>
      </c>
      <c r="CA118" s="241" t="e">
        <f>MIN(dryad_cap,#REF!/dryad_bonus)</f>
        <v>#REF!</v>
      </c>
      <c r="CB118" s="241" t="e">
        <f>MIN(rocka_cap,#REF!/rocka_bonus)</f>
        <v>#REF!</v>
      </c>
      <c r="CC118" s="241" t="e">
        <f>MIN(adept_op_cap,#REF!/adept_op_bonus)</f>
        <v>#REF!</v>
      </c>
      <c r="CD118" s="241" t="e">
        <f>MIN(adept_dp_cap,#REF!/adept_dp_bonus)</f>
        <v>#REF!</v>
      </c>
      <c r="CE118" s="39" t="e">
        <f>MIN(#REF!,#REF!)*2</f>
        <v>#REF!</v>
      </c>
      <c r="CF118" s="39" t="e">
        <f>MIN(#REF!,#REF!)*2</f>
        <v>#REF!</v>
      </c>
      <c r="CG118" s="241" t="e">
        <f>MIN(frost_mage_cap,#REF!/frost_mage_bonus)</f>
        <v>#REF!</v>
      </c>
      <c r="CH118" s="3" t="e">
        <f>MIN(ice_elem_cap,#REF!*ice_elem_bonus)</f>
        <v>#REF!</v>
      </c>
      <c r="CI118" s="241">
        <f t="shared" si="4"/>
        <v>0.83333333333333337</v>
      </c>
      <c r="CJ118" s="241" t="e">
        <f>MIN(nox_nightshade_cap,#REF!/#REF!/nox_nightshade_swamp_bonus)</f>
        <v>#REF!</v>
      </c>
      <c r="CK118" s="242"/>
      <c r="CL118" s="242"/>
      <c r="CM118" s="242"/>
      <c r="CN118" s="241" t="e">
        <f>MIN(6,#REF!+Races!$F$19)*1.8 +  IF(#REF!+Races!$F$19&gt;6,(#REF!+Races!$F$19-6)*0.2,0) - Races!$I$19</f>
        <v>#REF!</v>
      </c>
      <c r="CO118" s="241" t="e">
        <f>1.8 * MIN(MAX(#REF!+Races!$E$20,#REF!+Races!$F$20),6)  +  0.45 * MIN(MIN(#REF!+Races!$E$20,#REF!+Races!$F$20),6)  +  0.2 * ( MAX(#REF!+Races!$E$20-6,0) + MAX(#REF!+Races!$F$20-6,0) )  -  Races!$I$20</f>
        <v>#REF!</v>
      </c>
      <c r="CP118" s="39" t="e">
        <f>#REF!*#REF!+#REF!*#REF!</f>
        <v>#REF!</v>
      </c>
      <c r="CQ118" s="145" t="e">
        <f>MIN(6,#REF!+Races!$F$35)*1.8 +  IF(#REF!+Races!$F$35&gt;6,(#REF!+Races!$F$35-6)*0.2,0) - Races!$I$19</f>
        <v>#REF!</v>
      </c>
      <c r="CR118" s="39" t="e">
        <f>sylvan*(#REF!*#REF!)</f>
        <v>#REF!</v>
      </c>
      <c r="CS118" s="145" t="e">
        <f>1.8 * MIN(MAX(Races!$E$27,#REF!+Races!$F$27),6)  +  0.45 * MIN(MIN(Races!$E$27,#REF!+Races!$F$27),6)  +  0.2 * ( MAX(Races!$E$27-6,0) + MAX(#REF!+Races!$F$27-6,0) )  -  Races!$I$20</f>
        <v>#REF!</v>
      </c>
      <c r="CT118" s="39" t="e">
        <f>gnome*(#REF!*#REF!)</f>
        <v>#REF!</v>
      </c>
      <c r="CU118" s="145" t="e">
        <f>1.8 * MIN(MAX(#REF!+Races!$E$47,#REF!+Races!$F$47),6)  +  0.45 * MIN(MIN(#REF!+Races!$E$47,#REF!+Races!$F$47),6)  +  0.2 * ( MAX(#REF!+Races!$E$47-6,0) + MAX(#REF!+Races!$F$47-6,0) )  -  Races!$I$47</f>
        <v>#REF!</v>
      </c>
      <c r="CV118" s="39" t="e">
        <f>dark_elf*(#REF!*#REF!)</f>
        <v>#REF!</v>
      </c>
      <c r="CW118" s="145" t="e">
        <f>1.8 * MIN(MAX(#REF!+Races!$F$71,Races!$E$71),6)  +  0.45 * MIN(MIN(#REF!+Races!$F$71,Races!$E$71),6)  +  0.2 * ( MAX(#REF!+Races!$F$71-6,0) + MAX(Races!$E$71-6,0) )  -  Races!$I$71</f>
        <v>#REF!</v>
      </c>
      <c r="CX118" s="145" t="e">
        <f>1.8 * MIN(MAX(#REF!+Races!$E$71,Races!$F$71),6)  +  0.45 * MIN(MIN(#REF!+Races!$E$71,Races!$F$71),6)  +  0.2 * ( MAX(#REF!+Races!$E$71-6,0) + MAX(Races!$F$71-6,0) )  -  Races!$I$71</f>
        <v>#REF!</v>
      </c>
      <c r="CY118" s="39" t="e">
        <f>#REF!*#REF!+#REF!*#REF!</f>
        <v>#REF!</v>
      </c>
      <c r="CZ118" s="243"/>
      <c r="DA118" s="135" t="e">
        <f>MIN(SUM(#REF!)/#REF!/favorable_terrain_bonus/100,favorable_terrain_max)</f>
        <v>#REF!</v>
      </c>
      <c r="DB118" s="243"/>
      <c r="DC118"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18" s="134"/>
      <c r="DE118" s="244" t="e">
        <f>(#REF!+2*#REF!)/#REF!</f>
        <v>#REF!</v>
      </c>
      <c r="DF118" s="244" t="e">
        <f>#REF!*(1+race_wizard_strength+IF(#REF!&gt;72,tech_magical_weaponry_wiz*#REF!,0))</f>
        <v>#REF!</v>
      </c>
    </row>
    <row r="119" spans="1:110" x14ac:dyDescent="0.25">
      <c r="A119" s="130" t="e">
        <f>#REF!</f>
        <v>#REF!</v>
      </c>
      <c r="B119" s="236" t="e">
        <f ca="1">SUM(#REF!)+SUM(OFFSET(#REF!,-8,0):#REF!) + SUM(OFFSET(#REF!,-11,0):#REF!) +#REF!</f>
        <v>#REF!</v>
      </c>
      <c r="C119" s="132" t="e">
        <f>#REF!</f>
        <v>#REF!</v>
      </c>
      <c r="D119" s="134"/>
      <c r="E119" s="3" t="e">
        <f ca="1">OFFSET(#REF!,-1,0) + OFFSET(#REF!,-9,0) -#REF!</f>
        <v>#REF!</v>
      </c>
      <c r="F119" s="3" t="e">
        <f ca="1">OFFSET(#REF!,-1,0) + OFFSET(#REF!,-9,0)-#REF!</f>
        <v>#REF!</v>
      </c>
      <c r="G119" s="3" t="e">
        <f ca="1">OFFSET(#REF!,-1,0) + OFFSET(#REF!,-12,0)-#REF!</f>
        <v>#REF!</v>
      </c>
      <c r="H119" s="3" t="e">
        <f ca="1">OFFSET(#REF!,-1,0) + OFFSET(#REF!,-12,0)-#REF!</f>
        <v>#REF!</v>
      </c>
      <c r="I119" s="3" t="e">
        <f ca="1">OFFSET(#REF!,-1,0) + OFFSET(#REF!,-12,0) -#REF!-#REF!</f>
        <v>#REF!</v>
      </c>
      <c r="J119" s="3" t="e">
        <f ca="1">OFFSET(#REF!,-1,0) + OFFSET(#REF!,-12,0) -#REF!</f>
        <v>#REF!</v>
      </c>
      <c r="K119" s="3" t="e">
        <f ca="1">OFFSET(#REF!,-1,0) + OFFSET(#REF!,-12,0) -#REF!-#REF!</f>
        <v>#REF!</v>
      </c>
      <c r="L119" s="3" t="e">
        <f ca="1">OFFSET(#REF!,-1,0) + OFFSET(#REF!,-12,0) -#REF!</f>
        <v>#REF!</v>
      </c>
      <c r="M119" s="134"/>
      <c r="N119" s="39" t="e">
        <f>#REF!</f>
        <v>#REF!</v>
      </c>
      <c r="O119" s="134"/>
      <c r="P119" s="237" t="e">
        <f>#REF!*spec_op+#REF!*(elite1_base_op)+#REF!*(elite2_base_op+dark_elf*#REF!+icekin*#REF!+woodie*#REF!+orc*#REF!)+kobold*#REF!</f>
        <v>#REF!</v>
      </c>
      <c r="Q119" s="132" t="e">
        <f>race_offense+#REF!+ROUND(MIN(gn_bonus*#REF!/#REF!,gn_bonus_cap),4)+MAX(IF(#REF!&gt;0,warsong_bonus),IF(#REF!&gt;0,howling_op_bonus),IF(#REF!&gt;0,nightfall_bonus),IF(#REF!&gt;0,#REF!)) +#REF!/ 100*prestige_offense_bonus + tech_5_4*#REF! + tech_7_4*#REF!</f>
        <v>#REF!</v>
      </c>
      <c r="R119" s="237" t="e">
        <f>#REF!*(1+#REF!)</f>
        <v>#REF!</v>
      </c>
      <c r="S119" s="237" t="e">
        <f>#REF!*spec_dp+#REF!*(elite1_base_dp+woodie*#REF!+sylvan*#REF!+gnome*#REF!+icekin*#REF!+nox*#REF!)+#REF!*(elite2_base_dp+woodie*#REF!) + fh_peas_dp*MIN(#REF!,20*#REF!)+kobold*#REF!</f>
        <v>#REF!</v>
      </c>
      <c r="T119" s="237" t="e">
        <f>#REF!+#REF!</f>
        <v>#REF!</v>
      </c>
      <c r="U119" s="238" t="e">
        <f>race_defense +#REF! + ROUND( MIN(gt_bonus*#REF!/#REF!,gt_bonus_cap), 4) + IF(#REF!&gt;0,howling_dp_bonus,IF(#REF!&gt;0,ares_call_bonus))</f>
        <v>#REF!</v>
      </c>
      <c r="V119" s="239" t="e">
        <f>#REF! * (1 +#REF!)</f>
        <v>#REF!</v>
      </c>
      <c r="W119" s="237" t="e">
        <f>#REF! * (1 +#REF!)</f>
        <v>#REF!</v>
      </c>
      <c r="X119" s="237" t="e">
        <f>#REF!</f>
        <v>#REF!</v>
      </c>
      <c r="Y119" s="240"/>
      <c r="Z119" s="135" t="e">
        <f ca="1">IF(#REF!&lt;&gt;"",#REF!,OFFSET(#REF!,-1,0))</f>
        <v>#REF!</v>
      </c>
      <c r="AA119" s="39" t="e">
        <f ca="1">OFFSET(#REF!,-1,0)+OFFSET(#REF!,-1,0) - SUM(#REF!,#REF!) -#REF! + SUM(#REF!) -#REF!</f>
        <v>#REF!</v>
      </c>
      <c r="AB119" s="133"/>
      <c r="AC119" s="132" t="e">
        <f>(#REF!+#REF!)/(#REF!-#REF!*20)</f>
        <v>#REF!</v>
      </c>
      <c r="AD119" s="130"/>
      <c r="AE119" s="236" t="e">
        <f>#REF!</f>
        <v>#REF!</v>
      </c>
      <c r="AF119" s="131" t="e">
        <f>#REF!</f>
        <v>#REF!</v>
      </c>
      <c r="AG119" s="164"/>
      <c r="AH119" s="164"/>
      <c r="AI119" s="164"/>
      <c r="AJ119" s="164"/>
      <c r="AK119" s="164"/>
      <c r="AL119" s="164"/>
      <c r="AM119" s="164"/>
      <c r="AN119" s="164"/>
      <c r="AO119" s="134"/>
      <c r="AP119" s="39" t="e">
        <f>#REF!</f>
        <v>#REF!</v>
      </c>
      <c r="AQ119" s="39" t="e">
        <f>INDEX(#REF!:#REF!,COUNTA(#REF!:#REF!),MATCH(Military!$AQ$2,#REF!,0))</f>
        <v>#REF!</v>
      </c>
      <c r="AR119" s="39" t="e">
        <f>#REF!*#REF!+#REF!*#REF!+#REF!*#REF!+#REF!*#REF!+#REF!*#REF!+#REF!*#REF!+#REF!*#REF!</f>
        <v>#REF!</v>
      </c>
      <c r="AS119" s="39" t="e">
        <f>#REF!*#REF!+#REF!*#REF!+#REF!*#REF!+#REF!*#REF!</f>
        <v>#REF!</v>
      </c>
      <c r="AT119" s="134" t="e">
        <f>#REF!</f>
        <v>#REF!</v>
      </c>
      <c r="AU119" s="143" t="e">
        <f>#REF!</f>
        <v>#REF!</v>
      </c>
      <c r="AV119" s="39" t="e">
        <f>#REF!</f>
        <v>#REF!</v>
      </c>
      <c r="AW119" s="164"/>
      <c r="AX119" s="164"/>
      <c r="AY119" s="164"/>
      <c r="AZ119" s="164"/>
      <c r="BA119" s="164"/>
      <c r="BB119" s="164"/>
      <c r="BC119" s="164"/>
      <c r="BD119" s="164"/>
      <c r="BE119" s="164"/>
      <c r="BF119" s="134"/>
      <c r="BG119" s="132" t="e">
        <f>#REF!/#REF!</f>
        <v>#REF!</v>
      </c>
      <c r="BH119" s="132" t="e">
        <f>#REF!/#REF!</f>
        <v>#REF!</v>
      </c>
      <c r="BI119" s="39" t="e">
        <f>ROUNDUP((1-MIN(#REF!*smithy_bonus,smithy_bonus_cap) + tech_3_5*#REF! + tech_5_3*#REF! + tech_5_5*#REF!)*spec_op_plat,0)</f>
        <v>#REF!</v>
      </c>
      <c r="BJ119" s="39" t="e">
        <f>ROUNDUP(IF(race="Gnome",1,(1-MIN(#REF!*smithy_bonus,smithy_bonus_cap) + tech_3_5*#REF! + tech_5_3*#REF! + tech_5_5*#REF!))*spec_op_ore,0)</f>
        <v>#REF!</v>
      </c>
      <c r="BK119" s="39" t="e">
        <f>ROUNDUP((1-MIN(#REF!*smithy_bonus,smithy_bonus_cap) + tech_3_5*#REF! + tech_5_3*#REF! + tech_5_5*#REF!)*spec_dp_plat,0)</f>
        <v>#REF!</v>
      </c>
      <c r="BL119" s="39" t="e">
        <f>ROUNDUP(IF(race="Gnome",1,(1-MIN(#REF!*smithy_bonus,smithy_bonus_cap) + tech_3_5*#REF! + tech_5_3*#REF! + tech_5_5*#REF!))*spec_dp_ore,0)</f>
        <v>#REF!</v>
      </c>
      <c r="BM119" s="39" t="e">
        <f>ROUNDUP((1-MIN(#REF!*smithy_bonus,smithy_bonus_cap) + tech_3_5*#REF! + tech_5_3*#REF! + tech_5_5*#REF!)*elite1_plat,0)</f>
        <v>#REF!</v>
      </c>
      <c r="BN119" s="39" t="e">
        <f>ROUNDUP(IF(race="Gnome",1,(1-MIN(#REF!*smithy_bonus,smithy_bonus_cap) + tech_3_5*#REF! + tech_5_3*#REF! + tech_5_5*#REF!))*elite1_ore,0)</f>
        <v>#REF!</v>
      </c>
      <c r="BO119" s="39" t="e">
        <f>ROUNDUP((1-MIN(#REF!*smithy_bonus,smithy_bonus_cap) + tech_3_5*#REF! + tech_5_3*#REF! + tech_5_5*#REF!)*elite2_plat,0)</f>
        <v>#REF!</v>
      </c>
      <c r="BP119" s="39" t="e">
        <f>ROUNDUP(IF(race="Gnome",1,(1-MIN(#REF!*smithy_bonus,smithy_bonus_cap) + tech_3_5*#REF! + tech_5_3*#REF! + tech_5_5*#REF!))*elite2_ore,0)</f>
        <v>#REF!</v>
      </c>
      <c r="BQ119" s="39" t="e">
        <f>ROUNDUP((1-MIN(ROUND(fh_spy_cost_red*#REF!,4),fh_spy_cost_cap)+ tech_1_9*#REF! + tech_9_1*#REF!)*spy_plat,0)</f>
        <v>#REF!</v>
      </c>
      <c r="BR119" s="39" t="e">
        <f>ROUNDUP((1-MIN(ROUND(fh_spy_cost_red*#REF!,4),fh_spy_cost_cap)+ tech_1_9*#REF! + tech_9_1*#REF!)*archspy_plat,0)</f>
        <v>#REF!</v>
      </c>
      <c r="BS119" s="39" t="e">
        <f>ROUNDUP((1-MIN(ROUND(wg_wiz_cost_bonus*#REF!,4),wg_wiz_cost_cap) + tech_1_9_2*#REF! + tech_9_1_2*#REF!)*wizard_plat,0)</f>
        <v>#REF!</v>
      </c>
      <c r="BT119" s="39" t="e">
        <f>ROUNDUP((1-MIN(ROUND(wg_wiz_cost_bonus*#REF!,4),wg_wiz_cost_cap) + tech_1_9_2*#REF! + tech_9_1_2*#REF!)*archmage_plat,0)</f>
        <v>#REF!</v>
      </c>
      <c r="BU119" s="134"/>
      <c r="BV119" s="132" t="e">
        <f>#REF!/#REF!</f>
        <v>#REF!</v>
      </c>
      <c r="BW119" s="132" t="e">
        <f>#REF!</f>
        <v>#REF!</v>
      </c>
      <c r="BX119" s="241" t="e">
        <f>IF(mystic_cap="none",#REF!/mystic_bonus,MIN(mystic_cap,#REF!/mystic_bonus))</f>
        <v>#REF!</v>
      </c>
      <c r="BY119" s="241" t="e">
        <f>IF(druid_op_cap="none",#REF!/druid_op_bonus,MIN(druid_op_cap,#REF!/druid_op_bonus))</f>
        <v>#REF!</v>
      </c>
      <c r="BZ119" s="241" t="e">
        <f>IF(druid_dp_cap="none",#REF!/druid_dp_bonus,MIN(druid_dp_cap,#REF!/druid_dp_bonus))</f>
        <v>#REF!</v>
      </c>
      <c r="CA119" s="241" t="e">
        <f>MIN(dryad_cap,#REF!/dryad_bonus)</f>
        <v>#REF!</v>
      </c>
      <c r="CB119" s="241" t="e">
        <f>MIN(rocka_cap,#REF!/rocka_bonus)</f>
        <v>#REF!</v>
      </c>
      <c r="CC119" s="241" t="e">
        <f>MIN(adept_op_cap,#REF!/adept_op_bonus)</f>
        <v>#REF!</v>
      </c>
      <c r="CD119" s="241" t="e">
        <f>MIN(adept_dp_cap,#REF!/adept_dp_bonus)</f>
        <v>#REF!</v>
      </c>
      <c r="CE119" s="39" t="e">
        <f>MIN(#REF!,#REF!)*2</f>
        <v>#REF!</v>
      </c>
      <c r="CF119" s="39" t="e">
        <f>MIN(#REF!,#REF!)*2</f>
        <v>#REF!</v>
      </c>
      <c r="CG119" s="241" t="e">
        <f>MIN(frost_mage_cap,#REF!/frost_mage_bonus)</f>
        <v>#REF!</v>
      </c>
      <c r="CH119" s="3" t="e">
        <f>MIN(ice_elem_cap,#REF!*ice_elem_bonus)</f>
        <v>#REF!</v>
      </c>
      <c r="CI119" s="241">
        <f t="shared" si="4"/>
        <v>0.83333333333333337</v>
      </c>
      <c r="CJ119" s="241" t="e">
        <f>MIN(nox_nightshade_cap,#REF!/#REF!/nox_nightshade_swamp_bonus)</f>
        <v>#REF!</v>
      </c>
      <c r="CK119" s="242"/>
      <c r="CL119" s="242"/>
      <c r="CM119" s="242"/>
      <c r="CN119" s="241" t="e">
        <f>MIN(6,#REF!+Races!$F$19)*1.8 +  IF(#REF!+Races!$F$19&gt;6,(#REF!+Races!$F$19-6)*0.2,0) - Races!$I$19</f>
        <v>#REF!</v>
      </c>
      <c r="CO119" s="241" t="e">
        <f>1.8 * MIN(MAX(#REF!+Races!$E$20,#REF!+Races!$F$20),6)  +  0.45 * MIN(MIN(#REF!+Races!$E$20,#REF!+Races!$F$20),6)  +  0.2 * ( MAX(#REF!+Races!$E$20-6,0) + MAX(#REF!+Races!$F$20-6,0) )  -  Races!$I$20</f>
        <v>#REF!</v>
      </c>
      <c r="CP119" s="39" t="e">
        <f>#REF!*#REF!+#REF!*#REF!</f>
        <v>#REF!</v>
      </c>
      <c r="CQ119" s="145" t="e">
        <f>MIN(6,#REF!+Races!$F$35)*1.8 +  IF(#REF!+Races!$F$35&gt;6,(#REF!+Races!$F$35-6)*0.2,0) - Races!$I$19</f>
        <v>#REF!</v>
      </c>
      <c r="CR119" s="39" t="e">
        <f>sylvan*(#REF!*#REF!)</f>
        <v>#REF!</v>
      </c>
      <c r="CS119" s="145" t="e">
        <f>1.8 * MIN(MAX(Races!$E$27,#REF!+Races!$F$27),6)  +  0.45 * MIN(MIN(Races!$E$27,#REF!+Races!$F$27),6)  +  0.2 * ( MAX(Races!$E$27-6,0) + MAX(#REF!+Races!$F$27-6,0) )  -  Races!$I$20</f>
        <v>#REF!</v>
      </c>
      <c r="CT119" s="39" t="e">
        <f>gnome*(#REF!*#REF!)</f>
        <v>#REF!</v>
      </c>
      <c r="CU119" s="145" t="e">
        <f>1.8 * MIN(MAX(#REF!+Races!$E$47,#REF!+Races!$F$47),6)  +  0.45 * MIN(MIN(#REF!+Races!$E$47,#REF!+Races!$F$47),6)  +  0.2 * ( MAX(#REF!+Races!$E$47-6,0) + MAX(#REF!+Races!$F$47-6,0) )  -  Races!$I$47</f>
        <v>#REF!</v>
      </c>
      <c r="CV119" s="39" t="e">
        <f>dark_elf*(#REF!*#REF!)</f>
        <v>#REF!</v>
      </c>
      <c r="CW119" s="145" t="e">
        <f>1.8 * MIN(MAX(#REF!+Races!$F$71,Races!$E$71),6)  +  0.45 * MIN(MIN(#REF!+Races!$F$71,Races!$E$71),6)  +  0.2 * ( MAX(#REF!+Races!$F$71-6,0) + MAX(Races!$E$71-6,0) )  -  Races!$I$71</f>
        <v>#REF!</v>
      </c>
      <c r="CX119" s="145" t="e">
        <f>1.8 * MIN(MAX(#REF!+Races!$E$71,Races!$F$71),6)  +  0.45 * MIN(MIN(#REF!+Races!$E$71,Races!$F$71),6)  +  0.2 * ( MAX(#REF!+Races!$E$71-6,0) + MAX(Races!$F$71-6,0) )  -  Races!$I$71</f>
        <v>#REF!</v>
      </c>
      <c r="CY119" s="39" t="e">
        <f>#REF!*#REF!+#REF!*#REF!</f>
        <v>#REF!</v>
      </c>
      <c r="CZ119" s="243"/>
      <c r="DA119" s="135" t="e">
        <f>MIN(SUM(#REF!)/#REF!/favorable_terrain_bonus/100,favorable_terrain_max)</f>
        <v>#REF!</v>
      </c>
      <c r="DB119" s="243"/>
      <c r="DC119"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19" s="134"/>
      <c r="DE119" s="244" t="e">
        <f>(#REF!+2*#REF!)/#REF!</f>
        <v>#REF!</v>
      </c>
      <c r="DF119" s="244" t="e">
        <f>#REF!*(1+race_wizard_strength+IF(#REF!&gt;72,tech_magical_weaponry_wiz*#REF!,0))</f>
        <v>#REF!</v>
      </c>
    </row>
    <row r="120" spans="1:110" x14ac:dyDescent="0.25">
      <c r="A120" s="130" t="e">
        <f>#REF!</f>
        <v>#REF!</v>
      </c>
      <c r="B120" s="236" t="e">
        <f ca="1">SUM(#REF!)+SUM(OFFSET(#REF!,-8,0):#REF!) + SUM(OFFSET(#REF!,-11,0):#REF!) +#REF!</f>
        <v>#REF!</v>
      </c>
      <c r="C120" s="132" t="e">
        <f>#REF!</f>
        <v>#REF!</v>
      </c>
      <c r="D120" s="134"/>
      <c r="E120" s="3" t="e">
        <f ca="1">OFFSET(#REF!,-1,0) + OFFSET(#REF!,-9,0) -#REF!</f>
        <v>#REF!</v>
      </c>
      <c r="F120" s="3" t="e">
        <f ca="1">OFFSET(#REF!,-1,0) + OFFSET(#REF!,-9,0)-#REF!</f>
        <v>#REF!</v>
      </c>
      <c r="G120" s="3" t="e">
        <f ca="1">OFFSET(#REF!,-1,0) + OFFSET(#REF!,-12,0)-#REF!</f>
        <v>#REF!</v>
      </c>
      <c r="H120" s="3" t="e">
        <f ca="1">OFFSET(#REF!,-1,0) + OFFSET(#REF!,-12,0)-#REF!</f>
        <v>#REF!</v>
      </c>
      <c r="I120" s="3" t="e">
        <f ca="1">OFFSET(#REF!,-1,0) + OFFSET(#REF!,-12,0) -#REF!-#REF!</f>
        <v>#REF!</v>
      </c>
      <c r="J120" s="3" t="e">
        <f ca="1">OFFSET(#REF!,-1,0) + OFFSET(#REF!,-12,0) -#REF!</f>
        <v>#REF!</v>
      </c>
      <c r="K120" s="3" t="e">
        <f ca="1">OFFSET(#REF!,-1,0) + OFFSET(#REF!,-12,0) -#REF!-#REF!</f>
        <v>#REF!</v>
      </c>
      <c r="L120" s="3" t="e">
        <f ca="1">OFFSET(#REF!,-1,0) + OFFSET(#REF!,-12,0) -#REF!</f>
        <v>#REF!</v>
      </c>
      <c r="M120" s="134"/>
      <c r="N120" s="39" t="e">
        <f>#REF!</f>
        <v>#REF!</v>
      </c>
      <c r="O120" s="134"/>
      <c r="P120" s="237" t="e">
        <f>#REF!*spec_op+#REF!*(elite1_base_op)+#REF!*(elite2_base_op+dark_elf*#REF!+icekin*#REF!+woodie*#REF!+orc*#REF!)+kobold*#REF!</f>
        <v>#REF!</v>
      </c>
      <c r="Q120" s="132" t="e">
        <f>race_offense+#REF!+ROUND(MIN(gn_bonus*#REF!/#REF!,gn_bonus_cap),4)+MAX(IF(#REF!&gt;0,warsong_bonus),IF(#REF!&gt;0,howling_op_bonus),IF(#REF!&gt;0,nightfall_bonus),IF(#REF!&gt;0,#REF!)) +#REF!/ 100*prestige_offense_bonus + tech_5_4*#REF! + tech_7_4*#REF!</f>
        <v>#REF!</v>
      </c>
      <c r="R120" s="237" t="e">
        <f>#REF!*(1+#REF!)</f>
        <v>#REF!</v>
      </c>
      <c r="S120" s="237" t="e">
        <f>#REF!*spec_dp+#REF!*(elite1_base_dp+woodie*#REF!+sylvan*#REF!+gnome*#REF!+icekin*#REF!+nox*#REF!)+#REF!*(elite2_base_dp+woodie*#REF!) + fh_peas_dp*MIN(#REF!,20*#REF!)+kobold*#REF!</f>
        <v>#REF!</v>
      </c>
      <c r="T120" s="237" t="e">
        <f>#REF!+#REF!</f>
        <v>#REF!</v>
      </c>
      <c r="U120" s="238" t="e">
        <f>race_defense +#REF! + ROUND( MIN(gt_bonus*#REF!/#REF!,gt_bonus_cap), 4) + IF(#REF!&gt;0,howling_dp_bonus,IF(#REF!&gt;0,ares_call_bonus))</f>
        <v>#REF!</v>
      </c>
      <c r="V120" s="239" t="e">
        <f>#REF! * (1 +#REF!)</f>
        <v>#REF!</v>
      </c>
      <c r="W120" s="237" t="e">
        <f>#REF! * (1 +#REF!)</f>
        <v>#REF!</v>
      </c>
      <c r="X120" s="237" t="e">
        <f>#REF!</f>
        <v>#REF!</v>
      </c>
      <c r="Y120" s="240"/>
      <c r="Z120" s="135" t="e">
        <f ca="1">IF(#REF!&lt;&gt;"",#REF!,OFFSET(#REF!,-1,0))</f>
        <v>#REF!</v>
      </c>
      <c r="AA120" s="39" t="e">
        <f ca="1">OFFSET(#REF!,-1,0)+OFFSET(#REF!,-1,0) - SUM(#REF!,#REF!) -#REF! + SUM(#REF!) -#REF!</f>
        <v>#REF!</v>
      </c>
      <c r="AB120" s="133"/>
      <c r="AC120" s="132" t="e">
        <f>(#REF!+#REF!)/(#REF!-#REF!*20)</f>
        <v>#REF!</v>
      </c>
      <c r="AD120" s="130"/>
      <c r="AE120" s="236" t="e">
        <f>#REF!</f>
        <v>#REF!</v>
      </c>
      <c r="AF120" s="131" t="e">
        <f>#REF!</f>
        <v>#REF!</v>
      </c>
      <c r="AG120" s="164"/>
      <c r="AH120" s="164"/>
      <c r="AI120" s="164"/>
      <c r="AJ120" s="164"/>
      <c r="AK120" s="164"/>
      <c r="AL120" s="164"/>
      <c r="AM120" s="164"/>
      <c r="AN120" s="164"/>
      <c r="AO120" s="134"/>
      <c r="AP120" s="39" t="e">
        <f>#REF!</f>
        <v>#REF!</v>
      </c>
      <c r="AQ120" s="39" t="e">
        <f>INDEX(#REF!:#REF!,COUNTA(#REF!:#REF!),MATCH(Military!$AQ$2,#REF!,0))</f>
        <v>#REF!</v>
      </c>
      <c r="AR120" s="39" t="e">
        <f>#REF!*#REF!+#REF!*#REF!+#REF!*#REF!+#REF!*#REF!+#REF!*#REF!+#REF!*#REF!+#REF!*#REF!</f>
        <v>#REF!</v>
      </c>
      <c r="AS120" s="39" t="e">
        <f>#REF!*#REF!+#REF!*#REF!+#REF!*#REF!+#REF!*#REF!</f>
        <v>#REF!</v>
      </c>
      <c r="AT120" s="134" t="e">
        <f>#REF!</f>
        <v>#REF!</v>
      </c>
      <c r="AU120" s="143" t="e">
        <f>#REF!</f>
        <v>#REF!</v>
      </c>
      <c r="AV120" s="39" t="e">
        <f>#REF!</f>
        <v>#REF!</v>
      </c>
      <c r="AW120" s="164"/>
      <c r="AX120" s="164"/>
      <c r="AY120" s="164"/>
      <c r="AZ120" s="164"/>
      <c r="BA120" s="164"/>
      <c r="BB120" s="164"/>
      <c r="BC120" s="164"/>
      <c r="BD120" s="164"/>
      <c r="BE120" s="164"/>
      <c r="BF120" s="134"/>
      <c r="BG120" s="132" t="e">
        <f>#REF!/#REF!</f>
        <v>#REF!</v>
      </c>
      <c r="BH120" s="132" t="e">
        <f>#REF!/#REF!</f>
        <v>#REF!</v>
      </c>
      <c r="BI120" s="39" t="e">
        <f>ROUNDUP((1-MIN(#REF!*smithy_bonus,smithy_bonus_cap) + tech_3_5*#REF! + tech_5_3*#REF! + tech_5_5*#REF!)*spec_op_plat,0)</f>
        <v>#REF!</v>
      </c>
      <c r="BJ120" s="39" t="e">
        <f>ROUNDUP(IF(race="Gnome",1,(1-MIN(#REF!*smithy_bonus,smithy_bonus_cap) + tech_3_5*#REF! + tech_5_3*#REF! + tech_5_5*#REF!))*spec_op_ore,0)</f>
        <v>#REF!</v>
      </c>
      <c r="BK120" s="39" t="e">
        <f>ROUNDUP((1-MIN(#REF!*smithy_bonus,smithy_bonus_cap) + tech_3_5*#REF! + tech_5_3*#REF! + tech_5_5*#REF!)*spec_dp_plat,0)</f>
        <v>#REF!</v>
      </c>
      <c r="BL120" s="39" t="e">
        <f>ROUNDUP(IF(race="Gnome",1,(1-MIN(#REF!*smithy_bonus,smithy_bonus_cap) + tech_3_5*#REF! + tech_5_3*#REF! + tech_5_5*#REF!))*spec_dp_ore,0)</f>
        <v>#REF!</v>
      </c>
      <c r="BM120" s="39" t="e">
        <f>ROUNDUP((1-MIN(#REF!*smithy_bonus,smithy_bonus_cap) + tech_3_5*#REF! + tech_5_3*#REF! + tech_5_5*#REF!)*elite1_plat,0)</f>
        <v>#REF!</v>
      </c>
      <c r="BN120" s="39" t="e">
        <f>ROUNDUP(IF(race="Gnome",1,(1-MIN(#REF!*smithy_bonus,smithy_bonus_cap) + tech_3_5*#REF! + tech_5_3*#REF! + tech_5_5*#REF!))*elite1_ore,0)</f>
        <v>#REF!</v>
      </c>
      <c r="BO120" s="39" t="e">
        <f>ROUNDUP((1-MIN(#REF!*smithy_bonus,smithy_bonus_cap) + tech_3_5*#REF! + tech_5_3*#REF! + tech_5_5*#REF!)*elite2_plat,0)</f>
        <v>#REF!</v>
      </c>
      <c r="BP120" s="39" t="e">
        <f>ROUNDUP(IF(race="Gnome",1,(1-MIN(#REF!*smithy_bonus,smithy_bonus_cap) + tech_3_5*#REF! + tech_5_3*#REF! + tech_5_5*#REF!))*elite2_ore,0)</f>
        <v>#REF!</v>
      </c>
      <c r="BQ120" s="39" t="e">
        <f>ROUNDUP((1-MIN(ROUND(fh_spy_cost_red*#REF!,4),fh_spy_cost_cap)+ tech_1_9*#REF! + tech_9_1*#REF!)*spy_plat,0)</f>
        <v>#REF!</v>
      </c>
      <c r="BR120" s="39" t="e">
        <f>ROUNDUP((1-MIN(ROUND(fh_spy_cost_red*#REF!,4),fh_spy_cost_cap)+ tech_1_9*#REF! + tech_9_1*#REF!)*archspy_plat,0)</f>
        <v>#REF!</v>
      </c>
      <c r="BS120" s="39" t="e">
        <f>ROUNDUP((1-MIN(ROUND(wg_wiz_cost_bonus*#REF!,4),wg_wiz_cost_cap) + tech_1_9_2*#REF! + tech_9_1_2*#REF!)*wizard_plat,0)</f>
        <v>#REF!</v>
      </c>
      <c r="BT120" s="39" t="e">
        <f>ROUNDUP((1-MIN(ROUND(wg_wiz_cost_bonus*#REF!,4),wg_wiz_cost_cap) + tech_1_9_2*#REF! + tech_9_1_2*#REF!)*archmage_plat,0)</f>
        <v>#REF!</v>
      </c>
      <c r="BU120" s="134"/>
      <c r="BV120" s="132" t="e">
        <f>#REF!/#REF!</f>
        <v>#REF!</v>
      </c>
      <c r="BW120" s="132" t="e">
        <f>#REF!</f>
        <v>#REF!</v>
      </c>
      <c r="BX120" s="241" t="e">
        <f>IF(mystic_cap="none",#REF!/mystic_bonus,MIN(mystic_cap,#REF!/mystic_bonus))</f>
        <v>#REF!</v>
      </c>
      <c r="BY120" s="241" t="e">
        <f>IF(druid_op_cap="none",#REF!/druid_op_bonus,MIN(druid_op_cap,#REF!/druid_op_bonus))</f>
        <v>#REF!</v>
      </c>
      <c r="BZ120" s="241" t="e">
        <f>IF(druid_dp_cap="none",#REF!/druid_dp_bonus,MIN(druid_dp_cap,#REF!/druid_dp_bonus))</f>
        <v>#REF!</v>
      </c>
      <c r="CA120" s="241" t="e">
        <f>MIN(dryad_cap,#REF!/dryad_bonus)</f>
        <v>#REF!</v>
      </c>
      <c r="CB120" s="241" t="e">
        <f>MIN(rocka_cap,#REF!/rocka_bonus)</f>
        <v>#REF!</v>
      </c>
      <c r="CC120" s="241" t="e">
        <f>MIN(adept_op_cap,#REF!/adept_op_bonus)</f>
        <v>#REF!</v>
      </c>
      <c r="CD120" s="241" t="e">
        <f>MIN(adept_dp_cap,#REF!/adept_dp_bonus)</f>
        <v>#REF!</v>
      </c>
      <c r="CE120" s="39" t="e">
        <f>MIN(#REF!,#REF!)*2</f>
        <v>#REF!</v>
      </c>
      <c r="CF120" s="39" t="e">
        <f>MIN(#REF!,#REF!)*2</f>
        <v>#REF!</v>
      </c>
      <c r="CG120" s="241" t="e">
        <f>MIN(frost_mage_cap,#REF!/frost_mage_bonus)</f>
        <v>#REF!</v>
      </c>
      <c r="CH120" s="3" t="e">
        <f>MIN(ice_elem_cap,#REF!*ice_elem_bonus)</f>
        <v>#REF!</v>
      </c>
      <c r="CI120" s="241">
        <f t="shared" si="4"/>
        <v>0.83333333333333337</v>
      </c>
      <c r="CJ120" s="241" t="e">
        <f>MIN(nox_nightshade_cap,#REF!/#REF!/nox_nightshade_swamp_bonus)</f>
        <v>#REF!</v>
      </c>
      <c r="CK120" s="242"/>
      <c r="CL120" s="242"/>
      <c r="CM120" s="242"/>
      <c r="CN120" s="241" t="e">
        <f>MIN(6,#REF!+Races!$F$19)*1.8 +  IF(#REF!+Races!$F$19&gt;6,(#REF!+Races!$F$19-6)*0.2,0) - Races!$I$19</f>
        <v>#REF!</v>
      </c>
      <c r="CO120" s="241" t="e">
        <f>1.8 * MIN(MAX(#REF!+Races!$E$20,#REF!+Races!$F$20),6)  +  0.45 * MIN(MIN(#REF!+Races!$E$20,#REF!+Races!$F$20),6)  +  0.2 * ( MAX(#REF!+Races!$E$20-6,0) + MAX(#REF!+Races!$F$20-6,0) )  -  Races!$I$20</f>
        <v>#REF!</v>
      </c>
      <c r="CP120" s="39" t="e">
        <f>#REF!*#REF!+#REF!*#REF!</f>
        <v>#REF!</v>
      </c>
      <c r="CQ120" s="145" t="e">
        <f>MIN(6,#REF!+Races!$F$35)*1.8 +  IF(#REF!+Races!$F$35&gt;6,(#REF!+Races!$F$35-6)*0.2,0) - Races!$I$19</f>
        <v>#REF!</v>
      </c>
      <c r="CR120" s="39" t="e">
        <f>sylvan*(#REF!*#REF!)</f>
        <v>#REF!</v>
      </c>
      <c r="CS120" s="145" t="e">
        <f>1.8 * MIN(MAX(Races!$E$27,#REF!+Races!$F$27),6)  +  0.45 * MIN(MIN(Races!$E$27,#REF!+Races!$F$27),6)  +  0.2 * ( MAX(Races!$E$27-6,0) + MAX(#REF!+Races!$F$27-6,0) )  -  Races!$I$20</f>
        <v>#REF!</v>
      </c>
      <c r="CT120" s="39" t="e">
        <f>gnome*(#REF!*#REF!)</f>
        <v>#REF!</v>
      </c>
      <c r="CU120" s="145" t="e">
        <f>1.8 * MIN(MAX(#REF!+Races!$E$47,#REF!+Races!$F$47),6)  +  0.45 * MIN(MIN(#REF!+Races!$E$47,#REF!+Races!$F$47),6)  +  0.2 * ( MAX(#REF!+Races!$E$47-6,0) + MAX(#REF!+Races!$F$47-6,0) )  -  Races!$I$47</f>
        <v>#REF!</v>
      </c>
      <c r="CV120" s="39" t="e">
        <f>dark_elf*(#REF!*#REF!)</f>
        <v>#REF!</v>
      </c>
      <c r="CW120" s="145" t="e">
        <f>1.8 * MIN(MAX(#REF!+Races!$F$71,Races!$E$71),6)  +  0.45 * MIN(MIN(#REF!+Races!$F$71,Races!$E$71),6)  +  0.2 * ( MAX(#REF!+Races!$F$71-6,0) + MAX(Races!$E$71-6,0) )  -  Races!$I$71</f>
        <v>#REF!</v>
      </c>
      <c r="CX120" s="145" t="e">
        <f>1.8 * MIN(MAX(#REF!+Races!$E$71,Races!$F$71),6)  +  0.45 * MIN(MIN(#REF!+Races!$E$71,Races!$F$71),6)  +  0.2 * ( MAX(#REF!+Races!$E$71-6,0) + MAX(Races!$F$71-6,0) )  -  Races!$I$71</f>
        <v>#REF!</v>
      </c>
      <c r="CY120" s="39" t="e">
        <f>#REF!*#REF!+#REF!*#REF!</f>
        <v>#REF!</v>
      </c>
      <c r="CZ120" s="243"/>
      <c r="DA120" s="135" t="e">
        <f>MIN(SUM(#REF!)/#REF!/favorable_terrain_bonus/100,favorable_terrain_max)</f>
        <v>#REF!</v>
      </c>
      <c r="DB120" s="243"/>
      <c r="DC120"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20" s="134"/>
      <c r="DE120" s="244" t="e">
        <f>(#REF!+2*#REF!)/#REF!</f>
        <v>#REF!</v>
      </c>
      <c r="DF120" s="244" t="e">
        <f>#REF!*(1+race_wizard_strength+IF(#REF!&gt;72,tech_magical_weaponry_wiz*#REF!,0))</f>
        <v>#REF!</v>
      </c>
    </row>
    <row r="121" spans="1:110" x14ac:dyDescent="0.25">
      <c r="A121" s="130" t="e">
        <f>#REF!</f>
        <v>#REF!</v>
      </c>
      <c r="B121" s="236" t="e">
        <f ca="1">SUM(#REF!)+SUM(OFFSET(#REF!,-8,0):#REF!) + SUM(OFFSET(#REF!,-11,0):#REF!) +#REF!</f>
        <v>#REF!</v>
      </c>
      <c r="C121" s="132" t="e">
        <f>#REF!</f>
        <v>#REF!</v>
      </c>
      <c r="D121" s="134"/>
      <c r="E121" s="3" t="e">
        <f ca="1">OFFSET(#REF!,-1,0) + OFFSET(#REF!,-9,0) -#REF!</f>
        <v>#REF!</v>
      </c>
      <c r="F121" s="3" t="e">
        <f ca="1">OFFSET(#REF!,-1,0) + OFFSET(#REF!,-9,0)-#REF!</f>
        <v>#REF!</v>
      </c>
      <c r="G121" s="3" t="e">
        <f ca="1">OFFSET(#REF!,-1,0) + OFFSET(#REF!,-12,0)-#REF!</f>
        <v>#REF!</v>
      </c>
      <c r="H121" s="3" t="e">
        <f ca="1">OFFSET(#REF!,-1,0) + OFFSET(#REF!,-12,0)-#REF!</f>
        <v>#REF!</v>
      </c>
      <c r="I121" s="3" t="e">
        <f ca="1">OFFSET(#REF!,-1,0) + OFFSET(#REF!,-12,0) -#REF!-#REF!</f>
        <v>#REF!</v>
      </c>
      <c r="J121" s="3" t="e">
        <f ca="1">OFFSET(#REF!,-1,0) + OFFSET(#REF!,-12,0) -#REF!</f>
        <v>#REF!</v>
      </c>
      <c r="K121" s="3" t="e">
        <f ca="1">OFFSET(#REF!,-1,0) + OFFSET(#REF!,-12,0) -#REF!-#REF!</f>
        <v>#REF!</v>
      </c>
      <c r="L121" s="3" t="e">
        <f ca="1">OFFSET(#REF!,-1,0) + OFFSET(#REF!,-12,0) -#REF!</f>
        <v>#REF!</v>
      </c>
      <c r="M121" s="134"/>
      <c r="N121" s="39" t="e">
        <f>#REF!</f>
        <v>#REF!</v>
      </c>
      <c r="O121" s="134"/>
      <c r="P121" s="237" t="e">
        <f>#REF!*spec_op+#REF!*(elite1_base_op)+#REF!*(elite2_base_op+dark_elf*#REF!+icekin*#REF!+woodie*#REF!+orc*#REF!)+kobold*#REF!</f>
        <v>#REF!</v>
      </c>
      <c r="Q121" s="132" t="e">
        <f>race_offense+#REF!+ROUND(MIN(gn_bonus*#REF!/#REF!,gn_bonus_cap),4)+MAX(IF(#REF!&gt;0,warsong_bonus),IF(#REF!&gt;0,howling_op_bonus),IF(#REF!&gt;0,nightfall_bonus),IF(#REF!&gt;0,#REF!)) +#REF!/ 100*prestige_offense_bonus + tech_5_4*#REF! + tech_7_4*#REF!</f>
        <v>#REF!</v>
      </c>
      <c r="R121" s="237" t="e">
        <f>#REF!*(1+#REF!)</f>
        <v>#REF!</v>
      </c>
      <c r="S121" s="237" t="e">
        <f>#REF!*spec_dp+#REF!*(elite1_base_dp+woodie*#REF!+sylvan*#REF!+gnome*#REF!+icekin*#REF!+nox*#REF!)+#REF!*(elite2_base_dp+woodie*#REF!) + fh_peas_dp*MIN(#REF!,20*#REF!)+kobold*#REF!</f>
        <v>#REF!</v>
      </c>
      <c r="T121" s="237" t="e">
        <f>#REF!+#REF!</f>
        <v>#REF!</v>
      </c>
      <c r="U121" s="238" t="e">
        <f>race_defense +#REF! + ROUND( MIN(gt_bonus*#REF!/#REF!,gt_bonus_cap), 4) + IF(#REF!&gt;0,howling_dp_bonus,IF(#REF!&gt;0,ares_call_bonus))</f>
        <v>#REF!</v>
      </c>
      <c r="V121" s="239" t="e">
        <f>#REF! * (1 +#REF!)</f>
        <v>#REF!</v>
      </c>
      <c r="W121" s="237" t="e">
        <f>#REF! * (1 +#REF!)</f>
        <v>#REF!</v>
      </c>
      <c r="X121" s="237" t="e">
        <f>#REF!</f>
        <v>#REF!</v>
      </c>
      <c r="Y121" s="240"/>
      <c r="Z121" s="135" t="e">
        <f ca="1">IF(#REF!&lt;&gt;"",#REF!,OFFSET(#REF!,-1,0))</f>
        <v>#REF!</v>
      </c>
      <c r="AA121" s="39" t="e">
        <f ca="1">OFFSET(#REF!,-1,0)+OFFSET(#REF!,-1,0) - SUM(#REF!,#REF!) -#REF! + SUM(#REF!) -#REF!</f>
        <v>#REF!</v>
      </c>
      <c r="AB121" s="133"/>
      <c r="AC121" s="132" t="e">
        <f>(#REF!+#REF!)/(#REF!-#REF!*20)</f>
        <v>#REF!</v>
      </c>
      <c r="AD121" s="130"/>
      <c r="AE121" s="236" t="e">
        <f>#REF!</f>
        <v>#REF!</v>
      </c>
      <c r="AF121" s="131" t="e">
        <f>#REF!</f>
        <v>#REF!</v>
      </c>
      <c r="AG121" s="164"/>
      <c r="AH121" s="164"/>
      <c r="AI121" s="164"/>
      <c r="AJ121" s="164"/>
      <c r="AK121" s="164"/>
      <c r="AL121" s="164"/>
      <c r="AM121" s="164"/>
      <c r="AN121" s="164"/>
      <c r="AO121" s="134"/>
      <c r="AP121" s="39" t="e">
        <f>#REF!</f>
        <v>#REF!</v>
      </c>
      <c r="AQ121" s="39" t="e">
        <f>INDEX(#REF!:#REF!,COUNTA(#REF!:#REF!),MATCH(Military!$AQ$2,#REF!,0))</f>
        <v>#REF!</v>
      </c>
      <c r="AR121" s="39" t="e">
        <f>#REF!*#REF!+#REF!*#REF!+#REF!*#REF!+#REF!*#REF!+#REF!*#REF!+#REF!*#REF!+#REF!*#REF!</f>
        <v>#REF!</v>
      </c>
      <c r="AS121" s="39" t="e">
        <f>#REF!*#REF!+#REF!*#REF!+#REF!*#REF!+#REF!*#REF!</f>
        <v>#REF!</v>
      </c>
      <c r="AT121" s="134" t="e">
        <f>#REF!</f>
        <v>#REF!</v>
      </c>
      <c r="AU121" s="143" t="e">
        <f>#REF!</f>
        <v>#REF!</v>
      </c>
      <c r="AV121" s="39" t="e">
        <f>#REF!</f>
        <v>#REF!</v>
      </c>
      <c r="AW121" s="164"/>
      <c r="AX121" s="164"/>
      <c r="AY121" s="164"/>
      <c r="AZ121" s="164"/>
      <c r="BA121" s="164"/>
      <c r="BB121" s="164"/>
      <c r="BC121" s="164"/>
      <c r="BD121" s="164"/>
      <c r="BE121" s="164"/>
      <c r="BF121" s="134"/>
      <c r="BG121" s="132" t="e">
        <f>#REF!/#REF!</f>
        <v>#REF!</v>
      </c>
      <c r="BH121" s="132" t="e">
        <f>#REF!/#REF!</f>
        <v>#REF!</v>
      </c>
      <c r="BI121" s="39" t="e">
        <f>ROUNDUP((1-MIN(#REF!*smithy_bonus,smithy_bonus_cap) + tech_3_5*#REF! + tech_5_3*#REF! + tech_5_5*#REF!)*spec_op_plat,0)</f>
        <v>#REF!</v>
      </c>
      <c r="BJ121" s="39" t="e">
        <f>ROUNDUP(IF(race="Gnome",1,(1-MIN(#REF!*smithy_bonus,smithy_bonus_cap) + tech_3_5*#REF! + tech_5_3*#REF! + tech_5_5*#REF!))*spec_op_ore,0)</f>
        <v>#REF!</v>
      </c>
      <c r="BK121" s="39" t="e">
        <f>ROUNDUP((1-MIN(#REF!*smithy_bonus,smithy_bonus_cap) + tech_3_5*#REF! + tech_5_3*#REF! + tech_5_5*#REF!)*spec_dp_plat,0)</f>
        <v>#REF!</v>
      </c>
      <c r="BL121" s="39" t="e">
        <f>ROUNDUP(IF(race="Gnome",1,(1-MIN(#REF!*smithy_bonus,smithy_bonus_cap) + tech_3_5*#REF! + tech_5_3*#REF! + tech_5_5*#REF!))*spec_dp_ore,0)</f>
        <v>#REF!</v>
      </c>
      <c r="BM121" s="39" t="e">
        <f>ROUNDUP((1-MIN(#REF!*smithy_bonus,smithy_bonus_cap) + tech_3_5*#REF! + tech_5_3*#REF! + tech_5_5*#REF!)*elite1_plat,0)</f>
        <v>#REF!</v>
      </c>
      <c r="BN121" s="39" t="e">
        <f>ROUNDUP(IF(race="Gnome",1,(1-MIN(#REF!*smithy_bonus,smithy_bonus_cap) + tech_3_5*#REF! + tech_5_3*#REF! + tech_5_5*#REF!))*elite1_ore,0)</f>
        <v>#REF!</v>
      </c>
      <c r="BO121" s="39" t="e">
        <f>ROUNDUP((1-MIN(#REF!*smithy_bonus,smithy_bonus_cap) + tech_3_5*#REF! + tech_5_3*#REF! + tech_5_5*#REF!)*elite2_plat,0)</f>
        <v>#REF!</v>
      </c>
      <c r="BP121" s="39" t="e">
        <f>ROUNDUP(IF(race="Gnome",1,(1-MIN(#REF!*smithy_bonus,smithy_bonus_cap) + tech_3_5*#REF! + tech_5_3*#REF! + tech_5_5*#REF!))*elite2_ore,0)</f>
        <v>#REF!</v>
      </c>
      <c r="BQ121" s="39" t="e">
        <f>ROUNDUP((1-MIN(ROUND(fh_spy_cost_red*#REF!,4),fh_spy_cost_cap)+ tech_1_9*#REF! + tech_9_1*#REF!)*spy_plat,0)</f>
        <v>#REF!</v>
      </c>
      <c r="BR121" s="39" t="e">
        <f>ROUNDUP((1-MIN(ROUND(fh_spy_cost_red*#REF!,4),fh_spy_cost_cap)+ tech_1_9*#REF! + tech_9_1*#REF!)*archspy_plat,0)</f>
        <v>#REF!</v>
      </c>
      <c r="BS121" s="39" t="e">
        <f>ROUNDUP((1-MIN(ROUND(wg_wiz_cost_bonus*#REF!,4),wg_wiz_cost_cap) + tech_1_9_2*#REF! + tech_9_1_2*#REF!)*wizard_plat,0)</f>
        <v>#REF!</v>
      </c>
      <c r="BT121" s="39" t="e">
        <f>ROUNDUP((1-MIN(ROUND(wg_wiz_cost_bonus*#REF!,4),wg_wiz_cost_cap) + tech_1_9_2*#REF! + tech_9_1_2*#REF!)*archmage_plat,0)</f>
        <v>#REF!</v>
      </c>
      <c r="BU121" s="134"/>
      <c r="BV121" s="132" t="e">
        <f>#REF!/#REF!</f>
        <v>#REF!</v>
      </c>
      <c r="BW121" s="132" t="e">
        <f>#REF!</f>
        <v>#REF!</v>
      </c>
      <c r="BX121" s="241" t="e">
        <f>IF(mystic_cap="none",#REF!/mystic_bonus,MIN(mystic_cap,#REF!/mystic_bonus))</f>
        <v>#REF!</v>
      </c>
      <c r="BY121" s="241" t="e">
        <f>IF(druid_op_cap="none",#REF!/druid_op_bonus,MIN(druid_op_cap,#REF!/druid_op_bonus))</f>
        <v>#REF!</v>
      </c>
      <c r="BZ121" s="241" t="e">
        <f>IF(druid_dp_cap="none",#REF!/druid_dp_bonus,MIN(druid_dp_cap,#REF!/druid_dp_bonus))</f>
        <v>#REF!</v>
      </c>
      <c r="CA121" s="241" t="e">
        <f>MIN(dryad_cap,#REF!/dryad_bonus)</f>
        <v>#REF!</v>
      </c>
      <c r="CB121" s="241" t="e">
        <f>MIN(rocka_cap,#REF!/rocka_bonus)</f>
        <v>#REF!</v>
      </c>
      <c r="CC121" s="241" t="e">
        <f>MIN(adept_op_cap,#REF!/adept_op_bonus)</f>
        <v>#REF!</v>
      </c>
      <c r="CD121" s="241" t="e">
        <f>MIN(adept_dp_cap,#REF!/adept_dp_bonus)</f>
        <v>#REF!</v>
      </c>
      <c r="CE121" s="39" t="e">
        <f>MIN(#REF!,#REF!)*2</f>
        <v>#REF!</v>
      </c>
      <c r="CF121" s="39" t="e">
        <f>MIN(#REF!,#REF!)*2</f>
        <v>#REF!</v>
      </c>
      <c r="CG121" s="241" t="e">
        <f>MIN(frost_mage_cap,#REF!/frost_mage_bonus)</f>
        <v>#REF!</v>
      </c>
      <c r="CH121" s="3" t="e">
        <f>MIN(ice_elem_cap,#REF!*ice_elem_bonus)</f>
        <v>#REF!</v>
      </c>
      <c r="CI121" s="241">
        <f t="shared" si="4"/>
        <v>0.83333333333333337</v>
      </c>
      <c r="CJ121" s="241" t="e">
        <f>MIN(nox_nightshade_cap,#REF!/#REF!/nox_nightshade_swamp_bonus)</f>
        <v>#REF!</v>
      </c>
      <c r="CK121" s="242"/>
      <c r="CL121" s="242"/>
      <c r="CM121" s="242"/>
      <c r="CN121" s="241" t="e">
        <f>MIN(6,#REF!+Races!$F$19)*1.8 +  IF(#REF!+Races!$F$19&gt;6,(#REF!+Races!$F$19-6)*0.2,0) - Races!$I$19</f>
        <v>#REF!</v>
      </c>
      <c r="CO121" s="241" t="e">
        <f>1.8 * MIN(MAX(#REF!+Races!$E$20,#REF!+Races!$F$20),6)  +  0.45 * MIN(MIN(#REF!+Races!$E$20,#REF!+Races!$F$20),6)  +  0.2 * ( MAX(#REF!+Races!$E$20-6,0) + MAX(#REF!+Races!$F$20-6,0) )  -  Races!$I$20</f>
        <v>#REF!</v>
      </c>
      <c r="CP121" s="39" t="e">
        <f>#REF!*#REF!+#REF!*#REF!</f>
        <v>#REF!</v>
      </c>
      <c r="CQ121" s="145" t="e">
        <f>MIN(6,#REF!+Races!$F$35)*1.8 +  IF(#REF!+Races!$F$35&gt;6,(#REF!+Races!$F$35-6)*0.2,0) - Races!$I$19</f>
        <v>#REF!</v>
      </c>
      <c r="CR121" s="39" t="e">
        <f>sylvan*(#REF!*#REF!)</f>
        <v>#REF!</v>
      </c>
      <c r="CS121" s="145" t="e">
        <f>1.8 * MIN(MAX(Races!$E$27,#REF!+Races!$F$27),6)  +  0.45 * MIN(MIN(Races!$E$27,#REF!+Races!$F$27),6)  +  0.2 * ( MAX(Races!$E$27-6,0) + MAX(#REF!+Races!$F$27-6,0) )  -  Races!$I$20</f>
        <v>#REF!</v>
      </c>
      <c r="CT121" s="39" t="e">
        <f>gnome*(#REF!*#REF!)</f>
        <v>#REF!</v>
      </c>
      <c r="CU121" s="145" t="e">
        <f>1.8 * MIN(MAX(#REF!+Races!$E$47,#REF!+Races!$F$47),6)  +  0.45 * MIN(MIN(#REF!+Races!$E$47,#REF!+Races!$F$47),6)  +  0.2 * ( MAX(#REF!+Races!$E$47-6,0) + MAX(#REF!+Races!$F$47-6,0) )  -  Races!$I$47</f>
        <v>#REF!</v>
      </c>
      <c r="CV121" s="39" t="e">
        <f>dark_elf*(#REF!*#REF!)</f>
        <v>#REF!</v>
      </c>
      <c r="CW121" s="145" t="e">
        <f>1.8 * MIN(MAX(#REF!+Races!$F$71,Races!$E$71),6)  +  0.45 * MIN(MIN(#REF!+Races!$F$71,Races!$E$71),6)  +  0.2 * ( MAX(#REF!+Races!$F$71-6,0) + MAX(Races!$E$71-6,0) )  -  Races!$I$71</f>
        <v>#REF!</v>
      </c>
      <c r="CX121" s="145" t="e">
        <f>1.8 * MIN(MAX(#REF!+Races!$E$71,Races!$F$71),6)  +  0.45 * MIN(MIN(#REF!+Races!$E$71,Races!$F$71),6)  +  0.2 * ( MAX(#REF!+Races!$E$71-6,0) + MAX(Races!$F$71-6,0) )  -  Races!$I$71</f>
        <v>#REF!</v>
      </c>
      <c r="CY121" s="39" t="e">
        <f>#REF!*#REF!+#REF!*#REF!</f>
        <v>#REF!</v>
      </c>
      <c r="CZ121" s="243"/>
      <c r="DA121" s="135" t="e">
        <f>MIN(SUM(#REF!)/#REF!/favorable_terrain_bonus/100,favorable_terrain_max)</f>
        <v>#REF!</v>
      </c>
      <c r="DB121" s="243"/>
      <c r="DC121"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21" s="134"/>
      <c r="DE121" s="244" t="e">
        <f>(#REF!+2*#REF!)/#REF!</f>
        <v>#REF!</v>
      </c>
      <c r="DF121" s="244" t="e">
        <f>#REF!*(1+race_wizard_strength+IF(#REF!&gt;72,tech_magical_weaponry_wiz*#REF!,0))</f>
        <v>#REF!</v>
      </c>
    </row>
    <row r="122" spans="1:110" x14ac:dyDescent="0.25">
      <c r="A122" s="130" t="e">
        <f>#REF!</f>
        <v>#REF!</v>
      </c>
      <c r="B122" s="236" t="e">
        <f ca="1">SUM(#REF!)+SUM(OFFSET(#REF!,-8,0):#REF!) + SUM(OFFSET(#REF!,-11,0):#REF!) +#REF!</f>
        <v>#REF!</v>
      </c>
      <c r="C122" s="132" t="e">
        <f>#REF!</f>
        <v>#REF!</v>
      </c>
      <c r="D122" s="134"/>
      <c r="E122" s="3" t="e">
        <f ca="1">OFFSET(#REF!,-1,0) + OFFSET(#REF!,-9,0) -#REF!</f>
        <v>#REF!</v>
      </c>
      <c r="F122" s="3" t="e">
        <f ca="1">OFFSET(#REF!,-1,0) + OFFSET(#REF!,-9,0)-#REF!</f>
        <v>#REF!</v>
      </c>
      <c r="G122" s="3" t="e">
        <f ca="1">OFFSET(#REF!,-1,0) + OFFSET(#REF!,-12,0)-#REF!</f>
        <v>#REF!</v>
      </c>
      <c r="H122" s="3" t="e">
        <f ca="1">OFFSET(#REF!,-1,0) + OFFSET(#REF!,-12,0)-#REF!</f>
        <v>#REF!</v>
      </c>
      <c r="I122" s="3" t="e">
        <f ca="1">OFFSET(#REF!,-1,0) + OFFSET(#REF!,-12,0) -#REF!-#REF!</f>
        <v>#REF!</v>
      </c>
      <c r="J122" s="3" t="e">
        <f ca="1">OFFSET(#REF!,-1,0) + OFFSET(#REF!,-12,0) -#REF!</f>
        <v>#REF!</v>
      </c>
      <c r="K122" s="3" t="e">
        <f ca="1">OFFSET(#REF!,-1,0) + OFFSET(#REF!,-12,0) -#REF!-#REF!</f>
        <v>#REF!</v>
      </c>
      <c r="L122" s="3" t="e">
        <f ca="1">OFFSET(#REF!,-1,0) + OFFSET(#REF!,-12,0) -#REF!</f>
        <v>#REF!</v>
      </c>
      <c r="M122" s="134"/>
      <c r="N122" s="39" t="e">
        <f>#REF!</f>
        <v>#REF!</v>
      </c>
      <c r="O122" s="134"/>
      <c r="P122" s="237" t="e">
        <f>#REF!*spec_op+#REF!*(elite1_base_op)+#REF!*(elite2_base_op+dark_elf*#REF!+icekin*#REF!+woodie*#REF!+orc*#REF!)+kobold*#REF!</f>
        <v>#REF!</v>
      </c>
      <c r="Q122" s="132" t="e">
        <f>race_offense+#REF!+ROUND(MIN(gn_bonus*#REF!/#REF!,gn_bonus_cap),4)+MAX(IF(#REF!&gt;0,warsong_bonus),IF(#REF!&gt;0,howling_op_bonus),IF(#REF!&gt;0,nightfall_bonus),IF(#REF!&gt;0,#REF!)) +#REF!/ 100*prestige_offense_bonus + tech_5_4*#REF! + tech_7_4*#REF!</f>
        <v>#REF!</v>
      </c>
      <c r="R122" s="237" t="e">
        <f>#REF!*(1+#REF!)</f>
        <v>#REF!</v>
      </c>
      <c r="S122" s="237" t="e">
        <f>#REF!*spec_dp+#REF!*(elite1_base_dp+woodie*#REF!+sylvan*#REF!+gnome*#REF!+icekin*#REF!+nox*#REF!)+#REF!*(elite2_base_dp+woodie*#REF!) + fh_peas_dp*MIN(#REF!,20*#REF!)+kobold*#REF!</f>
        <v>#REF!</v>
      </c>
      <c r="T122" s="237" t="e">
        <f>#REF!+#REF!</f>
        <v>#REF!</v>
      </c>
      <c r="U122" s="238" t="e">
        <f>race_defense +#REF! + ROUND( MIN(gt_bonus*#REF!/#REF!,gt_bonus_cap), 4) + IF(#REF!&gt;0,howling_dp_bonus,IF(#REF!&gt;0,ares_call_bonus))</f>
        <v>#REF!</v>
      </c>
      <c r="V122" s="239" t="e">
        <f>#REF! * (1 +#REF!)</f>
        <v>#REF!</v>
      </c>
      <c r="W122" s="237" t="e">
        <f>#REF! * (1 +#REF!)</f>
        <v>#REF!</v>
      </c>
      <c r="X122" s="237" t="e">
        <f>#REF!</f>
        <v>#REF!</v>
      </c>
      <c r="Y122" s="240"/>
      <c r="Z122" s="135" t="e">
        <f ca="1">IF(#REF!&lt;&gt;"",#REF!,OFFSET(#REF!,-1,0))</f>
        <v>#REF!</v>
      </c>
      <c r="AA122" s="39" t="e">
        <f ca="1">OFFSET(#REF!,-1,0)+OFFSET(#REF!,-1,0) - SUM(#REF!,#REF!) -#REF! + SUM(#REF!) -#REF!</f>
        <v>#REF!</v>
      </c>
      <c r="AB122" s="133"/>
      <c r="AC122" s="132" t="e">
        <f>(#REF!+#REF!)/(#REF!-#REF!*20)</f>
        <v>#REF!</v>
      </c>
      <c r="AD122" s="130"/>
      <c r="AE122" s="236" t="e">
        <f>#REF!</f>
        <v>#REF!</v>
      </c>
      <c r="AF122" s="131" t="e">
        <f>#REF!</f>
        <v>#REF!</v>
      </c>
      <c r="AG122" s="164"/>
      <c r="AH122" s="164"/>
      <c r="AI122" s="164"/>
      <c r="AJ122" s="164"/>
      <c r="AK122" s="164"/>
      <c r="AL122" s="164"/>
      <c r="AM122" s="164"/>
      <c r="AN122" s="164"/>
      <c r="AO122" s="134"/>
      <c r="AP122" s="39" t="e">
        <f>#REF!</f>
        <v>#REF!</v>
      </c>
      <c r="AQ122" s="39" t="e">
        <f>INDEX(#REF!:#REF!,COUNTA(#REF!:#REF!),MATCH(Military!$AQ$2,#REF!,0))</f>
        <v>#REF!</v>
      </c>
      <c r="AR122" s="39" t="e">
        <f>#REF!*#REF!+#REF!*#REF!+#REF!*#REF!+#REF!*#REF!+#REF!*#REF!+#REF!*#REF!+#REF!*#REF!</f>
        <v>#REF!</v>
      </c>
      <c r="AS122" s="39" t="e">
        <f>#REF!*#REF!+#REF!*#REF!+#REF!*#REF!+#REF!*#REF!</f>
        <v>#REF!</v>
      </c>
      <c r="AT122" s="134" t="e">
        <f>#REF!</f>
        <v>#REF!</v>
      </c>
      <c r="AU122" s="143" t="e">
        <f>#REF!</f>
        <v>#REF!</v>
      </c>
      <c r="AV122" s="39" t="e">
        <f>#REF!</f>
        <v>#REF!</v>
      </c>
      <c r="AW122" s="164"/>
      <c r="AX122" s="164"/>
      <c r="AY122" s="164"/>
      <c r="AZ122" s="164"/>
      <c r="BA122" s="164"/>
      <c r="BB122" s="164"/>
      <c r="BC122" s="164"/>
      <c r="BD122" s="164"/>
      <c r="BE122" s="164"/>
      <c r="BF122" s="134"/>
      <c r="BG122" s="132" t="e">
        <f>#REF!/#REF!</f>
        <v>#REF!</v>
      </c>
      <c r="BH122" s="132" t="e">
        <f>#REF!/#REF!</f>
        <v>#REF!</v>
      </c>
      <c r="BI122" s="39" t="e">
        <f>ROUNDUP((1-MIN(#REF!*smithy_bonus,smithy_bonus_cap) + tech_3_5*#REF! + tech_5_3*#REF! + tech_5_5*#REF!)*spec_op_plat,0)</f>
        <v>#REF!</v>
      </c>
      <c r="BJ122" s="39" t="e">
        <f>ROUNDUP(IF(race="Gnome",1,(1-MIN(#REF!*smithy_bonus,smithy_bonus_cap) + tech_3_5*#REF! + tech_5_3*#REF! + tech_5_5*#REF!))*spec_op_ore,0)</f>
        <v>#REF!</v>
      </c>
      <c r="BK122" s="39" t="e">
        <f>ROUNDUP((1-MIN(#REF!*smithy_bonus,smithy_bonus_cap) + tech_3_5*#REF! + tech_5_3*#REF! + tech_5_5*#REF!)*spec_dp_plat,0)</f>
        <v>#REF!</v>
      </c>
      <c r="BL122" s="39" t="e">
        <f>ROUNDUP(IF(race="Gnome",1,(1-MIN(#REF!*smithy_bonus,smithy_bonus_cap) + tech_3_5*#REF! + tech_5_3*#REF! + tech_5_5*#REF!))*spec_dp_ore,0)</f>
        <v>#REF!</v>
      </c>
      <c r="BM122" s="39" t="e">
        <f>ROUNDUP((1-MIN(#REF!*smithy_bonus,smithy_bonus_cap) + tech_3_5*#REF! + tech_5_3*#REF! + tech_5_5*#REF!)*elite1_plat,0)</f>
        <v>#REF!</v>
      </c>
      <c r="BN122" s="39" t="e">
        <f>ROUNDUP(IF(race="Gnome",1,(1-MIN(#REF!*smithy_bonus,smithy_bonus_cap) + tech_3_5*#REF! + tech_5_3*#REF! + tech_5_5*#REF!))*elite1_ore,0)</f>
        <v>#REF!</v>
      </c>
      <c r="BO122" s="39" t="e">
        <f>ROUNDUP((1-MIN(#REF!*smithy_bonus,smithy_bonus_cap) + tech_3_5*#REF! + tech_5_3*#REF! + tech_5_5*#REF!)*elite2_plat,0)</f>
        <v>#REF!</v>
      </c>
      <c r="BP122" s="39" t="e">
        <f>ROUNDUP(IF(race="Gnome",1,(1-MIN(#REF!*smithy_bonus,smithy_bonus_cap) + tech_3_5*#REF! + tech_5_3*#REF! + tech_5_5*#REF!))*elite2_ore,0)</f>
        <v>#REF!</v>
      </c>
      <c r="BQ122" s="39" t="e">
        <f>ROUNDUP((1-MIN(ROUND(fh_spy_cost_red*#REF!,4),fh_spy_cost_cap)+ tech_1_9*#REF! + tech_9_1*#REF!)*spy_plat,0)</f>
        <v>#REF!</v>
      </c>
      <c r="BR122" s="39" t="e">
        <f>ROUNDUP((1-MIN(ROUND(fh_spy_cost_red*#REF!,4),fh_spy_cost_cap)+ tech_1_9*#REF! + tech_9_1*#REF!)*archspy_plat,0)</f>
        <v>#REF!</v>
      </c>
      <c r="BS122" s="39" t="e">
        <f>ROUNDUP((1-MIN(ROUND(wg_wiz_cost_bonus*#REF!,4),wg_wiz_cost_cap) + tech_1_9_2*#REF! + tech_9_1_2*#REF!)*wizard_plat,0)</f>
        <v>#REF!</v>
      </c>
      <c r="BT122" s="39" t="e">
        <f>ROUNDUP((1-MIN(ROUND(wg_wiz_cost_bonus*#REF!,4),wg_wiz_cost_cap) + tech_1_9_2*#REF! + tech_9_1_2*#REF!)*archmage_plat,0)</f>
        <v>#REF!</v>
      </c>
      <c r="BU122" s="134"/>
      <c r="BV122" s="132" t="e">
        <f>#REF!/#REF!</f>
        <v>#REF!</v>
      </c>
      <c r="BW122" s="132" t="e">
        <f>#REF!</f>
        <v>#REF!</v>
      </c>
      <c r="BX122" s="241" t="e">
        <f>IF(mystic_cap="none",#REF!/mystic_bonus,MIN(mystic_cap,#REF!/mystic_bonus))</f>
        <v>#REF!</v>
      </c>
      <c r="BY122" s="241" t="e">
        <f>IF(druid_op_cap="none",#REF!/druid_op_bonus,MIN(druid_op_cap,#REF!/druid_op_bonus))</f>
        <v>#REF!</v>
      </c>
      <c r="BZ122" s="241" t="e">
        <f>IF(druid_dp_cap="none",#REF!/druid_dp_bonus,MIN(druid_dp_cap,#REF!/druid_dp_bonus))</f>
        <v>#REF!</v>
      </c>
      <c r="CA122" s="241" t="e">
        <f>MIN(dryad_cap,#REF!/dryad_bonus)</f>
        <v>#REF!</v>
      </c>
      <c r="CB122" s="241" t="e">
        <f>MIN(rocka_cap,#REF!/rocka_bonus)</f>
        <v>#REF!</v>
      </c>
      <c r="CC122" s="241" t="e">
        <f>MIN(adept_op_cap,#REF!/adept_op_bonus)</f>
        <v>#REF!</v>
      </c>
      <c r="CD122" s="241" t="e">
        <f>MIN(adept_dp_cap,#REF!/adept_dp_bonus)</f>
        <v>#REF!</v>
      </c>
      <c r="CE122" s="39" t="e">
        <f>MIN(#REF!,#REF!)*2</f>
        <v>#REF!</v>
      </c>
      <c r="CF122" s="39" t="e">
        <f>MIN(#REF!,#REF!)*2</f>
        <v>#REF!</v>
      </c>
      <c r="CG122" s="241" t="e">
        <f>MIN(frost_mage_cap,#REF!/frost_mage_bonus)</f>
        <v>#REF!</v>
      </c>
      <c r="CH122" s="3" t="e">
        <f>MIN(ice_elem_cap,#REF!*ice_elem_bonus)</f>
        <v>#REF!</v>
      </c>
      <c r="CI122" s="241">
        <f t="shared" si="4"/>
        <v>0.83333333333333337</v>
      </c>
      <c r="CJ122" s="241" t="e">
        <f>MIN(nox_nightshade_cap,#REF!/#REF!/nox_nightshade_swamp_bonus)</f>
        <v>#REF!</v>
      </c>
      <c r="CK122" s="242"/>
      <c r="CL122" s="242"/>
      <c r="CM122" s="242"/>
      <c r="CN122" s="241" t="e">
        <f>MIN(6,#REF!+Races!$F$19)*1.8 +  IF(#REF!+Races!$F$19&gt;6,(#REF!+Races!$F$19-6)*0.2,0) - Races!$I$19</f>
        <v>#REF!</v>
      </c>
      <c r="CO122" s="241" t="e">
        <f>1.8 * MIN(MAX(#REF!+Races!$E$20,#REF!+Races!$F$20),6)  +  0.45 * MIN(MIN(#REF!+Races!$E$20,#REF!+Races!$F$20),6)  +  0.2 * ( MAX(#REF!+Races!$E$20-6,0) + MAX(#REF!+Races!$F$20-6,0) )  -  Races!$I$20</f>
        <v>#REF!</v>
      </c>
      <c r="CP122" s="39" t="e">
        <f>#REF!*#REF!+#REF!*#REF!</f>
        <v>#REF!</v>
      </c>
      <c r="CQ122" s="145" t="e">
        <f>MIN(6,#REF!+Races!$F$35)*1.8 +  IF(#REF!+Races!$F$35&gt;6,(#REF!+Races!$F$35-6)*0.2,0) - Races!$I$19</f>
        <v>#REF!</v>
      </c>
      <c r="CR122" s="39" t="e">
        <f>sylvan*(#REF!*#REF!)</f>
        <v>#REF!</v>
      </c>
      <c r="CS122" s="145" t="e">
        <f>1.8 * MIN(MAX(Races!$E$27,#REF!+Races!$F$27),6)  +  0.45 * MIN(MIN(Races!$E$27,#REF!+Races!$F$27),6)  +  0.2 * ( MAX(Races!$E$27-6,0) + MAX(#REF!+Races!$F$27-6,0) )  -  Races!$I$20</f>
        <v>#REF!</v>
      </c>
      <c r="CT122" s="39" t="e">
        <f>gnome*(#REF!*#REF!)</f>
        <v>#REF!</v>
      </c>
      <c r="CU122" s="145" t="e">
        <f>1.8 * MIN(MAX(#REF!+Races!$E$47,#REF!+Races!$F$47),6)  +  0.45 * MIN(MIN(#REF!+Races!$E$47,#REF!+Races!$F$47),6)  +  0.2 * ( MAX(#REF!+Races!$E$47-6,0) + MAX(#REF!+Races!$F$47-6,0) )  -  Races!$I$47</f>
        <v>#REF!</v>
      </c>
      <c r="CV122" s="39" t="e">
        <f>dark_elf*(#REF!*#REF!)</f>
        <v>#REF!</v>
      </c>
      <c r="CW122" s="145" t="e">
        <f>1.8 * MIN(MAX(#REF!+Races!$F$71,Races!$E$71),6)  +  0.45 * MIN(MIN(#REF!+Races!$F$71,Races!$E$71),6)  +  0.2 * ( MAX(#REF!+Races!$F$71-6,0) + MAX(Races!$E$71-6,0) )  -  Races!$I$71</f>
        <v>#REF!</v>
      </c>
      <c r="CX122" s="145" t="e">
        <f>1.8 * MIN(MAX(#REF!+Races!$E$71,Races!$F$71),6)  +  0.45 * MIN(MIN(#REF!+Races!$E$71,Races!$F$71),6)  +  0.2 * ( MAX(#REF!+Races!$E$71-6,0) + MAX(Races!$F$71-6,0) )  -  Races!$I$71</f>
        <v>#REF!</v>
      </c>
      <c r="CY122" s="39" t="e">
        <f>#REF!*#REF!+#REF!*#REF!</f>
        <v>#REF!</v>
      </c>
      <c r="CZ122" s="243"/>
      <c r="DA122" s="135" t="e">
        <f>MIN(SUM(#REF!)/#REF!/favorable_terrain_bonus/100,favorable_terrain_max)</f>
        <v>#REF!</v>
      </c>
      <c r="DB122" s="243"/>
      <c r="DC122"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22" s="134"/>
      <c r="DE122" s="244" t="e">
        <f>(#REF!+2*#REF!)/#REF!</f>
        <v>#REF!</v>
      </c>
      <c r="DF122" s="244" t="e">
        <f>#REF!*(1+race_wizard_strength+IF(#REF!&gt;72,tech_magical_weaponry_wiz*#REF!,0))</f>
        <v>#REF!</v>
      </c>
    </row>
    <row r="123" spans="1:110" x14ac:dyDescent="0.25">
      <c r="A123" s="130" t="e">
        <f>#REF!</f>
        <v>#REF!</v>
      </c>
      <c r="B123" s="236" t="e">
        <f ca="1">SUM(#REF!)+SUM(OFFSET(#REF!,-8,0):#REF!) + SUM(OFFSET(#REF!,-11,0):#REF!) +#REF!</f>
        <v>#REF!</v>
      </c>
      <c r="C123" s="132" t="e">
        <f>#REF!</f>
        <v>#REF!</v>
      </c>
      <c r="D123" s="134"/>
      <c r="E123" s="3" t="e">
        <f ca="1">OFFSET(#REF!,-1,0) + OFFSET(#REF!,-9,0) -#REF!</f>
        <v>#REF!</v>
      </c>
      <c r="F123" s="3" t="e">
        <f ca="1">OFFSET(#REF!,-1,0) + OFFSET(#REF!,-9,0)-#REF!</f>
        <v>#REF!</v>
      </c>
      <c r="G123" s="3" t="e">
        <f ca="1">OFFSET(#REF!,-1,0) + OFFSET(#REF!,-12,0)-#REF!</f>
        <v>#REF!</v>
      </c>
      <c r="H123" s="3" t="e">
        <f ca="1">OFFSET(#REF!,-1,0) + OFFSET(#REF!,-12,0)-#REF!</f>
        <v>#REF!</v>
      </c>
      <c r="I123" s="3" t="e">
        <f ca="1">OFFSET(#REF!,-1,0) + OFFSET(#REF!,-12,0) -#REF!-#REF!</f>
        <v>#REF!</v>
      </c>
      <c r="J123" s="3" t="e">
        <f ca="1">OFFSET(#REF!,-1,0) + OFFSET(#REF!,-12,0) -#REF!</f>
        <v>#REF!</v>
      </c>
      <c r="K123" s="3" t="e">
        <f ca="1">OFFSET(#REF!,-1,0) + OFFSET(#REF!,-12,0) -#REF!-#REF!</f>
        <v>#REF!</v>
      </c>
      <c r="L123" s="3" t="e">
        <f ca="1">OFFSET(#REF!,-1,0) + OFFSET(#REF!,-12,0) -#REF!</f>
        <v>#REF!</v>
      </c>
      <c r="M123" s="134"/>
      <c r="N123" s="39" t="e">
        <f>#REF!</f>
        <v>#REF!</v>
      </c>
      <c r="O123" s="134"/>
      <c r="P123" s="237" t="e">
        <f>#REF!*spec_op+#REF!*(elite1_base_op)+#REF!*(elite2_base_op+dark_elf*#REF!+icekin*#REF!+woodie*#REF!+orc*#REF!)+kobold*#REF!</f>
        <v>#REF!</v>
      </c>
      <c r="Q123" s="132" t="e">
        <f>race_offense+#REF!+ROUND(MIN(gn_bonus*#REF!/#REF!,gn_bonus_cap),4)+MAX(IF(#REF!&gt;0,warsong_bonus),IF(#REF!&gt;0,howling_op_bonus),IF(#REF!&gt;0,nightfall_bonus),IF(#REF!&gt;0,#REF!)) +#REF!/ 100*prestige_offense_bonus + tech_5_4*#REF! + tech_7_4*#REF!</f>
        <v>#REF!</v>
      </c>
      <c r="R123" s="237" t="e">
        <f>#REF!*(1+#REF!)</f>
        <v>#REF!</v>
      </c>
      <c r="S123" s="237" t="e">
        <f>#REF!*spec_dp+#REF!*(elite1_base_dp+woodie*#REF!+sylvan*#REF!+gnome*#REF!+icekin*#REF!+nox*#REF!)+#REF!*(elite2_base_dp+woodie*#REF!) + fh_peas_dp*MIN(#REF!,20*#REF!)+kobold*#REF!</f>
        <v>#REF!</v>
      </c>
      <c r="T123" s="237" t="e">
        <f>#REF!+#REF!</f>
        <v>#REF!</v>
      </c>
      <c r="U123" s="238" t="e">
        <f>race_defense +#REF! + ROUND( MIN(gt_bonus*#REF!/#REF!,gt_bonus_cap), 4) + IF(#REF!&gt;0,howling_dp_bonus,IF(#REF!&gt;0,ares_call_bonus))</f>
        <v>#REF!</v>
      </c>
      <c r="V123" s="239" t="e">
        <f>#REF! * (1 +#REF!)</f>
        <v>#REF!</v>
      </c>
      <c r="W123" s="237" t="e">
        <f>#REF! * (1 +#REF!)</f>
        <v>#REF!</v>
      </c>
      <c r="X123" s="237" t="e">
        <f>#REF!</f>
        <v>#REF!</v>
      </c>
      <c r="Y123" s="240"/>
      <c r="Z123" s="135" t="e">
        <f ca="1">IF(#REF!&lt;&gt;"",#REF!,OFFSET(#REF!,-1,0))</f>
        <v>#REF!</v>
      </c>
      <c r="AA123" s="39" t="e">
        <f ca="1">OFFSET(#REF!,-1,0)+OFFSET(#REF!,-1,0) - SUM(#REF!,#REF!) -#REF! + SUM(#REF!) -#REF!</f>
        <v>#REF!</v>
      </c>
      <c r="AB123" s="133"/>
      <c r="AC123" s="132" t="e">
        <f>(#REF!+#REF!)/(#REF!-#REF!*20)</f>
        <v>#REF!</v>
      </c>
      <c r="AD123" s="130"/>
      <c r="AE123" s="236" t="e">
        <f>#REF!</f>
        <v>#REF!</v>
      </c>
      <c r="AF123" s="131" t="e">
        <f>#REF!</f>
        <v>#REF!</v>
      </c>
      <c r="AG123" s="164"/>
      <c r="AH123" s="164"/>
      <c r="AI123" s="164"/>
      <c r="AJ123" s="164"/>
      <c r="AK123" s="164"/>
      <c r="AL123" s="164"/>
      <c r="AM123" s="164"/>
      <c r="AN123" s="164"/>
      <c r="AO123" s="134"/>
      <c r="AP123" s="39" t="e">
        <f>#REF!</f>
        <v>#REF!</v>
      </c>
      <c r="AQ123" s="39" t="e">
        <f>INDEX(#REF!:#REF!,COUNTA(#REF!:#REF!),MATCH(Military!$AQ$2,#REF!,0))</f>
        <v>#REF!</v>
      </c>
      <c r="AR123" s="39" t="e">
        <f>#REF!*#REF!+#REF!*#REF!+#REF!*#REF!+#REF!*#REF!+#REF!*#REF!+#REF!*#REF!+#REF!*#REF!</f>
        <v>#REF!</v>
      </c>
      <c r="AS123" s="39" t="e">
        <f>#REF!*#REF!+#REF!*#REF!+#REF!*#REF!+#REF!*#REF!</f>
        <v>#REF!</v>
      </c>
      <c r="AT123" s="134" t="e">
        <f>#REF!</f>
        <v>#REF!</v>
      </c>
      <c r="AU123" s="143" t="e">
        <f>#REF!</f>
        <v>#REF!</v>
      </c>
      <c r="AV123" s="39" t="e">
        <f>#REF!</f>
        <v>#REF!</v>
      </c>
      <c r="AW123" s="164"/>
      <c r="AX123" s="164"/>
      <c r="AY123" s="164"/>
      <c r="AZ123" s="164"/>
      <c r="BA123" s="164"/>
      <c r="BB123" s="164"/>
      <c r="BC123" s="164"/>
      <c r="BD123" s="164"/>
      <c r="BE123" s="164"/>
      <c r="BF123" s="134"/>
      <c r="BG123" s="132" t="e">
        <f>#REF!/#REF!</f>
        <v>#REF!</v>
      </c>
      <c r="BH123" s="132" t="e">
        <f>#REF!/#REF!</f>
        <v>#REF!</v>
      </c>
      <c r="BI123" s="39" t="e">
        <f>ROUNDUP((1-MIN(#REF!*smithy_bonus,smithy_bonus_cap) + tech_3_5*#REF! + tech_5_3*#REF! + tech_5_5*#REF!)*spec_op_plat,0)</f>
        <v>#REF!</v>
      </c>
      <c r="BJ123" s="39" t="e">
        <f>ROUNDUP(IF(race="Gnome",1,(1-MIN(#REF!*smithy_bonus,smithy_bonus_cap) + tech_3_5*#REF! + tech_5_3*#REF! + tech_5_5*#REF!))*spec_op_ore,0)</f>
        <v>#REF!</v>
      </c>
      <c r="BK123" s="39" t="e">
        <f>ROUNDUP((1-MIN(#REF!*smithy_bonus,smithy_bonus_cap) + tech_3_5*#REF! + tech_5_3*#REF! + tech_5_5*#REF!)*spec_dp_plat,0)</f>
        <v>#REF!</v>
      </c>
      <c r="BL123" s="39" t="e">
        <f>ROUNDUP(IF(race="Gnome",1,(1-MIN(#REF!*smithy_bonus,smithy_bonus_cap) + tech_3_5*#REF! + tech_5_3*#REF! + tech_5_5*#REF!))*spec_dp_ore,0)</f>
        <v>#REF!</v>
      </c>
      <c r="BM123" s="39" t="e">
        <f>ROUNDUP((1-MIN(#REF!*smithy_bonus,smithy_bonus_cap) + tech_3_5*#REF! + tech_5_3*#REF! + tech_5_5*#REF!)*elite1_plat,0)</f>
        <v>#REF!</v>
      </c>
      <c r="BN123" s="39" t="e">
        <f>ROUNDUP(IF(race="Gnome",1,(1-MIN(#REF!*smithy_bonus,smithy_bonus_cap) + tech_3_5*#REF! + tech_5_3*#REF! + tech_5_5*#REF!))*elite1_ore,0)</f>
        <v>#REF!</v>
      </c>
      <c r="BO123" s="39" t="e">
        <f>ROUNDUP((1-MIN(#REF!*smithy_bonus,smithy_bonus_cap) + tech_3_5*#REF! + tech_5_3*#REF! + tech_5_5*#REF!)*elite2_plat,0)</f>
        <v>#REF!</v>
      </c>
      <c r="BP123" s="39" t="e">
        <f>ROUNDUP(IF(race="Gnome",1,(1-MIN(#REF!*smithy_bonus,smithy_bonus_cap) + tech_3_5*#REF! + tech_5_3*#REF! + tech_5_5*#REF!))*elite2_ore,0)</f>
        <v>#REF!</v>
      </c>
      <c r="BQ123" s="39" t="e">
        <f>ROUNDUP((1-MIN(ROUND(fh_spy_cost_red*#REF!,4),fh_spy_cost_cap)+ tech_1_9*#REF! + tech_9_1*#REF!)*spy_plat,0)</f>
        <v>#REF!</v>
      </c>
      <c r="BR123" s="39" t="e">
        <f>ROUNDUP((1-MIN(ROUND(fh_spy_cost_red*#REF!,4),fh_spy_cost_cap)+ tech_1_9*#REF! + tech_9_1*#REF!)*archspy_plat,0)</f>
        <v>#REF!</v>
      </c>
      <c r="BS123" s="39" t="e">
        <f>ROUNDUP((1-MIN(ROUND(wg_wiz_cost_bonus*#REF!,4),wg_wiz_cost_cap) + tech_1_9_2*#REF! + tech_9_1_2*#REF!)*wizard_plat,0)</f>
        <v>#REF!</v>
      </c>
      <c r="BT123" s="39" t="e">
        <f>ROUNDUP((1-MIN(ROUND(wg_wiz_cost_bonus*#REF!,4),wg_wiz_cost_cap) + tech_1_9_2*#REF! + tech_9_1_2*#REF!)*archmage_plat,0)</f>
        <v>#REF!</v>
      </c>
      <c r="BU123" s="134"/>
      <c r="BV123" s="132" t="e">
        <f>#REF!/#REF!</f>
        <v>#REF!</v>
      </c>
      <c r="BW123" s="132" t="e">
        <f>#REF!</f>
        <v>#REF!</v>
      </c>
      <c r="BX123" s="241" t="e">
        <f>IF(mystic_cap="none",#REF!/mystic_bonus,MIN(mystic_cap,#REF!/mystic_bonus))</f>
        <v>#REF!</v>
      </c>
      <c r="BY123" s="241" t="e">
        <f>IF(druid_op_cap="none",#REF!/druid_op_bonus,MIN(druid_op_cap,#REF!/druid_op_bonus))</f>
        <v>#REF!</v>
      </c>
      <c r="BZ123" s="241" t="e">
        <f>IF(druid_dp_cap="none",#REF!/druid_dp_bonus,MIN(druid_dp_cap,#REF!/druid_dp_bonus))</f>
        <v>#REF!</v>
      </c>
      <c r="CA123" s="241" t="e">
        <f>MIN(dryad_cap,#REF!/dryad_bonus)</f>
        <v>#REF!</v>
      </c>
      <c r="CB123" s="241" t="e">
        <f>MIN(rocka_cap,#REF!/rocka_bonus)</f>
        <v>#REF!</v>
      </c>
      <c r="CC123" s="241" t="e">
        <f>MIN(adept_op_cap,#REF!/adept_op_bonus)</f>
        <v>#REF!</v>
      </c>
      <c r="CD123" s="241" t="e">
        <f>MIN(adept_dp_cap,#REF!/adept_dp_bonus)</f>
        <v>#REF!</v>
      </c>
      <c r="CE123" s="39" t="e">
        <f>MIN(#REF!,#REF!)*2</f>
        <v>#REF!</v>
      </c>
      <c r="CF123" s="39" t="e">
        <f>MIN(#REF!,#REF!)*2</f>
        <v>#REF!</v>
      </c>
      <c r="CG123" s="241" t="e">
        <f>MIN(frost_mage_cap,#REF!/frost_mage_bonus)</f>
        <v>#REF!</v>
      </c>
      <c r="CH123" s="3" t="e">
        <f>MIN(ice_elem_cap,#REF!*ice_elem_bonus)</f>
        <v>#REF!</v>
      </c>
      <c r="CI123" s="241">
        <f t="shared" si="4"/>
        <v>0.83333333333333337</v>
      </c>
      <c r="CJ123" s="241" t="e">
        <f>MIN(nox_nightshade_cap,#REF!/#REF!/nox_nightshade_swamp_bonus)</f>
        <v>#REF!</v>
      </c>
      <c r="CK123" s="242"/>
      <c r="CL123" s="242"/>
      <c r="CM123" s="242"/>
      <c r="CN123" s="241" t="e">
        <f>MIN(6,#REF!+Races!$F$19)*1.8 +  IF(#REF!+Races!$F$19&gt;6,(#REF!+Races!$F$19-6)*0.2,0) - Races!$I$19</f>
        <v>#REF!</v>
      </c>
      <c r="CO123" s="241" t="e">
        <f>1.8 * MIN(MAX(#REF!+Races!$E$20,#REF!+Races!$F$20),6)  +  0.45 * MIN(MIN(#REF!+Races!$E$20,#REF!+Races!$F$20),6)  +  0.2 * ( MAX(#REF!+Races!$E$20-6,0) + MAX(#REF!+Races!$F$20-6,0) )  -  Races!$I$20</f>
        <v>#REF!</v>
      </c>
      <c r="CP123" s="39" t="e">
        <f>#REF!*#REF!+#REF!*#REF!</f>
        <v>#REF!</v>
      </c>
      <c r="CQ123" s="145" t="e">
        <f>MIN(6,#REF!+Races!$F$35)*1.8 +  IF(#REF!+Races!$F$35&gt;6,(#REF!+Races!$F$35-6)*0.2,0) - Races!$I$19</f>
        <v>#REF!</v>
      </c>
      <c r="CR123" s="39" t="e">
        <f>sylvan*(#REF!*#REF!)</f>
        <v>#REF!</v>
      </c>
      <c r="CS123" s="145" t="e">
        <f>1.8 * MIN(MAX(Races!$E$27,#REF!+Races!$F$27),6)  +  0.45 * MIN(MIN(Races!$E$27,#REF!+Races!$F$27),6)  +  0.2 * ( MAX(Races!$E$27-6,0) + MAX(#REF!+Races!$F$27-6,0) )  -  Races!$I$20</f>
        <v>#REF!</v>
      </c>
      <c r="CT123" s="39" t="e">
        <f>gnome*(#REF!*#REF!)</f>
        <v>#REF!</v>
      </c>
      <c r="CU123" s="145" t="e">
        <f>1.8 * MIN(MAX(#REF!+Races!$E$47,#REF!+Races!$F$47),6)  +  0.45 * MIN(MIN(#REF!+Races!$E$47,#REF!+Races!$F$47),6)  +  0.2 * ( MAX(#REF!+Races!$E$47-6,0) + MAX(#REF!+Races!$F$47-6,0) )  -  Races!$I$47</f>
        <v>#REF!</v>
      </c>
      <c r="CV123" s="39" t="e">
        <f>dark_elf*(#REF!*#REF!)</f>
        <v>#REF!</v>
      </c>
      <c r="CW123" s="145" t="e">
        <f>1.8 * MIN(MAX(#REF!+Races!$F$71,Races!$E$71),6)  +  0.45 * MIN(MIN(#REF!+Races!$F$71,Races!$E$71),6)  +  0.2 * ( MAX(#REF!+Races!$F$71-6,0) + MAX(Races!$E$71-6,0) )  -  Races!$I$71</f>
        <v>#REF!</v>
      </c>
      <c r="CX123" s="145" t="e">
        <f>1.8 * MIN(MAX(#REF!+Races!$E$71,Races!$F$71),6)  +  0.45 * MIN(MIN(#REF!+Races!$E$71,Races!$F$71),6)  +  0.2 * ( MAX(#REF!+Races!$E$71-6,0) + MAX(Races!$F$71-6,0) )  -  Races!$I$71</f>
        <v>#REF!</v>
      </c>
      <c r="CY123" s="39" t="e">
        <f>#REF!*#REF!+#REF!*#REF!</f>
        <v>#REF!</v>
      </c>
      <c r="CZ123" s="243"/>
      <c r="DA123" s="135" t="e">
        <f>MIN(SUM(#REF!)/#REF!/favorable_terrain_bonus/100,favorable_terrain_max)</f>
        <v>#REF!</v>
      </c>
      <c r="DB123" s="243"/>
      <c r="DC123"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23" s="134"/>
      <c r="DE123" s="244" t="e">
        <f>(#REF!+2*#REF!)/#REF!</f>
        <v>#REF!</v>
      </c>
      <c r="DF123" s="244" t="e">
        <f>#REF!*(1+race_wizard_strength+IF(#REF!&gt;72,tech_magical_weaponry_wiz*#REF!,0))</f>
        <v>#REF!</v>
      </c>
    </row>
    <row r="124" spans="1:110" x14ac:dyDescent="0.25">
      <c r="A124" s="130" t="e">
        <f>#REF!</f>
        <v>#REF!</v>
      </c>
      <c r="B124" s="236" t="e">
        <f ca="1">SUM(#REF!)+SUM(OFFSET(#REF!,-8,0):#REF!) + SUM(OFFSET(#REF!,-11,0):#REF!) +#REF!</f>
        <v>#REF!</v>
      </c>
      <c r="C124" s="132" t="e">
        <f>#REF!</f>
        <v>#REF!</v>
      </c>
      <c r="D124" s="134"/>
      <c r="E124" s="3" t="e">
        <f ca="1">OFFSET(#REF!,-1,0) + OFFSET(#REF!,-9,0) -#REF!</f>
        <v>#REF!</v>
      </c>
      <c r="F124" s="3" t="e">
        <f ca="1">OFFSET(#REF!,-1,0) + OFFSET(#REF!,-9,0)-#REF!</f>
        <v>#REF!</v>
      </c>
      <c r="G124" s="3" t="e">
        <f ca="1">OFFSET(#REF!,-1,0) + OFFSET(#REF!,-12,0)-#REF!</f>
        <v>#REF!</v>
      </c>
      <c r="H124" s="3" t="e">
        <f ca="1">OFFSET(#REF!,-1,0) + OFFSET(#REF!,-12,0)-#REF!</f>
        <v>#REF!</v>
      </c>
      <c r="I124" s="3" t="e">
        <f ca="1">OFFSET(#REF!,-1,0) + OFFSET(#REF!,-12,0) -#REF!-#REF!</f>
        <v>#REF!</v>
      </c>
      <c r="J124" s="3" t="e">
        <f ca="1">OFFSET(#REF!,-1,0) + OFFSET(#REF!,-12,0) -#REF!</f>
        <v>#REF!</v>
      </c>
      <c r="K124" s="3" t="e">
        <f ca="1">OFFSET(#REF!,-1,0) + OFFSET(#REF!,-12,0) -#REF!-#REF!</f>
        <v>#REF!</v>
      </c>
      <c r="L124" s="3" t="e">
        <f ca="1">OFFSET(#REF!,-1,0) + OFFSET(#REF!,-12,0) -#REF!</f>
        <v>#REF!</v>
      </c>
      <c r="M124" s="134"/>
      <c r="N124" s="39" t="e">
        <f>#REF!</f>
        <v>#REF!</v>
      </c>
      <c r="O124" s="134"/>
      <c r="P124" s="237" t="e">
        <f>#REF!*spec_op+#REF!*(elite1_base_op)+#REF!*(elite2_base_op+dark_elf*#REF!+icekin*#REF!+woodie*#REF!+orc*#REF!)+kobold*#REF!</f>
        <v>#REF!</v>
      </c>
      <c r="Q124" s="132" t="e">
        <f>race_offense+#REF!+ROUND(MIN(gn_bonus*#REF!/#REF!,gn_bonus_cap),4)+MAX(IF(#REF!&gt;0,warsong_bonus),IF(#REF!&gt;0,howling_op_bonus),IF(#REF!&gt;0,nightfall_bonus),IF(#REF!&gt;0,#REF!)) +#REF!/ 100*prestige_offense_bonus + tech_5_4*#REF! + tech_7_4*#REF!</f>
        <v>#REF!</v>
      </c>
      <c r="R124" s="237" t="e">
        <f>#REF!*(1+#REF!)</f>
        <v>#REF!</v>
      </c>
      <c r="S124" s="237" t="e">
        <f>#REF!*spec_dp+#REF!*(elite1_base_dp+woodie*#REF!+sylvan*#REF!+gnome*#REF!+icekin*#REF!+nox*#REF!)+#REF!*(elite2_base_dp+woodie*#REF!) + fh_peas_dp*MIN(#REF!,20*#REF!)+kobold*#REF!</f>
        <v>#REF!</v>
      </c>
      <c r="T124" s="237" t="e">
        <f>#REF!+#REF!</f>
        <v>#REF!</v>
      </c>
      <c r="U124" s="238" t="e">
        <f>race_defense +#REF! + ROUND( MIN(gt_bonus*#REF!/#REF!,gt_bonus_cap), 4) + IF(#REF!&gt;0,howling_dp_bonus,IF(#REF!&gt;0,ares_call_bonus))</f>
        <v>#REF!</v>
      </c>
      <c r="V124" s="239" t="e">
        <f>#REF! * (1 +#REF!)</f>
        <v>#REF!</v>
      </c>
      <c r="W124" s="237" t="e">
        <f>#REF! * (1 +#REF!)</f>
        <v>#REF!</v>
      </c>
      <c r="X124" s="237" t="e">
        <f>#REF!</f>
        <v>#REF!</v>
      </c>
      <c r="Y124" s="240"/>
      <c r="Z124" s="135" t="e">
        <f ca="1">IF(#REF!&lt;&gt;"",#REF!,OFFSET(#REF!,-1,0))</f>
        <v>#REF!</v>
      </c>
      <c r="AA124" s="39" t="e">
        <f ca="1">OFFSET(#REF!,-1,0)+OFFSET(#REF!,-1,0) - SUM(#REF!,#REF!) -#REF! + SUM(#REF!) -#REF!</f>
        <v>#REF!</v>
      </c>
      <c r="AB124" s="133"/>
      <c r="AC124" s="132" t="e">
        <f>(#REF!+#REF!)/(#REF!-#REF!*20)</f>
        <v>#REF!</v>
      </c>
      <c r="AD124" s="130"/>
      <c r="AE124" s="236" t="e">
        <f>#REF!</f>
        <v>#REF!</v>
      </c>
      <c r="AF124" s="131" t="e">
        <f>#REF!</f>
        <v>#REF!</v>
      </c>
      <c r="AG124" s="164"/>
      <c r="AH124" s="164"/>
      <c r="AI124" s="164"/>
      <c r="AJ124" s="164"/>
      <c r="AK124" s="164"/>
      <c r="AL124" s="164"/>
      <c r="AM124" s="164"/>
      <c r="AN124" s="164"/>
      <c r="AO124" s="134"/>
      <c r="AP124" s="39" t="e">
        <f>#REF!</f>
        <v>#REF!</v>
      </c>
      <c r="AQ124" s="39" t="e">
        <f>INDEX(#REF!:#REF!,COUNTA(#REF!:#REF!),MATCH(Military!$AQ$2,#REF!,0))</f>
        <v>#REF!</v>
      </c>
      <c r="AR124" s="39" t="e">
        <f>#REF!*#REF!+#REF!*#REF!+#REF!*#REF!+#REF!*#REF!+#REF!*#REF!+#REF!*#REF!+#REF!*#REF!</f>
        <v>#REF!</v>
      </c>
      <c r="AS124" s="39" t="e">
        <f>#REF!*#REF!+#REF!*#REF!+#REF!*#REF!+#REF!*#REF!</f>
        <v>#REF!</v>
      </c>
      <c r="AT124" s="134" t="e">
        <f>#REF!</f>
        <v>#REF!</v>
      </c>
      <c r="AU124" s="143" t="e">
        <f>#REF!</f>
        <v>#REF!</v>
      </c>
      <c r="AV124" s="39" t="e">
        <f>#REF!</f>
        <v>#REF!</v>
      </c>
      <c r="AW124" s="164"/>
      <c r="AX124" s="164"/>
      <c r="AY124" s="164"/>
      <c r="AZ124" s="164"/>
      <c r="BA124" s="164"/>
      <c r="BB124" s="164"/>
      <c r="BC124" s="164"/>
      <c r="BD124" s="164"/>
      <c r="BE124" s="164"/>
      <c r="BF124" s="134"/>
      <c r="BG124" s="132" t="e">
        <f>#REF!/#REF!</f>
        <v>#REF!</v>
      </c>
      <c r="BH124" s="132" t="e">
        <f>#REF!/#REF!</f>
        <v>#REF!</v>
      </c>
      <c r="BI124" s="39" t="e">
        <f>ROUNDUP((1-MIN(#REF!*smithy_bonus,smithy_bonus_cap) + tech_3_5*#REF! + tech_5_3*#REF! + tech_5_5*#REF!)*spec_op_plat,0)</f>
        <v>#REF!</v>
      </c>
      <c r="BJ124" s="39" t="e">
        <f>ROUNDUP(IF(race="Gnome",1,(1-MIN(#REF!*smithy_bonus,smithy_bonus_cap) + tech_3_5*#REF! + tech_5_3*#REF! + tech_5_5*#REF!))*spec_op_ore,0)</f>
        <v>#REF!</v>
      </c>
      <c r="BK124" s="39" t="e">
        <f>ROUNDUP((1-MIN(#REF!*smithy_bonus,smithy_bonus_cap) + tech_3_5*#REF! + tech_5_3*#REF! + tech_5_5*#REF!)*spec_dp_plat,0)</f>
        <v>#REF!</v>
      </c>
      <c r="BL124" s="39" t="e">
        <f>ROUNDUP(IF(race="Gnome",1,(1-MIN(#REF!*smithy_bonus,smithy_bonus_cap) + tech_3_5*#REF! + tech_5_3*#REF! + tech_5_5*#REF!))*spec_dp_ore,0)</f>
        <v>#REF!</v>
      </c>
      <c r="BM124" s="39" t="e">
        <f>ROUNDUP((1-MIN(#REF!*smithy_bonus,smithy_bonus_cap) + tech_3_5*#REF! + tech_5_3*#REF! + tech_5_5*#REF!)*elite1_plat,0)</f>
        <v>#REF!</v>
      </c>
      <c r="BN124" s="39" t="e">
        <f>ROUNDUP(IF(race="Gnome",1,(1-MIN(#REF!*smithy_bonus,smithy_bonus_cap) + tech_3_5*#REF! + tech_5_3*#REF! + tech_5_5*#REF!))*elite1_ore,0)</f>
        <v>#REF!</v>
      </c>
      <c r="BO124" s="39" t="e">
        <f>ROUNDUP((1-MIN(#REF!*smithy_bonus,smithy_bonus_cap) + tech_3_5*#REF! + tech_5_3*#REF! + tech_5_5*#REF!)*elite2_plat,0)</f>
        <v>#REF!</v>
      </c>
      <c r="BP124" s="39" t="e">
        <f>ROUNDUP(IF(race="Gnome",1,(1-MIN(#REF!*smithy_bonus,smithy_bonus_cap) + tech_3_5*#REF! + tech_5_3*#REF! + tech_5_5*#REF!))*elite2_ore,0)</f>
        <v>#REF!</v>
      </c>
      <c r="BQ124" s="39" t="e">
        <f>ROUNDUP((1-MIN(ROUND(fh_spy_cost_red*#REF!,4),fh_spy_cost_cap)+ tech_1_9*#REF! + tech_9_1*#REF!)*spy_plat,0)</f>
        <v>#REF!</v>
      </c>
      <c r="BR124" s="39" t="e">
        <f>ROUNDUP((1-MIN(ROUND(fh_spy_cost_red*#REF!,4),fh_spy_cost_cap)+ tech_1_9*#REF! + tech_9_1*#REF!)*archspy_plat,0)</f>
        <v>#REF!</v>
      </c>
      <c r="BS124" s="39" t="e">
        <f>ROUNDUP((1-MIN(ROUND(wg_wiz_cost_bonus*#REF!,4),wg_wiz_cost_cap) + tech_1_9_2*#REF! + tech_9_1_2*#REF!)*wizard_plat,0)</f>
        <v>#REF!</v>
      </c>
      <c r="BT124" s="39" t="e">
        <f>ROUNDUP((1-MIN(ROUND(wg_wiz_cost_bonus*#REF!,4),wg_wiz_cost_cap) + tech_1_9_2*#REF! + tech_9_1_2*#REF!)*archmage_plat,0)</f>
        <v>#REF!</v>
      </c>
      <c r="BU124" s="134"/>
      <c r="BV124" s="132" t="e">
        <f>#REF!/#REF!</f>
        <v>#REF!</v>
      </c>
      <c r="BW124" s="132" t="e">
        <f>#REF!</f>
        <v>#REF!</v>
      </c>
      <c r="BX124" s="241" t="e">
        <f>IF(mystic_cap="none",#REF!/mystic_bonus,MIN(mystic_cap,#REF!/mystic_bonus))</f>
        <v>#REF!</v>
      </c>
      <c r="BY124" s="241" t="e">
        <f>IF(druid_op_cap="none",#REF!/druid_op_bonus,MIN(druid_op_cap,#REF!/druid_op_bonus))</f>
        <v>#REF!</v>
      </c>
      <c r="BZ124" s="241" t="e">
        <f>IF(druid_dp_cap="none",#REF!/druid_dp_bonus,MIN(druid_dp_cap,#REF!/druid_dp_bonus))</f>
        <v>#REF!</v>
      </c>
      <c r="CA124" s="241" t="e">
        <f>MIN(dryad_cap,#REF!/dryad_bonus)</f>
        <v>#REF!</v>
      </c>
      <c r="CB124" s="241" t="e">
        <f>MIN(rocka_cap,#REF!/rocka_bonus)</f>
        <v>#REF!</v>
      </c>
      <c r="CC124" s="241" t="e">
        <f>MIN(adept_op_cap,#REF!/adept_op_bonus)</f>
        <v>#REF!</v>
      </c>
      <c r="CD124" s="241" t="e">
        <f>MIN(adept_dp_cap,#REF!/adept_dp_bonus)</f>
        <v>#REF!</v>
      </c>
      <c r="CE124" s="39" t="e">
        <f>MIN(#REF!,#REF!)*2</f>
        <v>#REF!</v>
      </c>
      <c r="CF124" s="39" t="e">
        <f>MIN(#REF!,#REF!)*2</f>
        <v>#REF!</v>
      </c>
      <c r="CG124" s="241" t="e">
        <f>MIN(frost_mage_cap,#REF!/frost_mage_bonus)</f>
        <v>#REF!</v>
      </c>
      <c r="CH124" s="3" t="e">
        <f>MIN(ice_elem_cap,#REF!*ice_elem_bonus)</f>
        <v>#REF!</v>
      </c>
      <c r="CI124" s="241">
        <f t="shared" si="4"/>
        <v>0.83333333333333337</v>
      </c>
      <c r="CJ124" s="241" t="e">
        <f>MIN(nox_nightshade_cap,#REF!/#REF!/nox_nightshade_swamp_bonus)</f>
        <v>#REF!</v>
      </c>
      <c r="CK124" s="242"/>
      <c r="CL124" s="242"/>
      <c r="CM124" s="242"/>
      <c r="CN124" s="241" t="e">
        <f>MIN(6,#REF!+Races!$F$19)*1.8 +  IF(#REF!+Races!$F$19&gt;6,(#REF!+Races!$F$19-6)*0.2,0) - Races!$I$19</f>
        <v>#REF!</v>
      </c>
      <c r="CO124" s="241" t="e">
        <f>1.8 * MIN(MAX(#REF!+Races!$E$20,#REF!+Races!$F$20),6)  +  0.45 * MIN(MIN(#REF!+Races!$E$20,#REF!+Races!$F$20),6)  +  0.2 * ( MAX(#REF!+Races!$E$20-6,0) + MAX(#REF!+Races!$F$20-6,0) )  -  Races!$I$20</f>
        <v>#REF!</v>
      </c>
      <c r="CP124" s="39" t="e">
        <f>#REF!*#REF!+#REF!*#REF!</f>
        <v>#REF!</v>
      </c>
      <c r="CQ124" s="145" t="e">
        <f>MIN(6,#REF!+Races!$F$35)*1.8 +  IF(#REF!+Races!$F$35&gt;6,(#REF!+Races!$F$35-6)*0.2,0) - Races!$I$19</f>
        <v>#REF!</v>
      </c>
      <c r="CR124" s="39" t="e">
        <f>sylvan*(#REF!*#REF!)</f>
        <v>#REF!</v>
      </c>
      <c r="CS124" s="145" t="e">
        <f>1.8 * MIN(MAX(Races!$E$27,#REF!+Races!$F$27),6)  +  0.45 * MIN(MIN(Races!$E$27,#REF!+Races!$F$27),6)  +  0.2 * ( MAX(Races!$E$27-6,0) + MAX(#REF!+Races!$F$27-6,0) )  -  Races!$I$20</f>
        <v>#REF!</v>
      </c>
      <c r="CT124" s="39" t="e">
        <f>gnome*(#REF!*#REF!)</f>
        <v>#REF!</v>
      </c>
      <c r="CU124" s="145" t="e">
        <f>1.8 * MIN(MAX(#REF!+Races!$E$47,#REF!+Races!$F$47),6)  +  0.45 * MIN(MIN(#REF!+Races!$E$47,#REF!+Races!$F$47),6)  +  0.2 * ( MAX(#REF!+Races!$E$47-6,0) + MAX(#REF!+Races!$F$47-6,0) )  -  Races!$I$47</f>
        <v>#REF!</v>
      </c>
      <c r="CV124" s="39" t="e">
        <f>dark_elf*(#REF!*#REF!)</f>
        <v>#REF!</v>
      </c>
      <c r="CW124" s="145" t="e">
        <f>1.8 * MIN(MAX(#REF!+Races!$F$71,Races!$E$71),6)  +  0.45 * MIN(MIN(#REF!+Races!$F$71,Races!$E$71),6)  +  0.2 * ( MAX(#REF!+Races!$F$71-6,0) + MAX(Races!$E$71-6,0) )  -  Races!$I$71</f>
        <v>#REF!</v>
      </c>
      <c r="CX124" s="145" t="e">
        <f>1.8 * MIN(MAX(#REF!+Races!$E$71,Races!$F$71),6)  +  0.45 * MIN(MIN(#REF!+Races!$E$71,Races!$F$71),6)  +  0.2 * ( MAX(#REF!+Races!$E$71-6,0) + MAX(Races!$F$71-6,0) )  -  Races!$I$71</f>
        <v>#REF!</v>
      </c>
      <c r="CY124" s="39" t="e">
        <f>#REF!*#REF!+#REF!*#REF!</f>
        <v>#REF!</v>
      </c>
      <c r="CZ124" s="243"/>
      <c r="DA124" s="135" t="e">
        <f>MIN(SUM(#REF!)/#REF!/favorable_terrain_bonus/100,favorable_terrain_max)</f>
        <v>#REF!</v>
      </c>
      <c r="DB124" s="243"/>
      <c r="DC124"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24" s="134"/>
      <c r="DE124" s="244" t="e">
        <f>(#REF!+2*#REF!)/#REF!</f>
        <v>#REF!</v>
      </c>
      <c r="DF124" s="244" t="e">
        <f>#REF!*(1+race_wizard_strength+IF(#REF!&gt;72,tech_magical_weaponry_wiz*#REF!,0))</f>
        <v>#REF!</v>
      </c>
    </row>
    <row r="125" spans="1:110" x14ac:dyDescent="0.25">
      <c r="A125" s="130" t="e">
        <f>#REF!</f>
        <v>#REF!</v>
      </c>
      <c r="B125" s="236" t="e">
        <f ca="1">SUM(#REF!)+SUM(OFFSET(#REF!,-8,0):#REF!) + SUM(OFFSET(#REF!,-11,0):#REF!) +#REF!</f>
        <v>#REF!</v>
      </c>
      <c r="C125" s="132" t="e">
        <f>#REF!</f>
        <v>#REF!</v>
      </c>
      <c r="D125" s="134"/>
      <c r="E125" s="3" t="e">
        <f ca="1">OFFSET(#REF!,-1,0) + OFFSET(#REF!,-9,0) -#REF!</f>
        <v>#REF!</v>
      </c>
      <c r="F125" s="3" t="e">
        <f ca="1">OFFSET(#REF!,-1,0) + OFFSET(#REF!,-9,0)-#REF!</f>
        <v>#REF!</v>
      </c>
      <c r="G125" s="3" t="e">
        <f ca="1">OFFSET(#REF!,-1,0) + OFFSET(#REF!,-12,0)-#REF!</f>
        <v>#REF!</v>
      </c>
      <c r="H125" s="3" t="e">
        <f ca="1">OFFSET(#REF!,-1,0) + OFFSET(#REF!,-12,0)-#REF!</f>
        <v>#REF!</v>
      </c>
      <c r="I125" s="3" t="e">
        <f ca="1">OFFSET(#REF!,-1,0) + OFFSET(#REF!,-12,0) -#REF!-#REF!</f>
        <v>#REF!</v>
      </c>
      <c r="J125" s="3" t="e">
        <f ca="1">OFFSET(#REF!,-1,0) + OFFSET(#REF!,-12,0) -#REF!</f>
        <v>#REF!</v>
      </c>
      <c r="K125" s="3" t="e">
        <f ca="1">OFFSET(#REF!,-1,0) + OFFSET(#REF!,-12,0) -#REF!-#REF!</f>
        <v>#REF!</v>
      </c>
      <c r="L125" s="3" t="e">
        <f ca="1">OFFSET(#REF!,-1,0) + OFFSET(#REF!,-12,0) -#REF!</f>
        <v>#REF!</v>
      </c>
      <c r="M125" s="134"/>
      <c r="N125" s="39" t="e">
        <f>#REF!</f>
        <v>#REF!</v>
      </c>
      <c r="O125" s="134"/>
      <c r="P125" s="237" t="e">
        <f>#REF!*spec_op+#REF!*(elite1_base_op)+#REF!*(elite2_base_op+dark_elf*#REF!+icekin*#REF!+woodie*#REF!+orc*#REF!)+kobold*#REF!</f>
        <v>#REF!</v>
      </c>
      <c r="Q125" s="132" t="e">
        <f>race_offense+#REF!+ROUND(MIN(gn_bonus*#REF!/#REF!,gn_bonus_cap),4)+MAX(IF(#REF!&gt;0,warsong_bonus),IF(#REF!&gt;0,howling_op_bonus),IF(#REF!&gt;0,nightfall_bonus),IF(#REF!&gt;0,#REF!)) +#REF!/ 100*prestige_offense_bonus + tech_5_4*#REF! + tech_7_4*#REF!</f>
        <v>#REF!</v>
      </c>
      <c r="R125" s="237" t="e">
        <f>#REF!*(1+#REF!)</f>
        <v>#REF!</v>
      </c>
      <c r="S125" s="237" t="e">
        <f>#REF!*spec_dp+#REF!*(elite1_base_dp+woodie*#REF!+sylvan*#REF!+gnome*#REF!+icekin*#REF!+nox*#REF!)+#REF!*(elite2_base_dp+woodie*#REF!) + fh_peas_dp*MIN(#REF!,20*#REF!)+kobold*#REF!</f>
        <v>#REF!</v>
      </c>
      <c r="T125" s="237" t="e">
        <f>#REF!+#REF!</f>
        <v>#REF!</v>
      </c>
      <c r="U125" s="238" t="e">
        <f>race_defense +#REF! + ROUND( MIN(gt_bonus*#REF!/#REF!,gt_bonus_cap), 4) + IF(#REF!&gt;0,howling_dp_bonus,IF(#REF!&gt;0,ares_call_bonus))</f>
        <v>#REF!</v>
      </c>
      <c r="V125" s="239" t="e">
        <f>#REF! * (1 +#REF!)</f>
        <v>#REF!</v>
      </c>
      <c r="W125" s="237" t="e">
        <f>#REF! * (1 +#REF!)</f>
        <v>#REF!</v>
      </c>
      <c r="X125" s="237" t="e">
        <f>#REF!</f>
        <v>#REF!</v>
      </c>
      <c r="Y125" s="240"/>
      <c r="Z125" s="135" t="e">
        <f ca="1">IF(#REF!&lt;&gt;"",#REF!,OFFSET(#REF!,-1,0))</f>
        <v>#REF!</v>
      </c>
      <c r="AA125" s="39" t="e">
        <f ca="1">OFFSET(#REF!,-1,0)+OFFSET(#REF!,-1,0) - SUM(#REF!,#REF!) -#REF! + SUM(#REF!) -#REF!</f>
        <v>#REF!</v>
      </c>
      <c r="AB125" s="133"/>
      <c r="AC125" s="132" t="e">
        <f>(#REF!+#REF!)/(#REF!-#REF!*20)</f>
        <v>#REF!</v>
      </c>
      <c r="AD125" s="130"/>
      <c r="AE125" s="236" t="e">
        <f>#REF!</f>
        <v>#REF!</v>
      </c>
      <c r="AF125" s="131" t="e">
        <f>#REF!</f>
        <v>#REF!</v>
      </c>
      <c r="AG125" s="146"/>
      <c r="AH125" s="164"/>
      <c r="AI125" s="146"/>
      <c r="AJ125" s="164"/>
      <c r="AK125" s="164"/>
      <c r="AL125" s="164"/>
      <c r="AM125" s="164"/>
      <c r="AN125" s="164"/>
      <c r="AO125" s="134"/>
      <c r="AP125" s="39" t="e">
        <f>#REF!</f>
        <v>#REF!</v>
      </c>
      <c r="AQ125" s="39" t="e">
        <f>INDEX(#REF!:#REF!,COUNTA(#REF!:#REF!),MATCH(Military!$AQ$2,#REF!,0))</f>
        <v>#REF!</v>
      </c>
      <c r="AR125" s="39" t="e">
        <f>#REF!*#REF!+#REF!*#REF!+#REF!*#REF!+#REF!*#REF!+#REF!*#REF!+#REF!*#REF!+#REF!*#REF!</f>
        <v>#REF!</v>
      </c>
      <c r="AS125" s="39" t="e">
        <f>#REF!*#REF!+#REF!*#REF!+#REF!*#REF!+#REF!*#REF!</f>
        <v>#REF!</v>
      </c>
      <c r="AT125" s="134" t="e">
        <f>#REF!</f>
        <v>#REF!</v>
      </c>
      <c r="AU125" s="143" t="e">
        <f>#REF!</f>
        <v>#REF!</v>
      </c>
      <c r="AV125" s="39" t="e">
        <f>#REF!</f>
        <v>#REF!</v>
      </c>
      <c r="AW125" s="164"/>
      <c r="AX125" s="164"/>
      <c r="AY125" s="164"/>
      <c r="AZ125" s="164"/>
      <c r="BA125" s="164"/>
      <c r="BB125" s="164"/>
      <c r="BC125" s="164"/>
      <c r="BD125" s="164"/>
      <c r="BE125" s="164"/>
      <c r="BF125" s="134"/>
      <c r="BG125" s="132" t="e">
        <f>#REF!/#REF!</f>
        <v>#REF!</v>
      </c>
      <c r="BH125" s="132" t="e">
        <f>#REF!/#REF!</f>
        <v>#REF!</v>
      </c>
      <c r="BI125" s="39" t="e">
        <f>ROUNDUP((1-MIN(#REF!*smithy_bonus,smithy_bonus_cap) + tech_3_5*#REF! + tech_5_3*#REF! + tech_5_5*#REF!)*spec_op_plat,0)</f>
        <v>#REF!</v>
      </c>
      <c r="BJ125" s="39" t="e">
        <f>ROUNDUP(IF(race="Gnome",1,(1-MIN(#REF!*smithy_bonus,smithy_bonus_cap) + tech_3_5*#REF! + tech_5_3*#REF! + tech_5_5*#REF!))*spec_op_ore,0)</f>
        <v>#REF!</v>
      </c>
      <c r="BK125" s="39" t="e">
        <f>ROUNDUP((1-MIN(#REF!*smithy_bonus,smithy_bonus_cap) + tech_3_5*#REF! + tech_5_3*#REF! + tech_5_5*#REF!)*spec_dp_plat,0)</f>
        <v>#REF!</v>
      </c>
      <c r="BL125" s="39" t="e">
        <f>ROUNDUP(IF(race="Gnome",1,(1-MIN(#REF!*smithy_bonus,smithy_bonus_cap) + tech_3_5*#REF! + tech_5_3*#REF! + tech_5_5*#REF!))*spec_dp_ore,0)</f>
        <v>#REF!</v>
      </c>
      <c r="BM125" s="39" t="e">
        <f>ROUNDUP((1-MIN(#REF!*smithy_bonus,smithy_bonus_cap) + tech_3_5*#REF! + tech_5_3*#REF! + tech_5_5*#REF!)*elite1_plat,0)</f>
        <v>#REF!</v>
      </c>
      <c r="BN125" s="39" t="e">
        <f>ROUNDUP(IF(race="Gnome",1,(1-MIN(#REF!*smithy_bonus,smithy_bonus_cap) + tech_3_5*#REF! + tech_5_3*#REF! + tech_5_5*#REF!))*elite1_ore,0)</f>
        <v>#REF!</v>
      </c>
      <c r="BO125" s="39" t="e">
        <f>ROUNDUP((1-MIN(#REF!*smithy_bonus,smithy_bonus_cap) + tech_3_5*#REF! + tech_5_3*#REF! + tech_5_5*#REF!)*elite2_plat,0)</f>
        <v>#REF!</v>
      </c>
      <c r="BP125" s="39" t="e">
        <f>ROUNDUP(IF(race="Gnome",1,(1-MIN(#REF!*smithy_bonus,smithy_bonus_cap) + tech_3_5*#REF! + tech_5_3*#REF! + tech_5_5*#REF!))*elite2_ore,0)</f>
        <v>#REF!</v>
      </c>
      <c r="BQ125" s="39" t="e">
        <f>ROUNDUP((1-MIN(ROUND(fh_spy_cost_red*#REF!,4),fh_spy_cost_cap)+ tech_1_9*#REF! + tech_9_1*#REF!)*spy_plat,0)</f>
        <v>#REF!</v>
      </c>
      <c r="BR125" s="39" t="e">
        <f>ROUNDUP((1-MIN(ROUND(fh_spy_cost_red*#REF!,4),fh_spy_cost_cap)+ tech_1_9*#REF! + tech_9_1*#REF!)*archspy_plat,0)</f>
        <v>#REF!</v>
      </c>
      <c r="BS125" s="39" t="e">
        <f>ROUNDUP((1-MIN(ROUND(wg_wiz_cost_bonus*#REF!,4),wg_wiz_cost_cap) + tech_1_9_2*#REF! + tech_9_1_2*#REF!)*wizard_plat,0)</f>
        <v>#REF!</v>
      </c>
      <c r="BT125" s="39" t="e">
        <f>ROUNDUP((1-MIN(ROUND(wg_wiz_cost_bonus*#REF!,4),wg_wiz_cost_cap) + tech_1_9_2*#REF! + tech_9_1_2*#REF!)*archmage_plat,0)</f>
        <v>#REF!</v>
      </c>
      <c r="BU125" s="134"/>
      <c r="BV125" s="132" t="e">
        <f>#REF!/#REF!</f>
        <v>#REF!</v>
      </c>
      <c r="BW125" s="132" t="e">
        <f>#REF!</f>
        <v>#REF!</v>
      </c>
      <c r="BX125" s="241" t="e">
        <f>IF(mystic_cap="none",#REF!/mystic_bonus,MIN(mystic_cap,#REF!/mystic_bonus))</f>
        <v>#REF!</v>
      </c>
      <c r="BY125" s="241" t="e">
        <f>IF(druid_op_cap="none",#REF!/druid_op_bonus,MIN(druid_op_cap,#REF!/druid_op_bonus))</f>
        <v>#REF!</v>
      </c>
      <c r="BZ125" s="241" t="e">
        <f>IF(druid_dp_cap="none",#REF!/druid_dp_bonus,MIN(druid_dp_cap,#REF!/druid_dp_bonus))</f>
        <v>#REF!</v>
      </c>
      <c r="CA125" s="241" t="e">
        <f>MIN(dryad_cap,#REF!/dryad_bonus)</f>
        <v>#REF!</v>
      </c>
      <c r="CB125" s="241" t="e">
        <f>MIN(rocka_cap,#REF!/rocka_bonus)</f>
        <v>#REF!</v>
      </c>
      <c r="CC125" s="241" t="e">
        <f>MIN(adept_op_cap,#REF!/adept_op_bonus)</f>
        <v>#REF!</v>
      </c>
      <c r="CD125" s="241" t="e">
        <f>MIN(adept_dp_cap,#REF!/adept_dp_bonus)</f>
        <v>#REF!</v>
      </c>
      <c r="CE125" s="39" t="e">
        <f>MIN(#REF!,#REF!)*2</f>
        <v>#REF!</v>
      </c>
      <c r="CF125" s="39" t="e">
        <f>MIN(#REF!,#REF!)*2</f>
        <v>#REF!</v>
      </c>
      <c r="CG125" s="241" t="e">
        <f>MIN(frost_mage_cap,#REF!/frost_mage_bonus)</f>
        <v>#REF!</v>
      </c>
      <c r="CH125" s="3" t="e">
        <f>MIN(ice_elem_cap,#REF!*ice_elem_bonus)</f>
        <v>#REF!</v>
      </c>
      <c r="CI125" s="241">
        <f t="shared" si="4"/>
        <v>0.83333333333333337</v>
      </c>
      <c r="CJ125" s="241" t="e">
        <f>MIN(nox_nightshade_cap,#REF!/#REF!/nox_nightshade_swamp_bonus)</f>
        <v>#REF!</v>
      </c>
      <c r="CK125" s="242"/>
      <c r="CL125" s="242"/>
      <c r="CM125" s="242"/>
      <c r="CN125" s="241" t="e">
        <f>MIN(6,#REF!+Races!$F$19)*1.8 +  IF(#REF!+Races!$F$19&gt;6,(#REF!+Races!$F$19-6)*0.2,0) - Races!$I$19</f>
        <v>#REF!</v>
      </c>
      <c r="CO125" s="241" t="e">
        <f>1.8 * MIN(MAX(#REF!+Races!$E$20,#REF!+Races!$F$20),6)  +  0.45 * MIN(MIN(#REF!+Races!$E$20,#REF!+Races!$F$20),6)  +  0.2 * ( MAX(#REF!+Races!$E$20-6,0) + MAX(#REF!+Races!$F$20-6,0) )  -  Races!$I$20</f>
        <v>#REF!</v>
      </c>
      <c r="CP125" s="39" t="e">
        <f>#REF!*#REF!+#REF!*#REF!</f>
        <v>#REF!</v>
      </c>
      <c r="CQ125" s="145" t="e">
        <f>MIN(6,#REF!+Races!$F$35)*1.8 +  IF(#REF!+Races!$F$35&gt;6,(#REF!+Races!$F$35-6)*0.2,0) - Races!$I$19</f>
        <v>#REF!</v>
      </c>
      <c r="CR125" s="39" t="e">
        <f>sylvan*(#REF!*#REF!)</f>
        <v>#REF!</v>
      </c>
      <c r="CS125" s="145" t="e">
        <f>1.8 * MIN(MAX(Races!$E$27,#REF!+Races!$F$27),6)  +  0.45 * MIN(MIN(Races!$E$27,#REF!+Races!$F$27),6)  +  0.2 * ( MAX(Races!$E$27-6,0) + MAX(#REF!+Races!$F$27-6,0) )  -  Races!$I$20</f>
        <v>#REF!</v>
      </c>
      <c r="CT125" s="39" t="e">
        <f>gnome*(#REF!*#REF!)</f>
        <v>#REF!</v>
      </c>
      <c r="CU125" s="145" t="e">
        <f>1.8 * MIN(MAX(#REF!+Races!$E$47,#REF!+Races!$F$47),6)  +  0.45 * MIN(MIN(#REF!+Races!$E$47,#REF!+Races!$F$47),6)  +  0.2 * ( MAX(#REF!+Races!$E$47-6,0) + MAX(#REF!+Races!$F$47-6,0) )  -  Races!$I$47</f>
        <v>#REF!</v>
      </c>
      <c r="CV125" s="39" t="e">
        <f>dark_elf*(#REF!*#REF!)</f>
        <v>#REF!</v>
      </c>
      <c r="CW125" s="145" t="e">
        <f>1.8 * MIN(MAX(#REF!+Races!$F$71,Races!$E$71),6)  +  0.45 * MIN(MIN(#REF!+Races!$F$71,Races!$E$71),6)  +  0.2 * ( MAX(#REF!+Races!$F$71-6,0) + MAX(Races!$E$71-6,0) )  -  Races!$I$71</f>
        <v>#REF!</v>
      </c>
      <c r="CX125" s="145" t="e">
        <f>1.8 * MIN(MAX(#REF!+Races!$E$71,Races!$F$71),6)  +  0.45 * MIN(MIN(#REF!+Races!$E$71,Races!$F$71),6)  +  0.2 * ( MAX(#REF!+Races!$E$71-6,0) + MAX(Races!$F$71-6,0) )  -  Races!$I$71</f>
        <v>#REF!</v>
      </c>
      <c r="CY125" s="39" t="e">
        <f>#REF!*#REF!+#REF!*#REF!</f>
        <v>#REF!</v>
      </c>
      <c r="CZ125" s="243"/>
      <c r="DA125" s="135" t="e">
        <f>MIN(SUM(#REF!)/#REF!/favorable_terrain_bonus/100,favorable_terrain_max)</f>
        <v>#REF!</v>
      </c>
      <c r="DB125" s="243"/>
      <c r="DC125"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25" s="134"/>
      <c r="DE125" s="244" t="e">
        <f>(#REF!+2*#REF!)/#REF!</f>
        <v>#REF!</v>
      </c>
      <c r="DF125" s="244" t="e">
        <f>#REF!*(1+race_wizard_strength+IF(#REF!&gt;72,tech_magical_weaponry_wiz*#REF!,0))</f>
        <v>#REF!</v>
      </c>
    </row>
    <row r="126" spans="1:110" x14ac:dyDescent="0.25">
      <c r="A126" s="130" t="e">
        <f>#REF!</f>
        <v>#REF!</v>
      </c>
      <c r="B126" s="236" t="e">
        <f ca="1">SUM(#REF!)+SUM(OFFSET(#REF!,-8,0):#REF!) + SUM(OFFSET(#REF!,-11,0):#REF!) +#REF!</f>
        <v>#REF!</v>
      </c>
      <c r="C126" s="132" t="e">
        <f>#REF!</f>
        <v>#REF!</v>
      </c>
      <c r="D126" s="134"/>
      <c r="E126" s="3" t="e">
        <f ca="1">OFFSET(#REF!,-1,0) + OFFSET(#REF!,-9,0) -#REF!</f>
        <v>#REF!</v>
      </c>
      <c r="F126" s="3" t="e">
        <f ca="1">OFFSET(#REF!,-1,0) + OFFSET(#REF!,-9,0)-#REF!</f>
        <v>#REF!</v>
      </c>
      <c r="G126" s="3" t="e">
        <f ca="1">OFFSET(#REF!,-1,0) + OFFSET(#REF!,-12,0)-#REF!</f>
        <v>#REF!</v>
      </c>
      <c r="H126" s="3" t="e">
        <f ca="1">OFFSET(#REF!,-1,0) + OFFSET(#REF!,-12,0)-#REF!</f>
        <v>#REF!</v>
      </c>
      <c r="I126" s="3" t="e">
        <f ca="1">OFFSET(#REF!,-1,0) + OFFSET(#REF!,-12,0) -#REF!-#REF!</f>
        <v>#REF!</v>
      </c>
      <c r="J126" s="3" t="e">
        <f ca="1">OFFSET(#REF!,-1,0) + OFFSET(#REF!,-12,0) -#REF!</f>
        <v>#REF!</v>
      </c>
      <c r="K126" s="3" t="e">
        <f ca="1">OFFSET(#REF!,-1,0) + OFFSET(#REF!,-12,0) -#REF!-#REF!</f>
        <v>#REF!</v>
      </c>
      <c r="L126" s="3" t="e">
        <f ca="1">OFFSET(#REF!,-1,0) + OFFSET(#REF!,-12,0) -#REF!</f>
        <v>#REF!</v>
      </c>
      <c r="M126" s="134"/>
      <c r="N126" s="39" t="e">
        <f>#REF!</f>
        <v>#REF!</v>
      </c>
      <c r="O126" s="134"/>
      <c r="P126" s="237" t="e">
        <f>#REF!*spec_op+#REF!*(elite1_base_op)+#REF!*(elite2_base_op+dark_elf*#REF!+icekin*#REF!+woodie*#REF!+orc*#REF!)+kobold*#REF!</f>
        <v>#REF!</v>
      </c>
      <c r="Q126" s="132" t="e">
        <f>race_offense+#REF!+ROUND(MIN(gn_bonus*#REF!/#REF!,gn_bonus_cap),4)+MAX(IF(#REF!&gt;0,warsong_bonus),IF(#REF!&gt;0,howling_op_bonus),IF(#REF!&gt;0,nightfall_bonus),IF(#REF!&gt;0,#REF!)) +#REF!/ 100*prestige_offense_bonus + tech_5_4*#REF! + tech_7_4*#REF!</f>
        <v>#REF!</v>
      </c>
      <c r="R126" s="237" t="e">
        <f>#REF!*(1+#REF!)</f>
        <v>#REF!</v>
      </c>
      <c r="S126" s="237" t="e">
        <f>#REF!*spec_dp+#REF!*(elite1_base_dp+woodie*#REF!+sylvan*#REF!+gnome*#REF!+icekin*#REF!+nox*#REF!)+#REF!*(elite2_base_dp+woodie*#REF!) + fh_peas_dp*MIN(#REF!,20*#REF!)+kobold*#REF!</f>
        <v>#REF!</v>
      </c>
      <c r="T126" s="237" t="e">
        <f>#REF!+#REF!</f>
        <v>#REF!</v>
      </c>
      <c r="U126" s="238" t="e">
        <f>race_defense +#REF! + ROUND( MIN(gt_bonus*#REF!/#REF!,gt_bonus_cap), 4) + IF(#REF!&gt;0,howling_dp_bonus,IF(#REF!&gt;0,ares_call_bonus))</f>
        <v>#REF!</v>
      </c>
      <c r="V126" s="239" t="e">
        <f>#REF! * (1 +#REF!)</f>
        <v>#REF!</v>
      </c>
      <c r="W126" s="237" t="e">
        <f>#REF! * (1 +#REF!)</f>
        <v>#REF!</v>
      </c>
      <c r="X126" s="237" t="e">
        <f>#REF!</f>
        <v>#REF!</v>
      </c>
      <c r="Y126" s="240"/>
      <c r="Z126" s="135" t="e">
        <f ca="1">IF(#REF!&lt;&gt;"",#REF!,OFFSET(#REF!,-1,0))</f>
        <v>#REF!</v>
      </c>
      <c r="AA126" s="39" t="e">
        <f ca="1">OFFSET(#REF!,-1,0)+OFFSET(#REF!,-1,0) - SUM(#REF!,#REF!) -#REF! + SUM(#REF!) -#REF!</f>
        <v>#REF!</v>
      </c>
      <c r="AB126" s="133"/>
      <c r="AC126" s="132" t="e">
        <f>(#REF!+#REF!)/(#REF!-#REF!*20)</f>
        <v>#REF!</v>
      </c>
      <c r="AD126" s="130"/>
      <c r="AE126" s="236" t="e">
        <f>#REF!</f>
        <v>#REF!</v>
      </c>
      <c r="AF126" s="131" t="e">
        <f>#REF!</f>
        <v>#REF!</v>
      </c>
      <c r="AG126" s="164"/>
      <c r="AH126" s="164"/>
      <c r="AI126" s="164"/>
      <c r="AJ126" s="164"/>
      <c r="AK126" s="164"/>
      <c r="AL126" s="164"/>
      <c r="AM126" s="164"/>
      <c r="AN126" s="164"/>
      <c r="AO126" s="134"/>
      <c r="AP126" s="39" t="e">
        <f>#REF!</f>
        <v>#REF!</v>
      </c>
      <c r="AQ126" s="39" t="e">
        <f>INDEX(#REF!:#REF!,COUNTA(#REF!:#REF!),MATCH(Military!$AQ$2,#REF!,0))</f>
        <v>#REF!</v>
      </c>
      <c r="AR126" s="39" t="e">
        <f>#REF!*#REF!+#REF!*#REF!+#REF!*#REF!+#REF!*#REF!+#REF!*#REF!+#REF!*#REF!+#REF!*#REF!</f>
        <v>#REF!</v>
      </c>
      <c r="AS126" s="39" t="e">
        <f>#REF!*#REF!+#REF!*#REF!+#REF!*#REF!+#REF!*#REF!</f>
        <v>#REF!</v>
      </c>
      <c r="AT126" s="134" t="e">
        <f>#REF!</f>
        <v>#REF!</v>
      </c>
      <c r="AU126" s="143" t="e">
        <f>#REF!</f>
        <v>#REF!</v>
      </c>
      <c r="AV126" s="39" t="e">
        <f>#REF!</f>
        <v>#REF!</v>
      </c>
      <c r="AW126" s="164"/>
      <c r="AX126" s="164"/>
      <c r="AY126" s="164"/>
      <c r="AZ126" s="164"/>
      <c r="BA126" s="164"/>
      <c r="BB126" s="164"/>
      <c r="BC126" s="164"/>
      <c r="BD126" s="164"/>
      <c r="BE126" s="164"/>
      <c r="BF126" s="134"/>
      <c r="BG126" s="132" t="e">
        <f>#REF!/#REF!</f>
        <v>#REF!</v>
      </c>
      <c r="BH126" s="132" t="e">
        <f>#REF!/#REF!</f>
        <v>#REF!</v>
      </c>
      <c r="BI126" s="39" t="e">
        <f>ROUNDUP((1-MIN(#REF!*smithy_bonus,smithy_bonus_cap) + tech_3_5*#REF! + tech_5_3*#REF! + tech_5_5*#REF!)*spec_op_plat,0)</f>
        <v>#REF!</v>
      </c>
      <c r="BJ126" s="39" t="e">
        <f>ROUNDUP(IF(race="Gnome",1,(1-MIN(#REF!*smithy_bonus,smithy_bonus_cap) + tech_3_5*#REF! + tech_5_3*#REF! + tech_5_5*#REF!))*spec_op_ore,0)</f>
        <v>#REF!</v>
      </c>
      <c r="BK126" s="39" t="e">
        <f>ROUNDUP((1-MIN(#REF!*smithy_bonus,smithy_bonus_cap) + tech_3_5*#REF! + tech_5_3*#REF! + tech_5_5*#REF!)*spec_dp_plat,0)</f>
        <v>#REF!</v>
      </c>
      <c r="BL126" s="39" t="e">
        <f>ROUNDUP(IF(race="Gnome",1,(1-MIN(#REF!*smithy_bonus,smithy_bonus_cap) + tech_3_5*#REF! + tech_5_3*#REF! + tech_5_5*#REF!))*spec_dp_ore,0)</f>
        <v>#REF!</v>
      </c>
      <c r="BM126" s="39" t="e">
        <f>ROUNDUP((1-MIN(#REF!*smithy_bonus,smithy_bonus_cap) + tech_3_5*#REF! + tech_5_3*#REF! + tech_5_5*#REF!)*elite1_plat,0)</f>
        <v>#REF!</v>
      </c>
      <c r="BN126" s="39" t="e">
        <f>ROUNDUP(IF(race="Gnome",1,(1-MIN(#REF!*smithy_bonus,smithy_bonus_cap) + tech_3_5*#REF! + tech_5_3*#REF! + tech_5_5*#REF!))*elite1_ore,0)</f>
        <v>#REF!</v>
      </c>
      <c r="BO126" s="39" t="e">
        <f>ROUNDUP((1-MIN(#REF!*smithy_bonus,smithy_bonus_cap) + tech_3_5*#REF! + tech_5_3*#REF! + tech_5_5*#REF!)*elite2_plat,0)</f>
        <v>#REF!</v>
      </c>
      <c r="BP126" s="39" t="e">
        <f>ROUNDUP(IF(race="Gnome",1,(1-MIN(#REF!*smithy_bonus,smithy_bonus_cap) + tech_3_5*#REF! + tech_5_3*#REF! + tech_5_5*#REF!))*elite2_ore,0)</f>
        <v>#REF!</v>
      </c>
      <c r="BQ126" s="39" t="e">
        <f>ROUNDUP((1-MIN(ROUND(fh_spy_cost_red*#REF!,4),fh_spy_cost_cap)+ tech_1_9*#REF! + tech_9_1*#REF!)*spy_plat,0)</f>
        <v>#REF!</v>
      </c>
      <c r="BR126" s="39" t="e">
        <f>ROUNDUP((1-MIN(ROUND(fh_spy_cost_red*#REF!,4),fh_spy_cost_cap)+ tech_1_9*#REF! + tech_9_1*#REF!)*archspy_plat,0)</f>
        <v>#REF!</v>
      </c>
      <c r="BS126" s="39" t="e">
        <f>ROUNDUP((1-MIN(ROUND(wg_wiz_cost_bonus*#REF!,4),wg_wiz_cost_cap) + tech_1_9_2*#REF! + tech_9_1_2*#REF!)*wizard_plat,0)</f>
        <v>#REF!</v>
      </c>
      <c r="BT126" s="39" t="e">
        <f>ROUNDUP((1-MIN(ROUND(wg_wiz_cost_bonus*#REF!,4),wg_wiz_cost_cap) + tech_1_9_2*#REF! + tech_9_1_2*#REF!)*archmage_plat,0)</f>
        <v>#REF!</v>
      </c>
      <c r="BU126" s="134"/>
      <c r="BV126" s="132" t="e">
        <f>#REF!/#REF!</f>
        <v>#REF!</v>
      </c>
      <c r="BW126" s="132" t="e">
        <f>#REF!</f>
        <v>#REF!</v>
      </c>
      <c r="BX126" s="241" t="e">
        <f>IF(mystic_cap="none",#REF!/mystic_bonus,MIN(mystic_cap,#REF!/mystic_bonus))</f>
        <v>#REF!</v>
      </c>
      <c r="BY126" s="241" t="e">
        <f>IF(druid_op_cap="none",#REF!/druid_op_bonus,MIN(druid_op_cap,#REF!/druid_op_bonus))</f>
        <v>#REF!</v>
      </c>
      <c r="BZ126" s="241" t="e">
        <f>IF(druid_dp_cap="none",#REF!/druid_dp_bonus,MIN(druid_dp_cap,#REF!/druid_dp_bonus))</f>
        <v>#REF!</v>
      </c>
      <c r="CA126" s="241" t="e">
        <f>MIN(dryad_cap,#REF!/dryad_bonus)</f>
        <v>#REF!</v>
      </c>
      <c r="CB126" s="241" t="e">
        <f>MIN(rocka_cap,#REF!/rocka_bonus)</f>
        <v>#REF!</v>
      </c>
      <c r="CC126" s="241" t="e">
        <f>MIN(adept_op_cap,#REF!/adept_op_bonus)</f>
        <v>#REF!</v>
      </c>
      <c r="CD126" s="241" t="e">
        <f>MIN(adept_dp_cap,#REF!/adept_dp_bonus)</f>
        <v>#REF!</v>
      </c>
      <c r="CE126" s="39" t="e">
        <f>MIN(#REF!,#REF!)*2</f>
        <v>#REF!</v>
      </c>
      <c r="CF126" s="39" t="e">
        <f>MIN(#REF!,#REF!)*2</f>
        <v>#REF!</v>
      </c>
      <c r="CG126" s="241" t="e">
        <f>MIN(frost_mage_cap,#REF!/frost_mage_bonus)</f>
        <v>#REF!</v>
      </c>
      <c r="CH126" s="3" t="e">
        <f>MIN(ice_elem_cap,#REF!*ice_elem_bonus)</f>
        <v>#REF!</v>
      </c>
      <c r="CI126" s="241">
        <f t="shared" si="4"/>
        <v>0.83333333333333337</v>
      </c>
      <c r="CJ126" s="241" t="e">
        <f>MIN(nox_nightshade_cap,#REF!/#REF!/nox_nightshade_swamp_bonus)</f>
        <v>#REF!</v>
      </c>
      <c r="CK126" s="242"/>
      <c r="CL126" s="242"/>
      <c r="CM126" s="242"/>
      <c r="CN126" s="241" t="e">
        <f>MIN(6,#REF!+Races!$F$19)*1.8 +  IF(#REF!+Races!$F$19&gt;6,(#REF!+Races!$F$19-6)*0.2,0) - Races!$I$19</f>
        <v>#REF!</v>
      </c>
      <c r="CO126" s="241" t="e">
        <f>1.8 * MIN(MAX(#REF!+Races!$E$20,#REF!+Races!$F$20),6)  +  0.45 * MIN(MIN(#REF!+Races!$E$20,#REF!+Races!$F$20),6)  +  0.2 * ( MAX(#REF!+Races!$E$20-6,0) + MAX(#REF!+Races!$F$20-6,0) )  -  Races!$I$20</f>
        <v>#REF!</v>
      </c>
      <c r="CP126" s="39" t="e">
        <f>#REF!*#REF!+#REF!*#REF!</f>
        <v>#REF!</v>
      </c>
      <c r="CQ126" s="145" t="e">
        <f>MIN(6,#REF!+Races!$F$35)*1.8 +  IF(#REF!+Races!$F$35&gt;6,(#REF!+Races!$F$35-6)*0.2,0) - Races!$I$19</f>
        <v>#REF!</v>
      </c>
      <c r="CR126" s="39" t="e">
        <f>sylvan*(#REF!*#REF!)</f>
        <v>#REF!</v>
      </c>
      <c r="CS126" s="145" t="e">
        <f>1.8 * MIN(MAX(Races!$E$27,#REF!+Races!$F$27),6)  +  0.45 * MIN(MIN(Races!$E$27,#REF!+Races!$F$27),6)  +  0.2 * ( MAX(Races!$E$27-6,0) + MAX(#REF!+Races!$F$27-6,0) )  -  Races!$I$20</f>
        <v>#REF!</v>
      </c>
      <c r="CT126" s="39" t="e">
        <f>gnome*(#REF!*#REF!)</f>
        <v>#REF!</v>
      </c>
      <c r="CU126" s="145" t="e">
        <f>1.8 * MIN(MAX(#REF!+Races!$E$47,#REF!+Races!$F$47),6)  +  0.45 * MIN(MIN(#REF!+Races!$E$47,#REF!+Races!$F$47),6)  +  0.2 * ( MAX(#REF!+Races!$E$47-6,0) + MAX(#REF!+Races!$F$47-6,0) )  -  Races!$I$47</f>
        <v>#REF!</v>
      </c>
      <c r="CV126" s="39" t="e">
        <f>dark_elf*(#REF!*#REF!)</f>
        <v>#REF!</v>
      </c>
      <c r="CW126" s="145" t="e">
        <f>1.8 * MIN(MAX(#REF!+Races!$F$71,Races!$E$71),6)  +  0.45 * MIN(MIN(#REF!+Races!$F$71,Races!$E$71),6)  +  0.2 * ( MAX(#REF!+Races!$F$71-6,0) + MAX(Races!$E$71-6,0) )  -  Races!$I$71</f>
        <v>#REF!</v>
      </c>
      <c r="CX126" s="145" t="e">
        <f>1.8 * MIN(MAX(#REF!+Races!$E$71,Races!$F$71),6)  +  0.45 * MIN(MIN(#REF!+Races!$E$71,Races!$F$71),6)  +  0.2 * ( MAX(#REF!+Races!$E$71-6,0) + MAX(Races!$F$71-6,0) )  -  Races!$I$71</f>
        <v>#REF!</v>
      </c>
      <c r="CY126" s="39" t="e">
        <f>#REF!*#REF!+#REF!*#REF!</f>
        <v>#REF!</v>
      </c>
      <c r="CZ126" s="243"/>
      <c r="DA126" s="135" t="e">
        <f>MIN(SUM(#REF!)/#REF!/favorable_terrain_bonus/100,favorable_terrain_max)</f>
        <v>#REF!</v>
      </c>
      <c r="DB126" s="243"/>
      <c r="DC126"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26" s="134"/>
      <c r="DE126" s="244" t="e">
        <f>(#REF!+2*#REF!)/#REF!</f>
        <v>#REF!</v>
      </c>
      <c r="DF126" s="244" t="e">
        <f>#REF!*(1+race_wizard_strength+IF(#REF!&gt;72,tech_magical_weaponry_wiz*#REF!,0))</f>
        <v>#REF!</v>
      </c>
    </row>
    <row r="127" spans="1:110" x14ac:dyDescent="0.25">
      <c r="A127" s="130" t="e">
        <f>#REF!</f>
        <v>#REF!</v>
      </c>
      <c r="B127" s="236" t="e">
        <f ca="1">SUM(#REF!)+SUM(OFFSET(#REF!,-8,0):#REF!) + SUM(OFFSET(#REF!,-11,0):#REF!) +#REF!</f>
        <v>#REF!</v>
      </c>
      <c r="C127" s="132" t="e">
        <f>#REF!</f>
        <v>#REF!</v>
      </c>
      <c r="D127" s="134"/>
      <c r="E127" s="3" t="e">
        <f ca="1">OFFSET(#REF!,-1,0) + OFFSET(#REF!,-9,0) -#REF!</f>
        <v>#REF!</v>
      </c>
      <c r="F127" s="3" t="e">
        <f ca="1">OFFSET(#REF!,-1,0) + OFFSET(#REF!,-9,0)-#REF!</f>
        <v>#REF!</v>
      </c>
      <c r="G127" s="3" t="e">
        <f ca="1">OFFSET(#REF!,-1,0) + OFFSET(#REF!,-12,0)-#REF!</f>
        <v>#REF!</v>
      </c>
      <c r="H127" s="3" t="e">
        <f ca="1">OFFSET(#REF!,-1,0) + OFFSET(#REF!,-12,0)-#REF!</f>
        <v>#REF!</v>
      </c>
      <c r="I127" s="3" t="e">
        <f ca="1">OFFSET(#REF!,-1,0) + OFFSET(#REF!,-12,0) -#REF!-#REF!</f>
        <v>#REF!</v>
      </c>
      <c r="J127" s="3" t="e">
        <f ca="1">OFFSET(#REF!,-1,0) + OFFSET(#REF!,-12,0) -#REF!</f>
        <v>#REF!</v>
      </c>
      <c r="K127" s="3" t="e">
        <f ca="1">OFFSET(#REF!,-1,0) + OFFSET(#REF!,-12,0) -#REF!-#REF!</f>
        <v>#REF!</v>
      </c>
      <c r="L127" s="3" t="e">
        <f ca="1">OFFSET(#REF!,-1,0) + OFFSET(#REF!,-12,0) -#REF!</f>
        <v>#REF!</v>
      </c>
      <c r="M127" s="134"/>
      <c r="N127" s="39" t="e">
        <f>#REF!</f>
        <v>#REF!</v>
      </c>
      <c r="O127" s="134"/>
      <c r="P127" s="237" t="e">
        <f>#REF!*spec_op+#REF!*(elite1_base_op)+#REF!*(elite2_base_op+dark_elf*#REF!+icekin*#REF!+woodie*#REF!+orc*#REF!)+kobold*#REF!</f>
        <v>#REF!</v>
      </c>
      <c r="Q127" s="132" t="e">
        <f>race_offense+#REF!+ROUND(MIN(gn_bonus*#REF!/#REF!,gn_bonus_cap),4)+MAX(IF(#REF!&gt;0,warsong_bonus),IF(#REF!&gt;0,howling_op_bonus),IF(#REF!&gt;0,nightfall_bonus),IF(#REF!&gt;0,#REF!)) +#REF!/ 100*prestige_offense_bonus + tech_5_4*#REF! + tech_7_4*#REF!</f>
        <v>#REF!</v>
      </c>
      <c r="R127" s="237" t="e">
        <f>#REF!*(1+#REF!)</f>
        <v>#REF!</v>
      </c>
      <c r="S127" s="237" t="e">
        <f>#REF!*spec_dp+#REF!*(elite1_base_dp+woodie*#REF!+sylvan*#REF!+gnome*#REF!+icekin*#REF!+nox*#REF!)+#REF!*(elite2_base_dp+woodie*#REF!) + fh_peas_dp*MIN(#REF!,20*#REF!)+kobold*#REF!</f>
        <v>#REF!</v>
      </c>
      <c r="T127" s="237" t="e">
        <f>#REF!+#REF!</f>
        <v>#REF!</v>
      </c>
      <c r="U127" s="238" t="e">
        <f>race_defense +#REF! + ROUND( MIN(gt_bonus*#REF!/#REF!,gt_bonus_cap), 4) + IF(#REF!&gt;0,howling_dp_bonus,IF(#REF!&gt;0,ares_call_bonus))</f>
        <v>#REF!</v>
      </c>
      <c r="V127" s="239" t="e">
        <f>#REF! * (1 +#REF!)</f>
        <v>#REF!</v>
      </c>
      <c r="W127" s="237" t="e">
        <f>#REF! * (1 +#REF!)</f>
        <v>#REF!</v>
      </c>
      <c r="X127" s="237" t="e">
        <f>#REF!</f>
        <v>#REF!</v>
      </c>
      <c r="Y127" s="240"/>
      <c r="Z127" s="135" t="e">
        <f ca="1">IF(#REF!&lt;&gt;"",#REF!,OFFSET(#REF!,-1,0))</f>
        <v>#REF!</v>
      </c>
      <c r="AA127" s="39" t="e">
        <f ca="1">OFFSET(#REF!,-1,0)+OFFSET(#REF!,-1,0) - SUM(#REF!,#REF!) -#REF! + SUM(#REF!) -#REF!</f>
        <v>#REF!</v>
      </c>
      <c r="AB127" s="133"/>
      <c r="AC127" s="132" t="e">
        <f>(#REF!+#REF!)/(#REF!-#REF!*20)</f>
        <v>#REF!</v>
      </c>
      <c r="AD127" s="130"/>
      <c r="AE127" s="236" t="e">
        <f>#REF!</f>
        <v>#REF!</v>
      </c>
      <c r="AF127" s="131" t="e">
        <f>#REF!</f>
        <v>#REF!</v>
      </c>
      <c r="AG127" s="164"/>
      <c r="AH127" s="164"/>
      <c r="AI127" s="164"/>
      <c r="AJ127" s="164"/>
      <c r="AK127" s="164"/>
      <c r="AL127" s="164"/>
      <c r="AM127" s="164"/>
      <c r="AN127" s="164"/>
      <c r="AO127" s="134"/>
      <c r="AP127" s="39" t="e">
        <f>#REF!</f>
        <v>#REF!</v>
      </c>
      <c r="AQ127" s="39" t="e">
        <f>INDEX(#REF!:#REF!,COUNTA(#REF!:#REF!),MATCH(Military!$AQ$2,#REF!,0))</f>
        <v>#REF!</v>
      </c>
      <c r="AR127" s="39" t="e">
        <f>#REF!*#REF!+#REF!*#REF!+#REF!*#REF!+#REF!*#REF!+#REF!*#REF!+#REF!*#REF!+#REF!*#REF!</f>
        <v>#REF!</v>
      </c>
      <c r="AS127" s="39" t="e">
        <f>#REF!*#REF!+#REF!*#REF!+#REF!*#REF!+#REF!*#REF!</f>
        <v>#REF!</v>
      </c>
      <c r="AT127" s="134" t="e">
        <f>#REF!</f>
        <v>#REF!</v>
      </c>
      <c r="AU127" s="143" t="e">
        <f>#REF!</f>
        <v>#REF!</v>
      </c>
      <c r="AV127" s="39" t="e">
        <f>#REF!</f>
        <v>#REF!</v>
      </c>
      <c r="AW127" s="164"/>
      <c r="AX127" s="164"/>
      <c r="AY127" s="164"/>
      <c r="AZ127" s="164"/>
      <c r="BA127" s="164"/>
      <c r="BB127" s="164"/>
      <c r="BC127" s="164"/>
      <c r="BD127" s="164"/>
      <c r="BE127" s="164"/>
      <c r="BF127" s="134"/>
      <c r="BG127" s="132" t="e">
        <f>#REF!/#REF!</f>
        <v>#REF!</v>
      </c>
      <c r="BH127" s="132" t="e">
        <f>#REF!/#REF!</f>
        <v>#REF!</v>
      </c>
      <c r="BI127" s="39" t="e">
        <f>ROUNDUP((1-MIN(#REF!*smithy_bonus,smithy_bonus_cap) + tech_3_5*#REF! + tech_5_3*#REF! + tech_5_5*#REF!)*spec_op_plat,0)</f>
        <v>#REF!</v>
      </c>
      <c r="BJ127" s="39" t="e">
        <f>ROUNDUP(IF(race="Gnome",1,(1-MIN(#REF!*smithy_bonus,smithy_bonus_cap) + tech_3_5*#REF! + tech_5_3*#REF! + tech_5_5*#REF!))*spec_op_ore,0)</f>
        <v>#REF!</v>
      </c>
      <c r="BK127" s="39" t="e">
        <f>ROUNDUP((1-MIN(#REF!*smithy_bonus,smithy_bonus_cap) + tech_3_5*#REF! + tech_5_3*#REF! + tech_5_5*#REF!)*spec_dp_plat,0)</f>
        <v>#REF!</v>
      </c>
      <c r="BL127" s="39" t="e">
        <f>ROUNDUP(IF(race="Gnome",1,(1-MIN(#REF!*smithy_bonus,smithy_bonus_cap) + tech_3_5*#REF! + tech_5_3*#REF! + tech_5_5*#REF!))*spec_dp_ore,0)</f>
        <v>#REF!</v>
      </c>
      <c r="BM127" s="39" t="e">
        <f>ROUNDUP((1-MIN(#REF!*smithy_bonus,smithy_bonus_cap) + tech_3_5*#REF! + tech_5_3*#REF! + tech_5_5*#REF!)*elite1_plat,0)</f>
        <v>#REF!</v>
      </c>
      <c r="BN127" s="39" t="e">
        <f>ROUNDUP(IF(race="Gnome",1,(1-MIN(#REF!*smithy_bonus,smithy_bonus_cap) + tech_3_5*#REF! + tech_5_3*#REF! + tech_5_5*#REF!))*elite1_ore,0)</f>
        <v>#REF!</v>
      </c>
      <c r="BO127" s="39" t="e">
        <f>ROUNDUP((1-MIN(#REF!*smithy_bonus,smithy_bonus_cap) + tech_3_5*#REF! + tech_5_3*#REF! + tech_5_5*#REF!)*elite2_plat,0)</f>
        <v>#REF!</v>
      </c>
      <c r="BP127" s="39" t="e">
        <f>ROUNDUP(IF(race="Gnome",1,(1-MIN(#REF!*smithy_bonus,smithy_bonus_cap) + tech_3_5*#REF! + tech_5_3*#REF! + tech_5_5*#REF!))*elite2_ore,0)</f>
        <v>#REF!</v>
      </c>
      <c r="BQ127" s="39" t="e">
        <f>ROUNDUP((1-MIN(ROUND(fh_spy_cost_red*#REF!,4),fh_spy_cost_cap)+ tech_1_9*#REF! + tech_9_1*#REF!)*spy_plat,0)</f>
        <v>#REF!</v>
      </c>
      <c r="BR127" s="39" t="e">
        <f>ROUNDUP((1-MIN(ROUND(fh_spy_cost_red*#REF!,4),fh_spy_cost_cap)+ tech_1_9*#REF! + tech_9_1*#REF!)*archspy_plat,0)</f>
        <v>#REF!</v>
      </c>
      <c r="BS127" s="39" t="e">
        <f>ROUNDUP((1-MIN(ROUND(wg_wiz_cost_bonus*#REF!,4),wg_wiz_cost_cap) + tech_1_9_2*#REF! + tech_9_1_2*#REF!)*wizard_plat,0)</f>
        <v>#REF!</v>
      </c>
      <c r="BT127" s="39" t="e">
        <f>ROUNDUP((1-MIN(ROUND(wg_wiz_cost_bonus*#REF!,4),wg_wiz_cost_cap) + tech_1_9_2*#REF! + tech_9_1_2*#REF!)*archmage_plat,0)</f>
        <v>#REF!</v>
      </c>
      <c r="BU127" s="134"/>
      <c r="BV127" s="132" t="e">
        <f>#REF!/#REF!</f>
        <v>#REF!</v>
      </c>
      <c r="BW127" s="132" t="e">
        <f>#REF!</f>
        <v>#REF!</v>
      </c>
      <c r="BX127" s="241" t="e">
        <f>IF(mystic_cap="none",#REF!/mystic_bonus,MIN(mystic_cap,#REF!/mystic_bonus))</f>
        <v>#REF!</v>
      </c>
      <c r="BY127" s="241" t="e">
        <f>IF(druid_op_cap="none",#REF!/druid_op_bonus,MIN(druid_op_cap,#REF!/druid_op_bonus))</f>
        <v>#REF!</v>
      </c>
      <c r="BZ127" s="241" t="e">
        <f>IF(druid_dp_cap="none",#REF!/druid_dp_bonus,MIN(druid_dp_cap,#REF!/druid_dp_bonus))</f>
        <v>#REF!</v>
      </c>
      <c r="CA127" s="241" t="e">
        <f>MIN(dryad_cap,#REF!/dryad_bonus)</f>
        <v>#REF!</v>
      </c>
      <c r="CB127" s="241" t="e">
        <f>MIN(rocka_cap,#REF!/rocka_bonus)</f>
        <v>#REF!</v>
      </c>
      <c r="CC127" s="241" t="e">
        <f>MIN(adept_op_cap,#REF!/adept_op_bonus)</f>
        <v>#REF!</v>
      </c>
      <c r="CD127" s="241" t="e">
        <f>MIN(adept_dp_cap,#REF!/adept_dp_bonus)</f>
        <v>#REF!</v>
      </c>
      <c r="CE127" s="39" t="e">
        <f>MIN(#REF!,#REF!)*2</f>
        <v>#REF!</v>
      </c>
      <c r="CF127" s="39" t="e">
        <f>MIN(#REF!,#REF!)*2</f>
        <v>#REF!</v>
      </c>
      <c r="CG127" s="241" t="e">
        <f>MIN(frost_mage_cap,#REF!/frost_mage_bonus)</f>
        <v>#REF!</v>
      </c>
      <c r="CH127" s="3" t="e">
        <f>MIN(ice_elem_cap,#REF!*ice_elem_bonus)</f>
        <v>#REF!</v>
      </c>
      <c r="CI127" s="241">
        <f t="shared" si="4"/>
        <v>0.83333333333333337</v>
      </c>
      <c r="CJ127" s="241" t="e">
        <f>MIN(nox_nightshade_cap,#REF!/#REF!/nox_nightshade_swamp_bonus)</f>
        <v>#REF!</v>
      </c>
      <c r="CK127" s="242"/>
      <c r="CL127" s="242"/>
      <c r="CM127" s="242"/>
      <c r="CN127" s="241" t="e">
        <f>MIN(6,#REF!+Races!$F$19)*1.8 +  IF(#REF!+Races!$F$19&gt;6,(#REF!+Races!$F$19-6)*0.2,0) - Races!$I$19</f>
        <v>#REF!</v>
      </c>
      <c r="CO127" s="241" t="e">
        <f>1.8 * MIN(MAX(#REF!+Races!$E$20,#REF!+Races!$F$20),6)  +  0.45 * MIN(MIN(#REF!+Races!$E$20,#REF!+Races!$F$20),6)  +  0.2 * ( MAX(#REF!+Races!$E$20-6,0) + MAX(#REF!+Races!$F$20-6,0) )  -  Races!$I$20</f>
        <v>#REF!</v>
      </c>
      <c r="CP127" s="39" t="e">
        <f>#REF!*#REF!+#REF!*#REF!</f>
        <v>#REF!</v>
      </c>
      <c r="CQ127" s="145" t="e">
        <f>MIN(6,#REF!+Races!$F$35)*1.8 +  IF(#REF!+Races!$F$35&gt;6,(#REF!+Races!$F$35-6)*0.2,0) - Races!$I$19</f>
        <v>#REF!</v>
      </c>
      <c r="CR127" s="39" t="e">
        <f>sylvan*(#REF!*#REF!)</f>
        <v>#REF!</v>
      </c>
      <c r="CS127" s="145" t="e">
        <f>1.8 * MIN(MAX(Races!$E$27,#REF!+Races!$F$27),6)  +  0.45 * MIN(MIN(Races!$E$27,#REF!+Races!$F$27),6)  +  0.2 * ( MAX(Races!$E$27-6,0) + MAX(#REF!+Races!$F$27-6,0) )  -  Races!$I$20</f>
        <v>#REF!</v>
      </c>
      <c r="CT127" s="39" t="e">
        <f>gnome*(#REF!*#REF!)</f>
        <v>#REF!</v>
      </c>
      <c r="CU127" s="145" t="e">
        <f>1.8 * MIN(MAX(#REF!+Races!$E$47,#REF!+Races!$F$47),6)  +  0.45 * MIN(MIN(#REF!+Races!$E$47,#REF!+Races!$F$47),6)  +  0.2 * ( MAX(#REF!+Races!$E$47-6,0) + MAX(#REF!+Races!$F$47-6,0) )  -  Races!$I$47</f>
        <v>#REF!</v>
      </c>
      <c r="CV127" s="39" t="e">
        <f>dark_elf*(#REF!*#REF!)</f>
        <v>#REF!</v>
      </c>
      <c r="CW127" s="145" t="e">
        <f>1.8 * MIN(MAX(#REF!+Races!$F$71,Races!$E$71),6)  +  0.45 * MIN(MIN(#REF!+Races!$F$71,Races!$E$71),6)  +  0.2 * ( MAX(#REF!+Races!$F$71-6,0) + MAX(Races!$E$71-6,0) )  -  Races!$I$71</f>
        <v>#REF!</v>
      </c>
      <c r="CX127" s="145" t="e">
        <f>1.8 * MIN(MAX(#REF!+Races!$E$71,Races!$F$71),6)  +  0.45 * MIN(MIN(#REF!+Races!$E$71,Races!$F$71),6)  +  0.2 * ( MAX(#REF!+Races!$E$71-6,0) + MAX(Races!$F$71-6,0) )  -  Races!$I$71</f>
        <v>#REF!</v>
      </c>
      <c r="CY127" s="39" t="e">
        <f>#REF!*#REF!+#REF!*#REF!</f>
        <v>#REF!</v>
      </c>
      <c r="CZ127" s="243"/>
      <c r="DA127" s="135" t="e">
        <f>MIN(SUM(#REF!)/#REF!/favorable_terrain_bonus/100,favorable_terrain_max)</f>
        <v>#REF!</v>
      </c>
      <c r="DB127" s="243"/>
      <c r="DC127"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27" s="134"/>
      <c r="DE127" s="244" t="e">
        <f>(#REF!+2*#REF!)/#REF!</f>
        <v>#REF!</v>
      </c>
      <c r="DF127" s="244" t="e">
        <f>#REF!*(1+race_wizard_strength+IF(#REF!&gt;72,tech_magical_weaponry_wiz*#REF!,0))</f>
        <v>#REF!</v>
      </c>
    </row>
    <row r="128" spans="1:110" x14ac:dyDescent="0.25">
      <c r="A128" s="130" t="e">
        <f>#REF!</f>
        <v>#REF!</v>
      </c>
      <c r="B128" s="236" t="e">
        <f ca="1">SUM(#REF!)+SUM(OFFSET(#REF!,-8,0):#REF!) + SUM(OFFSET(#REF!,-11,0):#REF!) +#REF!</f>
        <v>#REF!</v>
      </c>
      <c r="C128" s="132" t="e">
        <f>#REF!</f>
        <v>#REF!</v>
      </c>
      <c r="D128" s="134"/>
      <c r="E128" s="3" t="e">
        <f ca="1">OFFSET(#REF!,-1,0) + OFFSET(#REF!,-9,0) -#REF!</f>
        <v>#REF!</v>
      </c>
      <c r="F128" s="3" t="e">
        <f ca="1">OFFSET(#REF!,-1,0) + OFFSET(#REF!,-9,0)-#REF!</f>
        <v>#REF!</v>
      </c>
      <c r="G128" s="3" t="e">
        <f ca="1">OFFSET(#REF!,-1,0) + OFFSET(#REF!,-12,0)-#REF!</f>
        <v>#REF!</v>
      </c>
      <c r="H128" s="3" t="e">
        <f ca="1">OFFSET(#REF!,-1,0) + OFFSET(#REF!,-12,0)-#REF!</f>
        <v>#REF!</v>
      </c>
      <c r="I128" s="3" t="e">
        <f ca="1">OFFSET(#REF!,-1,0) + OFFSET(#REF!,-12,0) -#REF!-#REF!</f>
        <v>#REF!</v>
      </c>
      <c r="J128" s="3" t="e">
        <f ca="1">OFFSET(#REF!,-1,0) + OFFSET(#REF!,-12,0) -#REF!</f>
        <v>#REF!</v>
      </c>
      <c r="K128" s="3" t="e">
        <f ca="1">OFFSET(#REF!,-1,0) + OFFSET(#REF!,-12,0) -#REF!-#REF!</f>
        <v>#REF!</v>
      </c>
      <c r="L128" s="3" t="e">
        <f ca="1">OFFSET(#REF!,-1,0) + OFFSET(#REF!,-12,0) -#REF!</f>
        <v>#REF!</v>
      </c>
      <c r="M128" s="134"/>
      <c r="N128" s="39" t="e">
        <f>#REF!</f>
        <v>#REF!</v>
      </c>
      <c r="O128" s="134"/>
      <c r="P128" s="237" t="e">
        <f>#REF!*spec_op+#REF!*(elite1_base_op)+#REF!*(elite2_base_op+dark_elf*#REF!+icekin*#REF!+woodie*#REF!+orc*#REF!)+kobold*#REF!</f>
        <v>#REF!</v>
      </c>
      <c r="Q128" s="132" t="e">
        <f>race_offense+#REF!+ROUND(MIN(gn_bonus*#REF!/#REF!,gn_bonus_cap),4)+MAX(IF(#REF!&gt;0,warsong_bonus),IF(#REF!&gt;0,howling_op_bonus),IF(#REF!&gt;0,nightfall_bonus),IF(#REF!&gt;0,#REF!)) +#REF!/ 100*prestige_offense_bonus + tech_5_4*#REF! + tech_7_4*#REF!</f>
        <v>#REF!</v>
      </c>
      <c r="R128" s="237" t="e">
        <f>#REF!*(1+#REF!)</f>
        <v>#REF!</v>
      </c>
      <c r="S128" s="237" t="e">
        <f>#REF!*spec_dp+#REF!*(elite1_base_dp+woodie*#REF!+sylvan*#REF!+gnome*#REF!+icekin*#REF!+nox*#REF!)+#REF!*(elite2_base_dp+woodie*#REF!) + fh_peas_dp*MIN(#REF!,20*#REF!)+kobold*#REF!</f>
        <v>#REF!</v>
      </c>
      <c r="T128" s="237" t="e">
        <f>#REF!+#REF!</f>
        <v>#REF!</v>
      </c>
      <c r="U128" s="238" t="e">
        <f>race_defense +#REF! + ROUND( MIN(gt_bonus*#REF!/#REF!,gt_bonus_cap), 4) + IF(#REF!&gt;0,howling_dp_bonus,IF(#REF!&gt;0,ares_call_bonus))</f>
        <v>#REF!</v>
      </c>
      <c r="V128" s="239" t="e">
        <f>#REF! * (1 +#REF!)</f>
        <v>#REF!</v>
      </c>
      <c r="W128" s="237" t="e">
        <f>#REF! * (1 +#REF!)</f>
        <v>#REF!</v>
      </c>
      <c r="X128" s="237" t="e">
        <f>#REF!</f>
        <v>#REF!</v>
      </c>
      <c r="Y128" s="240"/>
      <c r="Z128" s="135" t="e">
        <f ca="1">IF(#REF!&lt;&gt;"",#REF!,OFFSET(#REF!,-1,0))</f>
        <v>#REF!</v>
      </c>
      <c r="AA128" s="39" t="e">
        <f ca="1">OFFSET(#REF!,-1,0)+OFFSET(#REF!,-1,0) - SUM(#REF!,#REF!) -#REF! + SUM(#REF!) -#REF!</f>
        <v>#REF!</v>
      </c>
      <c r="AB128" s="133"/>
      <c r="AC128" s="132" t="e">
        <f>(#REF!+#REF!)/(#REF!-#REF!*20)</f>
        <v>#REF!</v>
      </c>
      <c r="AD128" s="130"/>
      <c r="AE128" s="236" t="e">
        <f>#REF!</f>
        <v>#REF!</v>
      </c>
      <c r="AF128" s="131" t="e">
        <f>#REF!</f>
        <v>#REF!</v>
      </c>
      <c r="AG128" s="164"/>
      <c r="AH128" s="164"/>
      <c r="AI128" s="164"/>
      <c r="AJ128" s="164"/>
      <c r="AK128" s="164"/>
      <c r="AL128" s="164"/>
      <c r="AM128" s="164"/>
      <c r="AN128" s="164"/>
      <c r="AO128" s="134"/>
      <c r="AP128" s="39" t="e">
        <f>#REF!</f>
        <v>#REF!</v>
      </c>
      <c r="AQ128" s="39" t="e">
        <f>INDEX(#REF!:#REF!,COUNTA(#REF!:#REF!),MATCH(Military!$AQ$2,#REF!,0))</f>
        <v>#REF!</v>
      </c>
      <c r="AR128" s="39" t="e">
        <f>#REF!*#REF!+#REF!*#REF!+#REF!*#REF!+#REF!*#REF!+#REF!*#REF!+#REF!*#REF!+#REF!*#REF!</f>
        <v>#REF!</v>
      </c>
      <c r="AS128" s="39" t="e">
        <f>#REF!*#REF!+#REF!*#REF!+#REF!*#REF!+#REF!*#REF!</f>
        <v>#REF!</v>
      </c>
      <c r="AT128" s="134" t="e">
        <f>#REF!</f>
        <v>#REF!</v>
      </c>
      <c r="AU128" s="143" t="e">
        <f>#REF!</f>
        <v>#REF!</v>
      </c>
      <c r="AV128" s="39" t="e">
        <f>#REF!</f>
        <v>#REF!</v>
      </c>
      <c r="AW128" s="164"/>
      <c r="AX128" s="164"/>
      <c r="AY128" s="164"/>
      <c r="AZ128" s="164"/>
      <c r="BA128" s="164"/>
      <c r="BB128" s="164"/>
      <c r="BC128" s="164"/>
      <c r="BD128" s="164"/>
      <c r="BE128" s="164"/>
      <c r="BF128" s="134"/>
      <c r="BG128" s="132" t="e">
        <f>#REF!/#REF!</f>
        <v>#REF!</v>
      </c>
      <c r="BH128" s="132" t="e">
        <f>#REF!/#REF!</f>
        <v>#REF!</v>
      </c>
      <c r="BI128" s="39" t="e">
        <f>ROUNDUP((1-MIN(#REF!*smithy_bonus,smithy_bonus_cap) + tech_3_5*#REF! + tech_5_3*#REF! + tech_5_5*#REF!)*spec_op_plat,0)</f>
        <v>#REF!</v>
      </c>
      <c r="BJ128" s="39" t="e">
        <f>ROUNDUP(IF(race="Gnome",1,(1-MIN(#REF!*smithy_bonus,smithy_bonus_cap) + tech_3_5*#REF! + tech_5_3*#REF! + tech_5_5*#REF!))*spec_op_ore,0)</f>
        <v>#REF!</v>
      </c>
      <c r="BK128" s="39" t="e">
        <f>ROUNDUP((1-MIN(#REF!*smithy_bonus,smithy_bonus_cap) + tech_3_5*#REF! + tech_5_3*#REF! + tech_5_5*#REF!)*spec_dp_plat,0)</f>
        <v>#REF!</v>
      </c>
      <c r="BL128" s="39" t="e">
        <f>ROUNDUP(IF(race="Gnome",1,(1-MIN(#REF!*smithy_bonus,smithy_bonus_cap) + tech_3_5*#REF! + tech_5_3*#REF! + tech_5_5*#REF!))*spec_dp_ore,0)</f>
        <v>#REF!</v>
      </c>
      <c r="BM128" s="39" t="e">
        <f>ROUNDUP((1-MIN(#REF!*smithy_bonus,smithy_bonus_cap) + tech_3_5*#REF! + tech_5_3*#REF! + tech_5_5*#REF!)*elite1_plat,0)</f>
        <v>#REF!</v>
      </c>
      <c r="BN128" s="39" t="e">
        <f>ROUNDUP(IF(race="Gnome",1,(1-MIN(#REF!*smithy_bonus,smithy_bonus_cap) + tech_3_5*#REF! + tech_5_3*#REF! + tech_5_5*#REF!))*elite1_ore,0)</f>
        <v>#REF!</v>
      </c>
      <c r="BO128" s="39" t="e">
        <f>ROUNDUP((1-MIN(#REF!*smithy_bonus,smithy_bonus_cap) + tech_3_5*#REF! + tech_5_3*#REF! + tech_5_5*#REF!)*elite2_plat,0)</f>
        <v>#REF!</v>
      </c>
      <c r="BP128" s="39" t="e">
        <f>ROUNDUP(IF(race="Gnome",1,(1-MIN(#REF!*smithy_bonus,smithy_bonus_cap) + tech_3_5*#REF! + tech_5_3*#REF! + tech_5_5*#REF!))*elite2_ore,0)</f>
        <v>#REF!</v>
      </c>
      <c r="BQ128" s="39" t="e">
        <f>ROUNDUP((1-MIN(ROUND(fh_spy_cost_red*#REF!,4),fh_spy_cost_cap)+ tech_1_9*#REF! + tech_9_1*#REF!)*spy_plat,0)</f>
        <v>#REF!</v>
      </c>
      <c r="BR128" s="39" t="e">
        <f>ROUNDUP((1-MIN(ROUND(fh_spy_cost_red*#REF!,4),fh_spy_cost_cap)+ tech_1_9*#REF! + tech_9_1*#REF!)*archspy_plat,0)</f>
        <v>#REF!</v>
      </c>
      <c r="BS128" s="39" t="e">
        <f>ROUNDUP((1-MIN(ROUND(wg_wiz_cost_bonus*#REF!,4),wg_wiz_cost_cap) + tech_1_9_2*#REF! + tech_9_1_2*#REF!)*wizard_plat,0)</f>
        <v>#REF!</v>
      </c>
      <c r="BT128" s="39" t="e">
        <f>ROUNDUP((1-MIN(ROUND(wg_wiz_cost_bonus*#REF!,4),wg_wiz_cost_cap) + tech_1_9_2*#REF! + tech_9_1_2*#REF!)*archmage_plat,0)</f>
        <v>#REF!</v>
      </c>
      <c r="BU128" s="134"/>
      <c r="BV128" s="132" t="e">
        <f>#REF!/#REF!</f>
        <v>#REF!</v>
      </c>
      <c r="BW128" s="132" t="e">
        <f>#REF!</f>
        <v>#REF!</v>
      </c>
      <c r="BX128" s="241" t="e">
        <f>IF(mystic_cap="none",#REF!/mystic_bonus,MIN(mystic_cap,#REF!/mystic_bonus))</f>
        <v>#REF!</v>
      </c>
      <c r="BY128" s="241" t="e">
        <f>IF(druid_op_cap="none",#REF!/druid_op_bonus,MIN(druid_op_cap,#REF!/druid_op_bonus))</f>
        <v>#REF!</v>
      </c>
      <c r="BZ128" s="241" t="e">
        <f>IF(druid_dp_cap="none",#REF!/druid_dp_bonus,MIN(druid_dp_cap,#REF!/druid_dp_bonus))</f>
        <v>#REF!</v>
      </c>
      <c r="CA128" s="241" t="e">
        <f>MIN(dryad_cap,#REF!/dryad_bonus)</f>
        <v>#REF!</v>
      </c>
      <c r="CB128" s="241" t="e">
        <f>MIN(rocka_cap,#REF!/rocka_bonus)</f>
        <v>#REF!</v>
      </c>
      <c r="CC128" s="241" t="e">
        <f>MIN(adept_op_cap,#REF!/adept_op_bonus)</f>
        <v>#REF!</v>
      </c>
      <c r="CD128" s="241" t="e">
        <f>MIN(adept_dp_cap,#REF!/adept_dp_bonus)</f>
        <v>#REF!</v>
      </c>
      <c r="CE128" s="39" t="e">
        <f>MIN(#REF!,#REF!)*2</f>
        <v>#REF!</v>
      </c>
      <c r="CF128" s="39" t="e">
        <f>MIN(#REF!,#REF!)*2</f>
        <v>#REF!</v>
      </c>
      <c r="CG128" s="241" t="e">
        <f>MIN(frost_mage_cap,#REF!/frost_mage_bonus)</f>
        <v>#REF!</v>
      </c>
      <c r="CH128" s="3" t="e">
        <f>MIN(ice_elem_cap,#REF!*ice_elem_bonus)</f>
        <v>#REF!</v>
      </c>
      <c r="CI128" s="241">
        <f t="shared" si="4"/>
        <v>0.83333333333333337</v>
      </c>
      <c r="CJ128" s="241" t="e">
        <f>MIN(nox_nightshade_cap,#REF!/#REF!/nox_nightshade_swamp_bonus)</f>
        <v>#REF!</v>
      </c>
      <c r="CK128" s="242"/>
      <c r="CL128" s="242"/>
      <c r="CM128" s="242"/>
      <c r="CN128" s="241" t="e">
        <f>MIN(6,#REF!+Races!$F$19)*1.8 +  IF(#REF!+Races!$F$19&gt;6,(#REF!+Races!$F$19-6)*0.2,0) - Races!$I$19</f>
        <v>#REF!</v>
      </c>
      <c r="CO128" s="241" t="e">
        <f>1.8 * MIN(MAX(#REF!+Races!$E$20,#REF!+Races!$F$20),6)  +  0.45 * MIN(MIN(#REF!+Races!$E$20,#REF!+Races!$F$20),6)  +  0.2 * ( MAX(#REF!+Races!$E$20-6,0) + MAX(#REF!+Races!$F$20-6,0) )  -  Races!$I$20</f>
        <v>#REF!</v>
      </c>
      <c r="CP128" s="39" t="e">
        <f>#REF!*#REF!+#REF!*#REF!</f>
        <v>#REF!</v>
      </c>
      <c r="CQ128" s="145" t="e">
        <f>MIN(6,#REF!+Races!$F$35)*1.8 +  IF(#REF!+Races!$F$35&gt;6,(#REF!+Races!$F$35-6)*0.2,0) - Races!$I$19</f>
        <v>#REF!</v>
      </c>
      <c r="CR128" s="39" t="e">
        <f>sylvan*(#REF!*#REF!)</f>
        <v>#REF!</v>
      </c>
      <c r="CS128" s="145" t="e">
        <f>1.8 * MIN(MAX(Races!$E$27,#REF!+Races!$F$27),6)  +  0.45 * MIN(MIN(Races!$E$27,#REF!+Races!$F$27),6)  +  0.2 * ( MAX(Races!$E$27-6,0) + MAX(#REF!+Races!$F$27-6,0) )  -  Races!$I$20</f>
        <v>#REF!</v>
      </c>
      <c r="CT128" s="39" t="e">
        <f>gnome*(#REF!*#REF!)</f>
        <v>#REF!</v>
      </c>
      <c r="CU128" s="145" t="e">
        <f>1.8 * MIN(MAX(#REF!+Races!$E$47,#REF!+Races!$F$47),6)  +  0.45 * MIN(MIN(#REF!+Races!$E$47,#REF!+Races!$F$47),6)  +  0.2 * ( MAX(#REF!+Races!$E$47-6,0) + MAX(#REF!+Races!$F$47-6,0) )  -  Races!$I$47</f>
        <v>#REF!</v>
      </c>
      <c r="CV128" s="39" t="e">
        <f>dark_elf*(#REF!*#REF!)</f>
        <v>#REF!</v>
      </c>
      <c r="CW128" s="145" t="e">
        <f>1.8 * MIN(MAX(#REF!+Races!$F$71,Races!$E$71),6)  +  0.45 * MIN(MIN(#REF!+Races!$F$71,Races!$E$71),6)  +  0.2 * ( MAX(#REF!+Races!$F$71-6,0) + MAX(Races!$E$71-6,0) )  -  Races!$I$71</f>
        <v>#REF!</v>
      </c>
      <c r="CX128" s="145" t="e">
        <f>1.8 * MIN(MAX(#REF!+Races!$E$71,Races!$F$71),6)  +  0.45 * MIN(MIN(#REF!+Races!$E$71,Races!$F$71),6)  +  0.2 * ( MAX(#REF!+Races!$E$71-6,0) + MAX(Races!$F$71-6,0) )  -  Races!$I$71</f>
        <v>#REF!</v>
      </c>
      <c r="CY128" s="39" t="e">
        <f>#REF!*#REF!+#REF!*#REF!</f>
        <v>#REF!</v>
      </c>
      <c r="CZ128" s="243"/>
      <c r="DA128" s="135" t="e">
        <f>MIN(SUM(#REF!)/#REF!/favorable_terrain_bonus/100,favorable_terrain_max)</f>
        <v>#REF!</v>
      </c>
      <c r="DB128" s="243"/>
      <c r="DC128"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28" s="134"/>
      <c r="DE128" s="244" t="e">
        <f>(#REF!+2*#REF!)/#REF!</f>
        <v>#REF!</v>
      </c>
      <c r="DF128" s="244" t="e">
        <f>#REF!*(1+race_wizard_strength+IF(#REF!&gt;72,tech_magical_weaponry_wiz*#REF!,0))</f>
        <v>#REF!</v>
      </c>
    </row>
    <row r="129" spans="1:110" x14ac:dyDescent="0.25">
      <c r="A129" s="130" t="e">
        <f>#REF!</f>
        <v>#REF!</v>
      </c>
      <c r="B129" s="236" t="e">
        <f ca="1">SUM(#REF!)+SUM(OFFSET(#REF!,-8,0):#REF!) + SUM(OFFSET(#REF!,-11,0):#REF!) +#REF!</f>
        <v>#REF!</v>
      </c>
      <c r="C129" s="132" t="e">
        <f>#REF!</f>
        <v>#REF!</v>
      </c>
      <c r="D129" s="134"/>
      <c r="E129" s="3" t="e">
        <f ca="1">OFFSET(#REF!,-1,0) + OFFSET(#REF!,-9,0) -#REF!</f>
        <v>#REF!</v>
      </c>
      <c r="F129" s="3" t="e">
        <f ca="1">OFFSET(#REF!,-1,0) + OFFSET(#REF!,-9,0)-#REF!</f>
        <v>#REF!</v>
      </c>
      <c r="G129" s="3" t="e">
        <f ca="1">OFFSET(#REF!,-1,0) + OFFSET(#REF!,-12,0)-#REF!</f>
        <v>#REF!</v>
      </c>
      <c r="H129" s="3" t="e">
        <f ca="1">OFFSET(#REF!,-1,0) + OFFSET(#REF!,-12,0)-#REF!</f>
        <v>#REF!</v>
      </c>
      <c r="I129" s="3" t="e">
        <f ca="1">OFFSET(#REF!,-1,0) + OFFSET(#REF!,-12,0) -#REF!-#REF!</f>
        <v>#REF!</v>
      </c>
      <c r="J129" s="3" t="e">
        <f ca="1">OFFSET(#REF!,-1,0) + OFFSET(#REF!,-12,0) -#REF!</f>
        <v>#REF!</v>
      </c>
      <c r="K129" s="3" t="e">
        <f ca="1">OFFSET(#REF!,-1,0) + OFFSET(#REF!,-12,0) -#REF!-#REF!</f>
        <v>#REF!</v>
      </c>
      <c r="L129" s="3" t="e">
        <f ca="1">OFFSET(#REF!,-1,0) + OFFSET(#REF!,-12,0) -#REF!</f>
        <v>#REF!</v>
      </c>
      <c r="M129" s="134"/>
      <c r="N129" s="39" t="e">
        <f>#REF!</f>
        <v>#REF!</v>
      </c>
      <c r="O129" s="134"/>
      <c r="P129" s="237" t="e">
        <f>#REF!*spec_op+#REF!*(elite1_base_op)+#REF!*(elite2_base_op+dark_elf*#REF!+icekin*#REF!+woodie*#REF!+orc*#REF!)+kobold*#REF!</f>
        <v>#REF!</v>
      </c>
      <c r="Q129" s="132" t="e">
        <f>race_offense+#REF!+ROUND(MIN(gn_bonus*#REF!/#REF!,gn_bonus_cap),4)+MAX(IF(#REF!&gt;0,warsong_bonus),IF(#REF!&gt;0,howling_op_bonus),IF(#REF!&gt;0,nightfall_bonus),IF(#REF!&gt;0,#REF!)) +#REF!/ 100*prestige_offense_bonus + tech_5_4*#REF! + tech_7_4*#REF!</f>
        <v>#REF!</v>
      </c>
      <c r="R129" s="237" t="e">
        <f>#REF!*(1+#REF!)</f>
        <v>#REF!</v>
      </c>
      <c r="S129" s="237" t="e">
        <f>#REF!*spec_dp+#REF!*(elite1_base_dp+woodie*#REF!+sylvan*#REF!+gnome*#REF!+icekin*#REF!+nox*#REF!)+#REF!*(elite2_base_dp+woodie*#REF!) + fh_peas_dp*MIN(#REF!,20*#REF!)+kobold*#REF!</f>
        <v>#REF!</v>
      </c>
      <c r="T129" s="237" t="e">
        <f>#REF!+#REF!</f>
        <v>#REF!</v>
      </c>
      <c r="U129" s="238" t="e">
        <f>race_defense +#REF! + ROUND( MIN(gt_bonus*#REF!/#REF!,gt_bonus_cap), 4) + IF(#REF!&gt;0,howling_dp_bonus,IF(#REF!&gt;0,ares_call_bonus))</f>
        <v>#REF!</v>
      </c>
      <c r="V129" s="239" t="e">
        <f>#REF! * (1 +#REF!)</f>
        <v>#REF!</v>
      </c>
      <c r="W129" s="237" t="e">
        <f>#REF! * (1 +#REF!)</f>
        <v>#REF!</v>
      </c>
      <c r="X129" s="237" t="e">
        <f>#REF!</f>
        <v>#REF!</v>
      </c>
      <c r="Y129" s="240"/>
      <c r="Z129" s="135" t="e">
        <f ca="1">IF(#REF!&lt;&gt;"",#REF!,OFFSET(#REF!,-1,0))</f>
        <v>#REF!</v>
      </c>
      <c r="AA129" s="39" t="e">
        <f ca="1">OFFSET(#REF!,-1,0)+OFFSET(#REF!,-1,0) - SUM(#REF!,#REF!) -#REF! + SUM(#REF!) -#REF!</f>
        <v>#REF!</v>
      </c>
      <c r="AB129" s="133"/>
      <c r="AC129" s="132" t="e">
        <f>(#REF!+#REF!)/(#REF!-#REF!*20)</f>
        <v>#REF!</v>
      </c>
      <c r="AD129" s="130"/>
      <c r="AE129" s="236" t="e">
        <f>#REF!</f>
        <v>#REF!</v>
      </c>
      <c r="AF129" s="131" t="e">
        <f>#REF!</f>
        <v>#REF!</v>
      </c>
      <c r="AG129" s="164"/>
      <c r="AH129" s="164"/>
      <c r="AI129" s="164"/>
      <c r="AJ129" s="164"/>
      <c r="AK129" s="164"/>
      <c r="AL129" s="164"/>
      <c r="AM129" s="164"/>
      <c r="AN129" s="164"/>
      <c r="AO129" s="134"/>
      <c r="AP129" s="39" t="e">
        <f>#REF!</f>
        <v>#REF!</v>
      </c>
      <c r="AQ129" s="39" t="e">
        <f>INDEX(#REF!:#REF!,COUNTA(#REF!:#REF!),MATCH(Military!$AQ$2,#REF!,0))</f>
        <v>#REF!</v>
      </c>
      <c r="AR129" s="39" t="e">
        <f>#REF!*#REF!+#REF!*#REF!+#REF!*#REF!+#REF!*#REF!+#REF!*#REF!+#REF!*#REF!+#REF!*#REF!</f>
        <v>#REF!</v>
      </c>
      <c r="AS129" s="39" t="e">
        <f>#REF!*#REF!+#REF!*#REF!+#REF!*#REF!+#REF!*#REF!</f>
        <v>#REF!</v>
      </c>
      <c r="AT129" s="134" t="e">
        <f>#REF!</f>
        <v>#REF!</v>
      </c>
      <c r="AU129" s="143" t="e">
        <f>#REF!</f>
        <v>#REF!</v>
      </c>
      <c r="AV129" s="39" t="e">
        <f>#REF!</f>
        <v>#REF!</v>
      </c>
      <c r="AW129" s="164"/>
      <c r="AX129" s="164"/>
      <c r="AY129" s="164"/>
      <c r="AZ129" s="164"/>
      <c r="BA129" s="164"/>
      <c r="BB129" s="164"/>
      <c r="BC129" s="164"/>
      <c r="BD129" s="164"/>
      <c r="BE129" s="164"/>
      <c r="BF129" s="134"/>
      <c r="BG129" s="132" t="e">
        <f>#REF!/#REF!</f>
        <v>#REF!</v>
      </c>
      <c r="BH129" s="132" t="e">
        <f>#REF!/#REF!</f>
        <v>#REF!</v>
      </c>
      <c r="BI129" s="39" t="e">
        <f>ROUNDUP((1-MIN(#REF!*smithy_bonus,smithy_bonus_cap) + tech_3_5*#REF! + tech_5_3*#REF! + tech_5_5*#REF!)*spec_op_plat,0)</f>
        <v>#REF!</v>
      </c>
      <c r="BJ129" s="39" t="e">
        <f>ROUNDUP(IF(race="Gnome",1,(1-MIN(#REF!*smithy_bonus,smithy_bonus_cap) + tech_3_5*#REF! + tech_5_3*#REF! + tech_5_5*#REF!))*spec_op_ore,0)</f>
        <v>#REF!</v>
      </c>
      <c r="BK129" s="39" t="e">
        <f>ROUNDUP((1-MIN(#REF!*smithy_bonus,smithy_bonus_cap) + tech_3_5*#REF! + tech_5_3*#REF! + tech_5_5*#REF!)*spec_dp_plat,0)</f>
        <v>#REF!</v>
      </c>
      <c r="BL129" s="39" t="e">
        <f>ROUNDUP(IF(race="Gnome",1,(1-MIN(#REF!*smithy_bonus,smithy_bonus_cap) + tech_3_5*#REF! + tech_5_3*#REF! + tech_5_5*#REF!))*spec_dp_ore,0)</f>
        <v>#REF!</v>
      </c>
      <c r="BM129" s="39" t="e">
        <f>ROUNDUP((1-MIN(#REF!*smithy_bonus,smithy_bonus_cap) + tech_3_5*#REF! + tech_5_3*#REF! + tech_5_5*#REF!)*elite1_plat,0)</f>
        <v>#REF!</v>
      </c>
      <c r="BN129" s="39" t="e">
        <f>ROUNDUP(IF(race="Gnome",1,(1-MIN(#REF!*smithy_bonus,smithy_bonus_cap) + tech_3_5*#REF! + tech_5_3*#REF! + tech_5_5*#REF!))*elite1_ore,0)</f>
        <v>#REF!</v>
      </c>
      <c r="BO129" s="39" t="e">
        <f>ROUNDUP((1-MIN(#REF!*smithy_bonus,smithy_bonus_cap) + tech_3_5*#REF! + tech_5_3*#REF! + tech_5_5*#REF!)*elite2_plat,0)</f>
        <v>#REF!</v>
      </c>
      <c r="BP129" s="39" t="e">
        <f>ROUNDUP(IF(race="Gnome",1,(1-MIN(#REF!*smithy_bonus,smithy_bonus_cap) + tech_3_5*#REF! + tech_5_3*#REF! + tech_5_5*#REF!))*elite2_ore,0)</f>
        <v>#REF!</v>
      </c>
      <c r="BQ129" s="39" t="e">
        <f>ROUNDUP((1-MIN(ROUND(fh_spy_cost_red*#REF!,4),fh_spy_cost_cap)+ tech_1_9*#REF! + tech_9_1*#REF!)*spy_plat,0)</f>
        <v>#REF!</v>
      </c>
      <c r="BR129" s="39" t="e">
        <f>ROUNDUP((1-MIN(ROUND(fh_spy_cost_red*#REF!,4),fh_spy_cost_cap)+ tech_1_9*#REF! + tech_9_1*#REF!)*archspy_plat,0)</f>
        <v>#REF!</v>
      </c>
      <c r="BS129" s="39" t="e">
        <f>ROUNDUP((1-MIN(ROUND(wg_wiz_cost_bonus*#REF!,4),wg_wiz_cost_cap) + tech_1_9_2*#REF! + tech_9_1_2*#REF!)*wizard_plat,0)</f>
        <v>#REF!</v>
      </c>
      <c r="BT129" s="39" t="e">
        <f>ROUNDUP((1-MIN(ROUND(wg_wiz_cost_bonus*#REF!,4),wg_wiz_cost_cap) + tech_1_9_2*#REF! + tech_9_1_2*#REF!)*archmage_plat,0)</f>
        <v>#REF!</v>
      </c>
      <c r="BU129" s="134"/>
      <c r="BV129" s="132" t="e">
        <f>#REF!/#REF!</f>
        <v>#REF!</v>
      </c>
      <c r="BW129" s="132" t="e">
        <f>#REF!</f>
        <v>#REF!</v>
      </c>
      <c r="BX129" s="241" t="e">
        <f>IF(mystic_cap="none",#REF!/mystic_bonus,MIN(mystic_cap,#REF!/mystic_bonus))</f>
        <v>#REF!</v>
      </c>
      <c r="BY129" s="241" t="e">
        <f>IF(druid_op_cap="none",#REF!/druid_op_bonus,MIN(druid_op_cap,#REF!/druid_op_bonus))</f>
        <v>#REF!</v>
      </c>
      <c r="BZ129" s="241" t="e">
        <f>IF(druid_dp_cap="none",#REF!/druid_dp_bonus,MIN(druid_dp_cap,#REF!/druid_dp_bonus))</f>
        <v>#REF!</v>
      </c>
      <c r="CA129" s="241" t="e">
        <f>MIN(dryad_cap,#REF!/dryad_bonus)</f>
        <v>#REF!</v>
      </c>
      <c r="CB129" s="241" t="e">
        <f>MIN(rocka_cap,#REF!/rocka_bonus)</f>
        <v>#REF!</v>
      </c>
      <c r="CC129" s="241" t="e">
        <f>MIN(adept_op_cap,#REF!/adept_op_bonus)</f>
        <v>#REF!</v>
      </c>
      <c r="CD129" s="241" t="e">
        <f>MIN(adept_dp_cap,#REF!/adept_dp_bonus)</f>
        <v>#REF!</v>
      </c>
      <c r="CE129" s="39" t="e">
        <f>MIN(#REF!,#REF!)*2</f>
        <v>#REF!</v>
      </c>
      <c r="CF129" s="39" t="e">
        <f>MIN(#REF!,#REF!)*2</f>
        <v>#REF!</v>
      </c>
      <c r="CG129" s="241" t="e">
        <f>MIN(frost_mage_cap,#REF!/frost_mage_bonus)</f>
        <v>#REF!</v>
      </c>
      <c r="CH129" s="3" t="e">
        <f>MIN(ice_elem_cap,#REF!*ice_elem_bonus)</f>
        <v>#REF!</v>
      </c>
      <c r="CI129" s="241">
        <f t="shared" si="4"/>
        <v>0.83333333333333337</v>
      </c>
      <c r="CJ129" s="241" t="e">
        <f>MIN(nox_nightshade_cap,#REF!/#REF!/nox_nightshade_swamp_bonus)</f>
        <v>#REF!</v>
      </c>
      <c r="CK129" s="242"/>
      <c r="CL129" s="242"/>
      <c r="CM129" s="242"/>
      <c r="CN129" s="241" t="e">
        <f>MIN(6,#REF!+Races!$F$19)*1.8 +  IF(#REF!+Races!$F$19&gt;6,(#REF!+Races!$F$19-6)*0.2,0) - Races!$I$19</f>
        <v>#REF!</v>
      </c>
      <c r="CO129" s="241" t="e">
        <f>1.8 * MIN(MAX(#REF!+Races!$E$20,#REF!+Races!$F$20),6)  +  0.45 * MIN(MIN(#REF!+Races!$E$20,#REF!+Races!$F$20),6)  +  0.2 * ( MAX(#REF!+Races!$E$20-6,0) + MAX(#REF!+Races!$F$20-6,0) )  -  Races!$I$20</f>
        <v>#REF!</v>
      </c>
      <c r="CP129" s="39" t="e">
        <f>#REF!*#REF!+#REF!*#REF!</f>
        <v>#REF!</v>
      </c>
      <c r="CQ129" s="145" t="e">
        <f>MIN(6,#REF!+Races!$F$35)*1.8 +  IF(#REF!+Races!$F$35&gt;6,(#REF!+Races!$F$35-6)*0.2,0) - Races!$I$19</f>
        <v>#REF!</v>
      </c>
      <c r="CR129" s="39" t="e">
        <f>sylvan*(#REF!*#REF!)</f>
        <v>#REF!</v>
      </c>
      <c r="CS129" s="145" t="e">
        <f>1.8 * MIN(MAX(Races!$E$27,#REF!+Races!$F$27),6)  +  0.45 * MIN(MIN(Races!$E$27,#REF!+Races!$F$27),6)  +  0.2 * ( MAX(Races!$E$27-6,0) + MAX(#REF!+Races!$F$27-6,0) )  -  Races!$I$20</f>
        <v>#REF!</v>
      </c>
      <c r="CT129" s="39" t="e">
        <f>gnome*(#REF!*#REF!)</f>
        <v>#REF!</v>
      </c>
      <c r="CU129" s="145" t="e">
        <f>1.8 * MIN(MAX(#REF!+Races!$E$47,#REF!+Races!$F$47),6)  +  0.45 * MIN(MIN(#REF!+Races!$E$47,#REF!+Races!$F$47),6)  +  0.2 * ( MAX(#REF!+Races!$E$47-6,0) + MAX(#REF!+Races!$F$47-6,0) )  -  Races!$I$47</f>
        <v>#REF!</v>
      </c>
      <c r="CV129" s="39" t="e">
        <f>dark_elf*(#REF!*#REF!)</f>
        <v>#REF!</v>
      </c>
      <c r="CW129" s="145" t="e">
        <f>1.8 * MIN(MAX(#REF!+Races!$F$71,Races!$E$71),6)  +  0.45 * MIN(MIN(#REF!+Races!$F$71,Races!$E$71),6)  +  0.2 * ( MAX(#REF!+Races!$F$71-6,0) + MAX(Races!$E$71-6,0) )  -  Races!$I$71</f>
        <v>#REF!</v>
      </c>
      <c r="CX129" s="145" t="e">
        <f>1.8 * MIN(MAX(#REF!+Races!$E$71,Races!$F$71),6)  +  0.45 * MIN(MIN(#REF!+Races!$E$71,Races!$F$71),6)  +  0.2 * ( MAX(#REF!+Races!$E$71-6,0) + MAX(Races!$F$71-6,0) )  -  Races!$I$71</f>
        <v>#REF!</v>
      </c>
      <c r="CY129" s="39" t="e">
        <f>#REF!*#REF!+#REF!*#REF!</f>
        <v>#REF!</v>
      </c>
      <c r="CZ129" s="243"/>
      <c r="DA129" s="135" t="e">
        <f>MIN(SUM(#REF!)/#REF!/favorable_terrain_bonus/100,favorable_terrain_max)</f>
        <v>#REF!</v>
      </c>
      <c r="DB129" s="243"/>
      <c r="DC129"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29" s="134"/>
      <c r="DE129" s="244" t="e">
        <f>(#REF!+2*#REF!)/#REF!</f>
        <v>#REF!</v>
      </c>
      <c r="DF129" s="244" t="e">
        <f>#REF!*(1+race_wizard_strength+IF(#REF!&gt;72,tech_magical_weaponry_wiz*#REF!,0))</f>
        <v>#REF!</v>
      </c>
    </row>
    <row r="130" spans="1:110" x14ac:dyDescent="0.25">
      <c r="A130" s="130" t="e">
        <f>#REF!</f>
        <v>#REF!</v>
      </c>
      <c r="B130" s="236" t="e">
        <f ca="1">SUM(#REF!)+SUM(OFFSET(#REF!,-8,0):#REF!) + SUM(OFFSET(#REF!,-11,0):#REF!) +#REF!</f>
        <v>#REF!</v>
      </c>
      <c r="C130" s="132" t="e">
        <f>#REF!</f>
        <v>#REF!</v>
      </c>
      <c r="D130" s="134"/>
      <c r="E130" s="3" t="e">
        <f ca="1">OFFSET(#REF!,-1,0) + OFFSET(#REF!,-9,0) -#REF!</f>
        <v>#REF!</v>
      </c>
      <c r="F130" s="3" t="e">
        <f ca="1">OFFSET(#REF!,-1,0) + OFFSET(#REF!,-9,0)-#REF!</f>
        <v>#REF!</v>
      </c>
      <c r="G130" s="3" t="e">
        <f ca="1">OFFSET(#REF!,-1,0) + OFFSET(#REF!,-12,0)-#REF!</f>
        <v>#REF!</v>
      </c>
      <c r="H130" s="3" t="e">
        <f ca="1">OFFSET(#REF!,-1,0) + OFFSET(#REF!,-12,0)-#REF!</f>
        <v>#REF!</v>
      </c>
      <c r="I130" s="3" t="e">
        <f ca="1">OFFSET(#REF!,-1,0) + OFFSET(#REF!,-12,0) -#REF!-#REF!</f>
        <v>#REF!</v>
      </c>
      <c r="J130" s="3" t="e">
        <f ca="1">OFFSET(#REF!,-1,0) + OFFSET(#REF!,-12,0) -#REF!</f>
        <v>#REF!</v>
      </c>
      <c r="K130" s="3" t="e">
        <f ca="1">OFFSET(#REF!,-1,0) + OFFSET(#REF!,-12,0) -#REF!-#REF!</f>
        <v>#REF!</v>
      </c>
      <c r="L130" s="3" t="e">
        <f ca="1">OFFSET(#REF!,-1,0) + OFFSET(#REF!,-12,0) -#REF!</f>
        <v>#REF!</v>
      </c>
      <c r="M130" s="134"/>
      <c r="N130" s="39" t="e">
        <f>#REF!</f>
        <v>#REF!</v>
      </c>
      <c r="O130" s="134"/>
      <c r="P130" s="237" t="e">
        <f>#REF!*spec_op+#REF!*(elite1_base_op)+#REF!*(elite2_base_op+dark_elf*#REF!+icekin*#REF!+woodie*#REF!+orc*#REF!)+kobold*#REF!</f>
        <v>#REF!</v>
      </c>
      <c r="Q130" s="132" t="e">
        <f>race_offense+#REF!+ROUND(MIN(gn_bonus*#REF!/#REF!,gn_bonus_cap),4)+MAX(IF(#REF!&gt;0,warsong_bonus),IF(#REF!&gt;0,howling_op_bonus),IF(#REF!&gt;0,nightfall_bonus),IF(#REF!&gt;0,#REF!)) +#REF!/ 100*prestige_offense_bonus + tech_5_4*#REF! + tech_7_4*#REF!</f>
        <v>#REF!</v>
      </c>
      <c r="R130" s="237" t="e">
        <f>#REF!*(1+#REF!)</f>
        <v>#REF!</v>
      </c>
      <c r="S130" s="237" t="e">
        <f>#REF!*spec_dp+#REF!*(elite1_base_dp+woodie*#REF!+sylvan*#REF!+gnome*#REF!+icekin*#REF!+nox*#REF!)+#REF!*(elite2_base_dp+woodie*#REF!) + fh_peas_dp*MIN(#REF!,20*#REF!)+kobold*#REF!</f>
        <v>#REF!</v>
      </c>
      <c r="T130" s="237" t="e">
        <f>#REF!+#REF!</f>
        <v>#REF!</v>
      </c>
      <c r="U130" s="238" t="e">
        <f>race_defense +#REF! + ROUND( MIN(gt_bonus*#REF!/#REF!,gt_bonus_cap), 4) + IF(#REF!&gt;0,howling_dp_bonus,IF(#REF!&gt;0,ares_call_bonus))</f>
        <v>#REF!</v>
      </c>
      <c r="V130" s="239" t="e">
        <f>#REF! * (1 +#REF!)</f>
        <v>#REF!</v>
      </c>
      <c r="W130" s="237" t="e">
        <f>#REF! * (1 +#REF!)</f>
        <v>#REF!</v>
      </c>
      <c r="X130" s="237" t="e">
        <f>#REF!</f>
        <v>#REF!</v>
      </c>
      <c r="Y130" s="240"/>
      <c r="Z130" s="135" t="e">
        <f ca="1">IF(#REF!&lt;&gt;"",#REF!,OFFSET(#REF!,-1,0))</f>
        <v>#REF!</v>
      </c>
      <c r="AA130" s="39" t="e">
        <f ca="1">OFFSET(#REF!,-1,0)+OFFSET(#REF!,-1,0) - SUM(#REF!,#REF!) -#REF! + SUM(#REF!) -#REF!</f>
        <v>#REF!</v>
      </c>
      <c r="AB130" s="133"/>
      <c r="AC130" s="132" t="e">
        <f>(#REF!+#REF!)/(#REF!-#REF!*20)</f>
        <v>#REF!</v>
      </c>
      <c r="AD130" s="130"/>
      <c r="AE130" s="236" t="e">
        <f>#REF!</f>
        <v>#REF!</v>
      </c>
      <c r="AF130" s="131" t="e">
        <f>#REF!</f>
        <v>#REF!</v>
      </c>
      <c r="AG130" s="164"/>
      <c r="AH130" s="164"/>
      <c r="AI130" s="164"/>
      <c r="AJ130" s="164"/>
      <c r="AK130" s="164"/>
      <c r="AL130" s="164"/>
      <c r="AM130" s="164"/>
      <c r="AN130" s="164"/>
      <c r="AO130" s="134"/>
      <c r="AP130" s="39" t="e">
        <f>#REF!</f>
        <v>#REF!</v>
      </c>
      <c r="AQ130" s="39" t="e">
        <f>INDEX(#REF!:#REF!,COUNTA(#REF!:#REF!),MATCH(Military!$AQ$2,#REF!,0))</f>
        <v>#REF!</v>
      </c>
      <c r="AR130" s="39" t="e">
        <f>#REF!*#REF!+#REF!*#REF!+#REF!*#REF!+#REF!*#REF!+#REF!*#REF!+#REF!*#REF!+#REF!*#REF!</f>
        <v>#REF!</v>
      </c>
      <c r="AS130" s="39" t="e">
        <f>#REF!*#REF!+#REF!*#REF!+#REF!*#REF!+#REF!*#REF!</f>
        <v>#REF!</v>
      </c>
      <c r="AT130" s="134" t="e">
        <f>#REF!</f>
        <v>#REF!</v>
      </c>
      <c r="AU130" s="143" t="e">
        <f>#REF!</f>
        <v>#REF!</v>
      </c>
      <c r="AV130" s="39" t="e">
        <f>#REF!</f>
        <v>#REF!</v>
      </c>
      <c r="AW130" s="164"/>
      <c r="AX130" s="164"/>
      <c r="AY130" s="164"/>
      <c r="AZ130" s="164"/>
      <c r="BA130" s="164"/>
      <c r="BB130" s="164"/>
      <c r="BC130" s="164"/>
      <c r="BD130" s="164"/>
      <c r="BE130" s="164"/>
      <c r="BF130" s="134"/>
      <c r="BG130" s="132" t="e">
        <f>#REF!/#REF!</f>
        <v>#REF!</v>
      </c>
      <c r="BH130" s="132" t="e">
        <f>#REF!/#REF!</f>
        <v>#REF!</v>
      </c>
      <c r="BI130" s="39" t="e">
        <f>ROUNDUP((1-MIN(#REF!*smithy_bonus,smithy_bonus_cap) + tech_3_5*#REF! + tech_5_3*#REF! + tech_5_5*#REF!)*spec_op_plat,0)</f>
        <v>#REF!</v>
      </c>
      <c r="BJ130" s="39" t="e">
        <f>ROUNDUP(IF(race="Gnome",1,(1-MIN(#REF!*smithy_bonus,smithy_bonus_cap) + tech_3_5*#REF! + tech_5_3*#REF! + tech_5_5*#REF!))*spec_op_ore,0)</f>
        <v>#REF!</v>
      </c>
      <c r="BK130" s="39" t="e">
        <f>ROUNDUP((1-MIN(#REF!*smithy_bonus,smithy_bonus_cap) + tech_3_5*#REF! + tech_5_3*#REF! + tech_5_5*#REF!)*spec_dp_plat,0)</f>
        <v>#REF!</v>
      </c>
      <c r="BL130" s="39" t="e">
        <f>ROUNDUP(IF(race="Gnome",1,(1-MIN(#REF!*smithy_bonus,smithy_bonus_cap) + tech_3_5*#REF! + tech_5_3*#REF! + tech_5_5*#REF!))*spec_dp_ore,0)</f>
        <v>#REF!</v>
      </c>
      <c r="BM130" s="39" t="e">
        <f>ROUNDUP((1-MIN(#REF!*smithy_bonus,smithy_bonus_cap) + tech_3_5*#REF! + tech_5_3*#REF! + tech_5_5*#REF!)*elite1_plat,0)</f>
        <v>#REF!</v>
      </c>
      <c r="BN130" s="39" t="e">
        <f>ROUNDUP(IF(race="Gnome",1,(1-MIN(#REF!*smithy_bonus,smithy_bonus_cap) + tech_3_5*#REF! + tech_5_3*#REF! + tech_5_5*#REF!))*elite1_ore,0)</f>
        <v>#REF!</v>
      </c>
      <c r="BO130" s="39" t="e">
        <f>ROUNDUP((1-MIN(#REF!*smithy_bonus,smithy_bonus_cap) + tech_3_5*#REF! + tech_5_3*#REF! + tech_5_5*#REF!)*elite2_plat,0)</f>
        <v>#REF!</v>
      </c>
      <c r="BP130" s="39" t="e">
        <f>ROUNDUP(IF(race="Gnome",1,(1-MIN(#REF!*smithy_bonus,smithy_bonus_cap) + tech_3_5*#REF! + tech_5_3*#REF! + tech_5_5*#REF!))*elite2_ore,0)</f>
        <v>#REF!</v>
      </c>
      <c r="BQ130" s="39" t="e">
        <f>ROUNDUP((1-MIN(ROUND(fh_spy_cost_red*#REF!,4),fh_spy_cost_cap)+ tech_1_9*#REF! + tech_9_1*#REF!)*spy_plat,0)</f>
        <v>#REF!</v>
      </c>
      <c r="BR130" s="39" t="e">
        <f>ROUNDUP((1-MIN(ROUND(fh_spy_cost_red*#REF!,4),fh_spy_cost_cap)+ tech_1_9*#REF! + tech_9_1*#REF!)*archspy_plat,0)</f>
        <v>#REF!</v>
      </c>
      <c r="BS130" s="39" t="e">
        <f>ROUNDUP((1-MIN(ROUND(wg_wiz_cost_bonus*#REF!,4),wg_wiz_cost_cap) + tech_1_9_2*#REF! + tech_9_1_2*#REF!)*wizard_plat,0)</f>
        <v>#REF!</v>
      </c>
      <c r="BT130" s="39" t="e">
        <f>ROUNDUP((1-MIN(ROUND(wg_wiz_cost_bonus*#REF!,4),wg_wiz_cost_cap) + tech_1_9_2*#REF! + tech_9_1_2*#REF!)*archmage_plat,0)</f>
        <v>#REF!</v>
      </c>
      <c r="BU130" s="134"/>
      <c r="BV130" s="132" t="e">
        <f>#REF!/#REF!</f>
        <v>#REF!</v>
      </c>
      <c r="BW130" s="132" t="e">
        <f>#REF!</f>
        <v>#REF!</v>
      </c>
      <c r="BX130" s="241" t="e">
        <f>IF(mystic_cap="none",#REF!/mystic_bonus,MIN(mystic_cap,#REF!/mystic_bonus))</f>
        <v>#REF!</v>
      </c>
      <c r="BY130" s="241" t="e">
        <f>IF(druid_op_cap="none",#REF!/druid_op_bonus,MIN(druid_op_cap,#REF!/druid_op_bonus))</f>
        <v>#REF!</v>
      </c>
      <c r="BZ130" s="241" t="e">
        <f>IF(druid_dp_cap="none",#REF!/druid_dp_bonus,MIN(druid_dp_cap,#REF!/druid_dp_bonus))</f>
        <v>#REF!</v>
      </c>
      <c r="CA130" s="241" t="e">
        <f>MIN(dryad_cap,#REF!/dryad_bonus)</f>
        <v>#REF!</v>
      </c>
      <c r="CB130" s="241" t="e">
        <f>MIN(rocka_cap,#REF!/rocka_bonus)</f>
        <v>#REF!</v>
      </c>
      <c r="CC130" s="241" t="e">
        <f>MIN(adept_op_cap,#REF!/adept_op_bonus)</f>
        <v>#REF!</v>
      </c>
      <c r="CD130" s="241" t="e">
        <f>MIN(adept_dp_cap,#REF!/adept_dp_bonus)</f>
        <v>#REF!</v>
      </c>
      <c r="CE130" s="39" t="e">
        <f>MIN(#REF!,#REF!)*2</f>
        <v>#REF!</v>
      </c>
      <c r="CF130" s="39" t="e">
        <f>MIN(#REF!,#REF!)*2</f>
        <v>#REF!</v>
      </c>
      <c r="CG130" s="241" t="e">
        <f>MIN(frost_mage_cap,#REF!/frost_mage_bonus)</f>
        <v>#REF!</v>
      </c>
      <c r="CH130" s="3" t="e">
        <f>MIN(ice_elem_cap,#REF!*ice_elem_bonus)</f>
        <v>#REF!</v>
      </c>
      <c r="CI130" s="241">
        <f t="shared" si="4"/>
        <v>0.83333333333333337</v>
      </c>
      <c r="CJ130" s="241" t="e">
        <f>MIN(nox_nightshade_cap,#REF!/#REF!/nox_nightshade_swamp_bonus)</f>
        <v>#REF!</v>
      </c>
      <c r="CK130" s="242"/>
      <c r="CL130" s="242"/>
      <c r="CM130" s="242"/>
      <c r="CN130" s="241" t="e">
        <f>MIN(6,#REF!+Races!$F$19)*1.8 +  IF(#REF!+Races!$F$19&gt;6,(#REF!+Races!$F$19-6)*0.2,0) - Races!$I$19</f>
        <v>#REF!</v>
      </c>
      <c r="CO130" s="241" t="e">
        <f>1.8 * MIN(MAX(#REF!+Races!$E$20,#REF!+Races!$F$20),6)  +  0.45 * MIN(MIN(#REF!+Races!$E$20,#REF!+Races!$F$20),6)  +  0.2 * ( MAX(#REF!+Races!$E$20-6,0) + MAX(#REF!+Races!$F$20-6,0) )  -  Races!$I$20</f>
        <v>#REF!</v>
      </c>
      <c r="CP130" s="39" t="e">
        <f>#REF!*#REF!+#REF!*#REF!</f>
        <v>#REF!</v>
      </c>
      <c r="CQ130" s="145" t="e">
        <f>MIN(6,#REF!+Races!$F$35)*1.8 +  IF(#REF!+Races!$F$35&gt;6,(#REF!+Races!$F$35-6)*0.2,0) - Races!$I$19</f>
        <v>#REF!</v>
      </c>
      <c r="CR130" s="39" t="e">
        <f>sylvan*(#REF!*#REF!)</f>
        <v>#REF!</v>
      </c>
      <c r="CS130" s="145" t="e">
        <f>1.8 * MIN(MAX(Races!$E$27,#REF!+Races!$F$27),6)  +  0.45 * MIN(MIN(Races!$E$27,#REF!+Races!$F$27),6)  +  0.2 * ( MAX(Races!$E$27-6,0) + MAX(#REF!+Races!$F$27-6,0) )  -  Races!$I$20</f>
        <v>#REF!</v>
      </c>
      <c r="CT130" s="39" t="e">
        <f>gnome*(#REF!*#REF!)</f>
        <v>#REF!</v>
      </c>
      <c r="CU130" s="145" t="e">
        <f>1.8 * MIN(MAX(#REF!+Races!$E$47,#REF!+Races!$F$47),6)  +  0.45 * MIN(MIN(#REF!+Races!$E$47,#REF!+Races!$F$47),6)  +  0.2 * ( MAX(#REF!+Races!$E$47-6,0) + MAX(#REF!+Races!$F$47-6,0) )  -  Races!$I$47</f>
        <v>#REF!</v>
      </c>
      <c r="CV130" s="39" t="e">
        <f>dark_elf*(#REF!*#REF!)</f>
        <v>#REF!</v>
      </c>
      <c r="CW130" s="145" t="e">
        <f>1.8 * MIN(MAX(#REF!+Races!$F$71,Races!$E$71),6)  +  0.45 * MIN(MIN(#REF!+Races!$F$71,Races!$E$71),6)  +  0.2 * ( MAX(#REF!+Races!$F$71-6,0) + MAX(Races!$E$71-6,0) )  -  Races!$I$71</f>
        <v>#REF!</v>
      </c>
      <c r="CX130" s="145" t="e">
        <f>1.8 * MIN(MAX(#REF!+Races!$E$71,Races!$F$71),6)  +  0.45 * MIN(MIN(#REF!+Races!$E$71,Races!$F$71),6)  +  0.2 * ( MAX(#REF!+Races!$E$71-6,0) + MAX(Races!$F$71-6,0) )  -  Races!$I$71</f>
        <v>#REF!</v>
      </c>
      <c r="CY130" s="39" t="e">
        <f>#REF!*#REF!+#REF!*#REF!</f>
        <v>#REF!</v>
      </c>
      <c r="CZ130" s="243"/>
      <c r="DA130" s="135" t="e">
        <f>MIN(SUM(#REF!)/#REF!/favorable_terrain_bonus/100,favorable_terrain_max)</f>
        <v>#REF!</v>
      </c>
      <c r="DB130" s="243"/>
      <c r="DC130"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30" s="134"/>
      <c r="DE130" s="244" t="e">
        <f>(#REF!+2*#REF!)/#REF!</f>
        <v>#REF!</v>
      </c>
      <c r="DF130" s="244" t="e">
        <f>#REF!*(1+race_wizard_strength+IF(#REF!&gt;72,tech_magical_weaponry_wiz*#REF!,0))</f>
        <v>#REF!</v>
      </c>
    </row>
    <row r="131" spans="1:110" x14ac:dyDescent="0.25">
      <c r="A131" s="130" t="e">
        <f>#REF!</f>
        <v>#REF!</v>
      </c>
      <c r="B131" s="236" t="e">
        <f ca="1">SUM(#REF!)+SUM(OFFSET(#REF!,-8,0):#REF!) + SUM(OFFSET(#REF!,-11,0):#REF!) +#REF!</f>
        <v>#REF!</v>
      </c>
      <c r="C131" s="132" t="e">
        <f>#REF!</f>
        <v>#REF!</v>
      </c>
      <c r="D131" s="134"/>
      <c r="E131" s="3" t="e">
        <f ca="1">OFFSET(#REF!,-1,0) + OFFSET(#REF!,-9,0) -#REF!</f>
        <v>#REF!</v>
      </c>
      <c r="F131" s="3" t="e">
        <f ca="1">OFFSET(#REF!,-1,0) + OFFSET(#REF!,-9,0)-#REF!</f>
        <v>#REF!</v>
      </c>
      <c r="G131" s="3" t="e">
        <f ca="1">OFFSET(#REF!,-1,0) + OFFSET(#REF!,-12,0)-#REF!</f>
        <v>#REF!</v>
      </c>
      <c r="H131" s="3" t="e">
        <f ca="1">OFFSET(#REF!,-1,0) + OFFSET(#REF!,-12,0)-#REF!</f>
        <v>#REF!</v>
      </c>
      <c r="I131" s="3" t="e">
        <f ca="1">OFFSET(#REF!,-1,0) + OFFSET(#REF!,-12,0) -#REF!-#REF!</f>
        <v>#REF!</v>
      </c>
      <c r="J131" s="3" t="e">
        <f ca="1">OFFSET(#REF!,-1,0) + OFFSET(#REF!,-12,0) -#REF!</f>
        <v>#REF!</v>
      </c>
      <c r="K131" s="3" t="e">
        <f ca="1">OFFSET(#REF!,-1,0) + OFFSET(#REF!,-12,0) -#REF!-#REF!</f>
        <v>#REF!</v>
      </c>
      <c r="L131" s="3" t="e">
        <f ca="1">OFFSET(#REF!,-1,0) + OFFSET(#REF!,-12,0) -#REF!</f>
        <v>#REF!</v>
      </c>
      <c r="M131" s="134"/>
      <c r="N131" s="39" t="e">
        <f>#REF!</f>
        <v>#REF!</v>
      </c>
      <c r="O131" s="134"/>
      <c r="P131" s="237" t="e">
        <f>#REF!*spec_op+#REF!*(elite1_base_op)+#REF!*(elite2_base_op+dark_elf*#REF!+icekin*#REF!+woodie*#REF!+orc*#REF!)+kobold*#REF!</f>
        <v>#REF!</v>
      </c>
      <c r="Q131" s="132" t="e">
        <f>race_offense+#REF!+ROUND(MIN(gn_bonus*#REF!/#REF!,gn_bonus_cap),4)+MAX(IF(#REF!&gt;0,warsong_bonus),IF(#REF!&gt;0,howling_op_bonus),IF(#REF!&gt;0,nightfall_bonus),IF(#REF!&gt;0,#REF!)) +#REF!/ 100*prestige_offense_bonus + tech_5_4*#REF! + tech_7_4*#REF!</f>
        <v>#REF!</v>
      </c>
      <c r="R131" s="237" t="e">
        <f>#REF!*(1+#REF!)</f>
        <v>#REF!</v>
      </c>
      <c r="S131" s="237" t="e">
        <f>#REF!*spec_dp+#REF!*(elite1_base_dp+woodie*#REF!+sylvan*#REF!+gnome*#REF!+icekin*#REF!+nox*#REF!)+#REF!*(elite2_base_dp+woodie*#REF!) + fh_peas_dp*MIN(#REF!,20*#REF!)+kobold*#REF!</f>
        <v>#REF!</v>
      </c>
      <c r="T131" s="237" t="e">
        <f>#REF!+#REF!</f>
        <v>#REF!</v>
      </c>
      <c r="U131" s="238" t="e">
        <f>race_defense +#REF! + ROUND( MIN(gt_bonus*#REF!/#REF!,gt_bonus_cap), 4) + IF(#REF!&gt;0,howling_dp_bonus,IF(#REF!&gt;0,ares_call_bonus))</f>
        <v>#REF!</v>
      </c>
      <c r="V131" s="239" t="e">
        <f>#REF! * (1 +#REF!)</f>
        <v>#REF!</v>
      </c>
      <c r="W131" s="237" t="e">
        <f>#REF! * (1 +#REF!)</f>
        <v>#REF!</v>
      </c>
      <c r="X131" s="237" t="e">
        <f>#REF!</f>
        <v>#REF!</v>
      </c>
      <c r="Y131" s="240"/>
      <c r="Z131" s="135" t="e">
        <f ca="1">IF(#REF!&lt;&gt;"",#REF!,OFFSET(#REF!,-1,0))</f>
        <v>#REF!</v>
      </c>
      <c r="AA131" s="39" t="e">
        <f ca="1">OFFSET(#REF!,-1,0)+OFFSET(#REF!,-1,0) - SUM(#REF!,#REF!) -#REF! + SUM(#REF!) -#REF!</f>
        <v>#REF!</v>
      </c>
      <c r="AB131" s="133"/>
      <c r="AC131" s="132" t="e">
        <f>(#REF!+#REF!)/(#REF!-#REF!*20)</f>
        <v>#REF!</v>
      </c>
      <c r="AD131" s="130"/>
      <c r="AE131" s="236" t="e">
        <f>#REF!</f>
        <v>#REF!</v>
      </c>
      <c r="AF131" s="131" t="e">
        <f>#REF!</f>
        <v>#REF!</v>
      </c>
      <c r="AG131" s="164"/>
      <c r="AH131" s="164"/>
      <c r="AI131" s="164"/>
      <c r="AJ131" s="164"/>
      <c r="AK131" s="164"/>
      <c r="AL131" s="164"/>
      <c r="AM131" s="164"/>
      <c r="AN131" s="164"/>
      <c r="AO131" s="134"/>
      <c r="AP131" s="39" t="e">
        <f>#REF!</f>
        <v>#REF!</v>
      </c>
      <c r="AQ131" s="39" t="e">
        <f>INDEX(#REF!:#REF!,COUNTA(#REF!:#REF!),MATCH(Military!$AQ$2,#REF!,0))</f>
        <v>#REF!</v>
      </c>
      <c r="AR131" s="39" t="e">
        <f>#REF!*#REF!+#REF!*#REF!+#REF!*#REF!+#REF!*#REF!+#REF!*#REF!+#REF!*#REF!+#REF!*#REF!</f>
        <v>#REF!</v>
      </c>
      <c r="AS131" s="39" t="e">
        <f>#REF!*#REF!+#REF!*#REF!+#REF!*#REF!+#REF!*#REF!</f>
        <v>#REF!</v>
      </c>
      <c r="AT131" s="134" t="e">
        <f>#REF!</f>
        <v>#REF!</v>
      </c>
      <c r="AU131" s="143" t="e">
        <f>#REF!</f>
        <v>#REF!</v>
      </c>
      <c r="AV131" s="39" t="e">
        <f>#REF!</f>
        <v>#REF!</v>
      </c>
      <c r="AW131" s="164"/>
      <c r="AX131" s="164"/>
      <c r="AY131" s="164"/>
      <c r="AZ131" s="164"/>
      <c r="BA131" s="164"/>
      <c r="BB131" s="164"/>
      <c r="BC131" s="164"/>
      <c r="BD131" s="164"/>
      <c r="BE131" s="164"/>
      <c r="BF131" s="134"/>
      <c r="BG131" s="132" t="e">
        <f>#REF!/#REF!</f>
        <v>#REF!</v>
      </c>
      <c r="BH131" s="132" t="e">
        <f>#REF!/#REF!</f>
        <v>#REF!</v>
      </c>
      <c r="BI131" s="39" t="e">
        <f>ROUNDUP((1-MIN(#REF!*smithy_bonus,smithy_bonus_cap) + tech_3_5*#REF! + tech_5_3*#REF! + tech_5_5*#REF!)*spec_op_plat,0)</f>
        <v>#REF!</v>
      </c>
      <c r="BJ131" s="39" t="e">
        <f>ROUNDUP(IF(race="Gnome",1,(1-MIN(#REF!*smithy_bonus,smithy_bonus_cap) + tech_3_5*#REF! + tech_5_3*#REF! + tech_5_5*#REF!))*spec_op_ore,0)</f>
        <v>#REF!</v>
      </c>
      <c r="BK131" s="39" t="e">
        <f>ROUNDUP((1-MIN(#REF!*smithy_bonus,smithy_bonus_cap) + tech_3_5*#REF! + tech_5_3*#REF! + tech_5_5*#REF!)*spec_dp_plat,0)</f>
        <v>#REF!</v>
      </c>
      <c r="BL131" s="39" t="e">
        <f>ROUNDUP(IF(race="Gnome",1,(1-MIN(#REF!*smithy_bonus,smithy_bonus_cap) + tech_3_5*#REF! + tech_5_3*#REF! + tech_5_5*#REF!))*spec_dp_ore,0)</f>
        <v>#REF!</v>
      </c>
      <c r="BM131" s="39" t="e">
        <f>ROUNDUP((1-MIN(#REF!*smithy_bonus,smithy_bonus_cap) + tech_3_5*#REF! + tech_5_3*#REF! + tech_5_5*#REF!)*elite1_plat,0)</f>
        <v>#REF!</v>
      </c>
      <c r="BN131" s="39" t="e">
        <f>ROUNDUP(IF(race="Gnome",1,(1-MIN(#REF!*smithy_bonus,smithy_bonus_cap) + tech_3_5*#REF! + tech_5_3*#REF! + tech_5_5*#REF!))*elite1_ore,0)</f>
        <v>#REF!</v>
      </c>
      <c r="BO131" s="39" t="e">
        <f>ROUNDUP((1-MIN(#REF!*smithy_bonus,smithy_bonus_cap) + tech_3_5*#REF! + tech_5_3*#REF! + tech_5_5*#REF!)*elite2_plat,0)</f>
        <v>#REF!</v>
      </c>
      <c r="BP131" s="39" t="e">
        <f>ROUNDUP(IF(race="Gnome",1,(1-MIN(#REF!*smithy_bonus,smithy_bonus_cap) + tech_3_5*#REF! + tech_5_3*#REF! + tech_5_5*#REF!))*elite2_ore,0)</f>
        <v>#REF!</v>
      </c>
      <c r="BQ131" s="39" t="e">
        <f>ROUNDUP((1-MIN(ROUND(fh_spy_cost_red*#REF!,4),fh_spy_cost_cap)+ tech_1_9*#REF! + tech_9_1*#REF!)*spy_plat,0)</f>
        <v>#REF!</v>
      </c>
      <c r="BR131" s="39" t="e">
        <f>ROUNDUP((1-MIN(ROUND(fh_spy_cost_red*#REF!,4),fh_spy_cost_cap)+ tech_1_9*#REF! + tech_9_1*#REF!)*archspy_plat,0)</f>
        <v>#REF!</v>
      </c>
      <c r="BS131" s="39" t="e">
        <f>ROUNDUP((1-MIN(ROUND(wg_wiz_cost_bonus*#REF!,4),wg_wiz_cost_cap) + tech_1_9_2*#REF! + tech_9_1_2*#REF!)*wizard_plat,0)</f>
        <v>#REF!</v>
      </c>
      <c r="BT131" s="39" t="e">
        <f>ROUNDUP((1-MIN(ROUND(wg_wiz_cost_bonus*#REF!,4),wg_wiz_cost_cap) + tech_1_9_2*#REF! + tech_9_1_2*#REF!)*archmage_plat,0)</f>
        <v>#REF!</v>
      </c>
      <c r="BU131" s="134"/>
      <c r="BV131" s="132" t="e">
        <f>#REF!/#REF!</f>
        <v>#REF!</v>
      </c>
      <c r="BW131" s="132" t="e">
        <f>#REF!</f>
        <v>#REF!</v>
      </c>
      <c r="BX131" s="241" t="e">
        <f>IF(mystic_cap="none",#REF!/mystic_bonus,MIN(mystic_cap,#REF!/mystic_bonus))</f>
        <v>#REF!</v>
      </c>
      <c r="BY131" s="241" t="e">
        <f>IF(druid_op_cap="none",#REF!/druid_op_bonus,MIN(druid_op_cap,#REF!/druid_op_bonus))</f>
        <v>#REF!</v>
      </c>
      <c r="BZ131" s="241" t="e">
        <f>IF(druid_dp_cap="none",#REF!/druid_dp_bonus,MIN(druid_dp_cap,#REF!/druid_dp_bonus))</f>
        <v>#REF!</v>
      </c>
      <c r="CA131" s="241" t="e">
        <f>MIN(dryad_cap,#REF!/dryad_bonus)</f>
        <v>#REF!</v>
      </c>
      <c r="CB131" s="241" t="e">
        <f>MIN(rocka_cap,#REF!/rocka_bonus)</f>
        <v>#REF!</v>
      </c>
      <c r="CC131" s="241" t="e">
        <f>MIN(adept_op_cap,#REF!/adept_op_bonus)</f>
        <v>#REF!</v>
      </c>
      <c r="CD131" s="241" t="e">
        <f>MIN(adept_dp_cap,#REF!/adept_dp_bonus)</f>
        <v>#REF!</v>
      </c>
      <c r="CE131" s="39" t="e">
        <f>MIN(#REF!,#REF!)*2</f>
        <v>#REF!</v>
      </c>
      <c r="CF131" s="39" t="e">
        <f>MIN(#REF!,#REF!)*2</f>
        <v>#REF!</v>
      </c>
      <c r="CG131" s="241" t="e">
        <f>MIN(frost_mage_cap,#REF!/frost_mage_bonus)</f>
        <v>#REF!</v>
      </c>
      <c r="CH131" s="3" t="e">
        <f>MIN(ice_elem_cap,#REF!*ice_elem_bonus)</f>
        <v>#REF!</v>
      </c>
      <c r="CI131" s="241">
        <f t="shared" si="4"/>
        <v>0.83333333333333337</v>
      </c>
      <c r="CJ131" s="241" t="e">
        <f>MIN(nox_nightshade_cap,#REF!/#REF!/nox_nightshade_swamp_bonus)</f>
        <v>#REF!</v>
      </c>
      <c r="CK131" s="242"/>
      <c r="CL131" s="242"/>
      <c r="CM131" s="242"/>
      <c r="CN131" s="241" t="e">
        <f>MIN(6,#REF!+Races!$F$19)*1.8 +  IF(#REF!+Races!$F$19&gt;6,(#REF!+Races!$F$19-6)*0.2,0) - Races!$I$19</f>
        <v>#REF!</v>
      </c>
      <c r="CO131" s="241" t="e">
        <f>1.8 * MIN(MAX(#REF!+Races!$E$20,#REF!+Races!$F$20),6)  +  0.45 * MIN(MIN(#REF!+Races!$E$20,#REF!+Races!$F$20),6)  +  0.2 * ( MAX(#REF!+Races!$E$20-6,0) + MAX(#REF!+Races!$F$20-6,0) )  -  Races!$I$20</f>
        <v>#REF!</v>
      </c>
      <c r="CP131" s="39" t="e">
        <f>#REF!*#REF!+#REF!*#REF!</f>
        <v>#REF!</v>
      </c>
      <c r="CQ131" s="145" t="e">
        <f>MIN(6,#REF!+Races!$F$35)*1.8 +  IF(#REF!+Races!$F$35&gt;6,(#REF!+Races!$F$35-6)*0.2,0) - Races!$I$19</f>
        <v>#REF!</v>
      </c>
      <c r="CR131" s="39" t="e">
        <f>sylvan*(#REF!*#REF!)</f>
        <v>#REF!</v>
      </c>
      <c r="CS131" s="145" t="e">
        <f>1.8 * MIN(MAX(Races!$E$27,#REF!+Races!$F$27),6)  +  0.45 * MIN(MIN(Races!$E$27,#REF!+Races!$F$27),6)  +  0.2 * ( MAX(Races!$E$27-6,0) + MAX(#REF!+Races!$F$27-6,0) )  -  Races!$I$20</f>
        <v>#REF!</v>
      </c>
      <c r="CT131" s="39" t="e">
        <f>gnome*(#REF!*#REF!)</f>
        <v>#REF!</v>
      </c>
      <c r="CU131" s="145" t="e">
        <f>1.8 * MIN(MAX(#REF!+Races!$E$47,#REF!+Races!$F$47),6)  +  0.45 * MIN(MIN(#REF!+Races!$E$47,#REF!+Races!$F$47),6)  +  0.2 * ( MAX(#REF!+Races!$E$47-6,0) + MAX(#REF!+Races!$F$47-6,0) )  -  Races!$I$47</f>
        <v>#REF!</v>
      </c>
      <c r="CV131" s="39" t="e">
        <f>dark_elf*(#REF!*#REF!)</f>
        <v>#REF!</v>
      </c>
      <c r="CW131" s="145" t="e">
        <f>1.8 * MIN(MAX(#REF!+Races!$F$71,Races!$E$71),6)  +  0.45 * MIN(MIN(#REF!+Races!$F$71,Races!$E$71),6)  +  0.2 * ( MAX(#REF!+Races!$F$71-6,0) + MAX(Races!$E$71-6,0) )  -  Races!$I$71</f>
        <v>#REF!</v>
      </c>
      <c r="CX131" s="145" t="e">
        <f>1.8 * MIN(MAX(#REF!+Races!$E$71,Races!$F$71),6)  +  0.45 * MIN(MIN(#REF!+Races!$E$71,Races!$F$71),6)  +  0.2 * ( MAX(#REF!+Races!$E$71-6,0) + MAX(Races!$F$71-6,0) )  -  Races!$I$71</f>
        <v>#REF!</v>
      </c>
      <c r="CY131" s="39" t="e">
        <f>#REF!*#REF!+#REF!*#REF!</f>
        <v>#REF!</v>
      </c>
      <c r="CZ131" s="243"/>
      <c r="DA131" s="135" t="e">
        <f>MIN(SUM(#REF!)/#REF!/favorable_terrain_bonus/100,favorable_terrain_max)</f>
        <v>#REF!</v>
      </c>
      <c r="DB131" s="243"/>
      <c r="DC131"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31" s="134"/>
      <c r="DE131" s="244" t="e">
        <f>(#REF!+2*#REF!)/#REF!</f>
        <v>#REF!</v>
      </c>
      <c r="DF131" s="244" t="e">
        <f>#REF!*(1+race_wizard_strength+IF(#REF!&gt;72,tech_magical_weaponry_wiz*#REF!,0))</f>
        <v>#REF!</v>
      </c>
    </row>
    <row r="132" spans="1:110" x14ac:dyDescent="0.25">
      <c r="A132" s="130" t="e">
        <f>#REF!</f>
        <v>#REF!</v>
      </c>
      <c r="B132" s="236" t="e">
        <f ca="1">SUM(#REF!)+SUM(OFFSET(#REF!,-8,0):#REF!) + SUM(OFFSET(#REF!,-11,0):#REF!) +#REF!</f>
        <v>#REF!</v>
      </c>
      <c r="C132" s="132" t="e">
        <f>#REF!</f>
        <v>#REF!</v>
      </c>
      <c r="D132" s="134"/>
      <c r="E132" s="3" t="e">
        <f ca="1">OFFSET(#REF!,-1,0) + OFFSET(#REF!,-9,0) -#REF!</f>
        <v>#REF!</v>
      </c>
      <c r="F132" s="3" t="e">
        <f ca="1">OFFSET(#REF!,-1,0) + OFFSET(#REF!,-9,0)-#REF!</f>
        <v>#REF!</v>
      </c>
      <c r="G132" s="3" t="e">
        <f ca="1">OFFSET(#REF!,-1,0) + OFFSET(#REF!,-12,0)-#REF!</f>
        <v>#REF!</v>
      </c>
      <c r="H132" s="3" t="e">
        <f ca="1">OFFSET(#REF!,-1,0) + OFFSET(#REF!,-12,0)-#REF!</f>
        <v>#REF!</v>
      </c>
      <c r="I132" s="3" t="e">
        <f ca="1">OFFSET(#REF!,-1,0) + OFFSET(#REF!,-12,0) -#REF!-#REF!</f>
        <v>#REF!</v>
      </c>
      <c r="J132" s="3" t="e">
        <f ca="1">OFFSET(#REF!,-1,0) + OFFSET(#REF!,-12,0) -#REF!</f>
        <v>#REF!</v>
      </c>
      <c r="K132" s="3" t="e">
        <f ca="1">OFFSET(#REF!,-1,0) + OFFSET(#REF!,-12,0) -#REF!-#REF!</f>
        <v>#REF!</v>
      </c>
      <c r="L132" s="3" t="e">
        <f ca="1">OFFSET(#REF!,-1,0) + OFFSET(#REF!,-12,0) -#REF!</f>
        <v>#REF!</v>
      </c>
      <c r="M132" s="134"/>
      <c r="N132" s="39" t="e">
        <f>#REF!</f>
        <v>#REF!</v>
      </c>
      <c r="O132" s="134"/>
      <c r="P132" s="237" t="e">
        <f>#REF!*spec_op+#REF!*(elite1_base_op)+#REF!*(elite2_base_op+dark_elf*#REF!+icekin*#REF!+woodie*#REF!+orc*#REF!)+kobold*#REF!</f>
        <v>#REF!</v>
      </c>
      <c r="Q132" s="132" t="e">
        <f>race_offense+#REF!+ROUND(MIN(gn_bonus*#REF!/#REF!,gn_bonus_cap),4)+MAX(IF(#REF!&gt;0,warsong_bonus),IF(#REF!&gt;0,howling_op_bonus),IF(#REF!&gt;0,nightfall_bonus),IF(#REF!&gt;0,#REF!)) +#REF!/ 100*prestige_offense_bonus + tech_5_4*#REF! + tech_7_4*#REF!</f>
        <v>#REF!</v>
      </c>
      <c r="R132" s="237" t="e">
        <f>#REF!*(1+#REF!)</f>
        <v>#REF!</v>
      </c>
      <c r="S132" s="237" t="e">
        <f>#REF!*spec_dp+#REF!*(elite1_base_dp+woodie*#REF!+sylvan*#REF!+gnome*#REF!+icekin*#REF!+nox*#REF!)+#REF!*(elite2_base_dp+woodie*#REF!) + fh_peas_dp*MIN(#REF!,20*#REF!)+kobold*#REF!</f>
        <v>#REF!</v>
      </c>
      <c r="T132" s="237" t="e">
        <f>#REF!+#REF!</f>
        <v>#REF!</v>
      </c>
      <c r="U132" s="238" t="e">
        <f>race_defense +#REF! + ROUND( MIN(gt_bonus*#REF!/#REF!,gt_bonus_cap), 4) + IF(#REF!&gt;0,howling_dp_bonus,IF(#REF!&gt;0,ares_call_bonus))</f>
        <v>#REF!</v>
      </c>
      <c r="V132" s="239" t="e">
        <f>#REF! * (1 +#REF!)</f>
        <v>#REF!</v>
      </c>
      <c r="W132" s="237" t="e">
        <f>#REF! * (1 +#REF!)</f>
        <v>#REF!</v>
      </c>
      <c r="X132" s="237" t="e">
        <f>#REF!</f>
        <v>#REF!</v>
      </c>
      <c r="Y132" s="240"/>
      <c r="Z132" s="135" t="e">
        <f ca="1">IF(#REF!&lt;&gt;"",#REF!,OFFSET(#REF!,-1,0))</f>
        <v>#REF!</v>
      </c>
      <c r="AA132" s="39" t="e">
        <f ca="1">OFFSET(#REF!,-1,0)+OFFSET(#REF!,-1,0) - SUM(#REF!,#REF!) -#REF! + SUM(#REF!) -#REF!</f>
        <v>#REF!</v>
      </c>
      <c r="AB132" s="133"/>
      <c r="AC132" s="132" t="e">
        <f>(#REF!+#REF!)/(#REF!-#REF!*20)</f>
        <v>#REF!</v>
      </c>
      <c r="AD132" s="130"/>
      <c r="AE132" s="236" t="e">
        <f>#REF!</f>
        <v>#REF!</v>
      </c>
      <c r="AF132" s="131" t="e">
        <f>#REF!</f>
        <v>#REF!</v>
      </c>
      <c r="AG132" s="164"/>
      <c r="AH132" s="164"/>
      <c r="AI132" s="164"/>
      <c r="AJ132" s="164"/>
      <c r="AK132" s="164"/>
      <c r="AL132" s="164"/>
      <c r="AM132" s="164"/>
      <c r="AN132" s="164"/>
      <c r="AO132" s="134"/>
      <c r="AP132" s="39" t="e">
        <f>#REF!</f>
        <v>#REF!</v>
      </c>
      <c r="AQ132" s="39" t="e">
        <f>INDEX(#REF!:#REF!,COUNTA(#REF!:#REF!),MATCH(Military!$AQ$2,#REF!,0))</f>
        <v>#REF!</v>
      </c>
      <c r="AR132" s="39" t="e">
        <f>#REF!*#REF!+#REF!*#REF!+#REF!*#REF!+#REF!*#REF!+#REF!*#REF!+#REF!*#REF!+#REF!*#REF!</f>
        <v>#REF!</v>
      </c>
      <c r="AS132" s="39" t="e">
        <f>#REF!*#REF!+#REF!*#REF!+#REF!*#REF!+#REF!*#REF!</f>
        <v>#REF!</v>
      </c>
      <c r="AT132" s="134" t="e">
        <f>#REF!</f>
        <v>#REF!</v>
      </c>
      <c r="AU132" s="143" t="e">
        <f>#REF!</f>
        <v>#REF!</v>
      </c>
      <c r="AV132" s="39" t="e">
        <f>#REF!</f>
        <v>#REF!</v>
      </c>
      <c r="AW132" s="164"/>
      <c r="AX132" s="164"/>
      <c r="AY132" s="164"/>
      <c r="AZ132" s="164"/>
      <c r="BA132" s="164"/>
      <c r="BB132" s="164"/>
      <c r="BC132" s="164"/>
      <c r="BD132" s="164"/>
      <c r="BE132" s="164"/>
      <c r="BF132" s="134"/>
      <c r="BG132" s="132" t="e">
        <f>#REF!/#REF!</f>
        <v>#REF!</v>
      </c>
      <c r="BH132" s="132" t="e">
        <f>#REF!/#REF!</f>
        <v>#REF!</v>
      </c>
      <c r="BI132" s="39" t="e">
        <f>ROUNDUP((1-MIN(#REF!*smithy_bonus,smithy_bonus_cap) + tech_3_5*#REF! + tech_5_3*#REF! + tech_5_5*#REF!)*spec_op_plat,0)</f>
        <v>#REF!</v>
      </c>
      <c r="BJ132" s="39" t="e">
        <f>ROUNDUP(IF(race="Gnome",1,(1-MIN(#REF!*smithy_bonus,smithy_bonus_cap) + tech_3_5*#REF! + tech_5_3*#REF! + tech_5_5*#REF!))*spec_op_ore,0)</f>
        <v>#REF!</v>
      </c>
      <c r="BK132" s="39" t="e">
        <f>ROUNDUP((1-MIN(#REF!*smithy_bonus,smithy_bonus_cap) + tech_3_5*#REF! + tech_5_3*#REF! + tech_5_5*#REF!)*spec_dp_plat,0)</f>
        <v>#REF!</v>
      </c>
      <c r="BL132" s="39" t="e">
        <f>ROUNDUP(IF(race="Gnome",1,(1-MIN(#REF!*smithy_bonus,smithy_bonus_cap) + tech_3_5*#REF! + tech_5_3*#REF! + tech_5_5*#REF!))*spec_dp_ore,0)</f>
        <v>#REF!</v>
      </c>
      <c r="BM132" s="39" t="e">
        <f>ROUNDUP((1-MIN(#REF!*smithy_bonus,smithy_bonus_cap) + tech_3_5*#REF! + tech_5_3*#REF! + tech_5_5*#REF!)*elite1_plat,0)</f>
        <v>#REF!</v>
      </c>
      <c r="BN132" s="39" t="e">
        <f>ROUNDUP(IF(race="Gnome",1,(1-MIN(#REF!*smithy_bonus,smithy_bonus_cap) + tech_3_5*#REF! + tech_5_3*#REF! + tech_5_5*#REF!))*elite1_ore,0)</f>
        <v>#REF!</v>
      </c>
      <c r="BO132" s="39" t="e">
        <f>ROUNDUP((1-MIN(#REF!*smithy_bonus,smithy_bonus_cap) + tech_3_5*#REF! + tech_5_3*#REF! + tech_5_5*#REF!)*elite2_plat,0)</f>
        <v>#REF!</v>
      </c>
      <c r="BP132" s="39" t="e">
        <f>ROUNDUP(IF(race="Gnome",1,(1-MIN(#REF!*smithy_bonus,smithy_bonus_cap) + tech_3_5*#REF! + tech_5_3*#REF! + tech_5_5*#REF!))*elite2_ore,0)</f>
        <v>#REF!</v>
      </c>
      <c r="BQ132" s="39" t="e">
        <f>ROUNDUP((1-MIN(ROUND(fh_spy_cost_red*#REF!,4),fh_spy_cost_cap)+ tech_1_9*#REF! + tech_9_1*#REF!)*spy_plat,0)</f>
        <v>#REF!</v>
      </c>
      <c r="BR132" s="39" t="e">
        <f>ROUNDUP((1-MIN(ROUND(fh_spy_cost_red*#REF!,4),fh_spy_cost_cap)+ tech_1_9*#REF! + tech_9_1*#REF!)*archspy_plat,0)</f>
        <v>#REF!</v>
      </c>
      <c r="BS132" s="39" t="e">
        <f>ROUNDUP((1-MIN(ROUND(wg_wiz_cost_bonus*#REF!,4),wg_wiz_cost_cap) + tech_1_9_2*#REF! + tech_9_1_2*#REF!)*wizard_plat,0)</f>
        <v>#REF!</v>
      </c>
      <c r="BT132" s="39" t="e">
        <f>ROUNDUP((1-MIN(ROUND(wg_wiz_cost_bonus*#REF!,4),wg_wiz_cost_cap) + tech_1_9_2*#REF! + tech_9_1_2*#REF!)*archmage_plat,0)</f>
        <v>#REF!</v>
      </c>
      <c r="BU132" s="134"/>
      <c r="BV132" s="132" t="e">
        <f>#REF!/#REF!</f>
        <v>#REF!</v>
      </c>
      <c r="BW132" s="132" t="e">
        <f>#REF!</f>
        <v>#REF!</v>
      </c>
      <c r="BX132" s="241" t="e">
        <f>IF(mystic_cap="none",#REF!/mystic_bonus,MIN(mystic_cap,#REF!/mystic_bonus))</f>
        <v>#REF!</v>
      </c>
      <c r="BY132" s="241" t="e">
        <f>IF(druid_op_cap="none",#REF!/druid_op_bonus,MIN(druid_op_cap,#REF!/druid_op_bonus))</f>
        <v>#REF!</v>
      </c>
      <c r="BZ132" s="241" t="e">
        <f>IF(druid_dp_cap="none",#REF!/druid_dp_bonus,MIN(druid_dp_cap,#REF!/druid_dp_bonus))</f>
        <v>#REF!</v>
      </c>
      <c r="CA132" s="241" t="e">
        <f>MIN(dryad_cap,#REF!/dryad_bonus)</f>
        <v>#REF!</v>
      </c>
      <c r="CB132" s="241" t="e">
        <f>MIN(rocka_cap,#REF!/rocka_bonus)</f>
        <v>#REF!</v>
      </c>
      <c r="CC132" s="241" t="e">
        <f>MIN(adept_op_cap,#REF!/adept_op_bonus)</f>
        <v>#REF!</v>
      </c>
      <c r="CD132" s="241" t="e">
        <f>MIN(adept_dp_cap,#REF!/adept_dp_bonus)</f>
        <v>#REF!</v>
      </c>
      <c r="CE132" s="39" t="e">
        <f>MIN(#REF!,#REF!)*2</f>
        <v>#REF!</v>
      </c>
      <c r="CF132" s="39" t="e">
        <f>MIN(#REF!,#REF!)*2</f>
        <v>#REF!</v>
      </c>
      <c r="CG132" s="241" t="e">
        <f>MIN(frost_mage_cap,#REF!/frost_mage_bonus)</f>
        <v>#REF!</v>
      </c>
      <c r="CH132" s="3" t="e">
        <f>MIN(ice_elem_cap,#REF!*ice_elem_bonus)</f>
        <v>#REF!</v>
      </c>
      <c r="CI132" s="241">
        <f t="shared" si="4"/>
        <v>0.83333333333333337</v>
      </c>
      <c r="CJ132" s="241" t="e">
        <f>MIN(nox_nightshade_cap,#REF!/#REF!/nox_nightshade_swamp_bonus)</f>
        <v>#REF!</v>
      </c>
      <c r="CK132" s="242"/>
      <c r="CL132" s="242"/>
      <c r="CM132" s="242"/>
      <c r="CN132" s="241" t="e">
        <f>MIN(6,#REF!+Races!$F$19)*1.8 +  IF(#REF!+Races!$F$19&gt;6,(#REF!+Races!$F$19-6)*0.2,0) - Races!$I$19</f>
        <v>#REF!</v>
      </c>
      <c r="CO132" s="241" t="e">
        <f>1.8 * MIN(MAX(#REF!+Races!$E$20,#REF!+Races!$F$20),6)  +  0.45 * MIN(MIN(#REF!+Races!$E$20,#REF!+Races!$F$20),6)  +  0.2 * ( MAX(#REF!+Races!$E$20-6,0) + MAX(#REF!+Races!$F$20-6,0) )  -  Races!$I$20</f>
        <v>#REF!</v>
      </c>
      <c r="CP132" s="39" t="e">
        <f>#REF!*#REF!+#REF!*#REF!</f>
        <v>#REF!</v>
      </c>
      <c r="CQ132" s="145" t="e">
        <f>MIN(6,#REF!+Races!$F$35)*1.8 +  IF(#REF!+Races!$F$35&gt;6,(#REF!+Races!$F$35-6)*0.2,0) - Races!$I$19</f>
        <v>#REF!</v>
      </c>
      <c r="CR132" s="39" t="e">
        <f>sylvan*(#REF!*#REF!)</f>
        <v>#REF!</v>
      </c>
      <c r="CS132" s="145" t="e">
        <f>1.8 * MIN(MAX(Races!$E$27,#REF!+Races!$F$27),6)  +  0.45 * MIN(MIN(Races!$E$27,#REF!+Races!$F$27),6)  +  0.2 * ( MAX(Races!$E$27-6,0) + MAX(#REF!+Races!$F$27-6,0) )  -  Races!$I$20</f>
        <v>#REF!</v>
      </c>
      <c r="CT132" s="39" t="e">
        <f>gnome*(#REF!*#REF!)</f>
        <v>#REF!</v>
      </c>
      <c r="CU132" s="145" t="e">
        <f>1.8 * MIN(MAX(#REF!+Races!$E$47,#REF!+Races!$F$47),6)  +  0.45 * MIN(MIN(#REF!+Races!$E$47,#REF!+Races!$F$47),6)  +  0.2 * ( MAX(#REF!+Races!$E$47-6,0) + MAX(#REF!+Races!$F$47-6,0) )  -  Races!$I$47</f>
        <v>#REF!</v>
      </c>
      <c r="CV132" s="39" t="e">
        <f>dark_elf*(#REF!*#REF!)</f>
        <v>#REF!</v>
      </c>
      <c r="CW132" s="145" t="e">
        <f>1.8 * MIN(MAX(#REF!+Races!$F$71,Races!$E$71),6)  +  0.45 * MIN(MIN(#REF!+Races!$F$71,Races!$E$71),6)  +  0.2 * ( MAX(#REF!+Races!$F$71-6,0) + MAX(Races!$E$71-6,0) )  -  Races!$I$71</f>
        <v>#REF!</v>
      </c>
      <c r="CX132" s="145" t="e">
        <f>1.8 * MIN(MAX(#REF!+Races!$E$71,Races!$F$71),6)  +  0.45 * MIN(MIN(#REF!+Races!$E$71,Races!$F$71),6)  +  0.2 * ( MAX(#REF!+Races!$E$71-6,0) + MAX(Races!$F$71-6,0) )  -  Races!$I$71</f>
        <v>#REF!</v>
      </c>
      <c r="CY132" s="39" t="e">
        <f>#REF!*#REF!+#REF!*#REF!</f>
        <v>#REF!</v>
      </c>
      <c r="CZ132" s="243"/>
      <c r="DA132" s="135" t="e">
        <f>MIN(SUM(#REF!)/#REF!/favorable_terrain_bonus/100,favorable_terrain_max)</f>
        <v>#REF!</v>
      </c>
      <c r="DB132" s="243"/>
      <c r="DC132"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32" s="134"/>
      <c r="DE132" s="244" t="e">
        <f>(#REF!+2*#REF!)/#REF!</f>
        <v>#REF!</v>
      </c>
      <c r="DF132" s="244" t="e">
        <f>#REF!*(1+race_wizard_strength+IF(#REF!&gt;72,tech_magical_weaponry_wiz*#REF!,0))</f>
        <v>#REF!</v>
      </c>
    </row>
    <row r="133" spans="1:110" x14ac:dyDescent="0.25">
      <c r="A133" s="130" t="e">
        <f>#REF!</f>
        <v>#REF!</v>
      </c>
      <c r="B133" s="236" t="e">
        <f ca="1">SUM(#REF!)+SUM(OFFSET(#REF!,-8,0):#REF!) + SUM(OFFSET(#REF!,-11,0):#REF!) +#REF!</f>
        <v>#REF!</v>
      </c>
      <c r="C133" s="132" t="e">
        <f>#REF!</f>
        <v>#REF!</v>
      </c>
      <c r="D133" s="134"/>
      <c r="E133" s="3" t="e">
        <f ca="1">OFFSET(#REF!,-1,0) + OFFSET(#REF!,-9,0) -#REF!</f>
        <v>#REF!</v>
      </c>
      <c r="F133" s="3" t="e">
        <f ca="1">OFFSET(#REF!,-1,0) + OFFSET(#REF!,-9,0)-#REF!</f>
        <v>#REF!</v>
      </c>
      <c r="G133" s="3" t="e">
        <f ca="1">OFFSET(#REF!,-1,0) + OFFSET(#REF!,-12,0)-#REF!</f>
        <v>#REF!</v>
      </c>
      <c r="H133" s="3" t="e">
        <f ca="1">OFFSET(#REF!,-1,0) + OFFSET(#REF!,-12,0)-#REF!</f>
        <v>#REF!</v>
      </c>
      <c r="I133" s="3" t="e">
        <f ca="1">OFFSET(#REF!,-1,0) + OFFSET(#REF!,-12,0) -#REF!-#REF!</f>
        <v>#REF!</v>
      </c>
      <c r="J133" s="3" t="e">
        <f ca="1">OFFSET(#REF!,-1,0) + OFFSET(#REF!,-12,0) -#REF!</f>
        <v>#REF!</v>
      </c>
      <c r="K133" s="3" t="e">
        <f ca="1">OFFSET(#REF!,-1,0) + OFFSET(#REF!,-12,0) -#REF!-#REF!</f>
        <v>#REF!</v>
      </c>
      <c r="L133" s="3" t="e">
        <f ca="1">OFFSET(#REF!,-1,0) + OFFSET(#REF!,-12,0) -#REF!</f>
        <v>#REF!</v>
      </c>
      <c r="M133" s="134"/>
      <c r="N133" s="39" t="e">
        <f>#REF!</f>
        <v>#REF!</v>
      </c>
      <c r="O133" s="134"/>
      <c r="P133" s="237" t="e">
        <f>#REF!*spec_op+#REF!*(elite1_base_op)+#REF!*(elite2_base_op+dark_elf*#REF!+icekin*#REF!+woodie*#REF!+orc*#REF!)+kobold*#REF!</f>
        <v>#REF!</v>
      </c>
      <c r="Q133" s="132" t="e">
        <f>race_offense+#REF!+ROUND(MIN(gn_bonus*#REF!/#REF!,gn_bonus_cap),4)+MAX(IF(#REF!&gt;0,warsong_bonus),IF(#REF!&gt;0,howling_op_bonus),IF(#REF!&gt;0,nightfall_bonus),IF(#REF!&gt;0,#REF!)) +#REF!/ 100*prestige_offense_bonus + tech_5_4*#REF! + tech_7_4*#REF!</f>
        <v>#REF!</v>
      </c>
      <c r="R133" s="237" t="e">
        <f>#REF!*(1+#REF!)</f>
        <v>#REF!</v>
      </c>
      <c r="S133" s="237" t="e">
        <f>#REF!*spec_dp+#REF!*(elite1_base_dp+woodie*#REF!+sylvan*#REF!+gnome*#REF!+icekin*#REF!+nox*#REF!)+#REF!*(elite2_base_dp+woodie*#REF!) + fh_peas_dp*MIN(#REF!,20*#REF!)+kobold*#REF!</f>
        <v>#REF!</v>
      </c>
      <c r="T133" s="237" t="e">
        <f>#REF!+#REF!</f>
        <v>#REF!</v>
      </c>
      <c r="U133" s="238" t="e">
        <f>race_defense +#REF! + ROUND( MIN(gt_bonus*#REF!/#REF!,gt_bonus_cap), 4) + IF(#REF!&gt;0,howling_dp_bonus,IF(#REF!&gt;0,ares_call_bonus))</f>
        <v>#REF!</v>
      </c>
      <c r="V133" s="239" t="e">
        <f>#REF! * (1 +#REF!)</f>
        <v>#REF!</v>
      </c>
      <c r="W133" s="237" t="e">
        <f>#REF! * (1 +#REF!)</f>
        <v>#REF!</v>
      </c>
      <c r="X133" s="237" t="e">
        <f>#REF!</f>
        <v>#REF!</v>
      </c>
      <c r="Y133" s="240"/>
      <c r="Z133" s="135" t="e">
        <f ca="1">IF(#REF!&lt;&gt;"",#REF!,OFFSET(#REF!,-1,0))</f>
        <v>#REF!</v>
      </c>
      <c r="AA133" s="39" t="e">
        <f ca="1">OFFSET(#REF!,-1,0)+OFFSET(#REF!,-1,0) - SUM(#REF!,#REF!) -#REF! + SUM(#REF!) -#REF!</f>
        <v>#REF!</v>
      </c>
      <c r="AB133" s="133"/>
      <c r="AC133" s="132" t="e">
        <f>(#REF!+#REF!)/(#REF!-#REF!*20)</f>
        <v>#REF!</v>
      </c>
      <c r="AD133" s="130"/>
      <c r="AE133" s="236" t="e">
        <f>#REF!</f>
        <v>#REF!</v>
      </c>
      <c r="AF133" s="131" t="e">
        <f>#REF!</f>
        <v>#REF!</v>
      </c>
      <c r="AG133" s="164"/>
      <c r="AH133" s="164"/>
      <c r="AI133" s="164"/>
      <c r="AJ133" s="164"/>
      <c r="AK133" s="164"/>
      <c r="AL133" s="164"/>
      <c r="AM133" s="164"/>
      <c r="AN133" s="164"/>
      <c r="AO133" s="134"/>
      <c r="AP133" s="39" t="e">
        <f>#REF!</f>
        <v>#REF!</v>
      </c>
      <c r="AQ133" s="39" t="e">
        <f>INDEX(#REF!:#REF!,COUNTA(#REF!:#REF!),MATCH(Military!$AQ$2,#REF!,0))</f>
        <v>#REF!</v>
      </c>
      <c r="AR133" s="39" t="e">
        <f>#REF!*#REF!+#REF!*#REF!+#REF!*#REF!+#REF!*#REF!+#REF!*#REF!+#REF!*#REF!+#REF!*#REF!</f>
        <v>#REF!</v>
      </c>
      <c r="AS133" s="39" t="e">
        <f>#REF!*#REF!+#REF!*#REF!+#REF!*#REF!+#REF!*#REF!</f>
        <v>#REF!</v>
      </c>
      <c r="AT133" s="134" t="e">
        <f>#REF!</f>
        <v>#REF!</v>
      </c>
      <c r="AU133" s="143" t="e">
        <f>#REF!</f>
        <v>#REF!</v>
      </c>
      <c r="AV133" s="39" t="e">
        <f>#REF!</f>
        <v>#REF!</v>
      </c>
      <c r="AW133" s="164"/>
      <c r="AX133" s="164"/>
      <c r="AY133" s="164"/>
      <c r="AZ133" s="164"/>
      <c r="BA133" s="164"/>
      <c r="BB133" s="164"/>
      <c r="BC133" s="164"/>
      <c r="BD133" s="164"/>
      <c r="BE133" s="164"/>
      <c r="BF133" s="134"/>
      <c r="BG133" s="132" t="e">
        <f>#REF!/#REF!</f>
        <v>#REF!</v>
      </c>
      <c r="BH133" s="132" t="e">
        <f>#REF!/#REF!</f>
        <v>#REF!</v>
      </c>
      <c r="BI133" s="39" t="e">
        <f>ROUNDUP((1-MIN(#REF!*smithy_bonus,smithy_bonus_cap) + tech_3_5*#REF! + tech_5_3*#REF! + tech_5_5*#REF!)*spec_op_plat,0)</f>
        <v>#REF!</v>
      </c>
      <c r="BJ133" s="39" t="e">
        <f>ROUNDUP(IF(race="Gnome",1,(1-MIN(#REF!*smithy_bonus,smithy_bonus_cap) + tech_3_5*#REF! + tech_5_3*#REF! + tech_5_5*#REF!))*spec_op_ore,0)</f>
        <v>#REF!</v>
      </c>
      <c r="BK133" s="39" t="e">
        <f>ROUNDUP((1-MIN(#REF!*smithy_bonus,smithy_bonus_cap) + tech_3_5*#REF! + tech_5_3*#REF! + tech_5_5*#REF!)*spec_dp_plat,0)</f>
        <v>#REF!</v>
      </c>
      <c r="BL133" s="39" t="e">
        <f>ROUNDUP(IF(race="Gnome",1,(1-MIN(#REF!*smithy_bonus,smithy_bonus_cap) + tech_3_5*#REF! + tech_5_3*#REF! + tech_5_5*#REF!))*spec_dp_ore,0)</f>
        <v>#REF!</v>
      </c>
      <c r="BM133" s="39" t="e">
        <f>ROUNDUP((1-MIN(#REF!*smithy_bonus,smithy_bonus_cap) + tech_3_5*#REF! + tech_5_3*#REF! + tech_5_5*#REF!)*elite1_plat,0)</f>
        <v>#REF!</v>
      </c>
      <c r="BN133" s="39" t="e">
        <f>ROUNDUP(IF(race="Gnome",1,(1-MIN(#REF!*smithy_bonus,smithy_bonus_cap) + tech_3_5*#REF! + tech_5_3*#REF! + tech_5_5*#REF!))*elite1_ore,0)</f>
        <v>#REF!</v>
      </c>
      <c r="BO133" s="39" t="e">
        <f>ROUNDUP((1-MIN(#REF!*smithy_bonus,smithy_bonus_cap) + tech_3_5*#REF! + tech_5_3*#REF! + tech_5_5*#REF!)*elite2_plat,0)</f>
        <v>#REF!</v>
      </c>
      <c r="BP133" s="39" t="e">
        <f>ROUNDUP(IF(race="Gnome",1,(1-MIN(#REF!*smithy_bonus,smithy_bonus_cap) + tech_3_5*#REF! + tech_5_3*#REF! + tech_5_5*#REF!))*elite2_ore,0)</f>
        <v>#REF!</v>
      </c>
      <c r="BQ133" s="39" t="e">
        <f>ROUNDUP((1-MIN(ROUND(fh_spy_cost_red*#REF!,4),fh_spy_cost_cap)+ tech_1_9*#REF! + tech_9_1*#REF!)*spy_plat,0)</f>
        <v>#REF!</v>
      </c>
      <c r="BR133" s="39" t="e">
        <f>ROUNDUP((1-MIN(ROUND(fh_spy_cost_red*#REF!,4),fh_spy_cost_cap)+ tech_1_9*#REF! + tech_9_1*#REF!)*archspy_plat,0)</f>
        <v>#REF!</v>
      </c>
      <c r="BS133" s="39" t="e">
        <f>ROUNDUP((1-MIN(ROUND(wg_wiz_cost_bonus*#REF!,4),wg_wiz_cost_cap) + tech_1_9_2*#REF! + tech_9_1_2*#REF!)*wizard_plat,0)</f>
        <v>#REF!</v>
      </c>
      <c r="BT133" s="39" t="e">
        <f>ROUNDUP((1-MIN(ROUND(wg_wiz_cost_bonus*#REF!,4),wg_wiz_cost_cap) + tech_1_9_2*#REF! + tech_9_1_2*#REF!)*archmage_plat,0)</f>
        <v>#REF!</v>
      </c>
      <c r="BU133" s="134"/>
      <c r="BV133" s="132" t="e">
        <f>#REF!/#REF!</f>
        <v>#REF!</v>
      </c>
      <c r="BW133" s="132" t="e">
        <f>#REF!</f>
        <v>#REF!</v>
      </c>
      <c r="BX133" s="241" t="e">
        <f>IF(mystic_cap="none",#REF!/mystic_bonus,MIN(mystic_cap,#REF!/mystic_bonus))</f>
        <v>#REF!</v>
      </c>
      <c r="BY133" s="241" t="e">
        <f>IF(druid_op_cap="none",#REF!/druid_op_bonus,MIN(druid_op_cap,#REF!/druid_op_bonus))</f>
        <v>#REF!</v>
      </c>
      <c r="BZ133" s="241" t="e">
        <f>IF(druid_dp_cap="none",#REF!/druid_dp_bonus,MIN(druid_dp_cap,#REF!/druid_dp_bonus))</f>
        <v>#REF!</v>
      </c>
      <c r="CA133" s="241" t="e">
        <f>MIN(dryad_cap,#REF!/dryad_bonus)</f>
        <v>#REF!</v>
      </c>
      <c r="CB133" s="241" t="e">
        <f>MIN(rocka_cap,#REF!/rocka_bonus)</f>
        <v>#REF!</v>
      </c>
      <c r="CC133" s="241" t="e">
        <f>MIN(adept_op_cap,#REF!/adept_op_bonus)</f>
        <v>#REF!</v>
      </c>
      <c r="CD133" s="241" t="e">
        <f>MIN(adept_dp_cap,#REF!/adept_dp_bonus)</f>
        <v>#REF!</v>
      </c>
      <c r="CE133" s="39" t="e">
        <f>MIN(#REF!,#REF!)*2</f>
        <v>#REF!</v>
      </c>
      <c r="CF133" s="39" t="e">
        <f>MIN(#REF!,#REF!)*2</f>
        <v>#REF!</v>
      </c>
      <c r="CG133" s="241" t="e">
        <f>MIN(frost_mage_cap,#REF!/frost_mage_bonus)</f>
        <v>#REF!</v>
      </c>
      <c r="CH133" s="3" t="e">
        <f>MIN(ice_elem_cap,#REF!*ice_elem_bonus)</f>
        <v>#REF!</v>
      </c>
      <c r="CI133" s="241">
        <f t="shared" si="4"/>
        <v>0.83333333333333337</v>
      </c>
      <c r="CJ133" s="241" t="e">
        <f>MIN(nox_nightshade_cap,#REF!/#REF!/nox_nightshade_swamp_bonus)</f>
        <v>#REF!</v>
      </c>
      <c r="CK133" s="242"/>
      <c r="CL133" s="242"/>
      <c r="CM133" s="242"/>
      <c r="CN133" s="241" t="e">
        <f>MIN(6,#REF!+Races!$F$19)*1.8 +  IF(#REF!+Races!$F$19&gt;6,(#REF!+Races!$F$19-6)*0.2,0) - Races!$I$19</f>
        <v>#REF!</v>
      </c>
      <c r="CO133" s="241" t="e">
        <f>1.8 * MIN(MAX(#REF!+Races!$E$20,#REF!+Races!$F$20),6)  +  0.45 * MIN(MIN(#REF!+Races!$E$20,#REF!+Races!$F$20),6)  +  0.2 * ( MAX(#REF!+Races!$E$20-6,0) + MAX(#REF!+Races!$F$20-6,0) )  -  Races!$I$20</f>
        <v>#REF!</v>
      </c>
      <c r="CP133" s="39" t="e">
        <f>#REF!*#REF!+#REF!*#REF!</f>
        <v>#REF!</v>
      </c>
      <c r="CQ133" s="145" t="e">
        <f>MIN(6,#REF!+Races!$F$35)*1.8 +  IF(#REF!+Races!$F$35&gt;6,(#REF!+Races!$F$35-6)*0.2,0) - Races!$I$19</f>
        <v>#REF!</v>
      </c>
      <c r="CR133" s="39" t="e">
        <f>sylvan*(#REF!*#REF!)</f>
        <v>#REF!</v>
      </c>
      <c r="CS133" s="145" t="e">
        <f>1.8 * MIN(MAX(Races!$E$27,#REF!+Races!$F$27),6)  +  0.45 * MIN(MIN(Races!$E$27,#REF!+Races!$F$27),6)  +  0.2 * ( MAX(Races!$E$27-6,0) + MAX(#REF!+Races!$F$27-6,0) )  -  Races!$I$20</f>
        <v>#REF!</v>
      </c>
      <c r="CT133" s="39" t="e">
        <f>gnome*(#REF!*#REF!)</f>
        <v>#REF!</v>
      </c>
      <c r="CU133" s="145" t="e">
        <f>1.8 * MIN(MAX(#REF!+Races!$E$47,#REF!+Races!$F$47),6)  +  0.45 * MIN(MIN(#REF!+Races!$E$47,#REF!+Races!$F$47),6)  +  0.2 * ( MAX(#REF!+Races!$E$47-6,0) + MAX(#REF!+Races!$F$47-6,0) )  -  Races!$I$47</f>
        <v>#REF!</v>
      </c>
      <c r="CV133" s="39" t="e">
        <f>dark_elf*(#REF!*#REF!)</f>
        <v>#REF!</v>
      </c>
      <c r="CW133" s="145" t="e">
        <f>1.8 * MIN(MAX(#REF!+Races!$F$71,Races!$E$71),6)  +  0.45 * MIN(MIN(#REF!+Races!$F$71,Races!$E$71),6)  +  0.2 * ( MAX(#REF!+Races!$F$71-6,0) + MAX(Races!$E$71-6,0) )  -  Races!$I$71</f>
        <v>#REF!</v>
      </c>
      <c r="CX133" s="145" t="e">
        <f>1.8 * MIN(MAX(#REF!+Races!$E$71,Races!$F$71),6)  +  0.45 * MIN(MIN(#REF!+Races!$E$71,Races!$F$71),6)  +  0.2 * ( MAX(#REF!+Races!$E$71-6,0) + MAX(Races!$F$71-6,0) )  -  Races!$I$71</f>
        <v>#REF!</v>
      </c>
      <c r="CY133" s="39" t="e">
        <f>#REF!*#REF!+#REF!*#REF!</f>
        <v>#REF!</v>
      </c>
      <c r="CZ133" s="243"/>
      <c r="DA133" s="135" t="e">
        <f>MIN(SUM(#REF!)/#REF!/favorable_terrain_bonus/100,favorable_terrain_max)</f>
        <v>#REF!</v>
      </c>
      <c r="DB133" s="243"/>
      <c r="DC133"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33" s="134"/>
      <c r="DE133" s="244" t="e">
        <f>(#REF!+2*#REF!)/#REF!</f>
        <v>#REF!</v>
      </c>
      <c r="DF133" s="244" t="e">
        <f>#REF!*(1+race_wizard_strength+IF(#REF!&gt;72,tech_magical_weaponry_wiz*#REF!,0))</f>
        <v>#REF!</v>
      </c>
    </row>
    <row r="134" spans="1:110" x14ac:dyDescent="0.25">
      <c r="A134" s="130" t="e">
        <f>#REF!</f>
        <v>#REF!</v>
      </c>
      <c r="B134" s="236" t="e">
        <f ca="1">SUM(#REF!)+SUM(OFFSET(#REF!,-8,0):#REF!) + SUM(OFFSET(#REF!,-11,0):#REF!) +#REF!</f>
        <v>#REF!</v>
      </c>
      <c r="C134" s="132" t="e">
        <f>#REF!</f>
        <v>#REF!</v>
      </c>
      <c r="D134" s="134"/>
      <c r="E134" s="3" t="e">
        <f ca="1">OFFSET(#REF!,-1,0) + OFFSET(#REF!,-9,0) -#REF!</f>
        <v>#REF!</v>
      </c>
      <c r="F134" s="3" t="e">
        <f ca="1">OFFSET(#REF!,-1,0) + OFFSET(#REF!,-9,0)-#REF!</f>
        <v>#REF!</v>
      </c>
      <c r="G134" s="3" t="e">
        <f ca="1">OFFSET(#REF!,-1,0) + OFFSET(#REF!,-12,0)-#REF!</f>
        <v>#REF!</v>
      </c>
      <c r="H134" s="3" t="e">
        <f ca="1">OFFSET(#REF!,-1,0) + OFFSET(#REF!,-12,0)-#REF!</f>
        <v>#REF!</v>
      </c>
      <c r="I134" s="3" t="e">
        <f ca="1">OFFSET(#REF!,-1,0) + OFFSET(#REF!,-12,0) -#REF!-#REF!</f>
        <v>#REF!</v>
      </c>
      <c r="J134" s="3" t="e">
        <f ca="1">OFFSET(#REF!,-1,0) + OFFSET(#REF!,-12,0) -#REF!</f>
        <v>#REF!</v>
      </c>
      <c r="K134" s="3" t="e">
        <f ca="1">OFFSET(#REF!,-1,0) + OFFSET(#REF!,-12,0) -#REF!-#REF!</f>
        <v>#REF!</v>
      </c>
      <c r="L134" s="3" t="e">
        <f ca="1">OFFSET(#REF!,-1,0) + OFFSET(#REF!,-12,0) -#REF!</f>
        <v>#REF!</v>
      </c>
      <c r="M134" s="134"/>
      <c r="N134" s="39" t="e">
        <f>#REF!</f>
        <v>#REF!</v>
      </c>
      <c r="O134" s="134"/>
      <c r="P134" s="237" t="e">
        <f>#REF!*spec_op+#REF!*(elite1_base_op)+#REF!*(elite2_base_op+dark_elf*#REF!+icekin*#REF!+woodie*#REF!+orc*#REF!)+kobold*#REF!</f>
        <v>#REF!</v>
      </c>
      <c r="Q134" s="132" t="e">
        <f>race_offense+#REF!+ROUND(MIN(gn_bonus*#REF!/#REF!,gn_bonus_cap),4)+MAX(IF(#REF!&gt;0,warsong_bonus),IF(#REF!&gt;0,howling_op_bonus),IF(#REF!&gt;0,nightfall_bonus),IF(#REF!&gt;0,#REF!)) +#REF!/ 100*prestige_offense_bonus + tech_5_4*#REF! + tech_7_4*#REF!</f>
        <v>#REF!</v>
      </c>
      <c r="R134" s="237" t="e">
        <f>#REF!*(1+#REF!)</f>
        <v>#REF!</v>
      </c>
      <c r="S134" s="237" t="e">
        <f>#REF!*spec_dp+#REF!*(elite1_base_dp+woodie*#REF!+sylvan*#REF!+gnome*#REF!+icekin*#REF!+nox*#REF!)+#REF!*(elite2_base_dp+woodie*#REF!) + fh_peas_dp*MIN(#REF!,20*#REF!)+kobold*#REF!</f>
        <v>#REF!</v>
      </c>
      <c r="T134" s="237" t="e">
        <f>#REF!+#REF!</f>
        <v>#REF!</v>
      </c>
      <c r="U134" s="238" t="e">
        <f>race_defense +#REF! + ROUND( MIN(gt_bonus*#REF!/#REF!,gt_bonus_cap), 4) + IF(#REF!&gt;0,howling_dp_bonus,IF(#REF!&gt;0,ares_call_bonus))</f>
        <v>#REF!</v>
      </c>
      <c r="V134" s="239" t="e">
        <f>#REF! * (1 +#REF!)</f>
        <v>#REF!</v>
      </c>
      <c r="W134" s="237" t="e">
        <f>#REF! * (1 +#REF!)</f>
        <v>#REF!</v>
      </c>
      <c r="X134" s="237" t="e">
        <f>#REF!</f>
        <v>#REF!</v>
      </c>
      <c r="Y134" s="240"/>
      <c r="Z134" s="135" t="e">
        <f ca="1">IF(#REF!&lt;&gt;"",#REF!,OFFSET(#REF!,-1,0))</f>
        <v>#REF!</v>
      </c>
      <c r="AA134" s="39" t="e">
        <f ca="1">OFFSET(#REF!,-1,0)+OFFSET(#REF!,-1,0) - SUM(#REF!,#REF!) -#REF! + SUM(#REF!) -#REF!</f>
        <v>#REF!</v>
      </c>
      <c r="AB134" s="133"/>
      <c r="AC134" s="132" t="e">
        <f>(#REF!+#REF!)/(#REF!-#REF!*20)</f>
        <v>#REF!</v>
      </c>
      <c r="AD134" s="130"/>
      <c r="AE134" s="236" t="e">
        <f>#REF!</f>
        <v>#REF!</v>
      </c>
      <c r="AF134" s="131" t="e">
        <f>#REF!</f>
        <v>#REF!</v>
      </c>
      <c r="AG134" s="164"/>
      <c r="AH134" s="164"/>
      <c r="AI134" s="164"/>
      <c r="AJ134" s="164"/>
      <c r="AK134" s="164"/>
      <c r="AL134" s="164"/>
      <c r="AM134" s="164"/>
      <c r="AN134" s="164"/>
      <c r="AO134" s="134"/>
      <c r="AP134" s="39" t="e">
        <f>#REF!</f>
        <v>#REF!</v>
      </c>
      <c r="AQ134" s="39" t="e">
        <f>INDEX(#REF!:#REF!,COUNTA(#REF!:#REF!),MATCH(Military!$AQ$2,#REF!,0))</f>
        <v>#REF!</v>
      </c>
      <c r="AR134" s="39" t="e">
        <f>#REF!*#REF!+#REF!*#REF!+#REF!*#REF!+#REF!*#REF!+#REF!*#REF!+#REF!*#REF!+#REF!*#REF!</f>
        <v>#REF!</v>
      </c>
      <c r="AS134" s="39" t="e">
        <f>#REF!*#REF!+#REF!*#REF!+#REF!*#REF!+#REF!*#REF!</f>
        <v>#REF!</v>
      </c>
      <c r="AT134" s="134" t="e">
        <f>#REF!</f>
        <v>#REF!</v>
      </c>
      <c r="AU134" s="143" t="e">
        <f>#REF!</f>
        <v>#REF!</v>
      </c>
      <c r="AV134" s="39" t="e">
        <f>#REF!</f>
        <v>#REF!</v>
      </c>
      <c r="AW134" s="164"/>
      <c r="AX134" s="164"/>
      <c r="AY134" s="164"/>
      <c r="AZ134" s="164"/>
      <c r="BA134" s="164"/>
      <c r="BB134" s="164"/>
      <c r="BC134" s="164"/>
      <c r="BD134" s="164"/>
      <c r="BE134" s="164"/>
      <c r="BF134" s="134"/>
      <c r="BG134" s="132" t="e">
        <f>#REF!/#REF!</f>
        <v>#REF!</v>
      </c>
      <c r="BH134" s="132" t="e">
        <f>#REF!/#REF!</f>
        <v>#REF!</v>
      </c>
      <c r="BI134" s="39" t="e">
        <f>ROUNDUP((1-MIN(#REF!*smithy_bonus,smithy_bonus_cap) + tech_3_5*#REF! + tech_5_3*#REF! + tech_5_5*#REF!)*spec_op_plat,0)</f>
        <v>#REF!</v>
      </c>
      <c r="BJ134" s="39" t="e">
        <f>ROUNDUP(IF(race="Gnome",1,(1-MIN(#REF!*smithy_bonus,smithy_bonus_cap) + tech_3_5*#REF! + tech_5_3*#REF! + tech_5_5*#REF!))*spec_op_ore,0)</f>
        <v>#REF!</v>
      </c>
      <c r="BK134" s="39" t="e">
        <f>ROUNDUP((1-MIN(#REF!*smithy_bonus,smithy_bonus_cap) + tech_3_5*#REF! + tech_5_3*#REF! + tech_5_5*#REF!)*spec_dp_plat,0)</f>
        <v>#REF!</v>
      </c>
      <c r="BL134" s="39" t="e">
        <f>ROUNDUP(IF(race="Gnome",1,(1-MIN(#REF!*smithy_bonus,smithy_bonus_cap) + tech_3_5*#REF! + tech_5_3*#REF! + tech_5_5*#REF!))*spec_dp_ore,0)</f>
        <v>#REF!</v>
      </c>
      <c r="BM134" s="39" t="e">
        <f>ROUNDUP((1-MIN(#REF!*smithy_bonus,smithy_bonus_cap) + tech_3_5*#REF! + tech_5_3*#REF! + tech_5_5*#REF!)*elite1_plat,0)</f>
        <v>#REF!</v>
      </c>
      <c r="BN134" s="39" t="e">
        <f>ROUNDUP(IF(race="Gnome",1,(1-MIN(#REF!*smithy_bonus,smithy_bonus_cap) + tech_3_5*#REF! + tech_5_3*#REF! + tech_5_5*#REF!))*elite1_ore,0)</f>
        <v>#REF!</v>
      </c>
      <c r="BO134" s="39" t="e">
        <f>ROUNDUP((1-MIN(#REF!*smithy_bonus,smithy_bonus_cap) + tech_3_5*#REF! + tech_5_3*#REF! + tech_5_5*#REF!)*elite2_plat,0)</f>
        <v>#REF!</v>
      </c>
      <c r="BP134" s="39" t="e">
        <f>ROUNDUP(IF(race="Gnome",1,(1-MIN(#REF!*smithy_bonus,smithy_bonus_cap) + tech_3_5*#REF! + tech_5_3*#REF! + tech_5_5*#REF!))*elite2_ore,0)</f>
        <v>#REF!</v>
      </c>
      <c r="BQ134" s="39" t="e">
        <f>ROUNDUP((1-MIN(ROUND(fh_spy_cost_red*#REF!,4),fh_spy_cost_cap)+ tech_1_9*#REF! + tech_9_1*#REF!)*spy_plat,0)</f>
        <v>#REF!</v>
      </c>
      <c r="BR134" s="39" t="e">
        <f>ROUNDUP((1-MIN(ROUND(fh_spy_cost_red*#REF!,4),fh_spy_cost_cap)+ tech_1_9*#REF! + tech_9_1*#REF!)*archspy_plat,0)</f>
        <v>#REF!</v>
      </c>
      <c r="BS134" s="39" t="e">
        <f>ROUNDUP((1-MIN(ROUND(wg_wiz_cost_bonus*#REF!,4),wg_wiz_cost_cap) + tech_1_9_2*#REF! + tech_9_1_2*#REF!)*wizard_plat,0)</f>
        <v>#REF!</v>
      </c>
      <c r="BT134" s="39" t="e">
        <f>ROUNDUP((1-MIN(ROUND(wg_wiz_cost_bonus*#REF!,4),wg_wiz_cost_cap) + tech_1_9_2*#REF! + tech_9_1_2*#REF!)*archmage_plat,0)</f>
        <v>#REF!</v>
      </c>
      <c r="BU134" s="134"/>
      <c r="BV134" s="132" t="e">
        <f>#REF!/#REF!</f>
        <v>#REF!</v>
      </c>
      <c r="BW134" s="132" t="e">
        <f>#REF!</f>
        <v>#REF!</v>
      </c>
      <c r="BX134" s="241" t="e">
        <f>IF(mystic_cap="none",#REF!/mystic_bonus,MIN(mystic_cap,#REF!/mystic_bonus))</f>
        <v>#REF!</v>
      </c>
      <c r="BY134" s="241" t="e">
        <f>IF(druid_op_cap="none",#REF!/druid_op_bonus,MIN(druid_op_cap,#REF!/druid_op_bonus))</f>
        <v>#REF!</v>
      </c>
      <c r="BZ134" s="241" t="e">
        <f>IF(druid_dp_cap="none",#REF!/druid_dp_bonus,MIN(druid_dp_cap,#REF!/druid_dp_bonus))</f>
        <v>#REF!</v>
      </c>
      <c r="CA134" s="241" t="e">
        <f>MIN(dryad_cap,#REF!/dryad_bonus)</f>
        <v>#REF!</v>
      </c>
      <c r="CB134" s="241" t="e">
        <f>MIN(rocka_cap,#REF!/rocka_bonus)</f>
        <v>#REF!</v>
      </c>
      <c r="CC134" s="241" t="e">
        <f>MIN(adept_op_cap,#REF!/adept_op_bonus)</f>
        <v>#REF!</v>
      </c>
      <c r="CD134" s="241" t="e">
        <f>MIN(adept_dp_cap,#REF!/adept_dp_bonus)</f>
        <v>#REF!</v>
      </c>
      <c r="CE134" s="39" t="e">
        <f>MIN(#REF!,#REF!)*2</f>
        <v>#REF!</v>
      </c>
      <c r="CF134" s="39" t="e">
        <f>MIN(#REF!,#REF!)*2</f>
        <v>#REF!</v>
      </c>
      <c r="CG134" s="241" t="e">
        <f>MIN(frost_mage_cap,#REF!/frost_mage_bonus)</f>
        <v>#REF!</v>
      </c>
      <c r="CH134" s="3" t="e">
        <f>MIN(ice_elem_cap,#REF!*ice_elem_bonus)</f>
        <v>#REF!</v>
      </c>
      <c r="CI134" s="241">
        <f t="shared" si="4"/>
        <v>0.83333333333333337</v>
      </c>
      <c r="CJ134" s="241" t="e">
        <f>MIN(nox_nightshade_cap,#REF!/#REF!/nox_nightshade_swamp_bonus)</f>
        <v>#REF!</v>
      </c>
      <c r="CK134" s="242"/>
      <c r="CL134" s="242"/>
      <c r="CM134" s="242"/>
      <c r="CN134" s="241" t="e">
        <f>MIN(6,#REF!+Races!$F$19)*1.8 +  IF(#REF!+Races!$F$19&gt;6,(#REF!+Races!$F$19-6)*0.2,0) - Races!$I$19</f>
        <v>#REF!</v>
      </c>
      <c r="CO134" s="241" t="e">
        <f>1.8 * MIN(MAX(#REF!+Races!$E$20,#REF!+Races!$F$20),6)  +  0.45 * MIN(MIN(#REF!+Races!$E$20,#REF!+Races!$F$20),6)  +  0.2 * ( MAX(#REF!+Races!$E$20-6,0) + MAX(#REF!+Races!$F$20-6,0) )  -  Races!$I$20</f>
        <v>#REF!</v>
      </c>
      <c r="CP134" s="39" t="e">
        <f>#REF!*#REF!+#REF!*#REF!</f>
        <v>#REF!</v>
      </c>
      <c r="CQ134" s="145" t="e">
        <f>MIN(6,#REF!+Races!$F$35)*1.8 +  IF(#REF!+Races!$F$35&gt;6,(#REF!+Races!$F$35-6)*0.2,0) - Races!$I$19</f>
        <v>#REF!</v>
      </c>
      <c r="CR134" s="39" t="e">
        <f>sylvan*(#REF!*#REF!)</f>
        <v>#REF!</v>
      </c>
      <c r="CS134" s="145" t="e">
        <f>1.8 * MIN(MAX(Races!$E$27,#REF!+Races!$F$27),6)  +  0.45 * MIN(MIN(Races!$E$27,#REF!+Races!$F$27),6)  +  0.2 * ( MAX(Races!$E$27-6,0) + MAX(#REF!+Races!$F$27-6,0) )  -  Races!$I$20</f>
        <v>#REF!</v>
      </c>
      <c r="CT134" s="39" t="e">
        <f>gnome*(#REF!*#REF!)</f>
        <v>#REF!</v>
      </c>
      <c r="CU134" s="145" t="e">
        <f>1.8 * MIN(MAX(#REF!+Races!$E$47,#REF!+Races!$F$47),6)  +  0.45 * MIN(MIN(#REF!+Races!$E$47,#REF!+Races!$F$47),6)  +  0.2 * ( MAX(#REF!+Races!$E$47-6,0) + MAX(#REF!+Races!$F$47-6,0) )  -  Races!$I$47</f>
        <v>#REF!</v>
      </c>
      <c r="CV134" s="39" t="e">
        <f>dark_elf*(#REF!*#REF!)</f>
        <v>#REF!</v>
      </c>
      <c r="CW134" s="145" t="e">
        <f>1.8 * MIN(MAX(#REF!+Races!$F$71,Races!$E$71),6)  +  0.45 * MIN(MIN(#REF!+Races!$F$71,Races!$E$71),6)  +  0.2 * ( MAX(#REF!+Races!$F$71-6,0) + MAX(Races!$E$71-6,0) )  -  Races!$I$71</f>
        <v>#REF!</v>
      </c>
      <c r="CX134" s="145" t="e">
        <f>1.8 * MIN(MAX(#REF!+Races!$E$71,Races!$F$71),6)  +  0.45 * MIN(MIN(#REF!+Races!$E$71,Races!$F$71),6)  +  0.2 * ( MAX(#REF!+Races!$E$71-6,0) + MAX(Races!$F$71-6,0) )  -  Races!$I$71</f>
        <v>#REF!</v>
      </c>
      <c r="CY134" s="39" t="e">
        <f>#REF!*#REF!+#REF!*#REF!</f>
        <v>#REF!</v>
      </c>
      <c r="CZ134" s="243"/>
      <c r="DA134" s="135" t="e">
        <f>MIN(SUM(#REF!)/#REF!/favorable_terrain_bonus/100,favorable_terrain_max)</f>
        <v>#REF!</v>
      </c>
      <c r="DB134" s="243"/>
      <c r="DC134"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34" s="134"/>
      <c r="DE134" s="244" t="e">
        <f>(#REF!+2*#REF!)/#REF!</f>
        <v>#REF!</v>
      </c>
      <c r="DF134" s="244" t="e">
        <f>#REF!*(1+race_wizard_strength+IF(#REF!&gt;72,tech_magical_weaponry_wiz*#REF!,0))</f>
        <v>#REF!</v>
      </c>
    </row>
    <row r="135" spans="1:110" x14ac:dyDescent="0.25">
      <c r="A135" s="130" t="e">
        <f>#REF!</f>
        <v>#REF!</v>
      </c>
      <c r="B135" s="236" t="e">
        <f ca="1">SUM(#REF!)+SUM(OFFSET(#REF!,-8,0):#REF!) + SUM(OFFSET(#REF!,-11,0):#REF!) +#REF!</f>
        <v>#REF!</v>
      </c>
      <c r="C135" s="132" t="e">
        <f>#REF!</f>
        <v>#REF!</v>
      </c>
      <c r="D135" s="134"/>
      <c r="E135" s="3" t="e">
        <f ca="1">OFFSET(#REF!,-1,0) + OFFSET(#REF!,-9,0) -#REF!</f>
        <v>#REF!</v>
      </c>
      <c r="F135" s="3" t="e">
        <f ca="1">OFFSET(#REF!,-1,0) + OFFSET(#REF!,-9,0)-#REF!</f>
        <v>#REF!</v>
      </c>
      <c r="G135" s="3" t="e">
        <f ca="1">OFFSET(#REF!,-1,0) + OFFSET(#REF!,-12,0)-#REF!</f>
        <v>#REF!</v>
      </c>
      <c r="H135" s="3" t="e">
        <f ca="1">OFFSET(#REF!,-1,0) + OFFSET(#REF!,-12,0)-#REF!</f>
        <v>#REF!</v>
      </c>
      <c r="I135" s="3" t="e">
        <f ca="1">OFFSET(#REF!,-1,0) + OFFSET(#REF!,-12,0) -#REF!-#REF!</f>
        <v>#REF!</v>
      </c>
      <c r="J135" s="3" t="e">
        <f ca="1">OFFSET(#REF!,-1,0) + OFFSET(#REF!,-12,0) -#REF!</f>
        <v>#REF!</v>
      </c>
      <c r="K135" s="3" t="e">
        <f ca="1">OFFSET(#REF!,-1,0) + OFFSET(#REF!,-12,0) -#REF!-#REF!</f>
        <v>#REF!</v>
      </c>
      <c r="L135" s="3" t="e">
        <f ca="1">OFFSET(#REF!,-1,0) + OFFSET(#REF!,-12,0) -#REF!</f>
        <v>#REF!</v>
      </c>
      <c r="M135" s="134"/>
      <c r="N135" s="39" t="e">
        <f>#REF!</f>
        <v>#REF!</v>
      </c>
      <c r="O135" s="134"/>
      <c r="P135" s="237" t="e">
        <f>#REF!*spec_op+#REF!*(elite1_base_op)+#REF!*(elite2_base_op+dark_elf*#REF!+icekin*#REF!+woodie*#REF!+orc*#REF!)+kobold*#REF!</f>
        <v>#REF!</v>
      </c>
      <c r="Q135" s="132" t="e">
        <f>race_offense+#REF!+ROUND(MIN(gn_bonus*#REF!/#REF!,gn_bonus_cap),4)+MAX(IF(#REF!&gt;0,warsong_bonus),IF(#REF!&gt;0,howling_op_bonus),IF(#REF!&gt;0,nightfall_bonus),IF(#REF!&gt;0,#REF!)) +#REF!/ 100*prestige_offense_bonus + tech_5_4*#REF! + tech_7_4*#REF!</f>
        <v>#REF!</v>
      </c>
      <c r="R135" s="237" t="e">
        <f>#REF!*(1+#REF!)</f>
        <v>#REF!</v>
      </c>
      <c r="S135" s="237" t="e">
        <f>#REF!*spec_dp+#REF!*(elite1_base_dp+woodie*#REF!+sylvan*#REF!+gnome*#REF!+icekin*#REF!+nox*#REF!)+#REF!*(elite2_base_dp+woodie*#REF!) + fh_peas_dp*MIN(#REF!,20*#REF!)+kobold*#REF!</f>
        <v>#REF!</v>
      </c>
      <c r="T135" s="237" t="e">
        <f>#REF!+#REF!</f>
        <v>#REF!</v>
      </c>
      <c r="U135" s="238" t="e">
        <f>race_defense +#REF! + ROUND( MIN(gt_bonus*#REF!/#REF!,gt_bonus_cap), 4) + IF(#REF!&gt;0,howling_dp_bonus,IF(#REF!&gt;0,ares_call_bonus))</f>
        <v>#REF!</v>
      </c>
      <c r="V135" s="239" t="e">
        <f>#REF! * (1 +#REF!)</f>
        <v>#REF!</v>
      </c>
      <c r="W135" s="237" t="e">
        <f>#REF! * (1 +#REF!)</f>
        <v>#REF!</v>
      </c>
      <c r="X135" s="237" t="e">
        <f>#REF!</f>
        <v>#REF!</v>
      </c>
      <c r="Y135" s="240"/>
      <c r="Z135" s="135" t="e">
        <f ca="1">IF(#REF!&lt;&gt;"",#REF!,OFFSET(#REF!,-1,0))</f>
        <v>#REF!</v>
      </c>
      <c r="AA135" s="39" t="e">
        <f ca="1">OFFSET(#REF!,-1,0)+OFFSET(#REF!,-1,0) - SUM(#REF!,#REF!) -#REF! + SUM(#REF!) -#REF!</f>
        <v>#REF!</v>
      </c>
      <c r="AB135" s="133"/>
      <c r="AC135" s="132" t="e">
        <f>(#REF!+#REF!)/(#REF!-#REF!*20)</f>
        <v>#REF!</v>
      </c>
      <c r="AD135" s="130"/>
      <c r="AE135" s="236" t="e">
        <f>#REF!</f>
        <v>#REF!</v>
      </c>
      <c r="AF135" s="131" t="e">
        <f>#REF!</f>
        <v>#REF!</v>
      </c>
      <c r="AG135" s="164"/>
      <c r="AH135" s="164"/>
      <c r="AI135" s="164"/>
      <c r="AJ135" s="164"/>
      <c r="AK135" s="164"/>
      <c r="AL135" s="164"/>
      <c r="AM135" s="164"/>
      <c r="AN135" s="164"/>
      <c r="AO135" s="134"/>
      <c r="AP135" s="39" t="e">
        <f>#REF!</f>
        <v>#REF!</v>
      </c>
      <c r="AQ135" s="39" t="e">
        <f>INDEX(#REF!:#REF!,COUNTA(#REF!:#REF!),MATCH(Military!$AQ$2,#REF!,0))</f>
        <v>#REF!</v>
      </c>
      <c r="AR135" s="39" t="e">
        <f>#REF!*#REF!+#REF!*#REF!+#REF!*#REF!+#REF!*#REF!+#REF!*#REF!+#REF!*#REF!+#REF!*#REF!</f>
        <v>#REF!</v>
      </c>
      <c r="AS135" s="39" t="e">
        <f>#REF!*#REF!+#REF!*#REF!+#REF!*#REF!+#REF!*#REF!</f>
        <v>#REF!</v>
      </c>
      <c r="AT135" s="134" t="e">
        <f>#REF!</f>
        <v>#REF!</v>
      </c>
      <c r="AU135" s="143" t="e">
        <f>#REF!</f>
        <v>#REF!</v>
      </c>
      <c r="AV135" s="39" t="e">
        <f>#REF!</f>
        <v>#REF!</v>
      </c>
      <c r="AW135" s="164"/>
      <c r="AX135" s="164"/>
      <c r="AY135" s="164"/>
      <c r="AZ135" s="164"/>
      <c r="BA135" s="164"/>
      <c r="BB135" s="164"/>
      <c r="BC135" s="164"/>
      <c r="BD135" s="164"/>
      <c r="BE135" s="164"/>
      <c r="BF135" s="134"/>
      <c r="BG135" s="132" t="e">
        <f>#REF!/#REF!</f>
        <v>#REF!</v>
      </c>
      <c r="BH135" s="132" t="e">
        <f>#REF!/#REF!</f>
        <v>#REF!</v>
      </c>
      <c r="BI135" s="39" t="e">
        <f>ROUNDUP((1-MIN(#REF!*smithy_bonus,smithy_bonus_cap) + tech_3_5*#REF! + tech_5_3*#REF! + tech_5_5*#REF!)*spec_op_plat,0)</f>
        <v>#REF!</v>
      </c>
      <c r="BJ135" s="39" t="e">
        <f>ROUNDUP(IF(race="Gnome",1,(1-MIN(#REF!*smithy_bonus,smithy_bonus_cap) + tech_3_5*#REF! + tech_5_3*#REF! + tech_5_5*#REF!))*spec_op_ore,0)</f>
        <v>#REF!</v>
      </c>
      <c r="BK135" s="39" t="e">
        <f>ROUNDUP((1-MIN(#REF!*smithy_bonus,smithy_bonus_cap) + tech_3_5*#REF! + tech_5_3*#REF! + tech_5_5*#REF!)*spec_dp_plat,0)</f>
        <v>#REF!</v>
      </c>
      <c r="BL135" s="39" t="e">
        <f>ROUNDUP(IF(race="Gnome",1,(1-MIN(#REF!*smithy_bonus,smithy_bonus_cap) + tech_3_5*#REF! + tech_5_3*#REF! + tech_5_5*#REF!))*spec_dp_ore,0)</f>
        <v>#REF!</v>
      </c>
      <c r="BM135" s="39" t="e">
        <f>ROUNDUP((1-MIN(#REF!*smithy_bonus,smithy_bonus_cap) + tech_3_5*#REF! + tech_5_3*#REF! + tech_5_5*#REF!)*elite1_plat,0)</f>
        <v>#REF!</v>
      </c>
      <c r="BN135" s="39" t="e">
        <f>ROUNDUP(IF(race="Gnome",1,(1-MIN(#REF!*smithy_bonus,smithy_bonus_cap) + tech_3_5*#REF! + tech_5_3*#REF! + tech_5_5*#REF!))*elite1_ore,0)</f>
        <v>#REF!</v>
      </c>
      <c r="BO135" s="39" t="e">
        <f>ROUNDUP((1-MIN(#REF!*smithy_bonus,smithy_bonus_cap) + tech_3_5*#REF! + tech_5_3*#REF! + tech_5_5*#REF!)*elite2_plat,0)</f>
        <v>#REF!</v>
      </c>
      <c r="BP135" s="39" t="e">
        <f>ROUNDUP(IF(race="Gnome",1,(1-MIN(#REF!*smithy_bonus,smithy_bonus_cap) + tech_3_5*#REF! + tech_5_3*#REF! + tech_5_5*#REF!))*elite2_ore,0)</f>
        <v>#REF!</v>
      </c>
      <c r="BQ135" s="39" t="e">
        <f>ROUNDUP((1-MIN(ROUND(fh_spy_cost_red*#REF!,4),fh_spy_cost_cap)+ tech_1_9*#REF! + tech_9_1*#REF!)*spy_plat,0)</f>
        <v>#REF!</v>
      </c>
      <c r="BR135" s="39" t="e">
        <f>ROUNDUP((1-MIN(ROUND(fh_spy_cost_red*#REF!,4),fh_spy_cost_cap)+ tech_1_9*#REF! + tech_9_1*#REF!)*archspy_plat,0)</f>
        <v>#REF!</v>
      </c>
      <c r="BS135" s="39" t="e">
        <f>ROUNDUP((1-MIN(ROUND(wg_wiz_cost_bonus*#REF!,4),wg_wiz_cost_cap) + tech_1_9_2*#REF! + tech_9_1_2*#REF!)*wizard_plat,0)</f>
        <v>#REF!</v>
      </c>
      <c r="BT135" s="39" t="e">
        <f>ROUNDUP((1-MIN(ROUND(wg_wiz_cost_bonus*#REF!,4),wg_wiz_cost_cap) + tech_1_9_2*#REF! + tech_9_1_2*#REF!)*archmage_plat,0)</f>
        <v>#REF!</v>
      </c>
      <c r="BU135" s="134"/>
      <c r="BV135" s="132" t="e">
        <f>#REF!/#REF!</f>
        <v>#REF!</v>
      </c>
      <c r="BW135" s="132" t="e">
        <f>#REF!</f>
        <v>#REF!</v>
      </c>
      <c r="BX135" s="241" t="e">
        <f>IF(mystic_cap="none",#REF!/mystic_bonus,MIN(mystic_cap,#REF!/mystic_bonus))</f>
        <v>#REF!</v>
      </c>
      <c r="BY135" s="241" t="e">
        <f>IF(druid_op_cap="none",#REF!/druid_op_bonus,MIN(druid_op_cap,#REF!/druid_op_bonus))</f>
        <v>#REF!</v>
      </c>
      <c r="BZ135" s="241" t="e">
        <f>IF(druid_dp_cap="none",#REF!/druid_dp_bonus,MIN(druid_dp_cap,#REF!/druid_dp_bonus))</f>
        <v>#REF!</v>
      </c>
      <c r="CA135" s="241" t="e">
        <f>MIN(dryad_cap,#REF!/dryad_bonus)</f>
        <v>#REF!</v>
      </c>
      <c r="CB135" s="241" t="e">
        <f>MIN(rocka_cap,#REF!/rocka_bonus)</f>
        <v>#REF!</v>
      </c>
      <c r="CC135" s="241" t="e">
        <f>MIN(adept_op_cap,#REF!/adept_op_bonus)</f>
        <v>#REF!</v>
      </c>
      <c r="CD135" s="241" t="e">
        <f>MIN(adept_dp_cap,#REF!/adept_dp_bonus)</f>
        <v>#REF!</v>
      </c>
      <c r="CE135" s="39" t="e">
        <f>MIN(#REF!,#REF!)*2</f>
        <v>#REF!</v>
      </c>
      <c r="CF135" s="39" t="e">
        <f>MIN(#REF!,#REF!)*2</f>
        <v>#REF!</v>
      </c>
      <c r="CG135" s="241" t="e">
        <f>MIN(frost_mage_cap,#REF!/frost_mage_bonus)</f>
        <v>#REF!</v>
      </c>
      <c r="CH135" s="3" t="e">
        <f>MIN(ice_elem_cap,#REF!*ice_elem_bonus)</f>
        <v>#REF!</v>
      </c>
      <c r="CI135" s="241">
        <f t="shared" si="4"/>
        <v>0.83333333333333337</v>
      </c>
      <c r="CJ135" s="241" t="e">
        <f>MIN(nox_nightshade_cap,#REF!/#REF!/nox_nightshade_swamp_bonus)</f>
        <v>#REF!</v>
      </c>
      <c r="CK135" s="242"/>
      <c r="CL135" s="242"/>
      <c r="CM135" s="242"/>
      <c r="CN135" s="241" t="e">
        <f>MIN(6,#REF!+Races!$F$19)*1.8 +  IF(#REF!+Races!$F$19&gt;6,(#REF!+Races!$F$19-6)*0.2,0) - Races!$I$19</f>
        <v>#REF!</v>
      </c>
      <c r="CO135" s="241" t="e">
        <f>1.8 * MIN(MAX(#REF!+Races!$E$20,#REF!+Races!$F$20),6)  +  0.45 * MIN(MIN(#REF!+Races!$E$20,#REF!+Races!$F$20),6)  +  0.2 * ( MAX(#REF!+Races!$E$20-6,0) + MAX(#REF!+Races!$F$20-6,0) )  -  Races!$I$20</f>
        <v>#REF!</v>
      </c>
      <c r="CP135" s="39" t="e">
        <f>#REF!*#REF!+#REF!*#REF!</f>
        <v>#REF!</v>
      </c>
      <c r="CQ135" s="145" t="e">
        <f>MIN(6,#REF!+Races!$F$35)*1.8 +  IF(#REF!+Races!$F$35&gt;6,(#REF!+Races!$F$35-6)*0.2,0) - Races!$I$19</f>
        <v>#REF!</v>
      </c>
      <c r="CR135" s="39" t="e">
        <f>sylvan*(#REF!*#REF!)</f>
        <v>#REF!</v>
      </c>
      <c r="CS135" s="145" t="e">
        <f>1.8 * MIN(MAX(Races!$E$27,#REF!+Races!$F$27),6)  +  0.45 * MIN(MIN(Races!$E$27,#REF!+Races!$F$27),6)  +  0.2 * ( MAX(Races!$E$27-6,0) + MAX(#REF!+Races!$F$27-6,0) )  -  Races!$I$20</f>
        <v>#REF!</v>
      </c>
      <c r="CT135" s="39" t="e">
        <f>gnome*(#REF!*#REF!)</f>
        <v>#REF!</v>
      </c>
      <c r="CU135" s="145" t="e">
        <f>1.8 * MIN(MAX(#REF!+Races!$E$47,#REF!+Races!$F$47),6)  +  0.45 * MIN(MIN(#REF!+Races!$E$47,#REF!+Races!$F$47),6)  +  0.2 * ( MAX(#REF!+Races!$E$47-6,0) + MAX(#REF!+Races!$F$47-6,0) )  -  Races!$I$47</f>
        <v>#REF!</v>
      </c>
      <c r="CV135" s="39" t="e">
        <f>dark_elf*(#REF!*#REF!)</f>
        <v>#REF!</v>
      </c>
      <c r="CW135" s="145" t="e">
        <f>1.8 * MIN(MAX(#REF!+Races!$F$71,Races!$E$71),6)  +  0.45 * MIN(MIN(#REF!+Races!$F$71,Races!$E$71),6)  +  0.2 * ( MAX(#REF!+Races!$F$71-6,0) + MAX(Races!$E$71-6,0) )  -  Races!$I$71</f>
        <v>#REF!</v>
      </c>
      <c r="CX135" s="145" t="e">
        <f>1.8 * MIN(MAX(#REF!+Races!$E$71,Races!$F$71),6)  +  0.45 * MIN(MIN(#REF!+Races!$E$71,Races!$F$71),6)  +  0.2 * ( MAX(#REF!+Races!$E$71-6,0) + MAX(Races!$F$71-6,0) )  -  Races!$I$71</f>
        <v>#REF!</v>
      </c>
      <c r="CY135" s="39" t="e">
        <f>#REF!*#REF!+#REF!*#REF!</f>
        <v>#REF!</v>
      </c>
      <c r="CZ135" s="243"/>
      <c r="DA135" s="135" t="e">
        <f>MIN(SUM(#REF!)/#REF!/favorable_terrain_bonus/100,favorable_terrain_max)</f>
        <v>#REF!</v>
      </c>
      <c r="DB135" s="243"/>
      <c r="DC135"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35" s="134"/>
      <c r="DE135" s="244" t="e">
        <f>(#REF!+2*#REF!)/#REF!</f>
        <v>#REF!</v>
      </c>
      <c r="DF135" s="244" t="e">
        <f>#REF!*(1+race_wizard_strength+IF(#REF!&gt;72,tech_magical_weaponry_wiz*#REF!,0))</f>
        <v>#REF!</v>
      </c>
    </row>
    <row r="136" spans="1:110" x14ac:dyDescent="0.25">
      <c r="A136" s="130" t="e">
        <f>#REF!</f>
        <v>#REF!</v>
      </c>
      <c r="B136" s="236" t="e">
        <f ca="1">SUM(#REF!)+SUM(OFFSET(#REF!,-8,0):#REF!) + SUM(OFFSET(#REF!,-11,0):#REF!) +#REF!</f>
        <v>#REF!</v>
      </c>
      <c r="C136" s="132" t="e">
        <f>#REF!</f>
        <v>#REF!</v>
      </c>
      <c r="D136" s="134"/>
      <c r="E136" s="3" t="e">
        <f ca="1">OFFSET(#REF!,-1,0) + OFFSET(#REF!,-9,0) -#REF!</f>
        <v>#REF!</v>
      </c>
      <c r="F136" s="3" t="e">
        <f ca="1">OFFSET(#REF!,-1,0) + OFFSET(#REF!,-9,0)-#REF!</f>
        <v>#REF!</v>
      </c>
      <c r="G136" s="3" t="e">
        <f ca="1">OFFSET(#REF!,-1,0) + OFFSET(#REF!,-12,0)-#REF!</f>
        <v>#REF!</v>
      </c>
      <c r="H136" s="3" t="e">
        <f ca="1">OFFSET(#REF!,-1,0) + OFFSET(#REF!,-12,0)-#REF!</f>
        <v>#REF!</v>
      </c>
      <c r="I136" s="3" t="e">
        <f ca="1">OFFSET(#REF!,-1,0) + OFFSET(#REF!,-12,0) -#REF!-#REF!</f>
        <v>#REF!</v>
      </c>
      <c r="J136" s="3" t="e">
        <f ca="1">OFFSET(#REF!,-1,0) + OFFSET(#REF!,-12,0) -#REF!</f>
        <v>#REF!</v>
      </c>
      <c r="K136" s="3" t="e">
        <f ca="1">OFFSET(#REF!,-1,0) + OFFSET(#REF!,-12,0) -#REF!-#REF!</f>
        <v>#REF!</v>
      </c>
      <c r="L136" s="3" t="e">
        <f ca="1">OFFSET(#REF!,-1,0) + OFFSET(#REF!,-12,0) -#REF!</f>
        <v>#REF!</v>
      </c>
      <c r="M136" s="134"/>
      <c r="N136" s="39" t="e">
        <f>#REF!</f>
        <v>#REF!</v>
      </c>
      <c r="O136" s="134"/>
      <c r="P136" s="237" t="e">
        <f>#REF!*spec_op+#REF!*(elite1_base_op)+#REF!*(elite2_base_op+dark_elf*#REF!+icekin*#REF!+woodie*#REF!+orc*#REF!)+kobold*#REF!</f>
        <v>#REF!</v>
      </c>
      <c r="Q136" s="132" t="e">
        <f>race_offense+#REF!+ROUND(MIN(gn_bonus*#REF!/#REF!,gn_bonus_cap),4)+MAX(IF(#REF!&gt;0,warsong_bonus),IF(#REF!&gt;0,howling_op_bonus),IF(#REF!&gt;0,nightfall_bonus),IF(#REF!&gt;0,#REF!)) +#REF!/ 100*prestige_offense_bonus + tech_5_4*#REF! + tech_7_4*#REF!</f>
        <v>#REF!</v>
      </c>
      <c r="R136" s="237" t="e">
        <f>#REF!*(1+#REF!)</f>
        <v>#REF!</v>
      </c>
      <c r="S136" s="237" t="e">
        <f>#REF!*spec_dp+#REF!*(elite1_base_dp+woodie*#REF!+sylvan*#REF!+gnome*#REF!+icekin*#REF!+nox*#REF!)+#REF!*(elite2_base_dp+woodie*#REF!) + fh_peas_dp*MIN(#REF!,20*#REF!)+kobold*#REF!</f>
        <v>#REF!</v>
      </c>
      <c r="T136" s="237" t="e">
        <f>#REF!+#REF!</f>
        <v>#REF!</v>
      </c>
      <c r="U136" s="238" t="e">
        <f>race_defense +#REF! + ROUND( MIN(gt_bonus*#REF!/#REF!,gt_bonus_cap), 4) + IF(#REF!&gt;0,howling_dp_bonus,IF(#REF!&gt;0,ares_call_bonus))</f>
        <v>#REF!</v>
      </c>
      <c r="V136" s="239" t="e">
        <f>#REF! * (1 +#REF!)</f>
        <v>#REF!</v>
      </c>
      <c r="W136" s="237" t="e">
        <f>#REF! * (1 +#REF!)</f>
        <v>#REF!</v>
      </c>
      <c r="X136" s="237" t="e">
        <f>#REF!</f>
        <v>#REF!</v>
      </c>
      <c r="Y136" s="240"/>
      <c r="Z136" s="135" t="e">
        <f ca="1">IF(#REF!&lt;&gt;"",#REF!,OFFSET(#REF!,-1,0))</f>
        <v>#REF!</v>
      </c>
      <c r="AA136" s="39" t="e">
        <f ca="1">OFFSET(#REF!,-1,0)+OFFSET(#REF!,-1,0) - SUM(#REF!,#REF!) -#REF! + SUM(#REF!) -#REF!</f>
        <v>#REF!</v>
      </c>
      <c r="AB136" s="133"/>
      <c r="AC136" s="132" t="e">
        <f>(#REF!+#REF!)/(#REF!-#REF!*20)</f>
        <v>#REF!</v>
      </c>
      <c r="AD136" s="236"/>
      <c r="AE136" s="236" t="e">
        <f>#REF!</f>
        <v>#REF!</v>
      </c>
      <c r="AF136" s="131" t="e">
        <f>#REF!</f>
        <v>#REF!</v>
      </c>
      <c r="AG136" s="164"/>
      <c r="AH136" s="146"/>
      <c r="AI136" s="164"/>
      <c r="AJ136" s="146"/>
      <c r="AK136" s="146"/>
      <c r="AL136" s="146"/>
      <c r="AM136" s="146"/>
      <c r="AN136" s="164"/>
      <c r="AO136" s="134"/>
      <c r="AP136" s="39" t="e">
        <f>#REF!</f>
        <v>#REF!</v>
      </c>
      <c r="AQ136" s="39" t="e">
        <f>INDEX(#REF!:#REF!,COUNTA(#REF!:#REF!),MATCH(Military!$AQ$2,#REF!,0))</f>
        <v>#REF!</v>
      </c>
      <c r="AR136" s="39" t="e">
        <f>#REF!*#REF!+#REF!*#REF!+#REF!*#REF!+#REF!*#REF!+#REF!*#REF!+#REF!*#REF!+#REF!*#REF!</f>
        <v>#REF!</v>
      </c>
      <c r="AS136" s="39" t="e">
        <f>#REF!*#REF!+#REF!*#REF!+#REF!*#REF!+#REF!*#REF!</f>
        <v>#REF!</v>
      </c>
      <c r="AT136" s="134" t="e">
        <f>#REF!</f>
        <v>#REF!</v>
      </c>
      <c r="AU136" s="143" t="e">
        <f>#REF!</f>
        <v>#REF!</v>
      </c>
      <c r="AV136" s="39" t="e">
        <f>#REF!</f>
        <v>#REF!</v>
      </c>
      <c r="AW136" s="164"/>
      <c r="AX136" s="164"/>
      <c r="AY136" s="164"/>
      <c r="AZ136" s="164"/>
      <c r="BA136" s="164"/>
      <c r="BB136" s="164"/>
      <c r="BC136" s="164"/>
      <c r="BD136" s="164"/>
      <c r="BE136" s="164"/>
      <c r="BF136" s="134"/>
      <c r="BG136" s="132" t="e">
        <f>#REF!/#REF!</f>
        <v>#REF!</v>
      </c>
      <c r="BH136" s="132" t="e">
        <f>#REF!/#REF!</f>
        <v>#REF!</v>
      </c>
      <c r="BI136" s="39" t="e">
        <f>ROUNDUP((1-MIN(#REF!*smithy_bonus,smithy_bonus_cap) + tech_3_5*#REF! + tech_5_3*#REF! + tech_5_5*#REF!)*spec_op_plat,0)</f>
        <v>#REF!</v>
      </c>
      <c r="BJ136" s="39" t="e">
        <f>ROUNDUP(IF(race="Gnome",1,(1-MIN(#REF!*smithy_bonus,smithy_bonus_cap) + tech_3_5*#REF! + tech_5_3*#REF! + tech_5_5*#REF!))*spec_op_ore,0)</f>
        <v>#REF!</v>
      </c>
      <c r="BK136" s="39" t="e">
        <f>ROUNDUP((1-MIN(#REF!*smithy_bonus,smithy_bonus_cap) + tech_3_5*#REF! + tech_5_3*#REF! + tech_5_5*#REF!)*spec_dp_plat,0)</f>
        <v>#REF!</v>
      </c>
      <c r="BL136" s="39" t="e">
        <f>ROUNDUP(IF(race="Gnome",1,(1-MIN(#REF!*smithy_bonus,smithy_bonus_cap) + tech_3_5*#REF! + tech_5_3*#REF! + tech_5_5*#REF!))*spec_dp_ore,0)</f>
        <v>#REF!</v>
      </c>
      <c r="BM136" s="39" t="e">
        <f>ROUNDUP((1-MIN(#REF!*smithy_bonus,smithy_bonus_cap) + tech_3_5*#REF! + tech_5_3*#REF! + tech_5_5*#REF!)*elite1_plat,0)</f>
        <v>#REF!</v>
      </c>
      <c r="BN136" s="39" t="e">
        <f>ROUNDUP(IF(race="Gnome",1,(1-MIN(#REF!*smithy_bonus,smithy_bonus_cap) + tech_3_5*#REF! + tech_5_3*#REF! + tech_5_5*#REF!))*elite1_ore,0)</f>
        <v>#REF!</v>
      </c>
      <c r="BO136" s="39" t="e">
        <f>ROUNDUP((1-MIN(#REF!*smithy_bonus,smithy_bonus_cap) + tech_3_5*#REF! + tech_5_3*#REF! + tech_5_5*#REF!)*elite2_plat,0)</f>
        <v>#REF!</v>
      </c>
      <c r="BP136" s="39" t="e">
        <f>ROUNDUP(IF(race="Gnome",1,(1-MIN(#REF!*smithy_bonus,smithy_bonus_cap) + tech_3_5*#REF! + tech_5_3*#REF! + tech_5_5*#REF!))*elite2_ore,0)</f>
        <v>#REF!</v>
      </c>
      <c r="BQ136" s="39" t="e">
        <f>ROUNDUP((1-MIN(ROUND(fh_spy_cost_red*#REF!,4),fh_spy_cost_cap)+ tech_1_9*#REF! + tech_9_1*#REF!)*spy_plat,0)</f>
        <v>#REF!</v>
      </c>
      <c r="BR136" s="39" t="e">
        <f>ROUNDUP((1-MIN(ROUND(fh_spy_cost_red*#REF!,4),fh_spy_cost_cap)+ tech_1_9*#REF! + tech_9_1*#REF!)*archspy_plat,0)</f>
        <v>#REF!</v>
      </c>
      <c r="BS136" s="39" t="e">
        <f>ROUNDUP((1-MIN(ROUND(wg_wiz_cost_bonus*#REF!,4),wg_wiz_cost_cap) + tech_1_9_2*#REF! + tech_9_1_2*#REF!)*wizard_plat,0)</f>
        <v>#REF!</v>
      </c>
      <c r="BT136" s="39" t="e">
        <f>ROUNDUP((1-MIN(ROUND(wg_wiz_cost_bonus*#REF!,4),wg_wiz_cost_cap) + tech_1_9_2*#REF! + tech_9_1_2*#REF!)*archmage_plat,0)</f>
        <v>#REF!</v>
      </c>
      <c r="BU136" s="134"/>
      <c r="BV136" s="132" t="e">
        <f>#REF!/#REF!</f>
        <v>#REF!</v>
      </c>
      <c r="BW136" s="132" t="e">
        <f>#REF!</f>
        <v>#REF!</v>
      </c>
      <c r="BX136" s="241" t="e">
        <f>IF(mystic_cap="none",#REF!/mystic_bonus,MIN(mystic_cap,#REF!/mystic_bonus))</f>
        <v>#REF!</v>
      </c>
      <c r="BY136" s="241" t="e">
        <f>IF(druid_op_cap="none",#REF!/druid_op_bonus,MIN(druid_op_cap,#REF!/druid_op_bonus))</f>
        <v>#REF!</v>
      </c>
      <c r="BZ136" s="241" t="e">
        <f>IF(druid_dp_cap="none",#REF!/druid_dp_bonus,MIN(druid_dp_cap,#REF!/druid_dp_bonus))</f>
        <v>#REF!</v>
      </c>
      <c r="CA136" s="241" t="e">
        <f>MIN(dryad_cap,#REF!/dryad_bonus)</f>
        <v>#REF!</v>
      </c>
      <c r="CB136" s="241" t="e">
        <f>MIN(rocka_cap,#REF!/rocka_bonus)</f>
        <v>#REF!</v>
      </c>
      <c r="CC136" s="241" t="e">
        <f>MIN(adept_op_cap,#REF!/adept_op_bonus)</f>
        <v>#REF!</v>
      </c>
      <c r="CD136" s="241" t="e">
        <f>MIN(adept_dp_cap,#REF!/adept_dp_bonus)</f>
        <v>#REF!</v>
      </c>
      <c r="CE136" s="39" t="e">
        <f>MIN(#REF!,#REF!)*2</f>
        <v>#REF!</v>
      </c>
      <c r="CF136" s="39" t="e">
        <f>MIN(#REF!,#REF!)*2</f>
        <v>#REF!</v>
      </c>
      <c r="CG136" s="241" t="e">
        <f>MIN(frost_mage_cap,#REF!/frost_mage_bonus)</f>
        <v>#REF!</v>
      </c>
      <c r="CH136" s="3" t="e">
        <f>MIN(ice_elem_cap,#REF!*ice_elem_bonus)</f>
        <v>#REF!</v>
      </c>
      <c r="CI136" s="241">
        <f t="shared" si="4"/>
        <v>0.83333333333333337</v>
      </c>
      <c r="CJ136" s="241" t="e">
        <f>MIN(nox_nightshade_cap,#REF!/#REF!/nox_nightshade_swamp_bonus)</f>
        <v>#REF!</v>
      </c>
      <c r="CK136" s="242"/>
      <c r="CL136" s="242"/>
      <c r="CM136" s="242"/>
      <c r="CN136" s="241" t="e">
        <f>MIN(6,#REF!+Races!$F$19)*1.8 +  IF(#REF!+Races!$F$19&gt;6,(#REF!+Races!$F$19-6)*0.2,0) - Races!$I$19</f>
        <v>#REF!</v>
      </c>
      <c r="CO136" s="241" t="e">
        <f>1.8 * MIN(MAX(#REF!+Races!$E$20,#REF!+Races!$F$20),6)  +  0.45 * MIN(MIN(#REF!+Races!$E$20,#REF!+Races!$F$20),6)  +  0.2 * ( MAX(#REF!+Races!$E$20-6,0) + MAX(#REF!+Races!$F$20-6,0) )  -  Races!$I$20</f>
        <v>#REF!</v>
      </c>
      <c r="CP136" s="39" t="e">
        <f>#REF!*#REF!+#REF!*#REF!</f>
        <v>#REF!</v>
      </c>
      <c r="CQ136" s="145" t="e">
        <f>MIN(6,#REF!+Races!$F$35)*1.8 +  IF(#REF!+Races!$F$35&gt;6,(#REF!+Races!$F$35-6)*0.2,0) - Races!$I$19</f>
        <v>#REF!</v>
      </c>
      <c r="CR136" s="39" t="e">
        <f>sylvan*(#REF!*#REF!)</f>
        <v>#REF!</v>
      </c>
      <c r="CS136" s="145" t="e">
        <f>1.8 * MIN(MAX(Races!$E$27,#REF!+Races!$F$27),6)  +  0.45 * MIN(MIN(Races!$E$27,#REF!+Races!$F$27),6)  +  0.2 * ( MAX(Races!$E$27-6,0) + MAX(#REF!+Races!$F$27-6,0) )  -  Races!$I$20</f>
        <v>#REF!</v>
      </c>
      <c r="CT136" s="39" t="e">
        <f>gnome*(#REF!*#REF!)</f>
        <v>#REF!</v>
      </c>
      <c r="CU136" s="145" t="e">
        <f>1.8 * MIN(MAX(#REF!+Races!$E$47,#REF!+Races!$F$47),6)  +  0.45 * MIN(MIN(#REF!+Races!$E$47,#REF!+Races!$F$47),6)  +  0.2 * ( MAX(#REF!+Races!$E$47-6,0) + MAX(#REF!+Races!$F$47-6,0) )  -  Races!$I$47</f>
        <v>#REF!</v>
      </c>
      <c r="CV136" s="39" t="e">
        <f>dark_elf*(#REF!*#REF!)</f>
        <v>#REF!</v>
      </c>
      <c r="CW136" s="145" t="e">
        <f>1.8 * MIN(MAX(#REF!+Races!$F$71,Races!$E$71),6)  +  0.45 * MIN(MIN(#REF!+Races!$F$71,Races!$E$71),6)  +  0.2 * ( MAX(#REF!+Races!$F$71-6,0) + MAX(Races!$E$71-6,0) )  -  Races!$I$71</f>
        <v>#REF!</v>
      </c>
      <c r="CX136" s="145" t="e">
        <f>1.8 * MIN(MAX(#REF!+Races!$E$71,Races!$F$71),6)  +  0.45 * MIN(MIN(#REF!+Races!$E$71,Races!$F$71),6)  +  0.2 * ( MAX(#REF!+Races!$E$71-6,0) + MAX(Races!$F$71-6,0) )  -  Races!$I$71</f>
        <v>#REF!</v>
      </c>
      <c r="CY136" s="39" t="e">
        <f>#REF!*#REF!+#REF!*#REF!</f>
        <v>#REF!</v>
      </c>
      <c r="CZ136" s="243"/>
      <c r="DA136" s="135" t="e">
        <f>MIN(SUM(#REF!)/#REF!/favorable_terrain_bonus/100,favorable_terrain_max)</f>
        <v>#REF!</v>
      </c>
      <c r="DB136" s="243"/>
      <c r="DC136" s="39" t="e">
        <f>Overview!$F$22*#REF!+Overview!$F$23*#REF!+(1.8 * MIN(MAX(elite1_base_op,elite1_base_dp),6)  +  0.45 * MIN(MIN(elite1_base_op,elite1_base_dp),6)  +  0.2 * ( MAX(elite1_base_op-6,0) + MAX(elite1_base_dp-6,0) ))*#REF!+(1.8 * MIN(MAX(elite2_base_op,elite2_base_dp),6)  +  0.45 * MIN(MIN(elite2_base_op,elite2_base_dp),6)  +  0.2 * ( MAX(elite2_base_op-6,0) + MAX(elite2_base_dp-6,0) ))*#REF!+Overview!$F$26*#REF!+Overview!$F$28*#REF!+Overview!$F$29*#REF!+#REF!*20+#REF!*5 +#REF!* woodie+#REF!*sylvan+#REF!*gnome+#REF!*dark_elf+#REF!*icekin</f>
        <v>#REF!</v>
      </c>
      <c r="DD136" s="134"/>
      <c r="DE136" s="244" t="e">
        <f>(#REF!+2*#REF!)/#REF!</f>
        <v>#REF!</v>
      </c>
      <c r="DF136" s="244" t="e">
        <f>#REF!*(1+race_wizard_strength+IF(#REF!&gt;72,tech_magical_weaponry_wiz*#REF!,0))</f>
        <v>#REF!</v>
      </c>
    </row>
    <row r="137" spans="1:110" x14ac:dyDescent="0.25">
      <c r="AJ137" s="3">
        <v>100</v>
      </c>
    </row>
    <row r="139" spans="1:110" x14ac:dyDescent="0.25">
      <c r="AF139" s="3" t="e">
        <f ca="1">SUM(E136:L136)</f>
        <v>#REF!</v>
      </c>
    </row>
    <row r="1269" spans="2:3" ht="13" x14ac:dyDescent="0.3">
      <c r="B1269" s="448" t="s">
        <v>316</v>
      </c>
      <c r="C1269" s="448"/>
    </row>
    <row r="1270" spans="2:3" ht="13" x14ac:dyDescent="0.3">
      <c r="B1270" s="31" t="e">
        <f>Overview!E17</f>
        <v>#REF!</v>
      </c>
      <c r="C1270" s="31"/>
    </row>
  </sheetData>
  <mergeCells count="8">
    <mergeCell ref="B1269:C1269"/>
    <mergeCell ref="CN1:CV1"/>
    <mergeCell ref="P1:R1"/>
    <mergeCell ref="Y1:AA1"/>
    <mergeCell ref="BV1:BX1"/>
    <mergeCell ref="BI1:BT1"/>
    <mergeCell ref="S1:T1"/>
    <mergeCell ref="V1:W1"/>
  </mergeCells>
  <phoneticPr fontId="1"/>
  <conditionalFormatting sqref="A3:DF136">
    <cfRule type="expression" dxfId="27" priority="39">
      <formula>ROUND(($A3-1)/12,0)=INT($A3-1)/12</formula>
    </cfRule>
  </conditionalFormatting>
  <conditionalFormatting sqref="A4:DF136">
    <cfRule type="expression" dxfId="26" priority="1" stopIfTrue="1">
      <formula>ROW()-3=$B$1270</formula>
    </cfRule>
    <cfRule type="expression" dxfId="25" priority="2" stopIfTrue="1">
      <formula>OR(ROW()-3=$B$1270,A4&lt;0)</formula>
    </cfRule>
    <cfRule type="expression" dxfId="24" priority="35">
      <formula>$A4=73</formula>
    </cfRule>
  </conditionalFormatting>
  <conditionalFormatting sqref="A137:DF1268 A1271:DF60143 A6994:A65053">
    <cfRule type="expression" dxfId="23" priority="37" stopIfTrue="1">
      <formula>ROW()-2=#REF!</formula>
    </cfRule>
  </conditionalFormatting>
  <conditionalFormatting sqref="A1269:DF1270">
    <cfRule type="expression" dxfId="22" priority="38" stopIfTrue="1">
      <formula>$B$1270&gt;144</formula>
    </cfRule>
  </conditionalFormatting>
  <conditionalFormatting sqref="A1:XFD3">
    <cfRule type="expression" dxfId="21" priority="40">
      <formula>$B$1270&lt;0</formula>
    </cfRule>
  </conditionalFormatting>
  <pageMargins left="0.75" right="0.75" top="1" bottom="1" header="0.5" footer="0.5"/>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552583"/>
  </sheetPr>
  <dimension ref="A1:AO1270"/>
  <sheetViews>
    <sheetView zoomScale="85" zoomScaleNormal="85" workbookViewId="0">
      <pane ySplit="3" topLeftCell="A4" activePane="bottomLeft" state="frozenSplit"/>
      <selection activeCell="A3" sqref="A3"/>
      <selection pane="bottomLeft" activeCell="G4" sqref="G4"/>
    </sheetView>
  </sheetViews>
  <sheetFormatPr defaultColWidth="9.1796875" defaultRowHeight="12.5" x14ac:dyDescent="0.25"/>
  <cols>
    <col min="1" max="1" width="7.54296875" style="57" customWidth="1"/>
    <col min="2" max="2" width="7.7265625" style="3" customWidth="1"/>
    <col min="3" max="6" width="8.54296875" style="3" customWidth="1"/>
    <col min="7" max="17" width="10.1796875" style="3" customWidth="1"/>
    <col min="18" max="18" width="11" style="3" customWidth="1"/>
    <col min="19" max="19" width="11.453125" style="3" customWidth="1"/>
    <col min="20" max="22" width="10.1796875" style="3" customWidth="1"/>
    <col min="23" max="23" width="3.453125" style="3" customWidth="1"/>
    <col min="24" max="24" width="9.1796875" style="3" customWidth="1"/>
    <col min="25" max="25" width="10.54296875" style="3" customWidth="1"/>
    <col min="26" max="26" width="3.81640625" style="3" hidden="1" customWidth="1"/>
    <col min="27" max="40" width="11.453125" style="3" hidden="1" customWidth="1"/>
    <col min="41" max="41" width="0" style="3" hidden="1" customWidth="1"/>
    <col min="42" max="42" width="9.1796875" style="3" customWidth="1"/>
    <col min="43" max="16384" width="9.1796875" style="3"/>
  </cols>
  <sheetData>
    <row r="1" spans="1:41" s="31" customFormat="1" ht="13" x14ac:dyDescent="0.3">
      <c r="O1" s="455" t="s">
        <v>1086</v>
      </c>
      <c r="U1" s="232"/>
      <c r="X1" s="31" t="s">
        <v>33</v>
      </c>
      <c r="AA1" s="31" t="s">
        <v>206</v>
      </c>
      <c r="AF1" s="31" t="s">
        <v>91</v>
      </c>
      <c r="AG1" s="31" t="s">
        <v>94</v>
      </c>
      <c r="AH1" s="31" t="s">
        <v>93</v>
      </c>
      <c r="AI1" s="31" t="s">
        <v>362</v>
      </c>
      <c r="AJ1" s="31" t="s">
        <v>92</v>
      </c>
      <c r="AK1" s="31" t="s">
        <v>102</v>
      </c>
      <c r="AL1" s="31" t="s">
        <v>330</v>
      </c>
      <c r="AM1" s="31" t="s">
        <v>344</v>
      </c>
      <c r="AN1" s="31" t="s">
        <v>499</v>
      </c>
    </row>
    <row r="2" spans="1:41" s="31" customFormat="1" ht="13" x14ac:dyDescent="0.3">
      <c r="G2" s="31" t="s">
        <v>196</v>
      </c>
      <c r="L2" s="232" t="s">
        <v>536</v>
      </c>
      <c r="M2" s="256" t="s">
        <v>94</v>
      </c>
      <c r="N2" s="256" t="s">
        <v>93</v>
      </c>
      <c r="O2" s="455"/>
      <c r="P2" s="232" t="s">
        <v>92</v>
      </c>
      <c r="Q2" s="232" t="s">
        <v>102</v>
      </c>
      <c r="R2" s="232" t="s">
        <v>330</v>
      </c>
      <c r="S2" s="232" t="s">
        <v>344</v>
      </c>
      <c r="T2" s="232" t="s">
        <v>499</v>
      </c>
      <c r="U2" s="232" t="s">
        <v>90</v>
      </c>
      <c r="V2" s="232" t="s">
        <v>501</v>
      </c>
    </row>
    <row r="3" spans="1:41" s="258" customFormat="1" ht="29.25" customHeight="1" thickBot="1" x14ac:dyDescent="0.3">
      <c r="A3" s="128" t="s">
        <v>0</v>
      </c>
      <c r="B3" s="128" t="s">
        <v>1</v>
      </c>
      <c r="C3" s="128" t="s">
        <v>12</v>
      </c>
      <c r="D3" s="128" t="s">
        <v>195</v>
      </c>
      <c r="E3" s="128" t="s">
        <v>311</v>
      </c>
      <c r="F3" s="128" t="s">
        <v>325</v>
      </c>
      <c r="G3" s="128" t="s">
        <v>197</v>
      </c>
      <c r="H3" s="128" t="s">
        <v>198</v>
      </c>
      <c r="I3" s="128" t="s">
        <v>199</v>
      </c>
      <c r="J3" s="128" t="s">
        <v>200</v>
      </c>
      <c r="K3" s="385" t="s">
        <v>201</v>
      </c>
      <c r="L3" s="128" t="s">
        <v>264</v>
      </c>
      <c r="M3" s="257" t="s">
        <v>528</v>
      </c>
      <c r="N3" s="257" t="s">
        <v>263</v>
      </c>
      <c r="O3" s="128" t="s">
        <v>1087</v>
      </c>
      <c r="P3" s="128" t="s">
        <v>299</v>
      </c>
      <c r="Q3" s="128" t="s">
        <v>336</v>
      </c>
      <c r="R3" s="128" t="s">
        <v>1088</v>
      </c>
      <c r="S3" s="128" t="s">
        <v>342</v>
      </c>
      <c r="T3" s="128" t="s">
        <v>426</v>
      </c>
      <c r="U3" s="128" t="s">
        <v>1081</v>
      </c>
      <c r="V3" s="128" t="s">
        <v>502</v>
      </c>
      <c r="W3" s="128" t="s">
        <v>773</v>
      </c>
      <c r="X3" s="128" t="s">
        <v>921</v>
      </c>
      <c r="Y3" s="128" t="s">
        <v>922</v>
      </c>
      <c r="Z3" s="128" t="s">
        <v>774</v>
      </c>
      <c r="AA3" s="128" t="s">
        <v>923</v>
      </c>
      <c r="AB3" s="128" t="s">
        <v>924</v>
      </c>
      <c r="AC3" s="128" t="s">
        <v>925</v>
      </c>
      <c r="AD3" s="128" t="s">
        <v>926</v>
      </c>
      <c r="AE3" s="128" t="s">
        <v>927</v>
      </c>
      <c r="AF3" s="128" t="s">
        <v>930</v>
      </c>
      <c r="AG3" s="128" t="s">
        <v>931</v>
      </c>
      <c r="AH3" s="128" t="s">
        <v>932</v>
      </c>
      <c r="AI3" s="128" t="s">
        <v>928</v>
      </c>
      <c r="AJ3" s="128" t="s">
        <v>933</v>
      </c>
      <c r="AK3" s="128" t="s">
        <v>934</v>
      </c>
      <c r="AL3" s="128" t="s">
        <v>1097</v>
      </c>
      <c r="AM3" s="128" t="s">
        <v>935</v>
      </c>
      <c r="AN3" s="128" t="s">
        <v>929</v>
      </c>
      <c r="AO3" s="391" t="s">
        <v>1082</v>
      </c>
    </row>
    <row r="4" spans="1:41" x14ac:dyDescent="0.25">
      <c r="A4" s="130" t="e">
        <f>#REF!</f>
        <v>#REF!</v>
      </c>
      <c r="B4" s="133" t="e">
        <f>#REF!</f>
        <v>#REF!</v>
      </c>
      <c r="C4" s="39" t="e">
        <f>#REF!</f>
        <v>#REF!</v>
      </c>
      <c r="D4" s="379" t="e">
        <f>1-#REF!</f>
        <v>#REF!</v>
      </c>
      <c r="E4" s="147" t="e">
        <f>Imps!L4</f>
        <v>#REF!</v>
      </c>
      <c r="F4" s="135" t="e">
        <f>#REF!</f>
        <v>#REF!</v>
      </c>
      <c r="G4" s="210"/>
      <c r="H4" s="210"/>
      <c r="I4" s="210"/>
      <c r="J4" s="210"/>
      <c r="K4" s="386"/>
      <c r="L4" s="210"/>
      <c r="M4" s="210"/>
      <c r="N4" s="210"/>
      <c r="O4" s="210"/>
      <c r="P4" s="210"/>
      <c r="Q4" s="210"/>
      <c r="R4" s="210"/>
      <c r="S4" s="210"/>
      <c r="T4" s="210"/>
      <c r="U4" s="210"/>
      <c r="V4" s="210"/>
      <c r="W4" s="134"/>
      <c r="X4" s="39" t="e">
        <f>(MAX(1-wg_spell_cost_cap,1-wg_spell_cost_red*ROUND(#REF!/#REF!,4))+ tech_3_9*#REF! + tech_6_2_2*#REF! )*(#REF!-#REF!*20)*(#REF!* Constants!$B$75 +#REF!* Constants!$B$76 +#REF!* Constants!$B$77 +#REF!* Constants!$B$79 +#REF!* Constants!$B$78  + SUM(#REF!)*Constants!$B$80*(1+tech_9_3*#REF!))</f>
        <v>#REF!</v>
      </c>
      <c r="Y4" s="135" t="e">
        <f>SUMIF(#REF!,1)*0.05</f>
        <v>#REF!</v>
      </c>
      <c r="Z4" s="134"/>
      <c r="AA4" s="380" t="e">
        <f>#REF!*12</f>
        <v>#REF!</v>
      </c>
      <c r="AB4" s="380" t="e">
        <f>#REF!*12</f>
        <v>#REF!</v>
      </c>
      <c r="AC4" s="380" t="e">
        <f>#REF!*12</f>
        <v>#REF!</v>
      </c>
      <c r="AD4" s="380" t="e">
        <f>#REF!*12</f>
        <v>#REF!</v>
      </c>
      <c r="AE4" s="380" t="e">
        <f>#REF!*12</f>
        <v>#REF!</v>
      </c>
      <c r="AF4" s="380" t="e">
        <f>#REF!*12</f>
        <v>#REF!</v>
      </c>
      <c r="AG4" s="380" t="e">
        <f>#REF!*12</f>
        <v>#REF!</v>
      </c>
      <c r="AH4" s="380" t="e">
        <f>#REF!*12</f>
        <v>#REF!</v>
      </c>
      <c r="AI4" s="380" t="e">
        <f>#REF!*12</f>
        <v>#REF!</v>
      </c>
      <c r="AJ4" s="380" t="e">
        <f>#REF!*12</f>
        <v>#REF!</v>
      </c>
      <c r="AK4" s="380" t="e">
        <f>#REF!*12</f>
        <v>#REF!</v>
      </c>
      <c r="AL4" s="380" t="e">
        <f>#REF!*12</f>
        <v>#REF!</v>
      </c>
      <c r="AM4" s="380" t="e">
        <f>#REF!*12</f>
        <v>#REF!</v>
      </c>
      <c r="AN4" s="380" t="e">
        <f>#REF!*12</f>
        <v>#REF!</v>
      </c>
      <c r="AO4" s="392" t="e">
        <f>#REF!*12</f>
        <v>#REF!</v>
      </c>
    </row>
    <row r="5" spans="1:41" x14ac:dyDescent="0.25">
      <c r="A5" s="130" t="e">
        <f>#REF!</f>
        <v>#REF!</v>
      </c>
      <c r="B5" s="133" t="e">
        <f>#REF!</f>
        <v>#REF!</v>
      </c>
      <c r="C5" s="39" t="e">
        <f>#REF!</f>
        <v>#REF!</v>
      </c>
      <c r="D5" s="135" t="e">
        <f ca="1">MIN(1,OFFSET(#REF!,-1,0)+0.04+ROUNDDOWN(10*OFFSET(#REF!,-1,0),0)+ tech_2_7*OFFSET(#REF!,-1,0) + tech_5_6*OFFSET(#REF!,-1,0) )-#REF!</f>
        <v>#REF!</v>
      </c>
      <c r="E5" s="147" t="e">
        <f ca="1">OFFSET(#REF!,-1,0)+1/24</f>
        <v>#REF!</v>
      </c>
      <c r="F5" s="135" t="e">
        <f>#REF!</f>
        <v>#REF!</v>
      </c>
      <c r="G5" s="210"/>
      <c r="H5" s="210"/>
      <c r="I5" s="210"/>
      <c r="J5" s="210"/>
      <c r="K5" s="386"/>
      <c r="L5" s="210"/>
      <c r="M5" s="210"/>
      <c r="N5" s="210"/>
      <c r="O5" s="210"/>
      <c r="P5" s="210"/>
      <c r="Q5" s="210"/>
      <c r="R5" s="210"/>
      <c r="S5" s="210"/>
      <c r="T5" s="210"/>
      <c r="U5" s="210"/>
      <c r="V5" s="210"/>
      <c r="W5" s="134"/>
      <c r="X5" s="39" t="e">
        <f>(MAX(1-wg_spell_cost_cap,1-wg_spell_cost_red*ROUND(#REF!/#REF!,4))+ tech_3_9*#REF! + tech_6_2_2*#REF! )*(#REF!-#REF!*20)*(#REF!* Constants!$B$75 +#REF!* Constants!$B$76 +#REF!* Constants!$B$77 +#REF!* Constants!$B$79 +#REF!* Constants!$B$78  + SUM(#REF!)*Constants!$B$80*(1+tech_9_3*#REF!))</f>
        <v>#REF!</v>
      </c>
      <c r="Y5" s="135" t="e">
        <f>SUMIF(#REF!,1)*0.05</f>
        <v>#REF!</v>
      </c>
      <c r="Z5" s="134"/>
      <c r="AA5" s="57" t="e">
        <f ca="1">IF(#REF!,12,IF(OFFSET(#REF!,-1,0)&gt;0,OFFSET(#REF!,-1,0)-1,0))</f>
        <v>#REF!</v>
      </c>
      <c r="AB5" s="57" t="e">
        <f ca="1">IF(#REF!,12,IF(OFFSET(#REF!,-1,0)&gt;0,OFFSET(#REF!,-1,0)-1,0))</f>
        <v>#REF!</v>
      </c>
      <c r="AC5" s="57" t="e">
        <f ca="1">IF(#REF!,12,IF(OFFSET(#REF!,-1,0)&gt;0,OFFSET(#REF!,-1,0)-1,0))</f>
        <v>#REF!</v>
      </c>
      <c r="AD5" s="57" t="e">
        <f ca="1">IF(#REF!,12,IF(OFFSET(#REF!,-1,0)&gt;0,OFFSET(#REF!,-1,0)-1,0))</f>
        <v>#REF!</v>
      </c>
      <c r="AE5" s="57" t="e">
        <f ca="1">IF(#REF!,12,IF(OFFSET(#REF!,-1,0)&gt;0,OFFSET(#REF!,-1,0)-1,0))</f>
        <v>#REF!</v>
      </c>
      <c r="AF5" s="57" t="e">
        <f ca="1">IF(#REF!,12,IF(OFFSET(#REF!,-1,0)&gt;0,OFFSET(#REF!,-1,0)-1,0))</f>
        <v>#REF!</v>
      </c>
      <c r="AG5" s="57" t="e">
        <f ca="1">IF(#REF!,12,IF(OFFSET(#REF!,-1,0)&gt;0,OFFSET(#REF!,-1,0)-1,0))</f>
        <v>#REF!</v>
      </c>
      <c r="AH5" s="57" t="e">
        <f ca="1">IF(#REF!,12,IF(OFFSET(#REF!,-1,0)&gt;0,OFFSET(#REF!,-1,0)-1,0))</f>
        <v>#REF!</v>
      </c>
      <c r="AI5" s="57" t="e">
        <f ca="1">IF(#REF!,12,IF(OFFSET(#REF!,-1,0)&gt;0,OFFSET(#REF!,-1,0)-1,0))</f>
        <v>#REF!</v>
      </c>
      <c r="AJ5" s="57" t="e">
        <f ca="1">IF(#REF!,12,IF(OFFSET(#REF!,-1,0)&gt;0,OFFSET(#REF!,-1,0)-1,0))</f>
        <v>#REF!</v>
      </c>
      <c r="AK5" s="57" t="e">
        <f ca="1">IF(#REF!,12,IF(OFFSET(#REF!,-1,0)&gt;0,OFFSET(#REF!,-1,0)-1,0))</f>
        <v>#REF!</v>
      </c>
      <c r="AL5" s="57" t="e">
        <f ca="1">IF(#REF!,12,IF(OFFSET(#REF!,-1,0)&gt;0,OFFSET(#REF!,-1,0)-1,0))</f>
        <v>#REF!</v>
      </c>
      <c r="AM5" s="57" t="e">
        <f ca="1">IF(#REF!,12,IF(OFFSET(#REF!,-1,0)&gt;0,OFFSET(#REF!,-1,0)-1,0))</f>
        <v>#REF!</v>
      </c>
      <c r="AN5" s="57" t="e">
        <f ca="1">IF(#REF!,12,IF(OFFSET(#REF!,-1,0)&gt;0,OFFSET(#REF!,-1,0)-1,0))</f>
        <v>#REF!</v>
      </c>
      <c r="AO5" s="57" t="e">
        <f ca="1">IF(#REF!,12,IF(OFFSET(#REF!,-1,0)&gt;0,OFFSET(#REF!,-1,0)-1,0))</f>
        <v>#REF!</v>
      </c>
    </row>
    <row r="6" spans="1:41" x14ac:dyDescent="0.25">
      <c r="A6" s="130" t="e">
        <f>#REF!</f>
        <v>#REF!</v>
      </c>
      <c r="B6" s="133" t="e">
        <f>#REF!</f>
        <v>#REF!</v>
      </c>
      <c r="C6" s="39" t="e">
        <f>#REF!</f>
        <v>#REF!</v>
      </c>
      <c r="D6" s="135" t="e">
        <f ca="1">MIN(1,OFFSET(#REF!,-1,0)+0.04+ROUNDDOWN(10*OFFSET(#REF!,-1,0),0)+ tech_2_7*OFFSET(#REF!,-1,0) + tech_5_6*OFFSET(#REF!,-1,0) )-#REF!</f>
        <v>#REF!</v>
      </c>
      <c r="E6" s="147" t="e">
        <f ca="1">OFFSET(#REF!,-1,0)+1/24</f>
        <v>#REF!</v>
      </c>
      <c r="F6" s="135" t="e">
        <f>#REF!</f>
        <v>#REF!</v>
      </c>
      <c r="G6" s="210"/>
      <c r="H6" s="210"/>
      <c r="I6" s="210"/>
      <c r="J6" s="210"/>
      <c r="K6" s="386"/>
      <c r="L6" s="210"/>
      <c r="M6" s="210"/>
      <c r="N6" s="210"/>
      <c r="O6" s="210"/>
      <c r="P6" s="210"/>
      <c r="Q6" s="210"/>
      <c r="R6" s="210"/>
      <c r="S6" s="210"/>
      <c r="T6" s="210"/>
      <c r="U6" s="210"/>
      <c r="V6" s="210"/>
      <c r="W6" s="134"/>
      <c r="X6" s="39" t="e">
        <f>(MAX(1-wg_spell_cost_cap,1-wg_spell_cost_red*ROUND(#REF!/#REF!,4))+ tech_3_9*#REF! + tech_6_2_2*#REF! )*(#REF!-#REF!*20)*(#REF!* Constants!$B$75 +#REF!* Constants!$B$76 +#REF!* Constants!$B$77 +#REF!* Constants!$B$79 +#REF!* Constants!$B$78  + SUM(#REF!)*Constants!$B$80*(1+tech_9_3*#REF!))</f>
        <v>#REF!</v>
      </c>
      <c r="Y6" s="135" t="e">
        <f>SUMIF(#REF!,1)*0.05</f>
        <v>#REF!</v>
      </c>
      <c r="Z6" s="134"/>
      <c r="AA6" s="57" t="e">
        <f ca="1">IF(#REF!,12,IF(OFFSET(#REF!,-1,0)&gt;0,OFFSET(#REF!,-1,0)-1,0))</f>
        <v>#REF!</v>
      </c>
      <c r="AB6" s="57" t="e">
        <f ca="1">IF(#REF!,12,IF(OFFSET(#REF!,-1,0)&gt;0,OFFSET(#REF!,-1,0)-1,0))</f>
        <v>#REF!</v>
      </c>
      <c r="AC6" s="57" t="e">
        <f ca="1">IF(#REF!,12,IF(OFFSET(#REF!,-1,0)&gt;0,OFFSET(#REF!,-1,0)-1,0))</f>
        <v>#REF!</v>
      </c>
      <c r="AD6" s="57" t="e">
        <f ca="1">IF(#REF!,12,IF(OFFSET(#REF!,-1,0)&gt;0,OFFSET(#REF!,-1,0)-1,0))</f>
        <v>#REF!</v>
      </c>
      <c r="AE6" s="57" t="e">
        <f ca="1">IF(#REF!,12,IF(OFFSET(#REF!,-1,0)&gt;0,OFFSET(#REF!,-1,0)-1,0))</f>
        <v>#REF!</v>
      </c>
      <c r="AF6" s="57" t="e">
        <f ca="1">IF(#REF!,12,IF(OFFSET(#REF!,-1,0)&gt;0,OFFSET(#REF!,-1,0)-1,0))</f>
        <v>#REF!</v>
      </c>
      <c r="AG6" s="57" t="e">
        <f ca="1">IF(#REF!,12,IF(OFFSET(#REF!,-1,0)&gt;0,OFFSET(#REF!,-1,0)-1,0))</f>
        <v>#REF!</v>
      </c>
      <c r="AH6" s="57" t="e">
        <f ca="1">IF(#REF!,12,IF(OFFSET(#REF!,-1,0)&gt;0,OFFSET(#REF!,-1,0)-1,0))</f>
        <v>#REF!</v>
      </c>
      <c r="AI6" s="57" t="e">
        <f ca="1">IF(#REF!,12,IF(OFFSET(#REF!,-1,0)&gt;0,OFFSET(#REF!,-1,0)-1,0))</f>
        <v>#REF!</v>
      </c>
      <c r="AJ6" s="57" t="e">
        <f ca="1">IF(#REF!,12,IF(OFFSET(#REF!,-1,0)&gt;0,OFFSET(#REF!,-1,0)-1,0))</f>
        <v>#REF!</v>
      </c>
      <c r="AK6" s="57" t="e">
        <f ca="1">IF(#REF!,12,IF(OFFSET(#REF!,-1,0)&gt;0,OFFSET(#REF!,-1,0)-1,0))</f>
        <v>#REF!</v>
      </c>
      <c r="AL6" s="57" t="e">
        <f ca="1">IF(#REF!,12,IF(OFFSET(#REF!,-1,0)&gt;0,OFFSET(#REF!,-1,0)-1,0))</f>
        <v>#REF!</v>
      </c>
      <c r="AM6" s="57" t="e">
        <f ca="1">IF(#REF!,12,IF(OFFSET(#REF!,-1,0)&gt;0,OFFSET(#REF!,-1,0)-1,0))</f>
        <v>#REF!</v>
      </c>
      <c r="AN6" s="57" t="e">
        <f ca="1">IF(#REF!,12,IF(OFFSET(#REF!,-1,0)&gt;0,OFFSET(#REF!,-1,0)-1,0))</f>
        <v>#REF!</v>
      </c>
      <c r="AO6" s="57" t="e">
        <f ca="1">IF(#REF!,12,IF(OFFSET(#REF!,-1,0)&gt;0,OFFSET(#REF!,-1,0)-1,0))</f>
        <v>#REF!</v>
      </c>
    </row>
    <row r="7" spans="1:41" x14ac:dyDescent="0.25">
      <c r="A7" s="130" t="e">
        <f>#REF!</f>
        <v>#REF!</v>
      </c>
      <c r="B7" s="133" t="e">
        <f>#REF!</f>
        <v>#REF!</v>
      </c>
      <c r="C7" s="39" t="e">
        <f>#REF!</f>
        <v>#REF!</v>
      </c>
      <c r="D7" s="135" t="e">
        <f ca="1">MIN(1,OFFSET(#REF!,-1,0)+0.04+ROUNDDOWN(10*OFFSET(#REF!,-1,0),0)+ tech_2_7*OFFSET(#REF!,-1,0) + tech_5_6*OFFSET(#REF!,-1,0) )-#REF!</f>
        <v>#REF!</v>
      </c>
      <c r="E7" s="147" t="e">
        <f ca="1">OFFSET(#REF!,-1,0)+1/24</f>
        <v>#REF!</v>
      </c>
      <c r="F7" s="135" t="e">
        <f>#REF!</f>
        <v>#REF!</v>
      </c>
      <c r="G7" s="210"/>
      <c r="H7" s="210"/>
      <c r="I7" s="210"/>
      <c r="J7" s="210"/>
      <c r="K7" s="386"/>
      <c r="L7" s="210"/>
      <c r="M7" s="210"/>
      <c r="N7" s="210"/>
      <c r="O7" s="210"/>
      <c r="P7" s="210"/>
      <c r="Q7" s="210"/>
      <c r="R7" s="210"/>
      <c r="S7" s="210"/>
      <c r="T7" s="210"/>
      <c r="U7" s="210"/>
      <c r="V7" s="210"/>
      <c r="W7" s="134"/>
      <c r="X7" s="39" t="e">
        <f>(MAX(1-wg_spell_cost_cap,1-wg_spell_cost_red*ROUND(#REF!/#REF!,4))+ tech_3_9*#REF! + tech_6_2_2*#REF! )*(#REF!-#REF!*20)*(#REF!* Constants!$B$75 +#REF!* Constants!$B$76 +#REF!* Constants!$B$77 +#REF!* Constants!$B$79 +#REF!* Constants!$B$78  + SUM(#REF!)*Constants!$B$80*(1+tech_9_3*#REF!))</f>
        <v>#REF!</v>
      </c>
      <c r="Y7" s="135" t="e">
        <f>SUMIF(#REF!,1)*0.05</f>
        <v>#REF!</v>
      </c>
      <c r="Z7" s="134"/>
      <c r="AA7" s="57" t="e">
        <f ca="1">IF(#REF!,12,IF(OFFSET(#REF!,-1,0)&gt;0,OFFSET(#REF!,-1,0)-1,0))</f>
        <v>#REF!</v>
      </c>
      <c r="AB7" s="57" t="e">
        <f ca="1">IF(#REF!,12,IF(OFFSET(#REF!,-1,0)&gt;0,OFFSET(#REF!,-1,0)-1,0))</f>
        <v>#REF!</v>
      </c>
      <c r="AC7" s="57" t="e">
        <f ca="1">IF(#REF!,12,IF(OFFSET(#REF!,-1,0)&gt;0,OFFSET(#REF!,-1,0)-1,0))</f>
        <v>#REF!</v>
      </c>
      <c r="AD7" s="57" t="e">
        <f ca="1">IF(#REF!,12,IF(OFFSET(#REF!,-1,0)&gt;0,OFFSET(#REF!,-1,0)-1,0))</f>
        <v>#REF!</v>
      </c>
      <c r="AE7" s="57" t="e">
        <f ca="1">IF(#REF!,12,IF(OFFSET(#REF!,-1,0)&gt;0,OFFSET(#REF!,-1,0)-1,0))</f>
        <v>#REF!</v>
      </c>
      <c r="AF7" s="57" t="e">
        <f ca="1">IF(#REF!,12,IF(OFFSET(#REF!,-1,0)&gt;0,OFFSET(#REF!,-1,0)-1,0))</f>
        <v>#REF!</v>
      </c>
      <c r="AG7" s="57" t="e">
        <f ca="1">IF(#REF!,12,IF(OFFSET(#REF!,-1,0)&gt;0,OFFSET(#REF!,-1,0)-1,0))</f>
        <v>#REF!</v>
      </c>
      <c r="AH7" s="57" t="e">
        <f ca="1">IF(#REF!,12,IF(OFFSET(#REF!,-1,0)&gt;0,OFFSET(#REF!,-1,0)-1,0))</f>
        <v>#REF!</v>
      </c>
      <c r="AI7" s="57" t="e">
        <f ca="1">IF(#REF!,12,IF(OFFSET(#REF!,-1,0)&gt;0,OFFSET(#REF!,-1,0)-1,0))</f>
        <v>#REF!</v>
      </c>
      <c r="AJ7" s="57" t="e">
        <f ca="1">IF(#REF!,12,IF(OFFSET(#REF!,-1,0)&gt;0,OFFSET(#REF!,-1,0)-1,0))</f>
        <v>#REF!</v>
      </c>
      <c r="AK7" s="57" t="e">
        <f ca="1">IF(#REF!,12,IF(OFFSET(#REF!,-1,0)&gt;0,OFFSET(#REF!,-1,0)-1,0))</f>
        <v>#REF!</v>
      </c>
      <c r="AL7" s="57" t="e">
        <f ca="1">IF(#REF!,12,IF(OFFSET(#REF!,-1,0)&gt;0,OFFSET(#REF!,-1,0)-1,0))</f>
        <v>#REF!</v>
      </c>
      <c r="AM7" s="57" t="e">
        <f ca="1">IF(#REF!,12,IF(OFFSET(#REF!,-1,0)&gt;0,OFFSET(#REF!,-1,0)-1,0))</f>
        <v>#REF!</v>
      </c>
      <c r="AN7" s="57" t="e">
        <f ca="1">IF(#REF!,12,IF(OFFSET(#REF!,-1,0)&gt;0,OFFSET(#REF!,-1,0)-1,0))</f>
        <v>#REF!</v>
      </c>
      <c r="AO7" s="57" t="e">
        <f ca="1">IF(#REF!,12,IF(OFFSET(#REF!,-1,0)&gt;0,OFFSET(#REF!,-1,0)-1,0))</f>
        <v>#REF!</v>
      </c>
    </row>
    <row r="8" spans="1:41" x14ac:dyDescent="0.25">
      <c r="A8" s="130" t="e">
        <f>#REF!</f>
        <v>#REF!</v>
      </c>
      <c r="B8" s="133" t="e">
        <f>#REF!</f>
        <v>#REF!</v>
      </c>
      <c r="C8" s="39" t="e">
        <f>#REF!</f>
        <v>#REF!</v>
      </c>
      <c r="D8" s="135" t="e">
        <f ca="1">MIN(1,OFFSET(#REF!,-1,0)+0.04+ROUNDDOWN(10*OFFSET(#REF!,-1,0),0)+ tech_2_7*OFFSET(#REF!,-1,0) + tech_5_6*OFFSET(#REF!,-1,0) )-#REF!</f>
        <v>#REF!</v>
      </c>
      <c r="E8" s="147" t="e">
        <f ca="1">OFFSET(#REF!,-1,0)+1/24</f>
        <v>#REF!</v>
      </c>
      <c r="F8" s="135" t="e">
        <f>#REF!</f>
        <v>#REF!</v>
      </c>
      <c r="G8" s="210"/>
      <c r="H8" s="210"/>
      <c r="I8" s="210"/>
      <c r="J8" s="210"/>
      <c r="K8" s="386"/>
      <c r="L8" s="210"/>
      <c r="M8" s="210"/>
      <c r="N8" s="210"/>
      <c r="O8" s="210"/>
      <c r="P8" s="210"/>
      <c r="Q8" s="210"/>
      <c r="R8" s="210"/>
      <c r="S8" s="210"/>
      <c r="T8" s="210"/>
      <c r="U8" s="210"/>
      <c r="V8" s="210"/>
      <c r="W8" s="134"/>
      <c r="X8" s="39" t="e">
        <f>(MAX(1-wg_spell_cost_cap,1-wg_spell_cost_red*ROUND(#REF!/#REF!,4))+ tech_3_9*#REF! + tech_6_2_2*#REF! )*(#REF!-#REF!*20)*(#REF!* Constants!$B$75 +#REF!* Constants!$B$76 +#REF!* Constants!$B$77 +#REF!* Constants!$B$79 +#REF!* Constants!$B$78  + SUM(#REF!)*Constants!$B$80*(1+tech_9_3*#REF!))</f>
        <v>#REF!</v>
      </c>
      <c r="Y8" s="135" t="e">
        <f>SUMIF(#REF!,1)*0.05</f>
        <v>#REF!</v>
      </c>
      <c r="Z8" s="134"/>
      <c r="AA8" s="57" t="e">
        <f ca="1">IF(#REF!,12,IF(OFFSET(#REF!,-1,0)&gt;0,OFFSET(#REF!,-1,0)-1,0))</f>
        <v>#REF!</v>
      </c>
      <c r="AB8" s="57" t="e">
        <f ca="1">IF(#REF!,12,IF(OFFSET(#REF!,-1,0)&gt;0,OFFSET(#REF!,-1,0)-1,0))</f>
        <v>#REF!</v>
      </c>
      <c r="AC8" s="57" t="e">
        <f ca="1">IF(#REF!,12,IF(OFFSET(#REF!,-1,0)&gt;0,OFFSET(#REF!,-1,0)-1,0))</f>
        <v>#REF!</v>
      </c>
      <c r="AD8" s="57" t="e">
        <f ca="1">IF(#REF!,12,IF(OFFSET(#REF!,-1,0)&gt;0,OFFSET(#REF!,-1,0)-1,0))</f>
        <v>#REF!</v>
      </c>
      <c r="AE8" s="57" t="e">
        <f ca="1">IF(#REF!,12,IF(OFFSET(#REF!,-1,0)&gt;0,OFFSET(#REF!,-1,0)-1,0))</f>
        <v>#REF!</v>
      </c>
      <c r="AF8" s="57" t="e">
        <f ca="1">IF(#REF!,12,IF(OFFSET(#REF!,-1,0)&gt;0,OFFSET(#REF!,-1,0)-1,0))</f>
        <v>#REF!</v>
      </c>
      <c r="AG8" s="57" t="e">
        <f ca="1">IF(#REF!,12,IF(OFFSET(#REF!,-1,0)&gt;0,OFFSET(#REF!,-1,0)-1,0))</f>
        <v>#REF!</v>
      </c>
      <c r="AH8" s="57" t="e">
        <f ca="1">IF(#REF!,12,IF(OFFSET(#REF!,-1,0)&gt;0,OFFSET(#REF!,-1,0)-1,0))</f>
        <v>#REF!</v>
      </c>
      <c r="AI8" s="57" t="e">
        <f ca="1">IF(#REF!,12,IF(OFFSET(#REF!,-1,0)&gt;0,OFFSET(#REF!,-1,0)-1,0))</f>
        <v>#REF!</v>
      </c>
      <c r="AJ8" s="57" t="e">
        <f ca="1">IF(#REF!,12,IF(OFFSET(#REF!,-1,0)&gt;0,OFFSET(#REF!,-1,0)-1,0))</f>
        <v>#REF!</v>
      </c>
      <c r="AK8" s="57" t="e">
        <f ca="1">IF(#REF!,12,IF(OFFSET(#REF!,-1,0)&gt;0,OFFSET(#REF!,-1,0)-1,0))</f>
        <v>#REF!</v>
      </c>
      <c r="AL8" s="57" t="e">
        <f ca="1">IF(#REF!,12,IF(OFFSET(#REF!,-1,0)&gt;0,OFFSET(#REF!,-1,0)-1,0))</f>
        <v>#REF!</v>
      </c>
      <c r="AM8" s="57" t="e">
        <f ca="1">IF(#REF!,12,IF(OFFSET(#REF!,-1,0)&gt;0,OFFSET(#REF!,-1,0)-1,0))</f>
        <v>#REF!</v>
      </c>
      <c r="AN8" s="57" t="e">
        <f ca="1">IF(#REF!,12,IF(OFFSET(#REF!,-1,0)&gt;0,OFFSET(#REF!,-1,0)-1,0))</f>
        <v>#REF!</v>
      </c>
      <c r="AO8" s="57" t="e">
        <f ca="1">IF(#REF!,12,IF(OFFSET(#REF!,-1,0)&gt;0,OFFSET(#REF!,-1,0)-1,0))</f>
        <v>#REF!</v>
      </c>
    </row>
    <row r="9" spans="1:41" x14ac:dyDescent="0.25">
      <c r="A9" s="130" t="e">
        <f>#REF!</f>
        <v>#REF!</v>
      </c>
      <c r="B9" s="133" t="e">
        <f>#REF!</f>
        <v>#REF!</v>
      </c>
      <c r="C9" s="39" t="e">
        <f>#REF!</f>
        <v>#REF!</v>
      </c>
      <c r="D9" s="135" t="e">
        <f ca="1">MIN(1,OFFSET(#REF!,-1,0)+0.04+ROUNDDOWN(10*OFFSET(#REF!,-1,0),0)+ tech_2_7*OFFSET(#REF!,-1,0) + tech_5_6*OFFSET(#REF!,-1,0) )-#REF!</f>
        <v>#REF!</v>
      </c>
      <c r="E9" s="147" t="e">
        <f ca="1">OFFSET(#REF!,-1,0)+1/24</f>
        <v>#REF!</v>
      </c>
      <c r="F9" s="135" t="e">
        <f>#REF!</f>
        <v>#REF!</v>
      </c>
      <c r="G9" s="210"/>
      <c r="H9" s="210"/>
      <c r="I9" s="210"/>
      <c r="J9" s="210"/>
      <c r="K9" s="386"/>
      <c r="L9" s="210"/>
      <c r="M9" s="210"/>
      <c r="N9" s="210"/>
      <c r="O9" s="210"/>
      <c r="P9" s="210"/>
      <c r="Q9" s="210"/>
      <c r="R9" s="210"/>
      <c r="S9" s="210"/>
      <c r="T9" s="210"/>
      <c r="U9" s="210"/>
      <c r="V9" s="210"/>
      <c r="W9" s="134"/>
      <c r="X9" s="39" t="e">
        <f>(MAX(1-wg_spell_cost_cap,1-wg_spell_cost_red*ROUND(#REF!/#REF!,4))+ tech_3_9*#REF! + tech_6_2_2*#REF! )*(#REF!-#REF!*20)*(#REF!* Constants!$B$75 +#REF!* Constants!$B$76 +#REF!* Constants!$B$77 +#REF!* Constants!$B$79 +#REF!* Constants!$B$78  + SUM(#REF!)*Constants!$B$80*(1+tech_9_3*#REF!))</f>
        <v>#REF!</v>
      </c>
      <c r="Y9" s="135" t="e">
        <f>SUMIF(#REF!,1)*0.05</f>
        <v>#REF!</v>
      </c>
      <c r="Z9" s="134"/>
      <c r="AA9" s="57" t="e">
        <f ca="1">IF(#REF!,12,IF(OFFSET(#REF!,-1,0)&gt;0,OFFSET(#REF!,-1,0)-1,0))</f>
        <v>#REF!</v>
      </c>
      <c r="AB9" s="57" t="e">
        <f ca="1">IF(#REF!,12,IF(OFFSET(#REF!,-1,0)&gt;0,OFFSET(#REF!,-1,0)-1,0))</f>
        <v>#REF!</v>
      </c>
      <c r="AC9" s="57" t="e">
        <f ca="1">IF(#REF!,12,IF(OFFSET(#REF!,-1,0)&gt;0,OFFSET(#REF!,-1,0)-1,0))</f>
        <v>#REF!</v>
      </c>
      <c r="AD9" s="57" t="e">
        <f ca="1">IF(#REF!,12,IF(OFFSET(#REF!,-1,0)&gt;0,OFFSET(#REF!,-1,0)-1,0))</f>
        <v>#REF!</v>
      </c>
      <c r="AE9" s="57" t="e">
        <f ca="1">IF(#REF!,12,IF(OFFSET(#REF!,-1,0)&gt;0,OFFSET(#REF!,-1,0)-1,0))</f>
        <v>#REF!</v>
      </c>
      <c r="AF9" s="57" t="e">
        <f ca="1">IF(#REF!,12,IF(OFFSET(#REF!,-1,0)&gt;0,OFFSET(#REF!,-1,0)-1,0))</f>
        <v>#REF!</v>
      </c>
      <c r="AG9" s="57" t="e">
        <f ca="1">IF(#REF!,12,IF(OFFSET(#REF!,-1,0)&gt;0,OFFSET(#REF!,-1,0)-1,0))</f>
        <v>#REF!</v>
      </c>
      <c r="AH9" s="57" t="e">
        <f ca="1">IF(#REF!,12,IF(OFFSET(#REF!,-1,0)&gt;0,OFFSET(#REF!,-1,0)-1,0))</f>
        <v>#REF!</v>
      </c>
      <c r="AI9" s="57" t="e">
        <f ca="1">IF(#REF!,12,IF(OFFSET(#REF!,-1,0)&gt;0,OFFSET(#REF!,-1,0)-1,0))</f>
        <v>#REF!</v>
      </c>
      <c r="AJ9" s="57" t="e">
        <f ca="1">IF(#REF!,12,IF(OFFSET(#REF!,-1,0)&gt;0,OFFSET(#REF!,-1,0)-1,0))</f>
        <v>#REF!</v>
      </c>
      <c r="AK9" s="57" t="e">
        <f ca="1">IF(#REF!,12,IF(OFFSET(#REF!,-1,0)&gt;0,OFFSET(#REF!,-1,0)-1,0))</f>
        <v>#REF!</v>
      </c>
      <c r="AL9" s="57" t="e">
        <f ca="1">IF(#REF!,12,IF(OFFSET(#REF!,-1,0)&gt;0,OFFSET(#REF!,-1,0)-1,0))</f>
        <v>#REF!</v>
      </c>
      <c r="AM9" s="57" t="e">
        <f ca="1">IF(#REF!,12,IF(OFFSET(#REF!,-1,0)&gt;0,OFFSET(#REF!,-1,0)-1,0))</f>
        <v>#REF!</v>
      </c>
      <c r="AN9" s="57" t="e">
        <f ca="1">IF(#REF!,12,IF(OFFSET(#REF!,-1,0)&gt;0,OFFSET(#REF!,-1,0)-1,0))</f>
        <v>#REF!</v>
      </c>
      <c r="AO9" s="57" t="e">
        <f ca="1">IF(#REF!,12,IF(OFFSET(#REF!,-1,0)&gt;0,OFFSET(#REF!,-1,0)-1,0))</f>
        <v>#REF!</v>
      </c>
    </row>
    <row r="10" spans="1:41" x14ac:dyDescent="0.25">
      <c r="A10" s="130" t="e">
        <f>#REF!</f>
        <v>#REF!</v>
      </c>
      <c r="B10" s="133" t="e">
        <f>#REF!</f>
        <v>#REF!</v>
      </c>
      <c r="C10" s="39" t="e">
        <f>#REF!</f>
        <v>#REF!</v>
      </c>
      <c r="D10" s="135" t="e">
        <f ca="1">MIN(1,OFFSET(#REF!,-1,0)+0.04+ROUNDDOWN(10*OFFSET(#REF!,-1,0),0)+ tech_2_7*OFFSET(#REF!,-1,0) + tech_5_6*OFFSET(#REF!,-1,0) )-#REF!</f>
        <v>#REF!</v>
      </c>
      <c r="E10" s="147" t="e">
        <f ca="1">OFFSET(#REF!,-1,0)+1/24</f>
        <v>#REF!</v>
      </c>
      <c r="F10" s="135" t="e">
        <f>#REF!</f>
        <v>#REF!</v>
      </c>
      <c r="G10" s="210"/>
      <c r="H10" s="210"/>
      <c r="I10" s="210"/>
      <c r="J10" s="210"/>
      <c r="K10" s="386"/>
      <c r="L10" s="210"/>
      <c r="M10" s="210"/>
      <c r="N10" s="210"/>
      <c r="O10" s="210"/>
      <c r="P10" s="210"/>
      <c r="Q10" s="210"/>
      <c r="R10" s="210"/>
      <c r="S10" s="210"/>
      <c r="T10" s="210"/>
      <c r="U10" s="210"/>
      <c r="V10" s="210"/>
      <c r="W10" s="134"/>
      <c r="X10" s="39" t="e">
        <f>(MAX(1-wg_spell_cost_cap,1-wg_spell_cost_red*ROUND(#REF!/#REF!,4))+ tech_3_9*#REF! + tech_6_2_2*#REF! )*(#REF!-#REF!*20)*(#REF!* Constants!$B$75 +#REF!* Constants!$B$76 +#REF!* Constants!$B$77 +#REF!* Constants!$B$79 +#REF!* Constants!$B$78  + SUM(#REF!)*Constants!$B$80*(1+tech_9_3*#REF!))</f>
        <v>#REF!</v>
      </c>
      <c r="Y10" s="135" t="e">
        <f>SUMIF(#REF!,1)*0.05</f>
        <v>#REF!</v>
      </c>
      <c r="Z10" s="134"/>
      <c r="AA10" s="57" t="e">
        <f ca="1">IF(#REF!,12,IF(OFFSET(#REF!,-1,0)&gt;0,OFFSET(#REF!,-1,0)-1,0))</f>
        <v>#REF!</v>
      </c>
      <c r="AB10" s="57" t="e">
        <f ca="1">IF(#REF!,12,IF(OFFSET(#REF!,-1,0)&gt;0,OFFSET(#REF!,-1,0)-1,0))</f>
        <v>#REF!</v>
      </c>
      <c r="AC10" s="57" t="e">
        <f ca="1">IF(#REF!,12,IF(OFFSET(#REF!,-1,0)&gt;0,OFFSET(#REF!,-1,0)-1,0))</f>
        <v>#REF!</v>
      </c>
      <c r="AD10" s="57" t="e">
        <f ca="1">IF(#REF!,12,IF(OFFSET(#REF!,-1,0)&gt;0,OFFSET(#REF!,-1,0)-1,0))</f>
        <v>#REF!</v>
      </c>
      <c r="AE10" s="57" t="e">
        <f ca="1">IF(#REF!,12,IF(OFFSET(#REF!,-1,0)&gt;0,OFFSET(#REF!,-1,0)-1,0))</f>
        <v>#REF!</v>
      </c>
      <c r="AF10" s="57" t="e">
        <f ca="1">IF(#REF!,12,IF(OFFSET(#REF!,-1,0)&gt;0,OFFSET(#REF!,-1,0)-1,0))</f>
        <v>#REF!</v>
      </c>
      <c r="AG10" s="57" t="e">
        <f ca="1">IF(#REF!,12,IF(OFFSET(#REF!,-1,0)&gt;0,OFFSET(#REF!,-1,0)-1,0))</f>
        <v>#REF!</v>
      </c>
      <c r="AH10" s="57" t="e">
        <f ca="1">IF(#REF!,12,IF(OFFSET(#REF!,-1,0)&gt;0,OFFSET(#REF!,-1,0)-1,0))</f>
        <v>#REF!</v>
      </c>
      <c r="AI10" s="57" t="e">
        <f ca="1">IF(#REF!,12,IF(OFFSET(#REF!,-1,0)&gt;0,OFFSET(#REF!,-1,0)-1,0))</f>
        <v>#REF!</v>
      </c>
      <c r="AJ10" s="57" t="e">
        <f ca="1">IF(#REF!,12,IF(OFFSET(#REF!,-1,0)&gt;0,OFFSET(#REF!,-1,0)-1,0))</f>
        <v>#REF!</v>
      </c>
      <c r="AK10" s="57" t="e">
        <f ca="1">IF(#REF!,12,IF(OFFSET(#REF!,-1,0)&gt;0,OFFSET(#REF!,-1,0)-1,0))</f>
        <v>#REF!</v>
      </c>
      <c r="AL10" s="57" t="e">
        <f ca="1">IF(#REF!,12,IF(OFFSET(#REF!,-1,0)&gt;0,OFFSET(#REF!,-1,0)-1,0))</f>
        <v>#REF!</v>
      </c>
      <c r="AM10" s="57" t="e">
        <f ca="1">IF(#REF!,12,IF(OFFSET(#REF!,-1,0)&gt;0,OFFSET(#REF!,-1,0)-1,0))</f>
        <v>#REF!</v>
      </c>
      <c r="AN10" s="57" t="e">
        <f ca="1">IF(#REF!,12,IF(OFFSET(#REF!,-1,0)&gt;0,OFFSET(#REF!,-1,0)-1,0))</f>
        <v>#REF!</v>
      </c>
      <c r="AO10" s="57" t="e">
        <f ca="1">IF(#REF!,12,IF(OFFSET(#REF!,-1,0)&gt;0,OFFSET(#REF!,-1,0)-1,0))</f>
        <v>#REF!</v>
      </c>
    </row>
    <row r="11" spans="1:41" x14ac:dyDescent="0.25">
      <c r="A11" s="130" t="e">
        <f>#REF!</f>
        <v>#REF!</v>
      </c>
      <c r="B11" s="133" t="e">
        <f>#REF!</f>
        <v>#REF!</v>
      </c>
      <c r="C11" s="39" t="e">
        <f>#REF!</f>
        <v>#REF!</v>
      </c>
      <c r="D11" s="135" t="e">
        <f ca="1">MIN(1,OFFSET(#REF!,-1,0)+0.04+ROUNDDOWN(10*OFFSET(#REF!,-1,0),0)+ tech_2_7*OFFSET(#REF!,-1,0) + tech_5_6*OFFSET(#REF!,-1,0) )-#REF!</f>
        <v>#REF!</v>
      </c>
      <c r="E11" s="147" t="e">
        <f ca="1">OFFSET(#REF!,-1,0)+1/24</f>
        <v>#REF!</v>
      </c>
      <c r="F11" s="135" t="e">
        <f>#REF!</f>
        <v>#REF!</v>
      </c>
      <c r="G11" s="210"/>
      <c r="H11" s="210"/>
      <c r="I11" s="210"/>
      <c r="J11" s="210"/>
      <c r="K11" s="386"/>
      <c r="L11" s="210"/>
      <c r="M11" s="210"/>
      <c r="N11" s="210"/>
      <c r="O11" s="210"/>
      <c r="P11" s="210"/>
      <c r="Q11" s="210"/>
      <c r="R11" s="210"/>
      <c r="S11" s="210"/>
      <c r="T11" s="210"/>
      <c r="U11" s="210"/>
      <c r="V11" s="210"/>
      <c r="W11" s="134"/>
      <c r="X11" s="39" t="e">
        <f>(MAX(1-wg_spell_cost_cap,1-wg_spell_cost_red*ROUND(#REF!/#REF!,4))+ tech_3_9*#REF! + tech_6_2_2*#REF! )*(#REF!-#REF!*20)*(#REF!* Constants!$B$75 +#REF!* Constants!$B$76 +#REF!* Constants!$B$77 +#REF!* Constants!$B$79 +#REF!* Constants!$B$78  + SUM(#REF!)*Constants!$B$80*(1+tech_9_3*#REF!))</f>
        <v>#REF!</v>
      </c>
      <c r="Y11" s="135" t="e">
        <f>SUMIF(#REF!,1)*0.05</f>
        <v>#REF!</v>
      </c>
      <c r="Z11" s="134"/>
      <c r="AA11" s="57" t="e">
        <f ca="1">IF(#REF!,12,IF(OFFSET(#REF!,-1,0)&gt;0,OFFSET(#REF!,-1,0)-1,0))</f>
        <v>#REF!</v>
      </c>
      <c r="AB11" s="57" t="e">
        <f ca="1">IF(#REF!,12,IF(OFFSET(#REF!,-1,0)&gt;0,OFFSET(#REF!,-1,0)-1,0))</f>
        <v>#REF!</v>
      </c>
      <c r="AC11" s="57" t="e">
        <f ca="1">IF(#REF!,12,IF(OFFSET(#REF!,-1,0)&gt;0,OFFSET(#REF!,-1,0)-1,0))</f>
        <v>#REF!</v>
      </c>
      <c r="AD11" s="57" t="e">
        <f ca="1">IF(#REF!,12,IF(OFFSET(#REF!,-1,0)&gt;0,OFFSET(#REF!,-1,0)-1,0))</f>
        <v>#REF!</v>
      </c>
      <c r="AE11" s="57" t="e">
        <f ca="1">IF(#REF!,12,IF(OFFSET(#REF!,-1,0)&gt;0,OFFSET(#REF!,-1,0)-1,0))</f>
        <v>#REF!</v>
      </c>
      <c r="AF11" s="57" t="e">
        <f ca="1">IF(#REF!,12,IF(OFFSET(#REF!,-1,0)&gt;0,OFFSET(#REF!,-1,0)-1,0))</f>
        <v>#REF!</v>
      </c>
      <c r="AG11" s="57" t="e">
        <f ca="1">IF(#REF!,12,IF(OFFSET(#REF!,-1,0)&gt;0,OFFSET(#REF!,-1,0)-1,0))</f>
        <v>#REF!</v>
      </c>
      <c r="AH11" s="57" t="e">
        <f ca="1">IF(#REF!,12,IF(OFFSET(#REF!,-1,0)&gt;0,OFFSET(#REF!,-1,0)-1,0))</f>
        <v>#REF!</v>
      </c>
      <c r="AI11" s="57" t="e">
        <f ca="1">IF(#REF!,12,IF(OFFSET(#REF!,-1,0)&gt;0,OFFSET(#REF!,-1,0)-1,0))</f>
        <v>#REF!</v>
      </c>
      <c r="AJ11" s="57" t="e">
        <f ca="1">IF(#REF!,12,IF(OFFSET(#REF!,-1,0)&gt;0,OFFSET(#REF!,-1,0)-1,0))</f>
        <v>#REF!</v>
      </c>
      <c r="AK11" s="57" t="e">
        <f ca="1">IF(#REF!,12,IF(OFFSET(#REF!,-1,0)&gt;0,OFFSET(#REF!,-1,0)-1,0))</f>
        <v>#REF!</v>
      </c>
      <c r="AL11" s="57" t="e">
        <f ca="1">IF(#REF!,12,IF(OFFSET(#REF!,-1,0)&gt;0,OFFSET(#REF!,-1,0)-1,0))</f>
        <v>#REF!</v>
      </c>
      <c r="AM11" s="57" t="e">
        <f ca="1">IF(#REF!,12,IF(OFFSET(#REF!,-1,0)&gt;0,OFFSET(#REF!,-1,0)-1,0))</f>
        <v>#REF!</v>
      </c>
      <c r="AN11" s="57" t="e">
        <f ca="1">IF(#REF!,12,IF(OFFSET(#REF!,-1,0)&gt;0,OFFSET(#REF!,-1,0)-1,0))</f>
        <v>#REF!</v>
      </c>
      <c r="AO11" s="57" t="e">
        <f ca="1">IF(#REF!,12,IF(OFFSET(#REF!,-1,0)&gt;0,OFFSET(#REF!,-1,0)-1,0))</f>
        <v>#REF!</v>
      </c>
    </row>
    <row r="12" spans="1:41" x14ac:dyDescent="0.25">
      <c r="A12" s="130" t="e">
        <f>#REF!</f>
        <v>#REF!</v>
      </c>
      <c r="B12" s="133" t="e">
        <f>#REF!</f>
        <v>#REF!</v>
      </c>
      <c r="C12" s="39" t="e">
        <f>#REF!</f>
        <v>#REF!</v>
      </c>
      <c r="D12" s="135" t="e">
        <f ca="1">MIN(1,OFFSET(#REF!,-1,0)+0.04+ROUNDDOWN(10*OFFSET(#REF!,-1,0),0)+ tech_2_7*OFFSET(#REF!,-1,0) + tech_5_6*OFFSET(#REF!,-1,0) )-#REF!</f>
        <v>#REF!</v>
      </c>
      <c r="E12" s="147" t="e">
        <f ca="1">OFFSET(#REF!,-1,0)+1/24</f>
        <v>#REF!</v>
      </c>
      <c r="F12" s="135" t="e">
        <f>#REF!</f>
        <v>#REF!</v>
      </c>
      <c r="G12" s="210"/>
      <c r="H12" s="210"/>
      <c r="I12" s="210"/>
      <c r="J12" s="210"/>
      <c r="K12" s="386"/>
      <c r="L12" s="210"/>
      <c r="M12" s="210"/>
      <c r="N12" s="210"/>
      <c r="O12" s="210"/>
      <c r="P12" s="210"/>
      <c r="Q12" s="210"/>
      <c r="R12" s="210"/>
      <c r="S12" s="210"/>
      <c r="T12" s="210"/>
      <c r="U12" s="210"/>
      <c r="V12" s="210"/>
      <c r="W12" s="134"/>
      <c r="X12" s="39" t="e">
        <f>(MAX(1-wg_spell_cost_cap,1-wg_spell_cost_red*ROUND(#REF!/#REF!,4))+ tech_3_9*#REF! + tech_6_2_2*#REF! )*(#REF!-#REF!*20)*(#REF!* Constants!$B$75 +#REF!* Constants!$B$76 +#REF!* Constants!$B$77 +#REF!* Constants!$B$79 +#REF!* Constants!$B$78  + SUM(#REF!)*Constants!$B$80*(1+tech_9_3*#REF!))</f>
        <v>#REF!</v>
      </c>
      <c r="Y12" s="135" t="e">
        <f>SUMIF(#REF!,1)*0.05</f>
        <v>#REF!</v>
      </c>
      <c r="Z12" s="134"/>
      <c r="AA12" s="57" t="e">
        <f ca="1">IF(#REF!,12,IF(OFFSET(#REF!,-1,0)&gt;0,OFFSET(#REF!,-1,0)-1,0))</f>
        <v>#REF!</v>
      </c>
      <c r="AB12" s="57" t="e">
        <f ca="1">IF(#REF!,12,IF(OFFSET(#REF!,-1,0)&gt;0,OFFSET(#REF!,-1,0)-1,0))</f>
        <v>#REF!</v>
      </c>
      <c r="AC12" s="57" t="e">
        <f ca="1">IF(#REF!,12,IF(OFFSET(#REF!,-1,0)&gt;0,OFFSET(#REF!,-1,0)-1,0))</f>
        <v>#REF!</v>
      </c>
      <c r="AD12" s="57" t="e">
        <f ca="1">IF(#REF!,12,IF(OFFSET(#REF!,-1,0)&gt;0,OFFSET(#REF!,-1,0)-1,0))</f>
        <v>#REF!</v>
      </c>
      <c r="AE12" s="57" t="e">
        <f ca="1">IF(#REF!,12,IF(OFFSET(#REF!,-1,0)&gt;0,OFFSET(#REF!,-1,0)-1,0))</f>
        <v>#REF!</v>
      </c>
      <c r="AF12" s="57" t="e">
        <f ca="1">IF(#REF!,12,IF(OFFSET(#REF!,-1,0)&gt;0,OFFSET(#REF!,-1,0)-1,0))</f>
        <v>#REF!</v>
      </c>
      <c r="AG12" s="57" t="e">
        <f ca="1">IF(#REF!,12,IF(OFFSET(#REF!,-1,0)&gt;0,OFFSET(#REF!,-1,0)-1,0))</f>
        <v>#REF!</v>
      </c>
      <c r="AH12" s="57" t="e">
        <f ca="1">IF(#REF!,12,IF(OFFSET(#REF!,-1,0)&gt;0,OFFSET(#REF!,-1,0)-1,0))</f>
        <v>#REF!</v>
      </c>
      <c r="AI12" s="57" t="e">
        <f ca="1">IF(#REF!,12,IF(OFFSET(#REF!,-1,0)&gt;0,OFFSET(#REF!,-1,0)-1,0))</f>
        <v>#REF!</v>
      </c>
      <c r="AJ12" s="57" t="e">
        <f ca="1">IF(#REF!,12,IF(OFFSET(#REF!,-1,0)&gt;0,OFFSET(#REF!,-1,0)-1,0))</f>
        <v>#REF!</v>
      </c>
      <c r="AK12" s="57" t="e">
        <f ca="1">IF(#REF!,12,IF(OFFSET(#REF!,-1,0)&gt;0,OFFSET(#REF!,-1,0)-1,0))</f>
        <v>#REF!</v>
      </c>
      <c r="AL12" s="57" t="e">
        <f ca="1">IF(#REF!,12,IF(OFFSET(#REF!,-1,0)&gt;0,OFFSET(#REF!,-1,0)-1,0))</f>
        <v>#REF!</v>
      </c>
      <c r="AM12" s="57" t="e">
        <f ca="1">IF(#REF!,12,IF(OFFSET(#REF!,-1,0)&gt;0,OFFSET(#REF!,-1,0)-1,0))</f>
        <v>#REF!</v>
      </c>
      <c r="AN12" s="57" t="e">
        <f ca="1">IF(#REF!,12,IF(OFFSET(#REF!,-1,0)&gt;0,OFFSET(#REF!,-1,0)-1,0))</f>
        <v>#REF!</v>
      </c>
      <c r="AO12" s="57" t="e">
        <f ca="1">IF(#REF!,12,IF(OFFSET(#REF!,-1,0)&gt;0,OFFSET(#REF!,-1,0)-1,0))</f>
        <v>#REF!</v>
      </c>
    </row>
    <row r="13" spans="1:41" x14ac:dyDescent="0.25">
      <c r="A13" s="130" t="e">
        <f>#REF!</f>
        <v>#REF!</v>
      </c>
      <c r="B13" s="133" t="e">
        <f>#REF!</f>
        <v>#REF!</v>
      </c>
      <c r="C13" s="39" t="e">
        <f>#REF!</f>
        <v>#REF!</v>
      </c>
      <c r="D13" s="135" t="e">
        <f ca="1">MIN(1,OFFSET(#REF!,-1,0)+0.04+ROUNDDOWN(10*OFFSET(#REF!,-1,0),0)+ tech_2_7*OFFSET(#REF!,-1,0) + tech_5_6*OFFSET(#REF!,-1,0) )-#REF!</f>
        <v>#REF!</v>
      </c>
      <c r="E13" s="147" t="e">
        <f ca="1">OFFSET(#REF!,-1,0)+1/24</f>
        <v>#REF!</v>
      </c>
      <c r="F13" s="135" t="e">
        <f>#REF!</f>
        <v>#REF!</v>
      </c>
      <c r="G13" s="210"/>
      <c r="H13" s="210"/>
      <c r="I13" s="210"/>
      <c r="J13" s="210"/>
      <c r="K13" s="386"/>
      <c r="L13" s="210"/>
      <c r="M13" s="210"/>
      <c r="N13" s="210"/>
      <c r="O13" s="210"/>
      <c r="P13" s="210"/>
      <c r="Q13" s="210"/>
      <c r="R13" s="210"/>
      <c r="S13" s="210"/>
      <c r="T13" s="210"/>
      <c r="U13" s="210"/>
      <c r="V13" s="210"/>
      <c r="W13" s="134"/>
      <c r="X13" s="39" t="e">
        <f>(MAX(1-wg_spell_cost_cap,1-wg_spell_cost_red*ROUND(#REF!/#REF!,4))+ tech_3_9*#REF! + tech_6_2_2*#REF! )*(#REF!-#REF!*20)*(#REF!* Constants!$B$75 +#REF!* Constants!$B$76 +#REF!* Constants!$B$77 +#REF!* Constants!$B$79 +#REF!* Constants!$B$78  + SUM(#REF!)*Constants!$B$80*(1+tech_9_3*#REF!))</f>
        <v>#REF!</v>
      </c>
      <c r="Y13" s="135" t="e">
        <f>SUMIF(#REF!,1)*0.05</f>
        <v>#REF!</v>
      </c>
      <c r="Z13" s="134"/>
      <c r="AA13" s="57" t="e">
        <f ca="1">IF(#REF!,12,IF(OFFSET(#REF!,-1,0)&gt;0,OFFSET(#REF!,-1,0)-1,0))</f>
        <v>#REF!</v>
      </c>
      <c r="AB13" s="57" t="e">
        <f ca="1">IF(#REF!,12,IF(OFFSET(#REF!,-1,0)&gt;0,OFFSET(#REF!,-1,0)-1,0))</f>
        <v>#REF!</v>
      </c>
      <c r="AC13" s="57" t="e">
        <f ca="1">IF(#REF!,12,IF(OFFSET(#REF!,-1,0)&gt;0,OFFSET(#REF!,-1,0)-1,0))</f>
        <v>#REF!</v>
      </c>
      <c r="AD13" s="57" t="e">
        <f ca="1">IF(#REF!,12,IF(OFFSET(#REF!,-1,0)&gt;0,OFFSET(#REF!,-1,0)-1,0))</f>
        <v>#REF!</v>
      </c>
      <c r="AE13" s="57" t="e">
        <f ca="1">IF(#REF!,12,IF(OFFSET(#REF!,-1,0)&gt;0,OFFSET(#REF!,-1,0)-1,0))</f>
        <v>#REF!</v>
      </c>
      <c r="AF13" s="57" t="e">
        <f ca="1">IF(#REF!,12,IF(OFFSET(#REF!,-1,0)&gt;0,OFFSET(#REF!,-1,0)-1,0))</f>
        <v>#REF!</v>
      </c>
      <c r="AG13" s="57" t="e">
        <f ca="1">IF(#REF!,12,IF(OFFSET(#REF!,-1,0)&gt;0,OFFSET(#REF!,-1,0)-1,0))</f>
        <v>#REF!</v>
      </c>
      <c r="AH13" s="57" t="e">
        <f ca="1">IF(#REF!,12,IF(OFFSET(#REF!,-1,0)&gt;0,OFFSET(#REF!,-1,0)-1,0))</f>
        <v>#REF!</v>
      </c>
      <c r="AI13" s="57" t="e">
        <f ca="1">IF(#REF!,12,IF(OFFSET(#REF!,-1,0)&gt;0,OFFSET(#REF!,-1,0)-1,0))</f>
        <v>#REF!</v>
      </c>
      <c r="AJ13" s="57" t="e">
        <f ca="1">IF(#REF!,12,IF(OFFSET(#REF!,-1,0)&gt;0,OFFSET(#REF!,-1,0)-1,0))</f>
        <v>#REF!</v>
      </c>
      <c r="AK13" s="57" t="e">
        <f ca="1">IF(#REF!,12,IF(OFFSET(#REF!,-1,0)&gt;0,OFFSET(#REF!,-1,0)-1,0))</f>
        <v>#REF!</v>
      </c>
      <c r="AL13" s="57" t="e">
        <f ca="1">IF(#REF!,12,IF(OFFSET(#REF!,-1,0)&gt;0,OFFSET(#REF!,-1,0)-1,0))</f>
        <v>#REF!</v>
      </c>
      <c r="AM13" s="57" t="e">
        <f ca="1">IF(#REF!,12,IF(OFFSET(#REF!,-1,0)&gt;0,OFFSET(#REF!,-1,0)-1,0))</f>
        <v>#REF!</v>
      </c>
      <c r="AN13" s="57" t="e">
        <f ca="1">IF(#REF!,12,IF(OFFSET(#REF!,-1,0)&gt;0,OFFSET(#REF!,-1,0)-1,0))</f>
        <v>#REF!</v>
      </c>
      <c r="AO13" s="57" t="e">
        <f ca="1">IF(#REF!,12,IF(OFFSET(#REF!,-1,0)&gt;0,OFFSET(#REF!,-1,0)-1,0))</f>
        <v>#REF!</v>
      </c>
    </row>
    <row r="14" spans="1:41" x14ac:dyDescent="0.25">
      <c r="A14" s="130" t="e">
        <f>#REF!</f>
        <v>#REF!</v>
      </c>
      <c r="B14" s="133" t="e">
        <f>#REF!</f>
        <v>#REF!</v>
      </c>
      <c r="C14" s="39" t="e">
        <f>#REF!</f>
        <v>#REF!</v>
      </c>
      <c r="D14" s="135" t="e">
        <f ca="1">MIN(1,OFFSET(#REF!,-1,0)+0.04+ROUNDDOWN(10*OFFSET(#REF!,-1,0),0)+ tech_2_7*OFFSET(#REF!,-1,0) + tech_5_6*OFFSET(#REF!,-1,0) )-#REF!</f>
        <v>#REF!</v>
      </c>
      <c r="E14" s="147" t="e">
        <f ca="1">OFFSET(#REF!,-1,0)+1/24</f>
        <v>#REF!</v>
      </c>
      <c r="F14" s="135" t="e">
        <f>#REF!</f>
        <v>#REF!</v>
      </c>
      <c r="G14" s="210"/>
      <c r="H14" s="210"/>
      <c r="I14" s="210"/>
      <c r="J14" s="210"/>
      <c r="K14" s="386"/>
      <c r="L14" s="210"/>
      <c r="M14" s="210"/>
      <c r="N14" s="210"/>
      <c r="O14" s="210"/>
      <c r="P14" s="210"/>
      <c r="Q14" s="210"/>
      <c r="R14" s="210"/>
      <c r="S14" s="210"/>
      <c r="T14" s="210"/>
      <c r="U14" s="210"/>
      <c r="V14" s="210"/>
      <c r="W14" s="134"/>
      <c r="X14" s="39" t="e">
        <f>(MAX(1-wg_spell_cost_cap,1-wg_spell_cost_red*ROUND(#REF!/#REF!,4))+ tech_3_9*#REF! + tech_6_2_2*#REF! )*(#REF!-#REF!*20)*(#REF!* Constants!$B$75 +#REF!* Constants!$B$76 +#REF!* Constants!$B$77 +#REF!* Constants!$B$79 +#REF!* Constants!$B$78  + SUM(#REF!)*Constants!$B$80*(1+tech_9_3*#REF!))</f>
        <v>#REF!</v>
      </c>
      <c r="Y14" s="135" t="e">
        <f>SUMIF(#REF!,1)*0.05</f>
        <v>#REF!</v>
      </c>
      <c r="Z14" s="134"/>
      <c r="AA14" s="57" t="e">
        <f ca="1">IF(#REF!,12,IF(OFFSET(#REF!,-1,0)&gt;0,OFFSET(#REF!,-1,0)-1,0))</f>
        <v>#REF!</v>
      </c>
      <c r="AB14" s="57" t="e">
        <f ca="1">IF(#REF!,12,IF(OFFSET(#REF!,-1,0)&gt;0,OFFSET(#REF!,-1,0)-1,0))</f>
        <v>#REF!</v>
      </c>
      <c r="AC14" s="57" t="e">
        <f ca="1">IF(#REF!,12,IF(OFFSET(#REF!,-1,0)&gt;0,OFFSET(#REF!,-1,0)-1,0))</f>
        <v>#REF!</v>
      </c>
      <c r="AD14" s="57" t="e">
        <f ca="1">IF(#REF!,12,IF(OFFSET(#REF!,-1,0)&gt;0,OFFSET(#REF!,-1,0)-1,0))</f>
        <v>#REF!</v>
      </c>
      <c r="AE14" s="57" t="e">
        <f ca="1">IF(#REF!,12,IF(OFFSET(#REF!,-1,0)&gt;0,OFFSET(#REF!,-1,0)-1,0))</f>
        <v>#REF!</v>
      </c>
      <c r="AF14" s="57" t="e">
        <f ca="1">IF(#REF!,12,IF(OFFSET(#REF!,-1,0)&gt;0,OFFSET(#REF!,-1,0)-1,0))</f>
        <v>#REF!</v>
      </c>
      <c r="AG14" s="57" t="e">
        <f ca="1">IF(#REF!,12,IF(OFFSET(#REF!,-1,0)&gt;0,OFFSET(#REF!,-1,0)-1,0))</f>
        <v>#REF!</v>
      </c>
      <c r="AH14" s="57" t="e">
        <f ca="1">IF(#REF!,12,IF(OFFSET(#REF!,-1,0)&gt;0,OFFSET(#REF!,-1,0)-1,0))</f>
        <v>#REF!</v>
      </c>
      <c r="AI14" s="57" t="e">
        <f ca="1">IF(#REF!,12,IF(OFFSET(#REF!,-1,0)&gt;0,OFFSET(#REF!,-1,0)-1,0))</f>
        <v>#REF!</v>
      </c>
      <c r="AJ14" s="57" t="e">
        <f ca="1">IF(#REF!,12,IF(OFFSET(#REF!,-1,0)&gt;0,OFFSET(#REF!,-1,0)-1,0))</f>
        <v>#REF!</v>
      </c>
      <c r="AK14" s="57" t="e">
        <f ca="1">IF(#REF!,12,IF(OFFSET(#REF!,-1,0)&gt;0,OFFSET(#REF!,-1,0)-1,0))</f>
        <v>#REF!</v>
      </c>
      <c r="AL14" s="57" t="e">
        <f ca="1">IF(#REF!,12,IF(OFFSET(#REF!,-1,0)&gt;0,OFFSET(#REF!,-1,0)-1,0))</f>
        <v>#REF!</v>
      </c>
      <c r="AM14" s="57" t="e">
        <f ca="1">IF(#REF!,12,IF(OFFSET(#REF!,-1,0)&gt;0,OFFSET(#REF!,-1,0)-1,0))</f>
        <v>#REF!</v>
      </c>
      <c r="AN14" s="57" t="e">
        <f ca="1">IF(#REF!,12,IF(OFFSET(#REF!,-1,0)&gt;0,OFFSET(#REF!,-1,0)-1,0))</f>
        <v>#REF!</v>
      </c>
      <c r="AO14" s="57" t="e">
        <f ca="1">IF(#REF!,12,IF(OFFSET(#REF!,-1,0)&gt;0,OFFSET(#REF!,-1,0)-1,0))</f>
        <v>#REF!</v>
      </c>
    </row>
    <row r="15" spans="1:41" x14ac:dyDescent="0.25">
      <c r="A15" s="130" t="e">
        <f>#REF!</f>
        <v>#REF!</v>
      </c>
      <c r="B15" s="133" t="e">
        <f>#REF!</f>
        <v>#REF!</v>
      </c>
      <c r="C15" s="39" t="e">
        <f>#REF!</f>
        <v>#REF!</v>
      </c>
      <c r="D15" s="135" t="e">
        <f ca="1">MIN(1,OFFSET(#REF!,-1,0)+0.04+ROUNDDOWN(10*OFFSET(#REF!,-1,0),0)+ tech_2_7*OFFSET(#REF!,-1,0) + tech_5_6*OFFSET(#REF!,-1,0) )-#REF!</f>
        <v>#REF!</v>
      </c>
      <c r="E15" s="147" t="e">
        <f ca="1">OFFSET(#REF!,-1,0)+1/24</f>
        <v>#REF!</v>
      </c>
      <c r="F15" s="135" t="e">
        <f>#REF!</f>
        <v>#REF!</v>
      </c>
      <c r="G15" s="210"/>
      <c r="H15" s="210"/>
      <c r="I15" s="210"/>
      <c r="J15" s="210"/>
      <c r="K15" s="386"/>
      <c r="L15" s="210"/>
      <c r="M15" s="210"/>
      <c r="N15" s="210"/>
      <c r="O15" s="210"/>
      <c r="P15" s="210"/>
      <c r="Q15" s="210"/>
      <c r="R15" s="210"/>
      <c r="S15" s="210"/>
      <c r="T15" s="210"/>
      <c r="U15" s="210"/>
      <c r="V15" s="210"/>
      <c r="W15" s="134"/>
      <c r="X15" s="39" t="e">
        <f>(MAX(1-wg_spell_cost_cap,1-wg_spell_cost_red*ROUND(#REF!/#REF!,4))+ tech_3_9*#REF! + tech_6_2_2*#REF! )*(#REF!-#REF!*20)*(#REF!* Constants!$B$75 +#REF!* Constants!$B$76 +#REF!* Constants!$B$77 +#REF!* Constants!$B$79 +#REF!* Constants!$B$78  + SUM(#REF!)*Constants!$B$80*(1+tech_9_3*#REF!))</f>
        <v>#REF!</v>
      </c>
      <c r="Y15" s="135" t="e">
        <f>SUMIF(#REF!,1)*0.05</f>
        <v>#REF!</v>
      </c>
      <c r="Z15" s="134"/>
      <c r="AA15" s="57" t="e">
        <f ca="1">IF(#REF!,12,IF(OFFSET(#REF!,-1,0)&gt;0,OFFSET(#REF!,-1,0)-1,0))</f>
        <v>#REF!</v>
      </c>
      <c r="AB15" s="57" t="e">
        <f ca="1">IF(#REF!,12,IF(OFFSET(#REF!,-1,0)&gt;0,OFFSET(#REF!,-1,0)-1,0))</f>
        <v>#REF!</v>
      </c>
      <c r="AC15" s="57" t="e">
        <f ca="1">IF(#REF!,12,IF(OFFSET(#REF!,-1,0)&gt;0,OFFSET(#REF!,-1,0)-1,0))</f>
        <v>#REF!</v>
      </c>
      <c r="AD15" s="57" t="e">
        <f ca="1">IF(#REF!,12,IF(OFFSET(#REF!,-1,0)&gt;0,OFFSET(#REF!,-1,0)-1,0))</f>
        <v>#REF!</v>
      </c>
      <c r="AE15" s="57" t="e">
        <f ca="1">IF(#REF!,12,IF(OFFSET(#REF!,-1,0)&gt;0,OFFSET(#REF!,-1,0)-1,0))</f>
        <v>#REF!</v>
      </c>
      <c r="AF15" s="57" t="e">
        <f ca="1">IF(#REF!,12,IF(OFFSET(#REF!,-1,0)&gt;0,OFFSET(#REF!,-1,0)-1,0))</f>
        <v>#REF!</v>
      </c>
      <c r="AG15" s="57" t="e">
        <f ca="1">IF(#REF!,12,IF(OFFSET(#REF!,-1,0)&gt;0,OFFSET(#REF!,-1,0)-1,0))</f>
        <v>#REF!</v>
      </c>
      <c r="AH15" s="57" t="e">
        <f ca="1">IF(#REF!,12,IF(OFFSET(#REF!,-1,0)&gt;0,OFFSET(#REF!,-1,0)-1,0))</f>
        <v>#REF!</v>
      </c>
      <c r="AI15" s="57" t="e">
        <f ca="1">IF(#REF!,12,IF(OFFSET(#REF!,-1,0)&gt;0,OFFSET(#REF!,-1,0)-1,0))</f>
        <v>#REF!</v>
      </c>
      <c r="AJ15" s="57" t="e">
        <f ca="1">IF(#REF!,12,IF(OFFSET(#REF!,-1,0)&gt;0,OFFSET(#REF!,-1,0)-1,0))</f>
        <v>#REF!</v>
      </c>
      <c r="AK15" s="57" t="e">
        <f ca="1">IF(#REF!,12,IF(OFFSET(#REF!,-1,0)&gt;0,OFFSET(#REF!,-1,0)-1,0))</f>
        <v>#REF!</v>
      </c>
      <c r="AL15" s="57" t="e">
        <f ca="1">IF(#REF!,12,IF(OFFSET(#REF!,-1,0)&gt;0,OFFSET(#REF!,-1,0)-1,0))</f>
        <v>#REF!</v>
      </c>
      <c r="AM15" s="57" t="e">
        <f ca="1">IF(#REF!,12,IF(OFFSET(#REF!,-1,0)&gt;0,OFFSET(#REF!,-1,0)-1,0))</f>
        <v>#REF!</v>
      </c>
      <c r="AN15" s="57" t="e">
        <f ca="1">IF(#REF!,12,IF(OFFSET(#REF!,-1,0)&gt;0,OFFSET(#REF!,-1,0)-1,0))</f>
        <v>#REF!</v>
      </c>
      <c r="AO15" s="57" t="e">
        <f ca="1">IF(#REF!,12,IF(OFFSET(#REF!,-1,0)&gt;0,OFFSET(#REF!,-1,0)-1,0))</f>
        <v>#REF!</v>
      </c>
    </row>
    <row r="16" spans="1:41" x14ac:dyDescent="0.25">
      <c r="A16" s="130" t="e">
        <f>#REF!</f>
        <v>#REF!</v>
      </c>
      <c r="B16" s="133" t="e">
        <f>#REF!</f>
        <v>#REF!</v>
      </c>
      <c r="C16" s="39" t="e">
        <f>#REF!</f>
        <v>#REF!</v>
      </c>
      <c r="D16" s="135" t="e">
        <f ca="1">MIN(1,OFFSET(#REF!,-1,0)+0.04+ROUNDDOWN(10*OFFSET(#REF!,-1,0),0)+ tech_2_7*OFFSET(#REF!,-1,0) + tech_5_6*OFFSET(#REF!,-1,0) )-#REF!</f>
        <v>#REF!</v>
      </c>
      <c r="E16" s="147" t="e">
        <f ca="1">OFFSET(#REF!,-1,0)+1/24</f>
        <v>#REF!</v>
      </c>
      <c r="F16" s="135" t="e">
        <f>#REF!</f>
        <v>#REF!</v>
      </c>
      <c r="G16" s="210"/>
      <c r="H16" s="210"/>
      <c r="I16" s="210"/>
      <c r="J16" s="210"/>
      <c r="K16" s="386"/>
      <c r="L16" s="210"/>
      <c r="M16" s="210"/>
      <c r="N16" s="210"/>
      <c r="O16" s="210"/>
      <c r="P16" s="210"/>
      <c r="Q16" s="210"/>
      <c r="R16" s="210"/>
      <c r="S16" s="210"/>
      <c r="T16" s="210"/>
      <c r="U16" s="210"/>
      <c r="V16" s="210"/>
      <c r="W16" s="134"/>
      <c r="X16" s="39" t="e">
        <f>(MAX(1-wg_spell_cost_cap,1-wg_spell_cost_red*ROUND(#REF!/#REF!,4))+ tech_3_9*#REF! + tech_6_2_2*#REF! )*(#REF!-#REF!*20)*(#REF!* Constants!$B$75 +#REF!* Constants!$B$76 +#REF!* Constants!$B$77 +#REF!* Constants!$B$79 +#REF!* Constants!$B$78  + SUM(#REF!)*Constants!$B$80*(1+tech_9_3*#REF!))</f>
        <v>#REF!</v>
      </c>
      <c r="Y16" s="135" t="e">
        <f>SUMIF(#REF!,1)*0.05</f>
        <v>#REF!</v>
      </c>
      <c r="Z16" s="134"/>
      <c r="AA16" s="57" t="e">
        <f ca="1">IF(#REF!,12,IF(OFFSET(#REF!,-1,0)&gt;0,OFFSET(#REF!,-1,0)-1,0))</f>
        <v>#REF!</v>
      </c>
      <c r="AB16" s="57" t="e">
        <f ca="1">IF(#REF!,12,IF(OFFSET(#REF!,-1,0)&gt;0,OFFSET(#REF!,-1,0)-1,0))</f>
        <v>#REF!</v>
      </c>
      <c r="AC16" s="57" t="e">
        <f ca="1">IF(#REF!,12,IF(OFFSET(#REF!,-1,0)&gt;0,OFFSET(#REF!,-1,0)-1,0))</f>
        <v>#REF!</v>
      </c>
      <c r="AD16" s="57" t="e">
        <f ca="1">IF(#REF!,12,IF(OFFSET(#REF!,-1,0)&gt;0,OFFSET(#REF!,-1,0)-1,0))</f>
        <v>#REF!</v>
      </c>
      <c r="AE16" s="57" t="e">
        <f ca="1">IF(#REF!,12,IF(OFFSET(#REF!,-1,0)&gt;0,OFFSET(#REF!,-1,0)-1,0))</f>
        <v>#REF!</v>
      </c>
      <c r="AF16" s="57" t="e">
        <f ca="1">IF(#REF!,12,IF(OFFSET(#REF!,-1,0)&gt;0,OFFSET(#REF!,-1,0)-1,0))</f>
        <v>#REF!</v>
      </c>
      <c r="AG16" s="57" t="e">
        <f ca="1">IF(#REF!,12,IF(OFFSET(#REF!,-1,0)&gt;0,OFFSET(#REF!,-1,0)-1,0))</f>
        <v>#REF!</v>
      </c>
      <c r="AH16" s="57" t="e">
        <f ca="1">IF(#REF!,12,IF(OFFSET(#REF!,-1,0)&gt;0,OFFSET(#REF!,-1,0)-1,0))</f>
        <v>#REF!</v>
      </c>
      <c r="AI16" s="57" t="e">
        <f ca="1">IF(#REF!,12,IF(OFFSET(#REF!,-1,0)&gt;0,OFFSET(#REF!,-1,0)-1,0))</f>
        <v>#REF!</v>
      </c>
      <c r="AJ16" s="57" t="e">
        <f ca="1">IF(#REF!,12,IF(OFFSET(#REF!,-1,0)&gt;0,OFFSET(#REF!,-1,0)-1,0))</f>
        <v>#REF!</v>
      </c>
      <c r="AK16" s="57" t="e">
        <f ca="1">IF(#REF!,12,IF(OFFSET(#REF!,-1,0)&gt;0,OFFSET(#REF!,-1,0)-1,0))</f>
        <v>#REF!</v>
      </c>
      <c r="AL16" s="57" t="e">
        <f ca="1">IF(#REF!,12,IF(OFFSET(#REF!,-1,0)&gt;0,OFFSET(#REF!,-1,0)-1,0))</f>
        <v>#REF!</v>
      </c>
      <c r="AM16" s="57" t="e">
        <f ca="1">IF(#REF!,12,IF(OFFSET(#REF!,-1,0)&gt;0,OFFSET(#REF!,-1,0)-1,0))</f>
        <v>#REF!</v>
      </c>
      <c r="AN16" s="57" t="e">
        <f ca="1">IF(#REF!,12,IF(OFFSET(#REF!,-1,0)&gt;0,OFFSET(#REF!,-1,0)-1,0))</f>
        <v>#REF!</v>
      </c>
      <c r="AO16" s="57" t="e">
        <f ca="1">IF(#REF!,12,IF(OFFSET(#REF!,-1,0)&gt;0,OFFSET(#REF!,-1,0)-1,0))</f>
        <v>#REF!</v>
      </c>
    </row>
    <row r="17" spans="1:41" x14ac:dyDescent="0.25">
      <c r="A17" s="130" t="e">
        <f>#REF!</f>
        <v>#REF!</v>
      </c>
      <c r="B17" s="133" t="e">
        <f>#REF!</f>
        <v>#REF!</v>
      </c>
      <c r="C17" s="39" t="e">
        <f>#REF!</f>
        <v>#REF!</v>
      </c>
      <c r="D17" s="135" t="e">
        <f ca="1">MIN(1,OFFSET(#REF!,-1,0)+0.04+ROUNDDOWN(10*OFFSET(#REF!,-1,0),0)+ tech_2_7*OFFSET(#REF!,-1,0) + tech_5_6*OFFSET(#REF!,-1,0) )-#REF!</f>
        <v>#REF!</v>
      </c>
      <c r="E17" s="147" t="e">
        <f ca="1">OFFSET(#REF!,-1,0)+1/24</f>
        <v>#REF!</v>
      </c>
      <c r="F17" s="135" t="e">
        <f>#REF!</f>
        <v>#REF!</v>
      </c>
      <c r="G17" s="210"/>
      <c r="H17" s="210"/>
      <c r="I17" s="210"/>
      <c r="J17" s="210"/>
      <c r="K17" s="386"/>
      <c r="L17" s="210"/>
      <c r="M17" s="210"/>
      <c r="N17" s="210"/>
      <c r="O17" s="210"/>
      <c r="P17" s="210"/>
      <c r="Q17" s="210"/>
      <c r="R17" s="210"/>
      <c r="S17" s="210"/>
      <c r="T17" s="210"/>
      <c r="U17" s="210"/>
      <c r="V17" s="210"/>
      <c r="W17" s="134"/>
      <c r="X17" s="39" t="e">
        <f>(MAX(1-wg_spell_cost_cap,1-wg_spell_cost_red*ROUND(#REF!/#REF!,4))+ tech_3_9*#REF! + tech_6_2_2*#REF! )*(#REF!-#REF!*20)*(#REF!* Constants!$B$75 +#REF!* Constants!$B$76 +#REF!* Constants!$B$77 +#REF!* Constants!$B$79 +#REF!* Constants!$B$78  + SUM(#REF!)*Constants!$B$80*(1+tech_9_3*#REF!))</f>
        <v>#REF!</v>
      </c>
      <c r="Y17" s="135" t="e">
        <f>SUMIF(#REF!,1)*0.05</f>
        <v>#REF!</v>
      </c>
      <c r="Z17" s="134"/>
      <c r="AA17" s="57" t="e">
        <f ca="1">IF(#REF!,12,IF(OFFSET(#REF!,-1,0)&gt;0,OFFSET(#REF!,-1,0)-1,0))</f>
        <v>#REF!</v>
      </c>
      <c r="AB17" s="57" t="e">
        <f ca="1">IF(#REF!,12,IF(OFFSET(#REF!,-1,0)&gt;0,OFFSET(#REF!,-1,0)-1,0))</f>
        <v>#REF!</v>
      </c>
      <c r="AC17" s="57" t="e">
        <f ca="1">IF(#REF!,12,IF(OFFSET(#REF!,-1,0)&gt;0,OFFSET(#REF!,-1,0)-1,0))</f>
        <v>#REF!</v>
      </c>
      <c r="AD17" s="57" t="e">
        <f ca="1">IF(#REF!,12,IF(OFFSET(#REF!,-1,0)&gt;0,OFFSET(#REF!,-1,0)-1,0))</f>
        <v>#REF!</v>
      </c>
      <c r="AE17" s="57" t="e">
        <f ca="1">IF(#REF!,12,IF(OFFSET(#REF!,-1,0)&gt;0,OFFSET(#REF!,-1,0)-1,0))</f>
        <v>#REF!</v>
      </c>
      <c r="AF17" s="57" t="e">
        <f ca="1">IF(#REF!,12,IF(OFFSET(#REF!,-1,0)&gt;0,OFFSET(#REF!,-1,0)-1,0))</f>
        <v>#REF!</v>
      </c>
      <c r="AG17" s="57" t="e">
        <f ca="1">IF(#REF!,12,IF(OFFSET(#REF!,-1,0)&gt;0,OFFSET(#REF!,-1,0)-1,0))</f>
        <v>#REF!</v>
      </c>
      <c r="AH17" s="57" t="e">
        <f ca="1">IF(#REF!,12,IF(OFFSET(#REF!,-1,0)&gt;0,OFFSET(#REF!,-1,0)-1,0))</f>
        <v>#REF!</v>
      </c>
      <c r="AI17" s="57" t="e">
        <f ca="1">IF(#REF!,12,IF(OFFSET(#REF!,-1,0)&gt;0,OFFSET(#REF!,-1,0)-1,0))</f>
        <v>#REF!</v>
      </c>
      <c r="AJ17" s="57" t="e">
        <f ca="1">IF(#REF!,12,IF(OFFSET(#REF!,-1,0)&gt;0,OFFSET(#REF!,-1,0)-1,0))</f>
        <v>#REF!</v>
      </c>
      <c r="AK17" s="57" t="e">
        <f ca="1">IF(#REF!,12,IF(OFFSET(#REF!,-1,0)&gt;0,OFFSET(#REF!,-1,0)-1,0))</f>
        <v>#REF!</v>
      </c>
      <c r="AL17" s="57" t="e">
        <f ca="1">IF(#REF!,12,IF(OFFSET(#REF!,-1,0)&gt;0,OFFSET(#REF!,-1,0)-1,0))</f>
        <v>#REF!</v>
      </c>
      <c r="AM17" s="57" t="e">
        <f ca="1">IF(#REF!,12,IF(OFFSET(#REF!,-1,0)&gt;0,OFFSET(#REF!,-1,0)-1,0))</f>
        <v>#REF!</v>
      </c>
      <c r="AN17" s="57" t="e">
        <f ca="1">IF(#REF!,12,IF(OFFSET(#REF!,-1,0)&gt;0,OFFSET(#REF!,-1,0)-1,0))</f>
        <v>#REF!</v>
      </c>
      <c r="AO17" s="57" t="e">
        <f ca="1">IF(#REF!,12,IF(OFFSET(#REF!,-1,0)&gt;0,OFFSET(#REF!,-1,0)-1,0))</f>
        <v>#REF!</v>
      </c>
    </row>
    <row r="18" spans="1:41" x14ac:dyDescent="0.25">
      <c r="A18" s="130" t="e">
        <f>#REF!</f>
        <v>#REF!</v>
      </c>
      <c r="B18" s="133" t="e">
        <f>#REF!</f>
        <v>#REF!</v>
      </c>
      <c r="C18" s="39" t="e">
        <f>#REF!</f>
        <v>#REF!</v>
      </c>
      <c r="D18" s="135" t="e">
        <f ca="1">MIN(1,OFFSET(#REF!,-1,0)+0.04+ROUNDDOWN(10*OFFSET(#REF!,-1,0),0)+ tech_2_7*OFFSET(#REF!,-1,0) + tech_5_6*OFFSET(#REF!,-1,0) )-#REF!</f>
        <v>#REF!</v>
      </c>
      <c r="E18" s="147" t="e">
        <f ca="1">OFFSET(#REF!,-1,0)+1/24</f>
        <v>#REF!</v>
      </c>
      <c r="F18" s="135" t="e">
        <f>#REF!</f>
        <v>#REF!</v>
      </c>
      <c r="G18" s="210"/>
      <c r="H18" s="210"/>
      <c r="I18" s="210"/>
      <c r="J18" s="210"/>
      <c r="K18" s="386"/>
      <c r="L18" s="210"/>
      <c r="M18" s="210"/>
      <c r="N18" s="210"/>
      <c r="O18" s="210"/>
      <c r="P18" s="210"/>
      <c r="Q18" s="210"/>
      <c r="R18" s="210"/>
      <c r="S18" s="210"/>
      <c r="T18" s="210"/>
      <c r="U18" s="210"/>
      <c r="V18" s="210"/>
      <c r="W18" s="134"/>
      <c r="X18" s="39" t="e">
        <f>(MAX(1-wg_spell_cost_cap,1-wg_spell_cost_red*ROUND(#REF!/#REF!,4))+ tech_3_9*#REF! + tech_6_2_2*#REF! )*(#REF!-#REF!*20)*(#REF!* Constants!$B$75 +#REF!* Constants!$B$76 +#REF!* Constants!$B$77 +#REF!* Constants!$B$79 +#REF!* Constants!$B$78  + SUM(#REF!)*Constants!$B$80*(1+tech_9_3*#REF!))</f>
        <v>#REF!</v>
      </c>
      <c r="Y18" s="135" t="e">
        <f>SUMIF(#REF!,1)*0.05</f>
        <v>#REF!</v>
      </c>
      <c r="Z18" s="134"/>
      <c r="AA18" s="57" t="e">
        <f ca="1">IF(#REF!,12,IF(OFFSET(#REF!,-1,0)&gt;0,OFFSET(#REF!,-1,0)-1,0))</f>
        <v>#REF!</v>
      </c>
      <c r="AB18" s="57" t="e">
        <f ca="1">IF(#REF!,12,IF(OFFSET(#REF!,-1,0)&gt;0,OFFSET(#REF!,-1,0)-1,0))</f>
        <v>#REF!</v>
      </c>
      <c r="AC18" s="57" t="e">
        <f ca="1">IF(#REF!,12,IF(OFFSET(#REF!,-1,0)&gt;0,OFFSET(#REF!,-1,0)-1,0))</f>
        <v>#REF!</v>
      </c>
      <c r="AD18" s="57" t="e">
        <f ca="1">IF(#REF!,12,IF(OFFSET(#REF!,-1,0)&gt;0,OFFSET(#REF!,-1,0)-1,0))</f>
        <v>#REF!</v>
      </c>
      <c r="AE18" s="57" t="e">
        <f ca="1">IF(#REF!,12,IF(OFFSET(#REF!,-1,0)&gt;0,OFFSET(#REF!,-1,0)-1,0))</f>
        <v>#REF!</v>
      </c>
      <c r="AF18" s="57" t="e">
        <f ca="1">IF(#REF!,12,IF(OFFSET(#REF!,-1,0)&gt;0,OFFSET(#REF!,-1,0)-1,0))</f>
        <v>#REF!</v>
      </c>
      <c r="AG18" s="57" t="e">
        <f ca="1">IF(#REF!,12,IF(OFFSET(#REF!,-1,0)&gt;0,OFFSET(#REF!,-1,0)-1,0))</f>
        <v>#REF!</v>
      </c>
      <c r="AH18" s="57" t="e">
        <f ca="1">IF(#REF!,12,IF(OFFSET(#REF!,-1,0)&gt;0,OFFSET(#REF!,-1,0)-1,0))</f>
        <v>#REF!</v>
      </c>
      <c r="AI18" s="57" t="e">
        <f ca="1">IF(#REF!,12,IF(OFFSET(#REF!,-1,0)&gt;0,OFFSET(#REF!,-1,0)-1,0))</f>
        <v>#REF!</v>
      </c>
      <c r="AJ18" s="57" t="e">
        <f ca="1">IF(#REF!,12,IF(OFFSET(#REF!,-1,0)&gt;0,OFFSET(#REF!,-1,0)-1,0))</f>
        <v>#REF!</v>
      </c>
      <c r="AK18" s="57" t="e">
        <f ca="1">IF(#REF!,12,IF(OFFSET(#REF!,-1,0)&gt;0,OFFSET(#REF!,-1,0)-1,0))</f>
        <v>#REF!</v>
      </c>
      <c r="AL18" s="57" t="e">
        <f ca="1">IF(#REF!,12,IF(OFFSET(#REF!,-1,0)&gt;0,OFFSET(#REF!,-1,0)-1,0))</f>
        <v>#REF!</v>
      </c>
      <c r="AM18" s="57" t="e">
        <f ca="1">IF(#REF!,12,IF(OFFSET(#REF!,-1,0)&gt;0,OFFSET(#REF!,-1,0)-1,0))</f>
        <v>#REF!</v>
      </c>
      <c r="AN18" s="57" t="e">
        <f ca="1">IF(#REF!,12,IF(OFFSET(#REF!,-1,0)&gt;0,OFFSET(#REF!,-1,0)-1,0))</f>
        <v>#REF!</v>
      </c>
      <c r="AO18" s="57" t="e">
        <f ca="1">IF(#REF!,12,IF(OFFSET(#REF!,-1,0)&gt;0,OFFSET(#REF!,-1,0)-1,0))</f>
        <v>#REF!</v>
      </c>
    </row>
    <row r="19" spans="1:41" x14ac:dyDescent="0.25">
      <c r="A19" s="130" t="e">
        <f>#REF!</f>
        <v>#REF!</v>
      </c>
      <c r="B19" s="133" t="e">
        <f>#REF!</f>
        <v>#REF!</v>
      </c>
      <c r="C19" s="39" t="e">
        <f>#REF!</f>
        <v>#REF!</v>
      </c>
      <c r="D19" s="135" t="e">
        <f ca="1">MIN(1,OFFSET(#REF!,-1,0)+0.04+ROUNDDOWN(10*OFFSET(#REF!,-1,0),0)+ tech_2_7*OFFSET(#REF!,-1,0) + tech_5_6*OFFSET(#REF!,-1,0) )-#REF!</f>
        <v>#REF!</v>
      </c>
      <c r="E19" s="147" t="e">
        <f ca="1">OFFSET(#REF!,-1,0)+1/24</f>
        <v>#REF!</v>
      </c>
      <c r="F19" s="135" t="e">
        <f>#REF!</f>
        <v>#REF!</v>
      </c>
      <c r="G19" s="210"/>
      <c r="H19" s="210"/>
      <c r="I19" s="210"/>
      <c r="J19" s="210"/>
      <c r="K19" s="386"/>
      <c r="L19" s="210"/>
      <c r="M19" s="210"/>
      <c r="N19" s="210"/>
      <c r="O19" s="210"/>
      <c r="P19" s="210"/>
      <c r="Q19" s="210"/>
      <c r="R19" s="210"/>
      <c r="S19" s="210"/>
      <c r="T19" s="210"/>
      <c r="U19" s="210"/>
      <c r="V19" s="210"/>
      <c r="W19" s="134"/>
      <c r="X19" s="39" t="e">
        <f>(MAX(1-wg_spell_cost_cap,1-wg_spell_cost_red*ROUND(#REF!/#REF!,4))+ tech_3_9*#REF! + tech_6_2_2*#REF! )*(#REF!-#REF!*20)*(#REF!* Constants!$B$75 +#REF!* Constants!$B$76 +#REF!* Constants!$B$77 +#REF!* Constants!$B$79 +#REF!* Constants!$B$78  + SUM(#REF!)*Constants!$B$80*(1+tech_9_3*#REF!))</f>
        <v>#REF!</v>
      </c>
      <c r="Y19" s="135" t="e">
        <f>SUMIF(#REF!,1)*0.05</f>
        <v>#REF!</v>
      </c>
      <c r="Z19" s="134"/>
      <c r="AA19" s="57" t="e">
        <f ca="1">IF(#REF!,12,IF(OFFSET(#REF!,-1,0)&gt;0,OFFSET(#REF!,-1,0)-1,0))</f>
        <v>#REF!</v>
      </c>
      <c r="AB19" s="57" t="e">
        <f ca="1">IF(#REF!,12,IF(OFFSET(#REF!,-1,0)&gt;0,OFFSET(#REF!,-1,0)-1,0))</f>
        <v>#REF!</v>
      </c>
      <c r="AC19" s="57" t="e">
        <f ca="1">IF(#REF!,12,IF(OFFSET(#REF!,-1,0)&gt;0,OFFSET(#REF!,-1,0)-1,0))</f>
        <v>#REF!</v>
      </c>
      <c r="AD19" s="57" t="e">
        <f ca="1">IF(#REF!,12,IF(OFFSET(#REF!,-1,0)&gt;0,OFFSET(#REF!,-1,0)-1,0))</f>
        <v>#REF!</v>
      </c>
      <c r="AE19" s="57" t="e">
        <f ca="1">IF(#REF!,12,IF(OFFSET(#REF!,-1,0)&gt;0,OFFSET(#REF!,-1,0)-1,0))</f>
        <v>#REF!</v>
      </c>
      <c r="AF19" s="57" t="e">
        <f ca="1">IF(#REF!,12,IF(OFFSET(#REF!,-1,0)&gt;0,OFFSET(#REF!,-1,0)-1,0))</f>
        <v>#REF!</v>
      </c>
      <c r="AG19" s="57" t="e">
        <f ca="1">IF(#REF!,12,IF(OFFSET(#REF!,-1,0)&gt;0,OFFSET(#REF!,-1,0)-1,0))</f>
        <v>#REF!</v>
      </c>
      <c r="AH19" s="57" t="e">
        <f ca="1">IF(#REF!,12,IF(OFFSET(#REF!,-1,0)&gt;0,OFFSET(#REF!,-1,0)-1,0))</f>
        <v>#REF!</v>
      </c>
      <c r="AI19" s="57" t="e">
        <f ca="1">IF(#REF!,12,IF(OFFSET(#REF!,-1,0)&gt;0,OFFSET(#REF!,-1,0)-1,0))</f>
        <v>#REF!</v>
      </c>
      <c r="AJ19" s="57" t="e">
        <f ca="1">IF(#REF!,12,IF(OFFSET(#REF!,-1,0)&gt;0,OFFSET(#REF!,-1,0)-1,0))</f>
        <v>#REF!</v>
      </c>
      <c r="AK19" s="57" t="e">
        <f ca="1">IF(#REF!,12,IF(OFFSET(#REF!,-1,0)&gt;0,OFFSET(#REF!,-1,0)-1,0))</f>
        <v>#REF!</v>
      </c>
      <c r="AL19" s="57" t="e">
        <f ca="1">IF(#REF!,12,IF(OFFSET(#REF!,-1,0)&gt;0,OFFSET(#REF!,-1,0)-1,0))</f>
        <v>#REF!</v>
      </c>
      <c r="AM19" s="57" t="e">
        <f ca="1">IF(#REF!,12,IF(OFFSET(#REF!,-1,0)&gt;0,OFFSET(#REF!,-1,0)-1,0))</f>
        <v>#REF!</v>
      </c>
      <c r="AN19" s="57" t="e">
        <f ca="1">IF(#REF!,12,IF(OFFSET(#REF!,-1,0)&gt;0,OFFSET(#REF!,-1,0)-1,0))</f>
        <v>#REF!</v>
      </c>
      <c r="AO19" s="57" t="e">
        <f ca="1">IF(#REF!,12,IF(OFFSET(#REF!,-1,0)&gt;0,OFFSET(#REF!,-1,0)-1,0))</f>
        <v>#REF!</v>
      </c>
    </row>
    <row r="20" spans="1:41" x14ac:dyDescent="0.25">
      <c r="A20" s="130" t="e">
        <f>#REF!</f>
        <v>#REF!</v>
      </c>
      <c r="B20" s="133" t="e">
        <f>#REF!</f>
        <v>#REF!</v>
      </c>
      <c r="C20" s="39" t="e">
        <f>#REF!</f>
        <v>#REF!</v>
      </c>
      <c r="D20" s="135" t="e">
        <f ca="1">MIN(1,OFFSET(#REF!,-1,0)+0.04+ROUNDDOWN(10*OFFSET(#REF!,-1,0),0)+ tech_2_7*OFFSET(#REF!,-1,0) + tech_5_6*OFFSET(#REF!,-1,0) )-#REF!</f>
        <v>#REF!</v>
      </c>
      <c r="E20" s="147" t="e">
        <f ca="1">OFFSET(#REF!,-1,0)+1/24</f>
        <v>#REF!</v>
      </c>
      <c r="F20" s="135" t="e">
        <f>#REF!</f>
        <v>#REF!</v>
      </c>
      <c r="G20" s="210"/>
      <c r="H20" s="210"/>
      <c r="I20" s="210"/>
      <c r="J20" s="210"/>
      <c r="K20" s="386"/>
      <c r="L20" s="210"/>
      <c r="M20" s="210"/>
      <c r="N20" s="210"/>
      <c r="O20" s="210"/>
      <c r="P20" s="210"/>
      <c r="Q20" s="210"/>
      <c r="R20" s="210"/>
      <c r="S20" s="210"/>
      <c r="T20" s="210"/>
      <c r="U20" s="210"/>
      <c r="V20" s="210"/>
      <c r="W20" s="134"/>
      <c r="X20" s="39" t="e">
        <f>(MAX(1-wg_spell_cost_cap,1-wg_spell_cost_red*ROUND(#REF!/#REF!,4))+ tech_3_9*#REF! + tech_6_2_2*#REF! )*(#REF!-#REF!*20)*(#REF!* Constants!$B$75 +#REF!* Constants!$B$76 +#REF!* Constants!$B$77 +#REF!* Constants!$B$79 +#REF!* Constants!$B$78  + SUM(#REF!)*Constants!$B$80*(1+tech_9_3*#REF!))</f>
        <v>#REF!</v>
      </c>
      <c r="Y20" s="135" t="e">
        <f>SUMIF(#REF!,1)*0.05</f>
        <v>#REF!</v>
      </c>
      <c r="Z20" s="134"/>
      <c r="AA20" s="57" t="e">
        <f ca="1">IF(#REF!,12,IF(OFFSET(#REF!,-1,0)&gt;0,OFFSET(#REF!,-1,0)-1,0))</f>
        <v>#REF!</v>
      </c>
      <c r="AB20" s="57" t="e">
        <f ca="1">IF(#REF!,12,IF(OFFSET(#REF!,-1,0)&gt;0,OFFSET(#REF!,-1,0)-1,0))</f>
        <v>#REF!</v>
      </c>
      <c r="AC20" s="57" t="e">
        <f ca="1">IF(#REF!,12,IF(OFFSET(#REF!,-1,0)&gt;0,OFFSET(#REF!,-1,0)-1,0))</f>
        <v>#REF!</v>
      </c>
      <c r="AD20" s="57" t="e">
        <f ca="1">IF(#REF!,12,IF(OFFSET(#REF!,-1,0)&gt;0,OFFSET(#REF!,-1,0)-1,0))</f>
        <v>#REF!</v>
      </c>
      <c r="AE20" s="57" t="e">
        <f ca="1">IF(#REF!,12,IF(OFFSET(#REF!,-1,0)&gt;0,OFFSET(#REF!,-1,0)-1,0))</f>
        <v>#REF!</v>
      </c>
      <c r="AF20" s="57" t="e">
        <f ca="1">IF(#REF!,12,IF(OFFSET(#REF!,-1,0)&gt;0,OFFSET(#REF!,-1,0)-1,0))</f>
        <v>#REF!</v>
      </c>
      <c r="AG20" s="57" t="e">
        <f ca="1">IF(#REF!,12,IF(OFFSET(#REF!,-1,0)&gt;0,OFFSET(#REF!,-1,0)-1,0))</f>
        <v>#REF!</v>
      </c>
      <c r="AH20" s="57" t="e">
        <f ca="1">IF(#REF!,12,IF(OFFSET(#REF!,-1,0)&gt;0,OFFSET(#REF!,-1,0)-1,0))</f>
        <v>#REF!</v>
      </c>
      <c r="AI20" s="57" t="e">
        <f ca="1">IF(#REF!,12,IF(OFFSET(#REF!,-1,0)&gt;0,OFFSET(#REF!,-1,0)-1,0))</f>
        <v>#REF!</v>
      </c>
      <c r="AJ20" s="57" t="e">
        <f ca="1">IF(#REF!,12,IF(OFFSET(#REF!,-1,0)&gt;0,OFFSET(#REF!,-1,0)-1,0))</f>
        <v>#REF!</v>
      </c>
      <c r="AK20" s="57" t="e">
        <f ca="1">IF(#REF!,12,IF(OFFSET(#REF!,-1,0)&gt;0,OFFSET(#REF!,-1,0)-1,0))</f>
        <v>#REF!</v>
      </c>
      <c r="AL20" s="57" t="e">
        <f ca="1">IF(#REF!,12,IF(OFFSET(#REF!,-1,0)&gt;0,OFFSET(#REF!,-1,0)-1,0))</f>
        <v>#REF!</v>
      </c>
      <c r="AM20" s="57" t="e">
        <f ca="1">IF(#REF!,12,IF(OFFSET(#REF!,-1,0)&gt;0,OFFSET(#REF!,-1,0)-1,0))</f>
        <v>#REF!</v>
      </c>
      <c r="AN20" s="57" t="e">
        <f ca="1">IF(#REF!,12,IF(OFFSET(#REF!,-1,0)&gt;0,OFFSET(#REF!,-1,0)-1,0))</f>
        <v>#REF!</v>
      </c>
      <c r="AO20" s="57" t="e">
        <f ca="1">IF(#REF!,12,IF(OFFSET(#REF!,-1,0)&gt;0,OFFSET(#REF!,-1,0)-1,0))</f>
        <v>#REF!</v>
      </c>
    </row>
    <row r="21" spans="1:41" x14ac:dyDescent="0.25">
      <c r="A21" s="130" t="e">
        <f>#REF!</f>
        <v>#REF!</v>
      </c>
      <c r="B21" s="133" t="e">
        <f>#REF!</f>
        <v>#REF!</v>
      </c>
      <c r="C21" s="39" t="e">
        <f>#REF!</f>
        <v>#REF!</v>
      </c>
      <c r="D21" s="135" t="e">
        <f ca="1">MIN(1,OFFSET(#REF!,-1,0)+0.04+ROUNDDOWN(10*OFFSET(#REF!,-1,0),0)+ tech_2_7*OFFSET(#REF!,-1,0) + tech_5_6*OFFSET(#REF!,-1,0) )-#REF!</f>
        <v>#REF!</v>
      </c>
      <c r="E21" s="147" t="e">
        <f ca="1">OFFSET(#REF!,-1,0)+1/24</f>
        <v>#REF!</v>
      </c>
      <c r="F21" s="135" t="e">
        <f>#REF!</f>
        <v>#REF!</v>
      </c>
      <c r="G21" s="210"/>
      <c r="H21" s="210"/>
      <c r="I21" s="210"/>
      <c r="J21" s="210"/>
      <c r="K21" s="386"/>
      <c r="L21" s="210"/>
      <c r="M21" s="210"/>
      <c r="N21" s="210"/>
      <c r="O21" s="210"/>
      <c r="P21" s="210"/>
      <c r="Q21" s="210"/>
      <c r="R21" s="210"/>
      <c r="S21" s="210"/>
      <c r="T21" s="210"/>
      <c r="U21" s="210"/>
      <c r="V21" s="210"/>
      <c r="W21" s="134"/>
      <c r="X21" s="39" t="e">
        <f>(MAX(1-wg_spell_cost_cap,1-wg_spell_cost_red*ROUND(#REF!/#REF!,4))+ tech_3_9*#REF! + tech_6_2_2*#REF! )*(#REF!-#REF!*20)*(#REF!* Constants!$B$75 +#REF!* Constants!$B$76 +#REF!* Constants!$B$77 +#REF!* Constants!$B$79 +#REF!* Constants!$B$78  + SUM(#REF!)*Constants!$B$80*(1+tech_9_3*#REF!))</f>
        <v>#REF!</v>
      </c>
      <c r="Y21" s="135" t="e">
        <f>SUMIF(#REF!,1)*0.05</f>
        <v>#REF!</v>
      </c>
      <c r="Z21" s="134"/>
      <c r="AA21" s="57" t="e">
        <f ca="1">IF(#REF!,12,IF(OFFSET(#REF!,-1,0)&gt;0,OFFSET(#REF!,-1,0)-1,0))</f>
        <v>#REF!</v>
      </c>
      <c r="AB21" s="57" t="e">
        <f ca="1">IF(#REF!,12,IF(OFFSET(#REF!,-1,0)&gt;0,OFFSET(#REF!,-1,0)-1,0))</f>
        <v>#REF!</v>
      </c>
      <c r="AC21" s="57" t="e">
        <f ca="1">IF(#REF!,12,IF(OFFSET(#REF!,-1,0)&gt;0,OFFSET(#REF!,-1,0)-1,0))</f>
        <v>#REF!</v>
      </c>
      <c r="AD21" s="57" t="e">
        <f ca="1">IF(#REF!,12,IF(OFFSET(#REF!,-1,0)&gt;0,OFFSET(#REF!,-1,0)-1,0))</f>
        <v>#REF!</v>
      </c>
      <c r="AE21" s="57" t="e">
        <f ca="1">IF(#REF!,12,IF(OFFSET(#REF!,-1,0)&gt;0,OFFSET(#REF!,-1,0)-1,0))</f>
        <v>#REF!</v>
      </c>
      <c r="AF21" s="57" t="e">
        <f ca="1">IF(#REF!,12,IF(OFFSET(#REF!,-1,0)&gt;0,OFFSET(#REF!,-1,0)-1,0))</f>
        <v>#REF!</v>
      </c>
      <c r="AG21" s="57" t="e">
        <f ca="1">IF(#REF!,12,IF(OFFSET(#REF!,-1,0)&gt;0,OFFSET(#REF!,-1,0)-1,0))</f>
        <v>#REF!</v>
      </c>
      <c r="AH21" s="57" t="e">
        <f ca="1">IF(#REF!,12,IF(OFFSET(#REF!,-1,0)&gt;0,OFFSET(#REF!,-1,0)-1,0))</f>
        <v>#REF!</v>
      </c>
      <c r="AI21" s="57" t="e">
        <f ca="1">IF(#REF!,12,IF(OFFSET(#REF!,-1,0)&gt;0,OFFSET(#REF!,-1,0)-1,0))</f>
        <v>#REF!</v>
      </c>
      <c r="AJ21" s="57" t="e">
        <f ca="1">IF(#REF!,12,IF(OFFSET(#REF!,-1,0)&gt;0,OFFSET(#REF!,-1,0)-1,0))</f>
        <v>#REF!</v>
      </c>
      <c r="AK21" s="57" t="e">
        <f ca="1">IF(#REF!,12,IF(OFFSET(#REF!,-1,0)&gt;0,OFFSET(#REF!,-1,0)-1,0))</f>
        <v>#REF!</v>
      </c>
      <c r="AL21" s="57" t="e">
        <f ca="1">IF(#REF!,12,IF(OFFSET(#REF!,-1,0)&gt;0,OFFSET(#REF!,-1,0)-1,0))</f>
        <v>#REF!</v>
      </c>
      <c r="AM21" s="57" t="e">
        <f ca="1">IF(#REF!,12,IF(OFFSET(#REF!,-1,0)&gt;0,OFFSET(#REF!,-1,0)-1,0))</f>
        <v>#REF!</v>
      </c>
      <c r="AN21" s="57" t="e">
        <f ca="1">IF(#REF!,12,IF(OFFSET(#REF!,-1,0)&gt;0,OFFSET(#REF!,-1,0)-1,0))</f>
        <v>#REF!</v>
      </c>
      <c r="AO21" s="57" t="e">
        <f ca="1">IF(#REF!,12,IF(OFFSET(#REF!,-1,0)&gt;0,OFFSET(#REF!,-1,0)-1,0))</f>
        <v>#REF!</v>
      </c>
    </row>
    <row r="22" spans="1:41" x14ac:dyDescent="0.25">
      <c r="A22" s="130" t="e">
        <f>#REF!</f>
        <v>#REF!</v>
      </c>
      <c r="B22" s="133" t="e">
        <f>#REF!</f>
        <v>#REF!</v>
      </c>
      <c r="C22" s="39" t="e">
        <f>#REF!</f>
        <v>#REF!</v>
      </c>
      <c r="D22" s="135" t="e">
        <f ca="1">MIN(1,OFFSET(#REF!,-1,0)+0.04+ROUNDDOWN(10*OFFSET(#REF!,-1,0),0)+ tech_2_7*OFFSET(#REF!,-1,0) + tech_5_6*OFFSET(#REF!,-1,0) )-#REF!</f>
        <v>#REF!</v>
      </c>
      <c r="E22" s="147" t="e">
        <f ca="1">OFFSET(#REF!,-1,0)+1/24</f>
        <v>#REF!</v>
      </c>
      <c r="F22" s="135" t="e">
        <f>#REF!</f>
        <v>#REF!</v>
      </c>
      <c r="G22" s="210"/>
      <c r="H22" s="210"/>
      <c r="I22" s="210"/>
      <c r="J22" s="210"/>
      <c r="K22" s="386"/>
      <c r="L22" s="210"/>
      <c r="M22" s="210"/>
      <c r="N22" s="210"/>
      <c r="O22" s="210"/>
      <c r="P22" s="210"/>
      <c r="Q22" s="210"/>
      <c r="R22" s="210"/>
      <c r="S22" s="210"/>
      <c r="T22" s="210"/>
      <c r="U22" s="210"/>
      <c r="V22" s="210"/>
      <c r="W22" s="134"/>
      <c r="X22" s="39" t="e">
        <f>(MAX(1-wg_spell_cost_cap,1-wg_spell_cost_red*ROUND(#REF!/#REF!,4))+ tech_3_9*#REF! + tech_6_2_2*#REF! )*(#REF!-#REF!*20)*(#REF!* Constants!$B$75 +#REF!* Constants!$B$76 +#REF!* Constants!$B$77 +#REF!* Constants!$B$79 +#REF!* Constants!$B$78  + SUM(#REF!)*Constants!$B$80*(1+tech_9_3*#REF!))</f>
        <v>#REF!</v>
      </c>
      <c r="Y22" s="135" t="e">
        <f>SUMIF(#REF!,1)*0.05</f>
        <v>#REF!</v>
      </c>
      <c r="Z22" s="134"/>
      <c r="AA22" s="57" t="e">
        <f ca="1">IF(#REF!,12,IF(OFFSET(#REF!,-1,0)&gt;0,OFFSET(#REF!,-1,0)-1,0))</f>
        <v>#REF!</v>
      </c>
      <c r="AB22" s="57" t="e">
        <f ca="1">IF(#REF!,12,IF(OFFSET(#REF!,-1,0)&gt;0,OFFSET(#REF!,-1,0)-1,0))</f>
        <v>#REF!</v>
      </c>
      <c r="AC22" s="57" t="e">
        <f ca="1">IF(#REF!,12,IF(OFFSET(#REF!,-1,0)&gt;0,OFFSET(#REF!,-1,0)-1,0))</f>
        <v>#REF!</v>
      </c>
      <c r="AD22" s="57" t="e">
        <f ca="1">IF(#REF!,12,IF(OFFSET(#REF!,-1,0)&gt;0,OFFSET(#REF!,-1,0)-1,0))</f>
        <v>#REF!</v>
      </c>
      <c r="AE22" s="57" t="e">
        <f ca="1">IF(#REF!,12,IF(OFFSET(#REF!,-1,0)&gt;0,OFFSET(#REF!,-1,0)-1,0))</f>
        <v>#REF!</v>
      </c>
      <c r="AF22" s="57" t="e">
        <f ca="1">IF(#REF!,12,IF(OFFSET(#REF!,-1,0)&gt;0,OFFSET(#REF!,-1,0)-1,0))</f>
        <v>#REF!</v>
      </c>
      <c r="AG22" s="57" t="e">
        <f ca="1">IF(#REF!,12,IF(OFFSET(#REF!,-1,0)&gt;0,OFFSET(#REF!,-1,0)-1,0))</f>
        <v>#REF!</v>
      </c>
      <c r="AH22" s="57" t="e">
        <f ca="1">IF(#REF!,12,IF(OFFSET(#REF!,-1,0)&gt;0,OFFSET(#REF!,-1,0)-1,0))</f>
        <v>#REF!</v>
      </c>
      <c r="AI22" s="57" t="e">
        <f ca="1">IF(#REF!,12,IF(OFFSET(#REF!,-1,0)&gt;0,OFFSET(#REF!,-1,0)-1,0))</f>
        <v>#REF!</v>
      </c>
      <c r="AJ22" s="57" t="e">
        <f ca="1">IF(#REF!,12,IF(OFFSET(#REF!,-1,0)&gt;0,OFFSET(#REF!,-1,0)-1,0))</f>
        <v>#REF!</v>
      </c>
      <c r="AK22" s="57" t="e">
        <f ca="1">IF(#REF!,12,IF(OFFSET(#REF!,-1,0)&gt;0,OFFSET(#REF!,-1,0)-1,0))</f>
        <v>#REF!</v>
      </c>
      <c r="AL22" s="57" t="e">
        <f ca="1">IF(#REF!,12,IF(OFFSET(#REF!,-1,0)&gt;0,OFFSET(#REF!,-1,0)-1,0))</f>
        <v>#REF!</v>
      </c>
      <c r="AM22" s="57" t="e">
        <f ca="1">IF(#REF!,12,IF(OFFSET(#REF!,-1,0)&gt;0,OFFSET(#REF!,-1,0)-1,0))</f>
        <v>#REF!</v>
      </c>
      <c r="AN22" s="57" t="e">
        <f ca="1">IF(#REF!,12,IF(OFFSET(#REF!,-1,0)&gt;0,OFFSET(#REF!,-1,0)-1,0))</f>
        <v>#REF!</v>
      </c>
      <c r="AO22" s="57" t="e">
        <f ca="1">IF(#REF!,12,IF(OFFSET(#REF!,-1,0)&gt;0,OFFSET(#REF!,-1,0)-1,0))</f>
        <v>#REF!</v>
      </c>
    </row>
    <row r="23" spans="1:41" x14ac:dyDescent="0.25">
      <c r="A23" s="130" t="e">
        <f>#REF!</f>
        <v>#REF!</v>
      </c>
      <c r="B23" s="133" t="e">
        <f>#REF!</f>
        <v>#REF!</v>
      </c>
      <c r="C23" s="39" t="e">
        <f>#REF!</f>
        <v>#REF!</v>
      </c>
      <c r="D23" s="135" t="e">
        <f ca="1">MIN(1,OFFSET(#REF!,-1,0)+0.04+ROUNDDOWN(10*OFFSET(#REF!,-1,0),0)+ tech_2_7*OFFSET(#REF!,-1,0) + tech_5_6*OFFSET(#REF!,-1,0) )-#REF!</f>
        <v>#REF!</v>
      </c>
      <c r="E23" s="147" t="e">
        <f ca="1">OFFSET(#REF!,-1,0)+1/24</f>
        <v>#REF!</v>
      </c>
      <c r="F23" s="135" t="e">
        <f>#REF!</f>
        <v>#REF!</v>
      </c>
      <c r="G23" s="210"/>
      <c r="H23" s="210"/>
      <c r="I23" s="210"/>
      <c r="J23" s="210"/>
      <c r="K23" s="386"/>
      <c r="L23" s="210"/>
      <c r="M23" s="210"/>
      <c r="N23" s="210"/>
      <c r="O23" s="210"/>
      <c r="P23" s="210"/>
      <c r="Q23" s="210"/>
      <c r="R23" s="210"/>
      <c r="S23" s="210"/>
      <c r="T23" s="210"/>
      <c r="U23" s="210"/>
      <c r="V23" s="210"/>
      <c r="W23" s="134"/>
      <c r="X23" s="39" t="e">
        <f>(MAX(1-wg_spell_cost_cap,1-wg_spell_cost_red*ROUND(#REF!/#REF!,4))+ tech_3_9*#REF! + tech_6_2_2*#REF! )*(#REF!-#REF!*20)*(#REF!* Constants!$B$75 +#REF!* Constants!$B$76 +#REF!* Constants!$B$77 +#REF!* Constants!$B$79 +#REF!* Constants!$B$78  + SUM(#REF!)*Constants!$B$80*(1+tech_9_3*#REF!))</f>
        <v>#REF!</v>
      </c>
      <c r="Y23" s="135" t="e">
        <f>SUMIF(#REF!,1)*0.05</f>
        <v>#REF!</v>
      </c>
      <c r="Z23" s="134"/>
      <c r="AA23" s="57" t="e">
        <f ca="1">IF(#REF!,12,IF(OFFSET(#REF!,-1,0)&gt;0,OFFSET(#REF!,-1,0)-1,0))</f>
        <v>#REF!</v>
      </c>
      <c r="AB23" s="57" t="e">
        <f ca="1">IF(#REF!,12,IF(OFFSET(#REF!,-1,0)&gt;0,OFFSET(#REF!,-1,0)-1,0))</f>
        <v>#REF!</v>
      </c>
      <c r="AC23" s="57" t="e">
        <f ca="1">IF(#REF!,12,IF(OFFSET(#REF!,-1,0)&gt;0,OFFSET(#REF!,-1,0)-1,0))</f>
        <v>#REF!</v>
      </c>
      <c r="AD23" s="57" t="e">
        <f ca="1">IF(#REF!,12,IF(OFFSET(#REF!,-1,0)&gt;0,OFFSET(#REF!,-1,0)-1,0))</f>
        <v>#REF!</v>
      </c>
      <c r="AE23" s="57" t="e">
        <f ca="1">IF(#REF!,12,IF(OFFSET(#REF!,-1,0)&gt;0,OFFSET(#REF!,-1,0)-1,0))</f>
        <v>#REF!</v>
      </c>
      <c r="AF23" s="57" t="e">
        <f ca="1">IF(#REF!,12,IF(OFFSET(#REF!,-1,0)&gt;0,OFFSET(#REF!,-1,0)-1,0))</f>
        <v>#REF!</v>
      </c>
      <c r="AG23" s="57" t="e">
        <f ca="1">IF(#REF!,12,IF(OFFSET(#REF!,-1,0)&gt;0,OFFSET(#REF!,-1,0)-1,0))</f>
        <v>#REF!</v>
      </c>
      <c r="AH23" s="57" t="e">
        <f ca="1">IF(#REF!,12,IF(OFFSET(#REF!,-1,0)&gt;0,OFFSET(#REF!,-1,0)-1,0))</f>
        <v>#REF!</v>
      </c>
      <c r="AI23" s="57" t="e">
        <f ca="1">IF(#REF!,12,IF(OFFSET(#REF!,-1,0)&gt;0,OFFSET(#REF!,-1,0)-1,0))</f>
        <v>#REF!</v>
      </c>
      <c r="AJ23" s="57" t="e">
        <f ca="1">IF(#REF!,12,IF(OFFSET(#REF!,-1,0)&gt;0,OFFSET(#REF!,-1,0)-1,0))</f>
        <v>#REF!</v>
      </c>
      <c r="AK23" s="57" t="e">
        <f ca="1">IF(#REF!,12,IF(OFFSET(#REF!,-1,0)&gt;0,OFFSET(#REF!,-1,0)-1,0))</f>
        <v>#REF!</v>
      </c>
      <c r="AL23" s="57" t="e">
        <f ca="1">IF(#REF!,12,IF(OFFSET(#REF!,-1,0)&gt;0,OFFSET(#REF!,-1,0)-1,0))</f>
        <v>#REF!</v>
      </c>
      <c r="AM23" s="57" t="e">
        <f ca="1">IF(#REF!,12,IF(OFFSET(#REF!,-1,0)&gt;0,OFFSET(#REF!,-1,0)-1,0))</f>
        <v>#REF!</v>
      </c>
      <c r="AN23" s="57" t="e">
        <f ca="1">IF(#REF!,12,IF(OFFSET(#REF!,-1,0)&gt;0,OFFSET(#REF!,-1,0)-1,0))</f>
        <v>#REF!</v>
      </c>
      <c r="AO23" s="57" t="e">
        <f ca="1">IF(#REF!,12,IF(OFFSET(#REF!,-1,0)&gt;0,OFFSET(#REF!,-1,0)-1,0))</f>
        <v>#REF!</v>
      </c>
    </row>
    <row r="24" spans="1:41" x14ac:dyDescent="0.25">
      <c r="A24" s="130" t="e">
        <f>#REF!</f>
        <v>#REF!</v>
      </c>
      <c r="B24" s="133" t="e">
        <f>#REF!</f>
        <v>#REF!</v>
      </c>
      <c r="C24" s="39" t="e">
        <f>#REF!</f>
        <v>#REF!</v>
      </c>
      <c r="D24" s="135" t="e">
        <f ca="1">MIN(1,OFFSET(#REF!,-1,0)+0.04+ROUNDDOWN(10*OFFSET(#REF!,-1,0),0)+ tech_2_7*OFFSET(#REF!,-1,0) + tech_5_6*OFFSET(#REF!,-1,0) )-#REF!</f>
        <v>#REF!</v>
      </c>
      <c r="E24" s="147" t="e">
        <f ca="1">OFFSET(#REF!,-1,0)+1/24</f>
        <v>#REF!</v>
      </c>
      <c r="F24" s="135" t="e">
        <f>#REF!</f>
        <v>#REF!</v>
      </c>
      <c r="G24" s="210"/>
      <c r="H24" s="210"/>
      <c r="I24" s="210"/>
      <c r="J24" s="210"/>
      <c r="K24" s="386"/>
      <c r="L24" s="210"/>
      <c r="M24" s="210"/>
      <c r="N24" s="210"/>
      <c r="O24" s="210"/>
      <c r="P24" s="210"/>
      <c r="Q24" s="210"/>
      <c r="R24" s="210"/>
      <c r="S24" s="210"/>
      <c r="T24" s="210"/>
      <c r="U24" s="210"/>
      <c r="V24" s="210"/>
      <c r="W24" s="134"/>
      <c r="X24" s="39" t="e">
        <f>(MAX(1-wg_spell_cost_cap,1-wg_spell_cost_red*ROUND(#REF!/#REF!,4))+ tech_3_9*#REF! + tech_6_2_2*#REF! )*(#REF!-#REF!*20)*(#REF!* Constants!$B$75 +#REF!* Constants!$B$76 +#REF!* Constants!$B$77 +#REF!* Constants!$B$79 +#REF!* Constants!$B$78  + SUM(#REF!)*Constants!$B$80*(1+tech_9_3*#REF!))</f>
        <v>#REF!</v>
      </c>
      <c r="Y24" s="135" t="e">
        <f>SUMIF(#REF!,1)*0.05</f>
        <v>#REF!</v>
      </c>
      <c r="Z24" s="134"/>
      <c r="AA24" s="57" t="e">
        <f ca="1">IF(#REF!,12,IF(OFFSET(#REF!,-1,0)&gt;0,OFFSET(#REF!,-1,0)-1,0))</f>
        <v>#REF!</v>
      </c>
      <c r="AB24" s="57" t="e">
        <f ca="1">IF(#REF!,12,IF(OFFSET(#REF!,-1,0)&gt;0,OFFSET(#REF!,-1,0)-1,0))</f>
        <v>#REF!</v>
      </c>
      <c r="AC24" s="57" t="e">
        <f ca="1">IF(#REF!,12,IF(OFFSET(#REF!,-1,0)&gt;0,OFFSET(#REF!,-1,0)-1,0))</f>
        <v>#REF!</v>
      </c>
      <c r="AD24" s="57" t="e">
        <f ca="1">IF(#REF!,12,IF(OFFSET(#REF!,-1,0)&gt;0,OFFSET(#REF!,-1,0)-1,0))</f>
        <v>#REF!</v>
      </c>
      <c r="AE24" s="57" t="e">
        <f ca="1">IF(#REF!,12,IF(OFFSET(#REF!,-1,0)&gt;0,OFFSET(#REF!,-1,0)-1,0))</f>
        <v>#REF!</v>
      </c>
      <c r="AF24" s="57" t="e">
        <f ca="1">IF(#REF!,12,IF(OFFSET(#REF!,-1,0)&gt;0,OFFSET(#REF!,-1,0)-1,0))</f>
        <v>#REF!</v>
      </c>
      <c r="AG24" s="57" t="e">
        <f ca="1">IF(#REF!,12,IF(OFFSET(#REF!,-1,0)&gt;0,OFFSET(#REF!,-1,0)-1,0))</f>
        <v>#REF!</v>
      </c>
      <c r="AH24" s="57" t="e">
        <f ca="1">IF(#REF!,12,IF(OFFSET(#REF!,-1,0)&gt;0,OFFSET(#REF!,-1,0)-1,0))</f>
        <v>#REF!</v>
      </c>
      <c r="AI24" s="57" t="e">
        <f ca="1">IF(#REF!,12,IF(OFFSET(#REF!,-1,0)&gt;0,OFFSET(#REF!,-1,0)-1,0))</f>
        <v>#REF!</v>
      </c>
      <c r="AJ24" s="57" t="e">
        <f ca="1">IF(#REF!,12,IF(OFFSET(#REF!,-1,0)&gt;0,OFFSET(#REF!,-1,0)-1,0))</f>
        <v>#REF!</v>
      </c>
      <c r="AK24" s="57" t="e">
        <f ca="1">IF(#REF!,12,IF(OFFSET(#REF!,-1,0)&gt;0,OFFSET(#REF!,-1,0)-1,0))</f>
        <v>#REF!</v>
      </c>
      <c r="AL24" s="57" t="e">
        <f ca="1">IF(#REF!,12,IF(OFFSET(#REF!,-1,0)&gt;0,OFFSET(#REF!,-1,0)-1,0))</f>
        <v>#REF!</v>
      </c>
      <c r="AM24" s="57" t="e">
        <f ca="1">IF(#REF!,12,IF(OFFSET(#REF!,-1,0)&gt;0,OFFSET(#REF!,-1,0)-1,0))</f>
        <v>#REF!</v>
      </c>
      <c r="AN24" s="57" t="e">
        <f ca="1">IF(#REF!,12,IF(OFFSET(#REF!,-1,0)&gt;0,OFFSET(#REF!,-1,0)-1,0))</f>
        <v>#REF!</v>
      </c>
      <c r="AO24" s="57" t="e">
        <f ca="1">IF(#REF!,12,IF(OFFSET(#REF!,-1,0)&gt;0,OFFSET(#REF!,-1,0)-1,0))</f>
        <v>#REF!</v>
      </c>
    </row>
    <row r="25" spans="1:41" x14ac:dyDescent="0.25">
      <c r="A25" s="130" t="e">
        <f>#REF!</f>
        <v>#REF!</v>
      </c>
      <c r="B25" s="133" t="e">
        <f>#REF!</f>
        <v>#REF!</v>
      </c>
      <c r="C25" s="39" t="e">
        <f>#REF!</f>
        <v>#REF!</v>
      </c>
      <c r="D25" s="135" t="e">
        <f ca="1">MIN(1,OFFSET(#REF!,-1,0)+0.04+ROUNDDOWN(10*OFFSET(#REF!,-1,0),0)+ tech_2_7*OFFSET(#REF!,-1,0) + tech_5_6*OFFSET(#REF!,-1,0) )-#REF!</f>
        <v>#REF!</v>
      </c>
      <c r="E25" s="147" t="e">
        <f ca="1">OFFSET(#REF!,-1,0)+1/24</f>
        <v>#REF!</v>
      </c>
      <c r="F25" s="135" t="e">
        <f>#REF!</f>
        <v>#REF!</v>
      </c>
      <c r="G25" s="210"/>
      <c r="H25" s="210"/>
      <c r="I25" s="210"/>
      <c r="J25" s="210"/>
      <c r="K25" s="386"/>
      <c r="L25" s="210"/>
      <c r="M25" s="210"/>
      <c r="N25" s="210"/>
      <c r="O25" s="210"/>
      <c r="P25" s="210"/>
      <c r="Q25" s="210"/>
      <c r="R25" s="210"/>
      <c r="S25" s="210"/>
      <c r="T25" s="210"/>
      <c r="U25" s="210"/>
      <c r="V25" s="210"/>
      <c r="W25" s="134"/>
      <c r="X25" s="39" t="e">
        <f>(MAX(1-wg_spell_cost_cap,1-wg_spell_cost_red*ROUND(#REF!/#REF!,4))+ tech_3_9*#REF! + tech_6_2_2*#REF! )*(#REF!-#REF!*20)*(#REF!* Constants!$B$75 +#REF!* Constants!$B$76 +#REF!* Constants!$B$77 +#REF!* Constants!$B$79 +#REF!* Constants!$B$78  + SUM(#REF!)*Constants!$B$80*(1+tech_9_3*#REF!))</f>
        <v>#REF!</v>
      </c>
      <c r="Y25" s="135" t="e">
        <f>SUMIF(#REF!,1)*0.05</f>
        <v>#REF!</v>
      </c>
      <c r="Z25" s="134"/>
      <c r="AA25" s="57" t="e">
        <f ca="1">IF(#REF!,12,IF(OFFSET(#REF!,-1,0)&gt;0,OFFSET(#REF!,-1,0)-1,0))</f>
        <v>#REF!</v>
      </c>
      <c r="AB25" s="57" t="e">
        <f ca="1">IF(#REF!,12,IF(OFFSET(#REF!,-1,0)&gt;0,OFFSET(#REF!,-1,0)-1,0))</f>
        <v>#REF!</v>
      </c>
      <c r="AC25" s="57" t="e">
        <f ca="1">IF(#REF!,12,IF(OFFSET(#REF!,-1,0)&gt;0,OFFSET(#REF!,-1,0)-1,0))</f>
        <v>#REF!</v>
      </c>
      <c r="AD25" s="57" t="e">
        <f ca="1">IF(#REF!,12,IF(OFFSET(#REF!,-1,0)&gt;0,OFFSET(#REF!,-1,0)-1,0))</f>
        <v>#REF!</v>
      </c>
      <c r="AE25" s="57" t="e">
        <f ca="1">IF(#REF!,12,IF(OFFSET(#REF!,-1,0)&gt;0,OFFSET(#REF!,-1,0)-1,0))</f>
        <v>#REF!</v>
      </c>
      <c r="AF25" s="57" t="e">
        <f ca="1">IF(#REF!,12,IF(OFFSET(#REF!,-1,0)&gt;0,OFFSET(#REF!,-1,0)-1,0))</f>
        <v>#REF!</v>
      </c>
      <c r="AG25" s="57" t="e">
        <f ca="1">IF(#REF!,12,IF(OFFSET(#REF!,-1,0)&gt;0,OFFSET(#REF!,-1,0)-1,0))</f>
        <v>#REF!</v>
      </c>
      <c r="AH25" s="57" t="e">
        <f ca="1">IF(#REF!,12,IF(OFFSET(#REF!,-1,0)&gt;0,OFFSET(#REF!,-1,0)-1,0))</f>
        <v>#REF!</v>
      </c>
      <c r="AI25" s="57" t="e">
        <f ca="1">IF(#REF!,12,IF(OFFSET(#REF!,-1,0)&gt;0,OFFSET(#REF!,-1,0)-1,0))</f>
        <v>#REF!</v>
      </c>
      <c r="AJ25" s="57" t="e">
        <f ca="1">IF(#REF!,12,IF(OFFSET(#REF!,-1,0)&gt;0,OFFSET(#REF!,-1,0)-1,0))</f>
        <v>#REF!</v>
      </c>
      <c r="AK25" s="57" t="e">
        <f ca="1">IF(#REF!,12,IF(OFFSET(#REF!,-1,0)&gt;0,OFFSET(#REF!,-1,0)-1,0))</f>
        <v>#REF!</v>
      </c>
      <c r="AL25" s="57" t="e">
        <f ca="1">IF(#REF!,12,IF(OFFSET(#REF!,-1,0)&gt;0,OFFSET(#REF!,-1,0)-1,0))</f>
        <v>#REF!</v>
      </c>
      <c r="AM25" s="57" t="e">
        <f ca="1">IF(#REF!,12,IF(OFFSET(#REF!,-1,0)&gt;0,OFFSET(#REF!,-1,0)-1,0))</f>
        <v>#REF!</v>
      </c>
      <c r="AN25" s="57" t="e">
        <f ca="1">IF(#REF!,12,IF(OFFSET(#REF!,-1,0)&gt;0,OFFSET(#REF!,-1,0)-1,0))</f>
        <v>#REF!</v>
      </c>
      <c r="AO25" s="57" t="e">
        <f ca="1">IF(#REF!,12,IF(OFFSET(#REF!,-1,0)&gt;0,OFFSET(#REF!,-1,0)-1,0))</f>
        <v>#REF!</v>
      </c>
    </row>
    <row r="26" spans="1:41" x14ac:dyDescent="0.25">
      <c r="A26" s="130" t="e">
        <f>#REF!</f>
        <v>#REF!</v>
      </c>
      <c r="B26" s="133" t="e">
        <f>#REF!</f>
        <v>#REF!</v>
      </c>
      <c r="C26" s="39" t="e">
        <f>#REF!</f>
        <v>#REF!</v>
      </c>
      <c r="D26" s="135" t="e">
        <f ca="1">MIN(1,OFFSET(#REF!,-1,0)+0.04+ROUNDDOWN(10*OFFSET(#REF!,-1,0),0)+ tech_2_7*OFFSET(#REF!,-1,0) + tech_5_6*OFFSET(#REF!,-1,0) )-#REF!</f>
        <v>#REF!</v>
      </c>
      <c r="E26" s="147" t="e">
        <f ca="1">OFFSET(#REF!,-1,0)+1/24</f>
        <v>#REF!</v>
      </c>
      <c r="F26" s="135" t="e">
        <f>#REF!</f>
        <v>#REF!</v>
      </c>
      <c r="G26" s="210"/>
      <c r="H26" s="210"/>
      <c r="I26" s="210"/>
      <c r="J26" s="210"/>
      <c r="K26" s="386"/>
      <c r="L26" s="210"/>
      <c r="M26" s="210"/>
      <c r="N26" s="210"/>
      <c r="O26" s="210"/>
      <c r="P26" s="210"/>
      <c r="Q26" s="210"/>
      <c r="R26" s="210"/>
      <c r="S26" s="210"/>
      <c r="T26" s="210"/>
      <c r="U26" s="210"/>
      <c r="V26" s="210"/>
      <c r="W26" s="134"/>
      <c r="X26" s="39" t="e">
        <f>(MAX(1-wg_spell_cost_cap,1-wg_spell_cost_red*ROUND(#REF!/#REF!,4))+ tech_3_9*#REF! + tech_6_2_2*#REF! )*(#REF!-#REF!*20)*(#REF!* Constants!$B$75 +#REF!* Constants!$B$76 +#REF!* Constants!$B$77 +#REF!* Constants!$B$79 +#REF!* Constants!$B$78  + SUM(#REF!)*Constants!$B$80*(1+tech_9_3*#REF!))</f>
        <v>#REF!</v>
      </c>
      <c r="Y26" s="135" t="e">
        <f>SUMIF(#REF!,1)*0.05</f>
        <v>#REF!</v>
      </c>
      <c r="Z26" s="134"/>
      <c r="AA26" s="57" t="e">
        <f ca="1">IF(#REF!,12,IF(OFFSET(#REF!,-1,0)&gt;0,OFFSET(#REF!,-1,0)-1,0))</f>
        <v>#REF!</v>
      </c>
      <c r="AB26" s="57" t="e">
        <f ca="1">IF(#REF!,12,IF(OFFSET(#REF!,-1,0)&gt;0,OFFSET(#REF!,-1,0)-1,0))</f>
        <v>#REF!</v>
      </c>
      <c r="AC26" s="57" t="e">
        <f ca="1">IF(#REF!,12,IF(OFFSET(#REF!,-1,0)&gt;0,OFFSET(#REF!,-1,0)-1,0))</f>
        <v>#REF!</v>
      </c>
      <c r="AD26" s="57" t="e">
        <f ca="1">IF(#REF!,12,IF(OFFSET(#REF!,-1,0)&gt;0,OFFSET(#REF!,-1,0)-1,0))</f>
        <v>#REF!</v>
      </c>
      <c r="AE26" s="57" t="e">
        <f ca="1">IF(#REF!,12,IF(OFFSET(#REF!,-1,0)&gt;0,OFFSET(#REF!,-1,0)-1,0))</f>
        <v>#REF!</v>
      </c>
      <c r="AF26" s="57" t="e">
        <f ca="1">IF(#REF!,12,IF(OFFSET(#REF!,-1,0)&gt;0,OFFSET(#REF!,-1,0)-1,0))</f>
        <v>#REF!</v>
      </c>
      <c r="AG26" s="57" t="e">
        <f ca="1">IF(#REF!,12,IF(OFFSET(#REF!,-1,0)&gt;0,OFFSET(#REF!,-1,0)-1,0))</f>
        <v>#REF!</v>
      </c>
      <c r="AH26" s="57" t="e">
        <f ca="1">IF(#REF!,12,IF(OFFSET(#REF!,-1,0)&gt;0,OFFSET(#REF!,-1,0)-1,0))</f>
        <v>#REF!</v>
      </c>
      <c r="AI26" s="57" t="e">
        <f ca="1">IF(#REF!,12,IF(OFFSET(#REF!,-1,0)&gt;0,OFFSET(#REF!,-1,0)-1,0))</f>
        <v>#REF!</v>
      </c>
      <c r="AJ26" s="57" t="e">
        <f ca="1">IF(#REF!,12,IF(OFFSET(#REF!,-1,0)&gt;0,OFFSET(#REF!,-1,0)-1,0))</f>
        <v>#REF!</v>
      </c>
      <c r="AK26" s="57" t="e">
        <f ca="1">IF(#REF!,12,IF(OFFSET(#REF!,-1,0)&gt;0,OFFSET(#REF!,-1,0)-1,0))</f>
        <v>#REF!</v>
      </c>
      <c r="AL26" s="57" t="e">
        <f ca="1">IF(#REF!,12,IF(OFFSET(#REF!,-1,0)&gt;0,OFFSET(#REF!,-1,0)-1,0))</f>
        <v>#REF!</v>
      </c>
      <c r="AM26" s="57" t="e">
        <f ca="1">IF(#REF!,12,IF(OFFSET(#REF!,-1,0)&gt;0,OFFSET(#REF!,-1,0)-1,0))</f>
        <v>#REF!</v>
      </c>
      <c r="AN26" s="57" t="e">
        <f ca="1">IF(#REF!,12,IF(OFFSET(#REF!,-1,0)&gt;0,OFFSET(#REF!,-1,0)-1,0))</f>
        <v>#REF!</v>
      </c>
      <c r="AO26" s="57" t="e">
        <f ca="1">IF(#REF!,12,IF(OFFSET(#REF!,-1,0)&gt;0,OFFSET(#REF!,-1,0)-1,0))</f>
        <v>#REF!</v>
      </c>
    </row>
    <row r="27" spans="1:41" x14ac:dyDescent="0.25">
      <c r="A27" s="130" t="e">
        <f>#REF!</f>
        <v>#REF!</v>
      </c>
      <c r="B27" s="133" t="e">
        <f>#REF!</f>
        <v>#REF!</v>
      </c>
      <c r="C27" s="39" t="e">
        <f>#REF!</f>
        <v>#REF!</v>
      </c>
      <c r="D27" s="135" t="e">
        <f ca="1">MIN(1,OFFSET(#REF!,-1,0)+0.04+ROUNDDOWN(10*OFFSET(#REF!,-1,0),0)+ tech_2_7*OFFSET(#REF!,-1,0) + tech_5_6*OFFSET(#REF!,-1,0) )-#REF!</f>
        <v>#REF!</v>
      </c>
      <c r="E27" s="147" t="e">
        <f ca="1">OFFSET(#REF!,-1,0)+1/24</f>
        <v>#REF!</v>
      </c>
      <c r="F27" s="135" t="e">
        <f>#REF!</f>
        <v>#REF!</v>
      </c>
      <c r="G27" s="210"/>
      <c r="H27" s="210"/>
      <c r="I27" s="210"/>
      <c r="J27" s="210"/>
      <c r="K27" s="386"/>
      <c r="L27" s="210"/>
      <c r="M27" s="210"/>
      <c r="N27" s="210"/>
      <c r="O27" s="210"/>
      <c r="P27" s="210"/>
      <c r="Q27" s="210"/>
      <c r="R27" s="210"/>
      <c r="S27" s="210"/>
      <c r="T27" s="210"/>
      <c r="U27" s="210"/>
      <c r="V27" s="210"/>
      <c r="W27" s="134"/>
      <c r="X27" s="39" t="e">
        <f>(MAX(1-wg_spell_cost_cap,1-wg_spell_cost_red*ROUND(#REF!/#REF!,4))+ tech_3_9*#REF! + tech_6_2_2*#REF! )*(#REF!-#REF!*20)*(#REF!* Constants!$B$75 +#REF!* Constants!$B$76 +#REF!* Constants!$B$77 +#REF!* Constants!$B$79 +#REF!* Constants!$B$78  + SUM(#REF!)*Constants!$B$80*(1+tech_9_3*#REF!))</f>
        <v>#REF!</v>
      </c>
      <c r="Y27" s="135" t="e">
        <f>SUMIF(#REF!,1)*0.05</f>
        <v>#REF!</v>
      </c>
      <c r="Z27" s="134"/>
      <c r="AA27" s="57" t="e">
        <f ca="1">IF(#REF!,12,IF(OFFSET(#REF!,-1,0)&gt;0,OFFSET(#REF!,-1,0)-1,0))</f>
        <v>#REF!</v>
      </c>
      <c r="AB27" s="57" t="e">
        <f ca="1">IF(#REF!,12,IF(OFFSET(#REF!,-1,0)&gt;0,OFFSET(#REF!,-1,0)-1,0))</f>
        <v>#REF!</v>
      </c>
      <c r="AC27" s="57" t="e">
        <f ca="1">IF(#REF!,12,IF(OFFSET(#REF!,-1,0)&gt;0,OFFSET(#REF!,-1,0)-1,0))</f>
        <v>#REF!</v>
      </c>
      <c r="AD27" s="57" t="e">
        <f ca="1">IF(#REF!,12,IF(OFFSET(#REF!,-1,0)&gt;0,OFFSET(#REF!,-1,0)-1,0))</f>
        <v>#REF!</v>
      </c>
      <c r="AE27" s="57" t="e">
        <f ca="1">IF(#REF!,12,IF(OFFSET(#REF!,-1,0)&gt;0,OFFSET(#REF!,-1,0)-1,0))</f>
        <v>#REF!</v>
      </c>
      <c r="AF27" s="57" t="e">
        <f ca="1">IF(#REF!,12,IF(OFFSET(#REF!,-1,0)&gt;0,OFFSET(#REF!,-1,0)-1,0))</f>
        <v>#REF!</v>
      </c>
      <c r="AG27" s="57" t="e">
        <f ca="1">IF(#REF!,12,IF(OFFSET(#REF!,-1,0)&gt;0,OFFSET(#REF!,-1,0)-1,0))</f>
        <v>#REF!</v>
      </c>
      <c r="AH27" s="57" t="e">
        <f ca="1">IF(#REF!,12,IF(OFFSET(#REF!,-1,0)&gt;0,OFFSET(#REF!,-1,0)-1,0))</f>
        <v>#REF!</v>
      </c>
      <c r="AI27" s="57" t="e">
        <f ca="1">IF(#REF!,12,IF(OFFSET(#REF!,-1,0)&gt;0,OFFSET(#REF!,-1,0)-1,0))</f>
        <v>#REF!</v>
      </c>
      <c r="AJ27" s="57" t="e">
        <f ca="1">IF(#REF!,12,IF(OFFSET(#REF!,-1,0)&gt;0,OFFSET(#REF!,-1,0)-1,0))</f>
        <v>#REF!</v>
      </c>
      <c r="AK27" s="57" t="e">
        <f ca="1">IF(#REF!,12,IF(OFFSET(#REF!,-1,0)&gt;0,OFFSET(#REF!,-1,0)-1,0))</f>
        <v>#REF!</v>
      </c>
      <c r="AL27" s="57" t="e">
        <f ca="1">IF(#REF!,12,IF(OFFSET(#REF!,-1,0)&gt;0,OFFSET(#REF!,-1,0)-1,0))</f>
        <v>#REF!</v>
      </c>
      <c r="AM27" s="57" t="e">
        <f ca="1">IF(#REF!,12,IF(OFFSET(#REF!,-1,0)&gt;0,OFFSET(#REF!,-1,0)-1,0))</f>
        <v>#REF!</v>
      </c>
      <c r="AN27" s="57" t="e">
        <f ca="1">IF(#REF!,12,IF(OFFSET(#REF!,-1,0)&gt;0,OFFSET(#REF!,-1,0)-1,0))</f>
        <v>#REF!</v>
      </c>
      <c r="AO27" s="57" t="e">
        <f ca="1">IF(#REF!,12,IF(OFFSET(#REF!,-1,0)&gt;0,OFFSET(#REF!,-1,0)-1,0))</f>
        <v>#REF!</v>
      </c>
    </row>
    <row r="28" spans="1:41" x14ac:dyDescent="0.25">
      <c r="A28" s="130" t="e">
        <f>#REF!</f>
        <v>#REF!</v>
      </c>
      <c r="B28" s="133" t="e">
        <f>#REF!</f>
        <v>#REF!</v>
      </c>
      <c r="C28" s="39" t="e">
        <f>#REF!</f>
        <v>#REF!</v>
      </c>
      <c r="D28" s="135" t="e">
        <f ca="1">MIN(1,OFFSET(#REF!,-1,0)+0.04+ROUNDDOWN(10*OFFSET(#REF!,-1,0),0)+ tech_2_7*OFFSET(#REF!,-1,0) + tech_5_6*OFFSET(#REF!,-1,0) )-#REF!</f>
        <v>#REF!</v>
      </c>
      <c r="E28" s="147" t="e">
        <f ca="1">OFFSET(#REF!,-1,0)+1/24</f>
        <v>#REF!</v>
      </c>
      <c r="F28" s="135" t="e">
        <f>#REF!</f>
        <v>#REF!</v>
      </c>
      <c r="G28" s="210"/>
      <c r="H28" s="210"/>
      <c r="I28" s="210"/>
      <c r="J28" s="210"/>
      <c r="K28" s="386"/>
      <c r="L28" s="210"/>
      <c r="M28" s="210"/>
      <c r="N28" s="210"/>
      <c r="O28" s="210"/>
      <c r="P28" s="210"/>
      <c r="Q28" s="210"/>
      <c r="R28" s="210"/>
      <c r="S28" s="210"/>
      <c r="T28" s="210"/>
      <c r="U28" s="210"/>
      <c r="V28" s="210"/>
      <c r="W28" s="134"/>
      <c r="X28" s="39" t="e">
        <f>(MAX(1-wg_spell_cost_cap,1-wg_spell_cost_red*ROUND(#REF!/#REF!,4))+ tech_3_9*#REF! + tech_6_2_2*#REF! )*(#REF!-#REF!*20)*(#REF!* Constants!$B$75 +#REF!* Constants!$B$76 +#REF!* Constants!$B$77 +#REF!* Constants!$B$79 +#REF!* Constants!$B$78  + SUM(#REF!)*Constants!$B$80*(1+tech_9_3*#REF!))</f>
        <v>#REF!</v>
      </c>
      <c r="Y28" s="135" t="e">
        <f>SUMIF(#REF!,1)*0.05</f>
        <v>#REF!</v>
      </c>
      <c r="Z28" s="134"/>
      <c r="AA28" s="57" t="e">
        <f ca="1">IF(#REF!,12,IF(OFFSET(#REF!,-1,0)&gt;0,OFFSET(#REF!,-1,0)-1,0))</f>
        <v>#REF!</v>
      </c>
      <c r="AB28" s="57" t="e">
        <f ca="1">IF(#REF!,12,IF(OFFSET(#REF!,-1,0)&gt;0,OFFSET(#REF!,-1,0)-1,0))</f>
        <v>#REF!</v>
      </c>
      <c r="AC28" s="57" t="e">
        <f ca="1">IF(#REF!,12,IF(OFFSET(#REF!,-1,0)&gt;0,OFFSET(#REF!,-1,0)-1,0))</f>
        <v>#REF!</v>
      </c>
      <c r="AD28" s="57" t="e">
        <f ca="1">IF(#REF!,12,IF(OFFSET(#REF!,-1,0)&gt;0,OFFSET(#REF!,-1,0)-1,0))</f>
        <v>#REF!</v>
      </c>
      <c r="AE28" s="57" t="e">
        <f ca="1">IF(#REF!,12,IF(OFFSET(#REF!,-1,0)&gt;0,OFFSET(#REF!,-1,0)-1,0))</f>
        <v>#REF!</v>
      </c>
      <c r="AF28" s="57" t="e">
        <f ca="1">IF(#REF!,12,IF(OFFSET(#REF!,-1,0)&gt;0,OFFSET(#REF!,-1,0)-1,0))</f>
        <v>#REF!</v>
      </c>
      <c r="AG28" s="57" t="e">
        <f ca="1">IF(#REF!,12,IF(OFFSET(#REF!,-1,0)&gt;0,OFFSET(#REF!,-1,0)-1,0))</f>
        <v>#REF!</v>
      </c>
      <c r="AH28" s="57" t="e">
        <f ca="1">IF(#REF!,12,IF(OFFSET(#REF!,-1,0)&gt;0,OFFSET(#REF!,-1,0)-1,0))</f>
        <v>#REF!</v>
      </c>
      <c r="AI28" s="57" t="e">
        <f ca="1">IF(#REF!,12,IF(OFFSET(#REF!,-1,0)&gt;0,OFFSET(#REF!,-1,0)-1,0))</f>
        <v>#REF!</v>
      </c>
      <c r="AJ28" s="57" t="e">
        <f ca="1">IF(#REF!,12,IF(OFFSET(#REF!,-1,0)&gt;0,OFFSET(#REF!,-1,0)-1,0))</f>
        <v>#REF!</v>
      </c>
      <c r="AK28" s="57" t="e">
        <f ca="1">IF(#REF!,12,IF(OFFSET(#REF!,-1,0)&gt;0,OFFSET(#REF!,-1,0)-1,0))</f>
        <v>#REF!</v>
      </c>
      <c r="AL28" s="57" t="e">
        <f ca="1">IF(#REF!,12,IF(OFFSET(#REF!,-1,0)&gt;0,OFFSET(#REF!,-1,0)-1,0))</f>
        <v>#REF!</v>
      </c>
      <c r="AM28" s="57" t="e">
        <f ca="1">IF(#REF!,12,IF(OFFSET(#REF!,-1,0)&gt;0,OFFSET(#REF!,-1,0)-1,0))</f>
        <v>#REF!</v>
      </c>
      <c r="AN28" s="57" t="e">
        <f ca="1">IF(#REF!,12,IF(OFFSET(#REF!,-1,0)&gt;0,OFFSET(#REF!,-1,0)-1,0))</f>
        <v>#REF!</v>
      </c>
      <c r="AO28" s="57" t="e">
        <f ca="1">IF(#REF!,12,IF(OFFSET(#REF!,-1,0)&gt;0,OFFSET(#REF!,-1,0)-1,0))</f>
        <v>#REF!</v>
      </c>
    </row>
    <row r="29" spans="1:41" x14ac:dyDescent="0.25">
      <c r="A29" s="130" t="e">
        <f>#REF!</f>
        <v>#REF!</v>
      </c>
      <c r="B29" s="133" t="e">
        <f>#REF!</f>
        <v>#REF!</v>
      </c>
      <c r="C29" s="39" t="e">
        <f>#REF!</f>
        <v>#REF!</v>
      </c>
      <c r="D29" s="135" t="e">
        <f ca="1">MIN(1,OFFSET(#REF!,-1,0)+0.04+ROUNDDOWN(10*OFFSET(#REF!,-1,0),0)+ tech_2_7*OFFSET(#REF!,-1,0) + tech_5_6*OFFSET(#REF!,-1,0) )-#REF!</f>
        <v>#REF!</v>
      </c>
      <c r="E29" s="147" t="e">
        <f ca="1">OFFSET(#REF!,-1,0)+1/24</f>
        <v>#REF!</v>
      </c>
      <c r="F29" s="135" t="e">
        <f>#REF!</f>
        <v>#REF!</v>
      </c>
      <c r="G29" s="210"/>
      <c r="H29" s="210"/>
      <c r="I29" s="210"/>
      <c r="J29" s="210"/>
      <c r="K29" s="386"/>
      <c r="L29" s="210"/>
      <c r="M29" s="210"/>
      <c r="N29" s="210"/>
      <c r="O29" s="210"/>
      <c r="P29" s="210"/>
      <c r="Q29" s="210"/>
      <c r="R29" s="210"/>
      <c r="S29" s="210"/>
      <c r="T29" s="210"/>
      <c r="U29" s="210"/>
      <c r="V29" s="210"/>
      <c r="W29" s="134"/>
      <c r="X29" s="39" t="e">
        <f>(MAX(1-wg_spell_cost_cap,1-wg_spell_cost_red*ROUND(#REF!/#REF!,4))+ tech_3_9*#REF! + tech_6_2_2*#REF! )*(#REF!-#REF!*20)*(#REF!* Constants!$B$75 +#REF!* Constants!$B$76 +#REF!* Constants!$B$77 +#REF!* Constants!$B$79 +#REF!* Constants!$B$78  + SUM(#REF!)*Constants!$B$80*(1+tech_9_3*#REF!))</f>
        <v>#REF!</v>
      </c>
      <c r="Y29" s="135" t="e">
        <f>SUMIF(#REF!,1)*0.05</f>
        <v>#REF!</v>
      </c>
      <c r="Z29" s="134"/>
      <c r="AA29" s="57" t="e">
        <f ca="1">IF(#REF!,12,IF(OFFSET(#REF!,-1,0)&gt;0,OFFSET(#REF!,-1,0)-1,0))</f>
        <v>#REF!</v>
      </c>
      <c r="AB29" s="57" t="e">
        <f ca="1">IF(#REF!,12,IF(OFFSET(#REF!,-1,0)&gt;0,OFFSET(#REF!,-1,0)-1,0))</f>
        <v>#REF!</v>
      </c>
      <c r="AC29" s="57" t="e">
        <f ca="1">IF(#REF!,12,IF(OFFSET(#REF!,-1,0)&gt;0,OFFSET(#REF!,-1,0)-1,0))</f>
        <v>#REF!</v>
      </c>
      <c r="AD29" s="57" t="e">
        <f ca="1">IF(#REF!,12,IF(OFFSET(#REF!,-1,0)&gt;0,OFFSET(#REF!,-1,0)-1,0))</f>
        <v>#REF!</v>
      </c>
      <c r="AE29" s="57" t="e">
        <f ca="1">IF(#REF!,12,IF(OFFSET(#REF!,-1,0)&gt;0,OFFSET(#REF!,-1,0)-1,0))</f>
        <v>#REF!</v>
      </c>
      <c r="AF29" s="57" t="e">
        <f ca="1">IF(#REF!,12,IF(OFFSET(#REF!,-1,0)&gt;0,OFFSET(#REF!,-1,0)-1,0))</f>
        <v>#REF!</v>
      </c>
      <c r="AG29" s="57" t="e">
        <f ca="1">IF(#REF!,12,IF(OFFSET(#REF!,-1,0)&gt;0,OFFSET(#REF!,-1,0)-1,0))</f>
        <v>#REF!</v>
      </c>
      <c r="AH29" s="57" t="e">
        <f ca="1">IF(#REF!,12,IF(OFFSET(#REF!,-1,0)&gt;0,OFFSET(#REF!,-1,0)-1,0))</f>
        <v>#REF!</v>
      </c>
      <c r="AI29" s="57" t="e">
        <f ca="1">IF(#REF!,12,IF(OFFSET(#REF!,-1,0)&gt;0,OFFSET(#REF!,-1,0)-1,0))</f>
        <v>#REF!</v>
      </c>
      <c r="AJ29" s="57" t="e">
        <f ca="1">IF(#REF!,12,IF(OFFSET(#REF!,-1,0)&gt;0,OFFSET(#REF!,-1,0)-1,0))</f>
        <v>#REF!</v>
      </c>
      <c r="AK29" s="57" t="e">
        <f ca="1">IF(#REF!,12,IF(OFFSET(#REF!,-1,0)&gt;0,OFFSET(#REF!,-1,0)-1,0))</f>
        <v>#REF!</v>
      </c>
      <c r="AL29" s="57" t="e">
        <f ca="1">IF(#REF!,12,IF(OFFSET(#REF!,-1,0)&gt;0,OFFSET(#REF!,-1,0)-1,0))</f>
        <v>#REF!</v>
      </c>
      <c r="AM29" s="57" t="e">
        <f ca="1">IF(#REF!,12,IF(OFFSET(#REF!,-1,0)&gt;0,OFFSET(#REF!,-1,0)-1,0))</f>
        <v>#REF!</v>
      </c>
      <c r="AN29" s="57" t="e">
        <f ca="1">IF(#REF!,12,IF(OFFSET(#REF!,-1,0)&gt;0,OFFSET(#REF!,-1,0)-1,0))</f>
        <v>#REF!</v>
      </c>
      <c r="AO29" s="57" t="e">
        <f ca="1">IF(#REF!,12,IF(OFFSET(#REF!,-1,0)&gt;0,OFFSET(#REF!,-1,0)-1,0))</f>
        <v>#REF!</v>
      </c>
    </row>
    <row r="30" spans="1:41" x14ac:dyDescent="0.25">
      <c r="A30" s="130" t="e">
        <f>#REF!</f>
        <v>#REF!</v>
      </c>
      <c r="B30" s="133" t="e">
        <f>#REF!</f>
        <v>#REF!</v>
      </c>
      <c r="C30" s="39" t="e">
        <f>#REF!</f>
        <v>#REF!</v>
      </c>
      <c r="D30" s="135" t="e">
        <f ca="1">MIN(1,OFFSET(#REF!,-1,0)+0.04+ROUNDDOWN(10*OFFSET(#REF!,-1,0),0)+ tech_2_7*OFFSET(#REF!,-1,0) + tech_5_6*OFFSET(#REF!,-1,0) )-#REF!</f>
        <v>#REF!</v>
      </c>
      <c r="E30" s="147" t="e">
        <f ca="1">OFFSET(#REF!,-1,0)+1/24</f>
        <v>#REF!</v>
      </c>
      <c r="F30" s="135" t="e">
        <f>#REF!</f>
        <v>#REF!</v>
      </c>
      <c r="G30" s="210"/>
      <c r="H30" s="210"/>
      <c r="I30" s="210"/>
      <c r="J30" s="210"/>
      <c r="K30" s="386"/>
      <c r="L30" s="210"/>
      <c r="M30" s="210"/>
      <c r="N30" s="210"/>
      <c r="O30" s="210"/>
      <c r="P30" s="210"/>
      <c r="Q30" s="210"/>
      <c r="R30" s="210"/>
      <c r="S30" s="210"/>
      <c r="T30" s="210"/>
      <c r="U30" s="210"/>
      <c r="V30" s="210"/>
      <c r="W30" s="134"/>
      <c r="X30" s="39" t="e">
        <f>(MAX(1-wg_spell_cost_cap,1-wg_spell_cost_red*ROUND(#REF!/#REF!,4))+ tech_3_9*#REF! + tech_6_2_2*#REF! )*(#REF!-#REF!*20)*(#REF!* Constants!$B$75 +#REF!* Constants!$B$76 +#REF!* Constants!$B$77 +#REF!* Constants!$B$79 +#REF!* Constants!$B$78  + SUM(#REF!)*Constants!$B$80*(1+tech_9_3*#REF!))</f>
        <v>#REF!</v>
      </c>
      <c r="Y30" s="135" t="e">
        <f>SUMIF(#REF!,1)*0.05</f>
        <v>#REF!</v>
      </c>
      <c r="Z30" s="134"/>
      <c r="AA30" s="57" t="e">
        <f ca="1">IF(#REF!,12,IF(OFFSET(#REF!,-1,0)&gt;0,OFFSET(#REF!,-1,0)-1,0))</f>
        <v>#REF!</v>
      </c>
      <c r="AB30" s="57" t="e">
        <f ca="1">IF(#REF!,12,IF(OFFSET(#REF!,-1,0)&gt;0,OFFSET(#REF!,-1,0)-1,0))</f>
        <v>#REF!</v>
      </c>
      <c r="AC30" s="57" t="e">
        <f ca="1">IF(#REF!,12,IF(OFFSET(#REF!,-1,0)&gt;0,OFFSET(#REF!,-1,0)-1,0))</f>
        <v>#REF!</v>
      </c>
      <c r="AD30" s="57" t="e">
        <f ca="1">IF(#REF!,12,IF(OFFSET(#REF!,-1,0)&gt;0,OFFSET(#REF!,-1,0)-1,0))</f>
        <v>#REF!</v>
      </c>
      <c r="AE30" s="57" t="e">
        <f ca="1">IF(#REF!,12,IF(OFFSET(#REF!,-1,0)&gt;0,OFFSET(#REF!,-1,0)-1,0))</f>
        <v>#REF!</v>
      </c>
      <c r="AF30" s="57" t="e">
        <f ca="1">IF(#REF!,12,IF(OFFSET(#REF!,-1,0)&gt;0,OFFSET(#REF!,-1,0)-1,0))</f>
        <v>#REF!</v>
      </c>
      <c r="AG30" s="57" t="e">
        <f ca="1">IF(#REF!,12,IF(OFFSET(#REF!,-1,0)&gt;0,OFFSET(#REF!,-1,0)-1,0))</f>
        <v>#REF!</v>
      </c>
      <c r="AH30" s="57" t="e">
        <f ca="1">IF(#REF!,12,IF(OFFSET(#REF!,-1,0)&gt;0,OFFSET(#REF!,-1,0)-1,0))</f>
        <v>#REF!</v>
      </c>
      <c r="AI30" s="57" t="e">
        <f ca="1">IF(#REF!,12,IF(OFFSET(#REF!,-1,0)&gt;0,OFFSET(#REF!,-1,0)-1,0))</f>
        <v>#REF!</v>
      </c>
      <c r="AJ30" s="57" t="e">
        <f ca="1">IF(#REF!,12,IF(OFFSET(#REF!,-1,0)&gt;0,OFFSET(#REF!,-1,0)-1,0))</f>
        <v>#REF!</v>
      </c>
      <c r="AK30" s="57" t="e">
        <f ca="1">IF(#REF!,12,IF(OFFSET(#REF!,-1,0)&gt;0,OFFSET(#REF!,-1,0)-1,0))</f>
        <v>#REF!</v>
      </c>
      <c r="AL30" s="57" t="e">
        <f ca="1">IF(#REF!,12,IF(OFFSET(#REF!,-1,0)&gt;0,OFFSET(#REF!,-1,0)-1,0))</f>
        <v>#REF!</v>
      </c>
      <c r="AM30" s="57" t="e">
        <f ca="1">IF(#REF!,12,IF(OFFSET(#REF!,-1,0)&gt;0,OFFSET(#REF!,-1,0)-1,0))</f>
        <v>#REF!</v>
      </c>
      <c r="AN30" s="57" t="e">
        <f ca="1">IF(#REF!,12,IF(OFFSET(#REF!,-1,0)&gt;0,OFFSET(#REF!,-1,0)-1,0))</f>
        <v>#REF!</v>
      </c>
      <c r="AO30" s="57" t="e">
        <f ca="1">IF(#REF!,12,IF(OFFSET(#REF!,-1,0)&gt;0,OFFSET(#REF!,-1,0)-1,0))</f>
        <v>#REF!</v>
      </c>
    </row>
    <row r="31" spans="1:41" x14ac:dyDescent="0.25">
      <c r="A31" s="130" t="e">
        <f>#REF!</f>
        <v>#REF!</v>
      </c>
      <c r="B31" s="133" t="e">
        <f>#REF!</f>
        <v>#REF!</v>
      </c>
      <c r="C31" s="39" t="e">
        <f>#REF!</f>
        <v>#REF!</v>
      </c>
      <c r="D31" s="135" t="e">
        <f ca="1">MIN(1,OFFSET(#REF!,-1,0)+0.04+ROUNDDOWN(10*OFFSET(#REF!,-1,0),0)+ tech_2_7*OFFSET(#REF!,-1,0) + tech_5_6*OFFSET(#REF!,-1,0) )-#REF!</f>
        <v>#REF!</v>
      </c>
      <c r="E31" s="147" t="e">
        <f ca="1">OFFSET(#REF!,-1,0)+1/24</f>
        <v>#REF!</v>
      </c>
      <c r="F31" s="135" t="e">
        <f>#REF!</f>
        <v>#REF!</v>
      </c>
      <c r="G31" s="210"/>
      <c r="H31" s="210"/>
      <c r="I31" s="210"/>
      <c r="J31" s="210"/>
      <c r="K31" s="386"/>
      <c r="L31" s="210"/>
      <c r="M31" s="210"/>
      <c r="N31" s="210"/>
      <c r="O31" s="210"/>
      <c r="P31" s="210"/>
      <c r="Q31" s="210"/>
      <c r="R31" s="210"/>
      <c r="S31" s="210"/>
      <c r="T31" s="210"/>
      <c r="U31" s="210"/>
      <c r="V31" s="210"/>
      <c r="W31" s="134"/>
      <c r="X31" s="39" t="e">
        <f>(MAX(1-wg_spell_cost_cap,1-wg_spell_cost_red*ROUND(#REF!/#REF!,4))+ tech_3_9*#REF! + tech_6_2_2*#REF! )*(#REF!-#REF!*20)*(#REF!* Constants!$B$75 +#REF!* Constants!$B$76 +#REF!* Constants!$B$77 +#REF!* Constants!$B$79 +#REF!* Constants!$B$78  + SUM(#REF!)*Constants!$B$80*(1+tech_9_3*#REF!))</f>
        <v>#REF!</v>
      </c>
      <c r="Y31" s="135" t="e">
        <f>SUMIF(#REF!,1)*0.05</f>
        <v>#REF!</v>
      </c>
      <c r="Z31" s="134"/>
      <c r="AA31" s="57" t="e">
        <f ca="1">IF(#REF!,12,IF(OFFSET(#REF!,-1,0)&gt;0,OFFSET(#REF!,-1,0)-1,0))</f>
        <v>#REF!</v>
      </c>
      <c r="AB31" s="57" t="e">
        <f ca="1">IF(#REF!,12,IF(OFFSET(#REF!,-1,0)&gt;0,OFFSET(#REF!,-1,0)-1,0))</f>
        <v>#REF!</v>
      </c>
      <c r="AC31" s="57" t="e">
        <f ca="1">IF(#REF!,12,IF(OFFSET(#REF!,-1,0)&gt;0,OFFSET(#REF!,-1,0)-1,0))</f>
        <v>#REF!</v>
      </c>
      <c r="AD31" s="57" t="e">
        <f ca="1">IF(#REF!,12,IF(OFFSET(#REF!,-1,0)&gt;0,OFFSET(#REF!,-1,0)-1,0))</f>
        <v>#REF!</v>
      </c>
      <c r="AE31" s="57" t="e">
        <f ca="1">IF(#REF!,12,IF(OFFSET(#REF!,-1,0)&gt;0,OFFSET(#REF!,-1,0)-1,0))</f>
        <v>#REF!</v>
      </c>
      <c r="AF31" s="57" t="e">
        <f ca="1">IF(#REF!,12,IF(OFFSET(#REF!,-1,0)&gt;0,OFFSET(#REF!,-1,0)-1,0))</f>
        <v>#REF!</v>
      </c>
      <c r="AG31" s="57" t="e">
        <f ca="1">IF(#REF!,12,IF(OFFSET(#REF!,-1,0)&gt;0,OFFSET(#REF!,-1,0)-1,0))</f>
        <v>#REF!</v>
      </c>
      <c r="AH31" s="57" t="e">
        <f ca="1">IF(#REF!,12,IF(OFFSET(#REF!,-1,0)&gt;0,OFFSET(#REF!,-1,0)-1,0))</f>
        <v>#REF!</v>
      </c>
      <c r="AI31" s="57" t="e">
        <f ca="1">IF(#REF!,12,IF(OFFSET(#REF!,-1,0)&gt;0,OFFSET(#REF!,-1,0)-1,0))</f>
        <v>#REF!</v>
      </c>
      <c r="AJ31" s="57" t="e">
        <f ca="1">IF(#REF!,12,IF(OFFSET(#REF!,-1,0)&gt;0,OFFSET(#REF!,-1,0)-1,0))</f>
        <v>#REF!</v>
      </c>
      <c r="AK31" s="57" t="e">
        <f ca="1">IF(#REF!,12,IF(OFFSET(#REF!,-1,0)&gt;0,OFFSET(#REF!,-1,0)-1,0))</f>
        <v>#REF!</v>
      </c>
      <c r="AL31" s="57" t="e">
        <f ca="1">IF(#REF!,12,IF(OFFSET(#REF!,-1,0)&gt;0,OFFSET(#REF!,-1,0)-1,0))</f>
        <v>#REF!</v>
      </c>
      <c r="AM31" s="57" t="e">
        <f ca="1">IF(#REF!,12,IF(OFFSET(#REF!,-1,0)&gt;0,OFFSET(#REF!,-1,0)-1,0))</f>
        <v>#REF!</v>
      </c>
      <c r="AN31" s="57" t="e">
        <f ca="1">IF(#REF!,12,IF(OFFSET(#REF!,-1,0)&gt;0,OFFSET(#REF!,-1,0)-1,0))</f>
        <v>#REF!</v>
      </c>
      <c r="AO31" s="57" t="e">
        <f ca="1">IF(#REF!,12,IF(OFFSET(#REF!,-1,0)&gt;0,OFFSET(#REF!,-1,0)-1,0))</f>
        <v>#REF!</v>
      </c>
    </row>
    <row r="32" spans="1:41" x14ac:dyDescent="0.25">
      <c r="A32" s="130" t="e">
        <f>#REF!</f>
        <v>#REF!</v>
      </c>
      <c r="B32" s="133" t="e">
        <f>#REF!</f>
        <v>#REF!</v>
      </c>
      <c r="C32" s="39" t="e">
        <f>#REF!</f>
        <v>#REF!</v>
      </c>
      <c r="D32" s="135" t="e">
        <f ca="1">MIN(1,OFFSET(#REF!,-1,0)+0.04+ROUNDDOWN(10*OFFSET(#REF!,-1,0),0)+ tech_2_7*OFFSET(#REF!,-1,0) + tech_5_6*OFFSET(#REF!,-1,0) )-#REF!</f>
        <v>#REF!</v>
      </c>
      <c r="E32" s="147" t="e">
        <f ca="1">OFFSET(#REF!,-1,0)+1/24</f>
        <v>#REF!</v>
      </c>
      <c r="F32" s="135" t="e">
        <f>#REF!</f>
        <v>#REF!</v>
      </c>
      <c r="G32" s="210"/>
      <c r="H32" s="210"/>
      <c r="I32" s="210"/>
      <c r="J32" s="210"/>
      <c r="K32" s="386"/>
      <c r="L32" s="210"/>
      <c r="M32" s="210"/>
      <c r="N32" s="210"/>
      <c r="O32" s="210"/>
      <c r="P32" s="210"/>
      <c r="Q32" s="210"/>
      <c r="R32" s="210"/>
      <c r="S32" s="210"/>
      <c r="T32" s="210"/>
      <c r="U32" s="210"/>
      <c r="V32" s="210"/>
      <c r="W32" s="134"/>
      <c r="X32" s="39" t="e">
        <f>(MAX(1-wg_spell_cost_cap,1-wg_spell_cost_red*ROUND(#REF!/#REF!,4))+ tech_3_9*#REF! + tech_6_2_2*#REF! )*(#REF!-#REF!*20)*(#REF!* Constants!$B$75 +#REF!* Constants!$B$76 +#REF!* Constants!$B$77 +#REF!* Constants!$B$79 +#REF!* Constants!$B$78  + SUM(#REF!)*Constants!$B$80*(1+tech_9_3*#REF!))</f>
        <v>#REF!</v>
      </c>
      <c r="Y32" s="135" t="e">
        <f>SUMIF(#REF!,1)*0.05</f>
        <v>#REF!</v>
      </c>
      <c r="Z32" s="134"/>
      <c r="AA32" s="57" t="e">
        <f ca="1">IF(#REF!,12,IF(OFFSET(#REF!,-1,0)&gt;0,OFFSET(#REF!,-1,0)-1,0))</f>
        <v>#REF!</v>
      </c>
      <c r="AB32" s="57" t="e">
        <f ca="1">IF(#REF!,12,IF(OFFSET(#REF!,-1,0)&gt;0,OFFSET(#REF!,-1,0)-1,0))</f>
        <v>#REF!</v>
      </c>
      <c r="AC32" s="57" t="e">
        <f ca="1">IF(#REF!,12,IF(OFFSET(#REF!,-1,0)&gt;0,OFFSET(#REF!,-1,0)-1,0))</f>
        <v>#REF!</v>
      </c>
      <c r="AD32" s="57" t="e">
        <f ca="1">IF(#REF!,12,IF(OFFSET(#REF!,-1,0)&gt;0,OFFSET(#REF!,-1,0)-1,0))</f>
        <v>#REF!</v>
      </c>
      <c r="AE32" s="57" t="e">
        <f ca="1">IF(#REF!,12,IF(OFFSET(#REF!,-1,0)&gt;0,OFFSET(#REF!,-1,0)-1,0))</f>
        <v>#REF!</v>
      </c>
      <c r="AF32" s="57" t="e">
        <f ca="1">IF(#REF!,12,IF(OFFSET(#REF!,-1,0)&gt;0,OFFSET(#REF!,-1,0)-1,0))</f>
        <v>#REF!</v>
      </c>
      <c r="AG32" s="57" t="e">
        <f ca="1">IF(#REF!,12,IF(OFFSET(#REF!,-1,0)&gt;0,OFFSET(#REF!,-1,0)-1,0))</f>
        <v>#REF!</v>
      </c>
      <c r="AH32" s="57" t="e">
        <f ca="1">IF(#REF!,12,IF(OFFSET(#REF!,-1,0)&gt;0,OFFSET(#REF!,-1,0)-1,0))</f>
        <v>#REF!</v>
      </c>
      <c r="AI32" s="57" t="e">
        <f ca="1">IF(#REF!,12,IF(OFFSET(#REF!,-1,0)&gt;0,OFFSET(#REF!,-1,0)-1,0))</f>
        <v>#REF!</v>
      </c>
      <c r="AJ32" s="57" t="e">
        <f ca="1">IF(#REF!,12,IF(OFFSET(#REF!,-1,0)&gt;0,OFFSET(#REF!,-1,0)-1,0))</f>
        <v>#REF!</v>
      </c>
      <c r="AK32" s="57" t="e">
        <f ca="1">IF(#REF!,12,IF(OFFSET(#REF!,-1,0)&gt;0,OFFSET(#REF!,-1,0)-1,0))</f>
        <v>#REF!</v>
      </c>
      <c r="AL32" s="57" t="e">
        <f ca="1">IF(#REF!,12,IF(OFFSET(#REF!,-1,0)&gt;0,OFFSET(#REF!,-1,0)-1,0))</f>
        <v>#REF!</v>
      </c>
      <c r="AM32" s="57" t="e">
        <f ca="1">IF(#REF!,12,IF(OFFSET(#REF!,-1,0)&gt;0,OFFSET(#REF!,-1,0)-1,0))</f>
        <v>#REF!</v>
      </c>
      <c r="AN32" s="57" t="e">
        <f ca="1">IF(#REF!,12,IF(OFFSET(#REF!,-1,0)&gt;0,OFFSET(#REF!,-1,0)-1,0))</f>
        <v>#REF!</v>
      </c>
      <c r="AO32" s="57" t="e">
        <f ca="1">IF(#REF!,12,IF(OFFSET(#REF!,-1,0)&gt;0,OFFSET(#REF!,-1,0)-1,0))</f>
        <v>#REF!</v>
      </c>
    </row>
    <row r="33" spans="1:41" x14ac:dyDescent="0.25">
      <c r="A33" s="130" t="e">
        <f>#REF!</f>
        <v>#REF!</v>
      </c>
      <c r="B33" s="133" t="e">
        <f>#REF!</f>
        <v>#REF!</v>
      </c>
      <c r="C33" s="39" t="e">
        <f>#REF!</f>
        <v>#REF!</v>
      </c>
      <c r="D33" s="135" t="e">
        <f ca="1">MIN(1,OFFSET(#REF!,-1,0)+0.04+ROUNDDOWN(10*OFFSET(#REF!,-1,0),0)+ tech_2_7*OFFSET(#REF!,-1,0) + tech_5_6*OFFSET(#REF!,-1,0) )-#REF!</f>
        <v>#REF!</v>
      </c>
      <c r="E33" s="147" t="e">
        <f ca="1">OFFSET(#REF!,-1,0)+1/24</f>
        <v>#REF!</v>
      </c>
      <c r="F33" s="135" t="e">
        <f>#REF!</f>
        <v>#REF!</v>
      </c>
      <c r="G33" s="210"/>
      <c r="H33" s="210"/>
      <c r="I33" s="210"/>
      <c r="J33" s="210"/>
      <c r="K33" s="386"/>
      <c r="L33" s="210"/>
      <c r="M33" s="210"/>
      <c r="N33" s="210"/>
      <c r="O33" s="210"/>
      <c r="P33" s="210"/>
      <c r="Q33" s="210"/>
      <c r="R33" s="210"/>
      <c r="S33" s="210"/>
      <c r="T33" s="210"/>
      <c r="U33" s="210"/>
      <c r="V33" s="210"/>
      <c r="W33" s="134"/>
      <c r="X33" s="39" t="e">
        <f>(MAX(1-wg_spell_cost_cap,1-wg_spell_cost_red*ROUND(#REF!/#REF!,4))+ tech_3_9*#REF! + tech_6_2_2*#REF! )*(#REF!-#REF!*20)*(#REF!* Constants!$B$75 +#REF!* Constants!$B$76 +#REF!* Constants!$B$77 +#REF!* Constants!$B$79 +#REF!* Constants!$B$78  + SUM(#REF!)*Constants!$B$80*(1+tech_9_3*#REF!))</f>
        <v>#REF!</v>
      </c>
      <c r="Y33" s="135" t="e">
        <f>SUMIF(#REF!,1)*0.05</f>
        <v>#REF!</v>
      </c>
      <c r="Z33" s="134"/>
      <c r="AA33" s="57" t="e">
        <f ca="1">IF(#REF!,12,IF(OFFSET(#REF!,-1,0)&gt;0,OFFSET(#REF!,-1,0)-1,0))</f>
        <v>#REF!</v>
      </c>
      <c r="AB33" s="57" t="e">
        <f ca="1">IF(#REF!,12,IF(OFFSET(#REF!,-1,0)&gt;0,OFFSET(#REF!,-1,0)-1,0))</f>
        <v>#REF!</v>
      </c>
      <c r="AC33" s="57" t="e">
        <f ca="1">IF(#REF!,12,IF(OFFSET(#REF!,-1,0)&gt;0,OFFSET(#REF!,-1,0)-1,0))</f>
        <v>#REF!</v>
      </c>
      <c r="AD33" s="57" t="e">
        <f ca="1">IF(#REF!,12,IF(OFFSET(#REF!,-1,0)&gt;0,OFFSET(#REF!,-1,0)-1,0))</f>
        <v>#REF!</v>
      </c>
      <c r="AE33" s="57" t="e">
        <f ca="1">IF(#REF!,12,IF(OFFSET(#REF!,-1,0)&gt;0,OFFSET(#REF!,-1,0)-1,0))</f>
        <v>#REF!</v>
      </c>
      <c r="AF33" s="57" t="e">
        <f ca="1">IF(#REF!,12,IF(OFFSET(#REF!,-1,0)&gt;0,OFFSET(#REF!,-1,0)-1,0))</f>
        <v>#REF!</v>
      </c>
      <c r="AG33" s="57" t="e">
        <f ca="1">IF(#REF!,12,IF(OFFSET(#REF!,-1,0)&gt;0,OFFSET(#REF!,-1,0)-1,0))</f>
        <v>#REF!</v>
      </c>
      <c r="AH33" s="57" t="e">
        <f ca="1">IF(#REF!,12,IF(OFFSET(#REF!,-1,0)&gt;0,OFFSET(#REF!,-1,0)-1,0))</f>
        <v>#REF!</v>
      </c>
      <c r="AI33" s="57" t="e">
        <f ca="1">IF(#REF!,12,IF(OFFSET(#REF!,-1,0)&gt;0,OFFSET(#REF!,-1,0)-1,0))</f>
        <v>#REF!</v>
      </c>
      <c r="AJ33" s="57" t="e">
        <f ca="1">IF(#REF!,12,IF(OFFSET(#REF!,-1,0)&gt;0,OFFSET(#REF!,-1,0)-1,0))</f>
        <v>#REF!</v>
      </c>
      <c r="AK33" s="57" t="e">
        <f ca="1">IF(#REF!,12,IF(OFFSET(#REF!,-1,0)&gt;0,OFFSET(#REF!,-1,0)-1,0))</f>
        <v>#REF!</v>
      </c>
      <c r="AL33" s="57" t="e">
        <f ca="1">IF(#REF!,12,IF(OFFSET(#REF!,-1,0)&gt;0,OFFSET(#REF!,-1,0)-1,0))</f>
        <v>#REF!</v>
      </c>
      <c r="AM33" s="57" t="e">
        <f ca="1">IF(#REF!,12,IF(OFFSET(#REF!,-1,0)&gt;0,OFFSET(#REF!,-1,0)-1,0))</f>
        <v>#REF!</v>
      </c>
      <c r="AN33" s="57" t="e">
        <f ca="1">IF(#REF!,12,IF(OFFSET(#REF!,-1,0)&gt;0,OFFSET(#REF!,-1,0)-1,0))</f>
        <v>#REF!</v>
      </c>
      <c r="AO33" s="57" t="e">
        <f ca="1">IF(#REF!,12,IF(OFFSET(#REF!,-1,0)&gt;0,OFFSET(#REF!,-1,0)-1,0))</f>
        <v>#REF!</v>
      </c>
    </row>
    <row r="34" spans="1:41" x14ac:dyDescent="0.25">
      <c r="A34" s="130" t="e">
        <f>#REF!</f>
        <v>#REF!</v>
      </c>
      <c r="B34" s="133" t="e">
        <f>#REF!</f>
        <v>#REF!</v>
      </c>
      <c r="C34" s="39" t="e">
        <f>#REF!</f>
        <v>#REF!</v>
      </c>
      <c r="D34" s="135" t="e">
        <f ca="1">MIN(1,OFFSET(#REF!,-1,0)+0.04+ROUNDDOWN(10*OFFSET(#REF!,-1,0),0)+ tech_2_7*OFFSET(#REF!,-1,0) + tech_5_6*OFFSET(#REF!,-1,0) )-#REF!</f>
        <v>#REF!</v>
      </c>
      <c r="E34" s="147" t="e">
        <f ca="1">OFFSET(#REF!,-1,0)+1/24</f>
        <v>#REF!</v>
      </c>
      <c r="F34" s="135" t="e">
        <f>#REF!</f>
        <v>#REF!</v>
      </c>
      <c r="G34" s="210"/>
      <c r="H34" s="210"/>
      <c r="I34" s="210"/>
      <c r="J34" s="210"/>
      <c r="K34" s="386"/>
      <c r="L34" s="210"/>
      <c r="M34" s="210"/>
      <c r="N34" s="210"/>
      <c r="O34" s="210"/>
      <c r="P34" s="210"/>
      <c r="Q34" s="210"/>
      <c r="R34" s="210"/>
      <c r="S34" s="210"/>
      <c r="T34" s="210"/>
      <c r="U34" s="210"/>
      <c r="V34" s="210"/>
      <c r="W34" s="134"/>
      <c r="X34" s="39" t="e">
        <f>(MAX(1-wg_spell_cost_cap,1-wg_spell_cost_red*ROUND(#REF!/#REF!,4))+ tech_3_9*#REF! + tech_6_2_2*#REF! )*(#REF!-#REF!*20)*(#REF!* Constants!$B$75 +#REF!* Constants!$B$76 +#REF!* Constants!$B$77 +#REF!* Constants!$B$79 +#REF!* Constants!$B$78  + SUM(#REF!)*Constants!$B$80*(1+tech_9_3*#REF!))</f>
        <v>#REF!</v>
      </c>
      <c r="Y34" s="135" t="e">
        <f>SUMIF(#REF!,1)*0.05</f>
        <v>#REF!</v>
      </c>
      <c r="Z34" s="134"/>
      <c r="AA34" s="57" t="e">
        <f ca="1">IF(#REF!,12,IF(OFFSET(#REF!,-1,0)&gt;0,OFFSET(#REF!,-1,0)-1,0))</f>
        <v>#REF!</v>
      </c>
      <c r="AB34" s="57" t="e">
        <f ca="1">IF(#REF!,12,IF(OFFSET(#REF!,-1,0)&gt;0,OFFSET(#REF!,-1,0)-1,0))</f>
        <v>#REF!</v>
      </c>
      <c r="AC34" s="57" t="e">
        <f ca="1">IF(#REF!,12,IF(OFFSET(#REF!,-1,0)&gt;0,OFFSET(#REF!,-1,0)-1,0))</f>
        <v>#REF!</v>
      </c>
      <c r="AD34" s="57" t="e">
        <f ca="1">IF(#REF!,12,IF(OFFSET(#REF!,-1,0)&gt;0,OFFSET(#REF!,-1,0)-1,0))</f>
        <v>#REF!</v>
      </c>
      <c r="AE34" s="57" t="e">
        <f ca="1">IF(#REF!,12,IF(OFFSET(#REF!,-1,0)&gt;0,OFFSET(#REF!,-1,0)-1,0))</f>
        <v>#REF!</v>
      </c>
      <c r="AF34" s="57" t="e">
        <f ca="1">IF(#REF!,12,IF(OFFSET(#REF!,-1,0)&gt;0,OFFSET(#REF!,-1,0)-1,0))</f>
        <v>#REF!</v>
      </c>
      <c r="AG34" s="57" t="e">
        <f ca="1">IF(#REF!,12,IF(OFFSET(#REF!,-1,0)&gt;0,OFFSET(#REF!,-1,0)-1,0))</f>
        <v>#REF!</v>
      </c>
      <c r="AH34" s="57" t="e">
        <f ca="1">IF(#REF!,12,IF(OFFSET(#REF!,-1,0)&gt;0,OFFSET(#REF!,-1,0)-1,0))</f>
        <v>#REF!</v>
      </c>
      <c r="AI34" s="57" t="e">
        <f ca="1">IF(#REF!,12,IF(OFFSET(#REF!,-1,0)&gt;0,OFFSET(#REF!,-1,0)-1,0))</f>
        <v>#REF!</v>
      </c>
      <c r="AJ34" s="57" t="e">
        <f ca="1">IF(#REF!,12,IF(OFFSET(#REF!,-1,0)&gt;0,OFFSET(#REF!,-1,0)-1,0))</f>
        <v>#REF!</v>
      </c>
      <c r="AK34" s="57" t="e">
        <f ca="1">IF(#REF!,12,IF(OFFSET(#REF!,-1,0)&gt;0,OFFSET(#REF!,-1,0)-1,0))</f>
        <v>#REF!</v>
      </c>
      <c r="AL34" s="57" t="e">
        <f ca="1">IF(#REF!,12,IF(OFFSET(#REF!,-1,0)&gt;0,OFFSET(#REF!,-1,0)-1,0))</f>
        <v>#REF!</v>
      </c>
      <c r="AM34" s="57" t="e">
        <f ca="1">IF(#REF!,12,IF(OFFSET(#REF!,-1,0)&gt;0,OFFSET(#REF!,-1,0)-1,0))</f>
        <v>#REF!</v>
      </c>
      <c r="AN34" s="57" t="e">
        <f ca="1">IF(#REF!,12,IF(OFFSET(#REF!,-1,0)&gt;0,OFFSET(#REF!,-1,0)-1,0))</f>
        <v>#REF!</v>
      </c>
      <c r="AO34" s="57" t="e">
        <f ca="1">IF(#REF!,12,IF(OFFSET(#REF!,-1,0)&gt;0,OFFSET(#REF!,-1,0)-1,0))</f>
        <v>#REF!</v>
      </c>
    </row>
    <row r="35" spans="1:41" x14ac:dyDescent="0.25">
      <c r="A35" s="130" t="e">
        <f>#REF!</f>
        <v>#REF!</v>
      </c>
      <c r="B35" s="133" t="e">
        <f>#REF!</f>
        <v>#REF!</v>
      </c>
      <c r="C35" s="39" t="e">
        <f>#REF!</f>
        <v>#REF!</v>
      </c>
      <c r="D35" s="135" t="e">
        <f ca="1">MIN(1,OFFSET(#REF!,-1,0)+0.04+ROUNDDOWN(10*OFFSET(#REF!,-1,0),0)+ tech_2_7*OFFSET(#REF!,-1,0) + tech_5_6*OFFSET(#REF!,-1,0) )-#REF!</f>
        <v>#REF!</v>
      </c>
      <c r="E35" s="147" t="e">
        <f ca="1">OFFSET(#REF!,-1,0)+1/24</f>
        <v>#REF!</v>
      </c>
      <c r="F35" s="135" t="e">
        <f>#REF!</f>
        <v>#REF!</v>
      </c>
      <c r="G35" s="210"/>
      <c r="H35" s="210"/>
      <c r="I35" s="210"/>
      <c r="J35" s="210"/>
      <c r="K35" s="386"/>
      <c r="L35" s="210"/>
      <c r="M35" s="210"/>
      <c r="N35" s="210"/>
      <c r="O35" s="210"/>
      <c r="P35" s="210"/>
      <c r="Q35" s="210"/>
      <c r="R35" s="210"/>
      <c r="S35" s="210"/>
      <c r="T35" s="210"/>
      <c r="U35" s="210"/>
      <c r="V35" s="210"/>
      <c r="W35" s="134"/>
      <c r="X35" s="39" t="e">
        <f>(MAX(1-wg_spell_cost_cap,1-wg_spell_cost_red*ROUND(#REF!/#REF!,4))+ tech_3_9*#REF! + tech_6_2_2*#REF! )*(#REF!-#REF!*20)*(#REF!* Constants!$B$75 +#REF!* Constants!$B$76 +#REF!* Constants!$B$77 +#REF!* Constants!$B$79 +#REF!* Constants!$B$78  + SUM(#REF!)*Constants!$B$80*(1+tech_9_3*#REF!))</f>
        <v>#REF!</v>
      </c>
      <c r="Y35" s="135" t="e">
        <f>SUMIF(#REF!,1)*0.05</f>
        <v>#REF!</v>
      </c>
      <c r="Z35" s="134"/>
      <c r="AA35" s="57" t="e">
        <f ca="1">IF(#REF!,12,IF(OFFSET(#REF!,-1,0)&gt;0,OFFSET(#REF!,-1,0)-1,0))</f>
        <v>#REF!</v>
      </c>
      <c r="AB35" s="57" t="e">
        <f ca="1">IF(#REF!,12,IF(OFFSET(#REF!,-1,0)&gt;0,OFFSET(#REF!,-1,0)-1,0))</f>
        <v>#REF!</v>
      </c>
      <c r="AC35" s="57" t="e">
        <f ca="1">IF(#REF!,12,IF(OFFSET(#REF!,-1,0)&gt;0,OFFSET(#REF!,-1,0)-1,0))</f>
        <v>#REF!</v>
      </c>
      <c r="AD35" s="57" t="e">
        <f ca="1">IF(#REF!,12,IF(OFFSET(#REF!,-1,0)&gt;0,OFFSET(#REF!,-1,0)-1,0))</f>
        <v>#REF!</v>
      </c>
      <c r="AE35" s="57" t="e">
        <f ca="1">IF(#REF!,12,IF(OFFSET(#REF!,-1,0)&gt;0,OFFSET(#REF!,-1,0)-1,0))</f>
        <v>#REF!</v>
      </c>
      <c r="AF35" s="57" t="e">
        <f ca="1">IF(#REF!,12,IF(OFFSET(#REF!,-1,0)&gt;0,OFFSET(#REF!,-1,0)-1,0))</f>
        <v>#REF!</v>
      </c>
      <c r="AG35" s="57" t="e">
        <f ca="1">IF(#REF!,12,IF(OFFSET(#REF!,-1,0)&gt;0,OFFSET(#REF!,-1,0)-1,0))</f>
        <v>#REF!</v>
      </c>
      <c r="AH35" s="57" t="e">
        <f ca="1">IF(#REF!,12,IF(OFFSET(#REF!,-1,0)&gt;0,OFFSET(#REF!,-1,0)-1,0))</f>
        <v>#REF!</v>
      </c>
      <c r="AI35" s="57" t="e">
        <f ca="1">IF(#REF!,12,IF(OFFSET(#REF!,-1,0)&gt;0,OFFSET(#REF!,-1,0)-1,0))</f>
        <v>#REF!</v>
      </c>
      <c r="AJ35" s="57" t="e">
        <f ca="1">IF(#REF!,12,IF(OFFSET(#REF!,-1,0)&gt;0,OFFSET(#REF!,-1,0)-1,0))</f>
        <v>#REF!</v>
      </c>
      <c r="AK35" s="57" t="e">
        <f ca="1">IF(#REF!,12,IF(OFFSET(#REF!,-1,0)&gt;0,OFFSET(#REF!,-1,0)-1,0))</f>
        <v>#REF!</v>
      </c>
      <c r="AL35" s="57" t="e">
        <f ca="1">IF(#REF!,12,IF(OFFSET(#REF!,-1,0)&gt;0,OFFSET(#REF!,-1,0)-1,0))</f>
        <v>#REF!</v>
      </c>
      <c r="AM35" s="57" t="e">
        <f ca="1">IF(#REF!,12,IF(OFFSET(#REF!,-1,0)&gt;0,OFFSET(#REF!,-1,0)-1,0))</f>
        <v>#REF!</v>
      </c>
      <c r="AN35" s="57" t="e">
        <f ca="1">IF(#REF!,12,IF(OFFSET(#REF!,-1,0)&gt;0,OFFSET(#REF!,-1,0)-1,0))</f>
        <v>#REF!</v>
      </c>
      <c r="AO35" s="57" t="e">
        <f ca="1">IF(#REF!,12,IF(OFFSET(#REF!,-1,0)&gt;0,OFFSET(#REF!,-1,0)-1,0))</f>
        <v>#REF!</v>
      </c>
    </row>
    <row r="36" spans="1:41" x14ac:dyDescent="0.25">
      <c r="A36" s="130" t="e">
        <f>#REF!</f>
        <v>#REF!</v>
      </c>
      <c r="B36" s="133" t="e">
        <f>#REF!</f>
        <v>#REF!</v>
      </c>
      <c r="C36" s="39" t="e">
        <f>#REF!</f>
        <v>#REF!</v>
      </c>
      <c r="D36" s="135" t="e">
        <f ca="1">MIN(1,OFFSET(#REF!,-1,0)+0.04+ROUNDDOWN(10*OFFSET(#REF!,-1,0),0)+ tech_2_7*OFFSET(#REF!,-1,0) + tech_5_6*OFFSET(#REF!,-1,0) )-#REF!</f>
        <v>#REF!</v>
      </c>
      <c r="E36" s="147" t="e">
        <f ca="1">OFFSET(#REF!,-1,0)+1/24</f>
        <v>#REF!</v>
      </c>
      <c r="F36" s="135" t="e">
        <f>#REF!</f>
        <v>#REF!</v>
      </c>
      <c r="G36" s="210"/>
      <c r="H36" s="210"/>
      <c r="I36" s="210"/>
      <c r="J36" s="210"/>
      <c r="K36" s="386"/>
      <c r="L36" s="210"/>
      <c r="M36" s="210"/>
      <c r="N36" s="210"/>
      <c r="O36" s="210"/>
      <c r="P36" s="210"/>
      <c r="Q36" s="210"/>
      <c r="R36" s="210"/>
      <c r="S36" s="210"/>
      <c r="T36" s="210"/>
      <c r="U36" s="210"/>
      <c r="V36" s="210"/>
      <c r="W36" s="134"/>
      <c r="X36" s="39" t="e">
        <f>(MAX(1-wg_spell_cost_cap,1-wg_spell_cost_red*ROUND(#REF!/#REF!,4))+ tech_3_9*#REF! + tech_6_2_2*#REF! )*(#REF!-#REF!*20)*(#REF!* Constants!$B$75 +#REF!* Constants!$B$76 +#REF!* Constants!$B$77 +#REF!* Constants!$B$79 +#REF!* Constants!$B$78  + SUM(#REF!)*Constants!$B$80*(1+tech_9_3*#REF!))</f>
        <v>#REF!</v>
      </c>
      <c r="Y36" s="135" t="e">
        <f>SUMIF(#REF!,1)*0.05</f>
        <v>#REF!</v>
      </c>
      <c r="Z36" s="134"/>
      <c r="AA36" s="57" t="e">
        <f ca="1">IF(#REF!,12,IF(OFFSET(#REF!,-1,0)&gt;0,OFFSET(#REF!,-1,0)-1,0))</f>
        <v>#REF!</v>
      </c>
      <c r="AB36" s="57" t="e">
        <f ca="1">IF(#REF!,12,IF(OFFSET(#REF!,-1,0)&gt;0,OFFSET(#REF!,-1,0)-1,0))</f>
        <v>#REF!</v>
      </c>
      <c r="AC36" s="57" t="e">
        <f ca="1">IF(#REF!,12,IF(OFFSET(#REF!,-1,0)&gt;0,OFFSET(#REF!,-1,0)-1,0))</f>
        <v>#REF!</v>
      </c>
      <c r="AD36" s="57" t="e">
        <f ca="1">IF(#REF!,12,IF(OFFSET(#REF!,-1,0)&gt;0,OFFSET(#REF!,-1,0)-1,0))</f>
        <v>#REF!</v>
      </c>
      <c r="AE36" s="57" t="e">
        <f ca="1">IF(#REF!,12,IF(OFFSET(#REF!,-1,0)&gt;0,OFFSET(#REF!,-1,0)-1,0))</f>
        <v>#REF!</v>
      </c>
      <c r="AF36" s="57" t="e">
        <f ca="1">IF(#REF!,12,IF(OFFSET(#REF!,-1,0)&gt;0,OFFSET(#REF!,-1,0)-1,0))</f>
        <v>#REF!</v>
      </c>
      <c r="AG36" s="57" t="e">
        <f ca="1">IF(#REF!,12,IF(OFFSET(#REF!,-1,0)&gt;0,OFFSET(#REF!,-1,0)-1,0))</f>
        <v>#REF!</v>
      </c>
      <c r="AH36" s="57" t="e">
        <f ca="1">IF(#REF!,12,IF(OFFSET(#REF!,-1,0)&gt;0,OFFSET(#REF!,-1,0)-1,0))</f>
        <v>#REF!</v>
      </c>
      <c r="AI36" s="57" t="e">
        <f ca="1">IF(#REF!,12,IF(OFFSET(#REF!,-1,0)&gt;0,OFFSET(#REF!,-1,0)-1,0))</f>
        <v>#REF!</v>
      </c>
      <c r="AJ36" s="57" t="e">
        <f ca="1">IF(#REF!,12,IF(OFFSET(#REF!,-1,0)&gt;0,OFFSET(#REF!,-1,0)-1,0))</f>
        <v>#REF!</v>
      </c>
      <c r="AK36" s="57" t="e">
        <f ca="1">IF(#REF!,12,IF(OFFSET(#REF!,-1,0)&gt;0,OFFSET(#REF!,-1,0)-1,0))</f>
        <v>#REF!</v>
      </c>
      <c r="AL36" s="57" t="e">
        <f ca="1">IF(#REF!,12,IF(OFFSET(#REF!,-1,0)&gt;0,OFFSET(#REF!,-1,0)-1,0))</f>
        <v>#REF!</v>
      </c>
      <c r="AM36" s="57" t="e">
        <f ca="1">IF(#REF!,12,IF(OFFSET(#REF!,-1,0)&gt;0,OFFSET(#REF!,-1,0)-1,0))</f>
        <v>#REF!</v>
      </c>
      <c r="AN36" s="57" t="e">
        <f ca="1">IF(#REF!,12,IF(OFFSET(#REF!,-1,0)&gt;0,OFFSET(#REF!,-1,0)-1,0))</f>
        <v>#REF!</v>
      </c>
      <c r="AO36" s="57" t="e">
        <f ca="1">IF(#REF!,12,IF(OFFSET(#REF!,-1,0)&gt;0,OFFSET(#REF!,-1,0)-1,0))</f>
        <v>#REF!</v>
      </c>
    </row>
    <row r="37" spans="1:41" x14ac:dyDescent="0.25">
      <c r="A37" s="130" t="e">
        <f>#REF!</f>
        <v>#REF!</v>
      </c>
      <c r="B37" s="133" t="e">
        <f>#REF!</f>
        <v>#REF!</v>
      </c>
      <c r="C37" s="39" t="e">
        <f>#REF!</f>
        <v>#REF!</v>
      </c>
      <c r="D37" s="135" t="e">
        <f ca="1">MIN(1,OFFSET(#REF!,-1,0)+0.04+ROUNDDOWN(10*OFFSET(#REF!,-1,0),0)+ tech_2_7*OFFSET(#REF!,-1,0) + tech_5_6*OFFSET(#REF!,-1,0) )-#REF!</f>
        <v>#REF!</v>
      </c>
      <c r="E37" s="147" t="e">
        <f ca="1">OFFSET(#REF!,-1,0)+1/24</f>
        <v>#REF!</v>
      </c>
      <c r="F37" s="135" t="e">
        <f>#REF!</f>
        <v>#REF!</v>
      </c>
      <c r="G37" s="210"/>
      <c r="H37" s="210"/>
      <c r="I37" s="210"/>
      <c r="J37" s="210"/>
      <c r="K37" s="386"/>
      <c r="L37" s="210"/>
      <c r="M37" s="210"/>
      <c r="N37" s="210"/>
      <c r="O37" s="210"/>
      <c r="P37" s="210"/>
      <c r="Q37" s="210"/>
      <c r="R37" s="210"/>
      <c r="S37" s="210"/>
      <c r="T37" s="210"/>
      <c r="U37" s="210"/>
      <c r="V37" s="210"/>
      <c r="W37" s="134"/>
      <c r="X37" s="39" t="e">
        <f>(MAX(1-wg_spell_cost_cap,1-wg_spell_cost_red*ROUND(#REF!/#REF!,4))+ tech_3_9*#REF! + tech_6_2_2*#REF! )*(#REF!-#REF!*20)*(#REF!* Constants!$B$75 +#REF!* Constants!$B$76 +#REF!* Constants!$B$77 +#REF!* Constants!$B$79 +#REF!* Constants!$B$78  + SUM(#REF!)*Constants!$B$80*(1+tech_9_3*#REF!))</f>
        <v>#REF!</v>
      </c>
      <c r="Y37" s="135" t="e">
        <f>SUMIF(#REF!,1)*0.05</f>
        <v>#REF!</v>
      </c>
      <c r="Z37" s="134"/>
      <c r="AA37" s="57" t="e">
        <f ca="1">IF(#REF!,12,IF(OFFSET(#REF!,-1,0)&gt;0,OFFSET(#REF!,-1,0)-1,0))</f>
        <v>#REF!</v>
      </c>
      <c r="AB37" s="57" t="e">
        <f ca="1">IF(#REF!,12,IF(OFFSET(#REF!,-1,0)&gt;0,OFFSET(#REF!,-1,0)-1,0))</f>
        <v>#REF!</v>
      </c>
      <c r="AC37" s="57" t="e">
        <f ca="1">IF(#REF!,12,IF(OFFSET(#REF!,-1,0)&gt;0,OFFSET(#REF!,-1,0)-1,0))</f>
        <v>#REF!</v>
      </c>
      <c r="AD37" s="57" t="e">
        <f ca="1">IF(#REF!,12,IF(OFFSET(#REF!,-1,0)&gt;0,OFFSET(#REF!,-1,0)-1,0))</f>
        <v>#REF!</v>
      </c>
      <c r="AE37" s="57" t="e">
        <f ca="1">IF(#REF!,12,IF(OFFSET(#REF!,-1,0)&gt;0,OFFSET(#REF!,-1,0)-1,0))</f>
        <v>#REF!</v>
      </c>
      <c r="AF37" s="57" t="e">
        <f ca="1">IF(#REF!,12,IF(OFFSET(#REF!,-1,0)&gt;0,OFFSET(#REF!,-1,0)-1,0))</f>
        <v>#REF!</v>
      </c>
      <c r="AG37" s="57" t="e">
        <f ca="1">IF(#REF!,12,IF(OFFSET(#REF!,-1,0)&gt;0,OFFSET(#REF!,-1,0)-1,0))</f>
        <v>#REF!</v>
      </c>
      <c r="AH37" s="57" t="e">
        <f ca="1">IF(#REF!,12,IF(OFFSET(#REF!,-1,0)&gt;0,OFFSET(#REF!,-1,0)-1,0))</f>
        <v>#REF!</v>
      </c>
      <c r="AI37" s="57" t="e">
        <f ca="1">IF(#REF!,12,IF(OFFSET(#REF!,-1,0)&gt;0,OFFSET(#REF!,-1,0)-1,0))</f>
        <v>#REF!</v>
      </c>
      <c r="AJ37" s="57" t="e">
        <f ca="1">IF(#REF!,12,IF(OFFSET(#REF!,-1,0)&gt;0,OFFSET(#REF!,-1,0)-1,0))</f>
        <v>#REF!</v>
      </c>
      <c r="AK37" s="57" t="e">
        <f ca="1">IF(#REF!,12,IF(OFFSET(#REF!,-1,0)&gt;0,OFFSET(#REF!,-1,0)-1,0))</f>
        <v>#REF!</v>
      </c>
      <c r="AL37" s="57" t="e">
        <f ca="1">IF(#REF!,12,IF(OFFSET(#REF!,-1,0)&gt;0,OFFSET(#REF!,-1,0)-1,0))</f>
        <v>#REF!</v>
      </c>
      <c r="AM37" s="57" t="e">
        <f ca="1">IF(#REF!,12,IF(OFFSET(#REF!,-1,0)&gt;0,OFFSET(#REF!,-1,0)-1,0))</f>
        <v>#REF!</v>
      </c>
      <c r="AN37" s="57" t="e">
        <f ca="1">IF(#REF!,12,IF(OFFSET(#REF!,-1,0)&gt;0,OFFSET(#REF!,-1,0)-1,0))</f>
        <v>#REF!</v>
      </c>
      <c r="AO37" s="57" t="e">
        <f ca="1">IF(#REF!,12,IF(OFFSET(#REF!,-1,0)&gt;0,OFFSET(#REF!,-1,0)-1,0))</f>
        <v>#REF!</v>
      </c>
    </row>
    <row r="38" spans="1:41" x14ac:dyDescent="0.25">
      <c r="A38" s="130" t="e">
        <f>#REF!</f>
        <v>#REF!</v>
      </c>
      <c r="B38" s="133" t="e">
        <f>#REF!</f>
        <v>#REF!</v>
      </c>
      <c r="C38" s="39" t="e">
        <f>#REF!</f>
        <v>#REF!</v>
      </c>
      <c r="D38" s="135" t="e">
        <f ca="1">MIN(1,OFFSET(#REF!,-1,0)+0.04+ROUNDDOWN(10*OFFSET(#REF!,-1,0),0)+ tech_2_7*OFFSET(#REF!,-1,0) + tech_5_6*OFFSET(#REF!,-1,0) )-#REF!</f>
        <v>#REF!</v>
      </c>
      <c r="E38" s="147" t="e">
        <f ca="1">OFFSET(#REF!,-1,0)+1/24</f>
        <v>#REF!</v>
      </c>
      <c r="F38" s="135" t="e">
        <f>#REF!</f>
        <v>#REF!</v>
      </c>
      <c r="G38" s="210"/>
      <c r="H38" s="210"/>
      <c r="I38" s="210"/>
      <c r="J38" s="210"/>
      <c r="K38" s="386"/>
      <c r="L38" s="210"/>
      <c r="M38" s="210"/>
      <c r="N38" s="210"/>
      <c r="O38" s="210"/>
      <c r="P38" s="210"/>
      <c r="Q38" s="210"/>
      <c r="R38" s="210"/>
      <c r="S38" s="210"/>
      <c r="T38" s="210"/>
      <c r="U38" s="210"/>
      <c r="V38" s="210"/>
      <c r="W38" s="134"/>
      <c r="X38" s="39" t="e">
        <f>(MAX(1-wg_spell_cost_cap,1-wg_spell_cost_red*ROUND(#REF!/#REF!,4))+ tech_3_9*#REF! + tech_6_2_2*#REF! )*(#REF!-#REF!*20)*(#REF!* Constants!$B$75 +#REF!* Constants!$B$76 +#REF!* Constants!$B$77 +#REF!* Constants!$B$79 +#REF!* Constants!$B$78  + SUM(#REF!)*Constants!$B$80*(1+tech_9_3*#REF!))</f>
        <v>#REF!</v>
      </c>
      <c r="Y38" s="135" t="e">
        <f>SUMIF(#REF!,1)*0.05</f>
        <v>#REF!</v>
      </c>
      <c r="Z38" s="134"/>
      <c r="AA38" s="57" t="e">
        <f ca="1">IF(#REF!,12,IF(OFFSET(#REF!,-1,0)&gt;0,OFFSET(#REF!,-1,0)-1,0))</f>
        <v>#REF!</v>
      </c>
      <c r="AB38" s="57" t="e">
        <f ca="1">IF(#REF!,12,IF(OFFSET(#REF!,-1,0)&gt;0,OFFSET(#REF!,-1,0)-1,0))</f>
        <v>#REF!</v>
      </c>
      <c r="AC38" s="57" t="e">
        <f ca="1">IF(#REF!,12,IF(OFFSET(#REF!,-1,0)&gt;0,OFFSET(#REF!,-1,0)-1,0))</f>
        <v>#REF!</v>
      </c>
      <c r="AD38" s="57" t="e">
        <f ca="1">IF(#REF!,12,IF(OFFSET(#REF!,-1,0)&gt;0,OFFSET(#REF!,-1,0)-1,0))</f>
        <v>#REF!</v>
      </c>
      <c r="AE38" s="57" t="e">
        <f ca="1">IF(#REF!,12,IF(OFFSET(#REF!,-1,0)&gt;0,OFFSET(#REF!,-1,0)-1,0))</f>
        <v>#REF!</v>
      </c>
      <c r="AF38" s="57" t="e">
        <f ca="1">IF(#REF!,12,IF(OFFSET(#REF!,-1,0)&gt;0,OFFSET(#REF!,-1,0)-1,0))</f>
        <v>#REF!</v>
      </c>
      <c r="AG38" s="57" t="e">
        <f ca="1">IF(#REF!,12,IF(OFFSET(#REF!,-1,0)&gt;0,OFFSET(#REF!,-1,0)-1,0))</f>
        <v>#REF!</v>
      </c>
      <c r="AH38" s="57" t="e">
        <f ca="1">IF(#REF!,12,IF(OFFSET(#REF!,-1,0)&gt;0,OFFSET(#REF!,-1,0)-1,0))</f>
        <v>#REF!</v>
      </c>
      <c r="AI38" s="57" t="e">
        <f ca="1">IF(#REF!,12,IF(OFFSET(#REF!,-1,0)&gt;0,OFFSET(#REF!,-1,0)-1,0))</f>
        <v>#REF!</v>
      </c>
      <c r="AJ38" s="57" t="e">
        <f ca="1">IF(#REF!,12,IF(OFFSET(#REF!,-1,0)&gt;0,OFFSET(#REF!,-1,0)-1,0))</f>
        <v>#REF!</v>
      </c>
      <c r="AK38" s="57" t="e">
        <f ca="1">IF(#REF!,12,IF(OFFSET(#REF!,-1,0)&gt;0,OFFSET(#REF!,-1,0)-1,0))</f>
        <v>#REF!</v>
      </c>
      <c r="AL38" s="57" t="e">
        <f ca="1">IF(#REF!,12,IF(OFFSET(#REF!,-1,0)&gt;0,OFFSET(#REF!,-1,0)-1,0))</f>
        <v>#REF!</v>
      </c>
      <c r="AM38" s="57" t="e">
        <f ca="1">IF(#REF!,12,IF(OFFSET(#REF!,-1,0)&gt;0,OFFSET(#REF!,-1,0)-1,0))</f>
        <v>#REF!</v>
      </c>
      <c r="AN38" s="57" t="e">
        <f ca="1">IF(#REF!,12,IF(OFFSET(#REF!,-1,0)&gt;0,OFFSET(#REF!,-1,0)-1,0))</f>
        <v>#REF!</v>
      </c>
      <c r="AO38" s="57" t="e">
        <f ca="1">IF(#REF!,12,IF(OFFSET(#REF!,-1,0)&gt;0,OFFSET(#REF!,-1,0)-1,0))</f>
        <v>#REF!</v>
      </c>
    </row>
    <row r="39" spans="1:41" x14ac:dyDescent="0.25">
      <c r="A39" s="130" t="e">
        <f>#REF!</f>
        <v>#REF!</v>
      </c>
      <c r="B39" s="133" t="e">
        <f>#REF!</f>
        <v>#REF!</v>
      </c>
      <c r="C39" s="39" t="e">
        <f>#REF!</f>
        <v>#REF!</v>
      </c>
      <c r="D39" s="135" t="e">
        <f ca="1">MIN(1,OFFSET(#REF!,-1,0)+0.04+ROUNDDOWN(10*OFFSET(#REF!,-1,0),0)+ tech_2_7*OFFSET(#REF!,-1,0) + tech_5_6*OFFSET(#REF!,-1,0) )-#REF!</f>
        <v>#REF!</v>
      </c>
      <c r="E39" s="147" t="e">
        <f ca="1">OFFSET(#REF!,-1,0)+1/24</f>
        <v>#REF!</v>
      </c>
      <c r="F39" s="135" t="e">
        <f>#REF!</f>
        <v>#REF!</v>
      </c>
      <c r="G39" s="210"/>
      <c r="H39" s="210"/>
      <c r="I39" s="210"/>
      <c r="J39" s="210"/>
      <c r="K39" s="386"/>
      <c r="L39" s="210"/>
      <c r="M39" s="210"/>
      <c r="N39" s="210"/>
      <c r="O39" s="210"/>
      <c r="P39" s="210"/>
      <c r="Q39" s="210"/>
      <c r="R39" s="210"/>
      <c r="S39" s="210"/>
      <c r="T39" s="210"/>
      <c r="U39" s="210"/>
      <c r="V39" s="210"/>
      <c r="W39" s="134"/>
      <c r="X39" s="39" t="e">
        <f>(MAX(1-wg_spell_cost_cap,1-wg_spell_cost_red*ROUND(#REF!/#REF!,4))+ tech_3_9*#REF! + tech_6_2_2*#REF! )*(#REF!-#REF!*20)*(#REF!* Constants!$B$75 +#REF!* Constants!$B$76 +#REF!* Constants!$B$77 +#REF!* Constants!$B$79 +#REF!* Constants!$B$78  + SUM(#REF!)*Constants!$B$80*(1+tech_9_3*#REF!))</f>
        <v>#REF!</v>
      </c>
      <c r="Y39" s="135" t="e">
        <f>SUMIF(#REF!,1)*0.05</f>
        <v>#REF!</v>
      </c>
      <c r="Z39" s="134"/>
      <c r="AA39" s="57" t="e">
        <f ca="1">IF(#REF!,12,IF(OFFSET(#REF!,-1,0)&gt;0,OFFSET(#REF!,-1,0)-1,0))</f>
        <v>#REF!</v>
      </c>
      <c r="AB39" s="57" t="e">
        <f ca="1">IF(#REF!,12,IF(OFFSET(#REF!,-1,0)&gt;0,OFFSET(#REF!,-1,0)-1,0))</f>
        <v>#REF!</v>
      </c>
      <c r="AC39" s="57" t="e">
        <f ca="1">IF(#REF!,12,IF(OFFSET(#REF!,-1,0)&gt;0,OFFSET(#REF!,-1,0)-1,0))</f>
        <v>#REF!</v>
      </c>
      <c r="AD39" s="57" t="e">
        <f ca="1">IF(#REF!,12,IF(OFFSET(#REF!,-1,0)&gt;0,OFFSET(#REF!,-1,0)-1,0))</f>
        <v>#REF!</v>
      </c>
      <c r="AE39" s="57" t="e">
        <f ca="1">IF(#REF!,12,IF(OFFSET(#REF!,-1,0)&gt;0,OFFSET(#REF!,-1,0)-1,0))</f>
        <v>#REF!</v>
      </c>
      <c r="AF39" s="57" t="e">
        <f ca="1">IF(#REF!,12,IF(OFFSET(#REF!,-1,0)&gt;0,OFFSET(#REF!,-1,0)-1,0))</f>
        <v>#REF!</v>
      </c>
      <c r="AG39" s="57" t="e">
        <f ca="1">IF(#REF!,12,IF(OFFSET(#REF!,-1,0)&gt;0,OFFSET(#REF!,-1,0)-1,0))</f>
        <v>#REF!</v>
      </c>
      <c r="AH39" s="57" t="e">
        <f ca="1">IF(#REF!,12,IF(OFFSET(#REF!,-1,0)&gt;0,OFFSET(#REF!,-1,0)-1,0))</f>
        <v>#REF!</v>
      </c>
      <c r="AI39" s="57" t="e">
        <f ca="1">IF(#REF!,12,IF(OFFSET(#REF!,-1,0)&gt;0,OFFSET(#REF!,-1,0)-1,0))</f>
        <v>#REF!</v>
      </c>
      <c r="AJ39" s="57" t="e">
        <f ca="1">IF(#REF!,12,IF(OFFSET(#REF!,-1,0)&gt;0,OFFSET(#REF!,-1,0)-1,0))</f>
        <v>#REF!</v>
      </c>
      <c r="AK39" s="57" t="e">
        <f ca="1">IF(#REF!,12,IF(OFFSET(#REF!,-1,0)&gt;0,OFFSET(#REF!,-1,0)-1,0))</f>
        <v>#REF!</v>
      </c>
      <c r="AL39" s="57" t="e">
        <f ca="1">IF(#REF!,12,IF(OFFSET(#REF!,-1,0)&gt;0,OFFSET(#REF!,-1,0)-1,0))</f>
        <v>#REF!</v>
      </c>
      <c r="AM39" s="57" t="e">
        <f ca="1">IF(#REF!,12,IF(OFFSET(#REF!,-1,0)&gt;0,OFFSET(#REF!,-1,0)-1,0))</f>
        <v>#REF!</v>
      </c>
      <c r="AN39" s="57" t="e">
        <f ca="1">IF(#REF!,12,IF(OFFSET(#REF!,-1,0)&gt;0,OFFSET(#REF!,-1,0)-1,0))</f>
        <v>#REF!</v>
      </c>
      <c r="AO39" s="57" t="e">
        <f ca="1">IF(#REF!,12,IF(OFFSET(#REF!,-1,0)&gt;0,OFFSET(#REF!,-1,0)-1,0))</f>
        <v>#REF!</v>
      </c>
    </row>
    <row r="40" spans="1:41" x14ac:dyDescent="0.25">
      <c r="A40" s="130" t="e">
        <f>#REF!</f>
        <v>#REF!</v>
      </c>
      <c r="B40" s="133" t="e">
        <f>#REF!</f>
        <v>#REF!</v>
      </c>
      <c r="C40" s="39" t="e">
        <f>#REF!</f>
        <v>#REF!</v>
      </c>
      <c r="D40" s="135" t="e">
        <f ca="1">MIN(1,OFFSET(#REF!,-1,0)+0.04+ROUNDDOWN(10*OFFSET(#REF!,-1,0),0)+ tech_2_7*OFFSET(#REF!,-1,0) + tech_5_6*OFFSET(#REF!,-1,0) )-#REF!</f>
        <v>#REF!</v>
      </c>
      <c r="E40" s="147" t="e">
        <f ca="1">OFFSET(#REF!,-1,0)+1/24</f>
        <v>#REF!</v>
      </c>
      <c r="F40" s="135" t="e">
        <f>#REF!</f>
        <v>#REF!</v>
      </c>
      <c r="G40" s="210"/>
      <c r="H40" s="210"/>
      <c r="I40" s="210"/>
      <c r="J40" s="210"/>
      <c r="K40" s="386"/>
      <c r="L40" s="210"/>
      <c r="M40" s="210"/>
      <c r="N40" s="210"/>
      <c r="O40" s="210"/>
      <c r="P40" s="210"/>
      <c r="Q40" s="210"/>
      <c r="R40" s="210"/>
      <c r="S40" s="210"/>
      <c r="T40" s="210"/>
      <c r="U40" s="210"/>
      <c r="V40" s="210"/>
      <c r="W40" s="134"/>
      <c r="X40" s="39" t="e">
        <f>(MAX(1-wg_spell_cost_cap,1-wg_spell_cost_red*ROUND(#REF!/#REF!,4))+ tech_3_9*#REF! + tech_6_2_2*#REF! )*(#REF!-#REF!*20)*(#REF!* Constants!$B$75 +#REF!* Constants!$B$76 +#REF!* Constants!$B$77 +#REF!* Constants!$B$79 +#REF!* Constants!$B$78  + SUM(#REF!)*Constants!$B$80*(1+tech_9_3*#REF!))</f>
        <v>#REF!</v>
      </c>
      <c r="Y40" s="135" t="e">
        <f>SUMIF(#REF!,1)*0.05</f>
        <v>#REF!</v>
      </c>
      <c r="Z40" s="134"/>
      <c r="AA40" s="57" t="e">
        <f ca="1">IF(#REF!,12,IF(OFFSET(#REF!,-1,0)&gt;0,OFFSET(#REF!,-1,0)-1,0))</f>
        <v>#REF!</v>
      </c>
      <c r="AB40" s="57" t="e">
        <f ca="1">IF(#REF!,12,IF(OFFSET(#REF!,-1,0)&gt;0,OFFSET(#REF!,-1,0)-1,0))</f>
        <v>#REF!</v>
      </c>
      <c r="AC40" s="57" t="e">
        <f ca="1">IF(#REF!,12,IF(OFFSET(#REF!,-1,0)&gt;0,OFFSET(#REF!,-1,0)-1,0))</f>
        <v>#REF!</v>
      </c>
      <c r="AD40" s="57" t="e">
        <f ca="1">IF(#REF!,12,IF(OFFSET(#REF!,-1,0)&gt;0,OFFSET(#REF!,-1,0)-1,0))</f>
        <v>#REF!</v>
      </c>
      <c r="AE40" s="57" t="e">
        <f ca="1">IF(#REF!,12,IF(OFFSET(#REF!,-1,0)&gt;0,OFFSET(#REF!,-1,0)-1,0))</f>
        <v>#REF!</v>
      </c>
      <c r="AF40" s="57" t="e">
        <f ca="1">IF(#REF!,12,IF(OFFSET(#REF!,-1,0)&gt;0,OFFSET(#REF!,-1,0)-1,0))</f>
        <v>#REF!</v>
      </c>
      <c r="AG40" s="57" t="e">
        <f ca="1">IF(#REF!,12,IF(OFFSET(#REF!,-1,0)&gt;0,OFFSET(#REF!,-1,0)-1,0))</f>
        <v>#REF!</v>
      </c>
      <c r="AH40" s="57" t="e">
        <f ca="1">IF(#REF!,12,IF(OFFSET(#REF!,-1,0)&gt;0,OFFSET(#REF!,-1,0)-1,0))</f>
        <v>#REF!</v>
      </c>
      <c r="AI40" s="57" t="e">
        <f ca="1">IF(#REF!,12,IF(OFFSET(#REF!,-1,0)&gt;0,OFFSET(#REF!,-1,0)-1,0))</f>
        <v>#REF!</v>
      </c>
      <c r="AJ40" s="57" t="e">
        <f ca="1">IF(#REF!,12,IF(OFFSET(#REF!,-1,0)&gt;0,OFFSET(#REF!,-1,0)-1,0))</f>
        <v>#REF!</v>
      </c>
      <c r="AK40" s="57" t="e">
        <f ca="1">IF(#REF!,12,IF(OFFSET(#REF!,-1,0)&gt;0,OFFSET(#REF!,-1,0)-1,0))</f>
        <v>#REF!</v>
      </c>
      <c r="AL40" s="57" t="e">
        <f ca="1">IF(#REF!,12,IF(OFFSET(#REF!,-1,0)&gt;0,OFFSET(#REF!,-1,0)-1,0))</f>
        <v>#REF!</v>
      </c>
      <c r="AM40" s="57" t="e">
        <f ca="1">IF(#REF!,12,IF(OFFSET(#REF!,-1,0)&gt;0,OFFSET(#REF!,-1,0)-1,0))</f>
        <v>#REF!</v>
      </c>
      <c r="AN40" s="57" t="e">
        <f ca="1">IF(#REF!,12,IF(OFFSET(#REF!,-1,0)&gt;0,OFFSET(#REF!,-1,0)-1,0))</f>
        <v>#REF!</v>
      </c>
      <c r="AO40" s="57" t="e">
        <f ca="1">IF(#REF!,12,IF(OFFSET(#REF!,-1,0)&gt;0,OFFSET(#REF!,-1,0)-1,0))</f>
        <v>#REF!</v>
      </c>
    </row>
    <row r="41" spans="1:41" x14ac:dyDescent="0.25">
      <c r="A41" s="130" t="e">
        <f>#REF!</f>
        <v>#REF!</v>
      </c>
      <c r="B41" s="133" t="e">
        <f>#REF!</f>
        <v>#REF!</v>
      </c>
      <c r="C41" s="39" t="e">
        <f>#REF!</f>
        <v>#REF!</v>
      </c>
      <c r="D41" s="135" t="e">
        <f ca="1">MIN(1,OFFSET(#REF!,-1,0)+0.04+ROUNDDOWN(10*OFFSET(#REF!,-1,0),0)+ tech_2_7*OFFSET(#REF!,-1,0) + tech_5_6*OFFSET(#REF!,-1,0) )-#REF!</f>
        <v>#REF!</v>
      </c>
      <c r="E41" s="147" t="e">
        <f ca="1">OFFSET(#REF!,-1,0)+1/24</f>
        <v>#REF!</v>
      </c>
      <c r="F41" s="135" t="e">
        <f>#REF!</f>
        <v>#REF!</v>
      </c>
      <c r="G41" s="210"/>
      <c r="H41" s="210"/>
      <c r="I41" s="210"/>
      <c r="J41" s="210"/>
      <c r="K41" s="386"/>
      <c r="L41" s="210"/>
      <c r="M41" s="210"/>
      <c r="N41" s="210"/>
      <c r="O41" s="210"/>
      <c r="P41" s="210"/>
      <c r="Q41" s="210"/>
      <c r="R41" s="210"/>
      <c r="S41" s="210"/>
      <c r="T41" s="210"/>
      <c r="U41" s="210"/>
      <c r="V41" s="210"/>
      <c r="W41" s="134"/>
      <c r="X41" s="39" t="e">
        <f>(MAX(1-wg_spell_cost_cap,1-wg_spell_cost_red*ROUND(#REF!/#REF!,4))+ tech_3_9*#REF! + tech_6_2_2*#REF! )*(#REF!-#REF!*20)*(#REF!* Constants!$B$75 +#REF!* Constants!$B$76 +#REF!* Constants!$B$77 +#REF!* Constants!$B$79 +#REF!* Constants!$B$78  + SUM(#REF!)*Constants!$B$80*(1+tech_9_3*#REF!))</f>
        <v>#REF!</v>
      </c>
      <c r="Y41" s="135" t="e">
        <f>SUMIF(#REF!,1)*0.05</f>
        <v>#REF!</v>
      </c>
      <c r="Z41" s="134"/>
      <c r="AA41" s="57" t="e">
        <f ca="1">IF(#REF!,12,IF(OFFSET(#REF!,-1,0)&gt;0,OFFSET(#REF!,-1,0)-1,0))</f>
        <v>#REF!</v>
      </c>
      <c r="AB41" s="57" t="e">
        <f ca="1">IF(#REF!,12,IF(OFFSET(#REF!,-1,0)&gt;0,OFFSET(#REF!,-1,0)-1,0))</f>
        <v>#REF!</v>
      </c>
      <c r="AC41" s="57" t="e">
        <f ca="1">IF(#REF!,12,IF(OFFSET(#REF!,-1,0)&gt;0,OFFSET(#REF!,-1,0)-1,0))</f>
        <v>#REF!</v>
      </c>
      <c r="AD41" s="57" t="e">
        <f ca="1">IF(#REF!,12,IF(OFFSET(#REF!,-1,0)&gt;0,OFFSET(#REF!,-1,0)-1,0))</f>
        <v>#REF!</v>
      </c>
      <c r="AE41" s="57" t="e">
        <f ca="1">IF(#REF!,12,IF(OFFSET(#REF!,-1,0)&gt;0,OFFSET(#REF!,-1,0)-1,0))</f>
        <v>#REF!</v>
      </c>
      <c r="AF41" s="57" t="e">
        <f ca="1">IF(#REF!,12,IF(OFFSET(#REF!,-1,0)&gt;0,OFFSET(#REF!,-1,0)-1,0))</f>
        <v>#REF!</v>
      </c>
      <c r="AG41" s="57" t="e">
        <f ca="1">IF(#REF!,12,IF(OFFSET(#REF!,-1,0)&gt;0,OFFSET(#REF!,-1,0)-1,0))</f>
        <v>#REF!</v>
      </c>
      <c r="AH41" s="57" t="e">
        <f ca="1">IF(#REF!,12,IF(OFFSET(#REF!,-1,0)&gt;0,OFFSET(#REF!,-1,0)-1,0))</f>
        <v>#REF!</v>
      </c>
      <c r="AI41" s="57" t="e">
        <f ca="1">IF(#REF!,12,IF(OFFSET(#REF!,-1,0)&gt;0,OFFSET(#REF!,-1,0)-1,0))</f>
        <v>#REF!</v>
      </c>
      <c r="AJ41" s="57" t="e">
        <f ca="1">IF(#REF!,12,IF(OFFSET(#REF!,-1,0)&gt;0,OFFSET(#REF!,-1,0)-1,0))</f>
        <v>#REF!</v>
      </c>
      <c r="AK41" s="57" t="e">
        <f ca="1">IF(#REF!,12,IF(OFFSET(#REF!,-1,0)&gt;0,OFFSET(#REF!,-1,0)-1,0))</f>
        <v>#REF!</v>
      </c>
      <c r="AL41" s="57" t="e">
        <f ca="1">IF(#REF!,12,IF(OFFSET(#REF!,-1,0)&gt;0,OFFSET(#REF!,-1,0)-1,0))</f>
        <v>#REF!</v>
      </c>
      <c r="AM41" s="57" t="e">
        <f ca="1">IF(#REF!,12,IF(OFFSET(#REF!,-1,0)&gt;0,OFFSET(#REF!,-1,0)-1,0))</f>
        <v>#REF!</v>
      </c>
      <c r="AN41" s="57" t="e">
        <f ca="1">IF(#REF!,12,IF(OFFSET(#REF!,-1,0)&gt;0,OFFSET(#REF!,-1,0)-1,0))</f>
        <v>#REF!</v>
      </c>
      <c r="AO41" s="57" t="e">
        <f ca="1">IF(#REF!,12,IF(OFFSET(#REF!,-1,0)&gt;0,OFFSET(#REF!,-1,0)-1,0))</f>
        <v>#REF!</v>
      </c>
    </row>
    <row r="42" spans="1:41" x14ac:dyDescent="0.25">
      <c r="A42" s="130" t="e">
        <f>#REF!</f>
        <v>#REF!</v>
      </c>
      <c r="B42" s="133" t="e">
        <f>#REF!</f>
        <v>#REF!</v>
      </c>
      <c r="C42" s="39" t="e">
        <f>#REF!</f>
        <v>#REF!</v>
      </c>
      <c r="D42" s="135" t="e">
        <f ca="1">MIN(1,OFFSET(#REF!,-1,0)+0.04+ROUNDDOWN(10*OFFSET(#REF!,-1,0),0)+ tech_2_7*OFFSET(#REF!,-1,0) + tech_5_6*OFFSET(#REF!,-1,0) )-#REF!</f>
        <v>#REF!</v>
      </c>
      <c r="E42" s="147" t="e">
        <f ca="1">OFFSET(#REF!,-1,0)+1/24</f>
        <v>#REF!</v>
      </c>
      <c r="F42" s="135" t="e">
        <f>#REF!</f>
        <v>#REF!</v>
      </c>
      <c r="G42" s="210"/>
      <c r="H42" s="210"/>
      <c r="I42" s="210"/>
      <c r="J42" s="210"/>
      <c r="K42" s="386"/>
      <c r="L42" s="210"/>
      <c r="M42" s="210"/>
      <c r="N42" s="210"/>
      <c r="O42" s="210"/>
      <c r="P42" s="210"/>
      <c r="Q42" s="210"/>
      <c r="R42" s="210"/>
      <c r="S42" s="210"/>
      <c r="T42" s="210"/>
      <c r="U42" s="210"/>
      <c r="V42" s="210"/>
      <c r="W42" s="134"/>
      <c r="X42" s="39" t="e">
        <f>(MAX(1-wg_spell_cost_cap,1-wg_spell_cost_red*ROUND(#REF!/#REF!,4))+ tech_3_9*#REF! + tech_6_2_2*#REF! )*(#REF!-#REF!*20)*(#REF!* Constants!$B$75 +#REF!* Constants!$B$76 +#REF!* Constants!$B$77 +#REF!* Constants!$B$79 +#REF!* Constants!$B$78  + SUM(#REF!)*Constants!$B$80*(1+tech_9_3*#REF!))</f>
        <v>#REF!</v>
      </c>
      <c r="Y42" s="135" t="e">
        <f>SUMIF(#REF!,1)*0.05</f>
        <v>#REF!</v>
      </c>
      <c r="Z42" s="134"/>
      <c r="AA42" s="57" t="e">
        <f ca="1">IF(#REF!,12,IF(OFFSET(#REF!,-1,0)&gt;0,OFFSET(#REF!,-1,0)-1,0))</f>
        <v>#REF!</v>
      </c>
      <c r="AB42" s="57" t="e">
        <f ca="1">IF(#REF!,12,IF(OFFSET(#REF!,-1,0)&gt;0,OFFSET(#REF!,-1,0)-1,0))</f>
        <v>#REF!</v>
      </c>
      <c r="AC42" s="57" t="e">
        <f ca="1">IF(#REF!,12,IF(OFFSET(#REF!,-1,0)&gt;0,OFFSET(#REF!,-1,0)-1,0))</f>
        <v>#REF!</v>
      </c>
      <c r="AD42" s="57" t="e">
        <f ca="1">IF(#REF!,12,IF(OFFSET(#REF!,-1,0)&gt;0,OFFSET(#REF!,-1,0)-1,0))</f>
        <v>#REF!</v>
      </c>
      <c r="AE42" s="57" t="e">
        <f ca="1">IF(#REF!,12,IF(OFFSET(#REF!,-1,0)&gt;0,OFFSET(#REF!,-1,0)-1,0))</f>
        <v>#REF!</v>
      </c>
      <c r="AF42" s="57" t="e">
        <f ca="1">IF(#REF!,12,IF(OFFSET(#REF!,-1,0)&gt;0,OFFSET(#REF!,-1,0)-1,0))</f>
        <v>#REF!</v>
      </c>
      <c r="AG42" s="57" t="e">
        <f ca="1">IF(#REF!,12,IF(OFFSET(#REF!,-1,0)&gt;0,OFFSET(#REF!,-1,0)-1,0))</f>
        <v>#REF!</v>
      </c>
      <c r="AH42" s="57" t="e">
        <f ca="1">IF(#REF!,12,IF(OFFSET(#REF!,-1,0)&gt;0,OFFSET(#REF!,-1,0)-1,0))</f>
        <v>#REF!</v>
      </c>
      <c r="AI42" s="57" t="e">
        <f ca="1">IF(#REF!,12,IF(OFFSET(#REF!,-1,0)&gt;0,OFFSET(#REF!,-1,0)-1,0))</f>
        <v>#REF!</v>
      </c>
      <c r="AJ42" s="57" t="e">
        <f ca="1">IF(#REF!,12,IF(OFFSET(#REF!,-1,0)&gt;0,OFFSET(#REF!,-1,0)-1,0))</f>
        <v>#REF!</v>
      </c>
      <c r="AK42" s="57" t="e">
        <f ca="1">IF(#REF!,12,IF(OFFSET(#REF!,-1,0)&gt;0,OFFSET(#REF!,-1,0)-1,0))</f>
        <v>#REF!</v>
      </c>
      <c r="AL42" s="57" t="e">
        <f ca="1">IF(#REF!,12,IF(OFFSET(#REF!,-1,0)&gt;0,OFFSET(#REF!,-1,0)-1,0))</f>
        <v>#REF!</v>
      </c>
      <c r="AM42" s="57" t="e">
        <f ca="1">IF(#REF!,12,IF(OFFSET(#REF!,-1,0)&gt;0,OFFSET(#REF!,-1,0)-1,0))</f>
        <v>#REF!</v>
      </c>
      <c r="AN42" s="57" t="e">
        <f ca="1">IF(#REF!,12,IF(OFFSET(#REF!,-1,0)&gt;0,OFFSET(#REF!,-1,0)-1,0))</f>
        <v>#REF!</v>
      </c>
      <c r="AO42" s="57" t="e">
        <f ca="1">IF(#REF!,12,IF(OFFSET(#REF!,-1,0)&gt;0,OFFSET(#REF!,-1,0)-1,0))</f>
        <v>#REF!</v>
      </c>
    </row>
    <row r="43" spans="1:41" x14ac:dyDescent="0.25">
      <c r="A43" s="130" t="e">
        <f>#REF!</f>
        <v>#REF!</v>
      </c>
      <c r="B43" s="133" t="e">
        <f>#REF!</f>
        <v>#REF!</v>
      </c>
      <c r="C43" s="39" t="e">
        <f>#REF!</f>
        <v>#REF!</v>
      </c>
      <c r="D43" s="135" t="e">
        <f ca="1">MIN(1,OFFSET(#REF!,-1,0)+0.04+ROUNDDOWN(10*OFFSET(#REF!,-1,0),0)+ tech_2_7*OFFSET(#REF!,-1,0) + tech_5_6*OFFSET(#REF!,-1,0) )-#REF!</f>
        <v>#REF!</v>
      </c>
      <c r="E43" s="147" t="e">
        <f ca="1">OFFSET(#REF!,-1,0)+1/24</f>
        <v>#REF!</v>
      </c>
      <c r="F43" s="135" t="e">
        <f>#REF!</f>
        <v>#REF!</v>
      </c>
      <c r="G43" s="210"/>
      <c r="H43" s="210"/>
      <c r="I43" s="210"/>
      <c r="J43" s="210"/>
      <c r="K43" s="386"/>
      <c r="L43" s="210"/>
      <c r="M43" s="210"/>
      <c r="N43" s="210"/>
      <c r="O43" s="210"/>
      <c r="P43" s="210"/>
      <c r="Q43" s="210"/>
      <c r="R43" s="210"/>
      <c r="S43" s="210"/>
      <c r="T43" s="210"/>
      <c r="U43" s="210"/>
      <c r="V43" s="210"/>
      <c r="W43" s="134"/>
      <c r="X43" s="39" t="e">
        <f>(MAX(1-wg_spell_cost_cap,1-wg_spell_cost_red*ROUND(#REF!/#REF!,4))+ tech_3_9*#REF! + tech_6_2_2*#REF! )*(#REF!-#REF!*20)*(#REF!* Constants!$B$75 +#REF!* Constants!$B$76 +#REF!* Constants!$B$77 +#REF!* Constants!$B$79 +#REF!* Constants!$B$78  + SUM(#REF!)*Constants!$B$80*(1+tech_9_3*#REF!))</f>
        <v>#REF!</v>
      </c>
      <c r="Y43" s="135" t="e">
        <f>SUMIF(#REF!,1)*0.05</f>
        <v>#REF!</v>
      </c>
      <c r="Z43" s="134"/>
      <c r="AA43" s="57" t="e">
        <f ca="1">IF(#REF!,12,IF(OFFSET(#REF!,-1,0)&gt;0,OFFSET(#REF!,-1,0)-1,0))</f>
        <v>#REF!</v>
      </c>
      <c r="AB43" s="57" t="e">
        <f ca="1">IF(#REF!,12,IF(OFFSET(#REF!,-1,0)&gt;0,OFFSET(#REF!,-1,0)-1,0))</f>
        <v>#REF!</v>
      </c>
      <c r="AC43" s="57" t="e">
        <f ca="1">IF(#REF!,12,IF(OFFSET(#REF!,-1,0)&gt;0,OFFSET(#REF!,-1,0)-1,0))</f>
        <v>#REF!</v>
      </c>
      <c r="AD43" s="57" t="e">
        <f ca="1">IF(#REF!,12,IF(OFFSET(#REF!,-1,0)&gt;0,OFFSET(#REF!,-1,0)-1,0))</f>
        <v>#REF!</v>
      </c>
      <c r="AE43" s="57" t="e">
        <f ca="1">IF(#REF!,12,IF(OFFSET(#REF!,-1,0)&gt;0,OFFSET(#REF!,-1,0)-1,0))</f>
        <v>#REF!</v>
      </c>
      <c r="AF43" s="57" t="e">
        <f ca="1">IF(#REF!,12,IF(OFFSET(#REF!,-1,0)&gt;0,OFFSET(#REF!,-1,0)-1,0))</f>
        <v>#REF!</v>
      </c>
      <c r="AG43" s="57" t="e">
        <f ca="1">IF(#REF!,12,IF(OFFSET(#REF!,-1,0)&gt;0,OFFSET(#REF!,-1,0)-1,0))</f>
        <v>#REF!</v>
      </c>
      <c r="AH43" s="57" t="e">
        <f ca="1">IF(#REF!,12,IF(OFFSET(#REF!,-1,0)&gt;0,OFFSET(#REF!,-1,0)-1,0))</f>
        <v>#REF!</v>
      </c>
      <c r="AI43" s="57" t="e">
        <f ca="1">IF(#REF!,12,IF(OFFSET(#REF!,-1,0)&gt;0,OFFSET(#REF!,-1,0)-1,0))</f>
        <v>#REF!</v>
      </c>
      <c r="AJ43" s="57" t="e">
        <f ca="1">IF(#REF!,12,IF(OFFSET(#REF!,-1,0)&gt;0,OFFSET(#REF!,-1,0)-1,0))</f>
        <v>#REF!</v>
      </c>
      <c r="AK43" s="57" t="e">
        <f ca="1">IF(#REF!,12,IF(OFFSET(#REF!,-1,0)&gt;0,OFFSET(#REF!,-1,0)-1,0))</f>
        <v>#REF!</v>
      </c>
      <c r="AL43" s="57" t="e">
        <f ca="1">IF(#REF!,12,IF(OFFSET(#REF!,-1,0)&gt;0,OFFSET(#REF!,-1,0)-1,0))</f>
        <v>#REF!</v>
      </c>
      <c r="AM43" s="57" t="e">
        <f ca="1">IF(#REF!,12,IF(OFFSET(#REF!,-1,0)&gt;0,OFFSET(#REF!,-1,0)-1,0))</f>
        <v>#REF!</v>
      </c>
      <c r="AN43" s="57" t="e">
        <f ca="1">IF(#REF!,12,IF(OFFSET(#REF!,-1,0)&gt;0,OFFSET(#REF!,-1,0)-1,0))</f>
        <v>#REF!</v>
      </c>
      <c r="AO43" s="57" t="e">
        <f ca="1">IF(#REF!,12,IF(OFFSET(#REF!,-1,0)&gt;0,OFFSET(#REF!,-1,0)-1,0))</f>
        <v>#REF!</v>
      </c>
    </row>
    <row r="44" spans="1:41" x14ac:dyDescent="0.25">
      <c r="A44" s="130" t="e">
        <f>#REF!</f>
        <v>#REF!</v>
      </c>
      <c r="B44" s="133" t="e">
        <f>#REF!</f>
        <v>#REF!</v>
      </c>
      <c r="C44" s="39" t="e">
        <f>#REF!</f>
        <v>#REF!</v>
      </c>
      <c r="D44" s="135" t="e">
        <f ca="1">MIN(1,OFFSET(#REF!,-1,0)+0.04+ROUNDDOWN(10*OFFSET(#REF!,-1,0),0)+ tech_2_7*OFFSET(#REF!,-1,0) + tech_5_6*OFFSET(#REF!,-1,0) )-#REF!</f>
        <v>#REF!</v>
      </c>
      <c r="E44" s="147" t="e">
        <f ca="1">OFFSET(#REF!,-1,0)+1/24</f>
        <v>#REF!</v>
      </c>
      <c r="F44" s="135" t="e">
        <f>#REF!</f>
        <v>#REF!</v>
      </c>
      <c r="G44" s="210"/>
      <c r="H44" s="210"/>
      <c r="I44" s="210"/>
      <c r="J44" s="210"/>
      <c r="K44" s="386"/>
      <c r="L44" s="210"/>
      <c r="M44" s="210"/>
      <c r="N44" s="210"/>
      <c r="O44" s="210"/>
      <c r="P44" s="210"/>
      <c r="Q44" s="210"/>
      <c r="R44" s="210"/>
      <c r="S44" s="210"/>
      <c r="T44" s="210"/>
      <c r="U44" s="210"/>
      <c r="V44" s="210"/>
      <c r="W44" s="134"/>
      <c r="X44" s="39" t="e">
        <f>(MAX(1-wg_spell_cost_cap,1-wg_spell_cost_red*ROUND(#REF!/#REF!,4))+ tech_3_9*#REF! + tech_6_2_2*#REF! )*(#REF!-#REF!*20)*(#REF!* Constants!$B$75 +#REF!* Constants!$B$76 +#REF!* Constants!$B$77 +#REF!* Constants!$B$79 +#REF!* Constants!$B$78  + SUM(#REF!)*Constants!$B$80*(1+tech_9_3*#REF!))</f>
        <v>#REF!</v>
      </c>
      <c r="Y44" s="135" t="e">
        <f>SUMIF(#REF!,1)*0.05</f>
        <v>#REF!</v>
      </c>
      <c r="Z44" s="134"/>
      <c r="AA44" s="57" t="e">
        <f ca="1">IF(#REF!,12,IF(OFFSET(#REF!,-1,0)&gt;0,OFFSET(#REF!,-1,0)-1,0))</f>
        <v>#REF!</v>
      </c>
      <c r="AB44" s="57" t="e">
        <f ca="1">IF(#REF!,12,IF(OFFSET(#REF!,-1,0)&gt;0,OFFSET(#REF!,-1,0)-1,0))</f>
        <v>#REF!</v>
      </c>
      <c r="AC44" s="57" t="e">
        <f ca="1">IF(#REF!,12,IF(OFFSET(#REF!,-1,0)&gt;0,OFFSET(#REF!,-1,0)-1,0))</f>
        <v>#REF!</v>
      </c>
      <c r="AD44" s="57" t="e">
        <f ca="1">IF(#REF!,12,IF(OFFSET(#REF!,-1,0)&gt;0,OFFSET(#REF!,-1,0)-1,0))</f>
        <v>#REF!</v>
      </c>
      <c r="AE44" s="57" t="e">
        <f ca="1">IF(#REF!,12,IF(OFFSET(#REF!,-1,0)&gt;0,OFFSET(#REF!,-1,0)-1,0))</f>
        <v>#REF!</v>
      </c>
      <c r="AF44" s="57" t="e">
        <f ca="1">IF(#REF!,12,IF(OFFSET(#REF!,-1,0)&gt;0,OFFSET(#REF!,-1,0)-1,0))</f>
        <v>#REF!</v>
      </c>
      <c r="AG44" s="57" t="e">
        <f ca="1">IF(#REF!,12,IF(OFFSET(#REF!,-1,0)&gt;0,OFFSET(#REF!,-1,0)-1,0))</f>
        <v>#REF!</v>
      </c>
      <c r="AH44" s="57" t="e">
        <f ca="1">IF(#REF!,12,IF(OFFSET(#REF!,-1,0)&gt;0,OFFSET(#REF!,-1,0)-1,0))</f>
        <v>#REF!</v>
      </c>
      <c r="AI44" s="57" t="e">
        <f ca="1">IF(#REF!,12,IF(OFFSET(#REF!,-1,0)&gt;0,OFFSET(#REF!,-1,0)-1,0))</f>
        <v>#REF!</v>
      </c>
      <c r="AJ44" s="57" t="e">
        <f ca="1">IF(#REF!,12,IF(OFFSET(#REF!,-1,0)&gt;0,OFFSET(#REF!,-1,0)-1,0))</f>
        <v>#REF!</v>
      </c>
      <c r="AK44" s="57" t="e">
        <f ca="1">IF(#REF!,12,IF(OFFSET(#REF!,-1,0)&gt;0,OFFSET(#REF!,-1,0)-1,0))</f>
        <v>#REF!</v>
      </c>
      <c r="AL44" s="57" t="e">
        <f ca="1">IF(#REF!,12,IF(OFFSET(#REF!,-1,0)&gt;0,OFFSET(#REF!,-1,0)-1,0))</f>
        <v>#REF!</v>
      </c>
      <c r="AM44" s="57" t="e">
        <f ca="1">IF(#REF!,12,IF(OFFSET(#REF!,-1,0)&gt;0,OFFSET(#REF!,-1,0)-1,0))</f>
        <v>#REF!</v>
      </c>
      <c r="AN44" s="57" t="e">
        <f ca="1">IF(#REF!,12,IF(OFFSET(#REF!,-1,0)&gt;0,OFFSET(#REF!,-1,0)-1,0))</f>
        <v>#REF!</v>
      </c>
      <c r="AO44" s="57" t="e">
        <f ca="1">IF(#REF!,12,IF(OFFSET(#REF!,-1,0)&gt;0,OFFSET(#REF!,-1,0)-1,0))</f>
        <v>#REF!</v>
      </c>
    </row>
    <row r="45" spans="1:41" x14ac:dyDescent="0.25">
      <c r="A45" s="130" t="e">
        <f>#REF!</f>
        <v>#REF!</v>
      </c>
      <c r="B45" s="133" t="e">
        <f>#REF!</f>
        <v>#REF!</v>
      </c>
      <c r="C45" s="39" t="e">
        <f>#REF!</f>
        <v>#REF!</v>
      </c>
      <c r="D45" s="135" t="e">
        <f ca="1">MIN(1,OFFSET(#REF!,-1,0)+0.04+ROUNDDOWN(10*OFFSET(#REF!,-1,0),0)+ tech_2_7*OFFSET(#REF!,-1,0) + tech_5_6*OFFSET(#REF!,-1,0) )-#REF!</f>
        <v>#REF!</v>
      </c>
      <c r="E45" s="147" t="e">
        <f ca="1">OFFSET(#REF!,-1,0)+1/24</f>
        <v>#REF!</v>
      </c>
      <c r="F45" s="135" t="e">
        <f>#REF!</f>
        <v>#REF!</v>
      </c>
      <c r="G45" s="210"/>
      <c r="H45" s="210"/>
      <c r="I45" s="210"/>
      <c r="J45" s="210"/>
      <c r="K45" s="386"/>
      <c r="L45" s="210"/>
      <c r="M45" s="210"/>
      <c r="N45" s="210"/>
      <c r="O45" s="210"/>
      <c r="P45" s="210"/>
      <c r="Q45" s="210"/>
      <c r="R45" s="210"/>
      <c r="S45" s="210"/>
      <c r="T45" s="210"/>
      <c r="U45" s="210"/>
      <c r="V45" s="210"/>
      <c r="W45" s="134"/>
      <c r="X45" s="39" t="e">
        <f>(MAX(1-wg_spell_cost_cap,1-wg_spell_cost_red*ROUND(#REF!/#REF!,4))+ tech_3_9*#REF! + tech_6_2_2*#REF! )*(#REF!-#REF!*20)*(#REF!* Constants!$B$75 +#REF!* Constants!$B$76 +#REF!* Constants!$B$77 +#REF!* Constants!$B$79 +#REF!* Constants!$B$78  + SUM(#REF!)*Constants!$B$80*(1+tech_9_3*#REF!))</f>
        <v>#REF!</v>
      </c>
      <c r="Y45" s="135" t="e">
        <f>SUMIF(#REF!,1)*0.05</f>
        <v>#REF!</v>
      </c>
      <c r="Z45" s="134"/>
      <c r="AA45" s="57" t="e">
        <f ca="1">IF(#REF!,12,IF(OFFSET(#REF!,-1,0)&gt;0,OFFSET(#REF!,-1,0)-1,0))</f>
        <v>#REF!</v>
      </c>
      <c r="AB45" s="57" t="e">
        <f ca="1">IF(#REF!,12,IF(OFFSET(#REF!,-1,0)&gt;0,OFFSET(#REF!,-1,0)-1,0))</f>
        <v>#REF!</v>
      </c>
      <c r="AC45" s="57" t="e">
        <f ca="1">IF(#REF!,12,IF(OFFSET(#REF!,-1,0)&gt;0,OFFSET(#REF!,-1,0)-1,0))</f>
        <v>#REF!</v>
      </c>
      <c r="AD45" s="57" t="e">
        <f ca="1">IF(#REF!,12,IF(OFFSET(#REF!,-1,0)&gt;0,OFFSET(#REF!,-1,0)-1,0))</f>
        <v>#REF!</v>
      </c>
      <c r="AE45" s="57" t="e">
        <f ca="1">IF(#REF!,12,IF(OFFSET(#REF!,-1,0)&gt;0,OFFSET(#REF!,-1,0)-1,0))</f>
        <v>#REF!</v>
      </c>
      <c r="AF45" s="57" t="e">
        <f ca="1">IF(#REF!,12,IF(OFFSET(#REF!,-1,0)&gt;0,OFFSET(#REF!,-1,0)-1,0))</f>
        <v>#REF!</v>
      </c>
      <c r="AG45" s="57" t="e">
        <f ca="1">IF(#REF!,12,IF(OFFSET(#REF!,-1,0)&gt;0,OFFSET(#REF!,-1,0)-1,0))</f>
        <v>#REF!</v>
      </c>
      <c r="AH45" s="57" t="e">
        <f ca="1">IF(#REF!,12,IF(OFFSET(#REF!,-1,0)&gt;0,OFFSET(#REF!,-1,0)-1,0))</f>
        <v>#REF!</v>
      </c>
      <c r="AI45" s="57" t="e">
        <f ca="1">IF(#REF!,12,IF(OFFSET(#REF!,-1,0)&gt;0,OFFSET(#REF!,-1,0)-1,0))</f>
        <v>#REF!</v>
      </c>
      <c r="AJ45" s="57" t="e">
        <f ca="1">IF(#REF!,12,IF(OFFSET(#REF!,-1,0)&gt;0,OFFSET(#REF!,-1,0)-1,0))</f>
        <v>#REF!</v>
      </c>
      <c r="AK45" s="57" t="e">
        <f ca="1">IF(#REF!,12,IF(OFFSET(#REF!,-1,0)&gt;0,OFFSET(#REF!,-1,0)-1,0))</f>
        <v>#REF!</v>
      </c>
      <c r="AL45" s="57" t="e">
        <f ca="1">IF(#REF!,12,IF(OFFSET(#REF!,-1,0)&gt;0,OFFSET(#REF!,-1,0)-1,0))</f>
        <v>#REF!</v>
      </c>
      <c r="AM45" s="57" t="e">
        <f ca="1">IF(#REF!,12,IF(OFFSET(#REF!,-1,0)&gt;0,OFFSET(#REF!,-1,0)-1,0))</f>
        <v>#REF!</v>
      </c>
      <c r="AN45" s="57" t="e">
        <f ca="1">IF(#REF!,12,IF(OFFSET(#REF!,-1,0)&gt;0,OFFSET(#REF!,-1,0)-1,0))</f>
        <v>#REF!</v>
      </c>
      <c r="AO45" s="57" t="e">
        <f ca="1">IF(#REF!,12,IF(OFFSET(#REF!,-1,0)&gt;0,OFFSET(#REF!,-1,0)-1,0))</f>
        <v>#REF!</v>
      </c>
    </row>
    <row r="46" spans="1:41" x14ac:dyDescent="0.25">
      <c r="A46" s="130" t="e">
        <f>#REF!</f>
        <v>#REF!</v>
      </c>
      <c r="B46" s="133" t="e">
        <f>#REF!</f>
        <v>#REF!</v>
      </c>
      <c r="C46" s="39" t="e">
        <f>#REF!</f>
        <v>#REF!</v>
      </c>
      <c r="D46" s="135" t="e">
        <f ca="1">MIN(1,OFFSET(#REF!,-1,0)+0.04+ROUNDDOWN(10*OFFSET(#REF!,-1,0),0)+ tech_2_7*OFFSET(#REF!,-1,0) + tech_5_6*OFFSET(#REF!,-1,0) )-#REF!</f>
        <v>#REF!</v>
      </c>
      <c r="E46" s="147" t="e">
        <f ca="1">OFFSET(#REF!,-1,0)+1/24</f>
        <v>#REF!</v>
      </c>
      <c r="F46" s="135" t="e">
        <f>#REF!</f>
        <v>#REF!</v>
      </c>
      <c r="G46" s="210"/>
      <c r="H46" s="210"/>
      <c r="I46" s="210"/>
      <c r="J46" s="210"/>
      <c r="K46" s="386"/>
      <c r="L46" s="210"/>
      <c r="M46" s="210"/>
      <c r="N46" s="210"/>
      <c r="O46" s="210"/>
      <c r="P46" s="210"/>
      <c r="Q46" s="210"/>
      <c r="R46" s="210"/>
      <c r="S46" s="210"/>
      <c r="T46" s="210"/>
      <c r="U46" s="210"/>
      <c r="V46" s="210"/>
      <c r="W46" s="134"/>
      <c r="X46" s="39" t="e">
        <f>(MAX(1-wg_spell_cost_cap,1-wg_spell_cost_red*ROUND(#REF!/#REF!,4))+ tech_3_9*#REF! + tech_6_2_2*#REF! )*(#REF!-#REF!*20)*(#REF!* Constants!$B$75 +#REF!* Constants!$B$76 +#REF!* Constants!$B$77 +#REF!* Constants!$B$79 +#REF!* Constants!$B$78  + SUM(#REF!)*Constants!$B$80*(1+tech_9_3*#REF!))</f>
        <v>#REF!</v>
      </c>
      <c r="Y46" s="135" t="e">
        <f>SUMIF(#REF!,1)*0.05</f>
        <v>#REF!</v>
      </c>
      <c r="Z46" s="134"/>
      <c r="AA46" s="57" t="e">
        <f ca="1">IF(#REF!,12,IF(OFFSET(#REF!,-1,0)&gt;0,OFFSET(#REF!,-1,0)-1,0))</f>
        <v>#REF!</v>
      </c>
      <c r="AB46" s="57" t="e">
        <f ca="1">IF(#REF!,12,IF(OFFSET(#REF!,-1,0)&gt;0,OFFSET(#REF!,-1,0)-1,0))</f>
        <v>#REF!</v>
      </c>
      <c r="AC46" s="57" t="e">
        <f ca="1">IF(#REF!,12,IF(OFFSET(#REF!,-1,0)&gt;0,OFFSET(#REF!,-1,0)-1,0))</f>
        <v>#REF!</v>
      </c>
      <c r="AD46" s="57" t="e">
        <f ca="1">IF(#REF!,12,IF(OFFSET(#REF!,-1,0)&gt;0,OFFSET(#REF!,-1,0)-1,0))</f>
        <v>#REF!</v>
      </c>
      <c r="AE46" s="57" t="e">
        <f ca="1">IF(#REF!,12,IF(OFFSET(#REF!,-1,0)&gt;0,OFFSET(#REF!,-1,0)-1,0))</f>
        <v>#REF!</v>
      </c>
      <c r="AF46" s="57" t="e">
        <f ca="1">IF(#REF!,12,IF(OFFSET(#REF!,-1,0)&gt;0,OFFSET(#REF!,-1,0)-1,0))</f>
        <v>#REF!</v>
      </c>
      <c r="AG46" s="57" t="e">
        <f ca="1">IF(#REF!,12,IF(OFFSET(#REF!,-1,0)&gt;0,OFFSET(#REF!,-1,0)-1,0))</f>
        <v>#REF!</v>
      </c>
      <c r="AH46" s="57" t="e">
        <f ca="1">IF(#REF!,12,IF(OFFSET(#REF!,-1,0)&gt;0,OFFSET(#REF!,-1,0)-1,0))</f>
        <v>#REF!</v>
      </c>
      <c r="AI46" s="57" t="e">
        <f ca="1">IF(#REF!,12,IF(OFFSET(#REF!,-1,0)&gt;0,OFFSET(#REF!,-1,0)-1,0))</f>
        <v>#REF!</v>
      </c>
      <c r="AJ46" s="57" t="e">
        <f ca="1">IF(#REF!,12,IF(OFFSET(#REF!,-1,0)&gt;0,OFFSET(#REF!,-1,0)-1,0))</f>
        <v>#REF!</v>
      </c>
      <c r="AK46" s="57" t="e">
        <f ca="1">IF(#REF!,12,IF(OFFSET(#REF!,-1,0)&gt;0,OFFSET(#REF!,-1,0)-1,0))</f>
        <v>#REF!</v>
      </c>
      <c r="AL46" s="57" t="e">
        <f ca="1">IF(#REF!,12,IF(OFFSET(#REF!,-1,0)&gt;0,OFFSET(#REF!,-1,0)-1,0))</f>
        <v>#REF!</v>
      </c>
      <c r="AM46" s="57" t="e">
        <f ca="1">IF(#REF!,12,IF(OFFSET(#REF!,-1,0)&gt;0,OFFSET(#REF!,-1,0)-1,0))</f>
        <v>#REF!</v>
      </c>
      <c r="AN46" s="57" t="e">
        <f ca="1">IF(#REF!,12,IF(OFFSET(#REF!,-1,0)&gt;0,OFFSET(#REF!,-1,0)-1,0))</f>
        <v>#REF!</v>
      </c>
      <c r="AO46" s="57" t="e">
        <f ca="1">IF(#REF!,12,IF(OFFSET(#REF!,-1,0)&gt;0,OFFSET(#REF!,-1,0)-1,0))</f>
        <v>#REF!</v>
      </c>
    </row>
    <row r="47" spans="1:41" x14ac:dyDescent="0.25">
      <c r="A47" s="130" t="e">
        <f>#REF!</f>
        <v>#REF!</v>
      </c>
      <c r="B47" s="133" t="e">
        <f>#REF!</f>
        <v>#REF!</v>
      </c>
      <c r="C47" s="39" t="e">
        <f>#REF!</f>
        <v>#REF!</v>
      </c>
      <c r="D47" s="135" t="e">
        <f ca="1">MIN(1,OFFSET(#REF!,-1,0)+0.04+ROUNDDOWN(10*OFFSET(#REF!,-1,0),0)+ tech_2_7*OFFSET(#REF!,-1,0) + tech_5_6*OFFSET(#REF!,-1,0) )-#REF!</f>
        <v>#REF!</v>
      </c>
      <c r="E47" s="147" t="e">
        <f ca="1">OFFSET(#REF!,-1,0)+1/24</f>
        <v>#REF!</v>
      </c>
      <c r="F47" s="135" t="e">
        <f>#REF!</f>
        <v>#REF!</v>
      </c>
      <c r="G47" s="210"/>
      <c r="H47" s="210"/>
      <c r="I47" s="210"/>
      <c r="J47" s="210"/>
      <c r="K47" s="386"/>
      <c r="L47" s="210"/>
      <c r="M47" s="210"/>
      <c r="N47" s="210"/>
      <c r="O47" s="210"/>
      <c r="P47" s="210"/>
      <c r="Q47" s="210"/>
      <c r="R47" s="210"/>
      <c r="S47" s="210"/>
      <c r="T47" s="210"/>
      <c r="U47" s="210"/>
      <c r="V47" s="210"/>
      <c r="W47" s="134"/>
      <c r="X47" s="39" t="e">
        <f>(MAX(1-wg_spell_cost_cap,1-wg_spell_cost_red*ROUND(#REF!/#REF!,4))+ tech_3_9*#REF! + tech_6_2_2*#REF! )*(#REF!-#REF!*20)*(#REF!* Constants!$B$75 +#REF!* Constants!$B$76 +#REF!* Constants!$B$77 +#REF!* Constants!$B$79 +#REF!* Constants!$B$78  + SUM(#REF!)*Constants!$B$80*(1+tech_9_3*#REF!))</f>
        <v>#REF!</v>
      </c>
      <c r="Y47" s="135" t="e">
        <f>SUMIF(#REF!,1)*0.05</f>
        <v>#REF!</v>
      </c>
      <c r="Z47" s="134"/>
      <c r="AA47" s="57" t="e">
        <f ca="1">IF(#REF!,12,IF(OFFSET(#REF!,-1,0)&gt;0,OFFSET(#REF!,-1,0)-1,0))</f>
        <v>#REF!</v>
      </c>
      <c r="AB47" s="57" t="e">
        <f ca="1">IF(#REF!,12,IF(OFFSET(#REF!,-1,0)&gt;0,OFFSET(#REF!,-1,0)-1,0))</f>
        <v>#REF!</v>
      </c>
      <c r="AC47" s="57" t="e">
        <f ca="1">IF(#REF!,12,IF(OFFSET(#REF!,-1,0)&gt;0,OFFSET(#REF!,-1,0)-1,0))</f>
        <v>#REF!</v>
      </c>
      <c r="AD47" s="57" t="e">
        <f ca="1">IF(#REF!,12,IF(OFFSET(#REF!,-1,0)&gt;0,OFFSET(#REF!,-1,0)-1,0))</f>
        <v>#REF!</v>
      </c>
      <c r="AE47" s="57" t="e">
        <f ca="1">IF(#REF!,12,IF(OFFSET(#REF!,-1,0)&gt;0,OFFSET(#REF!,-1,0)-1,0))</f>
        <v>#REF!</v>
      </c>
      <c r="AF47" s="57" t="e">
        <f ca="1">IF(#REF!,12,IF(OFFSET(#REF!,-1,0)&gt;0,OFFSET(#REF!,-1,0)-1,0))</f>
        <v>#REF!</v>
      </c>
      <c r="AG47" s="57" t="e">
        <f ca="1">IF(#REF!,12,IF(OFFSET(#REF!,-1,0)&gt;0,OFFSET(#REF!,-1,0)-1,0))</f>
        <v>#REF!</v>
      </c>
      <c r="AH47" s="57" t="e">
        <f ca="1">IF(#REF!,12,IF(OFFSET(#REF!,-1,0)&gt;0,OFFSET(#REF!,-1,0)-1,0))</f>
        <v>#REF!</v>
      </c>
      <c r="AI47" s="57" t="e">
        <f ca="1">IF(#REF!,12,IF(OFFSET(#REF!,-1,0)&gt;0,OFFSET(#REF!,-1,0)-1,0))</f>
        <v>#REF!</v>
      </c>
      <c r="AJ47" s="57" t="e">
        <f ca="1">IF(#REF!,12,IF(OFFSET(#REF!,-1,0)&gt;0,OFFSET(#REF!,-1,0)-1,0))</f>
        <v>#REF!</v>
      </c>
      <c r="AK47" s="57" t="e">
        <f ca="1">IF(#REF!,12,IF(OFFSET(#REF!,-1,0)&gt;0,OFFSET(#REF!,-1,0)-1,0))</f>
        <v>#REF!</v>
      </c>
      <c r="AL47" s="57" t="e">
        <f ca="1">IF(#REF!,12,IF(OFFSET(#REF!,-1,0)&gt;0,OFFSET(#REF!,-1,0)-1,0))</f>
        <v>#REF!</v>
      </c>
      <c r="AM47" s="57" t="e">
        <f ca="1">IF(#REF!,12,IF(OFFSET(#REF!,-1,0)&gt;0,OFFSET(#REF!,-1,0)-1,0))</f>
        <v>#REF!</v>
      </c>
      <c r="AN47" s="57" t="e">
        <f ca="1">IF(#REF!,12,IF(OFFSET(#REF!,-1,0)&gt;0,OFFSET(#REF!,-1,0)-1,0))</f>
        <v>#REF!</v>
      </c>
      <c r="AO47" s="57" t="e">
        <f ca="1">IF(#REF!,12,IF(OFFSET(#REF!,-1,0)&gt;0,OFFSET(#REF!,-1,0)-1,0))</f>
        <v>#REF!</v>
      </c>
    </row>
    <row r="48" spans="1:41" x14ac:dyDescent="0.25">
      <c r="A48" s="130" t="e">
        <f>#REF!</f>
        <v>#REF!</v>
      </c>
      <c r="B48" s="133" t="e">
        <f>#REF!</f>
        <v>#REF!</v>
      </c>
      <c r="C48" s="39" t="e">
        <f>#REF!</f>
        <v>#REF!</v>
      </c>
      <c r="D48" s="135" t="e">
        <f ca="1">MIN(1,OFFSET(#REF!,-1,0)+0.04+ROUNDDOWN(10*OFFSET(#REF!,-1,0),0)+ tech_2_7*OFFSET(#REF!,-1,0) + tech_5_6*OFFSET(#REF!,-1,0) )-#REF!</f>
        <v>#REF!</v>
      </c>
      <c r="E48" s="147" t="e">
        <f ca="1">OFFSET(#REF!,-1,0)+1/24</f>
        <v>#REF!</v>
      </c>
      <c r="F48" s="135" t="e">
        <f>#REF!</f>
        <v>#REF!</v>
      </c>
      <c r="G48" s="210"/>
      <c r="H48" s="210"/>
      <c r="I48" s="210"/>
      <c r="J48" s="210"/>
      <c r="K48" s="386"/>
      <c r="L48" s="210"/>
      <c r="M48" s="210"/>
      <c r="N48" s="210"/>
      <c r="O48" s="210"/>
      <c r="P48" s="210"/>
      <c r="Q48" s="210"/>
      <c r="R48" s="210"/>
      <c r="S48" s="210"/>
      <c r="T48" s="210"/>
      <c r="U48" s="210"/>
      <c r="V48" s="210"/>
      <c r="W48" s="134"/>
      <c r="X48" s="39" t="e">
        <f>(MAX(1-wg_spell_cost_cap,1-wg_spell_cost_red*ROUND(#REF!/#REF!,4))+ tech_3_9*#REF! + tech_6_2_2*#REF! )*(#REF!-#REF!*20)*(#REF!* Constants!$B$75 +#REF!* Constants!$B$76 +#REF!* Constants!$B$77 +#REF!* Constants!$B$79 +#REF!* Constants!$B$78  + SUM(#REF!)*Constants!$B$80*(1+tech_9_3*#REF!))</f>
        <v>#REF!</v>
      </c>
      <c r="Y48" s="135" t="e">
        <f>SUMIF(#REF!,1)*0.05</f>
        <v>#REF!</v>
      </c>
      <c r="Z48" s="134"/>
      <c r="AA48" s="57" t="e">
        <f ca="1">IF(#REF!,12,IF(OFFSET(#REF!,-1,0)&gt;0,OFFSET(#REF!,-1,0)-1,0))</f>
        <v>#REF!</v>
      </c>
      <c r="AB48" s="57" t="e">
        <f ca="1">IF(#REF!,12,IF(OFFSET(#REF!,-1,0)&gt;0,OFFSET(#REF!,-1,0)-1,0))</f>
        <v>#REF!</v>
      </c>
      <c r="AC48" s="57" t="e">
        <f ca="1">IF(#REF!,12,IF(OFFSET(#REF!,-1,0)&gt;0,OFFSET(#REF!,-1,0)-1,0))</f>
        <v>#REF!</v>
      </c>
      <c r="AD48" s="57" t="e">
        <f ca="1">IF(#REF!,12,IF(OFFSET(#REF!,-1,0)&gt;0,OFFSET(#REF!,-1,0)-1,0))</f>
        <v>#REF!</v>
      </c>
      <c r="AE48" s="57" t="e">
        <f ca="1">IF(#REF!,12,IF(OFFSET(#REF!,-1,0)&gt;0,OFFSET(#REF!,-1,0)-1,0))</f>
        <v>#REF!</v>
      </c>
      <c r="AF48" s="57" t="e">
        <f ca="1">IF(#REF!,12,IF(OFFSET(#REF!,-1,0)&gt;0,OFFSET(#REF!,-1,0)-1,0))</f>
        <v>#REF!</v>
      </c>
      <c r="AG48" s="57" t="e">
        <f ca="1">IF(#REF!,12,IF(OFFSET(#REF!,-1,0)&gt;0,OFFSET(#REF!,-1,0)-1,0))</f>
        <v>#REF!</v>
      </c>
      <c r="AH48" s="57" t="e">
        <f ca="1">IF(#REF!,12,IF(OFFSET(#REF!,-1,0)&gt;0,OFFSET(#REF!,-1,0)-1,0))</f>
        <v>#REF!</v>
      </c>
      <c r="AI48" s="57" t="e">
        <f ca="1">IF(#REF!,12,IF(OFFSET(#REF!,-1,0)&gt;0,OFFSET(#REF!,-1,0)-1,0))</f>
        <v>#REF!</v>
      </c>
      <c r="AJ48" s="57" t="e">
        <f ca="1">IF(#REF!,12,IF(OFFSET(#REF!,-1,0)&gt;0,OFFSET(#REF!,-1,0)-1,0))</f>
        <v>#REF!</v>
      </c>
      <c r="AK48" s="57" t="e">
        <f ca="1">IF(#REF!,12,IF(OFFSET(#REF!,-1,0)&gt;0,OFFSET(#REF!,-1,0)-1,0))</f>
        <v>#REF!</v>
      </c>
      <c r="AL48" s="57" t="e">
        <f ca="1">IF(#REF!,12,IF(OFFSET(#REF!,-1,0)&gt;0,OFFSET(#REF!,-1,0)-1,0))</f>
        <v>#REF!</v>
      </c>
      <c r="AM48" s="57" t="e">
        <f ca="1">IF(#REF!,12,IF(OFFSET(#REF!,-1,0)&gt;0,OFFSET(#REF!,-1,0)-1,0))</f>
        <v>#REF!</v>
      </c>
      <c r="AN48" s="57" t="e">
        <f ca="1">IF(#REF!,12,IF(OFFSET(#REF!,-1,0)&gt;0,OFFSET(#REF!,-1,0)-1,0))</f>
        <v>#REF!</v>
      </c>
      <c r="AO48" s="57" t="e">
        <f ca="1">IF(#REF!,12,IF(OFFSET(#REF!,-1,0)&gt;0,OFFSET(#REF!,-1,0)-1,0))</f>
        <v>#REF!</v>
      </c>
    </row>
    <row r="49" spans="1:41" x14ac:dyDescent="0.25">
      <c r="A49" s="130" t="e">
        <f>#REF!</f>
        <v>#REF!</v>
      </c>
      <c r="B49" s="133" t="e">
        <f>#REF!</f>
        <v>#REF!</v>
      </c>
      <c r="C49" s="39" t="e">
        <f>#REF!</f>
        <v>#REF!</v>
      </c>
      <c r="D49" s="135" t="e">
        <f ca="1">MIN(1,OFFSET(#REF!,-1,0)+0.04+ROUNDDOWN(10*OFFSET(#REF!,-1,0),0)+ tech_2_7*OFFSET(#REF!,-1,0) + tech_5_6*OFFSET(#REF!,-1,0) )-#REF!</f>
        <v>#REF!</v>
      </c>
      <c r="E49" s="147" t="e">
        <f ca="1">OFFSET(#REF!,-1,0)+1/24</f>
        <v>#REF!</v>
      </c>
      <c r="F49" s="135" t="e">
        <f>#REF!</f>
        <v>#REF!</v>
      </c>
      <c r="G49" s="210"/>
      <c r="H49" s="210"/>
      <c r="I49" s="210"/>
      <c r="J49" s="210"/>
      <c r="K49" s="386"/>
      <c r="L49" s="210"/>
      <c r="M49" s="210"/>
      <c r="N49" s="210"/>
      <c r="O49" s="210"/>
      <c r="P49" s="210"/>
      <c r="Q49" s="210"/>
      <c r="R49" s="210"/>
      <c r="S49" s="210"/>
      <c r="T49" s="210"/>
      <c r="U49" s="210"/>
      <c r="V49" s="210"/>
      <c r="W49" s="134"/>
      <c r="X49" s="39" t="e">
        <f>(MAX(1-wg_spell_cost_cap,1-wg_spell_cost_red*ROUND(#REF!/#REF!,4))+ tech_3_9*#REF! + tech_6_2_2*#REF! )*(#REF!-#REF!*20)*(#REF!* Constants!$B$75 +#REF!* Constants!$B$76 +#REF!* Constants!$B$77 +#REF!* Constants!$B$79 +#REF!* Constants!$B$78  + SUM(#REF!)*Constants!$B$80*(1+tech_9_3*#REF!))</f>
        <v>#REF!</v>
      </c>
      <c r="Y49" s="135" t="e">
        <f>SUMIF(#REF!,1)*0.05</f>
        <v>#REF!</v>
      </c>
      <c r="Z49" s="134"/>
      <c r="AA49" s="57" t="e">
        <f ca="1">IF(#REF!,12,IF(OFFSET(#REF!,-1,0)&gt;0,OFFSET(#REF!,-1,0)-1,0))</f>
        <v>#REF!</v>
      </c>
      <c r="AB49" s="57" t="e">
        <f ca="1">IF(#REF!,12,IF(OFFSET(#REF!,-1,0)&gt;0,OFFSET(#REF!,-1,0)-1,0))</f>
        <v>#REF!</v>
      </c>
      <c r="AC49" s="57" t="e">
        <f ca="1">IF(#REF!,12,IF(OFFSET(#REF!,-1,0)&gt;0,OFFSET(#REF!,-1,0)-1,0))</f>
        <v>#REF!</v>
      </c>
      <c r="AD49" s="57" t="e">
        <f ca="1">IF(#REF!,12,IF(OFFSET(#REF!,-1,0)&gt;0,OFFSET(#REF!,-1,0)-1,0))</f>
        <v>#REF!</v>
      </c>
      <c r="AE49" s="57" t="e">
        <f ca="1">IF(#REF!,12,IF(OFFSET(#REF!,-1,0)&gt;0,OFFSET(#REF!,-1,0)-1,0))</f>
        <v>#REF!</v>
      </c>
      <c r="AF49" s="57" t="e">
        <f ca="1">IF(#REF!,12,IF(OFFSET(#REF!,-1,0)&gt;0,OFFSET(#REF!,-1,0)-1,0))</f>
        <v>#REF!</v>
      </c>
      <c r="AG49" s="57" t="e">
        <f ca="1">IF(#REF!,12,IF(OFFSET(#REF!,-1,0)&gt;0,OFFSET(#REF!,-1,0)-1,0))</f>
        <v>#REF!</v>
      </c>
      <c r="AH49" s="57" t="e">
        <f ca="1">IF(#REF!,12,IF(OFFSET(#REF!,-1,0)&gt;0,OFFSET(#REF!,-1,0)-1,0))</f>
        <v>#REF!</v>
      </c>
      <c r="AI49" s="57" t="e">
        <f ca="1">IF(#REF!,12,IF(OFFSET(#REF!,-1,0)&gt;0,OFFSET(#REF!,-1,0)-1,0))</f>
        <v>#REF!</v>
      </c>
      <c r="AJ49" s="57" t="e">
        <f ca="1">IF(#REF!,12,IF(OFFSET(#REF!,-1,0)&gt;0,OFFSET(#REF!,-1,0)-1,0))</f>
        <v>#REF!</v>
      </c>
      <c r="AK49" s="57" t="e">
        <f ca="1">IF(#REF!,12,IF(OFFSET(#REF!,-1,0)&gt;0,OFFSET(#REF!,-1,0)-1,0))</f>
        <v>#REF!</v>
      </c>
      <c r="AL49" s="57" t="e">
        <f ca="1">IF(#REF!,12,IF(OFFSET(#REF!,-1,0)&gt;0,OFFSET(#REF!,-1,0)-1,0))</f>
        <v>#REF!</v>
      </c>
      <c r="AM49" s="57" t="e">
        <f ca="1">IF(#REF!,12,IF(OFFSET(#REF!,-1,0)&gt;0,OFFSET(#REF!,-1,0)-1,0))</f>
        <v>#REF!</v>
      </c>
      <c r="AN49" s="57" t="e">
        <f ca="1">IF(#REF!,12,IF(OFFSET(#REF!,-1,0)&gt;0,OFFSET(#REF!,-1,0)-1,0))</f>
        <v>#REF!</v>
      </c>
      <c r="AO49" s="57" t="e">
        <f ca="1">IF(#REF!,12,IF(OFFSET(#REF!,-1,0)&gt;0,OFFSET(#REF!,-1,0)-1,0))</f>
        <v>#REF!</v>
      </c>
    </row>
    <row r="50" spans="1:41" x14ac:dyDescent="0.25">
      <c r="A50" s="130" t="e">
        <f>#REF!</f>
        <v>#REF!</v>
      </c>
      <c r="B50" s="133" t="e">
        <f>#REF!</f>
        <v>#REF!</v>
      </c>
      <c r="C50" s="39" t="e">
        <f>#REF!</f>
        <v>#REF!</v>
      </c>
      <c r="D50" s="135" t="e">
        <f ca="1">MIN(1,OFFSET(#REF!,-1,0)+0.04+ROUNDDOWN(10*OFFSET(#REF!,-1,0),0)+ tech_2_7*OFFSET(#REF!,-1,0) + tech_5_6*OFFSET(#REF!,-1,0) )-#REF!</f>
        <v>#REF!</v>
      </c>
      <c r="E50" s="147" t="e">
        <f ca="1">OFFSET(#REF!,-1,0)+1/24</f>
        <v>#REF!</v>
      </c>
      <c r="F50" s="135" t="e">
        <f>#REF!</f>
        <v>#REF!</v>
      </c>
      <c r="G50" s="210"/>
      <c r="H50" s="210"/>
      <c r="I50" s="210"/>
      <c r="J50" s="210"/>
      <c r="K50" s="386"/>
      <c r="L50" s="210"/>
      <c r="M50" s="210"/>
      <c r="N50" s="210"/>
      <c r="O50" s="210"/>
      <c r="P50" s="210"/>
      <c r="Q50" s="210"/>
      <c r="R50" s="210"/>
      <c r="S50" s="210"/>
      <c r="T50" s="210"/>
      <c r="U50" s="210"/>
      <c r="V50" s="210"/>
      <c r="W50" s="134"/>
      <c r="X50" s="39" t="e">
        <f>(MAX(1-wg_spell_cost_cap,1-wg_spell_cost_red*ROUND(#REF!/#REF!,4))+ tech_3_9*#REF! + tech_6_2_2*#REF! )*(#REF!-#REF!*20)*(#REF!* Constants!$B$75 +#REF!* Constants!$B$76 +#REF!* Constants!$B$77 +#REF!* Constants!$B$79 +#REF!* Constants!$B$78  + SUM(#REF!)*Constants!$B$80*(1+tech_9_3*#REF!))</f>
        <v>#REF!</v>
      </c>
      <c r="Y50" s="135" t="e">
        <f>SUMIF(#REF!,1)*0.05</f>
        <v>#REF!</v>
      </c>
      <c r="Z50" s="134"/>
      <c r="AA50" s="57" t="e">
        <f ca="1">IF(#REF!,12,IF(OFFSET(#REF!,-1,0)&gt;0,OFFSET(#REF!,-1,0)-1,0))</f>
        <v>#REF!</v>
      </c>
      <c r="AB50" s="57" t="e">
        <f ca="1">IF(#REF!,12,IF(OFFSET(#REF!,-1,0)&gt;0,OFFSET(#REF!,-1,0)-1,0))</f>
        <v>#REF!</v>
      </c>
      <c r="AC50" s="57" t="e">
        <f ca="1">IF(#REF!,12,IF(OFFSET(#REF!,-1,0)&gt;0,OFFSET(#REF!,-1,0)-1,0))</f>
        <v>#REF!</v>
      </c>
      <c r="AD50" s="57" t="e">
        <f ca="1">IF(#REF!,12,IF(OFFSET(#REF!,-1,0)&gt;0,OFFSET(#REF!,-1,0)-1,0))</f>
        <v>#REF!</v>
      </c>
      <c r="AE50" s="57" t="e">
        <f ca="1">IF(#REF!,12,IF(OFFSET(#REF!,-1,0)&gt;0,OFFSET(#REF!,-1,0)-1,0))</f>
        <v>#REF!</v>
      </c>
      <c r="AF50" s="57" t="e">
        <f ca="1">IF(#REF!,12,IF(OFFSET(#REF!,-1,0)&gt;0,OFFSET(#REF!,-1,0)-1,0))</f>
        <v>#REF!</v>
      </c>
      <c r="AG50" s="57" t="e">
        <f ca="1">IF(#REF!,12,IF(OFFSET(#REF!,-1,0)&gt;0,OFFSET(#REF!,-1,0)-1,0))</f>
        <v>#REF!</v>
      </c>
      <c r="AH50" s="57" t="e">
        <f ca="1">IF(#REF!,12,IF(OFFSET(#REF!,-1,0)&gt;0,OFFSET(#REF!,-1,0)-1,0))</f>
        <v>#REF!</v>
      </c>
      <c r="AI50" s="57" t="e">
        <f ca="1">IF(#REF!,12,IF(OFFSET(#REF!,-1,0)&gt;0,OFFSET(#REF!,-1,0)-1,0))</f>
        <v>#REF!</v>
      </c>
      <c r="AJ50" s="57" t="e">
        <f ca="1">IF(#REF!,12,IF(OFFSET(#REF!,-1,0)&gt;0,OFFSET(#REF!,-1,0)-1,0))</f>
        <v>#REF!</v>
      </c>
      <c r="AK50" s="57" t="e">
        <f ca="1">IF(#REF!,12,IF(OFFSET(#REF!,-1,0)&gt;0,OFFSET(#REF!,-1,0)-1,0))</f>
        <v>#REF!</v>
      </c>
      <c r="AL50" s="57" t="e">
        <f ca="1">IF(#REF!,12,IF(OFFSET(#REF!,-1,0)&gt;0,OFFSET(#REF!,-1,0)-1,0))</f>
        <v>#REF!</v>
      </c>
      <c r="AM50" s="57" t="e">
        <f ca="1">IF(#REF!,12,IF(OFFSET(#REF!,-1,0)&gt;0,OFFSET(#REF!,-1,0)-1,0))</f>
        <v>#REF!</v>
      </c>
      <c r="AN50" s="57" t="e">
        <f ca="1">IF(#REF!,12,IF(OFFSET(#REF!,-1,0)&gt;0,OFFSET(#REF!,-1,0)-1,0))</f>
        <v>#REF!</v>
      </c>
      <c r="AO50" s="57" t="e">
        <f ca="1">IF(#REF!,12,IF(OFFSET(#REF!,-1,0)&gt;0,OFFSET(#REF!,-1,0)-1,0))</f>
        <v>#REF!</v>
      </c>
    </row>
    <row r="51" spans="1:41" x14ac:dyDescent="0.25">
      <c r="A51" s="130" t="e">
        <f>#REF!</f>
        <v>#REF!</v>
      </c>
      <c r="B51" s="133" t="e">
        <f>#REF!</f>
        <v>#REF!</v>
      </c>
      <c r="C51" s="39" t="e">
        <f>#REF!</f>
        <v>#REF!</v>
      </c>
      <c r="D51" s="135" t="e">
        <f ca="1">MIN(1,OFFSET(#REF!,-1,0)+0.04+ROUNDDOWN(10*OFFSET(#REF!,-1,0),0)+ tech_2_7*OFFSET(#REF!,-1,0) + tech_5_6*OFFSET(#REF!,-1,0) )-#REF!</f>
        <v>#REF!</v>
      </c>
      <c r="E51" s="147" t="e">
        <f ca="1">OFFSET(#REF!,-1,0)+1/24</f>
        <v>#REF!</v>
      </c>
      <c r="F51" s="135" t="e">
        <f>#REF!</f>
        <v>#REF!</v>
      </c>
      <c r="G51" s="210"/>
      <c r="H51" s="210"/>
      <c r="I51" s="210"/>
      <c r="J51" s="210"/>
      <c r="K51" s="386"/>
      <c r="L51" s="210"/>
      <c r="M51" s="210"/>
      <c r="N51" s="210"/>
      <c r="O51" s="210"/>
      <c r="P51" s="210"/>
      <c r="Q51" s="210"/>
      <c r="R51" s="210"/>
      <c r="S51" s="210"/>
      <c r="T51" s="210"/>
      <c r="U51" s="210"/>
      <c r="V51" s="210"/>
      <c r="W51" s="134"/>
      <c r="X51" s="39" t="e">
        <f>(MAX(1-wg_spell_cost_cap,1-wg_spell_cost_red*ROUND(#REF!/#REF!,4))+ tech_3_9*#REF! + tech_6_2_2*#REF! )*(#REF!-#REF!*20)*(#REF!* Constants!$B$75 +#REF!* Constants!$B$76 +#REF!* Constants!$B$77 +#REF!* Constants!$B$79 +#REF!* Constants!$B$78  + SUM(#REF!)*Constants!$B$80*(1+tech_9_3*#REF!))</f>
        <v>#REF!</v>
      </c>
      <c r="Y51" s="135" t="e">
        <f>SUMIF(#REF!,1)*0.05</f>
        <v>#REF!</v>
      </c>
      <c r="Z51" s="134"/>
      <c r="AA51" s="57" t="e">
        <f ca="1">IF(#REF!,12,IF(OFFSET(#REF!,-1,0)&gt;0,OFFSET(#REF!,-1,0)-1,0))</f>
        <v>#REF!</v>
      </c>
      <c r="AB51" s="57" t="e">
        <f ca="1">IF(#REF!,12,IF(OFFSET(#REF!,-1,0)&gt;0,OFFSET(#REF!,-1,0)-1,0))</f>
        <v>#REF!</v>
      </c>
      <c r="AC51" s="57" t="e">
        <f ca="1">IF(#REF!,12,IF(OFFSET(#REF!,-1,0)&gt;0,OFFSET(#REF!,-1,0)-1,0))</f>
        <v>#REF!</v>
      </c>
      <c r="AD51" s="57" t="e">
        <f ca="1">IF(#REF!,12,IF(OFFSET(#REF!,-1,0)&gt;0,OFFSET(#REF!,-1,0)-1,0))</f>
        <v>#REF!</v>
      </c>
      <c r="AE51" s="57" t="e">
        <f ca="1">IF(#REF!,12,IF(OFFSET(#REF!,-1,0)&gt;0,OFFSET(#REF!,-1,0)-1,0))</f>
        <v>#REF!</v>
      </c>
      <c r="AF51" s="57" t="e">
        <f ca="1">IF(#REF!,12,IF(OFFSET(#REF!,-1,0)&gt;0,OFFSET(#REF!,-1,0)-1,0))</f>
        <v>#REF!</v>
      </c>
      <c r="AG51" s="57" t="e">
        <f ca="1">IF(#REF!,12,IF(OFFSET(#REF!,-1,0)&gt;0,OFFSET(#REF!,-1,0)-1,0))</f>
        <v>#REF!</v>
      </c>
      <c r="AH51" s="57" t="e">
        <f ca="1">IF(#REF!,12,IF(OFFSET(#REF!,-1,0)&gt;0,OFFSET(#REF!,-1,0)-1,0))</f>
        <v>#REF!</v>
      </c>
      <c r="AI51" s="57" t="e">
        <f ca="1">IF(#REF!,12,IF(OFFSET(#REF!,-1,0)&gt;0,OFFSET(#REF!,-1,0)-1,0))</f>
        <v>#REF!</v>
      </c>
      <c r="AJ51" s="57" t="e">
        <f ca="1">IF(#REF!,12,IF(OFFSET(#REF!,-1,0)&gt;0,OFFSET(#REF!,-1,0)-1,0))</f>
        <v>#REF!</v>
      </c>
      <c r="AK51" s="57" t="e">
        <f ca="1">IF(#REF!,12,IF(OFFSET(#REF!,-1,0)&gt;0,OFFSET(#REF!,-1,0)-1,0))</f>
        <v>#REF!</v>
      </c>
      <c r="AL51" s="57" t="e">
        <f ca="1">IF(#REF!,12,IF(OFFSET(#REF!,-1,0)&gt;0,OFFSET(#REF!,-1,0)-1,0))</f>
        <v>#REF!</v>
      </c>
      <c r="AM51" s="57" t="e">
        <f ca="1">IF(#REF!,12,IF(OFFSET(#REF!,-1,0)&gt;0,OFFSET(#REF!,-1,0)-1,0))</f>
        <v>#REF!</v>
      </c>
      <c r="AN51" s="57" t="e">
        <f ca="1">IF(#REF!,12,IF(OFFSET(#REF!,-1,0)&gt;0,OFFSET(#REF!,-1,0)-1,0))</f>
        <v>#REF!</v>
      </c>
      <c r="AO51" s="57" t="e">
        <f ca="1">IF(#REF!,12,IF(OFFSET(#REF!,-1,0)&gt;0,OFFSET(#REF!,-1,0)-1,0))</f>
        <v>#REF!</v>
      </c>
    </row>
    <row r="52" spans="1:41" x14ac:dyDescent="0.25">
      <c r="A52" s="130" t="e">
        <f>#REF!</f>
        <v>#REF!</v>
      </c>
      <c r="B52" s="133" t="e">
        <f>#REF!</f>
        <v>#REF!</v>
      </c>
      <c r="C52" s="39" t="e">
        <f>#REF!</f>
        <v>#REF!</v>
      </c>
      <c r="D52" s="135" t="e">
        <f ca="1">MIN(1,OFFSET(#REF!,-1,0)+0.04+ROUNDDOWN(10*OFFSET(#REF!,-1,0),0)+ tech_2_7*OFFSET(#REF!,-1,0) + tech_5_6*OFFSET(#REF!,-1,0) )-#REF!</f>
        <v>#REF!</v>
      </c>
      <c r="E52" s="147" t="e">
        <f ca="1">OFFSET(#REF!,-1,0)+1/24</f>
        <v>#REF!</v>
      </c>
      <c r="F52" s="135" t="e">
        <f>#REF!</f>
        <v>#REF!</v>
      </c>
      <c r="G52" s="210"/>
      <c r="H52" s="210"/>
      <c r="I52" s="210"/>
      <c r="J52" s="210"/>
      <c r="K52" s="386"/>
      <c r="L52" s="210"/>
      <c r="M52" s="210"/>
      <c r="N52" s="210"/>
      <c r="O52" s="210"/>
      <c r="P52" s="210"/>
      <c r="Q52" s="210"/>
      <c r="R52" s="210"/>
      <c r="S52" s="210"/>
      <c r="T52" s="210"/>
      <c r="U52" s="210"/>
      <c r="V52" s="210"/>
      <c r="W52" s="134"/>
      <c r="X52" s="39" t="e">
        <f>(MAX(1-wg_spell_cost_cap,1-wg_spell_cost_red*ROUND(#REF!/#REF!,4))+ tech_3_9*#REF! + tech_6_2_2*#REF! )*(#REF!-#REF!*20)*(#REF!* Constants!$B$75 +#REF!* Constants!$B$76 +#REF!* Constants!$B$77 +#REF!* Constants!$B$79 +#REF!* Constants!$B$78  + SUM(#REF!)*Constants!$B$80*(1+tech_9_3*#REF!))</f>
        <v>#REF!</v>
      </c>
      <c r="Y52" s="135" t="e">
        <f>SUMIF(#REF!,1)*0.05</f>
        <v>#REF!</v>
      </c>
      <c r="Z52" s="134"/>
      <c r="AA52" s="57" t="e">
        <f ca="1">IF(#REF!,12,IF(OFFSET(#REF!,-1,0)&gt;0,OFFSET(#REF!,-1,0)-1,0))</f>
        <v>#REF!</v>
      </c>
      <c r="AB52" s="57" t="e">
        <f ca="1">IF(#REF!,12,IF(OFFSET(#REF!,-1,0)&gt;0,OFFSET(#REF!,-1,0)-1,0))</f>
        <v>#REF!</v>
      </c>
      <c r="AC52" s="57" t="e">
        <f ca="1">IF(#REF!,12,IF(OFFSET(#REF!,-1,0)&gt;0,OFFSET(#REF!,-1,0)-1,0))</f>
        <v>#REF!</v>
      </c>
      <c r="AD52" s="57" t="e">
        <f ca="1">IF(#REF!,12,IF(OFFSET(#REF!,-1,0)&gt;0,OFFSET(#REF!,-1,0)-1,0))</f>
        <v>#REF!</v>
      </c>
      <c r="AE52" s="57" t="e">
        <f ca="1">IF(#REF!,12,IF(OFFSET(#REF!,-1,0)&gt;0,OFFSET(#REF!,-1,0)-1,0))</f>
        <v>#REF!</v>
      </c>
      <c r="AF52" s="57" t="e">
        <f ca="1">IF(#REF!,12,IF(OFFSET(#REF!,-1,0)&gt;0,OFFSET(#REF!,-1,0)-1,0))</f>
        <v>#REF!</v>
      </c>
      <c r="AG52" s="57" t="e">
        <f ca="1">IF(#REF!,12,IF(OFFSET(#REF!,-1,0)&gt;0,OFFSET(#REF!,-1,0)-1,0))</f>
        <v>#REF!</v>
      </c>
      <c r="AH52" s="57" t="e">
        <f ca="1">IF(#REF!,12,IF(OFFSET(#REF!,-1,0)&gt;0,OFFSET(#REF!,-1,0)-1,0))</f>
        <v>#REF!</v>
      </c>
      <c r="AI52" s="57" t="e">
        <f ca="1">IF(#REF!,12,IF(OFFSET(#REF!,-1,0)&gt;0,OFFSET(#REF!,-1,0)-1,0))</f>
        <v>#REF!</v>
      </c>
      <c r="AJ52" s="57" t="e">
        <f ca="1">IF(#REF!,12,IF(OFFSET(#REF!,-1,0)&gt;0,OFFSET(#REF!,-1,0)-1,0))</f>
        <v>#REF!</v>
      </c>
      <c r="AK52" s="57" t="e">
        <f ca="1">IF(#REF!,12,IF(OFFSET(#REF!,-1,0)&gt;0,OFFSET(#REF!,-1,0)-1,0))</f>
        <v>#REF!</v>
      </c>
      <c r="AL52" s="57" t="e">
        <f ca="1">IF(#REF!,12,IF(OFFSET(#REF!,-1,0)&gt;0,OFFSET(#REF!,-1,0)-1,0))</f>
        <v>#REF!</v>
      </c>
      <c r="AM52" s="57" t="e">
        <f ca="1">IF(#REF!,12,IF(OFFSET(#REF!,-1,0)&gt;0,OFFSET(#REF!,-1,0)-1,0))</f>
        <v>#REF!</v>
      </c>
      <c r="AN52" s="57" t="e">
        <f ca="1">IF(#REF!,12,IF(OFFSET(#REF!,-1,0)&gt;0,OFFSET(#REF!,-1,0)-1,0))</f>
        <v>#REF!</v>
      </c>
      <c r="AO52" s="57" t="e">
        <f ca="1">IF(#REF!,12,IF(OFFSET(#REF!,-1,0)&gt;0,OFFSET(#REF!,-1,0)-1,0))</f>
        <v>#REF!</v>
      </c>
    </row>
    <row r="53" spans="1:41" x14ac:dyDescent="0.25">
      <c r="A53" s="130" t="e">
        <f>#REF!</f>
        <v>#REF!</v>
      </c>
      <c r="B53" s="133" t="e">
        <f>#REF!</f>
        <v>#REF!</v>
      </c>
      <c r="C53" s="39" t="e">
        <f>#REF!</f>
        <v>#REF!</v>
      </c>
      <c r="D53" s="135" t="e">
        <f ca="1">MIN(1,OFFSET(#REF!,-1,0)+0.04+ROUNDDOWN(10*OFFSET(#REF!,-1,0),0)+ tech_2_7*OFFSET(#REF!,-1,0) + tech_5_6*OFFSET(#REF!,-1,0) )-#REF!</f>
        <v>#REF!</v>
      </c>
      <c r="E53" s="147" t="e">
        <f ca="1">OFFSET(#REF!,-1,0)+1/24</f>
        <v>#REF!</v>
      </c>
      <c r="F53" s="135" t="e">
        <f>#REF!</f>
        <v>#REF!</v>
      </c>
      <c r="G53" s="210"/>
      <c r="H53" s="210"/>
      <c r="I53" s="210"/>
      <c r="J53" s="210"/>
      <c r="K53" s="386"/>
      <c r="L53" s="210"/>
      <c r="M53" s="210"/>
      <c r="N53" s="210"/>
      <c r="O53" s="210"/>
      <c r="P53" s="210"/>
      <c r="Q53" s="210"/>
      <c r="R53" s="210"/>
      <c r="S53" s="210"/>
      <c r="T53" s="210"/>
      <c r="U53" s="210"/>
      <c r="V53" s="210"/>
      <c r="W53" s="134"/>
      <c r="X53" s="39" t="e">
        <f>(MAX(1-wg_spell_cost_cap,1-wg_spell_cost_red*ROUND(#REF!/#REF!,4))+ tech_3_9*#REF! + tech_6_2_2*#REF! )*(#REF!-#REF!*20)*(#REF!* Constants!$B$75 +#REF!* Constants!$B$76 +#REF!* Constants!$B$77 +#REF!* Constants!$B$79 +#REF!* Constants!$B$78  + SUM(#REF!)*Constants!$B$80*(1+tech_9_3*#REF!))</f>
        <v>#REF!</v>
      </c>
      <c r="Y53" s="135" t="e">
        <f>SUMIF(#REF!,1)*0.05</f>
        <v>#REF!</v>
      </c>
      <c r="Z53" s="134"/>
      <c r="AA53" s="57" t="e">
        <f ca="1">IF(#REF!,12,IF(OFFSET(#REF!,-1,0)&gt;0,OFFSET(#REF!,-1,0)-1,0))</f>
        <v>#REF!</v>
      </c>
      <c r="AB53" s="57" t="e">
        <f ca="1">IF(#REF!,12,IF(OFFSET(#REF!,-1,0)&gt;0,OFFSET(#REF!,-1,0)-1,0))</f>
        <v>#REF!</v>
      </c>
      <c r="AC53" s="57" t="e">
        <f ca="1">IF(#REF!,12,IF(OFFSET(#REF!,-1,0)&gt;0,OFFSET(#REF!,-1,0)-1,0))</f>
        <v>#REF!</v>
      </c>
      <c r="AD53" s="57" t="e">
        <f ca="1">IF(#REF!,12,IF(OFFSET(#REF!,-1,0)&gt;0,OFFSET(#REF!,-1,0)-1,0))</f>
        <v>#REF!</v>
      </c>
      <c r="AE53" s="57" t="e">
        <f ca="1">IF(#REF!,12,IF(OFFSET(#REF!,-1,0)&gt;0,OFFSET(#REF!,-1,0)-1,0))</f>
        <v>#REF!</v>
      </c>
      <c r="AF53" s="57" t="e">
        <f ca="1">IF(#REF!,12,IF(OFFSET(#REF!,-1,0)&gt;0,OFFSET(#REF!,-1,0)-1,0))</f>
        <v>#REF!</v>
      </c>
      <c r="AG53" s="57" t="e">
        <f ca="1">IF(#REF!,12,IF(OFFSET(#REF!,-1,0)&gt;0,OFFSET(#REF!,-1,0)-1,0))</f>
        <v>#REF!</v>
      </c>
      <c r="AH53" s="57" t="e">
        <f ca="1">IF(#REF!,12,IF(OFFSET(#REF!,-1,0)&gt;0,OFFSET(#REF!,-1,0)-1,0))</f>
        <v>#REF!</v>
      </c>
      <c r="AI53" s="57" t="e">
        <f ca="1">IF(#REF!,12,IF(OFFSET(#REF!,-1,0)&gt;0,OFFSET(#REF!,-1,0)-1,0))</f>
        <v>#REF!</v>
      </c>
      <c r="AJ53" s="57" t="e">
        <f ca="1">IF(#REF!,12,IF(OFFSET(#REF!,-1,0)&gt;0,OFFSET(#REF!,-1,0)-1,0))</f>
        <v>#REF!</v>
      </c>
      <c r="AK53" s="57" t="e">
        <f ca="1">IF(#REF!,12,IF(OFFSET(#REF!,-1,0)&gt;0,OFFSET(#REF!,-1,0)-1,0))</f>
        <v>#REF!</v>
      </c>
      <c r="AL53" s="57" t="e">
        <f ca="1">IF(#REF!,12,IF(OFFSET(#REF!,-1,0)&gt;0,OFFSET(#REF!,-1,0)-1,0))</f>
        <v>#REF!</v>
      </c>
      <c r="AM53" s="57" t="e">
        <f ca="1">IF(#REF!,12,IF(OFFSET(#REF!,-1,0)&gt;0,OFFSET(#REF!,-1,0)-1,0))</f>
        <v>#REF!</v>
      </c>
      <c r="AN53" s="57" t="e">
        <f ca="1">IF(#REF!,12,IF(OFFSET(#REF!,-1,0)&gt;0,OFFSET(#REF!,-1,0)-1,0))</f>
        <v>#REF!</v>
      </c>
      <c r="AO53" s="57" t="e">
        <f ca="1">IF(#REF!,12,IF(OFFSET(#REF!,-1,0)&gt;0,OFFSET(#REF!,-1,0)-1,0))</f>
        <v>#REF!</v>
      </c>
    </row>
    <row r="54" spans="1:41" x14ac:dyDescent="0.25">
      <c r="A54" s="130" t="e">
        <f>#REF!</f>
        <v>#REF!</v>
      </c>
      <c r="B54" s="133" t="e">
        <f>#REF!</f>
        <v>#REF!</v>
      </c>
      <c r="C54" s="39" t="e">
        <f>#REF!</f>
        <v>#REF!</v>
      </c>
      <c r="D54" s="135" t="e">
        <f ca="1">MIN(1,OFFSET(#REF!,-1,0)+0.04+ROUNDDOWN(10*OFFSET(#REF!,-1,0),0)+ tech_2_7*OFFSET(#REF!,-1,0) + tech_5_6*OFFSET(#REF!,-1,0) )-#REF!</f>
        <v>#REF!</v>
      </c>
      <c r="E54" s="147" t="e">
        <f ca="1">OFFSET(#REF!,-1,0)+1/24</f>
        <v>#REF!</v>
      </c>
      <c r="F54" s="135" t="e">
        <f>#REF!</f>
        <v>#REF!</v>
      </c>
      <c r="G54" s="210"/>
      <c r="H54" s="210"/>
      <c r="I54" s="210"/>
      <c r="J54" s="210"/>
      <c r="K54" s="386"/>
      <c r="L54" s="210"/>
      <c r="M54" s="210"/>
      <c r="N54" s="210"/>
      <c r="O54" s="210"/>
      <c r="P54" s="210"/>
      <c r="Q54" s="210"/>
      <c r="R54" s="210"/>
      <c r="S54" s="210"/>
      <c r="T54" s="210"/>
      <c r="U54" s="210"/>
      <c r="V54" s="210"/>
      <c r="W54" s="134"/>
      <c r="X54" s="39" t="e">
        <f>(MAX(1-wg_spell_cost_cap,1-wg_spell_cost_red*ROUND(#REF!/#REF!,4))+ tech_3_9*#REF! + tech_6_2_2*#REF! )*(#REF!-#REF!*20)*(#REF!* Constants!$B$75 +#REF!* Constants!$B$76 +#REF!* Constants!$B$77 +#REF!* Constants!$B$79 +#REF!* Constants!$B$78  + SUM(#REF!)*Constants!$B$80*(1+tech_9_3*#REF!))</f>
        <v>#REF!</v>
      </c>
      <c r="Y54" s="135" t="e">
        <f>SUMIF(#REF!,1)*0.05</f>
        <v>#REF!</v>
      </c>
      <c r="Z54" s="134"/>
      <c r="AA54" s="57" t="e">
        <f ca="1">IF(#REF!,12,IF(OFFSET(#REF!,-1,0)&gt;0,OFFSET(#REF!,-1,0)-1,0))</f>
        <v>#REF!</v>
      </c>
      <c r="AB54" s="57" t="e">
        <f ca="1">IF(#REF!,12,IF(OFFSET(#REF!,-1,0)&gt;0,OFFSET(#REF!,-1,0)-1,0))</f>
        <v>#REF!</v>
      </c>
      <c r="AC54" s="57" t="e">
        <f ca="1">IF(#REF!,12,IF(OFFSET(#REF!,-1,0)&gt;0,OFFSET(#REF!,-1,0)-1,0))</f>
        <v>#REF!</v>
      </c>
      <c r="AD54" s="57" t="e">
        <f ca="1">IF(#REF!,12,IF(OFFSET(#REF!,-1,0)&gt;0,OFFSET(#REF!,-1,0)-1,0))</f>
        <v>#REF!</v>
      </c>
      <c r="AE54" s="57" t="e">
        <f ca="1">IF(#REF!,12,IF(OFFSET(#REF!,-1,0)&gt;0,OFFSET(#REF!,-1,0)-1,0))</f>
        <v>#REF!</v>
      </c>
      <c r="AF54" s="57" t="e">
        <f ca="1">IF(#REF!,12,IF(OFFSET(#REF!,-1,0)&gt;0,OFFSET(#REF!,-1,0)-1,0))</f>
        <v>#REF!</v>
      </c>
      <c r="AG54" s="57" t="e">
        <f ca="1">IF(#REF!,12,IF(OFFSET(#REF!,-1,0)&gt;0,OFFSET(#REF!,-1,0)-1,0))</f>
        <v>#REF!</v>
      </c>
      <c r="AH54" s="57" t="e">
        <f ca="1">IF(#REF!,12,IF(OFFSET(#REF!,-1,0)&gt;0,OFFSET(#REF!,-1,0)-1,0))</f>
        <v>#REF!</v>
      </c>
      <c r="AI54" s="57" t="e">
        <f ca="1">IF(#REF!,12,IF(OFFSET(#REF!,-1,0)&gt;0,OFFSET(#REF!,-1,0)-1,0))</f>
        <v>#REF!</v>
      </c>
      <c r="AJ54" s="57" t="e">
        <f ca="1">IF(#REF!,12,IF(OFFSET(#REF!,-1,0)&gt;0,OFFSET(#REF!,-1,0)-1,0))</f>
        <v>#REF!</v>
      </c>
      <c r="AK54" s="57" t="e">
        <f ca="1">IF(#REF!,12,IF(OFFSET(#REF!,-1,0)&gt;0,OFFSET(#REF!,-1,0)-1,0))</f>
        <v>#REF!</v>
      </c>
      <c r="AL54" s="57" t="e">
        <f ca="1">IF(#REF!,12,IF(OFFSET(#REF!,-1,0)&gt;0,OFFSET(#REF!,-1,0)-1,0))</f>
        <v>#REF!</v>
      </c>
      <c r="AM54" s="57" t="e">
        <f ca="1">IF(#REF!,12,IF(OFFSET(#REF!,-1,0)&gt;0,OFFSET(#REF!,-1,0)-1,0))</f>
        <v>#REF!</v>
      </c>
      <c r="AN54" s="57" t="e">
        <f ca="1">IF(#REF!,12,IF(OFFSET(#REF!,-1,0)&gt;0,OFFSET(#REF!,-1,0)-1,0))</f>
        <v>#REF!</v>
      </c>
      <c r="AO54" s="57" t="e">
        <f ca="1">IF(#REF!,12,IF(OFFSET(#REF!,-1,0)&gt;0,OFFSET(#REF!,-1,0)-1,0))</f>
        <v>#REF!</v>
      </c>
    </row>
    <row r="55" spans="1:41" x14ac:dyDescent="0.25">
      <c r="A55" s="130" t="e">
        <f>#REF!</f>
        <v>#REF!</v>
      </c>
      <c r="B55" s="133" t="e">
        <f>#REF!</f>
        <v>#REF!</v>
      </c>
      <c r="C55" s="39" t="e">
        <f>#REF!</f>
        <v>#REF!</v>
      </c>
      <c r="D55" s="135" t="e">
        <f ca="1">MIN(1,OFFSET(#REF!,-1,0)+0.04+ROUNDDOWN(10*OFFSET(#REF!,-1,0),0)+ tech_2_7*OFFSET(#REF!,-1,0) + tech_5_6*OFFSET(#REF!,-1,0) )-#REF!</f>
        <v>#REF!</v>
      </c>
      <c r="E55" s="147" t="e">
        <f ca="1">OFFSET(#REF!,-1,0)+1/24</f>
        <v>#REF!</v>
      </c>
      <c r="F55" s="135" t="e">
        <f>#REF!</f>
        <v>#REF!</v>
      </c>
      <c r="G55" s="210"/>
      <c r="H55" s="210"/>
      <c r="I55" s="210"/>
      <c r="J55" s="210"/>
      <c r="K55" s="386"/>
      <c r="L55" s="210"/>
      <c r="M55" s="210"/>
      <c r="N55" s="210"/>
      <c r="O55" s="210"/>
      <c r="P55" s="210"/>
      <c r="Q55" s="210"/>
      <c r="R55" s="210"/>
      <c r="S55" s="210"/>
      <c r="T55" s="210"/>
      <c r="U55" s="210"/>
      <c r="V55" s="210"/>
      <c r="W55" s="134"/>
      <c r="X55" s="39" t="e">
        <f>(MAX(1-wg_spell_cost_cap,1-wg_spell_cost_red*ROUND(#REF!/#REF!,4))+ tech_3_9*#REF! + tech_6_2_2*#REF! )*(#REF!-#REF!*20)*(#REF!* Constants!$B$75 +#REF!* Constants!$B$76 +#REF!* Constants!$B$77 +#REF!* Constants!$B$79 +#REF!* Constants!$B$78  + SUM(#REF!)*Constants!$B$80*(1+tech_9_3*#REF!))</f>
        <v>#REF!</v>
      </c>
      <c r="Y55" s="135" t="e">
        <f>SUMIF(#REF!,1)*0.05</f>
        <v>#REF!</v>
      </c>
      <c r="Z55" s="134"/>
      <c r="AA55" s="57" t="e">
        <f ca="1">IF(#REF!,12,IF(OFFSET(#REF!,-1,0)&gt;0,OFFSET(#REF!,-1,0)-1,0))</f>
        <v>#REF!</v>
      </c>
      <c r="AB55" s="57" t="e">
        <f ca="1">IF(#REF!,12,IF(OFFSET(#REF!,-1,0)&gt;0,OFFSET(#REF!,-1,0)-1,0))</f>
        <v>#REF!</v>
      </c>
      <c r="AC55" s="57" t="e">
        <f ca="1">IF(#REF!,12,IF(OFFSET(#REF!,-1,0)&gt;0,OFFSET(#REF!,-1,0)-1,0))</f>
        <v>#REF!</v>
      </c>
      <c r="AD55" s="57" t="e">
        <f ca="1">IF(#REF!,12,IF(OFFSET(#REF!,-1,0)&gt;0,OFFSET(#REF!,-1,0)-1,0))</f>
        <v>#REF!</v>
      </c>
      <c r="AE55" s="57" t="e">
        <f ca="1">IF(#REF!,12,IF(OFFSET(#REF!,-1,0)&gt;0,OFFSET(#REF!,-1,0)-1,0))</f>
        <v>#REF!</v>
      </c>
      <c r="AF55" s="57" t="e">
        <f ca="1">IF(#REF!,12,IF(OFFSET(#REF!,-1,0)&gt;0,OFFSET(#REF!,-1,0)-1,0))</f>
        <v>#REF!</v>
      </c>
      <c r="AG55" s="57" t="e">
        <f ca="1">IF(#REF!,12,IF(OFFSET(#REF!,-1,0)&gt;0,OFFSET(#REF!,-1,0)-1,0))</f>
        <v>#REF!</v>
      </c>
      <c r="AH55" s="57" t="e">
        <f ca="1">IF(#REF!,12,IF(OFFSET(#REF!,-1,0)&gt;0,OFFSET(#REF!,-1,0)-1,0))</f>
        <v>#REF!</v>
      </c>
      <c r="AI55" s="57" t="e">
        <f ca="1">IF(#REF!,12,IF(OFFSET(#REF!,-1,0)&gt;0,OFFSET(#REF!,-1,0)-1,0))</f>
        <v>#REF!</v>
      </c>
      <c r="AJ55" s="57" t="e">
        <f ca="1">IF(#REF!,12,IF(OFFSET(#REF!,-1,0)&gt;0,OFFSET(#REF!,-1,0)-1,0))</f>
        <v>#REF!</v>
      </c>
      <c r="AK55" s="57" t="e">
        <f ca="1">IF(#REF!,12,IF(OFFSET(#REF!,-1,0)&gt;0,OFFSET(#REF!,-1,0)-1,0))</f>
        <v>#REF!</v>
      </c>
      <c r="AL55" s="57" t="e">
        <f ca="1">IF(#REF!,12,IF(OFFSET(#REF!,-1,0)&gt;0,OFFSET(#REF!,-1,0)-1,0))</f>
        <v>#REF!</v>
      </c>
      <c r="AM55" s="57" t="e">
        <f ca="1">IF(#REF!,12,IF(OFFSET(#REF!,-1,0)&gt;0,OFFSET(#REF!,-1,0)-1,0))</f>
        <v>#REF!</v>
      </c>
      <c r="AN55" s="57" t="e">
        <f ca="1">IF(#REF!,12,IF(OFFSET(#REF!,-1,0)&gt;0,OFFSET(#REF!,-1,0)-1,0))</f>
        <v>#REF!</v>
      </c>
      <c r="AO55" s="57" t="e">
        <f ca="1">IF(#REF!,12,IF(OFFSET(#REF!,-1,0)&gt;0,OFFSET(#REF!,-1,0)-1,0))</f>
        <v>#REF!</v>
      </c>
    </row>
    <row r="56" spans="1:41" x14ac:dyDescent="0.25">
      <c r="A56" s="130" t="e">
        <f>#REF!</f>
        <v>#REF!</v>
      </c>
      <c r="B56" s="133" t="e">
        <f>#REF!</f>
        <v>#REF!</v>
      </c>
      <c r="C56" s="39" t="e">
        <f>#REF!</f>
        <v>#REF!</v>
      </c>
      <c r="D56" s="135" t="e">
        <f ca="1">MIN(1,OFFSET(#REF!,-1,0)+0.04+ROUNDDOWN(10*OFFSET(#REF!,-1,0),0)+ tech_2_7*OFFSET(#REF!,-1,0) + tech_5_6*OFFSET(#REF!,-1,0) )-#REF!</f>
        <v>#REF!</v>
      </c>
      <c r="E56" s="147" t="e">
        <f ca="1">OFFSET(#REF!,-1,0)+1/24</f>
        <v>#REF!</v>
      </c>
      <c r="F56" s="135" t="e">
        <f>#REF!</f>
        <v>#REF!</v>
      </c>
      <c r="G56" s="210"/>
      <c r="H56" s="210"/>
      <c r="I56" s="210"/>
      <c r="J56" s="210"/>
      <c r="K56" s="386"/>
      <c r="L56" s="210"/>
      <c r="M56" s="210"/>
      <c r="N56" s="210"/>
      <c r="O56" s="210"/>
      <c r="P56" s="210"/>
      <c r="Q56" s="210"/>
      <c r="R56" s="210"/>
      <c r="S56" s="210"/>
      <c r="T56" s="210"/>
      <c r="U56" s="210"/>
      <c r="V56" s="210"/>
      <c r="W56" s="134"/>
      <c r="X56" s="39" t="e">
        <f>(MAX(1-wg_spell_cost_cap,1-wg_spell_cost_red*ROUND(#REF!/#REF!,4))+ tech_3_9*#REF! + tech_6_2_2*#REF! )*(#REF!-#REF!*20)*(#REF!* Constants!$B$75 +#REF!* Constants!$B$76 +#REF!* Constants!$B$77 +#REF!* Constants!$B$79 +#REF!* Constants!$B$78  + SUM(#REF!)*Constants!$B$80*(1+tech_9_3*#REF!))</f>
        <v>#REF!</v>
      </c>
      <c r="Y56" s="135" t="e">
        <f>SUMIF(#REF!,1)*0.05</f>
        <v>#REF!</v>
      </c>
      <c r="Z56" s="134"/>
      <c r="AA56" s="57" t="e">
        <f ca="1">IF(#REF!,12,IF(OFFSET(#REF!,-1,0)&gt;0,OFFSET(#REF!,-1,0)-1,0))</f>
        <v>#REF!</v>
      </c>
      <c r="AB56" s="57" t="e">
        <f ca="1">IF(#REF!,12,IF(OFFSET(#REF!,-1,0)&gt;0,OFFSET(#REF!,-1,0)-1,0))</f>
        <v>#REF!</v>
      </c>
      <c r="AC56" s="57" t="e">
        <f ca="1">IF(#REF!,12,IF(OFFSET(#REF!,-1,0)&gt;0,OFFSET(#REF!,-1,0)-1,0))</f>
        <v>#REF!</v>
      </c>
      <c r="AD56" s="57" t="e">
        <f ca="1">IF(#REF!,12,IF(OFFSET(#REF!,-1,0)&gt;0,OFFSET(#REF!,-1,0)-1,0))</f>
        <v>#REF!</v>
      </c>
      <c r="AE56" s="57" t="e">
        <f ca="1">IF(#REF!,12,IF(OFFSET(#REF!,-1,0)&gt;0,OFFSET(#REF!,-1,0)-1,0))</f>
        <v>#REF!</v>
      </c>
      <c r="AF56" s="57" t="e">
        <f ca="1">IF(#REF!,12,IF(OFFSET(#REF!,-1,0)&gt;0,OFFSET(#REF!,-1,0)-1,0))</f>
        <v>#REF!</v>
      </c>
      <c r="AG56" s="57" t="e">
        <f ca="1">IF(#REF!,12,IF(OFFSET(#REF!,-1,0)&gt;0,OFFSET(#REF!,-1,0)-1,0))</f>
        <v>#REF!</v>
      </c>
      <c r="AH56" s="57" t="e">
        <f ca="1">IF(#REF!,12,IF(OFFSET(#REF!,-1,0)&gt;0,OFFSET(#REF!,-1,0)-1,0))</f>
        <v>#REF!</v>
      </c>
      <c r="AI56" s="57" t="e">
        <f ca="1">IF(#REF!,12,IF(OFFSET(#REF!,-1,0)&gt;0,OFFSET(#REF!,-1,0)-1,0))</f>
        <v>#REF!</v>
      </c>
      <c r="AJ56" s="57" t="e">
        <f ca="1">IF(#REF!,12,IF(OFFSET(#REF!,-1,0)&gt;0,OFFSET(#REF!,-1,0)-1,0))</f>
        <v>#REF!</v>
      </c>
      <c r="AK56" s="57" t="e">
        <f ca="1">IF(#REF!,12,IF(OFFSET(#REF!,-1,0)&gt;0,OFFSET(#REF!,-1,0)-1,0))</f>
        <v>#REF!</v>
      </c>
      <c r="AL56" s="57" t="e">
        <f ca="1">IF(#REF!,12,IF(OFFSET(#REF!,-1,0)&gt;0,OFFSET(#REF!,-1,0)-1,0))</f>
        <v>#REF!</v>
      </c>
      <c r="AM56" s="57" t="e">
        <f ca="1">IF(#REF!,12,IF(OFFSET(#REF!,-1,0)&gt;0,OFFSET(#REF!,-1,0)-1,0))</f>
        <v>#REF!</v>
      </c>
      <c r="AN56" s="57" t="e">
        <f ca="1">IF(#REF!,12,IF(OFFSET(#REF!,-1,0)&gt;0,OFFSET(#REF!,-1,0)-1,0))</f>
        <v>#REF!</v>
      </c>
      <c r="AO56" s="57" t="e">
        <f ca="1">IF(#REF!,12,IF(OFFSET(#REF!,-1,0)&gt;0,OFFSET(#REF!,-1,0)-1,0))</f>
        <v>#REF!</v>
      </c>
    </row>
    <row r="57" spans="1:41" x14ac:dyDescent="0.25">
      <c r="A57" s="130" t="e">
        <f>#REF!</f>
        <v>#REF!</v>
      </c>
      <c r="B57" s="133" t="e">
        <f>#REF!</f>
        <v>#REF!</v>
      </c>
      <c r="C57" s="39" t="e">
        <f>#REF!</f>
        <v>#REF!</v>
      </c>
      <c r="D57" s="135" t="e">
        <f ca="1">MIN(1,OFFSET(#REF!,-1,0)+0.04+ROUNDDOWN(10*OFFSET(#REF!,-1,0),0)+ tech_2_7*OFFSET(#REF!,-1,0) + tech_5_6*OFFSET(#REF!,-1,0) )-#REF!</f>
        <v>#REF!</v>
      </c>
      <c r="E57" s="147" t="e">
        <f ca="1">OFFSET(#REF!,-1,0)+1/24</f>
        <v>#REF!</v>
      </c>
      <c r="F57" s="135" t="e">
        <f>#REF!</f>
        <v>#REF!</v>
      </c>
      <c r="G57" s="210"/>
      <c r="H57" s="210"/>
      <c r="I57" s="210"/>
      <c r="J57" s="210"/>
      <c r="K57" s="386"/>
      <c r="L57" s="210"/>
      <c r="M57" s="210"/>
      <c r="N57" s="210"/>
      <c r="O57" s="210"/>
      <c r="P57" s="210"/>
      <c r="Q57" s="210"/>
      <c r="R57" s="210"/>
      <c r="S57" s="210"/>
      <c r="T57" s="210"/>
      <c r="U57" s="210"/>
      <c r="V57" s="210"/>
      <c r="W57" s="134"/>
      <c r="X57" s="39" t="e">
        <f>(MAX(1-wg_spell_cost_cap,1-wg_spell_cost_red*ROUND(#REF!/#REF!,4))+ tech_3_9*#REF! + tech_6_2_2*#REF! )*(#REF!-#REF!*20)*(#REF!* Constants!$B$75 +#REF!* Constants!$B$76 +#REF!* Constants!$B$77 +#REF!* Constants!$B$79 +#REF!* Constants!$B$78  + SUM(#REF!)*Constants!$B$80*(1+tech_9_3*#REF!))</f>
        <v>#REF!</v>
      </c>
      <c r="Y57" s="135" t="e">
        <f>SUMIF(#REF!,1)*0.05</f>
        <v>#REF!</v>
      </c>
      <c r="Z57" s="134"/>
      <c r="AA57" s="57" t="e">
        <f ca="1">IF(#REF!,12,IF(OFFSET(#REF!,-1,0)&gt;0,OFFSET(#REF!,-1,0)-1,0))</f>
        <v>#REF!</v>
      </c>
      <c r="AB57" s="57" t="e">
        <f ca="1">IF(#REF!,12,IF(OFFSET(#REF!,-1,0)&gt;0,OFFSET(#REF!,-1,0)-1,0))</f>
        <v>#REF!</v>
      </c>
      <c r="AC57" s="57" t="e">
        <f ca="1">IF(#REF!,12,IF(OFFSET(#REF!,-1,0)&gt;0,OFFSET(#REF!,-1,0)-1,0))</f>
        <v>#REF!</v>
      </c>
      <c r="AD57" s="57" t="e">
        <f ca="1">IF(#REF!,12,IF(OFFSET(#REF!,-1,0)&gt;0,OFFSET(#REF!,-1,0)-1,0))</f>
        <v>#REF!</v>
      </c>
      <c r="AE57" s="57" t="e">
        <f ca="1">IF(#REF!,12,IF(OFFSET(#REF!,-1,0)&gt;0,OFFSET(#REF!,-1,0)-1,0))</f>
        <v>#REF!</v>
      </c>
      <c r="AF57" s="57" t="e">
        <f ca="1">IF(#REF!,12,IF(OFFSET(#REF!,-1,0)&gt;0,OFFSET(#REF!,-1,0)-1,0))</f>
        <v>#REF!</v>
      </c>
      <c r="AG57" s="57" t="e">
        <f ca="1">IF(#REF!,12,IF(OFFSET(#REF!,-1,0)&gt;0,OFFSET(#REF!,-1,0)-1,0))</f>
        <v>#REF!</v>
      </c>
      <c r="AH57" s="57" t="e">
        <f ca="1">IF(#REF!,12,IF(OFFSET(#REF!,-1,0)&gt;0,OFFSET(#REF!,-1,0)-1,0))</f>
        <v>#REF!</v>
      </c>
      <c r="AI57" s="57" t="e">
        <f ca="1">IF(#REF!,12,IF(OFFSET(#REF!,-1,0)&gt;0,OFFSET(#REF!,-1,0)-1,0))</f>
        <v>#REF!</v>
      </c>
      <c r="AJ57" s="57" t="e">
        <f ca="1">IF(#REF!,12,IF(OFFSET(#REF!,-1,0)&gt;0,OFFSET(#REF!,-1,0)-1,0))</f>
        <v>#REF!</v>
      </c>
      <c r="AK57" s="57" t="e">
        <f ca="1">IF(#REF!,12,IF(OFFSET(#REF!,-1,0)&gt;0,OFFSET(#REF!,-1,0)-1,0))</f>
        <v>#REF!</v>
      </c>
      <c r="AL57" s="57" t="e">
        <f ca="1">IF(#REF!,12,IF(OFFSET(#REF!,-1,0)&gt;0,OFFSET(#REF!,-1,0)-1,0))</f>
        <v>#REF!</v>
      </c>
      <c r="AM57" s="57" t="e">
        <f ca="1">IF(#REF!,12,IF(OFFSET(#REF!,-1,0)&gt;0,OFFSET(#REF!,-1,0)-1,0))</f>
        <v>#REF!</v>
      </c>
      <c r="AN57" s="57" t="e">
        <f ca="1">IF(#REF!,12,IF(OFFSET(#REF!,-1,0)&gt;0,OFFSET(#REF!,-1,0)-1,0))</f>
        <v>#REF!</v>
      </c>
      <c r="AO57" s="57" t="e">
        <f ca="1">IF(#REF!,12,IF(OFFSET(#REF!,-1,0)&gt;0,OFFSET(#REF!,-1,0)-1,0))</f>
        <v>#REF!</v>
      </c>
    </row>
    <row r="58" spans="1:41" x14ac:dyDescent="0.25">
      <c r="A58" s="130" t="e">
        <f>#REF!</f>
        <v>#REF!</v>
      </c>
      <c r="B58" s="133" t="e">
        <f>#REF!</f>
        <v>#REF!</v>
      </c>
      <c r="C58" s="39" t="e">
        <f>#REF!</f>
        <v>#REF!</v>
      </c>
      <c r="D58" s="135" t="e">
        <f ca="1">MIN(1,OFFSET(#REF!,-1,0)+0.04+ROUNDDOWN(10*OFFSET(#REF!,-1,0),0)+ tech_2_7*OFFSET(#REF!,-1,0) + tech_5_6*OFFSET(#REF!,-1,0) )-#REF!</f>
        <v>#REF!</v>
      </c>
      <c r="E58" s="147" t="e">
        <f ca="1">OFFSET(#REF!,-1,0)+1/24</f>
        <v>#REF!</v>
      </c>
      <c r="F58" s="135" t="e">
        <f>#REF!</f>
        <v>#REF!</v>
      </c>
      <c r="G58" s="210"/>
      <c r="H58" s="210"/>
      <c r="I58" s="210"/>
      <c r="J58" s="210"/>
      <c r="K58" s="386"/>
      <c r="L58" s="210"/>
      <c r="M58" s="210"/>
      <c r="N58" s="210"/>
      <c r="O58" s="210"/>
      <c r="P58" s="210"/>
      <c r="Q58" s="210"/>
      <c r="R58" s="210"/>
      <c r="S58" s="210"/>
      <c r="T58" s="210"/>
      <c r="U58" s="210"/>
      <c r="V58" s="210"/>
      <c r="W58" s="134"/>
      <c r="X58" s="39" t="e">
        <f>(MAX(1-wg_spell_cost_cap,1-wg_spell_cost_red*ROUND(#REF!/#REF!,4))+ tech_3_9*#REF! + tech_6_2_2*#REF! )*(#REF!-#REF!*20)*(#REF!* Constants!$B$75 +#REF!* Constants!$B$76 +#REF!* Constants!$B$77 +#REF!* Constants!$B$79 +#REF!* Constants!$B$78  + SUM(#REF!)*Constants!$B$80*(1+tech_9_3*#REF!))</f>
        <v>#REF!</v>
      </c>
      <c r="Y58" s="135" t="e">
        <f>SUMIF(#REF!,1)*0.05</f>
        <v>#REF!</v>
      </c>
      <c r="Z58" s="134"/>
      <c r="AA58" s="57" t="e">
        <f ca="1">IF(#REF!,12,IF(OFFSET(#REF!,-1,0)&gt;0,OFFSET(#REF!,-1,0)-1,0))</f>
        <v>#REF!</v>
      </c>
      <c r="AB58" s="57" t="e">
        <f ca="1">IF(#REF!,12,IF(OFFSET(#REF!,-1,0)&gt;0,OFFSET(#REF!,-1,0)-1,0))</f>
        <v>#REF!</v>
      </c>
      <c r="AC58" s="57" t="e">
        <f ca="1">IF(#REF!,12,IF(OFFSET(#REF!,-1,0)&gt;0,OFFSET(#REF!,-1,0)-1,0))</f>
        <v>#REF!</v>
      </c>
      <c r="AD58" s="57" t="e">
        <f ca="1">IF(#REF!,12,IF(OFFSET(#REF!,-1,0)&gt;0,OFFSET(#REF!,-1,0)-1,0))</f>
        <v>#REF!</v>
      </c>
      <c r="AE58" s="57" t="e">
        <f ca="1">IF(#REF!,12,IF(OFFSET(#REF!,-1,0)&gt;0,OFFSET(#REF!,-1,0)-1,0))</f>
        <v>#REF!</v>
      </c>
      <c r="AF58" s="57" t="e">
        <f ca="1">IF(#REF!,12,IF(OFFSET(#REF!,-1,0)&gt;0,OFFSET(#REF!,-1,0)-1,0))</f>
        <v>#REF!</v>
      </c>
      <c r="AG58" s="57" t="e">
        <f ca="1">IF(#REF!,12,IF(OFFSET(#REF!,-1,0)&gt;0,OFFSET(#REF!,-1,0)-1,0))</f>
        <v>#REF!</v>
      </c>
      <c r="AH58" s="57" t="e">
        <f ca="1">IF(#REF!,12,IF(OFFSET(#REF!,-1,0)&gt;0,OFFSET(#REF!,-1,0)-1,0))</f>
        <v>#REF!</v>
      </c>
      <c r="AI58" s="57" t="e">
        <f ca="1">IF(#REF!,12,IF(OFFSET(#REF!,-1,0)&gt;0,OFFSET(#REF!,-1,0)-1,0))</f>
        <v>#REF!</v>
      </c>
      <c r="AJ58" s="57" t="e">
        <f ca="1">IF(#REF!,12,IF(OFFSET(#REF!,-1,0)&gt;0,OFFSET(#REF!,-1,0)-1,0))</f>
        <v>#REF!</v>
      </c>
      <c r="AK58" s="57" t="e">
        <f ca="1">IF(#REF!,12,IF(OFFSET(#REF!,-1,0)&gt;0,OFFSET(#REF!,-1,0)-1,0))</f>
        <v>#REF!</v>
      </c>
      <c r="AL58" s="57" t="e">
        <f ca="1">IF(#REF!,12,IF(OFFSET(#REF!,-1,0)&gt;0,OFFSET(#REF!,-1,0)-1,0))</f>
        <v>#REF!</v>
      </c>
      <c r="AM58" s="57" t="e">
        <f ca="1">IF(#REF!,12,IF(OFFSET(#REF!,-1,0)&gt;0,OFFSET(#REF!,-1,0)-1,0))</f>
        <v>#REF!</v>
      </c>
      <c r="AN58" s="57" t="e">
        <f ca="1">IF(#REF!,12,IF(OFFSET(#REF!,-1,0)&gt;0,OFFSET(#REF!,-1,0)-1,0))</f>
        <v>#REF!</v>
      </c>
      <c r="AO58" s="57" t="e">
        <f ca="1">IF(#REF!,12,IF(OFFSET(#REF!,-1,0)&gt;0,OFFSET(#REF!,-1,0)-1,0))</f>
        <v>#REF!</v>
      </c>
    </row>
    <row r="59" spans="1:41" x14ac:dyDescent="0.25">
      <c r="A59" s="130" t="e">
        <f>#REF!</f>
        <v>#REF!</v>
      </c>
      <c r="B59" s="133" t="e">
        <f>#REF!</f>
        <v>#REF!</v>
      </c>
      <c r="C59" s="39" t="e">
        <f>#REF!</f>
        <v>#REF!</v>
      </c>
      <c r="D59" s="135" t="e">
        <f ca="1">MIN(1,OFFSET(#REF!,-1,0)+0.04+ROUNDDOWN(10*OFFSET(#REF!,-1,0),0)+ tech_2_7*OFFSET(#REF!,-1,0) + tech_5_6*OFFSET(#REF!,-1,0) )-#REF!</f>
        <v>#REF!</v>
      </c>
      <c r="E59" s="147" t="e">
        <f ca="1">OFFSET(#REF!,-1,0)+1/24</f>
        <v>#REF!</v>
      </c>
      <c r="F59" s="135" t="e">
        <f>#REF!</f>
        <v>#REF!</v>
      </c>
      <c r="G59" s="210"/>
      <c r="H59" s="210"/>
      <c r="I59" s="210"/>
      <c r="J59" s="210"/>
      <c r="K59" s="386"/>
      <c r="L59" s="210"/>
      <c r="M59" s="210"/>
      <c r="N59" s="210"/>
      <c r="O59" s="210"/>
      <c r="P59" s="210"/>
      <c r="Q59" s="210"/>
      <c r="R59" s="210"/>
      <c r="S59" s="210"/>
      <c r="T59" s="210"/>
      <c r="U59" s="210"/>
      <c r="V59" s="210"/>
      <c r="W59" s="134"/>
      <c r="X59" s="39" t="e">
        <f>(MAX(1-wg_spell_cost_cap,1-wg_spell_cost_red*ROUND(#REF!/#REF!,4))+ tech_3_9*#REF! + tech_6_2_2*#REF! )*(#REF!-#REF!*20)*(#REF!* Constants!$B$75 +#REF!* Constants!$B$76 +#REF!* Constants!$B$77 +#REF!* Constants!$B$79 +#REF!* Constants!$B$78  + SUM(#REF!)*Constants!$B$80*(1+tech_9_3*#REF!))</f>
        <v>#REF!</v>
      </c>
      <c r="Y59" s="135" t="e">
        <f>SUMIF(#REF!,1)*0.05</f>
        <v>#REF!</v>
      </c>
      <c r="Z59" s="134"/>
      <c r="AA59" s="57" t="e">
        <f ca="1">IF(#REF!,12,IF(OFFSET(#REF!,-1,0)&gt;0,OFFSET(#REF!,-1,0)-1,0))</f>
        <v>#REF!</v>
      </c>
      <c r="AB59" s="57" t="e">
        <f ca="1">IF(#REF!,12,IF(OFFSET(#REF!,-1,0)&gt;0,OFFSET(#REF!,-1,0)-1,0))</f>
        <v>#REF!</v>
      </c>
      <c r="AC59" s="57" t="e">
        <f ca="1">IF(#REF!,12,IF(OFFSET(#REF!,-1,0)&gt;0,OFFSET(#REF!,-1,0)-1,0))</f>
        <v>#REF!</v>
      </c>
      <c r="AD59" s="57" t="e">
        <f ca="1">IF(#REF!,12,IF(OFFSET(#REF!,-1,0)&gt;0,OFFSET(#REF!,-1,0)-1,0))</f>
        <v>#REF!</v>
      </c>
      <c r="AE59" s="57" t="e">
        <f ca="1">IF(#REF!,12,IF(OFFSET(#REF!,-1,0)&gt;0,OFFSET(#REF!,-1,0)-1,0))</f>
        <v>#REF!</v>
      </c>
      <c r="AF59" s="57" t="e">
        <f ca="1">IF(#REF!,12,IF(OFFSET(#REF!,-1,0)&gt;0,OFFSET(#REF!,-1,0)-1,0))</f>
        <v>#REF!</v>
      </c>
      <c r="AG59" s="57" t="e">
        <f ca="1">IF(#REF!,12,IF(OFFSET(#REF!,-1,0)&gt;0,OFFSET(#REF!,-1,0)-1,0))</f>
        <v>#REF!</v>
      </c>
      <c r="AH59" s="57" t="e">
        <f ca="1">IF(#REF!,12,IF(OFFSET(#REF!,-1,0)&gt;0,OFFSET(#REF!,-1,0)-1,0))</f>
        <v>#REF!</v>
      </c>
      <c r="AI59" s="57" t="e">
        <f ca="1">IF(#REF!,12,IF(OFFSET(#REF!,-1,0)&gt;0,OFFSET(#REF!,-1,0)-1,0))</f>
        <v>#REF!</v>
      </c>
      <c r="AJ59" s="57" t="e">
        <f ca="1">IF(#REF!,12,IF(OFFSET(#REF!,-1,0)&gt;0,OFFSET(#REF!,-1,0)-1,0))</f>
        <v>#REF!</v>
      </c>
      <c r="AK59" s="57" t="e">
        <f ca="1">IF(#REF!,12,IF(OFFSET(#REF!,-1,0)&gt;0,OFFSET(#REF!,-1,0)-1,0))</f>
        <v>#REF!</v>
      </c>
      <c r="AL59" s="57" t="e">
        <f ca="1">IF(#REF!,12,IF(OFFSET(#REF!,-1,0)&gt;0,OFFSET(#REF!,-1,0)-1,0))</f>
        <v>#REF!</v>
      </c>
      <c r="AM59" s="57" t="e">
        <f ca="1">IF(#REF!,12,IF(OFFSET(#REF!,-1,0)&gt;0,OFFSET(#REF!,-1,0)-1,0))</f>
        <v>#REF!</v>
      </c>
      <c r="AN59" s="57" t="e">
        <f ca="1">IF(#REF!,12,IF(OFFSET(#REF!,-1,0)&gt;0,OFFSET(#REF!,-1,0)-1,0))</f>
        <v>#REF!</v>
      </c>
      <c r="AO59" s="57" t="e">
        <f ca="1">IF(#REF!,12,IF(OFFSET(#REF!,-1,0)&gt;0,OFFSET(#REF!,-1,0)-1,0))</f>
        <v>#REF!</v>
      </c>
    </row>
    <row r="60" spans="1:41" x14ac:dyDescent="0.25">
      <c r="A60" s="130" t="e">
        <f>#REF!</f>
        <v>#REF!</v>
      </c>
      <c r="B60" s="133" t="e">
        <f>#REF!</f>
        <v>#REF!</v>
      </c>
      <c r="C60" s="39" t="e">
        <f>#REF!</f>
        <v>#REF!</v>
      </c>
      <c r="D60" s="135" t="e">
        <f ca="1">MIN(1,OFFSET(#REF!,-1,0)+0.04+ROUNDDOWN(10*OFFSET(#REF!,-1,0),0)+ tech_2_7*OFFSET(#REF!,-1,0) + tech_5_6*OFFSET(#REF!,-1,0) )-#REF!</f>
        <v>#REF!</v>
      </c>
      <c r="E60" s="147" t="e">
        <f ca="1">OFFSET(#REF!,-1,0)+1/24</f>
        <v>#REF!</v>
      </c>
      <c r="F60" s="135" t="e">
        <f>#REF!</f>
        <v>#REF!</v>
      </c>
      <c r="G60" s="210"/>
      <c r="H60" s="210"/>
      <c r="I60" s="210"/>
      <c r="J60" s="210"/>
      <c r="K60" s="386"/>
      <c r="L60" s="210"/>
      <c r="M60" s="210"/>
      <c r="N60" s="210"/>
      <c r="O60" s="210"/>
      <c r="P60" s="210"/>
      <c r="Q60" s="210"/>
      <c r="R60" s="210"/>
      <c r="S60" s="210"/>
      <c r="T60" s="210"/>
      <c r="U60" s="210"/>
      <c r="V60" s="210"/>
      <c r="W60" s="134"/>
      <c r="X60" s="39" t="e">
        <f>(MAX(1-wg_spell_cost_cap,1-wg_spell_cost_red*ROUND(#REF!/#REF!,4))+ tech_3_9*#REF! + tech_6_2_2*#REF! )*(#REF!-#REF!*20)*(#REF!* Constants!$B$75 +#REF!* Constants!$B$76 +#REF!* Constants!$B$77 +#REF!* Constants!$B$79 +#REF!* Constants!$B$78  + SUM(#REF!)*Constants!$B$80*(1+tech_9_3*#REF!))</f>
        <v>#REF!</v>
      </c>
      <c r="Y60" s="135" t="e">
        <f>SUMIF(#REF!,1)*0.05</f>
        <v>#REF!</v>
      </c>
      <c r="Z60" s="134"/>
      <c r="AA60" s="57" t="e">
        <f ca="1">IF(#REF!,12,IF(OFFSET(#REF!,-1,0)&gt;0,OFFSET(#REF!,-1,0)-1,0))</f>
        <v>#REF!</v>
      </c>
      <c r="AB60" s="57" t="e">
        <f ca="1">IF(#REF!,12,IF(OFFSET(#REF!,-1,0)&gt;0,OFFSET(#REF!,-1,0)-1,0))</f>
        <v>#REF!</v>
      </c>
      <c r="AC60" s="57" t="e">
        <f ca="1">IF(#REF!,12,IF(OFFSET(#REF!,-1,0)&gt;0,OFFSET(#REF!,-1,0)-1,0))</f>
        <v>#REF!</v>
      </c>
      <c r="AD60" s="57" t="e">
        <f ca="1">IF(#REF!,12,IF(OFFSET(#REF!,-1,0)&gt;0,OFFSET(#REF!,-1,0)-1,0))</f>
        <v>#REF!</v>
      </c>
      <c r="AE60" s="57" t="e">
        <f ca="1">IF(#REF!,12,IF(OFFSET(#REF!,-1,0)&gt;0,OFFSET(#REF!,-1,0)-1,0))</f>
        <v>#REF!</v>
      </c>
      <c r="AF60" s="57" t="e">
        <f ca="1">IF(#REF!,12,IF(OFFSET(#REF!,-1,0)&gt;0,OFFSET(#REF!,-1,0)-1,0))</f>
        <v>#REF!</v>
      </c>
      <c r="AG60" s="57" t="e">
        <f ca="1">IF(#REF!,12,IF(OFFSET(#REF!,-1,0)&gt;0,OFFSET(#REF!,-1,0)-1,0))</f>
        <v>#REF!</v>
      </c>
      <c r="AH60" s="57" t="e">
        <f ca="1">IF(#REF!,12,IF(OFFSET(#REF!,-1,0)&gt;0,OFFSET(#REF!,-1,0)-1,0))</f>
        <v>#REF!</v>
      </c>
      <c r="AI60" s="57" t="e">
        <f ca="1">IF(#REF!,12,IF(OFFSET(#REF!,-1,0)&gt;0,OFFSET(#REF!,-1,0)-1,0))</f>
        <v>#REF!</v>
      </c>
      <c r="AJ60" s="57" t="e">
        <f ca="1">IF(#REF!,12,IF(OFFSET(#REF!,-1,0)&gt;0,OFFSET(#REF!,-1,0)-1,0))</f>
        <v>#REF!</v>
      </c>
      <c r="AK60" s="57" t="e">
        <f ca="1">IF(#REF!,12,IF(OFFSET(#REF!,-1,0)&gt;0,OFFSET(#REF!,-1,0)-1,0))</f>
        <v>#REF!</v>
      </c>
      <c r="AL60" s="57" t="e">
        <f ca="1">IF(#REF!,12,IF(OFFSET(#REF!,-1,0)&gt;0,OFFSET(#REF!,-1,0)-1,0))</f>
        <v>#REF!</v>
      </c>
      <c r="AM60" s="57" t="e">
        <f ca="1">IF(#REF!,12,IF(OFFSET(#REF!,-1,0)&gt;0,OFFSET(#REF!,-1,0)-1,0))</f>
        <v>#REF!</v>
      </c>
      <c r="AN60" s="57" t="e">
        <f ca="1">IF(#REF!,12,IF(OFFSET(#REF!,-1,0)&gt;0,OFFSET(#REF!,-1,0)-1,0))</f>
        <v>#REF!</v>
      </c>
      <c r="AO60" s="57" t="e">
        <f ca="1">IF(#REF!,12,IF(OFFSET(#REF!,-1,0)&gt;0,OFFSET(#REF!,-1,0)-1,0))</f>
        <v>#REF!</v>
      </c>
    </row>
    <row r="61" spans="1:41" x14ac:dyDescent="0.25">
      <c r="A61" s="130" t="e">
        <f>#REF!</f>
        <v>#REF!</v>
      </c>
      <c r="B61" s="133" t="e">
        <f>#REF!</f>
        <v>#REF!</v>
      </c>
      <c r="C61" s="39" t="e">
        <f>#REF!</f>
        <v>#REF!</v>
      </c>
      <c r="D61" s="135" t="e">
        <f ca="1">MIN(1,OFFSET(#REF!,-1,0)+0.04+ROUNDDOWN(10*OFFSET(#REF!,-1,0),0)+ tech_2_7*OFFSET(#REF!,-1,0) + tech_5_6*OFFSET(#REF!,-1,0) )-#REF!</f>
        <v>#REF!</v>
      </c>
      <c r="E61" s="147" t="e">
        <f ca="1">OFFSET(#REF!,-1,0)+1/24</f>
        <v>#REF!</v>
      </c>
      <c r="F61" s="135" t="e">
        <f>#REF!</f>
        <v>#REF!</v>
      </c>
      <c r="G61" s="210"/>
      <c r="H61" s="210"/>
      <c r="I61" s="210"/>
      <c r="J61" s="210"/>
      <c r="K61" s="386"/>
      <c r="L61" s="210"/>
      <c r="M61" s="210"/>
      <c r="N61" s="210"/>
      <c r="O61" s="210"/>
      <c r="P61" s="210"/>
      <c r="Q61" s="210"/>
      <c r="R61" s="210"/>
      <c r="S61" s="210"/>
      <c r="T61" s="210"/>
      <c r="U61" s="210"/>
      <c r="V61" s="210"/>
      <c r="W61" s="134"/>
      <c r="X61" s="39" t="e">
        <f>(MAX(1-wg_spell_cost_cap,1-wg_spell_cost_red*ROUND(#REF!/#REF!,4))+ tech_3_9*#REF! + tech_6_2_2*#REF! )*(#REF!-#REF!*20)*(#REF!* Constants!$B$75 +#REF!* Constants!$B$76 +#REF!* Constants!$B$77 +#REF!* Constants!$B$79 +#REF!* Constants!$B$78  + SUM(#REF!)*Constants!$B$80*(1+tech_9_3*#REF!))</f>
        <v>#REF!</v>
      </c>
      <c r="Y61" s="135" t="e">
        <f>SUMIF(#REF!,1)*0.05</f>
        <v>#REF!</v>
      </c>
      <c r="Z61" s="134"/>
      <c r="AA61" s="57" t="e">
        <f ca="1">IF(#REF!,12,IF(OFFSET(#REF!,-1,0)&gt;0,OFFSET(#REF!,-1,0)-1,0))</f>
        <v>#REF!</v>
      </c>
      <c r="AB61" s="57" t="e">
        <f ca="1">IF(#REF!,12,IF(OFFSET(#REF!,-1,0)&gt;0,OFFSET(#REF!,-1,0)-1,0))</f>
        <v>#REF!</v>
      </c>
      <c r="AC61" s="57" t="e">
        <f ca="1">IF(#REF!,12,IF(OFFSET(#REF!,-1,0)&gt;0,OFFSET(#REF!,-1,0)-1,0))</f>
        <v>#REF!</v>
      </c>
      <c r="AD61" s="57" t="e">
        <f ca="1">IF(#REF!,12,IF(OFFSET(#REF!,-1,0)&gt;0,OFFSET(#REF!,-1,0)-1,0))</f>
        <v>#REF!</v>
      </c>
      <c r="AE61" s="57" t="e">
        <f ca="1">IF(#REF!,12,IF(OFFSET(#REF!,-1,0)&gt;0,OFFSET(#REF!,-1,0)-1,0))</f>
        <v>#REF!</v>
      </c>
      <c r="AF61" s="57" t="e">
        <f ca="1">IF(#REF!,12,IF(OFFSET(#REF!,-1,0)&gt;0,OFFSET(#REF!,-1,0)-1,0))</f>
        <v>#REF!</v>
      </c>
      <c r="AG61" s="57" t="e">
        <f ca="1">IF(#REF!,12,IF(OFFSET(#REF!,-1,0)&gt;0,OFFSET(#REF!,-1,0)-1,0))</f>
        <v>#REF!</v>
      </c>
      <c r="AH61" s="57" t="e">
        <f ca="1">IF(#REF!,12,IF(OFFSET(#REF!,-1,0)&gt;0,OFFSET(#REF!,-1,0)-1,0))</f>
        <v>#REF!</v>
      </c>
      <c r="AI61" s="57" t="e">
        <f ca="1">IF(#REF!,12,IF(OFFSET(#REF!,-1,0)&gt;0,OFFSET(#REF!,-1,0)-1,0))</f>
        <v>#REF!</v>
      </c>
      <c r="AJ61" s="57" t="e">
        <f ca="1">IF(#REF!,12,IF(OFFSET(#REF!,-1,0)&gt;0,OFFSET(#REF!,-1,0)-1,0))</f>
        <v>#REF!</v>
      </c>
      <c r="AK61" s="57" t="e">
        <f ca="1">IF(#REF!,12,IF(OFFSET(#REF!,-1,0)&gt;0,OFFSET(#REF!,-1,0)-1,0))</f>
        <v>#REF!</v>
      </c>
      <c r="AL61" s="57" t="e">
        <f ca="1">IF(#REF!,12,IF(OFFSET(#REF!,-1,0)&gt;0,OFFSET(#REF!,-1,0)-1,0))</f>
        <v>#REF!</v>
      </c>
      <c r="AM61" s="57" t="e">
        <f ca="1">IF(#REF!,12,IF(OFFSET(#REF!,-1,0)&gt;0,OFFSET(#REF!,-1,0)-1,0))</f>
        <v>#REF!</v>
      </c>
      <c r="AN61" s="57" t="e">
        <f ca="1">IF(#REF!,12,IF(OFFSET(#REF!,-1,0)&gt;0,OFFSET(#REF!,-1,0)-1,0))</f>
        <v>#REF!</v>
      </c>
      <c r="AO61" s="57" t="e">
        <f ca="1">IF(#REF!,12,IF(OFFSET(#REF!,-1,0)&gt;0,OFFSET(#REF!,-1,0)-1,0))</f>
        <v>#REF!</v>
      </c>
    </row>
    <row r="62" spans="1:41" x14ac:dyDescent="0.25">
      <c r="A62" s="130" t="e">
        <f>#REF!</f>
        <v>#REF!</v>
      </c>
      <c r="B62" s="133" t="e">
        <f>#REF!</f>
        <v>#REF!</v>
      </c>
      <c r="C62" s="39" t="e">
        <f>#REF!</f>
        <v>#REF!</v>
      </c>
      <c r="D62" s="135" t="e">
        <f ca="1">MIN(1,OFFSET(#REF!,-1,0)+0.04+ROUNDDOWN(10*OFFSET(#REF!,-1,0),0)+ tech_2_7*OFFSET(#REF!,-1,0) + tech_5_6*OFFSET(#REF!,-1,0) )-#REF!</f>
        <v>#REF!</v>
      </c>
      <c r="E62" s="147" t="e">
        <f ca="1">OFFSET(#REF!,-1,0)+1/24</f>
        <v>#REF!</v>
      </c>
      <c r="F62" s="135" t="e">
        <f>#REF!</f>
        <v>#REF!</v>
      </c>
      <c r="G62" s="210"/>
      <c r="H62" s="210"/>
      <c r="I62" s="210"/>
      <c r="J62" s="210"/>
      <c r="K62" s="386"/>
      <c r="L62" s="210"/>
      <c r="M62" s="210"/>
      <c r="N62" s="210"/>
      <c r="O62" s="210"/>
      <c r="P62" s="210"/>
      <c r="Q62" s="210"/>
      <c r="R62" s="210"/>
      <c r="S62" s="210"/>
      <c r="T62" s="210"/>
      <c r="U62" s="210"/>
      <c r="V62" s="210"/>
      <c r="W62" s="134"/>
      <c r="X62" s="39" t="e">
        <f>(MAX(1-wg_spell_cost_cap,1-wg_spell_cost_red*ROUND(#REF!/#REF!,4))+ tech_3_9*#REF! + tech_6_2_2*#REF! )*(#REF!-#REF!*20)*(#REF!* Constants!$B$75 +#REF!* Constants!$B$76 +#REF!* Constants!$B$77 +#REF!* Constants!$B$79 +#REF!* Constants!$B$78  + SUM(#REF!)*Constants!$B$80*(1+tech_9_3*#REF!))</f>
        <v>#REF!</v>
      </c>
      <c r="Y62" s="135" t="e">
        <f>SUMIF(#REF!,1)*0.05</f>
        <v>#REF!</v>
      </c>
      <c r="Z62" s="134"/>
      <c r="AA62" s="57" t="e">
        <f ca="1">IF(#REF!,12,IF(OFFSET(#REF!,-1,0)&gt;0,OFFSET(#REF!,-1,0)-1,0))</f>
        <v>#REF!</v>
      </c>
      <c r="AB62" s="57" t="e">
        <f ca="1">IF(#REF!,12,IF(OFFSET(#REF!,-1,0)&gt;0,OFFSET(#REF!,-1,0)-1,0))</f>
        <v>#REF!</v>
      </c>
      <c r="AC62" s="57" t="e">
        <f ca="1">IF(#REF!,12,IF(OFFSET(#REF!,-1,0)&gt;0,OFFSET(#REF!,-1,0)-1,0))</f>
        <v>#REF!</v>
      </c>
      <c r="AD62" s="57" t="e">
        <f ca="1">IF(#REF!,12,IF(OFFSET(#REF!,-1,0)&gt;0,OFFSET(#REF!,-1,0)-1,0))</f>
        <v>#REF!</v>
      </c>
      <c r="AE62" s="57" t="e">
        <f ca="1">IF(#REF!,12,IF(OFFSET(#REF!,-1,0)&gt;0,OFFSET(#REF!,-1,0)-1,0))</f>
        <v>#REF!</v>
      </c>
      <c r="AF62" s="57" t="e">
        <f ca="1">IF(#REF!,12,IF(OFFSET(#REF!,-1,0)&gt;0,OFFSET(#REF!,-1,0)-1,0))</f>
        <v>#REF!</v>
      </c>
      <c r="AG62" s="57" t="e">
        <f ca="1">IF(#REF!,12,IF(OFFSET(#REF!,-1,0)&gt;0,OFFSET(#REF!,-1,0)-1,0))</f>
        <v>#REF!</v>
      </c>
      <c r="AH62" s="57" t="e">
        <f ca="1">IF(#REF!,12,IF(OFFSET(#REF!,-1,0)&gt;0,OFFSET(#REF!,-1,0)-1,0))</f>
        <v>#REF!</v>
      </c>
      <c r="AI62" s="57" t="e">
        <f ca="1">IF(#REF!,12,IF(OFFSET(#REF!,-1,0)&gt;0,OFFSET(#REF!,-1,0)-1,0))</f>
        <v>#REF!</v>
      </c>
      <c r="AJ62" s="57" t="e">
        <f ca="1">IF(#REF!,12,IF(OFFSET(#REF!,-1,0)&gt;0,OFFSET(#REF!,-1,0)-1,0))</f>
        <v>#REF!</v>
      </c>
      <c r="AK62" s="57" t="e">
        <f ca="1">IF(#REF!,12,IF(OFFSET(#REF!,-1,0)&gt;0,OFFSET(#REF!,-1,0)-1,0))</f>
        <v>#REF!</v>
      </c>
      <c r="AL62" s="57" t="e">
        <f ca="1">IF(#REF!,12,IF(OFFSET(#REF!,-1,0)&gt;0,OFFSET(#REF!,-1,0)-1,0))</f>
        <v>#REF!</v>
      </c>
      <c r="AM62" s="57" t="e">
        <f ca="1">IF(#REF!,12,IF(OFFSET(#REF!,-1,0)&gt;0,OFFSET(#REF!,-1,0)-1,0))</f>
        <v>#REF!</v>
      </c>
      <c r="AN62" s="57" t="e">
        <f ca="1">IF(#REF!,12,IF(OFFSET(#REF!,-1,0)&gt;0,OFFSET(#REF!,-1,0)-1,0))</f>
        <v>#REF!</v>
      </c>
      <c r="AO62" s="57" t="e">
        <f ca="1">IF(#REF!,12,IF(OFFSET(#REF!,-1,0)&gt;0,OFFSET(#REF!,-1,0)-1,0))</f>
        <v>#REF!</v>
      </c>
    </row>
    <row r="63" spans="1:41" x14ac:dyDescent="0.25">
      <c r="A63" s="130" t="e">
        <f>#REF!</f>
        <v>#REF!</v>
      </c>
      <c r="B63" s="133" t="e">
        <f>#REF!</f>
        <v>#REF!</v>
      </c>
      <c r="C63" s="39" t="e">
        <f>#REF!</f>
        <v>#REF!</v>
      </c>
      <c r="D63" s="135" t="e">
        <f ca="1">MIN(1,OFFSET(#REF!,-1,0)+0.04+ROUNDDOWN(10*OFFSET(#REF!,-1,0),0)+ tech_2_7*OFFSET(#REF!,-1,0) + tech_5_6*OFFSET(#REF!,-1,0) )-#REF!</f>
        <v>#REF!</v>
      </c>
      <c r="E63" s="147" t="e">
        <f ca="1">OFFSET(#REF!,-1,0)+1/24</f>
        <v>#REF!</v>
      </c>
      <c r="F63" s="135" t="e">
        <f>#REF!</f>
        <v>#REF!</v>
      </c>
      <c r="G63" s="210"/>
      <c r="H63" s="210"/>
      <c r="I63" s="210"/>
      <c r="J63" s="210"/>
      <c r="K63" s="386"/>
      <c r="L63" s="210"/>
      <c r="M63" s="210"/>
      <c r="N63" s="210"/>
      <c r="O63" s="210"/>
      <c r="P63" s="210"/>
      <c r="Q63" s="210"/>
      <c r="R63" s="210"/>
      <c r="S63" s="210"/>
      <c r="T63" s="210"/>
      <c r="U63" s="210"/>
      <c r="V63" s="210"/>
      <c r="W63" s="134"/>
      <c r="X63" s="39" t="e">
        <f>(MAX(1-wg_spell_cost_cap,1-wg_spell_cost_red*ROUND(#REF!/#REF!,4))+ tech_3_9*#REF! + tech_6_2_2*#REF! )*(#REF!-#REF!*20)*(#REF!* Constants!$B$75 +#REF!* Constants!$B$76 +#REF!* Constants!$B$77 +#REF!* Constants!$B$79 +#REF!* Constants!$B$78  + SUM(#REF!)*Constants!$B$80*(1+tech_9_3*#REF!))</f>
        <v>#REF!</v>
      </c>
      <c r="Y63" s="135" t="e">
        <f>SUMIF(#REF!,1)*0.05</f>
        <v>#REF!</v>
      </c>
      <c r="Z63" s="134"/>
      <c r="AA63" s="57" t="e">
        <f ca="1">IF(#REF!,12,IF(OFFSET(#REF!,-1,0)&gt;0,OFFSET(#REF!,-1,0)-1,0))</f>
        <v>#REF!</v>
      </c>
      <c r="AB63" s="57" t="e">
        <f ca="1">IF(#REF!,12,IF(OFFSET(#REF!,-1,0)&gt;0,OFFSET(#REF!,-1,0)-1,0))</f>
        <v>#REF!</v>
      </c>
      <c r="AC63" s="57" t="e">
        <f ca="1">IF(#REF!,12,IF(OFFSET(#REF!,-1,0)&gt;0,OFFSET(#REF!,-1,0)-1,0))</f>
        <v>#REF!</v>
      </c>
      <c r="AD63" s="57" t="e">
        <f ca="1">IF(#REF!,12,IF(OFFSET(#REF!,-1,0)&gt;0,OFFSET(#REF!,-1,0)-1,0))</f>
        <v>#REF!</v>
      </c>
      <c r="AE63" s="57" t="e">
        <f ca="1">IF(#REF!,12,IF(OFFSET(#REF!,-1,0)&gt;0,OFFSET(#REF!,-1,0)-1,0))</f>
        <v>#REF!</v>
      </c>
      <c r="AF63" s="57" t="e">
        <f ca="1">IF(#REF!,12,IF(OFFSET(#REF!,-1,0)&gt;0,OFFSET(#REF!,-1,0)-1,0))</f>
        <v>#REF!</v>
      </c>
      <c r="AG63" s="57" t="e">
        <f ca="1">IF(#REF!,12,IF(OFFSET(#REF!,-1,0)&gt;0,OFFSET(#REF!,-1,0)-1,0))</f>
        <v>#REF!</v>
      </c>
      <c r="AH63" s="57" t="e">
        <f ca="1">IF(#REF!,12,IF(OFFSET(#REF!,-1,0)&gt;0,OFFSET(#REF!,-1,0)-1,0))</f>
        <v>#REF!</v>
      </c>
      <c r="AI63" s="57" t="e">
        <f ca="1">IF(#REF!,12,IF(OFFSET(#REF!,-1,0)&gt;0,OFFSET(#REF!,-1,0)-1,0))</f>
        <v>#REF!</v>
      </c>
      <c r="AJ63" s="57" t="e">
        <f ca="1">IF(#REF!,12,IF(OFFSET(#REF!,-1,0)&gt;0,OFFSET(#REF!,-1,0)-1,0))</f>
        <v>#REF!</v>
      </c>
      <c r="AK63" s="57" t="e">
        <f ca="1">IF(#REF!,12,IF(OFFSET(#REF!,-1,0)&gt;0,OFFSET(#REF!,-1,0)-1,0))</f>
        <v>#REF!</v>
      </c>
      <c r="AL63" s="57" t="e">
        <f ca="1">IF(#REF!,12,IF(OFFSET(#REF!,-1,0)&gt;0,OFFSET(#REF!,-1,0)-1,0))</f>
        <v>#REF!</v>
      </c>
      <c r="AM63" s="57" t="e">
        <f ca="1">IF(#REF!,12,IF(OFFSET(#REF!,-1,0)&gt;0,OFFSET(#REF!,-1,0)-1,0))</f>
        <v>#REF!</v>
      </c>
      <c r="AN63" s="57" t="e">
        <f ca="1">IF(#REF!,12,IF(OFFSET(#REF!,-1,0)&gt;0,OFFSET(#REF!,-1,0)-1,0))</f>
        <v>#REF!</v>
      </c>
      <c r="AO63" s="57" t="e">
        <f ca="1">IF(#REF!,12,IF(OFFSET(#REF!,-1,0)&gt;0,OFFSET(#REF!,-1,0)-1,0))</f>
        <v>#REF!</v>
      </c>
    </row>
    <row r="64" spans="1:41" x14ac:dyDescent="0.25">
      <c r="A64" s="130" t="e">
        <f>#REF!</f>
        <v>#REF!</v>
      </c>
      <c r="B64" s="133" t="e">
        <f>#REF!</f>
        <v>#REF!</v>
      </c>
      <c r="C64" s="39" t="e">
        <f>#REF!</f>
        <v>#REF!</v>
      </c>
      <c r="D64" s="135" t="e">
        <f ca="1">MIN(1,OFFSET(#REF!,-1,0)+0.04+ROUNDDOWN(10*OFFSET(#REF!,-1,0),0)+ tech_2_7*OFFSET(#REF!,-1,0) + tech_5_6*OFFSET(#REF!,-1,0) )-#REF!</f>
        <v>#REF!</v>
      </c>
      <c r="E64" s="147" t="e">
        <f ca="1">OFFSET(#REF!,-1,0)+1/24</f>
        <v>#REF!</v>
      </c>
      <c r="F64" s="135" t="e">
        <f>#REF!</f>
        <v>#REF!</v>
      </c>
      <c r="G64" s="210"/>
      <c r="H64" s="210"/>
      <c r="I64" s="210"/>
      <c r="J64" s="210"/>
      <c r="K64" s="386"/>
      <c r="L64" s="210"/>
      <c r="M64" s="210"/>
      <c r="N64" s="210"/>
      <c r="O64" s="210"/>
      <c r="P64" s="210"/>
      <c r="Q64" s="210"/>
      <c r="R64" s="210"/>
      <c r="S64" s="210"/>
      <c r="T64" s="210"/>
      <c r="U64" s="210"/>
      <c r="V64" s="210"/>
      <c r="W64" s="134"/>
      <c r="X64" s="39" t="e">
        <f>(MAX(1-wg_spell_cost_cap,1-wg_spell_cost_red*ROUND(#REF!/#REF!,4))+ tech_3_9*#REF! + tech_6_2_2*#REF! )*(#REF!-#REF!*20)*(#REF!* Constants!$B$75 +#REF!* Constants!$B$76 +#REF!* Constants!$B$77 +#REF!* Constants!$B$79 +#REF!* Constants!$B$78  + SUM(#REF!)*Constants!$B$80*(1+tech_9_3*#REF!))</f>
        <v>#REF!</v>
      </c>
      <c r="Y64" s="135" t="e">
        <f>SUMIF(#REF!,1)*0.05</f>
        <v>#REF!</v>
      </c>
      <c r="Z64" s="134"/>
      <c r="AA64" s="57" t="e">
        <f ca="1">IF(#REF!,12,IF(OFFSET(#REF!,-1,0)&gt;0,OFFSET(#REF!,-1,0)-1,0))</f>
        <v>#REF!</v>
      </c>
      <c r="AB64" s="57" t="e">
        <f ca="1">IF(#REF!,12,IF(OFFSET(#REF!,-1,0)&gt;0,OFFSET(#REF!,-1,0)-1,0))</f>
        <v>#REF!</v>
      </c>
      <c r="AC64" s="57" t="e">
        <f ca="1">IF(#REF!,12,IF(OFFSET(#REF!,-1,0)&gt;0,OFFSET(#REF!,-1,0)-1,0))</f>
        <v>#REF!</v>
      </c>
      <c r="AD64" s="57" t="e">
        <f ca="1">IF(#REF!,12,IF(OFFSET(#REF!,-1,0)&gt;0,OFFSET(#REF!,-1,0)-1,0))</f>
        <v>#REF!</v>
      </c>
      <c r="AE64" s="57" t="e">
        <f ca="1">IF(#REF!,12,IF(OFFSET(#REF!,-1,0)&gt;0,OFFSET(#REF!,-1,0)-1,0))</f>
        <v>#REF!</v>
      </c>
      <c r="AF64" s="57" t="e">
        <f ca="1">IF(#REF!,12,IF(OFFSET(#REF!,-1,0)&gt;0,OFFSET(#REF!,-1,0)-1,0))</f>
        <v>#REF!</v>
      </c>
      <c r="AG64" s="57" t="e">
        <f ca="1">IF(#REF!,12,IF(OFFSET(#REF!,-1,0)&gt;0,OFFSET(#REF!,-1,0)-1,0))</f>
        <v>#REF!</v>
      </c>
      <c r="AH64" s="57" t="e">
        <f ca="1">IF(#REF!,12,IF(OFFSET(#REF!,-1,0)&gt;0,OFFSET(#REF!,-1,0)-1,0))</f>
        <v>#REF!</v>
      </c>
      <c r="AI64" s="57" t="e">
        <f ca="1">IF(#REF!,12,IF(OFFSET(#REF!,-1,0)&gt;0,OFFSET(#REF!,-1,0)-1,0))</f>
        <v>#REF!</v>
      </c>
      <c r="AJ64" s="57" t="e">
        <f ca="1">IF(#REF!,12,IF(OFFSET(#REF!,-1,0)&gt;0,OFFSET(#REF!,-1,0)-1,0))</f>
        <v>#REF!</v>
      </c>
      <c r="AK64" s="57" t="e">
        <f ca="1">IF(#REF!,12,IF(OFFSET(#REF!,-1,0)&gt;0,OFFSET(#REF!,-1,0)-1,0))</f>
        <v>#REF!</v>
      </c>
      <c r="AL64" s="57" t="e">
        <f ca="1">IF(#REF!,12,IF(OFFSET(#REF!,-1,0)&gt;0,OFFSET(#REF!,-1,0)-1,0))</f>
        <v>#REF!</v>
      </c>
      <c r="AM64" s="57" t="e">
        <f ca="1">IF(#REF!,12,IF(OFFSET(#REF!,-1,0)&gt;0,OFFSET(#REF!,-1,0)-1,0))</f>
        <v>#REF!</v>
      </c>
      <c r="AN64" s="57" t="e">
        <f ca="1">IF(#REF!,12,IF(OFFSET(#REF!,-1,0)&gt;0,OFFSET(#REF!,-1,0)-1,0))</f>
        <v>#REF!</v>
      </c>
      <c r="AO64" s="57" t="e">
        <f ca="1">IF(#REF!,12,IF(OFFSET(#REF!,-1,0)&gt;0,OFFSET(#REF!,-1,0)-1,0))</f>
        <v>#REF!</v>
      </c>
    </row>
    <row r="65" spans="1:41" x14ac:dyDescent="0.25">
      <c r="A65" s="130" t="e">
        <f>#REF!</f>
        <v>#REF!</v>
      </c>
      <c r="B65" s="133" t="e">
        <f>#REF!</f>
        <v>#REF!</v>
      </c>
      <c r="C65" s="39" t="e">
        <f>#REF!</f>
        <v>#REF!</v>
      </c>
      <c r="D65" s="135" t="e">
        <f ca="1">MIN(1,OFFSET(#REF!,-1,0)+0.04+ROUNDDOWN(10*OFFSET(#REF!,-1,0),0)+ tech_2_7*OFFSET(#REF!,-1,0) + tech_5_6*OFFSET(#REF!,-1,0) )-#REF!</f>
        <v>#REF!</v>
      </c>
      <c r="E65" s="147" t="e">
        <f ca="1">OFFSET(#REF!,-1,0)+1/24</f>
        <v>#REF!</v>
      </c>
      <c r="F65" s="135" t="e">
        <f>#REF!</f>
        <v>#REF!</v>
      </c>
      <c r="G65" s="210"/>
      <c r="H65" s="210"/>
      <c r="I65" s="210"/>
      <c r="J65" s="210"/>
      <c r="K65" s="386"/>
      <c r="L65" s="210"/>
      <c r="M65" s="210"/>
      <c r="N65" s="210"/>
      <c r="O65" s="210"/>
      <c r="P65" s="210"/>
      <c r="Q65" s="210"/>
      <c r="R65" s="210"/>
      <c r="S65" s="210"/>
      <c r="T65" s="210"/>
      <c r="U65" s="210"/>
      <c r="V65" s="210"/>
      <c r="W65" s="134"/>
      <c r="X65" s="39" t="e">
        <f>(MAX(1-wg_spell_cost_cap,1-wg_spell_cost_red*ROUND(#REF!/#REF!,4))+ tech_3_9*#REF! + tech_6_2_2*#REF! )*(#REF!-#REF!*20)*(#REF!* Constants!$B$75 +#REF!* Constants!$B$76 +#REF!* Constants!$B$77 +#REF!* Constants!$B$79 +#REF!* Constants!$B$78  + SUM(#REF!)*Constants!$B$80*(1+tech_9_3*#REF!))</f>
        <v>#REF!</v>
      </c>
      <c r="Y65" s="135" t="e">
        <f>SUMIF(#REF!,1)*0.05</f>
        <v>#REF!</v>
      </c>
      <c r="Z65" s="134"/>
      <c r="AA65" s="57" t="e">
        <f ca="1">IF(#REF!,12,IF(OFFSET(#REF!,-1,0)&gt;0,OFFSET(#REF!,-1,0)-1,0))</f>
        <v>#REF!</v>
      </c>
      <c r="AB65" s="57" t="e">
        <f ca="1">IF(#REF!,12,IF(OFFSET(#REF!,-1,0)&gt;0,OFFSET(#REF!,-1,0)-1,0))</f>
        <v>#REF!</v>
      </c>
      <c r="AC65" s="57" t="e">
        <f ca="1">IF(#REF!,12,IF(OFFSET(#REF!,-1,0)&gt;0,OFFSET(#REF!,-1,0)-1,0))</f>
        <v>#REF!</v>
      </c>
      <c r="AD65" s="57" t="e">
        <f ca="1">IF(#REF!,12,IF(OFFSET(#REF!,-1,0)&gt;0,OFFSET(#REF!,-1,0)-1,0))</f>
        <v>#REF!</v>
      </c>
      <c r="AE65" s="57" t="e">
        <f ca="1">IF(#REF!,12,IF(OFFSET(#REF!,-1,0)&gt;0,OFFSET(#REF!,-1,0)-1,0))</f>
        <v>#REF!</v>
      </c>
      <c r="AF65" s="57" t="e">
        <f ca="1">IF(#REF!,12,IF(OFFSET(#REF!,-1,0)&gt;0,OFFSET(#REF!,-1,0)-1,0))</f>
        <v>#REF!</v>
      </c>
      <c r="AG65" s="57" t="e">
        <f ca="1">IF(#REF!,12,IF(OFFSET(#REF!,-1,0)&gt;0,OFFSET(#REF!,-1,0)-1,0))</f>
        <v>#REF!</v>
      </c>
      <c r="AH65" s="57" t="e">
        <f ca="1">IF(#REF!,12,IF(OFFSET(#REF!,-1,0)&gt;0,OFFSET(#REF!,-1,0)-1,0))</f>
        <v>#REF!</v>
      </c>
      <c r="AI65" s="57" t="e">
        <f ca="1">IF(#REF!,12,IF(OFFSET(#REF!,-1,0)&gt;0,OFFSET(#REF!,-1,0)-1,0))</f>
        <v>#REF!</v>
      </c>
      <c r="AJ65" s="57" t="e">
        <f ca="1">IF(#REF!,12,IF(OFFSET(#REF!,-1,0)&gt;0,OFFSET(#REF!,-1,0)-1,0))</f>
        <v>#REF!</v>
      </c>
      <c r="AK65" s="57" t="e">
        <f ca="1">IF(#REF!,12,IF(OFFSET(#REF!,-1,0)&gt;0,OFFSET(#REF!,-1,0)-1,0))</f>
        <v>#REF!</v>
      </c>
      <c r="AL65" s="57" t="e">
        <f ca="1">IF(#REF!,12,IF(OFFSET(#REF!,-1,0)&gt;0,OFFSET(#REF!,-1,0)-1,0))</f>
        <v>#REF!</v>
      </c>
      <c r="AM65" s="57" t="e">
        <f ca="1">IF(#REF!,12,IF(OFFSET(#REF!,-1,0)&gt;0,OFFSET(#REF!,-1,0)-1,0))</f>
        <v>#REF!</v>
      </c>
      <c r="AN65" s="57" t="e">
        <f ca="1">IF(#REF!,12,IF(OFFSET(#REF!,-1,0)&gt;0,OFFSET(#REF!,-1,0)-1,0))</f>
        <v>#REF!</v>
      </c>
      <c r="AO65" s="57" t="e">
        <f ca="1">IF(#REF!,12,IF(OFFSET(#REF!,-1,0)&gt;0,OFFSET(#REF!,-1,0)-1,0))</f>
        <v>#REF!</v>
      </c>
    </row>
    <row r="66" spans="1:41" x14ac:dyDescent="0.25">
      <c r="A66" s="130" t="e">
        <f>#REF!</f>
        <v>#REF!</v>
      </c>
      <c r="B66" s="133" t="e">
        <f>#REF!</f>
        <v>#REF!</v>
      </c>
      <c r="C66" s="39" t="e">
        <f>#REF!</f>
        <v>#REF!</v>
      </c>
      <c r="D66" s="135" t="e">
        <f ca="1">MIN(1,OFFSET(#REF!,-1,0)+0.04+ROUNDDOWN(10*OFFSET(#REF!,-1,0),0)+ tech_2_7*OFFSET(#REF!,-1,0) + tech_5_6*OFFSET(#REF!,-1,0) )-#REF!</f>
        <v>#REF!</v>
      </c>
      <c r="E66" s="147" t="e">
        <f ca="1">OFFSET(#REF!,-1,0)+1/24</f>
        <v>#REF!</v>
      </c>
      <c r="F66" s="135" t="e">
        <f>#REF!</f>
        <v>#REF!</v>
      </c>
      <c r="G66" s="210"/>
      <c r="H66" s="210"/>
      <c r="I66" s="210"/>
      <c r="J66" s="210"/>
      <c r="K66" s="386"/>
      <c r="L66" s="210"/>
      <c r="M66" s="210"/>
      <c r="N66" s="210"/>
      <c r="O66" s="210"/>
      <c r="P66" s="210"/>
      <c r="Q66" s="210"/>
      <c r="R66" s="210"/>
      <c r="S66" s="210"/>
      <c r="T66" s="210"/>
      <c r="U66" s="210"/>
      <c r="V66" s="210"/>
      <c r="W66" s="134"/>
      <c r="X66" s="39" t="e">
        <f>(MAX(1-wg_spell_cost_cap,1-wg_spell_cost_red*ROUND(#REF!/#REF!,4))+ tech_3_9*#REF! + tech_6_2_2*#REF! )*(#REF!-#REF!*20)*(#REF!* Constants!$B$75 +#REF!* Constants!$B$76 +#REF!* Constants!$B$77 +#REF!* Constants!$B$79 +#REF!* Constants!$B$78  + SUM(#REF!)*Constants!$B$80*(1+tech_9_3*#REF!))</f>
        <v>#REF!</v>
      </c>
      <c r="Y66" s="135" t="e">
        <f>SUMIF(#REF!,1)*0.05</f>
        <v>#REF!</v>
      </c>
      <c r="Z66" s="134"/>
      <c r="AA66" s="57" t="e">
        <f ca="1">IF(#REF!,12,IF(OFFSET(#REF!,-1,0)&gt;0,OFFSET(#REF!,-1,0)-1,0))</f>
        <v>#REF!</v>
      </c>
      <c r="AB66" s="57" t="e">
        <f ca="1">IF(#REF!,12,IF(OFFSET(#REF!,-1,0)&gt;0,OFFSET(#REF!,-1,0)-1,0))</f>
        <v>#REF!</v>
      </c>
      <c r="AC66" s="57" t="e">
        <f ca="1">IF(#REF!,12,IF(OFFSET(#REF!,-1,0)&gt;0,OFFSET(#REF!,-1,0)-1,0))</f>
        <v>#REF!</v>
      </c>
      <c r="AD66" s="57" t="e">
        <f ca="1">IF(#REF!,12,IF(OFFSET(#REF!,-1,0)&gt;0,OFFSET(#REF!,-1,0)-1,0))</f>
        <v>#REF!</v>
      </c>
      <c r="AE66" s="57" t="e">
        <f ca="1">IF(#REF!,12,IF(OFFSET(#REF!,-1,0)&gt;0,OFFSET(#REF!,-1,0)-1,0))</f>
        <v>#REF!</v>
      </c>
      <c r="AF66" s="57" t="e">
        <f ca="1">IF(#REF!,12,IF(OFFSET(#REF!,-1,0)&gt;0,OFFSET(#REF!,-1,0)-1,0))</f>
        <v>#REF!</v>
      </c>
      <c r="AG66" s="57" t="e">
        <f ca="1">IF(#REF!,12,IF(OFFSET(#REF!,-1,0)&gt;0,OFFSET(#REF!,-1,0)-1,0))</f>
        <v>#REF!</v>
      </c>
      <c r="AH66" s="57" t="e">
        <f ca="1">IF(#REF!,12,IF(OFFSET(#REF!,-1,0)&gt;0,OFFSET(#REF!,-1,0)-1,0))</f>
        <v>#REF!</v>
      </c>
      <c r="AI66" s="57" t="e">
        <f ca="1">IF(#REF!,12,IF(OFFSET(#REF!,-1,0)&gt;0,OFFSET(#REF!,-1,0)-1,0))</f>
        <v>#REF!</v>
      </c>
      <c r="AJ66" s="57" t="e">
        <f ca="1">IF(#REF!,12,IF(OFFSET(#REF!,-1,0)&gt;0,OFFSET(#REF!,-1,0)-1,0))</f>
        <v>#REF!</v>
      </c>
      <c r="AK66" s="57" t="e">
        <f ca="1">IF(#REF!,12,IF(OFFSET(#REF!,-1,0)&gt;0,OFFSET(#REF!,-1,0)-1,0))</f>
        <v>#REF!</v>
      </c>
      <c r="AL66" s="57" t="e">
        <f ca="1">IF(#REF!,12,IF(OFFSET(#REF!,-1,0)&gt;0,OFFSET(#REF!,-1,0)-1,0))</f>
        <v>#REF!</v>
      </c>
      <c r="AM66" s="57" t="e">
        <f ca="1">IF(#REF!,12,IF(OFFSET(#REF!,-1,0)&gt;0,OFFSET(#REF!,-1,0)-1,0))</f>
        <v>#REF!</v>
      </c>
      <c r="AN66" s="57" t="e">
        <f ca="1">IF(#REF!,12,IF(OFFSET(#REF!,-1,0)&gt;0,OFFSET(#REF!,-1,0)-1,0))</f>
        <v>#REF!</v>
      </c>
      <c r="AO66" s="57" t="e">
        <f ca="1">IF(#REF!,12,IF(OFFSET(#REF!,-1,0)&gt;0,OFFSET(#REF!,-1,0)-1,0))</f>
        <v>#REF!</v>
      </c>
    </row>
    <row r="67" spans="1:41" x14ac:dyDescent="0.25">
      <c r="A67" s="130" t="e">
        <f>#REF!</f>
        <v>#REF!</v>
      </c>
      <c r="B67" s="133" t="e">
        <f>#REF!</f>
        <v>#REF!</v>
      </c>
      <c r="C67" s="39" t="e">
        <f>#REF!</f>
        <v>#REF!</v>
      </c>
      <c r="D67" s="135" t="e">
        <f ca="1">MIN(1,OFFSET(#REF!,-1,0)+0.04+ROUNDDOWN(10*OFFSET(#REF!,-1,0),0)+ tech_2_7*OFFSET(#REF!,-1,0) + tech_5_6*OFFSET(#REF!,-1,0) )-#REF!</f>
        <v>#REF!</v>
      </c>
      <c r="E67" s="147" t="e">
        <f ca="1">OFFSET(#REF!,-1,0)+1/24</f>
        <v>#REF!</v>
      </c>
      <c r="F67" s="135" t="e">
        <f>#REF!</f>
        <v>#REF!</v>
      </c>
      <c r="G67" s="210"/>
      <c r="H67" s="210"/>
      <c r="I67" s="210"/>
      <c r="J67" s="210"/>
      <c r="K67" s="386"/>
      <c r="L67" s="210"/>
      <c r="M67" s="210"/>
      <c r="N67" s="210"/>
      <c r="O67" s="210"/>
      <c r="P67" s="210"/>
      <c r="Q67" s="210"/>
      <c r="R67" s="210"/>
      <c r="S67" s="210"/>
      <c r="T67" s="210"/>
      <c r="U67" s="210"/>
      <c r="V67" s="210"/>
      <c r="W67" s="134"/>
      <c r="X67" s="39" t="e">
        <f>(MAX(1-wg_spell_cost_cap,1-wg_spell_cost_red*ROUND(#REF!/#REF!,4))+ tech_3_9*#REF! + tech_6_2_2*#REF! )*(#REF!-#REF!*20)*(#REF!* Constants!$B$75 +#REF!* Constants!$B$76 +#REF!* Constants!$B$77 +#REF!* Constants!$B$79 +#REF!* Constants!$B$78  + SUM(#REF!)*Constants!$B$80*(1+tech_9_3*#REF!))</f>
        <v>#REF!</v>
      </c>
      <c r="Y67" s="135" t="e">
        <f>SUMIF(#REF!,1)*0.05</f>
        <v>#REF!</v>
      </c>
      <c r="Z67" s="134"/>
      <c r="AA67" s="57" t="e">
        <f ca="1">IF(#REF!,12,IF(OFFSET(#REF!,-1,0)&gt;0,OFFSET(#REF!,-1,0)-1,0))</f>
        <v>#REF!</v>
      </c>
      <c r="AB67" s="57" t="e">
        <f ca="1">IF(#REF!,12,IF(OFFSET(#REF!,-1,0)&gt;0,OFFSET(#REF!,-1,0)-1,0))</f>
        <v>#REF!</v>
      </c>
      <c r="AC67" s="57" t="e">
        <f ca="1">IF(#REF!,12,IF(OFFSET(#REF!,-1,0)&gt;0,OFFSET(#REF!,-1,0)-1,0))</f>
        <v>#REF!</v>
      </c>
      <c r="AD67" s="57" t="e">
        <f ca="1">IF(#REF!,12,IF(OFFSET(#REF!,-1,0)&gt;0,OFFSET(#REF!,-1,0)-1,0))</f>
        <v>#REF!</v>
      </c>
      <c r="AE67" s="57" t="e">
        <f ca="1">IF(#REF!,12,IF(OFFSET(#REF!,-1,0)&gt;0,OFFSET(#REF!,-1,0)-1,0))</f>
        <v>#REF!</v>
      </c>
      <c r="AF67" s="57" t="e">
        <f ca="1">IF(#REF!,12,IF(OFFSET(#REF!,-1,0)&gt;0,OFFSET(#REF!,-1,0)-1,0))</f>
        <v>#REF!</v>
      </c>
      <c r="AG67" s="57" t="e">
        <f ca="1">IF(#REF!,12,IF(OFFSET(#REF!,-1,0)&gt;0,OFFSET(#REF!,-1,0)-1,0))</f>
        <v>#REF!</v>
      </c>
      <c r="AH67" s="57" t="e">
        <f ca="1">IF(#REF!,12,IF(OFFSET(#REF!,-1,0)&gt;0,OFFSET(#REF!,-1,0)-1,0))</f>
        <v>#REF!</v>
      </c>
      <c r="AI67" s="57" t="e">
        <f ca="1">IF(#REF!,12,IF(OFFSET(#REF!,-1,0)&gt;0,OFFSET(#REF!,-1,0)-1,0))</f>
        <v>#REF!</v>
      </c>
      <c r="AJ67" s="57" t="e">
        <f ca="1">IF(#REF!,12,IF(OFFSET(#REF!,-1,0)&gt;0,OFFSET(#REF!,-1,0)-1,0))</f>
        <v>#REF!</v>
      </c>
      <c r="AK67" s="57" t="e">
        <f ca="1">IF(#REF!,12,IF(OFFSET(#REF!,-1,0)&gt;0,OFFSET(#REF!,-1,0)-1,0))</f>
        <v>#REF!</v>
      </c>
      <c r="AL67" s="57" t="e">
        <f ca="1">IF(#REF!,12,IF(OFFSET(#REF!,-1,0)&gt;0,OFFSET(#REF!,-1,0)-1,0))</f>
        <v>#REF!</v>
      </c>
      <c r="AM67" s="57" t="e">
        <f ca="1">IF(#REF!,12,IF(OFFSET(#REF!,-1,0)&gt;0,OFFSET(#REF!,-1,0)-1,0))</f>
        <v>#REF!</v>
      </c>
      <c r="AN67" s="57" t="e">
        <f ca="1">IF(#REF!,12,IF(OFFSET(#REF!,-1,0)&gt;0,OFFSET(#REF!,-1,0)-1,0))</f>
        <v>#REF!</v>
      </c>
      <c r="AO67" s="57" t="e">
        <f ca="1">IF(#REF!,12,IF(OFFSET(#REF!,-1,0)&gt;0,OFFSET(#REF!,-1,0)-1,0))</f>
        <v>#REF!</v>
      </c>
    </row>
    <row r="68" spans="1:41" x14ac:dyDescent="0.25">
      <c r="A68" s="130" t="e">
        <f>#REF!</f>
        <v>#REF!</v>
      </c>
      <c r="B68" s="133" t="e">
        <f>#REF!</f>
        <v>#REF!</v>
      </c>
      <c r="C68" s="39" t="e">
        <f>#REF!</f>
        <v>#REF!</v>
      </c>
      <c r="D68" s="135" t="e">
        <f ca="1">MIN(1,OFFSET(#REF!,-1,0)+0.04+ROUNDDOWN(10*OFFSET(#REF!,-1,0),0)+ tech_2_7*OFFSET(#REF!,-1,0) + tech_5_6*OFFSET(#REF!,-1,0) )-#REF!</f>
        <v>#REF!</v>
      </c>
      <c r="E68" s="147" t="e">
        <f ca="1">OFFSET(#REF!,-1,0)+1/24</f>
        <v>#REF!</v>
      </c>
      <c r="F68" s="135" t="e">
        <f>#REF!</f>
        <v>#REF!</v>
      </c>
      <c r="G68" s="210"/>
      <c r="H68" s="210"/>
      <c r="I68" s="210"/>
      <c r="J68" s="210"/>
      <c r="K68" s="386"/>
      <c r="L68" s="210"/>
      <c r="M68" s="210"/>
      <c r="N68" s="210"/>
      <c r="O68" s="210"/>
      <c r="P68" s="210"/>
      <c r="Q68" s="210"/>
      <c r="R68" s="210"/>
      <c r="S68" s="210"/>
      <c r="T68" s="210"/>
      <c r="U68" s="210"/>
      <c r="V68" s="210"/>
      <c r="W68" s="134"/>
      <c r="X68" s="39" t="e">
        <f>(MAX(1-wg_spell_cost_cap,1-wg_spell_cost_red*ROUND(#REF!/#REF!,4))+ tech_3_9*#REF! + tech_6_2_2*#REF! )*(#REF!-#REF!*20)*(#REF!* Constants!$B$75 +#REF!* Constants!$B$76 +#REF!* Constants!$B$77 +#REF!* Constants!$B$79 +#REF!* Constants!$B$78  + SUM(#REF!)*Constants!$B$80*(1+tech_9_3*#REF!))</f>
        <v>#REF!</v>
      </c>
      <c r="Y68" s="135" t="e">
        <f>SUMIF(#REF!,1)*0.05</f>
        <v>#REF!</v>
      </c>
      <c r="Z68" s="134"/>
      <c r="AA68" s="57" t="e">
        <f ca="1">IF(#REF!,12,IF(OFFSET(#REF!,-1,0)&gt;0,OFFSET(#REF!,-1,0)-1,0))</f>
        <v>#REF!</v>
      </c>
      <c r="AB68" s="57" t="e">
        <f ca="1">IF(#REF!,12,IF(OFFSET(#REF!,-1,0)&gt;0,OFFSET(#REF!,-1,0)-1,0))</f>
        <v>#REF!</v>
      </c>
      <c r="AC68" s="57" t="e">
        <f ca="1">IF(#REF!,12,IF(OFFSET(#REF!,-1,0)&gt;0,OFFSET(#REF!,-1,0)-1,0))</f>
        <v>#REF!</v>
      </c>
      <c r="AD68" s="57" t="e">
        <f ca="1">IF(#REF!,12,IF(OFFSET(#REF!,-1,0)&gt;0,OFFSET(#REF!,-1,0)-1,0))</f>
        <v>#REF!</v>
      </c>
      <c r="AE68" s="57" t="e">
        <f ca="1">IF(#REF!,12,IF(OFFSET(#REF!,-1,0)&gt;0,OFFSET(#REF!,-1,0)-1,0))</f>
        <v>#REF!</v>
      </c>
      <c r="AF68" s="57" t="e">
        <f ca="1">IF(#REF!,12,IF(OFFSET(#REF!,-1,0)&gt;0,OFFSET(#REF!,-1,0)-1,0))</f>
        <v>#REF!</v>
      </c>
      <c r="AG68" s="57" t="e">
        <f ca="1">IF(#REF!,12,IF(OFFSET(#REF!,-1,0)&gt;0,OFFSET(#REF!,-1,0)-1,0))</f>
        <v>#REF!</v>
      </c>
      <c r="AH68" s="57" t="e">
        <f ca="1">IF(#REF!,12,IF(OFFSET(#REF!,-1,0)&gt;0,OFFSET(#REF!,-1,0)-1,0))</f>
        <v>#REF!</v>
      </c>
      <c r="AI68" s="57" t="e">
        <f ca="1">IF(#REF!,12,IF(OFFSET(#REF!,-1,0)&gt;0,OFFSET(#REF!,-1,0)-1,0))</f>
        <v>#REF!</v>
      </c>
      <c r="AJ68" s="57" t="e">
        <f ca="1">IF(#REF!,12,IF(OFFSET(#REF!,-1,0)&gt;0,OFFSET(#REF!,-1,0)-1,0))</f>
        <v>#REF!</v>
      </c>
      <c r="AK68" s="57" t="e">
        <f ca="1">IF(#REF!,12,IF(OFFSET(#REF!,-1,0)&gt;0,OFFSET(#REF!,-1,0)-1,0))</f>
        <v>#REF!</v>
      </c>
      <c r="AL68" s="57" t="e">
        <f ca="1">IF(#REF!,12,IF(OFFSET(#REF!,-1,0)&gt;0,OFFSET(#REF!,-1,0)-1,0))</f>
        <v>#REF!</v>
      </c>
      <c r="AM68" s="57" t="e">
        <f ca="1">IF(#REF!,12,IF(OFFSET(#REF!,-1,0)&gt;0,OFFSET(#REF!,-1,0)-1,0))</f>
        <v>#REF!</v>
      </c>
      <c r="AN68" s="57" t="e">
        <f ca="1">IF(#REF!,12,IF(OFFSET(#REF!,-1,0)&gt;0,OFFSET(#REF!,-1,0)-1,0))</f>
        <v>#REF!</v>
      </c>
      <c r="AO68" s="57" t="e">
        <f ca="1">IF(#REF!,12,IF(OFFSET(#REF!,-1,0)&gt;0,OFFSET(#REF!,-1,0)-1,0))</f>
        <v>#REF!</v>
      </c>
    </row>
    <row r="69" spans="1:41" x14ac:dyDescent="0.25">
      <c r="A69" s="130" t="e">
        <f>#REF!</f>
        <v>#REF!</v>
      </c>
      <c r="B69" s="133" t="e">
        <f>#REF!</f>
        <v>#REF!</v>
      </c>
      <c r="C69" s="39" t="e">
        <f>#REF!</f>
        <v>#REF!</v>
      </c>
      <c r="D69" s="135" t="e">
        <f ca="1">MIN(1,OFFSET(#REF!,-1,0)+0.04+ROUNDDOWN(10*OFFSET(#REF!,-1,0),0)+ tech_2_7*OFFSET(#REF!,-1,0) + tech_5_6*OFFSET(#REF!,-1,0) )-#REF!</f>
        <v>#REF!</v>
      </c>
      <c r="E69" s="147" t="e">
        <f ca="1">OFFSET(#REF!,-1,0)+1/24</f>
        <v>#REF!</v>
      </c>
      <c r="F69" s="135" t="e">
        <f>#REF!</f>
        <v>#REF!</v>
      </c>
      <c r="G69" s="210"/>
      <c r="H69" s="210"/>
      <c r="I69" s="210"/>
      <c r="J69" s="210"/>
      <c r="K69" s="386"/>
      <c r="L69" s="210"/>
      <c r="M69" s="210"/>
      <c r="N69" s="210"/>
      <c r="O69" s="210"/>
      <c r="P69" s="210"/>
      <c r="Q69" s="210"/>
      <c r="R69" s="210"/>
      <c r="S69" s="210"/>
      <c r="T69" s="210"/>
      <c r="U69" s="210"/>
      <c r="V69" s="210"/>
      <c r="W69" s="134"/>
      <c r="X69" s="39" t="e">
        <f>(MAX(1-wg_spell_cost_cap,1-wg_spell_cost_red*ROUND(#REF!/#REF!,4))+ tech_3_9*#REF! + tech_6_2_2*#REF! )*(#REF!-#REF!*20)*(#REF!* Constants!$B$75 +#REF!* Constants!$B$76 +#REF!* Constants!$B$77 +#REF!* Constants!$B$79 +#REF!* Constants!$B$78  + SUM(#REF!)*Constants!$B$80*(1+tech_9_3*#REF!))</f>
        <v>#REF!</v>
      </c>
      <c r="Y69" s="135" t="e">
        <f>SUMIF(#REF!,1)*0.05</f>
        <v>#REF!</v>
      </c>
      <c r="Z69" s="134"/>
      <c r="AA69" s="57" t="e">
        <f ca="1">IF(#REF!,12,IF(OFFSET(#REF!,-1,0)&gt;0,OFFSET(#REF!,-1,0)-1,0))</f>
        <v>#REF!</v>
      </c>
      <c r="AB69" s="57" t="e">
        <f ca="1">IF(#REF!,12,IF(OFFSET(#REF!,-1,0)&gt;0,OFFSET(#REF!,-1,0)-1,0))</f>
        <v>#REF!</v>
      </c>
      <c r="AC69" s="57" t="e">
        <f ca="1">IF(#REF!,12,IF(OFFSET(#REF!,-1,0)&gt;0,OFFSET(#REF!,-1,0)-1,0))</f>
        <v>#REF!</v>
      </c>
      <c r="AD69" s="57" t="e">
        <f ca="1">IF(#REF!,12,IF(OFFSET(#REF!,-1,0)&gt;0,OFFSET(#REF!,-1,0)-1,0))</f>
        <v>#REF!</v>
      </c>
      <c r="AE69" s="57" t="e">
        <f ca="1">IF(#REF!,12,IF(OFFSET(#REF!,-1,0)&gt;0,OFFSET(#REF!,-1,0)-1,0))</f>
        <v>#REF!</v>
      </c>
      <c r="AF69" s="57" t="e">
        <f ca="1">IF(#REF!,12,IF(OFFSET(#REF!,-1,0)&gt;0,OFFSET(#REF!,-1,0)-1,0))</f>
        <v>#REF!</v>
      </c>
      <c r="AG69" s="57" t="e">
        <f ca="1">IF(#REF!,12,IF(OFFSET(#REF!,-1,0)&gt;0,OFFSET(#REF!,-1,0)-1,0))</f>
        <v>#REF!</v>
      </c>
      <c r="AH69" s="57" t="e">
        <f ca="1">IF(#REF!,12,IF(OFFSET(#REF!,-1,0)&gt;0,OFFSET(#REF!,-1,0)-1,0))</f>
        <v>#REF!</v>
      </c>
      <c r="AI69" s="57" t="e">
        <f ca="1">IF(#REF!,12,IF(OFFSET(#REF!,-1,0)&gt;0,OFFSET(#REF!,-1,0)-1,0))</f>
        <v>#REF!</v>
      </c>
      <c r="AJ69" s="57" t="e">
        <f ca="1">IF(#REF!,12,IF(OFFSET(#REF!,-1,0)&gt;0,OFFSET(#REF!,-1,0)-1,0))</f>
        <v>#REF!</v>
      </c>
      <c r="AK69" s="57" t="e">
        <f ca="1">IF(#REF!,12,IF(OFFSET(#REF!,-1,0)&gt;0,OFFSET(#REF!,-1,0)-1,0))</f>
        <v>#REF!</v>
      </c>
      <c r="AL69" s="57" t="e">
        <f ca="1">IF(#REF!,12,IF(OFFSET(#REF!,-1,0)&gt;0,OFFSET(#REF!,-1,0)-1,0))</f>
        <v>#REF!</v>
      </c>
      <c r="AM69" s="57" t="e">
        <f ca="1">IF(#REF!,12,IF(OFFSET(#REF!,-1,0)&gt;0,OFFSET(#REF!,-1,0)-1,0))</f>
        <v>#REF!</v>
      </c>
      <c r="AN69" s="57" t="e">
        <f ca="1">IF(#REF!,12,IF(OFFSET(#REF!,-1,0)&gt;0,OFFSET(#REF!,-1,0)-1,0))</f>
        <v>#REF!</v>
      </c>
      <c r="AO69" s="57" t="e">
        <f ca="1">IF(#REF!,12,IF(OFFSET(#REF!,-1,0)&gt;0,OFFSET(#REF!,-1,0)-1,0))</f>
        <v>#REF!</v>
      </c>
    </row>
    <row r="70" spans="1:41" x14ac:dyDescent="0.25">
      <c r="A70" s="130" t="e">
        <f>#REF!</f>
        <v>#REF!</v>
      </c>
      <c r="B70" s="133" t="e">
        <f>#REF!</f>
        <v>#REF!</v>
      </c>
      <c r="C70" s="39" t="e">
        <f>#REF!</f>
        <v>#REF!</v>
      </c>
      <c r="D70" s="135" t="e">
        <f ca="1">MIN(1,OFFSET(#REF!,-1,0)+0.04+ROUNDDOWN(10*OFFSET(#REF!,-1,0),0)+ tech_2_7*OFFSET(#REF!,-1,0) + tech_5_6*OFFSET(#REF!,-1,0) )-#REF!</f>
        <v>#REF!</v>
      </c>
      <c r="E70" s="147" t="e">
        <f ca="1">OFFSET(#REF!,-1,0)+1/24</f>
        <v>#REF!</v>
      </c>
      <c r="F70" s="135" t="e">
        <f>#REF!</f>
        <v>#REF!</v>
      </c>
      <c r="G70" s="210"/>
      <c r="H70" s="210"/>
      <c r="I70" s="210"/>
      <c r="J70" s="210"/>
      <c r="K70" s="386"/>
      <c r="L70" s="210"/>
      <c r="M70" s="210"/>
      <c r="N70" s="210"/>
      <c r="O70" s="210"/>
      <c r="P70" s="210"/>
      <c r="Q70" s="210"/>
      <c r="R70" s="210"/>
      <c r="S70" s="210"/>
      <c r="T70" s="210"/>
      <c r="U70" s="210"/>
      <c r="V70" s="210"/>
      <c r="W70" s="134"/>
      <c r="X70" s="39" t="e">
        <f>(MAX(1-wg_spell_cost_cap,1-wg_spell_cost_red*ROUND(#REF!/#REF!,4))+ tech_3_9*#REF! + tech_6_2_2*#REF! )*(#REF!-#REF!*20)*(#REF!* Constants!$B$75 +#REF!* Constants!$B$76 +#REF!* Constants!$B$77 +#REF!* Constants!$B$79 +#REF!* Constants!$B$78  + SUM(#REF!)*Constants!$B$80*(1+tech_9_3*#REF!))</f>
        <v>#REF!</v>
      </c>
      <c r="Y70" s="135" t="e">
        <f>SUMIF(#REF!,1)*0.05</f>
        <v>#REF!</v>
      </c>
      <c r="Z70" s="134"/>
      <c r="AA70" s="57" t="e">
        <f ca="1">IF(#REF!,12,IF(OFFSET(#REF!,-1,0)&gt;0,OFFSET(#REF!,-1,0)-1,0))</f>
        <v>#REF!</v>
      </c>
      <c r="AB70" s="57" t="e">
        <f ca="1">IF(#REF!,12,IF(OFFSET(#REF!,-1,0)&gt;0,OFFSET(#REF!,-1,0)-1,0))</f>
        <v>#REF!</v>
      </c>
      <c r="AC70" s="57" t="e">
        <f ca="1">IF(#REF!,12,IF(OFFSET(#REF!,-1,0)&gt;0,OFFSET(#REF!,-1,0)-1,0))</f>
        <v>#REF!</v>
      </c>
      <c r="AD70" s="57" t="e">
        <f ca="1">IF(#REF!,12,IF(OFFSET(#REF!,-1,0)&gt;0,OFFSET(#REF!,-1,0)-1,0))</f>
        <v>#REF!</v>
      </c>
      <c r="AE70" s="57" t="e">
        <f ca="1">IF(#REF!,12,IF(OFFSET(#REF!,-1,0)&gt;0,OFFSET(#REF!,-1,0)-1,0))</f>
        <v>#REF!</v>
      </c>
      <c r="AF70" s="57" t="e">
        <f ca="1">IF(#REF!,12,IF(OFFSET(#REF!,-1,0)&gt;0,OFFSET(#REF!,-1,0)-1,0))</f>
        <v>#REF!</v>
      </c>
      <c r="AG70" s="57" t="e">
        <f ca="1">IF(#REF!,12,IF(OFFSET(#REF!,-1,0)&gt;0,OFFSET(#REF!,-1,0)-1,0))</f>
        <v>#REF!</v>
      </c>
      <c r="AH70" s="57" t="e">
        <f ca="1">IF(#REF!,12,IF(OFFSET(#REF!,-1,0)&gt;0,OFFSET(#REF!,-1,0)-1,0))</f>
        <v>#REF!</v>
      </c>
      <c r="AI70" s="57" t="e">
        <f ca="1">IF(#REF!,12,IF(OFFSET(#REF!,-1,0)&gt;0,OFFSET(#REF!,-1,0)-1,0))</f>
        <v>#REF!</v>
      </c>
      <c r="AJ70" s="57" t="e">
        <f ca="1">IF(#REF!,12,IF(OFFSET(#REF!,-1,0)&gt;0,OFFSET(#REF!,-1,0)-1,0))</f>
        <v>#REF!</v>
      </c>
      <c r="AK70" s="57" t="e">
        <f ca="1">IF(#REF!,12,IF(OFFSET(#REF!,-1,0)&gt;0,OFFSET(#REF!,-1,0)-1,0))</f>
        <v>#REF!</v>
      </c>
      <c r="AL70" s="57" t="e">
        <f ca="1">IF(#REF!,12,IF(OFFSET(#REF!,-1,0)&gt;0,OFFSET(#REF!,-1,0)-1,0))</f>
        <v>#REF!</v>
      </c>
      <c r="AM70" s="57" t="e">
        <f ca="1">IF(#REF!,12,IF(OFFSET(#REF!,-1,0)&gt;0,OFFSET(#REF!,-1,0)-1,0))</f>
        <v>#REF!</v>
      </c>
      <c r="AN70" s="57" t="e">
        <f ca="1">IF(#REF!,12,IF(OFFSET(#REF!,-1,0)&gt;0,OFFSET(#REF!,-1,0)-1,0))</f>
        <v>#REF!</v>
      </c>
      <c r="AO70" s="57" t="e">
        <f ca="1">IF(#REF!,12,IF(OFFSET(#REF!,-1,0)&gt;0,OFFSET(#REF!,-1,0)-1,0))</f>
        <v>#REF!</v>
      </c>
    </row>
    <row r="71" spans="1:41" x14ac:dyDescent="0.25">
      <c r="A71" s="130" t="e">
        <f>#REF!</f>
        <v>#REF!</v>
      </c>
      <c r="B71" s="133" t="e">
        <f>#REF!</f>
        <v>#REF!</v>
      </c>
      <c r="C71" s="39" t="e">
        <f>#REF!</f>
        <v>#REF!</v>
      </c>
      <c r="D71" s="135" t="e">
        <f ca="1">MIN(1,OFFSET(#REF!,-1,0)+0.04+ROUNDDOWN(10*OFFSET(#REF!,-1,0),0)+ tech_2_7*OFFSET(#REF!,-1,0) + tech_5_6*OFFSET(#REF!,-1,0) )-#REF!</f>
        <v>#REF!</v>
      </c>
      <c r="E71" s="147" t="e">
        <f ca="1">OFFSET(#REF!,-1,0)+1/24</f>
        <v>#REF!</v>
      </c>
      <c r="F71" s="135" t="e">
        <f>#REF!</f>
        <v>#REF!</v>
      </c>
      <c r="G71" s="210"/>
      <c r="H71" s="210"/>
      <c r="I71" s="210"/>
      <c r="J71" s="210"/>
      <c r="K71" s="386"/>
      <c r="L71" s="210"/>
      <c r="M71" s="210"/>
      <c r="N71" s="210"/>
      <c r="O71" s="210"/>
      <c r="P71" s="210"/>
      <c r="Q71" s="210"/>
      <c r="R71" s="210"/>
      <c r="S71" s="210"/>
      <c r="T71" s="210"/>
      <c r="U71" s="210"/>
      <c r="V71" s="210"/>
      <c r="W71" s="134"/>
      <c r="X71" s="39" t="e">
        <f>(MAX(1-wg_spell_cost_cap,1-wg_spell_cost_red*ROUND(#REF!/#REF!,4))+ tech_3_9*#REF! + tech_6_2_2*#REF! )*(#REF!-#REF!*20)*(#REF!* Constants!$B$75 +#REF!* Constants!$B$76 +#REF!* Constants!$B$77 +#REF!* Constants!$B$79 +#REF!* Constants!$B$78  + SUM(#REF!)*Constants!$B$80*(1+tech_9_3*#REF!))</f>
        <v>#REF!</v>
      </c>
      <c r="Y71" s="135" t="e">
        <f>SUMIF(#REF!,1)*0.05</f>
        <v>#REF!</v>
      </c>
      <c r="Z71" s="134"/>
      <c r="AA71" s="57" t="e">
        <f ca="1">IF(#REF!,12,IF(OFFSET(#REF!,-1,0)&gt;0,OFFSET(#REF!,-1,0)-1,0))</f>
        <v>#REF!</v>
      </c>
      <c r="AB71" s="57" t="e">
        <f ca="1">IF(#REF!,12,IF(OFFSET(#REF!,-1,0)&gt;0,OFFSET(#REF!,-1,0)-1,0))</f>
        <v>#REF!</v>
      </c>
      <c r="AC71" s="57" t="e">
        <f ca="1">IF(#REF!,12,IF(OFFSET(#REF!,-1,0)&gt;0,OFFSET(#REF!,-1,0)-1,0))</f>
        <v>#REF!</v>
      </c>
      <c r="AD71" s="57" t="e">
        <f ca="1">IF(#REF!,12,IF(OFFSET(#REF!,-1,0)&gt;0,OFFSET(#REF!,-1,0)-1,0))</f>
        <v>#REF!</v>
      </c>
      <c r="AE71" s="57" t="e">
        <f ca="1">IF(#REF!,12,IF(OFFSET(#REF!,-1,0)&gt;0,OFFSET(#REF!,-1,0)-1,0))</f>
        <v>#REF!</v>
      </c>
      <c r="AF71" s="57" t="e">
        <f ca="1">IF(#REF!,12,IF(OFFSET(#REF!,-1,0)&gt;0,OFFSET(#REF!,-1,0)-1,0))</f>
        <v>#REF!</v>
      </c>
      <c r="AG71" s="57" t="e">
        <f ca="1">IF(#REF!,12,IF(OFFSET(#REF!,-1,0)&gt;0,OFFSET(#REF!,-1,0)-1,0))</f>
        <v>#REF!</v>
      </c>
      <c r="AH71" s="57" t="e">
        <f ca="1">IF(#REF!,12,IF(OFFSET(#REF!,-1,0)&gt;0,OFFSET(#REF!,-1,0)-1,0))</f>
        <v>#REF!</v>
      </c>
      <c r="AI71" s="57" t="e">
        <f ca="1">IF(#REF!,12,IF(OFFSET(#REF!,-1,0)&gt;0,OFFSET(#REF!,-1,0)-1,0))</f>
        <v>#REF!</v>
      </c>
      <c r="AJ71" s="57" t="e">
        <f ca="1">IF(#REF!,12,IF(OFFSET(#REF!,-1,0)&gt;0,OFFSET(#REF!,-1,0)-1,0))</f>
        <v>#REF!</v>
      </c>
      <c r="AK71" s="57" t="e">
        <f ca="1">IF(#REF!,12,IF(OFFSET(#REF!,-1,0)&gt;0,OFFSET(#REF!,-1,0)-1,0))</f>
        <v>#REF!</v>
      </c>
      <c r="AL71" s="57" t="e">
        <f ca="1">IF(#REF!,12,IF(OFFSET(#REF!,-1,0)&gt;0,OFFSET(#REF!,-1,0)-1,0))</f>
        <v>#REF!</v>
      </c>
      <c r="AM71" s="57" t="e">
        <f ca="1">IF(#REF!,12,IF(OFFSET(#REF!,-1,0)&gt;0,OFFSET(#REF!,-1,0)-1,0))</f>
        <v>#REF!</v>
      </c>
      <c r="AN71" s="57" t="e">
        <f ca="1">IF(#REF!,12,IF(OFFSET(#REF!,-1,0)&gt;0,OFFSET(#REF!,-1,0)-1,0))</f>
        <v>#REF!</v>
      </c>
      <c r="AO71" s="57" t="e">
        <f ca="1">IF(#REF!,12,IF(OFFSET(#REF!,-1,0)&gt;0,OFFSET(#REF!,-1,0)-1,0))</f>
        <v>#REF!</v>
      </c>
    </row>
    <row r="72" spans="1:41" x14ac:dyDescent="0.25">
      <c r="A72" s="130" t="e">
        <f>#REF!</f>
        <v>#REF!</v>
      </c>
      <c r="B72" s="133" t="e">
        <f>#REF!</f>
        <v>#REF!</v>
      </c>
      <c r="C72" s="39" t="e">
        <f>#REF!</f>
        <v>#REF!</v>
      </c>
      <c r="D72" s="135" t="e">
        <f ca="1">MIN(1,OFFSET(#REF!,-1,0)+0.04+ROUNDDOWN(10*OFFSET(#REF!,-1,0),0)+ tech_2_7*OFFSET(#REF!,-1,0) + tech_5_6*OFFSET(#REF!,-1,0) )-#REF!</f>
        <v>#REF!</v>
      </c>
      <c r="E72" s="147" t="e">
        <f ca="1">OFFSET(#REF!,-1,0)+1/24</f>
        <v>#REF!</v>
      </c>
      <c r="F72" s="135" t="e">
        <f>#REF!</f>
        <v>#REF!</v>
      </c>
      <c r="G72" s="210"/>
      <c r="H72" s="210"/>
      <c r="I72" s="210"/>
      <c r="J72" s="210"/>
      <c r="K72" s="386"/>
      <c r="L72" s="210"/>
      <c r="M72" s="210"/>
      <c r="N72" s="210"/>
      <c r="O72" s="210"/>
      <c r="P72" s="210"/>
      <c r="Q72" s="210"/>
      <c r="R72" s="210"/>
      <c r="S72" s="210"/>
      <c r="T72" s="210"/>
      <c r="U72" s="210"/>
      <c r="V72" s="210"/>
      <c r="W72" s="134"/>
      <c r="X72" s="39" t="e">
        <f>(MAX(1-wg_spell_cost_cap,1-wg_spell_cost_red*ROUND(#REF!/#REF!,4))+ tech_3_9*#REF! + tech_6_2_2*#REF! )*(#REF!-#REF!*20)*(#REF!* Constants!$B$75 +#REF!* Constants!$B$76 +#REF!* Constants!$B$77 +#REF!* Constants!$B$79 +#REF!* Constants!$B$78  + SUM(#REF!)*Constants!$B$80*(1+tech_9_3*#REF!))</f>
        <v>#REF!</v>
      </c>
      <c r="Y72" s="135" t="e">
        <f>SUMIF(#REF!,1)*0.05</f>
        <v>#REF!</v>
      </c>
      <c r="Z72" s="134"/>
      <c r="AA72" s="57" t="e">
        <f ca="1">IF(#REF!,12,IF(OFFSET(#REF!,-1,0)&gt;0,OFFSET(#REF!,-1,0)-1,0))</f>
        <v>#REF!</v>
      </c>
      <c r="AB72" s="57" t="e">
        <f ca="1">IF(#REF!,12,IF(OFFSET(#REF!,-1,0)&gt;0,OFFSET(#REF!,-1,0)-1,0))</f>
        <v>#REF!</v>
      </c>
      <c r="AC72" s="57" t="e">
        <f ca="1">IF(#REF!,12,IF(OFFSET(#REF!,-1,0)&gt;0,OFFSET(#REF!,-1,0)-1,0))</f>
        <v>#REF!</v>
      </c>
      <c r="AD72" s="57" t="e">
        <f ca="1">IF(#REF!,12,IF(OFFSET(#REF!,-1,0)&gt;0,OFFSET(#REF!,-1,0)-1,0))</f>
        <v>#REF!</v>
      </c>
      <c r="AE72" s="57" t="e">
        <f ca="1">IF(#REF!,12,IF(OFFSET(#REF!,-1,0)&gt;0,OFFSET(#REF!,-1,0)-1,0))</f>
        <v>#REF!</v>
      </c>
      <c r="AF72" s="57" t="e">
        <f ca="1">IF(#REF!,12,IF(OFFSET(#REF!,-1,0)&gt;0,OFFSET(#REF!,-1,0)-1,0))</f>
        <v>#REF!</v>
      </c>
      <c r="AG72" s="57" t="e">
        <f ca="1">IF(#REF!,12,IF(OFFSET(#REF!,-1,0)&gt;0,OFFSET(#REF!,-1,0)-1,0))</f>
        <v>#REF!</v>
      </c>
      <c r="AH72" s="57" t="e">
        <f ca="1">IF(#REF!,12,IF(OFFSET(#REF!,-1,0)&gt;0,OFFSET(#REF!,-1,0)-1,0))</f>
        <v>#REF!</v>
      </c>
      <c r="AI72" s="57" t="e">
        <f ca="1">IF(#REF!,12,IF(OFFSET(#REF!,-1,0)&gt;0,OFFSET(#REF!,-1,0)-1,0))</f>
        <v>#REF!</v>
      </c>
      <c r="AJ72" s="57" t="e">
        <f ca="1">IF(#REF!,12,IF(OFFSET(#REF!,-1,0)&gt;0,OFFSET(#REF!,-1,0)-1,0))</f>
        <v>#REF!</v>
      </c>
      <c r="AK72" s="57" t="e">
        <f ca="1">IF(#REF!,12,IF(OFFSET(#REF!,-1,0)&gt;0,OFFSET(#REF!,-1,0)-1,0))</f>
        <v>#REF!</v>
      </c>
      <c r="AL72" s="57" t="e">
        <f ca="1">IF(#REF!,12,IF(OFFSET(#REF!,-1,0)&gt;0,OFFSET(#REF!,-1,0)-1,0))</f>
        <v>#REF!</v>
      </c>
      <c r="AM72" s="57" t="e">
        <f ca="1">IF(#REF!,12,IF(OFFSET(#REF!,-1,0)&gt;0,OFFSET(#REF!,-1,0)-1,0))</f>
        <v>#REF!</v>
      </c>
      <c r="AN72" s="57" t="e">
        <f ca="1">IF(#REF!,12,IF(OFFSET(#REF!,-1,0)&gt;0,OFFSET(#REF!,-1,0)-1,0))</f>
        <v>#REF!</v>
      </c>
      <c r="AO72" s="57" t="e">
        <f ca="1">IF(#REF!,12,IF(OFFSET(#REF!,-1,0)&gt;0,OFFSET(#REF!,-1,0)-1,0))</f>
        <v>#REF!</v>
      </c>
    </row>
    <row r="73" spans="1:41" x14ac:dyDescent="0.25">
      <c r="A73" s="130" t="e">
        <f>#REF!</f>
        <v>#REF!</v>
      </c>
      <c r="B73" s="133" t="e">
        <f>#REF!</f>
        <v>#REF!</v>
      </c>
      <c r="C73" s="39" t="e">
        <f>#REF!</f>
        <v>#REF!</v>
      </c>
      <c r="D73" s="135" t="e">
        <f ca="1">MIN(1,OFFSET(#REF!,-1,0)+0.04+ROUNDDOWN(10*OFFSET(#REF!,-1,0),0)+ tech_2_7*OFFSET(#REF!,-1,0) + tech_5_6*OFFSET(#REF!,-1,0) )-#REF!</f>
        <v>#REF!</v>
      </c>
      <c r="E73" s="147" t="e">
        <f ca="1">OFFSET(#REF!,-1,0)+1/24</f>
        <v>#REF!</v>
      </c>
      <c r="F73" s="135" t="e">
        <f>#REF!</f>
        <v>#REF!</v>
      </c>
      <c r="G73" s="210"/>
      <c r="H73" s="210"/>
      <c r="I73" s="210"/>
      <c r="J73" s="210"/>
      <c r="K73" s="386"/>
      <c r="L73" s="210"/>
      <c r="M73" s="210"/>
      <c r="N73" s="210"/>
      <c r="O73" s="210"/>
      <c r="P73" s="210"/>
      <c r="Q73" s="210"/>
      <c r="R73" s="210"/>
      <c r="S73" s="210"/>
      <c r="T73" s="210"/>
      <c r="U73" s="210"/>
      <c r="V73" s="210"/>
      <c r="W73" s="134"/>
      <c r="X73" s="39" t="e">
        <f>(MAX(1-wg_spell_cost_cap,1-wg_spell_cost_red*ROUND(#REF!/#REF!,4))+ tech_3_9*#REF! + tech_6_2_2*#REF! )*(#REF!-#REF!*20)*(#REF!* Constants!$B$75 +#REF!* Constants!$B$76 +#REF!* Constants!$B$77 +#REF!* Constants!$B$79 +#REF!* Constants!$B$78  + SUM(#REF!)*Constants!$B$80*(1+tech_9_3*#REF!))</f>
        <v>#REF!</v>
      </c>
      <c r="Y73" s="135" t="e">
        <f>SUMIF(#REF!,1)*0.05</f>
        <v>#REF!</v>
      </c>
      <c r="Z73" s="134"/>
      <c r="AA73" s="57" t="e">
        <f ca="1">IF(#REF!,12,IF(OFFSET(#REF!,-1,0)&gt;0,OFFSET(#REF!,-1,0)-1,0))</f>
        <v>#REF!</v>
      </c>
      <c r="AB73" s="57" t="e">
        <f ca="1">IF(#REF!,12,IF(OFFSET(#REF!,-1,0)&gt;0,OFFSET(#REF!,-1,0)-1,0))</f>
        <v>#REF!</v>
      </c>
      <c r="AC73" s="57" t="e">
        <f ca="1">IF(#REF!,12,IF(OFFSET(#REF!,-1,0)&gt;0,OFFSET(#REF!,-1,0)-1,0))</f>
        <v>#REF!</v>
      </c>
      <c r="AD73" s="57" t="e">
        <f ca="1">IF(#REF!,12,IF(OFFSET(#REF!,-1,0)&gt;0,OFFSET(#REF!,-1,0)-1,0))</f>
        <v>#REF!</v>
      </c>
      <c r="AE73" s="57" t="e">
        <f ca="1">IF(#REF!,12,IF(OFFSET(#REF!,-1,0)&gt;0,OFFSET(#REF!,-1,0)-1,0))</f>
        <v>#REF!</v>
      </c>
      <c r="AF73" s="57" t="e">
        <f ca="1">IF(#REF!,12,IF(OFFSET(#REF!,-1,0)&gt;0,OFFSET(#REF!,-1,0)-1,0))</f>
        <v>#REF!</v>
      </c>
      <c r="AG73" s="57" t="e">
        <f ca="1">IF(#REF!,12,IF(OFFSET(#REF!,-1,0)&gt;0,OFFSET(#REF!,-1,0)-1,0))</f>
        <v>#REF!</v>
      </c>
      <c r="AH73" s="57" t="e">
        <f ca="1">IF(#REF!,12,IF(OFFSET(#REF!,-1,0)&gt;0,OFFSET(#REF!,-1,0)-1,0))</f>
        <v>#REF!</v>
      </c>
      <c r="AI73" s="57" t="e">
        <f ca="1">IF(#REF!,12,IF(OFFSET(#REF!,-1,0)&gt;0,OFFSET(#REF!,-1,0)-1,0))</f>
        <v>#REF!</v>
      </c>
      <c r="AJ73" s="57" t="e">
        <f ca="1">IF(#REF!,12,IF(OFFSET(#REF!,-1,0)&gt;0,OFFSET(#REF!,-1,0)-1,0))</f>
        <v>#REF!</v>
      </c>
      <c r="AK73" s="57" t="e">
        <f ca="1">IF(#REF!,12,IF(OFFSET(#REF!,-1,0)&gt;0,OFFSET(#REF!,-1,0)-1,0))</f>
        <v>#REF!</v>
      </c>
      <c r="AL73" s="57" t="e">
        <f ca="1">IF(#REF!,12,IF(OFFSET(#REF!,-1,0)&gt;0,OFFSET(#REF!,-1,0)-1,0))</f>
        <v>#REF!</v>
      </c>
      <c r="AM73" s="57" t="e">
        <f ca="1">IF(#REF!,12,IF(OFFSET(#REF!,-1,0)&gt;0,OFFSET(#REF!,-1,0)-1,0))</f>
        <v>#REF!</v>
      </c>
      <c r="AN73" s="57" t="e">
        <f ca="1">IF(#REF!,12,IF(OFFSET(#REF!,-1,0)&gt;0,OFFSET(#REF!,-1,0)-1,0))</f>
        <v>#REF!</v>
      </c>
      <c r="AO73" s="57" t="e">
        <f ca="1">IF(#REF!,12,IF(OFFSET(#REF!,-1,0)&gt;0,OFFSET(#REF!,-1,0)-1,0))</f>
        <v>#REF!</v>
      </c>
    </row>
    <row r="74" spans="1:41" x14ac:dyDescent="0.25">
      <c r="A74" s="130" t="e">
        <f>#REF!</f>
        <v>#REF!</v>
      </c>
      <c r="B74" s="133" t="e">
        <f>#REF!</f>
        <v>#REF!</v>
      </c>
      <c r="C74" s="39" t="e">
        <f>#REF!</f>
        <v>#REF!</v>
      </c>
      <c r="D74" s="135" t="e">
        <f ca="1">MIN(1,OFFSET(#REF!,-1,0)+0.04+ROUNDDOWN(10*OFFSET(#REF!,-1,0),0)+ tech_2_7*OFFSET(#REF!,-1,0) + tech_5_6*OFFSET(#REF!,-1,0) )-#REF!</f>
        <v>#REF!</v>
      </c>
      <c r="E74" s="147" t="e">
        <f ca="1">OFFSET(#REF!,-1,0)+1/24</f>
        <v>#REF!</v>
      </c>
      <c r="F74" s="135" t="e">
        <f>#REF!</f>
        <v>#REF!</v>
      </c>
      <c r="G74" s="210"/>
      <c r="H74" s="210"/>
      <c r="I74" s="210"/>
      <c r="J74" s="210"/>
      <c r="K74" s="386"/>
      <c r="L74" s="210"/>
      <c r="M74" s="210"/>
      <c r="N74" s="210"/>
      <c r="O74" s="210"/>
      <c r="P74" s="210"/>
      <c r="Q74" s="210"/>
      <c r="R74" s="210"/>
      <c r="S74" s="210"/>
      <c r="T74" s="210"/>
      <c r="U74" s="210"/>
      <c r="V74" s="210"/>
      <c r="W74" s="134"/>
      <c r="X74" s="39" t="e">
        <f>(MAX(1-wg_spell_cost_cap,1-wg_spell_cost_red*ROUND(#REF!/#REF!,4))+ tech_3_9*#REF! + tech_6_2_2*#REF! )*(#REF!-#REF!*20)*(#REF!* Constants!$B$75 +#REF!* Constants!$B$76 +#REF!* Constants!$B$77 +#REF!* Constants!$B$79 +#REF!* Constants!$B$78  + SUM(#REF!)*Constants!$B$80*(1+tech_9_3*#REF!))</f>
        <v>#REF!</v>
      </c>
      <c r="Y74" s="135" t="e">
        <f>SUMIF(#REF!,1)*0.05</f>
        <v>#REF!</v>
      </c>
      <c r="Z74" s="134"/>
      <c r="AA74" s="57" t="e">
        <f ca="1">IF(#REF!,12,IF(OFFSET(#REF!,-1,0)&gt;0,OFFSET(#REF!,-1,0)-1,0))</f>
        <v>#REF!</v>
      </c>
      <c r="AB74" s="57" t="e">
        <f ca="1">IF(#REF!,12,IF(OFFSET(#REF!,-1,0)&gt;0,OFFSET(#REF!,-1,0)-1,0))</f>
        <v>#REF!</v>
      </c>
      <c r="AC74" s="57" t="e">
        <f ca="1">IF(#REF!,12,IF(OFFSET(#REF!,-1,0)&gt;0,OFFSET(#REF!,-1,0)-1,0))</f>
        <v>#REF!</v>
      </c>
      <c r="AD74" s="57" t="e">
        <f ca="1">IF(#REF!,12,IF(OFFSET(#REF!,-1,0)&gt;0,OFFSET(#REF!,-1,0)-1,0))</f>
        <v>#REF!</v>
      </c>
      <c r="AE74" s="57" t="e">
        <f ca="1">IF(#REF!,12,IF(OFFSET(#REF!,-1,0)&gt;0,OFFSET(#REF!,-1,0)-1,0))</f>
        <v>#REF!</v>
      </c>
      <c r="AF74" s="57" t="e">
        <f ca="1">IF(#REF!,12,IF(OFFSET(#REF!,-1,0)&gt;0,OFFSET(#REF!,-1,0)-1,0))</f>
        <v>#REF!</v>
      </c>
      <c r="AG74" s="57" t="e">
        <f ca="1">IF(#REF!,12,IF(OFFSET(#REF!,-1,0)&gt;0,OFFSET(#REF!,-1,0)-1,0))</f>
        <v>#REF!</v>
      </c>
      <c r="AH74" s="57" t="e">
        <f ca="1">IF(#REF!,12,IF(OFFSET(#REF!,-1,0)&gt;0,OFFSET(#REF!,-1,0)-1,0))</f>
        <v>#REF!</v>
      </c>
      <c r="AI74" s="57" t="e">
        <f ca="1">IF(#REF!,12,IF(OFFSET(#REF!,-1,0)&gt;0,OFFSET(#REF!,-1,0)-1,0))</f>
        <v>#REF!</v>
      </c>
      <c r="AJ74" s="57" t="e">
        <f ca="1">IF(#REF!,12,IF(OFFSET(#REF!,-1,0)&gt;0,OFFSET(#REF!,-1,0)-1,0))</f>
        <v>#REF!</v>
      </c>
      <c r="AK74" s="57" t="e">
        <f ca="1">IF(#REF!,12,IF(OFFSET(#REF!,-1,0)&gt;0,OFFSET(#REF!,-1,0)-1,0))</f>
        <v>#REF!</v>
      </c>
      <c r="AL74" s="57" t="e">
        <f ca="1">IF(#REF!,12,IF(OFFSET(#REF!,-1,0)&gt;0,OFFSET(#REF!,-1,0)-1,0))</f>
        <v>#REF!</v>
      </c>
      <c r="AM74" s="57" t="e">
        <f ca="1">IF(#REF!,12,IF(OFFSET(#REF!,-1,0)&gt;0,OFFSET(#REF!,-1,0)-1,0))</f>
        <v>#REF!</v>
      </c>
      <c r="AN74" s="57" t="e">
        <f ca="1">IF(#REF!,12,IF(OFFSET(#REF!,-1,0)&gt;0,OFFSET(#REF!,-1,0)-1,0))</f>
        <v>#REF!</v>
      </c>
      <c r="AO74" s="57" t="e">
        <f ca="1">IF(#REF!,12,IF(OFFSET(#REF!,-1,0)&gt;0,OFFSET(#REF!,-1,0)-1,0))</f>
        <v>#REF!</v>
      </c>
    </row>
    <row r="75" spans="1:41" x14ac:dyDescent="0.25">
      <c r="A75" s="130" t="e">
        <f>#REF!</f>
        <v>#REF!</v>
      </c>
      <c r="B75" s="133" t="e">
        <f>#REF!</f>
        <v>#REF!</v>
      </c>
      <c r="C75" s="39" t="e">
        <f>#REF!</f>
        <v>#REF!</v>
      </c>
      <c r="D75" s="135" t="e">
        <f ca="1">MIN(1,OFFSET(#REF!,-1,0)+0.04+ROUNDDOWN(10*OFFSET(#REF!,-1,0),0)+ tech_2_7*OFFSET(#REF!,-1,0) + tech_5_6*OFFSET(#REF!,-1,0) )-#REF!</f>
        <v>#REF!</v>
      </c>
      <c r="E75" s="147" t="e">
        <f ca="1">OFFSET(#REF!,-1,0)+1/24</f>
        <v>#REF!</v>
      </c>
      <c r="F75" s="135" t="e">
        <f>#REF!</f>
        <v>#REF!</v>
      </c>
      <c r="G75" s="210"/>
      <c r="H75" s="210"/>
      <c r="I75" s="210"/>
      <c r="J75" s="210"/>
      <c r="K75" s="386"/>
      <c r="L75" s="210"/>
      <c r="M75" s="210"/>
      <c r="N75" s="210"/>
      <c r="O75" s="210"/>
      <c r="P75" s="210"/>
      <c r="Q75" s="210"/>
      <c r="R75" s="210"/>
      <c r="S75" s="210"/>
      <c r="T75" s="210"/>
      <c r="U75" s="210"/>
      <c r="V75" s="210"/>
      <c r="W75" s="134"/>
      <c r="X75" s="39" t="e">
        <f>(MAX(1-wg_spell_cost_cap,1-wg_spell_cost_red*ROUND(#REF!/#REF!,4))+ tech_3_9*#REF! + tech_6_2_2*#REF! )*(#REF!-#REF!*20)*(#REF!* Constants!$B$75 +#REF!* Constants!$B$76 +#REF!* Constants!$B$77 +#REF!* Constants!$B$79 +#REF!* Constants!$B$78  + SUM(#REF!)*Constants!$B$80*(1+tech_9_3*#REF!))</f>
        <v>#REF!</v>
      </c>
      <c r="Y75" s="135" t="e">
        <f>SUMIF(#REF!,1)*0.05</f>
        <v>#REF!</v>
      </c>
      <c r="Z75" s="134"/>
      <c r="AA75" s="57" t="e">
        <f ca="1">IF(#REF!,12,IF(OFFSET(#REF!,-1,0)&gt;0,OFFSET(#REF!,-1,0)-1,0))</f>
        <v>#REF!</v>
      </c>
      <c r="AB75" s="57" t="e">
        <f ca="1">IF(#REF!,12,IF(OFFSET(#REF!,-1,0)&gt;0,OFFSET(#REF!,-1,0)-1,0))</f>
        <v>#REF!</v>
      </c>
      <c r="AC75" s="57" t="e">
        <f ca="1">IF(#REF!,12,IF(OFFSET(#REF!,-1,0)&gt;0,OFFSET(#REF!,-1,0)-1,0))</f>
        <v>#REF!</v>
      </c>
      <c r="AD75" s="57" t="e">
        <f ca="1">IF(#REF!,12,IF(OFFSET(#REF!,-1,0)&gt;0,OFFSET(#REF!,-1,0)-1,0))</f>
        <v>#REF!</v>
      </c>
      <c r="AE75" s="57" t="e">
        <f ca="1">IF(#REF!,12,IF(OFFSET(#REF!,-1,0)&gt;0,OFFSET(#REF!,-1,0)-1,0))</f>
        <v>#REF!</v>
      </c>
      <c r="AF75" s="57" t="e">
        <f ca="1">IF(#REF!,12,IF(OFFSET(#REF!,-1,0)&gt;0,OFFSET(#REF!,-1,0)-1,0))</f>
        <v>#REF!</v>
      </c>
      <c r="AG75" s="57" t="e">
        <f ca="1">IF(#REF!,12,IF(OFFSET(#REF!,-1,0)&gt;0,OFFSET(#REF!,-1,0)-1,0))</f>
        <v>#REF!</v>
      </c>
      <c r="AH75" s="57" t="e">
        <f ca="1">IF(#REF!,12,IF(OFFSET(#REF!,-1,0)&gt;0,OFFSET(#REF!,-1,0)-1,0))</f>
        <v>#REF!</v>
      </c>
      <c r="AI75" s="57" t="e">
        <f ca="1">IF(#REF!,12,IF(OFFSET(#REF!,-1,0)&gt;0,OFFSET(#REF!,-1,0)-1,0))</f>
        <v>#REF!</v>
      </c>
      <c r="AJ75" s="57" t="e">
        <f ca="1">IF(#REF!,12,IF(OFFSET(#REF!,-1,0)&gt;0,OFFSET(#REF!,-1,0)-1,0))</f>
        <v>#REF!</v>
      </c>
      <c r="AK75" s="57" t="e">
        <f ca="1">IF(#REF!,12,IF(OFFSET(#REF!,-1,0)&gt;0,OFFSET(#REF!,-1,0)-1,0))</f>
        <v>#REF!</v>
      </c>
      <c r="AL75" s="57" t="e">
        <f ca="1">IF(#REF!,12,IF(OFFSET(#REF!,-1,0)&gt;0,OFFSET(#REF!,-1,0)-1,0))</f>
        <v>#REF!</v>
      </c>
      <c r="AM75" s="57" t="e">
        <f ca="1">IF(#REF!,12,IF(OFFSET(#REF!,-1,0)&gt;0,OFFSET(#REF!,-1,0)-1,0))</f>
        <v>#REF!</v>
      </c>
      <c r="AN75" s="57" t="e">
        <f ca="1">IF(#REF!,12,IF(OFFSET(#REF!,-1,0)&gt;0,OFFSET(#REF!,-1,0)-1,0))</f>
        <v>#REF!</v>
      </c>
      <c r="AO75" s="57" t="e">
        <f ca="1">IF(#REF!,12,IF(OFFSET(#REF!,-1,0)&gt;0,OFFSET(#REF!,-1,0)-1,0))</f>
        <v>#REF!</v>
      </c>
    </row>
    <row r="76" spans="1:41" s="192" customFormat="1" ht="13" x14ac:dyDescent="0.3">
      <c r="A76" s="136" t="e">
        <f>#REF!</f>
        <v>#REF!</v>
      </c>
      <c r="B76" s="150" t="e">
        <f>#REF!</f>
        <v>#REF!</v>
      </c>
      <c r="C76" s="191" t="e">
        <f>#REF!</f>
        <v>#REF!</v>
      </c>
      <c r="D76" s="250" t="e">
        <f ca="1">MIN(1,OFFSET(#REF!,-1,0)+0.04+ROUNDDOWN(10*OFFSET(#REF!,-1,0),0)+ tech_2_7*OFFSET(#REF!,-1,0) + tech_5_6*OFFSET(#REF!,-1,0) )-#REF!</f>
        <v>#REF!</v>
      </c>
      <c r="E76" s="198" t="e">
        <f ca="1">OFFSET(#REF!,-1,0)+1/24</f>
        <v>#REF!</v>
      </c>
      <c r="F76" s="250" t="e">
        <f>#REF!</f>
        <v>#REF!</v>
      </c>
      <c r="G76" s="225"/>
      <c r="H76" s="225"/>
      <c r="I76" s="225"/>
      <c r="J76" s="225"/>
      <c r="K76" s="387"/>
      <c r="L76" s="225"/>
      <c r="M76" s="225"/>
      <c r="N76" s="225"/>
      <c r="O76" s="225"/>
      <c r="P76" s="225"/>
      <c r="Q76" s="225"/>
      <c r="R76" s="225"/>
      <c r="S76" s="225"/>
      <c r="T76" s="225"/>
      <c r="U76" s="225"/>
      <c r="V76" s="225"/>
      <c r="W76" s="140"/>
      <c r="X76" s="191" t="e">
        <f>(MAX(1-wg_spell_cost_cap,1-wg_spell_cost_red*ROUND(#REF!/#REF!,4))+ tech_3_9*#REF! + tech_6_2_2*#REF! )*(#REF!-#REF!*20)*(#REF!* Constants!$B$75 +#REF!* Constants!$B$76 +#REF!* Constants!$B$77 +#REF!* Constants!$B$79 +#REF!* Constants!$B$78  + SUM(#REF!)*Constants!$B$80*(1+tech_9_3*#REF!))</f>
        <v>#REF!</v>
      </c>
      <c r="Y76" s="250" t="e">
        <f>SUMIF(#REF!,1)*0.05</f>
        <v>#REF!</v>
      </c>
      <c r="Z76" s="140"/>
      <c r="AA76" s="193" t="e">
        <f ca="1">IF(#REF!,12,IF(OFFSET(#REF!,-1,0)&gt;0,OFFSET(#REF!,-1,0)-1,0))</f>
        <v>#REF!</v>
      </c>
      <c r="AB76" s="193" t="e">
        <f ca="1">IF(#REF!,12,IF(OFFSET(#REF!,-1,0)&gt;0,OFFSET(#REF!,-1,0)-1,0))</f>
        <v>#REF!</v>
      </c>
      <c r="AC76" s="193" t="e">
        <f ca="1">IF(#REF!,12,IF(OFFSET(#REF!,-1,0)&gt;0,OFFSET(#REF!,-1,0)-1,0))</f>
        <v>#REF!</v>
      </c>
      <c r="AD76" s="193" t="e">
        <f ca="1">IF(#REF!,12,IF(OFFSET(#REF!,-1,0)&gt;0,OFFSET(#REF!,-1,0)-1,0))</f>
        <v>#REF!</v>
      </c>
      <c r="AE76" s="193" t="e">
        <f ca="1">IF(#REF!,12,IF(OFFSET(#REF!,-1,0)&gt;0,OFFSET(#REF!,-1,0)-1,0))</f>
        <v>#REF!</v>
      </c>
      <c r="AF76" s="193" t="e">
        <f ca="1">IF(#REF!,12,IF(OFFSET(#REF!,-1,0)&gt;0,OFFSET(#REF!,-1,0)-1,0))</f>
        <v>#REF!</v>
      </c>
      <c r="AG76" s="193" t="e">
        <f ca="1">IF(#REF!,12,IF(OFFSET(#REF!,-1,0)&gt;0,OFFSET(#REF!,-1,0)-1,0))</f>
        <v>#REF!</v>
      </c>
      <c r="AH76" s="193" t="e">
        <f ca="1">IF(#REF!,12,IF(OFFSET(#REF!,-1,0)&gt;0,OFFSET(#REF!,-1,0)-1,0))</f>
        <v>#REF!</v>
      </c>
      <c r="AI76" s="193" t="e">
        <f ca="1">IF(#REF!,12,IF(OFFSET(#REF!,-1,0)&gt;0,OFFSET(#REF!,-1,0)-1,0))</f>
        <v>#REF!</v>
      </c>
      <c r="AJ76" s="193" t="e">
        <f ca="1">IF(#REF!,12,IF(OFFSET(#REF!,-1,0)&gt;0,OFFSET(#REF!,-1,0)-1,0))</f>
        <v>#REF!</v>
      </c>
      <c r="AK76" s="193" t="e">
        <f ca="1">IF(#REF!,12,IF(OFFSET(#REF!,-1,0)&gt;0,OFFSET(#REF!,-1,0)-1,0))</f>
        <v>#REF!</v>
      </c>
      <c r="AL76" s="193" t="e">
        <f ca="1">IF(#REF!,12,IF(OFFSET(#REF!,-1,0)&gt;0,OFFSET(#REF!,-1,0)-1,0))</f>
        <v>#REF!</v>
      </c>
      <c r="AM76" s="193" t="e">
        <f ca="1">IF(#REF!,12,IF(OFFSET(#REF!,-1,0)&gt;0,OFFSET(#REF!,-1,0)-1,0))</f>
        <v>#REF!</v>
      </c>
      <c r="AN76" s="193" t="e">
        <f ca="1">IF(#REF!,12,IF(OFFSET(#REF!,-1,0)&gt;0,OFFSET(#REF!,-1,0)-1,0))</f>
        <v>#REF!</v>
      </c>
      <c r="AO76" s="193" t="e">
        <f ca="1">IF(#REF!,12,IF(OFFSET(#REF!,-1,0)&gt;0,OFFSET(#REF!,-1,0)-1,0))</f>
        <v>#REF!</v>
      </c>
    </row>
    <row r="77" spans="1:41" x14ac:dyDescent="0.25">
      <c r="A77" s="130" t="e">
        <f>#REF!</f>
        <v>#REF!</v>
      </c>
      <c r="B77" s="133" t="e">
        <f>#REF!</f>
        <v>#REF!</v>
      </c>
      <c r="C77" s="39" t="e">
        <f>#REF!</f>
        <v>#REF!</v>
      </c>
      <c r="D77" s="135" t="e">
        <f ca="1">MIN(1,OFFSET(#REF!,-1,0)+0.04+ROUNDDOWN(10*OFFSET(#REF!,-1,0),0)+ tech_2_7*OFFSET(#REF!,-1,0) + tech_5_6*OFFSET(#REF!,-1,0) )-#REF!</f>
        <v>#REF!</v>
      </c>
      <c r="E77" s="147" t="e">
        <f ca="1">OFFSET(#REF!,-1,0)+1/24</f>
        <v>#REF!</v>
      </c>
      <c r="F77" s="135" t="e">
        <f>#REF!</f>
        <v>#REF!</v>
      </c>
      <c r="G77" s="210"/>
      <c r="H77" s="210"/>
      <c r="I77" s="210"/>
      <c r="J77" s="210"/>
      <c r="K77" s="386"/>
      <c r="L77" s="210"/>
      <c r="M77" s="210"/>
      <c r="N77" s="210"/>
      <c r="O77" s="210"/>
      <c r="P77" s="210"/>
      <c r="Q77" s="210"/>
      <c r="R77" s="210"/>
      <c r="S77" s="210"/>
      <c r="T77" s="210"/>
      <c r="U77" s="210"/>
      <c r="V77" s="210"/>
      <c r="W77" s="134"/>
      <c r="X77" s="39" t="e">
        <f>(MAX(1-wg_spell_cost_cap,1-wg_spell_cost_red*ROUND(#REF!/#REF!,4))+ tech_3_9*#REF! + tech_6_2_2*#REF! )*(#REF!-#REF!*20)*(#REF!* Constants!$B$75 +#REF!* Constants!$B$76 +#REF!* Constants!$B$77 +#REF!* Constants!$B$79 +#REF!* Constants!$B$78  + SUM(#REF!)*Constants!$B$80*(1+tech_9_3*#REF!))</f>
        <v>#REF!</v>
      </c>
      <c r="Y77" s="135" t="e">
        <f>SUMIF(#REF!,1)*0.05</f>
        <v>#REF!</v>
      </c>
      <c r="Z77" s="134"/>
      <c r="AA77" s="57" t="e">
        <f ca="1">IF(#REF!,12,IF(OFFSET(#REF!,-1,0)&gt;0,OFFSET(#REF!,-1,0)-1,0))</f>
        <v>#REF!</v>
      </c>
      <c r="AB77" s="57" t="e">
        <f ca="1">IF(#REF!,12,IF(OFFSET(#REF!,-1,0)&gt;0,OFFSET(#REF!,-1,0)-1,0))</f>
        <v>#REF!</v>
      </c>
      <c r="AC77" s="57" t="e">
        <f ca="1">IF(#REF!,12,IF(OFFSET(#REF!,-1,0)&gt;0,OFFSET(#REF!,-1,0)-1,0))</f>
        <v>#REF!</v>
      </c>
      <c r="AD77" s="57" t="e">
        <f ca="1">IF(#REF!,12,IF(OFFSET(#REF!,-1,0)&gt;0,OFFSET(#REF!,-1,0)-1,0))</f>
        <v>#REF!</v>
      </c>
      <c r="AE77" s="57" t="e">
        <f ca="1">IF(#REF!,12,IF(OFFSET(#REF!,-1,0)&gt;0,OFFSET(#REF!,-1,0)-1,0))</f>
        <v>#REF!</v>
      </c>
      <c r="AF77" s="57" t="e">
        <f ca="1">IF(#REF!,12,IF(OFFSET(#REF!,-1,0)&gt;0,OFFSET(#REF!,-1,0)-1,0))</f>
        <v>#REF!</v>
      </c>
      <c r="AG77" s="57" t="e">
        <f ca="1">IF(#REF!,12,IF(OFFSET(#REF!,-1,0)&gt;0,OFFSET(#REF!,-1,0)-1,0))</f>
        <v>#REF!</v>
      </c>
      <c r="AH77" s="57" t="e">
        <f ca="1">IF(#REF!,12,IF(OFFSET(#REF!,-1,0)&gt;0,OFFSET(#REF!,-1,0)-1,0))</f>
        <v>#REF!</v>
      </c>
      <c r="AI77" s="57" t="e">
        <f ca="1">IF(#REF!,12,IF(OFFSET(#REF!,-1,0)&gt;0,OFFSET(#REF!,-1,0)-1,0))</f>
        <v>#REF!</v>
      </c>
      <c r="AJ77" s="57" t="e">
        <f ca="1">IF(#REF!,12,IF(OFFSET(#REF!,-1,0)&gt;0,OFFSET(#REF!,-1,0)-1,0))</f>
        <v>#REF!</v>
      </c>
      <c r="AK77" s="57" t="e">
        <f ca="1">IF(#REF!,12,IF(OFFSET(#REF!,-1,0)&gt;0,OFFSET(#REF!,-1,0)-1,0))</f>
        <v>#REF!</v>
      </c>
      <c r="AL77" s="57" t="e">
        <f ca="1">IF(#REF!,12,IF(OFFSET(#REF!,-1,0)&gt;0,OFFSET(#REF!,-1,0)-1,0))</f>
        <v>#REF!</v>
      </c>
      <c r="AM77" s="57" t="e">
        <f ca="1">IF(#REF!,12,IF(OFFSET(#REF!,-1,0)&gt;0,OFFSET(#REF!,-1,0)-1,0))</f>
        <v>#REF!</v>
      </c>
      <c r="AN77" s="57" t="e">
        <f ca="1">IF(#REF!,12,IF(OFFSET(#REF!,-1,0)&gt;0,OFFSET(#REF!,-1,0)-1,0))</f>
        <v>#REF!</v>
      </c>
      <c r="AO77" s="57" t="e">
        <f ca="1">IF(#REF!,12,IF(OFFSET(#REF!,-1,0)&gt;0,OFFSET(#REF!,-1,0)-1,0))</f>
        <v>#REF!</v>
      </c>
    </row>
    <row r="78" spans="1:41" x14ac:dyDescent="0.25">
      <c r="A78" s="130" t="e">
        <f>#REF!</f>
        <v>#REF!</v>
      </c>
      <c r="B78" s="133" t="e">
        <f>#REF!</f>
        <v>#REF!</v>
      </c>
      <c r="C78" s="39" t="e">
        <f>#REF!</f>
        <v>#REF!</v>
      </c>
      <c r="D78" s="135" t="e">
        <f ca="1">MIN(1,OFFSET(#REF!,-1,0)+0.04+ROUNDDOWN(10*OFFSET(#REF!,-1,0),0)+ tech_2_7*OFFSET(#REF!,-1,0) + tech_5_6*OFFSET(#REF!,-1,0) )-#REF!</f>
        <v>#REF!</v>
      </c>
      <c r="E78" s="147" t="e">
        <f ca="1">OFFSET(#REF!,-1,0)+1/24</f>
        <v>#REF!</v>
      </c>
      <c r="F78" s="135" t="e">
        <f>#REF!</f>
        <v>#REF!</v>
      </c>
      <c r="G78" s="210"/>
      <c r="H78" s="210"/>
      <c r="I78" s="210"/>
      <c r="J78" s="210"/>
      <c r="K78" s="386"/>
      <c r="L78" s="210"/>
      <c r="M78" s="210"/>
      <c r="N78" s="210"/>
      <c r="O78" s="210"/>
      <c r="P78" s="210"/>
      <c r="Q78" s="210"/>
      <c r="R78" s="210"/>
      <c r="S78" s="210"/>
      <c r="T78" s="210"/>
      <c r="U78" s="210"/>
      <c r="V78" s="210"/>
      <c r="W78" s="134"/>
      <c r="X78" s="39" t="e">
        <f>(MAX(1-wg_spell_cost_cap,1-wg_spell_cost_red*ROUND(#REF!/#REF!,4))+ tech_3_9*#REF! + tech_6_2_2*#REF! )*(#REF!-#REF!*20)*(#REF!* Constants!$B$75 +#REF!* Constants!$B$76 +#REF!* Constants!$B$77 +#REF!* Constants!$B$79 +#REF!* Constants!$B$78  + SUM(#REF!)*Constants!$B$80*(1+tech_9_3*#REF!))</f>
        <v>#REF!</v>
      </c>
      <c r="Y78" s="135" t="e">
        <f>SUMIF(#REF!,1)*0.05</f>
        <v>#REF!</v>
      </c>
      <c r="Z78" s="134"/>
      <c r="AA78" s="57" t="e">
        <f ca="1">IF(#REF!,12,IF(OFFSET(#REF!,-1,0)&gt;0,OFFSET(#REF!,-1,0)-1,0))</f>
        <v>#REF!</v>
      </c>
      <c r="AB78" s="57" t="e">
        <f ca="1">IF(#REF!,12,IF(OFFSET(#REF!,-1,0)&gt;0,OFFSET(#REF!,-1,0)-1,0))</f>
        <v>#REF!</v>
      </c>
      <c r="AC78" s="57" t="e">
        <f ca="1">IF(#REF!,12,IF(OFFSET(#REF!,-1,0)&gt;0,OFFSET(#REF!,-1,0)-1,0))</f>
        <v>#REF!</v>
      </c>
      <c r="AD78" s="57" t="e">
        <f ca="1">IF(#REF!,12,IF(OFFSET(#REF!,-1,0)&gt;0,OFFSET(#REF!,-1,0)-1,0))</f>
        <v>#REF!</v>
      </c>
      <c r="AE78" s="57" t="e">
        <f ca="1">IF(#REF!,12,IF(OFFSET(#REF!,-1,0)&gt;0,OFFSET(#REF!,-1,0)-1,0))</f>
        <v>#REF!</v>
      </c>
      <c r="AF78" s="57" t="e">
        <f ca="1">IF(#REF!,12,IF(OFFSET(#REF!,-1,0)&gt;0,OFFSET(#REF!,-1,0)-1,0))</f>
        <v>#REF!</v>
      </c>
      <c r="AG78" s="57" t="e">
        <f ca="1">IF(#REF!,12,IF(OFFSET(#REF!,-1,0)&gt;0,OFFSET(#REF!,-1,0)-1,0))</f>
        <v>#REF!</v>
      </c>
      <c r="AH78" s="57" t="e">
        <f ca="1">IF(#REF!,12,IF(OFFSET(#REF!,-1,0)&gt;0,OFFSET(#REF!,-1,0)-1,0))</f>
        <v>#REF!</v>
      </c>
      <c r="AI78" s="57" t="e">
        <f ca="1">IF(#REF!,12,IF(OFFSET(#REF!,-1,0)&gt;0,OFFSET(#REF!,-1,0)-1,0))</f>
        <v>#REF!</v>
      </c>
      <c r="AJ78" s="57" t="e">
        <f ca="1">IF(#REF!,12,IF(OFFSET(#REF!,-1,0)&gt;0,OFFSET(#REF!,-1,0)-1,0))</f>
        <v>#REF!</v>
      </c>
      <c r="AK78" s="57" t="e">
        <f ca="1">IF(#REF!,12,IF(OFFSET(#REF!,-1,0)&gt;0,OFFSET(#REF!,-1,0)-1,0))</f>
        <v>#REF!</v>
      </c>
      <c r="AL78" s="57" t="e">
        <f ca="1">IF(#REF!,12,IF(OFFSET(#REF!,-1,0)&gt;0,OFFSET(#REF!,-1,0)-1,0))</f>
        <v>#REF!</v>
      </c>
      <c r="AM78" s="57" t="e">
        <f ca="1">IF(#REF!,12,IF(OFFSET(#REF!,-1,0)&gt;0,OFFSET(#REF!,-1,0)-1,0))</f>
        <v>#REF!</v>
      </c>
      <c r="AN78" s="57" t="e">
        <f ca="1">IF(#REF!,12,IF(OFFSET(#REF!,-1,0)&gt;0,OFFSET(#REF!,-1,0)-1,0))</f>
        <v>#REF!</v>
      </c>
      <c r="AO78" s="57" t="e">
        <f ca="1">IF(#REF!,12,IF(OFFSET(#REF!,-1,0)&gt;0,OFFSET(#REF!,-1,0)-1,0))</f>
        <v>#REF!</v>
      </c>
    </row>
    <row r="79" spans="1:41" x14ac:dyDescent="0.25">
      <c r="A79" s="130" t="e">
        <f>#REF!</f>
        <v>#REF!</v>
      </c>
      <c r="B79" s="133" t="e">
        <f>#REF!</f>
        <v>#REF!</v>
      </c>
      <c r="C79" s="39" t="e">
        <f>#REF!</f>
        <v>#REF!</v>
      </c>
      <c r="D79" s="135" t="e">
        <f ca="1">MIN(1,OFFSET(#REF!,-1,0)+0.04+ROUNDDOWN(10*OFFSET(#REF!,-1,0),0)+ tech_2_7*OFFSET(#REF!,-1,0) + tech_5_6*OFFSET(#REF!,-1,0) )-#REF!</f>
        <v>#REF!</v>
      </c>
      <c r="E79" s="147" t="e">
        <f ca="1">OFFSET(#REF!,-1,0)+1/24</f>
        <v>#REF!</v>
      </c>
      <c r="F79" s="135" t="e">
        <f>#REF!</f>
        <v>#REF!</v>
      </c>
      <c r="G79" s="210"/>
      <c r="H79" s="210"/>
      <c r="I79" s="210"/>
      <c r="J79" s="210"/>
      <c r="K79" s="386"/>
      <c r="L79" s="210"/>
      <c r="M79" s="210"/>
      <c r="N79" s="210"/>
      <c r="O79" s="210"/>
      <c r="P79" s="210"/>
      <c r="Q79" s="210"/>
      <c r="R79" s="210"/>
      <c r="S79" s="210"/>
      <c r="T79" s="210"/>
      <c r="U79" s="210"/>
      <c r="V79" s="210"/>
      <c r="W79" s="134"/>
      <c r="X79" s="39" t="e">
        <f>(MAX(1-wg_spell_cost_cap,1-wg_spell_cost_red*ROUND(#REF!/#REF!,4))+ tech_3_9*#REF! + tech_6_2_2*#REF! )*(#REF!-#REF!*20)*(#REF!* Constants!$B$75 +#REF!* Constants!$B$76 +#REF!* Constants!$B$77 +#REF!* Constants!$B$79 +#REF!* Constants!$B$78  + SUM(#REF!)*Constants!$B$80*(1+tech_9_3*#REF!))</f>
        <v>#REF!</v>
      </c>
      <c r="Y79" s="135" t="e">
        <f>SUMIF(#REF!,1)*0.05</f>
        <v>#REF!</v>
      </c>
      <c r="Z79" s="134"/>
      <c r="AA79" s="57" t="e">
        <f ca="1">IF(#REF!,12,IF(OFFSET(#REF!,-1,0)&gt;0,OFFSET(#REF!,-1,0)-1,0))</f>
        <v>#REF!</v>
      </c>
      <c r="AB79" s="57" t="e">
        <f ca="1">IF(#REF!,12,IF(OFFSET(#REF!,-1,0)&gt;0,OFFSET(#REF!,-1,0)-1,0))</f>
        <v>#REF!</v>
      </c>
      <c r="AC79" s="57" t="e">
        <f ca="1">IF(#REF!,12,IF(OFFSET(#REF!,-1,0)&gt;0,OFFSET(#REF!,-1,0)-1,0))</f>
        <v>#REF!</v>
      </c>
      <c r="AD79" s="57" t="e">
        <f ca="1">IF(#REF!,12,IF(OFFSET(#REF!,-1,0)&gt;0,OFFSET(#REF!,-1,0)-1,0))</f>
        <v>#REF!</v>
      </c>
      <c r="AE79" s="57" t="e">
        <f ca="1">IF(#REF!,12,IF(OFFSET(#REF!,-1,0)&gt;0,OFFSET(#REF!,-1,0)-1,0))</f>
        <v>#REF!</v>
      </c>
      <c r="AF79" s="57" t="e">
        <f ca="1">IF(#REF!,12,IF(OFFSET(#REF!,-1,0)&gt;0,OFFSET(#REF!,-1,0)-1,0))</f>
        <v>#REF!</v>
      </c>
      <c r="AG79" s="57" t="e">
        <f ca="1">IF(#REF!,12,IF(OFFSET(#REF!,-1,0)&gt;0,OFFSET(#REF!,-1,0)-1,0))</f>
        <v>#REF!</v>
      </c>
      <c r="AH79" s="57" t="e">
        <f ca="1">IF(#REF!,12,IF(OFFSET(#REF!,-1,0)&gt;0,OFFSET(#REF!,-1,0)-1,0))</f>
        <v>#REF!</v>
      </c>
      <c r="AI79" s="57" t="e">
        <f ca="1">IF(#REF!,12,IF(OFFSET(#REF!,-1,0)&gt;0,OFFSET(#REF!,-1,0)-1,0))</f>
        <v>#REF!</v>
      </c>
      <c r="AJ79" s="57" t="e">
        <f ca="1">IF(#REF!,12,IF(OFFSET(#REF!,-1,0)&gt;0,OFFSET(#REF!,-1,0)-1,0))</f>
        <v>#REF!</v>
      </c>
      <c r="AK79" s="57" t="e">
        <f ca="1">IF(#REF!,12,IF(OFFSET(#REF!,-1,0)&gt;0,OFFSET(#REF!,-1,0)-1,0))</f>
        <v>#REF!</v>
      </c>
      <c r="AL79" s="57" t="e">
        <f ca="1">IF(#REF!,12,IF(OFFSET(#REF!,-1,0)&gt;0,OFFSET(#REF!,-1,0)-1,0))</f>
        <v>#REF!</v>
      </c>
      <c r="AM79" s="57" t="e">
        <f ca="1">IF(#REF!,12,IF(OFFSET(#REF!,-1,0)&gt;0,OFFSET(#REF!,-1,0)-1,0))</f>
        <v>#REF!</v>
      </c>
      <c r="AN79" s="57" t="e">
        <f ca="1">IF(#REF!,12,IF(OFFSET(#REF!,-1,0)&gt;0,OFFSET(#REF!,-1,0)-1,0))</f>
        <v>#REF!</v>
      </c>
      <c r="AO79" s="57" t="e">
        <f ca="1">IF(#REF!,12,IF(OFFSET(#REF!,-1,0)&gt;0,OFFSET(#REF!,-1,0)-1,0))</f>
        <v>#REF!</v>
      </c>
    </row>
    <row r="80" spans="1:41" x14ac:dyDescent="0.25">
      <c r="A80" s="130" t="e">
        <f>#REF!</f>
        <v>#REF!</v>
      </c>
      <c r="B80" s="133" t="e">
        <f>#REF!</f>
        <v>#REF!</v>
      </c>
      <c r="C80" s="39" t="e">
        <f>#REF!</f>
        <v>#REF!</v>
      </c>
      <c r="D80" s="135" t="e">
        <f ca="1">MIN(1,OFFSET(#REF!,-1,0)+0.04+ROUNDDOWN(10*OFFSET(#REF!,-1,0),0)+ tech_2_7*OFFSET(#REF!,-1,0) + tech_5_6*OFFSET(#REF!,-1,0) )-#REF!</f>
        <v>#REF!</v>
      </c>
      <c r="E80" s="147" t="e">
        <f ca="1">OFFSET(#REF!,-1,0)+1/24</f>
        <v>#REF!</v>
      </c>
      <c r="F80" s="135" t="e">
        <f>#REF!</f>
        <v>#REF!</v>
      </c>
      <c r="G80" s="210"/>
      <c r="H80" s="210"/>
      <c r="I80" s="210"/>
      <c r="J80" s="210"/>
      <c r="K80" s="386"/>
      <c r="L80" s="210"/>
      <c r="M80" s="210"/>
      <c r="N80" s="210"/>
      <c r="O80" s="210"/>
      <c r="P80" s="210"/>
      <c r="Q80" s="210"/>
      <c r="R80" s="210"/>
      <c r="S80" s="210"/>
      <c r="T80" s="210"/>
      <c r="U80" s="210"/>
      <c r="V80" s="210"/>
      <c r="W80" s="134"/>
      <c r="X80" s="39" t="e">
        <f>(MAX(1-wg_spell_cost_cap,1-wg_spell_cost_red*ROUND(#REF!/#REF!,4))+ tech_3_9*#REF! + tech_6_2_2*#REF! )*(#REF!-#REF!*20)*(#REF!* Constants!$B$75 +#REF!* Constants!$B$76 +#REF!* Constants!$B$77 +#REF!* Constants!$B$79 +#REF!* Constants!$B$78  + SUM(#REF!)*Constants!$B$80*(1+tech_9_3*#REF!))</f>
        <v>#REF!</v>
      </c>
      <c r="Y80" s="135" t="e">
        <f>SUMIF(#REF!,1)*0.05</f>
        <v>#REF!</v>
      </c>
      <c r="Z80" s="134"/>
      <c r="AA80" s="57" t="e">
        <f ca="1">IF(#REF!,12,IF(OFFSET(#REF!,-1,0)&gt;0,OFFSET(#REF!,-1,0)-1,0))</f>
        <v>#REF!</v>
      </c>
      <c r="AB80" s="57" t="e">
        <f ca="1">IF(#REF!,12,IF(OFFSET(#REF!,-1,0)&gt;0,OFFSET(#REF!,-1,0)-1,0))</f>
        <v>#REF!</v>
      </c>
      <c r="AC80" s="57" t="e">
        <f ca="1">IF(#REF!,12,IF(OFFSET(#REF!,-1,0)&gt;0,OFFSET(#REF!,-1,0)-1,0))</f>
        <v>#REF!</v>
      </c>
      <c r="AD80" s="57" t="e">
        <f ca="1">IF(#REF!,12,IF(OFFSET(#REF!,-1,0)&gt;0,OFFSET(#REF!,-1,0)-1,0))</f>
        <v>#REF!</v>
      </c>
      <c r="AE80" s="57" t="e">
        <f ca="1">IF(#REF!,12,IF(OFFSET(#REF!,-1,0)&gt;0,OFFSET(#REF!,-1,0)-1,0))</f>
        <v>#REF!</v>
      </c>
      <c r="AF80" s="57" t="e">
        <f ca="1">IF(#REF!,12,IF(OFFSET(#REF!,-1,0)&gt;0,OFFSET(#REF!,-1,0)-1,0))</f>
        <v>#REF!</v>
      </c>
      <c r="AG80" s="57" t="e">
        <f ca="1">IF(#REF!,12,IF(OFFSET(#REF!,-1,0)&gt;0,OFFSET(#REF!,-1,0)-1,0))</f>
        <v>#REF!</v>
      </c>
      <c r="AH80" s="57" t="e">
        <f ca="1">IF(#REF!,12,IF(OFFSET(#REF!,-1,0)&gt;0,OFFSET(#REF!,-1,0)-1,0))</f>
        <v>#REF!</v>
      </c>
      <c r="AI80" s="57" t="e">
        <f ca="1">IF(#REF!,12,IF(OFFSET(#REF!,-1,0)&gt;0,OFFSET(#REF!,-1,0)-1,0))</f>
        <v>#REF!</v>
      </c>
      <c r="AJ80" s="57" t="e">
        <f ca="1">IF(#REF!,12,IF(OFFSET(#REF!,-1,0)&gt;0,OFFSET(#REF!,-1,0)-1,0))</f>
        <v>#REF!</v>
      </c>
      <c r="AK80" s="57" t="e">
        <f ca="1">IF(#REF!,12,IF(OFFSET(#REF!,-1,0)&gt;0,OFFSET(#REF!,-1,0)-1,0))</f>
        <v>#REF!</v>
      </c>
      <c r="AL80" s="57" t="e">
        <f ca="1">IF(#REF!,12,IF(OFFSET(#REF!,-1,0)&gt;0,OFFSET(#REF!,-1,0)-1,0))</f>
        <v>#REF!</v>
      </c>
      <c r="AM80" s="57" t="e">
        <f ca="1">IF(#REF!,12,IF(OFFSET(#REF!,-1,0)&gt;0,OFFSET(#REF!,-1,0)-1,0))</f>
        <v>#REF!</v>
      </c>
      <c r="AN80" s="57" t="e">
        <f ca="1">IF(#REF!,12,IF(OFFSET(#REF!,-1,0)&gt;0,OFFSET(#REF!,-1,0)-1,0))</f>
        <v>#REF!</v>
      </c>
      <c r="AO80" s="57" t="e">
        <f ca="1">IF(#REF!,12,IF(OFFSET(#REF!,-1,0)&gt;0,OFFSET(#REF!,-1,0)-1,0))</f>
        <v>#REF!</v>
      </c>
    </row>
    <row r="81" spans="1:41" x14ac:dyDescent="0.25">
      <c r="A81" s="130" t="e">
        <f>#REF!</f>
        <v>#REF!</v>
      </c>
      <c r="B81" s="133" t="e">
        <f>#REF!</f>
        <v>#REF!</v>
      </c>
      <c r="C81" s="39" t="e">
        <f>#REF!</f>
        <v>#REF!</v>
      </c>
      <c r="D81" s="135" t="e">
        <f ca="1">MIN(1,OFFSET(#REF!,-1,0)+0.04+ROUNDDOWN(10*OFFSET(#REF!,-1,0),0)+ tech_2_7*OFFSET(#REF!,-1,0) + tech_5_6*OFFSET(#REF!,-1,0) )-#REF!</f>
        <v>#REF!</v>
      </c>
      <c r="E81" s="147" t="e">
        <f ca="1">OFFSET(#REF!,-1,0)+1/24</f>
        <v>#REF!</v>
      </c>
      <c r="F81" s="135" t="e">
        <f>#REF!</f>
        <v>#REF!</v>
      </c>
      <c r="G81" s="210"/>
      <c r="H81" s="210"/>
      <c r="I81" s="210"/>
      <c r="J81" s="210"/>
      <c r="K81" s="386"/>
      <c r="L81" s="210"/>
      <c r="M81" s="210"/>
      <c r="N81" s="210"/>
      <c r="O81" s="210"/>
      <c r="P81" s="210"/>
      <c r="Q81" s="210"/>
      <c r="R81" s="210"/>
      <c r="S81" s="210"/>
      <c r="T81" s="210"/>
      <c r="U81" s="210"/>
      <c r="V81" s="210"/>
      <c r="W81" s="134"/>
      <c r="X81" s="39" t="e">
        <f>(MAX(1-wg_spell_cost_cap,1-wg_spell_cost_red*ROUND(#REF!/#REF!,4))+ tech_3_9*#REF! + tech_6_2_2*#REF! )*(#REF!-#REF!*20)*(#REF!* Constants!$B$75 +#REF!* Constants!$B$76 +#REF!* Constants!$B$77 +#REF!* Constants!$B$79 +#REF!* Constants!$B$78  + SUM(#REF!)*Constants!$B$80*(1+tech_9_3*#REF!))</f>
        <v>#REF!</v>
      </c>
      <c r="Y81" s="135" t="e">
        <f>SUMIF(#REF!,1)*0.05</f>
        <v>#REF!</v>
      </c>
      <c r="Z81" s="134"/>
      <c r="AA81" s="57" t="e">
        <f ca="1">IF(#REF!,12,IF(OFFSET(#REF!,-1,0)&gt;0,OFFSET(#REF!,-1,0)-1,0))</f>
        <v>#REF!</v>
      </c>
      <c r="AB81" s="57" t="e">
        <f ca="1">IF(#REF!,12,IF(OFFSET(#REF!,-1,0)&gt;0,OFFSET(#REF!,-1,0)-1,0))</f>
        <v>#REF!</v>
      </c>
      <c r="AC81" s="57" t="e">
        <f ca="1">IF(#REF!,12,IF(OFFSET(#REF!,-1,0)&gt;0,OFFSET(#REF!,-1,0)-1,0))</f>
        <v>#REF!</v>
      </c>
      <c r="AD81" s="57" t="e">
        <f ca="1">IF(#REF!,12,IF(OFFSET(#REF!,-1,0)&gt;0,OFFSET(#REF!,-1,0)-1,0))</f>
        <v>#REF!</v>
      </c>
      <c r="AE81" s="57" t="e">
        <f ca="1">IF(#REF!,12,IF(OFFSET(#REF!,-1,0)&gt;0,OFFSET(#REF!,-1,0)-1,0))</f>
        <v>#REF!</v>
      </c>
      <c r="AF81" s="57" t="e">
        <f ca="1">IF(#REF!,12,IF(OFFSET(#REF!,-1,0)&gt;0,OFFSET(#REF!,-1,0)-1,0))</f>
        <v>#REF!</v>
      </c>
      <c r="AG81" s="57" t="e">
        <f ca="1">IF(#REF!,12,IF(OFFSET(#REF!,-1,0)&gt;0,OFFSET(#REF!,-1,0)-1,0))</f>
        <v>#REF!</v>
      </c>
      <c r="AH81" s="57" t="e">
        <f ca="1">IF(#REF!,12,IF(OFFSET(#REF!,-1,0)&gt;0,OFFSET(#REF!,-1,0)-1,0))</f>
        <v>#REF!</v>
      </c>
      <c r="AI81" s="57" t="e">
        <f ca="1">IF(#REF!,12,IF(OFFSET(#REF!,-1,0)&gt;0,OFFSET(#REF!,-1,0)-1,0))</f>
        <v>#REF!</v>
      </c>
      <c r="AJ81" s="57" t="e">
        <f ca="1">IF(#REF!,12,IF(OFFSET(#REF!,-1,0)&gt;0,OFFSET(#REF!,-1,0)-1,0))</f>
        <v>#REF!</v>
      </c>
      <c r="AK81" s="57" t="e">
        <f ca="1">IF(#REF!,12,IF(OFFSET(#REF!,-1,0)&gt;0,OFFSET(#REF!,-1,0)-1,0))</f>
        <v>#REF!</v>
      </c>
      <c r="AL81" s="57" t="e">
        <f ca="1">IF(#REF!,12,IF(OFFSET(#REF!,-1,0)&gt;0,OFFSET(#REF!,-1,0)-1,0))</f>
        <v>#REF!</v>
      </c>
      <c r="AM81" s="57" t="e">
        <f ca="1">IF(#REF!,12,IF(OFFSET(#REF!,-1,0)&gt;0,OFFSET(#REF!,-1,0)-1,0))</f>
        <v>#REF!</v>
      </c>
      <c r="AN81" s="57" t="e">
        <f ca="1">IF(#REF!,12,IF(OFFSET(#REF!,-1,0)&gt;0,OFFSET(#REF!,-1,0)-1,0))</f>
        <v>#REF!</v>
      </c>
      <c r="AO81" s="57" t="e">
        <f ca="1">IF(#REF!,12,IF(OFFSET(#REF!,-1,0)&gt;0,OFFSET(#REF!,-1,0)-1,0))</f>
        <v>#REF!</v>
      </c>
    </row>
    <row r="82" spans="1:41" x14ac:dyDescent="0.25">
      <c r="A82" s="130" t="e">
        <f>#REF!</f>
        <v>#REF!</v>
      </c>
      <c r="B82" s="133" t="e">
        <f>#REF!</f>
        <v>#REF!</v>
      </c>
      <c r="C82" s="39" t="e">
        <f>#REF!</f>
        <v>#REF!</v>
      </c>
      <c r="D82" s="135" t="e">
        <f ca="1">MIN(1,OFFSET(#REF!,-1,0)+0.04+ROUNDDOWN(10*OFFSET(#REF!,-1,0),0)+ tech_2_7*OFFSET(#REF!,-1,0) + tech_5_6*OFFSET(#REF!,-1,0) )-#REF!</f>
        <v>#REF!</v>
      </c>
      <c r="E82" s="147" t="e">
        <f ca="1">OFFSET(#REF!,-1,0)+1/24</f>
        <v>#REF!</v>
      </c>
      <c r="F82" s="135" t="e">
        <f>#REF!</f>
        <v>#REF!</v>
      </c>
      <c r="G82" s="210"/>
      <c r="H82" s="210"/>
      <c r="I82" s="210"/>
      <c r="J82" s="210"/>
      <c r="K82" s="386"/>
      <c r="L82" s="210"/>
      <c r="M82" s="210"/>
      <c r="N82" s="210"/>
      <c r="O82" s="210"/>
      <c r="P82" s="210"/>
      <c r="Q82" s="210"/>
      <c r="R82" s="210"/>
      <c r="S82" s="210"/>
      <c r="T82" s="210"/>
      <c r="U82" s="210"/>
      <c r="V82" s="210"/>
      <c r="W82" s="134"/>
      <c r="X82" s="39" t="e">
        <f>(MAX(1-wg_spell_cost_cap,1-wg_spell_cost_red*ROUND(#REF!/#REF!,4))+ tech_3_9*#REF! + tech_6_2_2*#REF! )*(#REF!-#REF!*20)*(#REF!* Constants!$B$75 +#REF!* Constants!$B$76 +#REF!* Constants!$B$77 +#REF!* Constants!$B$79 +#REF!* Constants!$B$78  + SUM(#REF!)*Constants!$B$80*(1+tech_9_3*#REF!))</f>
        <v>#REF!</v>
      </c>
      <c r="Y82" s="135" t="e">
        <f>SUMIF(#REF!,1)*0.05</f>
        <v>#REF!</v>
      </c>
      <c r="Z82" s="134"/>
      <c r="AA82" s="57" t="e">
        <f ca="1">IF(#REF!,12,IF(OFFSET(#REF!,-1,0)&gt;0,OFFSET(#REF!,-1,0)-1,0))</f>
        <v>#REF!</v>
      </c>
      <c r="AB82" s="57" t="e">
        <f ca="1">IF(#REF!,12,IF(OFFSET(#REF!,-1,0)&gt;0,OFFSET(#REF!,-1,0)-1,0))</f>
        <v>#REF!</v>
      </c>
      <c r="AC82" s="57" t="e">
        <f ca="1">IF(#REF!,12,IF(OFFSET(#REF!,-1,0)&gt;0,OFFSET(#REF!,-1,0)-1,0))</f>
        <v>#REF!</v>
      </c>
      <c r="AD82" s="57" t="e">
        <f ca="1">IF(#REF!,12,IF(OFFSET(#REF!,-1,0)&gt;0,OFFSET(#REF!,-1,0)-1,0))</f>
        <v>#REF!</v>
      </c>
      <c r="AE82" s="57" t="e">
        <f ca="1">IF(#REF!,12,IF(OFFSET(#REF!,-1,0)&gt;0,OFFSET(#REF!,-1,0)-1,0))</f>
        <v>#REF!</v>
      </c>
      <c r="AF82" s="57" t="e">
        <f ca="1">IF(#REF!,12,IF(OFFSET(#REF!,-1,0)&gt;0,OFFSET(#REF!,-1,0)-1,0))</f>
        <v>#REF!</v>
      </c>
      <c r="AG82" s="57" t="e">
        <f ca="1">IF(#REF!,12,IF(OFFSET(#REF!,-1,0)&gt;0,OFFSET(#REF!,-1,0)-1,0))</f>
        <v>#REF!</v>
      </c>
      <c r="AH82" s="57" t="e">
        <f ca="1">IF(#REF!,12,IF(OFFSET(#REF!,-1,0)&gt;0,OFFSET(#REF!,-1,0)-1,0))</f>
        <v>#REF!</v>
      </c>
      <c r="AI82" s="57" t="e">
        <f ca="1">IF(#REF!,12,IF(OFFSET(#REF!,-1,0)&gt;0,OFFSET(#REF!,-1,0)-1,0))</f>
        <v>#REF!</v>
      </c>
      <c r="AJ82" s="57" t="e">
        <f ca="1">IF(#REF!,12,IF(OFFSET(#REF!,-1,0)&gt;0,OFFSET(#REF!,-1,0)-1,0))</f>
        <v>#REF!</v>
      </c>
      <c r="AK82" s="57" t="e">
        <f ca="1">IF(#REF!,12,IF(OFFSET(#REF!,-1,0)&gt;0,OFFSET(#REF!,-1,0)-1,0))</f>
        <v>#REF!</v>
      </c>
      <c r="AL82" s="57" t="e">
        <f ca="1">IF(#REF!,12,IF(OFFSET(#REF!,-1,0)&gt;0,OFFSET(#REF!,-1,0)-1,0))</f>
        <v>#REF!</v>
      </c>
      <c r="AM82" s="57" t="e">
        <f ca="1">IF(#REF!,12,IF(OFFSET(#REF!,-1,0)&gt;0,OFFSET(#REF!,-1,0)-1,0))</f>
        <v>#REF!</v>
      </c>
      <c r="AN82" s="57" t="e">
        <f ca="1">IF(#REF!,12,IF(OFFSET(#REF!,-1,0)&gt;0,OFFSET(#REF!,-1,0)-1,0))</f>
        <v>#REF!</v>
      </c>
      <c r="AO82" s="57" t="e">
        <f ca="1">IF(#REF!,12,IF(OFFSET(#REF!,-1,0)&gt;0,OFFSET(#REF!,-1,0)-1,0))</f>
        <v>#REF!</v>
      </c>
    </row>
    <row r="83" spans="1:41" x14ac:dyDescent="0.25">
      <c r="A83" s="130" t="e">
        <f>#REF!</f>
        <v>#REF!</v>
      </c>
      <c r="B83" s="133" t="e">
        <f>#REF!</f>
        <v>#REF!</v>
      </c>
      <c r="C83" s="39" t="e">
        <f>#REF!</f>
        <v>#REF!</v>
      </c>
      <c r="D83" s="135" t="e">
        <f ca="1">MIN(1,OFFSET(#REF!,-1,0)+0.04+ROUNDDOWN(10*OFFSET(#REF!,-1,0),0)+ tech_2_7*OFFSET(#REF!,-1,0) + tech_5_6*OFFSET(#REF!,-1,0) )-#REF!</f>
        <v>#REF!</v>
      </c>
      <c r="E83" s="147" t="e">
        <f ca="1">OFFSET(#REF!,-1,0)+1/24</f>
        <v>#REF!</v>
      </c>
      <c r="F83" s="135" t="e">
        <f>#REF!</f>
        <v>#REF!</v>
      </c>
      <c r="G83" s="210"/>
      <c r="H83" s="210"/>
      <c r="I83" s="210"/>
      <c r="J83" s="210"/>
      <c r="K83" s="386"/>
      <c r="L83" s="210"/>
      <c r="M83" s="210"/>
      <c r="N83" s="210"/>
      <c r="O83" s="210"/>
      <c r="P83" s="210"/>
      <c r="Q83" s="210"/>
      <c r="R83" s="210"/>
      <c r="S83" s="210"/>
      <c r="T83" s="210"/>
      <c r="U83" s="210"/>
      <c r="V83" s="210"/>
      <c r="W83" s="134"/>
      <c r="X83" s="39" t="e">
        <f>(MAX(1-wg_spell_cost_cap,1-wg_spell_cost_red*ROUND(#REF!/#REF!,4))+ tech_3_9*#REF! + tech_6_2_2*#REF! )*(#REF!-#REF!*20)*(#REF!* Constants!$B$75 +#REF!* Constants!$B$76 +#REF!* Constants!$B$77 +#REF!* Constants!$B$79 +#REF!* Constants!$B$78  + SUM(#REF!)*Constants!$B$80*(1+tech_9_3*#REF!))</f>
        <v>#REF!</v>
      </c>
      <c r="Y83" s="135" t="e">
        <f>SUMIF(#REF!,1)*0.05</f>
        <v>#REF!</v>
      </c>
      <c r="Z83" s="134"/>
      <c r="AA83" s="57" t="e">
        <f ca="1">IF(#REF!,12,IF(OFFSET(#REF!,-1,0)&gt;0,OFFSET(#REF!,-1,0)-1,0))</f>
        <v>#REF!</v>
      </c>
      <c r="AB83" s="57" t="e">
        <f ca="1">IF(#REF!,12,IF(OFFSET(#REF!,-1,0)&gt;0,OFFSET(#REF!,-1,0)-1,0))</f>
        <v>#REF!</v>
      </c>
      <c r="AC83" s="57" t="e">
        <f ca="1">IF(#REF!,12,IF(OFFSET(#REF!,-1,0)&gt;0,OFFSET(#REF!,-1,0)-1,0))</f>
        <v>#REF!</v>
      </c>
      <c r="AD83" s="57" t="e">
        <f ca="1">IF(#REF!,12,IF(OFFSET(#REF!,-1,0)&gt;0,OFFSET(#REF!,-1,0)-1,0))</f>
        <v>#REF!</v>
      </c>
      <c r="AE83" s="57" t="e">
        <f ca="1">IF(#REF!,12,IF(OFFSET(#REF!,-1,0)&gt;0,OFFSET(#REF!,-1,0)-1,0))</f>
        <v>#REF!</v>
      </c>
      <c r="AF83" s="57" t="e">
        <f ca="1">IF(#REF!,12,IF(OFFSET(#REF!,-1,0)&gt;0,OFFSET(#REF!,-1,0)-1,0))</f>
        <v>#REF!</v>
      </c>
      <c r="AG83" s="57" t="e">
        <f ca="1">IF(#REF!,12,IF(OFFSET(#REF!,-1,0)&gt;0,OFFSET(#REF!,-1,0)-1,0))</f>
        <v>#REF!</v>
      </c>
      <c r="AH83" s="57" t="e">
        <f ca="1">IF(#REF!,12,IF(OFFSET(#REF!,-1,0)&gt;0,OFFSET(#REF!,-1,0)-1,0))</f>
        <v>#REF!</v>
      </c>
      <c r="AI83" s="57" t="e">
        <f ca="1">IF(#REF!,12,IF(OFFSET(#REF!,-1,0)&gt;0,OFFSET(#REF!,-1,0)-1,0))</f>
        <v>#REF!</v>
      </c>
      <c r="AJ83" s="57" t="e">
        <f ca="1">IF(#REF!,12,IF(OFFSET(#REF!,-1,0)&gt;0,OFFSET(#REF!,-1,0)-1,0))</f>
        <v>#REF!</v>
      </c>
      <c r="AK83" s="57" t="e">
        <f ca="1">IF(#REF!,12,IF(OFFSET(#REF!,-1,0)&gt;0,OFFSET(#REF!,-1,0)-1,0))</f>
        <v>#REF!</v>
      </c>
      <c r="AL83" s="57" t="e">
        <f ca="1">IF(#REF!,12,IF(OFFSET(#REF!,-1,0)&gt;0,OFFSET(#REF!,-1,0)-1,0))</f>
        <v>#REF!</v>
      </c>
      <c r="AM83" s="57" t="e">
        <f ca="1">IF(#REF!,12,IF(OFFSET(#REF!,-1,0)&gt;0,OFFSET(#REF!,-1,0)-1,0))</f>
        <v>#REF!</v>
      </c>
      <c r="AN83" s="57" t="e">
        <f ca="1">IF(#REF!,12,IF(OFFSET(#REF!,-1,0)&gt;0,OFFSET(#REF!,-1,0)-1,0))</f>
        <v>#REF!</v>
      </c>
      <c r="AO83" s="57" t="e">
        <f ca="1">IF(#REF!,12,IF(OFFSET(#REF!,-1,0)&gt;0,OFFSET(#REF!,-1,0)-1,0))</f>
        <v>#REF!</v>
      </c>
    </row>
    <row r="84" spans="1:41" x14ac:dyDescent="0.25">
      <c r="A84" s="130" t="e">
        <f>#REF!</f>
        <v>#REF!</v>
      </c>
      <c r="B84" s="133" t="e">
        <f>#REF!</f>
        <v>#REF!</v>
      </c>
      <c r="C84" s="39" t="e">
        <f>#REF!</f>
        <v>#REF!</v>
      </c>
      <c r="D84" s="135" t="e">
        <f ca="1">MIN(1,OFFSET(#REF!,-1,0)+0.04+ROUNDDOWN(10*OFFSET(#REF!,-1,0),0)+ tech_2_7*OFFSET(#REF!,-1,0) + tech_5_6*OFFSET(#REF!,-1,0) )-#REF!</f>
        <v>#REF!</v>
      </c>
      <c r="E84" s="147" t="e">
        <f ca="1">OFFSET(#REF!,-1,0)+1/24</f>
        <v>#REF!</v>
      </c>
      <c r="F84" s="135" t="e">
        <f>#REF!</f>
        <v>#REF!</v>
      </c>
      <c r="G84" s="210"/>
      <c r="H84" s="210"/>
      <c r="I84" s="210"/>
      <c r="J84" s="210"/>
      <c r="K84" s="386"/>
      <c r="L84" s="210"/>
      <c r="M84" s="210"/>
      <c r="N84" s="210"/>
      <c r="O84" s="210"/>
      <c r="P84" s="210"/>
      <c r="Q84" s="210"/>
      <c r="R84" s="210"/>
      <c r="S84" s="210"/>
      <c r="T84" s="210"/>
      <c r="U84" s="210"/>
      <c r="V84" s="210"/>
      <c r="W84" s="134"/>
      <c r="X84" s="39" t="e">
        <f>(MAX(1-wg_spell_cost_cap,1-wg_spell_cost_red*ROUND(#REF!/#REF!,4))+ tech_3_9*#REF! + tech_6_2_2*#REF! )*(#REF!-#REF!*20)*(#REF!* Constants!$B$75 +#REF!* Constants!$B$76 +#REF!* Constants!$B$77 +#REF!* Constants!$B$79 +#REF!* Constants!$B$78  + SUM(#REF!)*Constants!$B$80*(1+tech_9_3*#REF!))</f>
        <v>#REF!</v>
      </c>
      <c r="Y84" s="135" t="e">
        <f>SUMIF(#REF!,1)*0.05</f>
        <v>#REF!</v>
      </c>
      <c r="Z84" s="134"/>
      <c r="AA84" s="57" t="e">
        <f ca="1">IF(#REF!,12,IF(OFFSET(#REF!,-1,0)&gt;0,OFFSET(#REF!,-1,0)-1,0))</f>
        <v>#REF!</v>
      </c>
      <c r="AB84" s="57" t="e">
        <f ca="1">IF(#REF!,12,IF(OFFSET(#REF!,-1,0)&gt;0,OFFSET(#REF!,-1,0)-1,0))</f>
        <v>#REF!</v>
      </c>
      <c r="AC84" s="57" t="e">
        <f ca="1">IF(#REF!,12,IF(OFFSET(#REF!,-1,0)&gt;0,OFFSET(#REF!,-1,0)-1,0))</f>
        <v>#REF!</v>
      </c>
      <c r="AD84" s="57" t="e">
        <f ca="1">IF(#REF!,12,IF(OFFSET(#REF!,-1,0)&gt;0,OFFSET(#REF!,-1,0)-1,0))</f>
        <v>#REF!</v>
      </c>
      <c r="AE84" s="57" t="e">
        <f ca="1">IF(#REF!,12,IF(OFFSET(#REF!,-1,0)&gt;0,OFFSET(#REF!,-1,0)-1,0))</f>
        <v>#REF!</v>
      </c>
      <c r="AF84" s="57" t="e">
        <f ca="1">IF(#REF!,12,IF(OFFSET(#REF!,-1,0)&gt;0,OFFSET(#REF!,-1,0)-1,0))</f>
        <v>#REF!</v>
      </c>
      <c r="AG84" s="57" t="e">
        <f ca="1">IF(#REF!,12,IF(OFFSET(#REF!,-1,0)&gt;0,OFFSET(#REF!,-1,0)-1,0))</f>
        <v>#REF!</v>
      </c>
      <c r="AH84" s="57" t="e">
        <f ca="1">IF(#REF!,12,IF(OFFSET(#REF!,-1,0)&gt;0,OFFSET(#REF!,-1,0)-1,0))</f>
        <v>#REF!</v>
      </c>
      <c r="AI84" s="57" t="e">
        <f ca="1">IF(#REF!,12,IF(OFFSET(#REF!,-1,0)&gt;0,OFFSET(#REF!,-1,0)-1,0))</f>
        <v>#REF!</v>
      </c>
      <c r="AJ84" s="57" t="e">
        <f ca="1">IF(#REF!,12,IF(OFFSET(#REF!,-1,0)&gt;0,OFFSET(#REF!,-1,0)-1,0))</f>
        <v>#REF!</v>
      </c>
      <c r="AK84" s="57" t="e">
        <f ca="1">IF(#REF!,12,IF(OFFSET(#REF!,-1,0)&gt;0,OFFSET(#REF!,-1,0)-1,0))</f>
        <v>#REF!</v>
      </c>
      <c r="AL84" s="57" t="e">
        <f ca="1">IF(#REF!,12,IF(OFFSET(#REF!,-1,0)&gt;0,OFFSET(#REF!,-1,0)-1,0))</f>
        <v>#REF!</v>
      </c>
      <c r="AM84" s="57" t="e">
        <f ca="1">IF(#REF!,12,IF(OFFSET(#REF!,-1,0)&gt;0,OFFSET(#REF!,-1,0)-1,0))</f>
        <v>#REF!</v>
      </c>
      <c r="AN84" s="57" t="e">
        <f ca="1">IF(#REF!,12,IF(OFFSET(#REF!,-1,0)&gt;0,OFFSET(#REF!,-1,0)-1,0))</f>
        <v>#REF!</v>
      </c>
      <c r="AO84" s="57" t="e">
        <f ca="1">IF(#REF!,12,IF(OFFSET(#REF!,-1,0)&gt;0,OFFSET(#REF!,-1,0)-1,0))</f>
        <v>#REF!</v>
      </c>
    </row>
    <row r="85" spans="1:41" x14ac:dyDescent="0.25">
      <c r="A85" s="130" t="e">
        <f>#REF!</f>
        <v>#REF!</v>
      </c>
      <c r="B85" s="133" t="e">
        <f>#REF!</f>
        <v>#REF!</v>
      </c>
      <c r="C85" s="39" t="e">
        <f>#REF!</f>
        <v>#REF!</v>
      </c>
      <c r="D85" s="135" t="e">
        <f ca="1">MIN(1,OFFSET(#REF!,-1,0)+0.04+ROUNDDOWN(10*OFFSET(#REF!,-1,0),0)+ tech_2_7*OFFSET(#REF!,-1,0) + tech_5_6*OFFSET(#REF!,-1,0) )-#REF!</f>
        <v>#REF!</v>
      </c>
      <c r="E85" s="147" t="e">
        <f ca="1">OFFSET(#REF!,-1,0)+1/24</f>
        <v>#REF!</v>
      </c>
      <c r="F85" s="135" t="e">
        <f>#REF!</f>
        <v>#REF!</v>
      </c>
      <c r="G85" s="210"/>
      <c r="H85" s="210"/>
      <c r="I85" s="210"/>
      <c r="J85" s="210"/>
      <c r="K85" s="386"/>
      <c r="L85" s="210"/>
      <c r="M85" s="210"/>
      <c r="N85" s="210"/>
      <c r="O85" s="210"/>
      <c r="P85" s="210"/>
      <c r="Q85" s="210"/>
      <c r="R85" s="210"/>
      <c r="S85" s="210"/>
      <c r="T85" s="210"/>
      <c r="U85" s="210"/>
      <c r="V85" s="210"/>
      <c r="W85" s="134"/>
      <c r="X85" s="39" t="e">
        <f>(MAX(1-wg_spell_cost_cap,1-wg_spell_cost_red*ROUND(#REF!/#REF!,4))+ tech_3_9*#REF! + tech_6_2_2*#REF! )*(#REF!-#REF!*20)*(#REF!* Constants!$B$75 +#REF!* Constants!$B$76 +#REF!* Constants!$B$77 +#REF!* Constants!$B$79 +#REF!* Constants!$B$78  + SUM(#REF!)*Constants!$B$80*(1+tech_9_3*#REF!))</f>
        <v>#REF!</v>
      </c>
      <c r="Y85" s="135" t="e">
        <f>SUMIF(#REF!,1)*0.05</f>
        <v>#REF!</v>
      </c>
      <c r="Z85" s="134"/>
      <c r="AA85" s="57" t="e">
        <f ca="1">IF(#REF!,12,IF(OFFSET(#REF!,-1,0)&gt;0,OFFSET(#REF!,-1,0)-1,0))</f>
        <v>#REF!</v>
      </c>
      <c r="AB85" s="57" t="e">
        <f ca="1">IF(#REF!,12,IF(OFFSET(#REF!,-1,0)&gt;0,OFFSET(#REF!,-1,0)-1,0))</f>
        <v>#REF!</v>
      </c>
      <c r="AC85" s="57" t="e">
        <f ca="1">IF(#REF!,12,IF(OFFSET(#REF!,-1,0)&gt;0,OFFSET(#REF!,-1,0)-1,0))</f>
        <v>#REF!</v>
      </c>
      <c r="AD85" s="57" t="e">
        <f ca="1">IF(#REF!,12,IF(OFFSET(#REF!,-1,0)&gt;0,OFFSET(#REF!,-1,0)-1,0))</f>
        <v>#REF!</v>
      </c>
      <c r="AE85" s="57" t="e">
        <f ca="1">IF(#REF!,12,IF(OFFSET(#REF!,-1,0)&gt;0,OFFSET(#REF!,-1,0)-1,0))</f>
        <v>#REF!</v>
      </c>
      <c r="AF85" s="57" t="e">
        <f ca="1">IF(#REF!,12,IF(OFFSET(#REF!,-1,0)&gt;0,OFFSET(#REF!,-1,0)-1,0))</f>
        <v>#REF!</v>
      </c>
      <c r="AG85" s="57" t="e">
        <f ca="1">IF(#REF!,12,IF(OFFSET(#REF!,-1,0)&gt;0,OFFSET(#REF!,-1,0)-1,0))</f>
        <v>#REF!</v>
      </c>
      <c r="AH85" s="57" t="e">
        <f ca="1">IF(#REF!,12,IF(OFFSET(#REF!,-1,0)&gt;0,OFFSET(#REF!,-1,0)-1,0))</f>
        <v>#REF!</v>
      </c>
      <c r="AI85" s="57" t="e">
        <f ca="1">IF(#REF!,12,IF(OFFSET(#REF!,-1,0)&gt;0,OFFSET(#REF!,-1,0)-1,0))</f>
        <v>#REF!</v>
      </c>
      <c r="AJ85" s="57" t="e">
        <f ca="1">IF(#REF!,12,IF(OFFSET(#REF!,-1,0)&gt;0,OFFSET(#REF!,-1,0)-1,0))</f>
        <v>#REF!</v>
      </c>
      <c r="AK85" s="57" t="e">
        <f ca="1">IF(#REF!,12,IF(OFFSET(#REF!,-1,0)&gt;0,OFFSET(#REF!,-1,0)-1,0))</f>
        <v>#REF!</v>
      </c>
      <c r="AL85" s="57" t="e">
        <f ca="1">IF(#REF!,12,IF(OFFSET(#REF!,-1,0)&gt;0,OFFSET(#REF!,-1,0)-1,0))</f>
        <v>#REF!</v>
      </c>
      <c r="AM85" s="57" t="e">
        <f ca="1">IF(#REF!,12,IF(OFFSET(#REF!,-1,0)&gt;0,OFFSET(#REF!,-1,0)-1,0))</f>
        <v>#REF!</v>
      </c>
      <c r="AN85" s="57" t="e">
        <f ca="1">IF(#REF!,12,IF(OFFSET(#REF!,-1,0)&gt;0,OFFSET(#REF!,-1,0)-1,0))</f>
        <v>#REF!</v>
      </c>
      <c r="AO85" s="57" t="e">
        <f ca="1">IF(#REF!,12,IF(OFFSET(#REF!,-1,0)&gt;0,OFFSET(#REF!,-1,0)-1,0))</f>
        <v>#REF!</v>
      </c>
    </row>
    <row r="86" spans="1:41" x14ac:dyDescent="0.25">
      <c r="A86" s="130" t="e">
        <f>#REF!</f>
        <v>#REF!</v>
      </c>
      <c r="B86" s="133" t="e">
        <f>#REF!</f>
        <v>#REF!</v>
      </c>
      <c r="C86" s="39" t="e">
        <f>#REF!</f>
        <v>#REF!</v>
      </c>
      <c r="D86" s="135" t="e">
        <f ca="1">MIN(1,OFFSET(#REF!,-1,0)+0.04+ROUNDDOWN(10*OFFSET(#REF!,-1,0),0)+ tech_2_7*OFFSET(#REF!,-1,0) + tech_5_6*OFFSET(#REF!,-1,0) )-#REF!</f>
        <v>#REF!</v>
      </c>
      <c r="E86" s="147" t="e">
        <f ca="1">OFFSET(#REF!,-1,0)+1/24</f>
        <v>#REF!</v>
      </c>
      <c r="F86" s="135" t="e">
        <f>#REF!</f>
        <v>#REF!</v>
      </c>
      <c r="G86" s="210"/>
      <c r="H86" s="210"/>
      <c r="I86" s="210"/>
      <c r="J86" s="210"/>
      <c r="K86" s="386"/>
      <c r="L86" s="210"/>
      <c r="M86" s="210"/>
      <c r="N86" s="210"/>
      <c r="O86" s="210"/>
      <c r="P86" s="210"/>
      <c r="Q86" s="210"/>
      <c r="R86" s="210"/>
      <c r="S86" s="210"/>
      <c r="T86" s="210"/>
      <c r="U86" s="210"/>
      <c r="V86" s="210"/>
      <c r="W86" s="134"/>
      <c r="X86" s="39" t="e">
        <f>(MAX(1-wg_spell_cost_cap,1-wg_spell_cost_red*ROUND(#REF!/#REF!,4))+ tech_3_9*#REF! + tech_6_2_2*#REF! )*(#REF!-#REF!*20)*(#REF!* Constants!$B$75 +#REF!* Constants!$B$76 +#REF!* Constants!$B$77 +#REF!* Constants!$B$79 +#REF!* Constants!$B$78  + SUM(#REF!)*Constants!$B$80*(1+tech_9_3*#REF!))</f>
        <v>#REF!</v>
      </c>
      <c r="Y86" s="135" t="e">
        <f>SUMIF(#REF!,1)*0.05</f>
        <v>#REF!</v>
      </c>
      <c r="Z86" s="134"/>
      <c r="AA86" s="57" t="e">
        <f ca="1">IF(#REF!,12,IF(OFFSET(#REF!,-1,0)&gt;0,OFFSET(#REF!,-1,0)-1,0))</f>
        <v>#REF!</v>
      </c>
      <c r="AB86" s="57" t="e">
        <f ca="1">IF(#REF!,12,IF(OFFSET(#REF!,-1,0)&gt;0,OFFSET(#REF!,-1,0)-1,0))</f>
        <v>#REF!</v>
      </c>
      <c r="AC86" s="57" t="e">
        <f ca="1">IF(#REF!,12,IF(OFFSET(#REF!,-1,0)&gt;0,OFFSET(#REF!,-1,0)-1,0))</f>
        <v>#REF!</v>
      </c>
      <c r="AD86" s="57" t="e">
        <f ca="1">IF(#REF!,12,IF(OFFSET(#REF!,-1,0)&gt;0,OFFSET(#REF!,-1,0)-1,0))</f>
        <v>#REF!</v>
      </c>
      <c r="AE86" s="57" t="e">
        <f ca="1">IF(#REF!,12,IF(OFFSET(#REF!,-1,0)&gt;0,OFFSET(#REF!,-1,0)-1,0))</f>
        <v>#REF!</v>
      </c>
      <c r="AF86" s="57" t="e">
        <f ca="1">IF(#REF!,12,IF(OFFSET(#REF!,-1,0)&gt;0,OFFSET(#REF!,-1,0)-1,0))</f>
        <v>#REF!</v>
      </c>
      <c r="AG86" s="57" t="e">
        <f ca="1">IF(#REF!,12,IF(OFFSET(#REF!,-1,0)&gt;0,OFFSET(#REF!,-1,0)-1,0))</f>
        <v>#REF!</v>
      </c>
      <c r="AH86" s="57" t="e">
        <f ca="1">IF(#REF!,12,IF(OFFSET(#REF!,-1,0)&gt;0,OFFSET(#REF!,-1,0)-1,0))</f>
        <v>#REF!</v>
      </c>
      <c r="AI86" s="57" t="e">
        <f ca="1">IF(#REF!,12,IF(OFFSET(#REF!,-1,0)&gt;0,OFFSET(#REF!,-1,0)-1,0))</f>
        <v>#REF!</v>
      </c>
      <c r="AJ86" s="57" t="e">
        <f ca="1">IF(#REF!,12,IF(OFFSET(#REF!,-1,0)&gt;0,OFFSET(#REF!,-1,0)-1,0))</f>
        <v>#REF!</v>
      </c>
      <c r="AK86" s="57" t="e">
        <f ca="1">IF(#REF!,12,IF(OFFSET(#REF!,-1,0)&gt;0,OFFSET(#REF!,-1,0)-1,0))</f>
        <v>#REF!</v>
      </c>
      <c r="AL86" s="57" t="e">
        <f ca="1">IF(#REF!,12,IF(OFFSET(#REF!,-1,0)&gt;0,OFFSET(#REF!,-1,0)-1,0))</f>
        <v>#REF!</v>
      </c>
      <c r="AM86" s="57" t="e">
        <f ca="1">IF(#REF!,12,IF(OFFSET(#REF!,-1,0)&gt;0,OFFSET(#REF!,-1,0)-1,0))</f>
        <v>#REF!</v>
      </c>
      <c r="AN86" s="57" t="e">
        <f ca="1">IF(#REF!,12,IF(OFFSET(#REF!,-1,0)&gt;0,OFFSET(#REF!,-1,0)-1,0))</f>
        <v>#REF!</v>
      </c>
      <c r="AO86" s="57" t="e">
        <f ca="1">IF(#REF!,12,IF(OFFSET(#REF!,-1,0)&gt;0,OFFSET(#REF!,-1,0)-1,0))</f>
        <v>#REF!</v>
      </c>
    </row>
    <row r="87" spans="1:41" x14ac:dyDescent="0.25">
      <c r="A87" s="130" t="e">
        <f>#REF!</f>
        <v>#REF!</v>
      </c>
      <c r="B87" s="133" t="e">
        <f>#REF!</f>
        <v>#REF!</v>
      </c>
      <c r="C87" s="39" t="e">
        <f>#REF!</f>
        <v>#REF!</v>
      </c>
      <c r="D87" s="135" t="e">
        <f ca="1">MIN(1,OFFSET(#REF!,-1,0)+0.04+ROUNDDOWN(10*OFFSET(#REF!,-1,0),0)+ tech_2_7*OFFSET(#REF!,-1,0) + tech_5_6*OFFSET(#REF!,-1,0) )-#REF!</f>
        <v>#REF!</v>
      </c>
      <c r="E87" s="147" t="e">
        <f ca="1">OFFSET(#REF!,-1,0)+1/24</f>
        <v>#REF!</v>
      </c>
      <c r="F87" s="135" t="e">
        <f>#REF!</f>
        <v>#REF!</v>
      </c>
      <c r="G87" s="210"/>
      <c r="H87" s="210"/>
      <c r="I87" s="210"/>
      <c r="J87" s="210"/>
      <c r="K87" s="386"/>
      <c r="L87" s="210"/>
      <c r="M87" s="210"/>
      <c r="N87" s="210"/>
      <c r="O87" s="210"/>
      <c r="P87" s="210"/>
      <c r="Q87" s="210"/>
      <c r="R87" s="210"/>
      <c r="S87" s="210"/>
      <c r="T87" s="210"/>
      <c r="U87" s="210"/>
      <c r="V87" s="210"/>
      <c r="W87" s="134"/>
      <c r="X87" s="39" t="e">
        <f>(MAX(1-wg_spell_cost_cap,1-wg_spell_cost_red*ROUND(#REF!/#REF!,4))+ tech_3_9*#REF! + tech_6_2_2*#REF! )*(#REF!-#REF!*20)*(#REF!* Constants!$B$75 +#REF!* Constants!$B$76 +#REF!* Constants!$B$77 +#REF!* Constants!$B$79 +#REF!* Constants!$B$78  + SUM(#REF!)*Constants!$B$80*(1+tech_9_3*#REF!))</f>
        <v>#REF!</v>
      </c>
      <c r="Y87" s="135" t="e">
        <f>SUMIF(#REF!,1)*0.05</f>
        <v>#REF!</v>
      </c>
      <c r="Z87" s="134"/>
      <c r="AA87" s="57" t="e">
        <f ca="1">IF(#REF!,12,IF(OFFSET(#REF!,-1,0)&gt;0,OFFSET(#REF!,-1,0)-1,0))</f>
        <v>#REF!</v>
      </c>
      <c r="AB87" s="57" t="e">
        <f ca="1">IF(#REF!,12,IF(OFFSET(#REF!,-1,0)&gt;0,OFFSET(#REF!,-1,0)-1,0))</f>
        <v>#REF!</v>
      </c>
      <c r="AC87" s="57" t="e">
        <f ca="1">IF(#REF!,12,IF(OFFSET(#REF!,-1,0)&gt;0,OFFSET(#REF!,-1,0)-1,0))</f>
        <v>#REF!</v>
      </c>
      <c r="AD87" s="57" t="e">
        <f ca="1">IF(#REF!,12,IF(OFFSET(#REF!,-1,0)&gt;0,OFFSET(#REF!,-1,0)-1,0))</f>
        <v>#REF!</v>
      </c>
      <c r="AE87" s="57" t="e">
        <f ca="1">IF(#REF!,12,IF(OFFSET(#REF!,-1,0)&gt;0,OFFSET(#REF!,-1,0)-1,0))</f>
        <v>#REF!</v>
      </c>
      <c r="AF87" s="57" t="e">
        <f ca="1">IF(#REF!,12,IF(OFFSET(#REF!,-1,0)&gt;0,OFFSET(#REF!,-1,0)-1,0))</f>
        <v>#REF!</v>
      </c>
      <c r="AG87" s="57" t="e">
        <f ca="1">IF(#REF!,12,IF(OFFSET(#REF!,-1,0)&gt;0,OFFSET(#REF!,-1,0)-1,0))</f>
        <v>#REF!</v>
      </c>
      <c r="AH87" s="57" t="e">
        <f ca="1">IF(#REF!,12,IF(OFFSET(#REF!,-1,0)&gt;0,OFFSET(#REF!,-1,0)-1,0))</f>
        <v>#REF!</v>
      </c>
      <c r="AI87" s="57" t="e">
        <f ca="1">IF(#REF!,12,IF(OFFSET(#REF!,-1,0)&gt;0,OFFSET(#REF!,-1,0)-1,0))</f>
        <v>#REF!</v>
      </c>
      <c r="AJ87" s="57" t="e">
        <f ca="1">IF(#REF!,12,IF(OFFSET(#REF!,-1,0)&gt;0,OFFSET(#REF!,-1,0)-1,0))</f>
        <v>#REF!</v>
      </c>
      <c r="AK87" s="57" t="e">
        <f ca="1">IF(#REF!,12,IF(OFFSET(#REF!,-1,0)&gt;0,OFFSET(#REF!,-1,0)-1,0))</f>
        <v>#REF!</v>
      </c>
      <c r="AL87" s="57" t="e">
        <f ca="1">IF(#REF!,12,IF(OFFSET(#REF!,-1,0)&gt;0,OFFSET(#REF!,-1,0)-1,0))</f>
        <v>#REF!</v>
      </c>
      <c r="AM87" s="57" t="e">
        <f ca="1">IF(#REF!,12,IF(OFFSET(#REF!,-1,0)&gt;0,OFFSET(#REF!,-1,0)-1,0))</f>
        <v>#REF!</v>
      </c>
      <c r="AN87" s="57" t="e">
        <f ca="1">IF(#REF!,12,IF(OFFSET(#REF!,-1,0)&gt;0,OFFSET(#REF!,-1,0)-1,0))</f>
        <v>#REF!</v>
      </c>
      <c r="AO87" s="57" t="e">
        <f ca="1">IF(#REF!,12,IF(OFFSET(#REF!,-1,0)&gt;0,OFFSET(#REF!,-1,0)-1,0))</f>
        <v>#REF!</v>
      </c>
    </row>
    <row r="88" spans="1:41" x14ac:dyDescent="0.25">
      <c r="A88" s="130" t="e">
        <f>#REF!</f>
        <v>#REF!</v>
      </c>
      <c r="B88" s="133" t="e">
        <f>#REF!</f>
        <v>#REF!</v>
      </c>
      <c r="C88" s="39" t="e">
        <f>#REF!</f>
        <v>#REF!</v>
      </c>
      <c r="D88" s="135" t="e">
        <f ca="1">MIN(1,OFFSET(#REF!,-1,0)+0.04+ROUNDDOWN(10*OFFSET(#REF!,-1,0),0)+ tech_2_7*OFFSET(#REF!,-1,0) + tech_5_6*OFFSET(#REF!,-1,0) )-#REF!</f>
        <v>#REF!</v>
      </c>
      <c r="E88" s="147" t="e">
        <f ca="1">OFFSET(#REF!,-1,0)+1/24</f>
        <v>#REF!</v>
      </c>
      <c r="F88" s="135" t="e">
        <f>#REF!</f>
        <v>#REF!</v>
      </c>
      <c r="G88" s="210"/>
      <c r="H88" s="210"/>
      <c r="I88" s="210"/>
      <c r="J88" s="210"/>
      <c r="K88" s="386"/>
      <c r="L88" s="210"/>
      <c r="M88" s="210"/>
      <c r="N88" s="210"/>
      <c r="O88" s="210"/>
      <c r="P88" s="210"/>
      <c r="Q88" s="210"/>
      <c r="R88" s="210"/>
      <c r="S88" s="210"/>
      <c r="T88" s="210"/>
      <c r="U88" s="210"/>
      <c r="V88" s="210"/>
      <c r="W88" s="134"/>
      <c r="X88" s="39" t="e">
        <f>(MAX(1-wg_spell_cost_cap,1-wg_spell_cost_red*ROUND(#REF!/#REF!,4))+ tech_3_9*#REF! + tech_6_2_2*#REF! )*(#REF!-#REF!*20)*(#REF!* Constants!$B$75 +#REF!* Constants!$B$76 +#REF!* Constants!$B$77 +#REF!* Constants!$B$79 +#REF!* Constants!$B$78  + SUM(#REF!)*Constants!$B$80*(1+tech_9_3*#REF!))</f>
        <v>#REF!</v>
      </c>
      <c r="Y88" s="135" t="e">
        <f>SUMIF(#REF!,1)*0.05</f>
        <v>#REF!</v>
      </c>
      <c r="Z88" s="134"/>
      <c r="AA88" s="57" t="e">
        <f ca="1">IF(#REF!,12,IF(OFFSET(#REF!,-1,0)&gt;0,OFFSET(#REF!,-1,0)-1,0))</f>
        <v>#REF!</v>
      </c>
      <c r="AB88" s="57" t="e">
        <f ca="1">IF(#REF!,12,IF(OFFSET(#REF!,-1,0)&gt;0,OFFSET(#REF!,-1,0)-1,0))</f>
        <v>#REF!</v>
      </c>
      <c r="AC88" s="57" t="e">
        <f ca="1">IF(#REF!,12,IF(OFFSET(#REF!,-1,0)&gt;0,OFFSET(#REF!,-1,0)-1,0))</f>
        <v>#REF!</v>
      </c>
      <c r="AD88" s="57" t="e">
        <f ca="1">IF(#REF!,12,IF(OFFSET(#REF!,-1,0)&gt;0,OFFSET(#REF!,-1,0)-1,0))</f>
        <v>#REF!</v>
      </c>
      <c r="AE88" s="57" t="e">
        <f ca="1">IF(#REF!,12,IF(OFFSET(#REF!,-1,0)&gt;0,OFFSET(#REF!,-1,0)-1,0))</f>
        <v>#REF!</v>
      </c>
      <c r="AF88" s="57" t="e">
        <f ca="1">IF(#REF!,12,IF(OFFSET(#REF!,-1,0)&gt;0,OFFSET(#REF!,-1,0)-1,0))</f>
        <v>#REF!</v>
      </c>
      <c r="AG88" s="57" t="e">
        <f ca="1">IF(#REF!,12,IF(OFFSET(#REF!,-1,0)&gt;0,OFFSET(#REF!,-1,0)-1,0))</f>
        <v>#REF!</v>
      </c>
      <c r="AH88" s="57" t="e">
        <f ca="1">IF(#REF!,12,IF(OFFSET(#REF!,-1,0)&gt;0,OFFSET(#REF!,-1,0)-1,0))</f>
        <v>#REF!</v>
      </c>
      <c r="AI88" s="57" t="e">
        <f ca="1">IF(#REF!,12,IF(OFFSET(#REF!,-1,0)&gt;0,OFFSET(#REF!,-1,0)-1,0))</f>
        <v>#REF!</v>
      </c>
      <c r="AJ88" s="57" t="e">
        <f ca="1">IF(#REF!,12,IF(OFFSET(#REF!,-1,0)&gt;0,OFFSET(#REF!,-1,0)-1,0))</f>
        <v>#REF!</v>
      </c>
      <c r="AK88" s="57" t="e">
        <f ca="1">IF(#REF!,12,IF(OFFSET(#REF!,-1,0)&gt;0,OFFSET(#REF!,-1,0)-1,0))</f>
        <v>#REF!</v>
      </c>
      <c r="AL88" s="57" t="e">
        <f ca="1">IF(#REF!,12,IF(OFFSET(#REF!,-1,0)&gt;0,OFFSET(#REF!,-1,0)-1,0))</f>
        <v>#REF!</v>
      </c>
      <c r="AM88" s="57" t="e">
        <f ca="1">IF(#REF!,12,IF(OFFSET(#REF!,-1,0)&gt;0,OFFSET(#REF!,-1,0)-1,0))</f>
        <v>#REF!</v>
      </c>
      <c r="AN88" s="57" t="e">
        <f ca="1">IF(#REF!,12,IF(OFFSET(#REF!,-1,0)&gt;0,OFFSET(#REF!,-1,0)-1,0))</f>
        <v>#REF!</v>
      </c>
      <c r="AO88" s="57" t="e">
        <f ca="1">IF(#REF!,12,IF(OFFSET(#REF!,-1,0)&gt;0,OFFSET(#REF!,-1,0)-1,0))</f>
        <v>#REF!</v>
      </c>
    </row>
    <row r="89" spans="1:41" x14ac:dyDescent="0.25">
      <c r="A89" s="130" t="e">
        <f>#REF!</f>
        <v>#REF!</v>
      </c>
      <c r="B89" s="133" t="e">
        <f>#REF!</f>
        <v>#REF!</v>
      </c>
      <c r="C89" s="39" t="e">
        <f>#REF!</f>
        <v>#REF!</v>
      </c>
      <c r="D89" s="135" t="e">
        <f ca="1">MIN(1,OFFSET(#REF!,-1,0)+0.04+ROUNDDOWN(10*OFFSET(#REF!,-1,0),0)+ tech_2_7*OFFSET(#REF!,-1,0) + tech_5_6*OFFSET(#REF!,-1,0) )-#REF!</f>
        <v>#REF!</v>
      </c>
      <c r="E89" s="147" t="e">
        <f ca="1">OFFSET(#REF!,-1,0)+1/24</f>
        <v>#REF!</v>
      </c>
      <c r="F89" s="135" t="e">
        <f>#REF!</f>
        <v>#REF!</v>
      </c>
      <c r="G89" s="210"/>
      <c r="H89" s="210"/>
      <c r="I89" s="210"/>
      <c r="J89" s="210"/>
      <c r="K89" s="386"/>
      <c r="L89" s="210"/>
      <c r="M89" s="210"/>
      <c r="N89" s="210"/>
      <c r="O89" s="210"/>
      <c r="P89" s="210"/>
      <c r="Q89" s="210"/>
      <c r="R89" s="210"/>
      <c r="S89" s="210"/>
      <c r="T89" s="210"/>
      <c r="U89" s="210"/>
      <c r="V89" s="210"/>
      <c r="W89" s="134"/>
      <c r="X89" s="39" t="e">
        <f>(MAX(1-wg_spell_cost_cap,1-wg_spell_cost_red*ROUND(#REF!/#REF!,4))+ tech_3_9*#REF! + tech_6_2_2*#REF! )*(#REF!-#REF!*20)*(#REF!* Constants!$B$75 +#REF!* Constants!$B$76 +#REF!* Constants!$B$77 +#REF!* Constants!$B$79 +#REF!* Constants!$B$78  + SUM(#REF!)*Constants!$B$80*(1+tech_9_3*#REF!))</f>
        <v>#REF!</v>
      </c>
      <c r="Y89" s="135" t="e">
        <f>SUMIF(#REF!,1)*0.05</f>
        <v>#REF!</v>
      </c>
      <c r="Z89" s="134"/>
      <c r="AA89" s="57" t="e">
        <f ca="1">IF(#REF!,12,IF(OFFSET(#REF!,-1,0)&gt;0,OFFSET(#REF!,-1,0)-1,0))</f>
        <v>#REF!</v>
      </c>
      <c r="AB89" s="57" t="e">
        <f ca="1">IF(#REF!,12,IF(OFFSET(#REF!,-1,0)&gt;0,OFFSET(#REF!,-1,0)-1,0))</f>
        <v>#REF!</v>
      </c>
      <c r="AC89" s="57" t="e">
        <f ca="1">IF(#REF!,12,IF(OFFSET(#REF!,-1,0)&gt;0,OFFSET(#REF!,-1,0)-1,0))</f>
        <v>#REF!</v>
      </c>
      <c r="AD89" s="57" t="e">
        <f ca="1">IF(#REF!,12,IF(OFFSET(#REF!,-1,0)&gt;0,OFFSET(#REF!,-1,0)-1,0))</f>
        <v>#REF!</v>
      </c>
      <c r="AE89" s="57" t="e">
        <f ca="1">IF(#REF!,12,IF(OFFSET(#REF!,-1,0)&gt;0,OFFSET(#REF!,-1,0)-1,0))</f>
        <v>#REF!</v>
      </c>
      <c r="AF89" s="57" t="e">
        <f ca="1">IF(#REF!,12,IF(OFFSET(#REF!,-1,0)&gt;0,OFFSET(#REF!,-1,0)-1,0))</f>
        <v>#REF!</v>
      </c>
      <c r="AG89" s="57" t="e">
        <f ca="1">IF(#REF!,12,IF(OFFSET(#REF!,-1,0)&gt;0,OFFSET(#REF!,-1,0)-1,0))</f>
        <v>#REF!</v>
      </c>
      <c r="AH89" s="57" t="e">
        <f ca="1">IF(#REF!,12,IF(OFFSET(#REF!,-1,0)&gt;0,OFFSET(#REF!,-1,0)-1,0))</f>
        <v>#REF!</v>
      </c>
      <c r="AI89" s="57" t="e">
        <f ca="1">IF(#REF!,12,IF(OFFSET(#REF!,-1,0)&gt;0,OFFSET(#REF!,-1,0)-1,0))</f>
        <v>#REF!</v>
      </c>
      <c r="AJ89" s="57" t="e">
        <f ca="1">IF(#REF!,12,IF(OFFSET(#REF!,-1,0)&gt;0,OFFSET(#REF!,-1,0)-1,0))</f>
        <v>#REF!</v>
      </c>
      <c r="AK89" s="57" t="e">
        <f ca="1">IF(#REF!,12,IF(OFFSET(#REF!,-1,0)&gt;0,OFFSET(#REF!,-1,0)-1,0))</f>
        <v>#REF!</v>
      </c>
      <c r="AL89" s="57" t="e">
        <f ca="1">IF(#REF!,12,IF(OFFSET(#REF!,-1,0)&gt;0,OFFSET(#REF!,-1,0)-1,0))</f>
        <v>#REF!</v>
      </c>
      <c r="AM89" s="57" t="e">
        <f ca="1">IF(#REF!,12,IF(OFFSET(#REF!,-1,0)&gt;0,OFFSET(#REF!,-1,0)-1,0))</f>
        <v>#REF!</v>
      </c>
      <c r="AN89" s="57" t="e">
        <f ca="1">IF(#REF!,12,IF(OFFSET(#REF!,-1,0)&gt;0,OFFSET(#REF!,-1,0)-1,0))</f>
        <v>#REF!</v>
      </c>
      <c r="AO89" s="57" t="e">
        <f ca="1">IF(#REF!,12,IF(OFFSET(#REF!,-1,0)&gt;0,OFFSET(#REF!,-1,0)-1,0))</f>
        <v>#REF!</v>
      </c>
    </row>
    <row r="90" spans="1:41" x14ac:dyDescent="0.25">
      <c r="A90" s="130" t="e">
        <f>#REF!</f>
        <v>#REF!</v>
      </c>
      <c r="B90" s="133" t="e">
        <f>#REF!</f>
        <v>#REF!</v>
      </c>
      <c r="C90" s="39" t="e">
        <f>#REF!</f>
        <v>#REF!</v>
      </c>
      <c r="D90" s="135" t="e">
        <f ca="1">MIN(1,OFFSET(#REF!,-1,0)+0.04+ROUNDDOWN(10*OFFSET(#REF!,-1,0),0)+ tech_2_7*OFFSET(#REF!,-1,0) + tech_5_6*OFFSET(#REF!,-1,0) )-#REF!</f>
        <v>#REF!</v>
      </c>
      <c r="E90" s="147" t="e">
        <f ca="1">OFFSET(#REF!,-1,0)+1/24</f>
        <v>#REF!</v>
      </c>
      <c r="F90" s="135" t="e">
        <f>#REF!</f>
        <v>#REF!</v>
      </c>
      <c r="G90" s="210"/>
      <c r="H90" s="210"/>
      <c r="I90" s="210"/>
      <c r="J90" s="210"/>
      <c r="K90" s="386"/>
      <c r="L90" s="210"/>
      <c r="M90" s="210"/>
      <c r="N90" s="210"/>
      <c r="O90" s="210"/>
      <c r="P90" s="210"/>
      <c r="Q90" s="210"/>
      <c r="R90" s="210"/>
      <c r="S90" s="210"/>
      <c r="T90" s="210"/>
      <c r="U90" s="210"/>
      <c r="V90" s="210"/>
      <c r="W90" s="134"/>
      <c r="X90" s="39" t="e">
        <f>(MAX(1-wg_spell_cost_cap,1-wg_spell_cost_red*ROUND(#REF!/#REF!,4))+ tech_3_9*#REF! + tech_6_2_2*#REF! )*(#REF!-#REF!*20)*(#REF!* Constants!$B$75 +#REF!* Constants!$B$76 +#REF!* Constants!$B$77 +#REF!* Constants!$B$79 +#REF!* Constants!$B$78  + SUM(#REF!)*Constants!$B$80*(1+tech_9_3*#REF!))</f>
        <v>#REF!</v>
      </c>
      <c r="Y90" s="135" t="e">
        <f>SUMIF(#REF!,1)*0.05</f>
        <v>#REF!</v>
      </c>
      <c r="Z90" s="134"/>
      <c r="AA90" s="57" t="e">
        <f ca="1">IF(#REF!,12,IF(OFFSET(#REF!,-1,0)&gt;0,OFFSET(#REF!,-1,0)-1,0))</f>
        <v>#REF!</v>
      </c>
      <c r="AB90" s="57" t="e">
        <f ca="1">IF(#REF!,12,IF(OFFSET(#REF!,-1,0)&gt;0,OFFSET(#REF!,-1,0)-1,0))</f>
        <v>#REF!</v>
      </c>
      <c r="AC90" s="57" t="e">
        <f ca="1">IF(#REF!,12,IF(OFFSET(#REF!,-1,0)&gt;0,OFFSET(#REF!,-1,0)-1,0))</f>
        <v>#REF!</v>
      </c>
      <c r="AD90" s="57" t="e">
        <f ca="1">IF(#REF!,12,IF(OFFSET(#REF!,-1,0)&gt;0,OFFSET(#REF!,-1,0)-1,0))</f>
        <v>#REF!</v>
      </c>
      <c r="AE90" s="57" t="e">
        <f ca="1">IF(#REF!,12,IF(OFFSET(#REF!,-1,0)&gt;0,OFFSET(#REF!,-1,0)-1,0))</f>
        <v>#REF!</v>
      </c>
      <c r="AF90" s="57" t="e">
        <f ca="1">IF(#REF!,12,IF(OFFSET(#REF!,-1,0)&gt;0,OFFSET(#REF!,-1,0)-1,0))</f>
        <v>#REF!</v>
      </c>
      <c r="AG90" s="57" t="e">
        <f ca="1">IF(#REF!,12,IF(OFFSET(#REF!,-1,0)&gt;0,OFFSET(#REF!,-1,0)-1,0))</f>
        <v>#REF!</v>
      </c>
      <c r="AH90" s="57" t="e">
        <f ca="1">IF(#REF!,12,IF(OFFSET(#REF!,-1,0)&gt;0,OFFSET(#REF!,-1,0)-1,0))</f>
        <v>#REF!</v>
      </c>
      <c r="AI90" s="57" t="e">
        <f ca="1">IF(#REF!,12,IF(OFFSET(#REF!,-1,0)&gt;0,OFFSET(#REF!,-1,0)-1,0))</f>
        <v>#REF!</v>
      </c>
      <c r="AJ90" s="57" t="e">
        <f ca="1">IF(#REF!,12,IF(OFFSET(#REF!,-1,0)&gt;0,OFFSET(#REF!,-1,0)-1,0))</f>
        <v>#REF!</v>
      </c>
      <c r="AK90" s="57" t="e">
        <f ca="1">IF(#REF!,12,IF(OFFSET(#REF!,-1,0)&gt;0,OFFSET(#REF!,-1,0)-1,0))</f>
        <v>#REF!</v>
      </c>
      <c r="AL90" s="57" t="e">
        <f ca="1">IF(#REF!,12,IF(OFFSET(#REF!,-1,0)&gt;0,OFFSET(#REF!,-1,0)-1,0))</f>
        <v>#REF!</v>
      </c>
      <c r="AM90" s="57" t="e">
        <f ca="1">IF(#REF!,12,IF(OFFSET(#REF!,-1,0)&gt;0,OFFSET(#REF!,-1,0)-1,0))</f>
        <v>#REF!</v>
      </c>
      <c r="AN90" s="57" t="e">
        <f ca="1">IF(#REF!,12,IF(OFFSET(#REF!,-1,0)&gt;0,OFFSET(#REF!,-1,0)-1,0))</f>
        <v>#REF!</v>
      </c>
      <c r="AO90" s="57" t="e">
        <f ca="1">IF(#REF!,12,IF(OFFSET(#REF!,-1,0)&gt;0,OFFSET(#REF!,-1,0)-1,0))</f>
        <v>#REF!</v>
      </c>
    </row>
    <row r="91" spans="1:41" x14ac:dyDescent="0.25">
      <c r="A91" s="130" t="e">
        <f>#REF!</f>
        <v>#REF!</v>
      </c>
      <c r="B91" s="133" t="e">
        <f>#REF!</f>
        <v>#REF!</v>
      </c>
      <c r="C91" s="39" t="e">
        <f>#REF!</f>
        <v>#REF!</v>
      </c>
      <c r="D91" s="135" t="e">
        <f ca="1">MIN(1,OFFSET(#REF!,-1,0)+0.04+ROUNDDOWN(10*OFFSET(#REF!,-1,0),0)+ tech_2_7*OFFSET(#REF!,-1,0) + tech_5_6*OFFSET(#REF!,-1,0) )-#REF!</f>
        <v>#REF!</v>
      </c>
      <c r="E91" s="147" t="e">
        <f ca="1">OFFSET(#REF!,-1,0)+1/24</f>
        <v>#REF!</v>
      </c>
      <c r="F91" s="135" t="e">
        <f>#REF!</f>
        <v>#REF!</v>
      </c>
      <c r="G91" s="210"/>
      <c r="H91" s="210"/>
      <c r="I91" s="210"/>
      <c r="J91" s="210"/>
      <c r="K91" s="386"/>
      <c r="L91" s="210"/>
      <c r="M91" s="210"/>
      <c r="N91" s="210"/>
      <c r="O91" s="210"/>
      <c r="P91" s="210"/>
      <c r="Q91" s="210"/>
      <c r="R91" s="210"/>
      <c r="S91" s="210"/>
      <c r="T91" s="210"/>
      <c r="U91" s="210"/>
      <c r="V91" s="210"/>
      <c r="W91" s="134"/>
      <c r="X91" s="39" t="e">
        <f>(MAX(1-wg_spell_cost_cap,1-wg_spell_cost_red*ROUND(#REF!/#REF!,4))+ tech_3_9*#REF! + tech_6_2_2*#REF! )*(#REF!-#REF!*20)*(#REF!* Constants!$B$75 +#REF!* Constants!$B$76 +#REF!* Constants!$B$77 +#REF!* Constants!$B$79 +#REF!* Constants!$B$78  + SUM(#REF!)*Constants!$B$80*(1+tech_9_3*#REF!))</f>
        <v>#REF!</v>
      </c>
      <c r="Y91" s="135" t="e">
        <f>SUMIF(#REF!,1)*0.05</f>
        <v>#REF!</v>
      </c>
      <c r="Z91" s="134"/>
      <c r="AA91" s="57" t="e">
        <f ca="1">IF(#REF!,12,IF(OFFSET(#REF!,-1,0)&gt;0,OFFSET(#REF!,-1,0)-1,0))</f>
        <v>#REF!</v>
      </c>
      <c r="AB91" s="57" t="e">
        <f ca="1">IF(#REF!,12,IF(OFFSET(#REF!,-1,0)&gt;0,OFFSET(#REF!,-1,0)-1,0))</f>
        <v>#REF!</v>
      </c>
      <c r="AC91" s="57" t="e">
        <f ca="1">IF(#REF!,12,IF(OFFSET(#REF!,-1,0)&gt;0,OFFSET(#REF!,-1,0)-1,0))</f>
        <v>#REF!</v>
      </c>
      <c r="AD91" s="57" t="e">
        <f ca="1">IF(#REF!,12,IF(OFFSET(#REF!,-1,0)&gt;0,OFFSET(#REF!,-1,0)-1,0))</f>
        <v>#REF!</v>
      </c>
      <c r="AE91" s="57" t="e">
        <f ca="1">IF(#REF!,12,IF(OFFSET(#REF!,-1,0)&gt;0,OFFSET(#REF!,-1,0)-1,0))</f>
        <v>#REF!</v>
      </c>
      <c r="AF91" s="57" t="e">
        <f ca="1">IF(#REF!,12,IF(OFFSET(#REF!,-1,0)&gt;0,OFFSET(#REF!,-1,0)-1,0))</f>
        <v>#REF!</v>
      </c>
      <c r="AG91" s="57" t="e">
        <f ca="1">IF(#REF!,12,IF(OFFSET(#REF!,-1,0)&gt;0,OFFSET(#REF!,-1,0)-1,0))</f>
        <v>#REF!</v>
      </c>
      <c r="AH91" s="57" t="e">
        <f ca="1">IF(#REF!,12,IF(OFFSET(#REF!,-1,0)&gt;0,OFFSET(#REF!,-1,0)-1,0))</f>
        <v>#REF!</v>
      </c>
      <c r="AI91" s="57" t="e">
        <f ca="1">IF(#REF!,12,IF(OFFSET(#REF!,-1,0)&gt;0,OFFSET(#REF!,-1,0)-1,0))</f>
        <v>#REF!</v>
      </c>
      <c r="AJ91" s="57" t="e">
        <f ca="1">IF(#REF!,12,IF(OFFSET(#REF!,-1,0)&gt;0,OFFSET(#REF!,-1,0)-1,0))</f>
        <v>#REF!</v>
      </c>
      <c r="AK91" s="57" t="e">
        <f ca="1">IF(#REF!,12,IF(OFFSET(#REF!,-1,0)&gt;0,OFFSET(#REF!,-1,0)-1,0))</f>
        <v>#REF!</v>
      </c>
      <c r="AL91" s="57" t="e">
        <f ca="1">IF(#REF!,12,IF(OFFSET(#REF!,-1,0)&gt;0,OFFSET(#REF!,-1,0)-1,0))</f>
        <v>#REF!</v>
      </c>
      <c r="AM91" s="57" t="e">
        <f ca="1">IF(#REF!,12,IF(OFFSET(#REF!,-1,0)&gt;0,OFFSET(#REF!,-1,0)-1,0))</f>
        <v>#REF!</v>
      </c>
      <c r="AN91" s="57" t="e">
        <f ca="1">IF(#REF!,12,IF(OFFSET(#REF!,-1,0)&gt;0,OFFSET(#REF!,-1,0)-1,0))</f>
        <v>#REF!</v>
      </c>
      <c r="AO91" s="57" t="e">
        <f ca="1">IF(#REF!,12,IF(OFFSET(#REF!,-1,0)&gt;0,OFFSET(#REF!,-1,0)-1,0))</f>
        <v>#REF!</v>
      </c>
    </row>
    <row r="92" spans="1:41" x14ac:dyDescent="0.25">
      <c r="A92" s="130" t="e">
        <f>#REF!</f>
        <v>#REF!</v>
      </c>
      <c r="B92" s="133" t="e">
        <f>#REF!</f>
        <v>#REF!</v>
      </c>
      <c r="C92" s="39" t="e">
        <f>#REF!</f>
        <v>#REF!</v>
      </c>
      <c r="D92" s="135" t="e">
        <f ca="1">MIN(1,OFFSET(#REF!,-1,0)+0.04+ROUNDDOWN(10*OFFSET(#REF!,-1,0),0)+ tech_2_7*OFFSET(#REF!,-1,0) + tech_5_6*OFFSET(#REF!,-1,0) )-#REF!</f>
        <v>#REF!</v>
      </c>
      <c r="E92" s="147" t="e">
        <f ca="1">OFFSET(#REF!,-1,0)+1/24</f>
        <v>#REF!</v>
      </c>
      <c r="F92" s="135" t="e">
        <f>#REF!</f>
        <v>#REF!</v>
      </c>
      <c r="G92" s="210"/>
      <c r="H92" s="210"/>
      <c r="I92" s="210"/>
      <c r="J92" s="210"/>
      <c r="K92" s="386"/>
      <c r="L92" s="210"/>
      <c r="M92" s="210"/>
      <c r="N92" s="210"/>
      <c r="O92" s="210"/>
      <c r="P92" s="210"/>
      <c r="Q92" s="210"/>
      <c r="R92" s="210"/>
      <c r="S92" s="210"/>
      <c r="T92" s="210"/>
      <c r="U92" s="210"/>
      <c r="V92" s="210"/>
      <c r="W92" s="134"/>
      <c r="X92" s="39" t="e">
        <f>(MAX(1-wg_spell_cost_cap,1-wg_spell_cost_red*ROUND(#REF!/#REF!,4))+ tech_3_9*#REF! + tech_6_2_2*#REF! )*(#REF!-#REF!*20)*(#REF!* Constants!$B$75 +#REF!* Constants!$B$76 +#REF!* Constants!$B$77 +#REF!* Constants!$B$79 +#REF!* Constants!$B$78  + SUM(#REF!)*Constants!$B$80*(1+tech_9_3*#REF!))</f>
        <v>#REF!</v>
      </c>
      <c r="Y92" s="135" t="e">
        <f>SUMIF(#REF!,1)*0.05</f>
        <v>#REF!</v>
      </c>
      <c r="Z92" s="134"/>
      <c r="AA92" s="57" t="e">
        <f ca="1">IF(#REF!,12,IF(OFFSET(#REF!,-1,0)&gt;0,OFFSET(#REF!,-1,0)-1,0))</f>
        <v>#REF!</v>
      </c>
      <c r="AB92" s="57" t="e">
        <f ca="1">IF(#REF!,12,IF(OFFSET(#REF!,-1,0)&gt;0,OFFSET(#REF!,-1,0)-1,0))</f>
        <v>#REF!</v>
      </c>
      <c r="AC92" s="57" t="e">
        <f ca="1">IF(#REF!,12,IF(OFFSET(#REF!,-1,0)&gt;0,OFFSET(#REF!,-1,0)-1,0))</f>
        <v>#REF!</v>
      </c>
      <c r="AD92" s="57" t="e">
        <f ca="1">IF(#REF!,12,IF(OFFSET(#REF!,-1,0)&gt;0,OFFSET(#REF!,-1,0)-1,0))</f>
        <v>#REF!</v>
      </c>
      <c r="AE92" s="57" t="e">
        <f ca="1">IF(#REF!,12,IF(OFFSET(#REF!,-1,0)&gt;0,OFFSET(#REF!,-1,0)-1,0))</f>
        <v>#REF!</v>
      </c>
      <c r="AF92" s="57" t="e">
        <f ca="1">IF(#REF!,12,IF(OFFSET(#REF!,-1,0)&gt;0,OFFSET(#REF!,-1,0)-1,0))</f>
        <v>#REF!</v>
      </c>
      <c r="AG92" s="57" t="e">
        <f ca="1">IF(#REF!,12,IF(OFFSET(#REF!,-1,0)&gt;0,OFFSET(#REF!,-1,0)-1,0))</f>
        <v>#REF!</v>
      </c>
      <c r="AH92" s="57" t="e">
        <f ca="1">IF(#REF!,12,IF(OFFSET(#REF!,-1,0)&gt;0,OFFSET(#REF!,-1,0)-1,0))</f>
        <v>#REF!</v>
      </c>
      <c r="AI92" s="57" t="e">
        <f ca="1">IF(#REF!,12,IF(OFFSET(#REF!,-1,0)&gt;0,OFFSET(#REF!,-1,0)-1,0))</f>
        <v>#REF!</v>
      </c>
      <c r="AJ92" s="57" t="e">
        <f ca="1">IF(#REF!,12,IF(OFFSET(#REF!,-1,0)&gt;0,OFFSET(#REF!,-1,0)-1,0))</f>
        <v>#REF!</v>
      </c>
      <c r="AK92" s="57" t="e">
        <f ca="1">IF(#REF!,12,IF(OFFSET(#REF!,-1,0)&gt;0,OFFSET(#REF!,-1,0)-1,0))</f>
        <v>#REF!</v>
      </c>
      <c r="AL92" s="57" t="e">
        <f ca="1">IF(#REF!,12,IF(OFFSET(#REF!,-1,0)&gt;0,OFFSET(#REF!,-1,0)-1,0))</f>
        <v>#REF!</v>
      </c>
      <c r="AM92" s="57" t="e">
        <f ca="1">IF(#REF!,12,IF(OFFSET(#REF!,-1,0)&gt;0,OFFSET(#REF!,-1,0)-1,0))</f>
        <v>#REF!</v>
      </c>
      <c r="AN92" s="57" t="e">
        <f ca="1">IF(#REF!,12,IF(OFFSET(#REF!,-1,0)&gt;0,OFFSET(#REF!,-1,0)-1,0))</f>
        <v>#REF!</v>
      </c>
      <c r="AO92" s="57" t="e">
        <f ca="1">IF(#REF!,12,IF(OFFSET(#REF!,-1,0)&gt;0,OFFSET(#REF!,-1,0)-1,0))</f>
        <v>#REF!</v>
      </c>
    </row>
    <row r="93" spans="1:41" x14ac:dyDescent="0.25">
      <c r="A93" s="130" t="e">
        <f>#REF!</f>
        <v>#REF!</v>
      </c>
      <c r="B93" s="133" t="e">
        <f>#REF!</f>
        <v>#REF!</v>
      </c>
      <c r="C93" s="39" t="e">
        <f>#REF!</f>
        <v>#REF!</v>
      </c>
      <c r="D93" s="135" t="e">
        <f ca="1">MIN(1,OFFSET(#REF!,-1,0)+0.04+ROUNDDOWN(10*OFFSET(#REF!,-1,0),0)+ tech_2_7*OFFSET(#REF!,-1,0) + tech_5_6*OFFSET(#REF!,-1,0) )-#REF!</f>
        <v>#REF!</v>
      </c>
      <c r="E93" s="147" t="e">
        <f ca="1">OFFSET(#REF!,-1,0)+1/24</f>
        <v>#REF!</v>
      </c>
      <c r="F93" s="135" t="e">
        <f>#REF!</f>
        <v>#REF!</v>
      </c>
      <c r="G93" s="210"/>
      <c r="H93" s="210"/>
      <c r="I93" s="210"/>
      <c r="J93" s="210"/>
      <c r="K93" s="386"/>
      <c r="L93" s="210"/>
      <c r="M93" s="210"/>
      <c r="N93" s="210"/>
      <c r="O93" s="210"/>
      <c r="P93" s="210"/>
      <c r="Q93" s="210"/>
      <c r="R93" s="210"/>
      <c r="S93" s="210"/>
      <c r="T93" s="210"/>
      <c r="U93" s="210"/>
      <c r="V93" s="210"/>
      <c r="W93" s="134"/>
      <c r="X93" s="39" t="e">
        <f>(MAX(1-wg_spell_cost_cap,1-wg_spell_cost_red*ROUND(#REF!/#REF!,4))+ tech_3_9*#REF! + tech_6_2_2*#REF! )*(#REF!-#REF!*20)*(#REF!* Constants!$B$75 +#REF!* Constants!$B$76 +#REF!* Constants!$B$77 +#REF!* Constants!$B$79 +#REF!* Constants!$B$78  + SUM(#REF!)*Constants!$B$80*(1+tech_9_3*#REF!))</f>
        <v>#REF!</v>
      </c>
      <c r="Y93" s="135" t="e">
        <f>SUMIF(#REF!,1)*0.05</f>
        <v>#REF!</v>
      </c>
      <c r="Z93" s="134"/>
      <c r="AA93" s="57" t="e">
        <f ca="1">IF(#REF!,12,IF(OFFSET(#REF!,-1,0)&gt;0,OFFSET(#REF!,-1,0)-1,0))</f>
        <v>#REF!</v>
      </c>
      <c r="AB93" s="57" t="e">
        <f ca="1">IF(#REF!,12,IF(OFFSET(#REF!,-1,0)&gt;0,OFFSET(#REF!,-1,0)-1,0))</f>
        <v>#REF!</v>
      </c>
      <c r="AC93" s="57" t="e">
        <f ca="1">IF(#REF!,12,IF(OFFSET(#REF!,-1,0)&gt;0,OFFSET(#REF!,-1,0)-1,0))</f>
        <v>#REF!</v>
      </c>
      <c r="AD93" s="57" t="e">
        <f ca="1">IF(#REF!,12,IF(OFFSET(#REF!,-1,0)&gt;0,OFFSET(#REF!,-1,0)-1,0))</f>
        <v>#REF!</v>
      </c>
      <c r="AE93" s="57" t="e">
        <f ca="1">IF(#REF!,12,IF(OFFSET(#REF!,-1,0)&gt;0,OFFSET(#REF!,-1,0)-1,0))</f>
        <v>#REF!</v>
      </c>
      <c r="AF93" s="57" t="e">
        <f ca="1">IF(#REF!,12,IF(OFFSET(#REF!,-1,0)&gt;0,OFFSET(#REF!,-1,0)-1,0))</f>
        <v>#REF!</v>
      </c>
      <c r="AG93" s="57" t="e">
        <f ca="1">IF(#REF!,12,IF(OFFSET(#REF!,-1,0)&gt;0,OFFSET(#REF!,-1,0)-1,0))</f>
        <v>#REF!</v>
      </c>
      <c r="AH93" s="57" t="e">
        <f ca="1">IF(#REF!,12,IF(OFFSET(#REF!,-1,0)&gt;0,OFFSET(#REF!,-1,0)-1,0))</f>
        <v>#REF!</v>
      </c>
      <c r="AI93" s="57" t="e">
        <f ca="1">IF(#REF!,12,IF(OFFSET(#REF!,-1,0)&gt;0,OFFSET(#REF!,-1,0)-1,0))</f>
        <v>#REF!</v>
      </c>
      <c r="AJ93" s="57" t="e">
        <f ca="1">IF(#REF!,12,IF(OFFSET(#REF!,-1,0)&gt;0,OFFSET(#REF!,-1,0)-1,0))</f>
        <v>#REF!</v>
      </c>
      <c r="AK93" s="57" t="e">
        <f ca="1">IF(#REF!,12,IF(OFFSET(#REF!,-1,0)&gt;0,OFFSET(#REF!,-1,0)-1,0))</f>
        <v>#REF!</v>
      </c>
      <c r="AL93" s="57" t="e">
        <f ca="1">IF(#REF!,12,IF(OFFSET(#REF!,-1,0)&gt;0,OFFSET(#REF!,-1,0)-1,0))</f>
        <v>#REF!</v>
      </c>
      <c r="AM93" s="57" t="e">
        <f ca="1">IF(#REF!,12,IF(OFFSET(#REF!,-1,0)&gt;0,OFFSET(#REF!,-1,0)-1,0))</f>
        <v>#REF!</v>
      </c>
      <c r="AN93" s="57" t="e">
        <f ca="1">IF(#REF!,12,IF(OFFSET(#REF!,-1,0)&gt;0,OFFSET(#REF!,-1,0)-1,0))</f>
        <v>#REF!</v>
      </c>
      <c r="AO93" s="57" t="e">
        <f ca="1">IF(#REF!,12,IF(OFFSET(#REF!,-1,0)&gt;0,OFFSET(#REF!,-1,0)-1,0))</f>
        <v>#REF!</v>
      </c>
    </row>
    <row r="94" spans="1:41" x14ac:dyDescent="0.25">
      <c r="A94" s="130" t="e">
        <f>#REF!</f>
        <v>#REF!</v>
      </c>
      <c r="B94" s="133" t="e">
        <f>#REF!</f>
        <v>#REF!</v>
      </c>
      <c r="C94" s="39" t="e">
        <f>#REF!</f>
        <v>#REF!</v>
      </c>
      <c r="D94" s="135" t="e">
        <f ca="1">MIN(1,OFFSET(#REF!,-1,0)+0.04+ROUNDDOWN(10*OFFSET(#REF!,-1,0),0)+ tech_2_7*OFFSET(#REF!,-1,0) + tech_5_6*OFFSET(#REF!,-1,0) )-#REF!</f>
        <v>#REF!</v>
      </c>
      <c r="E94" s="147" t="e">
        <f ca="1">OFFSET(#REF!,-1,0)+1/24</f>
        <v>#REF!</v>
      </c>
      <c r="F94" s="135" t="e">
        <f>#REF!</f>
        <v>#REF!</v>
      </c>
      <c r="G94" s="210"/>
      <c r="H94" s="210"/>
      <c r="I94" s="210"/>
      <c r="J94" s="210"/>
      <c r="K94" s="386"/>
      <c r="L94" s="210"/>
      <c r="M94" s="210"/>
      <c r="N94" s="210"/>
      <c r="O94" s="210"/>
      <c r="P94" s="210"/>
      <c r="Q94" s="210"/>
      <c r="R94" s="210"/>
      <c r="S94" s="210"/>
      <c r="T94" s="210"/>
      <c r="U94" s="210"/>
      <c r="V94" s="210"/>
      <c r="W94" s="134"/>
      <c r="X94" s="39" t="e">
        <f>(MAX(1-wg_spell_cost_cap,1-wg_spell_cost_red*ROUND(#REF!/#REF!,4))+ tech_3_9*#REF! + tech_6_2_2*#REF! )*(#REF!-#REF!*20)*(#REF!* Constants!$B$75 +#REF!* Constants!$B$76 +#REF!* Constants!$B$77 +#REF!* Constants!$B$79 +#REF!* Constants!$B$78  + SUM(#REF!)*Constants!$B$80*(1+tech_9_3*#REF!))</f>
        <v>#REF!</v>
      </c>
      <c r="Y94" s="135" t="e">
        <f>SUMIF(#REF!,1)*0.05</f>
        <v>#REF!</v>
      </c>
      <c r="Z94" s="134"/>
      <c r="AA94" s="57" t="e">
        <f ca="1">IF(#REF!,12,IF(OFFSET(#REF!,-1,0)&gt;0,OFFSET(#REF!,-1,0)-1,0))</f>
        <v>#REF!</v>
      </c>
      <c r="AB94" s="57" t="e">
        <f ca="1">IF(#REF!,12,IF(OFFSET(#REF!,-1,0)&gt;0,OFFSET(#REF!,-1,0)-1,0))</f>
        <v>#REF!</v>
      </c>
      <c r="AC94" s="57" t="e">
        <f ca="1">IF(#REF!,12,IF(OFFSET(#REF!,-1,0)&gt;0,OFFSET(#REF!,-1,0)-1,0))</f>
        <v>#REF!</v>
      </c>
      <c r="AD94" s="57" t="e">
        <f ca="1">IF(#REF!,12,IF(OFFSET(#REF!,-1,0)&gt;0,OFFSET(#REF!,-1,0)-1,0))</f>
        <v>#REF!</v>
      </c>
      <c r="AE94" s="57" t="e">
        <f ca="1">IF(#REF!,12,IF(OFFSET(#REF!,-1,0)&gt;0,OFFSET(#REF!,-1,0)-1,0))</f>
        <v>#REF!</v>
      </c>
      <c r="AF94" s="57" t="e">
        <f ca="1">IF(#REF!,12,IF(OFFSET(#REF!,-1,0)&gt;0,OFFSET(#REF!,-1,0)-1,0))</f>
        <v>#REF!</v>
      </c>
      <c r="AG94" s="57" t="e">
        <f ca="1">IF(#REF!,12,IF(OFFSET(#REF!,-1,0)&gt;0,OFFSET(#REF!,-1,0)-1,0))</f>
        <v>#REF!</v>
      </c>
      <c r="AH94" s="57" t="e">
        <f ca="1">IF(#REF!,12,IF(OFFSET(#REF!,-1,0)&gt;0,OFFSET(#REF!,-1,0)-1,0))</f>
        <v>#REF!</v>
      </c>
      <c r="AI94" s="57" t="e">
        <f ca="1">IF(#REF!,12,IF(OFFSET(#REF!,-1,0)&gt;0,OFFSET(#REF!,-1,0)-1,0))</f>
        <v>#REF!</v>
      </c>
      <c r="AJ94" s="57" t="e">
        <f ca="1">IF(#REF!,12,IF(OFFSET(#REF!,-1,0)&gt;0,OFFSET(#REF!,-1,0)-1,0))</f>
        <v>#REF!</v>
      </c>
      <c r="AK94" s="57" t="e">
        <f ca="1">IF(#REF!,12,IF(OFFSET(#REF!,-1,0)&gt;0,OFFSET(#REF!,-1,0)-1,0))</f>
        <v>#REF!</v>
      </c>
      <c r="AL94" s="57" t="e">
        <f ca="1">IF(#REF!,12,IF(OFFSET(#REF!,-1,0)&gt;0,OFFSET(#REF!,-1,0)-1,0))</f>
        <v>#REF!</v>
      </c>
      <c r="AM94" s="57" t="e">
        <f ca="1">IF(#REF!,12,IF(OFFSET(#REF!,-1,0)&gt;0,OFFSET(#REF!,-1,0)-1,0))</f>
        <v>#REF!</v>
      </c>
      <c r="AN94" s="57" t="e">
        <f ca="1">IF(#REF!,12,IF(OFFSET(#REF!,-1,0)&gt;0,OFFSET(#REF!,-1,0)-1,0))</f>
        <v>#REF!</v>
      </c>
      <c r="AO94" s="57" t="e">
        <f ca="1">IF(#REF!,12,IF(OFFSET(#REF!,-1,0)&gt;0,OFFSET(#REF!,-1,0)-1,0))</f>
        <v>#REF!</v>
      </c>
    </row>
    <row r="95" spans="1:41" x14ac:dyDescent="0.25">
      <c r="A95" s="130" t="e">
        <f>#REF!</f>
        <v>#REF!</v>
      </c>
      <c r="B95" s="133" t="e">
        <f>#REF!</f>
        <v>#REF!</v>
      </c>
      <c r="C95" s="39" t="e">
        <f>#REF!</f>
        <v>#REF!</v>
      </c>
      <c r="D95" s="135" t="e">
        <f ca="1">MIN(1,OFFSET(#REF!,-1,0)+0.04+ROUNDDOWN(10*OFFSET(#REF!,-1,0),0)+ tech_2_7*OFFSET(#REF!,-1,0) + tech_5_6*OFFSET(#REF!,-1,0) )-#REF!</f>
        <v>#REF!</v>
      </c>
      <c r="E95" s="147" t="e">
        <f ca="1">OFFSET(#REF!,-1,0)+1/24</f>
        <v>#REF!</v>
      </c>
      <c r="F95" s="135" t="e">
        <f>#REF!</f>
        <v>#REF!</v>
      </c>
      <c r="G95" s="210"/>
      <c r="H95" s="210"/>
      <c r="I95" s="210"/>
      <c r="J95" s="210"/>
      <c r="K95" s="386"/>
      <c r="L95" s="210"/>
      <c r="M95" s="210"/>
      <c r="N95" s="210"/>
      <c r="O95" s="210"/>
      <c r="P95" s="210"/>
      <c r="Q95" s="210"/>
      <c r="R95" s="210"/>
      <c r="S95" s="210"/>
      <c r="T95" s="210"/>
      <c r="U95" s="210"/>
      <c r="V95" s="210"/>
      <c r="W95" s="134"/>
      <c r="X95" s="39" t="e">
        <f>(MAX(1-wg_spell_cost_cap,1-wg_spell_cost_red*ROUND(#REF!/#REF!,4))+ tech_3_9*#REF! + tech_6_2_2*#REF! )*(#REF!-#REF!*20)*(#REF!* Constants!$B$75 +#REF!* Constants!$B$76 +#REF!* Constants!$B$77 +#REF!* Constants!$B$79 +#REF!* Constants!$B$78  + SUM(#REF!)*Constants!$B$80*(1+tech_9_3*#REF!))</f>
        <v>#REF!</v>
      </c>
      <c r="Y95" s="135" t="e">
        <f>SUMIF(#REF!,1)*0.05</f>
        <v>#REF!</v>
      </c>
      <c r="Z95" s="134"/>
      <c r="AA95" s="57" t="e">
        <f ca="1">IF(#REF!,12,IF(OFFSET(#REF!,-1,0)&gt;0,OFFSET(#REF!,-1,0)-1,0))</f>
        <v>#REF!</v>
      </c>
      <c r="AB95" s="57" t="e">
        <f ca="1">IF(#REF!,12,IF(OFFSET(#REF!,-1,0)&gt;0,OFFSET(#REF!,-1,0)-1,0))</f>
        <v>#REF!</v>
      </c>
      <c r="AC95" s="57" t="e">
        <f ca="1">IF(#REF!,12,IF(OFFSET(#REF!,-1,0)&gt;0,OFFSET(#REF!,-1,0)-1,0))</f>
        <v>#REF!</v>
      </c>
      <c r="AD95" s="57" t="e">
        <f ca="1">IF(#REF!,12,IF(OFFSET(#REF!,-1,0)&gt;0,OFFSET(#REF!,-1,0)-1,0))</f>
        <v>#REF!</v>
      </c>
      <c r="AE95" s="57" t="e">
        <f ca="1">IF(#REF!,12,IF(OFFSET(#REF!,-1,0)&gt;0,OFFSET(#REF!,-1,0)-1,0))</f>
        <v>#REF!</v>
      </c>
      <c r="AF95" s="57" t="e">
        <f ca="1">IF(#REF!,12,IF(OFFSET(#REF!,-1,0)&gt;0,OFFSET(#REF!,-1,0)-1,0))</f>
        <v>#REF!</v>
      </c>
      <c r="AG95" s="57" t="e">
        <f ca="1">IF(#REF!,12,IF(OFFSET(#REF!,-1,0)&gt;0,OFFSET(#REF!,-1,0)-1,0))</f>
        <v>#REF!</v>
      </c>
      <c r="AH95" s="57" t="e">
        <f ca="1">IF(#REF!,12,IF(OFFSET(#REF!,-1,0)&gt;0,OFFSET(#REF!,-1,0)-1,0))</f>
        <v>#REF!</v>
      </c>
      <c r="AI95" s="57" t="e">
        <f ca="1">IF(#REF!,12,IF(OFFSET(#REF!,-1,0)&gt;0,OFFSET(#REF!,-1,0)-1,0))</f>
        <v>#REF!</v>
      </c>
      <c r="AJ95" s="57" t="e">
        <f ca="1">IF(#REF!,12,IF(OFFSET(#REF!,-1,0)&gt;0,OFFSET(#REF!,-1,0)-1,0))</f>
        <v>#REF!</v>
      </c>
      <c r="AK95" s="57" t="e">
        <f ca="1">IF(#REF!,12,IF(OFFSET(#REF!,-1,0)&gt;0,OFFSET(#REF!,-1,0)-1,0))</f>
        <v>#REF!</v>
      </c>
      <c r="AL95" s="57" t="e">
        <f ca="1">IF(#REF!,12,IF(OFFSET(#REF!,-1,0)&gt;0,OFFSET(#REF!,-1,0)-1,0))</f>
        <v>#REF!</v>
      </c>
      <c r="AM95" s="57" t="e">
        <f ca="1">IF(#REF!,12,IF(OFFSET(#REF!,-1,0)&gt;0,OFFSET(#REF!,-1,0)-1,0))</f>
        <v>#REF!</v>
      </c>
      <c r="AN95" s="57" t="e">
        <f ca="1">IF(#REF!,12,IF(OFFSET(#REF!,-1,0)&gt;0,OFFSET(#REF!,-1,0)-1,0))</f>
        <v>#REF!</v>
      </c>
      <c r="AO95" s="57" t="e">
        <f ca="1">IF(#REF!,12,IF(OFFSET(#REF!,-1,0)&gt;0,OFFSET(#REF!,-1,0)-1,0))</f>
        <v>#REF!</v>
      </c>
    </row>
    <row r="96" spans="1:41" x14ac:dyDescent="0.25">
      <c r="A96" s="130" t="e">
        <f>#REF!</f>
        <v>#REF!</v>
      </c>
      <c r="B96" s="133" t="e">
        <f>#REF!</f>
        <v>#REF!</v>
      </c>
      <c r="C96" s="39" t="e">
        <f>#REF!</f>
        <v>#REF!</v>
      </c>
      <c r="D96" s="135" t="e">
        <f ca="1">MIN(1,OFFSET(#REF!,-1,0)+0.04+ROUNDDOWN(10*OFFSET(#REF!,-1,0),0)+ tech_2_7*OFFSET(#REF!,-1,0) + tech_5_6*OFFSET(#REF!,-1,0) )-#REF!</f>
        <v>#REF!</v>
      </c>
      <c r="E96" s="147" t="e">
        <f ca="1">OFFSET(#REF!,-1,0)+1/24</f>
        <v>#REF!</v>
      </c>
      <c r="F96" s="135" t="e">
        <f>#REF!</f>
        <v>#REF!</v>
      </c>
      <c r="G96" s="210"/>
      <c r="H96" s="210"/>
      <c r="I96" s="210"/>
      <c r="J96" s="210"/>
      <c r="K96" s="386"/>
      <c r="L96" s="210"/>
      <c r="M96" s="210"/>
      <c r="N96" s="210"/>
      <c r="O96" s="210"/>
      <c r="P96" s="210"/>
      <c r="Q96" s="210"/>
      <c r="R96" s="210"/>
      <c r="S96" s="210"/>
      <c r="T96" s="210"/>
      <c r="U96" s="210"/>
      <c r="V96" s="210"/>
      <c r="W96" s="134"/>
      <c r="X96" s="39" t="e">
        <f>(MAX(1-wg_spell_cost_cap,1-wg_spell_cost_red*ROUND(#REF!/#REF!,4))+ tech_3_9*#REF! + tech_6_2_2*#REF! )*(#REF!-#REF!*20)*(#REF!* Constants!$B$75 +#REF!* Constants!$B$76 +#REF!* Constants!$B$77 +#REF!* Constants!$B$79 +#REF!* Constants!$B$78  + SUM(#REF!)*Constants!$B$80*(1+tech_9_3*#REF!))</f>
        <v>#REF!</v>
      </c>
      <c r="Y96" s="135" t="e">
        <f>SUMIF(#REF!,1)*0.05</f>
        <v>#REF!</v>
      </c>
      <c r="Z96" s="134"/>
      <c r="AA96" s="57" t="e">
        <f ca="1">IF(#REF!,12,IF(OFFSET(#REF!,-1,0)&gt;0,OFFSET(#REF!,-1,0)-1,0))</f>
        <v>#REF!</v>
      </c>
      <c r="AB96" s="57" t="e">
        <f ca="1">IF(#REF!,12,IF(OFFSET(#REF!,-1,0)&gt;0,OFFSET(#REF!,-1,0)-1,0))</f>
        <v>#REF!</v>
      </c>
      <c r="AC96" s="57" t="e">
        <f ca="1">IF(#REF!,12,IF(OFFSET(#REF!,-1,0)&gt;0,OFFSET(#REF!,-1,0)-1,0))</f>
        <v>#REF!</v>
      </c>
      <c r="AD96" s="57" t="e">
        <f ca="1">IF(#REF!,12,IF(OFFSET(#REF!,-1,0)&gt;0,OFFSET(#REF!,-1,0)-1,0))</f>
        <v>#REF!</v>
      </c>
      <c r="AE96" s="57" t="e">
        <f ca="1">IF(#REF!,12,IF(OFFSET(#REF!,-1,0)&gt;0,OFFSET(#REF!,-1,0)-1,0))</f>
        <v>#REF!</v>
      </c>
      <c r="AF96" s="57" t="e">
        <f ca="1">IF(#REF!,12,IF(OFFSET(#REF!,-1,0)&gt;0,OFFSET(#REF!,-1,0)-1,0))</f>
        <v>#REF!</v>
      </c>
      <c r="AG96" s="57" t="e">
        <f ca="1">IF(#REF!,12,IF(OFFSET(#REF!,-1,0)&gt;0,OFFSET(#REF!,-1,0)-1,0))</f>
        <v>#REF!</v>
      </c>
      <c r="AH96" s="57" t="e">
        <f ca="1">IF(#REF!,12,IF(OFFSET(#REF!,-1,0)&gt;0,OFFSET(#REF!,-1,0)-1,0))</f>
        <v>#REF!</v>
      </c>
      <c r="AI96" s="57" t="e">
        <f ca="1">IF(#REF!,12,IF(OFFSET(#REF!,-1,0)&gt;0,OFFSET(#REF!,-1,0)-1,0))</f>
        <v>#REF!</v>
      </c>
      <c r="AJ96" s="57" t="e">
        <f ca="1">IF(#REF!,12,IF(OFFSET(#REF!,-1,0)&gt;0,OFFSET(#REF!,-1,0)-1,0))</f>
        <v>#REF!</v>
      </c>
      <c r="AK96" s="57" t="e">
        <f ca="1">IF(#REF!,12,IF(OFFSET(#REF!,-1,0)&gt;0,OFFSET(#REF!,-1,0)-1,0))</f>
        <v>#REF!</v>
      </c>
      <c r="AL96" s="57" t="e">
        <f ca="1">IF(#REF!,12,IF(OFFSET(#REF!,-1,0)&gt;0,OFFSET(#REF!,-1,0)-1,0))</f>
        <v>#REF!</v>
      </c>
      <c r="AM96" s="57" t="e">
        <f ca="1">IF(#REF!,12,IF(OFFSET(#REF!,-1,0)&gt;0,OFFSET(#REF!,-1,0)-1,0))</f>
        <v>#REF!</v>
      </c>
      <c r="AN96" s="57" t="e">
        <f ca="1">IF(#REF!,12,IF(OFFSET(#REF!,-1,0)&gt;0,OFFSET(#REF!,-1,0)-1,0))</f>
        <v>#REF!</v>
      </c>
      <c r="AO96" s="57" t="e">
        <f ca="1">IF(#REF!,12,IF(OFFSET(#REF!,-1,0)&gt;0,OFFSET(#REF!,-1,0)-1,0))</f>
        <v>#REF!</v>
      </c>
    </row>
    <row r="97" spans="1:41" x14ac:dyDescent="0.25">
      <c r="A97" s="130" t="e">
        <f>#REF!</f>
        <v>#REF!</v>
      </c>
      <c r="B97" s="133" t="e">
        <f>#REF!</f>
        <v>#REF!</v>
      </c>
      <c r="C97" s="39" t="e">
        <f>#REF!</f>
        <v>#REF!</v>
      </c>
      <c r="D97" s="135" t="e">
        <f ca="1">MIN(1,OFFSET(#REF!,-1,0)+0.04+ROUNDDOWN(10*OFFSET(#REF!,-1,0),0)+ tech_2_7*OFFSET(#REF!,-1,0) + tech_5_6*OFFSET(#REF!,-1,0) )-#REF!</f>
        <v>#REF!</v>
      </c>
      <c r="E97" s="147" t="e">
        <f ca="1">OFFSET(#REF!,-1,0)+1/24</f>
        <v>#REF!</v>
      </c>
      <c r="F97" s="135" t="e">
        <f>#REF!</f>
        <v>#REF!</v>
      </c>
      <c r="G97" s="210"/>
      <c r="H97" s="210"/>
      <c r="I97" s="210"/>
      <c r="J97" s="210"/>
      <c r="K97" s="386"/>
      <c r="L97" s="210"/>
      <c r="M97" s="210"/>
      <c r="N97" s="210"/>
      <c r="O97" s="210"/>
      <c r="P97" s="210"/>
      <c r="Q97" s="210"/>
      <c r="R97" s="210"/>
      <c r="S97" s="210"/>
      <c r="T97" s="210"/>
      <c r="U97" s="210"/>
      <c r="V97" s="210"/>
      <c r="W97" s="134"/>
      <c r="X97" s="39" t="e">
        <f>(MAX(1-wg_spell_cost_cap,1-wg_spell_cost_red*ROUND(#REF!/#REF!,4))+ tech_3_9*#REF! + tech_6_2_2*#REF! )*(#REF!-#REF!*20)*(#REF!* Constants!$B$75 +#REF!* Constants!$B$76 +#REF!* Constants!$B$77 +#REF!* Constants!$B$79 +#REF!* Constants!$B$78  + SUM(#REF!)*Constants!$B$80*(1+tech_9_3*#REF!))</f>
        <v>#REF!</v>
      </c>
      <c r="Y97" s="135" t="e">
        <f>SUMIF(#REF!,1)*0.05</f>
        <v>#REF!</v>
      </c>
      <c r="Z97" s="134"/>
      <c r="AA97" s="57" t="e">
        <f ca="1">IF(#REF!,12,IF(OFFSET(#REF!,-1,0)&gt;0,OFFSET(#REF!,-1,0)-1,0))</f>
        <v>#REF!</v>
      </c>
      <c r="AB97" s="57" t="e">
        <f ca="1">IF(#REF!,12,IF(OFFSET(#REF!,-1,0)&gt;0,OFFSET(#REF!,-1,0)-1,0))</f>
        <v>#REF!</v>
      </c>
      <c r="AC97" s="57" t="e">
        <f ca="1">IF(#REF!,12,IF(OFFSET(#REF!,-1,0)&gt;0,OFFSET(#REF!,-1,0)-1,0))</f>
        <v>#REF!</v>
      </c>
      <c r="AD97" s="57" t="e">
        <f ca="1">IF(#REF!,12,IF(OFFSET(#REF!,-1,0)&gt;0,OFFSET(#REF!,-1,0)-1,0))</f>
        <v>#REF!</v>
      </c>
      <c r="AE97" s="57" t="e">
        <f ca="1">IF(#REF!,12,IF(OFFSET(#REF!,-1,0)&gt;0,OFFSET(#REF!,-1,0)-1,0))</f>
        <v>#REF!</v>
      </c>
      <c r="AF97" s="57" t="e">
        <f ca="1">IF(#REF!,12,IF(OFFSET(#REF!,-1,0)&gt;0,OFFSET(#REF!,-1,0)-1,0))</f>
        <v>#REF!</v>
      </c>
      <c r="AG97" s="57" t="e">
        <f ca="1">IF(#REF!,12,IF(OFFSET(#REF!,-1,0)&gt;0,OFFSET(#REF!,-1,0)-1,0))</f>
        <v>#REF!</v>
      </c>
      <c r="AH97" s="57" t="e">
        <f ca="1">IF(#REF!,12,IF(OFFSET(#REF!,-1,0)&gt;0,OFFSET(#REF!,-1,0)-1,0))</f>
        <v>#REF!</v>
      </c>
      <c r="AI97" s="57" t="e">
        <f ca="1">IF(#REF!,12,IF(OFFSET(#REF!,-1,0)&gt;0,OFFSET(#REF!,-1,0)-1,0))</f>
        <v>#REF!</v>
      </c>
      <c r="AJ97" s="57" t="e">
        <f ca="1">IF(#REF!,12,IF(OFFSET(#REF!,-1,0)&gt;0,OFFSET(#REF!,-1,0)-1,0))</f>
        <v>#REF!</v>
      </c>
      <c r="AK97" s="57" t="e">
        <f ca="1">IF(#REF!,12,IF(OFFSET(#REF!,-1,0)&gt;0,OFFSET(#REF!,-1,0)-1,0))</f>
        <v>#REF!</v>
      </c>
      <c r="AL97" s="57" t="e">
        <f ca="1">IF(#REF!,12,IF(OFFSET(#REF!,-1,0)&gt;0,OFFSET(#REF!,-1,0)-1,0))</f>
        <v>#REF!</v>
      </c>
      <c r="AM97" s="57" t="e">
        <f ca="1">IF(#REF!,12,IF(OFFSET(#REF!,-1,0)&gt;0,OFFSET(#REF!,-1,0)-1,0))</f>
        <v>#REF!</v>
      </c>
      <c r="AN97" s="57" t="e">
        <f ca="1">IF(#REF!,12,IF(OFFSET(#REF!,-1,0)&gt;0,OFFSET(#REF!,-1,0)-1,0))</f>
        <v>#REF!</v>
      </c>
      <c r="AO97" s="57" t="e">
        <f ca="1">IF(#REF!,12,IF(OFFSET(#REF!,-1,0)&gt;0,OFFSET(#REF!,-1,0)-1,0))</f>
        <v>#REF!</v>
      </c>
    </row>
    <row r="98" spans="1:41" x14ac:dyDescent="0.25">
      <c r="A98" s="130" t="e">
        <f>#REF!</f>
        <v>#REF!</v>
      </c>
      <c r="B98" s="133" t="e">
        <f>#REF!</f>
        <v>#REF!</v>
      </c>
      <c r="C98" s="39" t="e">
        <f>#REF!</f>
        <v>#REF!</v>
      </c>
      <c r="D98" s="135" t="e">
        <f ca="1">MIN(1,OFFSET(#REF!,-1,0)+0.04+ROUNDDOWN(10*OFFSET(#REF!,-1,0),0)+ tech_2_7*OFFSET(#REF!,-1,0) + tech_5_6*OFFSET(#REF!,-1,0) )-#REF!</f>
        <v>#REF!</v>
      </c>
      <c r="E98" s="147" t="e">
        <f ca="1">OFFSET(#REF!,-1,0)+1/24</f>
        <v>#REF!</v>
      </c>
      <c r="F98" s="135" t="e">
        <f>#REF!</f>
        <v>#REF!</v>
      </c>
      <c r="G98" s="210"/>
      <c r="H98" s="210"/>
      <c r="I98" s="210"/>
      <c r="J98" s="210"/>
      <c r="K98" s="386"/>
      <c r="L98" s="210"/>
      <c r="M98" s="210"/>
      <c r="N98" s="210"/>
      <c r="O98" s="210"/>
      <c r="P98" s="210"/>
      <c r="Q98" s="210"/>
      <c r="R98" s="210"/>
      <c r="S98" s="210"/>
      <c r="T98" s="210"/>
      <c r="U98" s="210"/>
      <c r="V98" s="210"/>
      <c r="W98" s="134"/>
      <c r="X98" s="39" t="e">
        <f>(MAX(1-wg_spell_cost_cap,1-wg_spell_cost_red*ROUND(#REF!/#REF!,4))+ tech_3_9*#REF! + tech_6_2_2*#REF! )*(#REF!-#REF!*20)*(#REF!* Constants!$B$75 +#REF!* Constants!$B$76 +#REF!* Constants!$B$77 +#REF!* Constants!$B$79 +#REF!* Constants!$B$78  + SUM(#REF!)*Constants!$B$80*(1+tech_9_3*#REF!))</f>
        <v>#REF!</v>
      </c>
      <c r="Y98" s="135" t="e">
        <f>SUMIF(#REF!,1)*0.05</f>
        <v>#REF!</v>
      </c>
      <c r="Z98" s="134"/>
      <c r="AA98" s="57" t="e">
        <f ca="1">IF(#REF!,12,IF(OFFSET(#REF!,-1,0)&gt;0,OFFSET(#REF!,-1,0)-1,0))</f>
        <v>#REF!</v>
      </c>
      <c r="AB98" s="57" t="e">
        <f ca="1">IF(#REF!,12,IF(OFFSET(#REF!,-1,0)&gt;0,OFFSET(#REF!,-1,0)-1,0))</f>
        <v>#REF!</v>
      </c>
      <c r="AC98" s="57" t="e">
        <f ca="1">IF(#REF!,12,IF(OFFSET(#REF!,-1,0)&gt;0,OFFSET(#REF!,-1,0)-1,0))</f>
        <v>#REF!</v>
      </c>
      <c r="AD98" s="57" t="e">
        <f ca="1">IF(#REF!,12,IF(OFFSET(#REF!,-1,0)&gt;0,OFFSET(#REF!,-1,0)-1,0))</f>
        <v>#REF!</v>
      </c>
      <c r="AE98" s="57" t="e">
        <f ca="1">IF(#REF!,12,IF(OFFSET(#REF!,-1,0)&gt;0,OFFSET(#REF!,-1,0)-1,0))</f>
        <v>#REF!</v>
      </c>
      <c r="AF98" s="57" t="e">
        <f ca="1">IF(#REF!,12,IF(OFFSET(#REF!,-1,0)&gt;0,OFFSET(#REF!,-1,0)-1,0))</f>
        <v>#REF!</v>
      </c>
      <c r="AG98" s="57" t="e">
        <f ca="1">IF(#REF!,12,IF(OFFSET(#REF!,-1,0)&gt;0,OFFSET(#REF!,-1,0)-1,0))</f>
        <v>#REF!</v>
      </c>
      <c r="AH98" s="57" t="e">
        <f ca="1">IF(#REF!,12,IF(OFFSET(#REF!,-1,0)&gt;0,OFFSET(#REF!,-1,0)-1,0))</f>
        <v>#REF!</v>
      </c>
      <c r="AI98" s="57" t="e">
        <f ca="1">IF(#REF!,12,IF(OFFSET(#REF!,-1,0)&gt;0,OFFSET(#REF!,-1,0)-1,0))</f>
        <v>#REF!</v>
      </c>
      <c r="AJ98" s="57" t="e">
        <f ca="1">IF(#REF!,12,IF(OFFSET(#REF!,-1,0)&gt;0,OFFSET(#REF!,-1,0)-1,0))</f>
        <v>#REF!</v>
      </c>
      <c r="AK98" s="57" t="e">
        <f ca="1">IF(#REF!,12,IF(OFFSET(#REF!,-1,0)&gt;0,OFFSET(#REF!,-1,0)-1,0))</f>
        <v>#REF!</v>
      </c>
      <c r="AL98" s="57" t="e">
        <f ca="1">IF(#REF!,12,IF(OFFSET(#REF!,-1,0)&gt;0,OFFSET(#REF!,-1,0)-1,0))</f>
        <v>#REF!</v>
      </c>
      <c r="AM98" s="57" t="e">
        <f ca="1">IF(#REF!,12,IF(OFFSET(#REF!,-1,0)&gt;0,OFFSET(#REF!,-1,0)-1,0))</f>
        <v>#REF!</v>
      </c>
      <c r="AN98" s="57" t="e">
        <f ca="1">IF(#REF!,12,IF(OFFSET(#REF!,-1,0)&gt;0,OFFSET(#REF!,-1,0)-1,0))</f>
        <v>#REF!</v>
      </c>
      <c r="AO98" s="57" t="e">
        <f ca="1">IF(#REF!,12,IF(OFFSET(#REF!,-1,0)&gt;0,OFFSET(#REF!,-1,0)-1,0))</f>
        <v>#REF!</v>
      </c>
    </row>
    <row r="99" spans="1:41" x14ac:dyDescent="0.25">
      <c r="A99" s="130" t="e">
        <f>#REF!</f>
        <v>#REF!</v>
      </c>
      <c r="B99" s="133" t="e">
        <f>#REF!</f>
        <v>#REF!</v>
      </c>
      <c r="C99" s="39" t="e">
        <f>#REF!</f>
        <v>#REF!</v>
      </c>
      <c r="D99" s="135" t="e">
        <f ca="1">MIN(1,OFFSET(#REF!,-1,0)+0.04+ROUNDDOWN(10*OFFSET(#REF!,-1,0),0)+ tech_2_7*OFFSET(#REF!,-1,0) + tech_5_6*OFFSET(#REF!,-1,0) )-#REF!</f>
        <v>#REF!</v>
      </c>
      <c r="E99" s="147" t="e">
        <f ca="1">OFFSET(#REF!,-1,0)+1/24</f>
        <v>#REF!</v>
      </c>
      <c r="F99" s="135" t="e">
        <f>#REF!</f>
        <v>#REF!</v>
      </c>
      <c r="G99" s="210"/>
      <c r="H99" s="210"/>
      <c r="I99" s="210"/>
      <c r="J99" s="210"/>
      <c r="K99" s="386"/>
      <c r="L99" s="210"/>
      <c r="M99" s="210"/>
      <c r="N99" s="210"/>
      <c r="O99" s="210"/>
      <c r="P99" s="210"/>
      <c r="Q99" s="210"/>
      <c r="R99" s="210"/>
      <c r="S99" s="210"/>
      <c r="T99" s="210"/>
      <c r="U99" s="210"/>
      <c r="V99" s="210"/>
      <c r="W99" s="134"/>
      <c r="X99" s="39" t="e">
        <f>(MAX(1-wg_spell_cost_cap,1-wg_spell_cost_red*ROUND(#REF!/#REF!,4))+ tech_3_9*#REF! + tech_6_2_2*#REF! )*(#REF!-#REF!*20)*(#REF!* Constants!$B$75 +#REF!* Constants!$B$76 +#REF!* Constants!$B$77 +#REF!* Constants!$B$79 +#REF!* Constants!$B$78  + SUM(#REF!)*Constants!$B$80*(1+tech_9_3*#REF!))</f>
        <v>#REF!</v>
      </c>
      <c r="Y99" s="135" t="e">
        <f>SUMIF(#REF!,1)*0.05</f>
        <v>#REF!</v>
      </c>
      <c r="Z99" s="134"/>
      <c r="AA99" s="57" t="e">
        <f ca="1">IF(#REF!,12,IF(OFFSET(#REF!,-1,0)&gt;0,OFFSET(#REF!,-1,0)-1,0))</f>
        <v>#REF!</v>
      </c>
      <c r="AB99" s="57" t="e">
        <f ca="1">IF(#REF!,12,IF(OFFSET(#REF!,-1,0)&gt;0,OFFSET(#REF!,-1,0)-1,0))</f>
        <v>#REF!</v>
      </c>
      <c r="AC99" s="57" t="e">
        <f ca="1">IF(#REF!,12,IF(OFFSET(#REF!,-1,0)&gt;0,OFFSET(#REF!,-1,0)-1,0))</f>
        <v>#REF!</v>
      </c>
      <c r="AD99" s="57" t="e">
        <f ca="1">IF(#REF!,12,IF(OFFSET(#REF!,-1,0)&gt;0,OFFSET(#REF!,-1,0)-1,0))</f>
        <v>#REF!</v>
      </c>
      <c r="AE99" s="57" t="e">
        <f ca="1">IF(#REF!,12,IF(OFFSET(#REF!,-1,0)&gt;0,OFFSET(#REF!,-1,0)-1,0))</f>
        <v>#REF!</v>
      </c>
      <c r="AF99" s="57" t="e">
        <f ca="1">IF(#REF!,12,IF(OFFSET(#REF!,-1,0)&gt;0,OFFSET(#REF!,-1,0)-1,0))</f>
        <v>#REF!</v>
      </c>
      <c r="AG99" s="57" t="e">
        <f ca="1">IF(#REF!,12,IF(OFFSET(#REF!,-1,0)&gt;0,OFFSET(#REF!,-1,0)-1,0))</f>
        <v>#REF!</v>
      </c>
      <c r="AH99" s="57" t="e">
        <f ca="1">IF(#REF!,12,IF(OFFSET(#REF!,-1,0)&gt;0,OFFSET(#REF!,-1,0)-1,0))</f>
        <v>#REF!</v>
      </c>
      <c r="AI99" s="57" t="e">
        <f ca="1">IF(#REF!,12,IF(OFFSET(#REF!,-1,0)&gt;0,OFFSET(#REF!,-1,0)-1,0))</f>
        <v>#REF!</v>
      </c>
      <c r="AJ99" s="57" t="e">
        <f ca="1">IF(#REF!,12,IF(OFFSET(#REF!,-1,0)&gt;0,OFFSET(#REF!,-1,0)-1,0))</f>
        <v>#REF!</v>
      </c>
      <c r="AK99" s="57" t="e">
        <f ca="1">IF(#REF!,12,IF(OFFSET(#REF!,-1,0)&gt;0,OFFSET(#REF!,-1,0)-1,0))</f>
        <v>#REF!</v>
      </c>
      <c r="AL99" s="57" t="e">
        <f ca="1">IF(#REF!,12,IF(OFFSET(#REF!,-1,0)&gt;0,OFFSET(#REF!,-1,0)-1,0))</f>
        <v>#REF!</v>
      </c>
      <c r="AM99" s="57" t="e">
        <f ca="1">IF(#REF!,12,IF(OFFSET(#REF!,-1,0)&gt;0,OFFSET(#REF!,-1,0)-1,0))</f>
        <v>#REF!</v>
      </c>
      <c r="AN99" s="57" t="e">
        <f ca="1">IF(#REF!,12,IF(OFFSET(#REF!,-1,0)&gt;0,OFFSET(#REF!,-1,0)-1,0))</f>
        <v>#REF!</v>
      </c>
      <c r="AO99" s="57" t="e">
        <f ca="1">IF(#REF!,12,IF(OFFSET(#REF!,-1,0)&gt;0,OFFSET(#REF!,-1,0)-1,0))</f>
        <v>#REF!</v>
      </c>
    </row>
    <row r="100" spans="1:41" x14ac:dyDescent="0.25">
      <c r="A100" s="130" t="e">
        <f>#REF!</f>
        <v>#REF!</v>
      </c>
      <c r="B100" s="133" t="e">
        <f>#REF!</f>
        <v>#REF!</v>
      </c>
      <c r="C100" s="39" t="e">
        <f>#REF!</f>
        <v>#REF!</v>
      </c>
      <c r="D100" s="135" t="e">
        <f ca="1">MIN(1,OFFSET(#REF!,-1,0)+0.04+ROUNDDOWN(10*OFFSET(#REF!,-1,0),0)+ tech_2_7*OFFSET(#REF!,-1,0) + tech_5_6*OFFSET(#REF!,-1,0) )-#REF!</f>
        <v>#REF!</v>
      </c>
      <c r="E100" s="147" t="e">
        <f ca="1">OFFSET(#REF!,-1,0)+1/24</f>
        <v>#REF!</v>
      </c>
      <c r="F100" s="135" t="e">
        <f>#REF!</f>
        <v>#REF!</v>
      </c>
      <c r="G100" s="210"/>
      <c r="H100" s="210"/>
      <c r="I100" s="210"/>
      <c r="J100" s="210"/>
      <c r="K100" s="386"/>
      <c r="L100" s="210"/>
      <c r="M100" s="210"/>
      <c r="N100" s="210"/>
      <c r="O100" s="210"/>
      <c r="P100" s="210"/>
      <c r="Q100" s="210"/>
      <c r="R100" s="210"/>
      <c r="S100" s="210"/>
      <c r="T100" s="210"/>
      <c r="U100" s="210"/>
      <c r="V100" s="210"/>
      <c r="W100" s="134"/>
      <c r="X100" s="39" t="e">
        <f>(MAX(1-wg_spell_cost_cap,1-wg_spell_cost_red*ROUND(#REF!/#REF!,4))+ tech_3_9*#REF! + tech_6_2_2*#REF! )*(#REF!-#REF!*20)*(#REF!* Constants!$B$75 +#REF!* Constants!$B$76 +#REF!* Constants!$B$77 +#REF!* Constants!$B$79 +#REF!* Constants!$B$78  + SUM(#REF!)*Constants!$B$80*(1+tech_9_3*#REF!))</f>
        <v>#REF!</v>
      </c>
      <c r="Y100" s="135" t="e">
        <f>SUMIF(#REF!,1)*0.05</f>
        <v>#REF!</v>
      </c>
      <c r="Z100" s="134"/>
      <c r="AA100" s="57" t="e">
        <f ca="1">IF(#REF!,12,IF(OFFSET(#REF!,-1,0)&gt;0,OFFSET(#REF!,-1,0)-1,0))</f>
        <v>#REF!</v>
      </c>
      <c r="AB100" s="57" t="e">
        <f ca="1">IF(#REF!,12,IF(OFFSET(#REF!,-1,0)&gt;0,OFFSET(#REF!,-1,0)-1,0))</f>
        <v>#REF!</v>
      </c>
      <c r="AC100" s="57" t="e">
        <f ca="1">IF(#REF!,12,IF(OFFSET(#REF!,-1,0)&gt;0,OFFSET(#REF!,-1,0)-1,0))</f>
        <v>#REF!</v>
      </c>
      <c r="AD100" s="57" t="e">
        <f ca="1">IF(#REF!,12,IF(OFFSET(#REF!,-1,0)&gt;0,OFFSET(#REF!,-1,0)-1,0))</f>
        <v>#REF!</v>
      </c>
      <c r="AE100" s="57" t="e">
        <f ca="1">IF(#REF!,12,IF(OFFSET(#REF!,-1,0)&gt;0,OFFSET(#REF!,-1,0)-1,0))</f>
        <v>#REF!</v>
      </c>
      <c r="AF100" s="57" t="e">
        <f ca="1">IF(#REF!,12,IF(OFFSET(#REF!,-1,0)&gt;0,OFFSET(#REF!,-1,0)-1,0))</f>
        <v>#REF!</v>
      </c>
      <c r="AG100" s="57" t="e">
        <f ca="1">IF(#REF!,12,IF(OFFSET(#REF!,-1,0)&gt;0,OFFSET(#REF!,-1,0)-1,0))</f>
        <v>#REF!</v>
      </c>
      <c r="AH100" s="57" t="e">
        <f ca="1">IF(#REF!,12,IF(OFFSET(#REF!,-1,0)&gt;0,OFFSET(#REF!,-1,0)-1,0))</f>
        <v>#REF!</v>
      </c>
      <c r="AI100" s="57" t="e">
        <f ca="1">IF(#REF!,12,IF(OFFSET(#REF!,-1,0)&gt;0,OFFSET(#REF!,-1,0)-1,0))</f>
        <v>#REF!</v>
      </c>
      <c r="AJ100" s="57" t="e">
        <f ca="1">IF(#REF!,12,IF(OFFSET(#REF!,-1,0)&gt;0,OFFSET(#REF!,-1,0)-1,0))</f>
        <v>#REF!</v>
      </c>
      <c r="AK100" s="57" t="e">
        <f ca="1">IF(#REF!,12,IF(OFFSET(#REF!,-1,0)&gt;0,OFFSET(#REF!,-1,0)-1,0))</f>
        <v>#REF!</v>
      </c>
      <c r="AL100" s="57" t="e">
        <f ca="1">IF(#REF!,12,IF(OFFSET(#REF!,-1,0)&gt;0,OFFSET(#REF!,-1,0)-1,0))</f>
        <v>#REF!</v>
      </c>
      <c r="AM100" s="57" t="e">
        <f ca="1">IF(#REF!,12,IF(OFFSET(#REF!,-1,0)&gt;0,OFFSET(#REF!,-1,0)-1,0))</f>
        <v>#REF!</v>
      </c>
      <c r="AN100" s="57" t="e">
        <f ca="1">IF(#REF!,12,IF(OFFSET(#REF!,-1,0)&gt;0,OFFSET(#REF!,-1,0)-1,0))</f>
        <v>#REF!</v>
      </c>
      <c r="AO100" s="57" t="e">
        <f ca="1">IF(#REF!,12,IF(OFFSET(#REF!,-1,0)&gt;0,OFFSET(#REF!,-1,0)-1,0))</f>
        <v>#REF!</v>
      </c>
    </row>
    <row r="101" spans="1:41" x14ac:dyDescent="0.25">
      <c r="A101" s="130" t="e">
        <f>#REF!</f>
        <v>#REF!</v>
      </c>
      <c r="B101" s="133" t="e">
        <f>#REF!</f>
        <v>#REF!</v>
      </c>
      <c r="C101" s="39" t="e">
        <f>#REF!</f>
        <v>#REF!</v>
      </c>
      <c r="D101" s="135" t="e">
        <f ca="1">MIN(1,OFFSET(#REF!,-1,0)+0.04+ROUNDDOWN(10*OFFSET(#REF!,-1,0),0)+ tech_2_7*OFFSET(#REF!,-1,0) + tech_5_6*OFFSET(#REF!,-1,0) )-#REF!</f>
        <v>#REF!</v>
      </c>
      <c r="E101" s="147" t="e">
        <f ca="1">OFFSET(#REF!,-1,0)+1/24</f>
        <v>#REF!</v>
      </c>
      <c r="F101" s="135" t="e">
        <f>#REF!</f>
        <v>#REF!</v>
      </c>
      <c r="G101" s="210"/>
      <c r="H101" s="210"/>
      <c r="I101" s="210"/>
      <c r="J101" s="210"/>
      <c r="K101" s="386"/>
      <c r="L101" s="210"/>
      <c r="M101" s="210"/>
      <c r="N101" s="210"/>
      <c r="O101" s="210"/>
      <c r="P101" s="210"/>
      <c r="Q101" s="210"/>
      <c r="R101" s="210"/>
      <c r="S101" s="210"/>
      <c r="T101" s="210"/>
      <c r="U101" s="210"/>
      <c r="V101" s="210"/>
      <c r="W101" s="134"/>
      <c r="X101" s="39" t="e">
        <f>(MAX(1-wg_spell_cost_cap,1-wg_spell_cost_red*ROUND(#REF!/#REF!,4))+ tech_3_9*#REF! + tech_6_2_2*#REF! )*(#REF!-#REF!*20)*(#REF!* Constants!$B$75 +#REF!* Constants!$B$76 +#REF!* Constants!$B$77 +#REF!* Constants!$B$79 +#REF!* Constants!$B$78  + SUM(#REF!)*Constants!$B$80*(1+tech_9_3*#REF!))</f>
        <v>#REF!</v>
      </c>
      <c r="Y101" s="135" t="e">
        <f>SUMIF(#REF!,1)*0.05</f>
        <v>#REF!</v>
      </c>
      <c r="Z101" s="134"/>
      <c r="AA101" s="57" t="e">
        <f ca="1">IF(#REF!,12,IF(OFFSET(#REF!,-1,0)&gt;0,OFFSET(#REF!,-1,0)-1,0))</f>
        <v>#REF!</v>
      </c>
      <c r="AB101" s="57" t="e">
        <f ca="1">IF(#REF!,12,IF(OFFSET(#REF!,-1,0)&gt;0,OFFSET(#REF!,-1,0)-1,0))</f>
        <v>#REF!</v>
      </c>
      <c r="AC101" s="57" t="e">
        <f ca="1">IF(#REF!,12,IF(OFFSET(#REF!,-1,0)&gt;0,OFFSET(#REF!,-1,0)-1,0))</f>
        <v>#REF!</v>
      </c>
      <c r="AD101" s="57" t="e">
        <f ca="1">IF(#REF!,12,IF(OFFSET(#REF!,-1,0)&gt;0,OFFSET(#REF!,-1,0)-1,0))</f>
        <v>#REF!</v>
      </c>
      <c r="AE101" s="57" t="e">
        <f ca="1">IF(#REF!,12,IF(OFFSET(#REF!,-1,0)&gt;0,OFFSET(#REF!,-1,0)-1,0))</f>
        <v>#REF!</v>
      </c>
      <c r="AF101" s="57" t="e">
        <f ca="1">IF(#REF!,12,IF(OFFSET(#REF!,-1,0)&gt;0,OFFSET(#REF!,-1,0)-1,0))</f>
        <v>#REF!</v>
      </c>
      <c r="AG101" s="57" t="e">
        <f ca="1">IF(#REF!,12,IF(OFFSET(#REF!,-1,0)&gt;0,OFFSET(#REF!,-1,0)-1,0))</f>
        <v>#REF!</v>
      </c>
      <c r="AH101" s="57" t="e">
        <f ca="1">IF(#REF!,12,IF(OFFSET(#REF!,-1,0)&gt;0,OFFSET(#REF!,-1,0)-1,0))</f>
        <v>#REF!</v>
      </c>
      <c r="AI101" s="57" t="e">
        <f ca="1">IF(#REF!,12,IF(OFFSET(#REF!,-1,0)&gt;0,OFFSET(#REF!,-1,0)-1,0))</f>
        <v>#REF!</v>
      </c>
      <c r="AJ101" s="57" t="e">
        <f ca="1">IF(#REF!,12,IF(OFFSET(#REF!,-1,0)&gt;0,OFFSET(#REF!,-1,0)-1,0))</f>
        <v>#REF!</v>
      </c>
      <c r="AK101" s="57" t="e">
        <f ca="1">IF(#REF!,12,IF(OFFSET(#REF!,-1,0)&gt;0,OFFSET(#REF!,-1,0)-1,0))</f>
        <v>#REF!</v>
      </c>
      <c r="AL101" s="57" t="e">
        <f ca="1">IF(#REF!,12,IF(OFFSET(#REF!,-1,0)&gt;0,OFFSET(#REF!,-1,0)-1,0))</f>
        <v>#REF!</v>
      </c>
      <c r="AM101" s="57" t="e">
        <f ca="1">IF(#REF!,12,IF(OFFSET(#REF!,-1,0)&gt;0,OFFSET(#REF!,-1,0)-1,0))</f>
        <v>#REF!</v>
      </c>
      <c r="AN101" s="57" t="e">
        <f ca="1">IF(#REF!,12,IF(OFFSET(#REF!,-1,0)&gt;0,OFFSET(#REF!,-1,0)-1,0))</f>
        <v>#REF!</v>
      </c>
      <c r="AO101" s="57" t="e">
        <f ca="1">IF(#REF!,12,IF(OFFSET(#REF!,-1,0)&gt;0,OFFSET(#REF!,-1,0)-1,0))</f>
        <v>#REF!</v>
      </c>
    </row>
    <row r="102" spans="1:41" x14ac:dyDescent="0.25">
      <c r="A102" s="130" t="e">
        <f>#REF!</f>
        <v>#REF!</v>
      </c>
      <c r="B102" s="133" t="e">
        <f>#REF!</f>
        <v>#REF!</v>
      </c>
      <c r="C102" s="39" t="e">
        <f>#REF!</f>
        <v>#REF!</v>
      </c>
      <c r="D102" s="135" t="e">
        <f ca="1">MIN(1,OFFSET(#REF!,-1,0)+0.04+ROUNDDOWN(10*OFFSET(#REF!,-1,0),0)+ tech_2_7*OFFSET(#REF!,-1,0) + tech_5_6*OFFSET(#REF!,-1,0) )-#REF!</f>
        <v>#REF!</v>
      </c>
      <c r="E102" s="147" t="e">
        <f ca="1">OFFSET(#REF!,-1,0)+1/24</f>
        <v>#REF!</v>
      </c>
      <c r="F102" s="135" t="e">
        <f>#REF!</f>
        <v>#REF!</v>
      </c>
      <c r="G102" s="210"/>
      <c r="H102" s="210"/>
      <c r="I102" s="210"/>
      <c r="J102" s="210"/>
      <c r="K102" s="386"/>
      <c r="L102" s="210"/>
      <c r="M102" s="210"/>
      <c r="N102" s="210"/>
      <c r="O102" s="210"/>
      <c r="P102" s="210"/>
      <c r="Q102" s="210"/>
      <c r="R102" s="210"/>
      <c r="S102" s="210"/>
      <c r="T102" s="210"/>
      <c r="U102" s="210"/>
      <c r="V102" s="210"/>
      <c r="W102" s="134"/>
      <c r="X102" s="39" t="e">
        <f>(MAX(1-wg_spell_cost_cap,1-wg_spell_cost_red*ROUND(#REF!/#REF!,4))+ tech_3_9*#REF! + tech_6_2_2*#REF! )*(#REF!-#REF!*20)*(#REF!* Constants!$B$75 +#REF!* Constants!$B$76 +#REF!* Constants!$B$77 +#REF!* Constants!$B$79 +#REF!* Constants!$B$78  + SUM(#REF!)*Constants!$B$80*(1+tech_9_3*#REF!))</f>
        <v>#REF!</v>
      </c>
      <c r="Y102" s="135" t="e">
        <f>SUMIF(#REF!,1)*0.05</f>
        <v>#REF!</v>
      </c>
      <c r="Z102" s="134"/>
      <c r="AA102" s="57" t="e">
        <f ca="1">IF(#REF!,12,IF(OFFSET(#REF!,-1,0)&gt;0,OFFSET(#REF!,-1,0)-1,0))</f>
        <v>#REF!</v>
      </c>
      <c r="AB102" s="57" t="e">
        <f ca="1">IF(#REF!,12,IF(OFFSET(#REF!,-1,0)&gt;0,OFFSET(#REF!,-1,0)-1,0))</f>
        <v>#REF!</v>
      </c>
      <c r="AC102" s="57" t="e">
        <f ca="1">IF(#REF!,12,IF(OFFSET(#REF!,-1,0)&gt;0,OFFSET(#REF!,-1,0)-1,0))</f>
        <v>#REF!</v>
      </c>
      <c r="AD102" s="57" t="e">
        <f ca="1">IF(#REF!,12,IF(OFFSET(#REF!,-1,0)&gt;0,OFFSET(#REF!,-1,0)-1,0))</f>
        <v>#REF!</v>
      </c>
      <c r="AE102" s="57" t="e">
        <f ca="1">IF(#REF!,12,IF(OFFSET(#REF!,-1,0)&gt;0,OFFSET(#REF!,-1,0)-1,0))</f>
        <v>#REF!</v>
      </c>
      <c r="AF102" s="57" t="e">
        <f ca="1">IF(#REF!,12,IF(OFFSET(#REF!,-1,0)&gt;0,OFFSET(#REF!,-1,0)-1,0))</f>
        <v>#REF!</v>
      </c>
      <c r="AG102" s="57" t="e">
        <f ca="1">IF(#REF!,12,IF(OFFSET(#REF!,-1,0)&gt;0,OFFSET(#REF!,-1,0)-1,0))</f>
        <v>#REF!</v>
      </c>
      <c r="AH102" s="57" t="e">
        <f ca="1">IF(#REF!,12,IF(OFFSET(#REF!,-1,0)&gt;0,OFFSET(#REF!,-1,0)-1,0))</f>
        <v>#REF!</v>
      </c>
      <c r="AI102" s="57" t="e">
        <f ca="1">IF(#REF!,12,IF(OFFSET(#REF!,-1,0)&gt;0,OFFSET(#REF!,-1,0)-1,0))</f>
        <v>#REF!</v>
      </c>
      <c r="AJ102" s="57" t="e">
        <f ca="1">IF(#REF!,12,IF(OFFSET(#REF!,-1,0)&gt;0,OFFSET(#REF!,-1,0)-1,0))</f>
        <v>#REF!</v>
      </c>
      <c r="AK102" s="57" t="e">
        <f ca="1">IF(#REF!,12,IF(OFFSET(#REF!,-1,0)&gt;0,OFFSET(#REF!,-1,0)-1,0))</f>
        <v>#REF!</v>
      </c>
      <c r="AL102" s="57" t="e">
        <f ca="1">IF(#REF!,12,IF(OFFSET(#REF!,-1,0)&gt;0,OFFSET(#REF!,-1,0)-1,0))</f>
        <v>#REF!</v>
      </c>
      <c r="AM102" s="57" t="e">
        <f ca="1">IF(#REF!,12,IF(OFFSET(#REF!,-1,0)&gt;0,OFFSET(#REF!,-1,0)-1,0))</f>
        <v>#REF!</v>
      </c>
      <c r="AN102" s="57" t="e">
        <f ca="1">IF(#REF!,12,IF(OFFSET(#REF!,-1,0)&gt;0,OFFSET(#REF!,-1,0)-1,0))</f>
        <v>#REF!</v>
      </c>
      <c r="AO102" s="57" t="e">
        <f ca="1">IF(#REF!,12,IF(OFFSET(#REF!,-1,0)&gt;0,OFFSET(#REF!,-1,0)-1,0))</f>
        <v>#REF!</v>
      </c>
    </row>
    <row r="103" spans="1:41" x14ac:dyDescent="0.25">
      <c r="A103" s="130" t="e">
        <f>#REF!</f>
        <v>#REF!</v>
      </c>
      <c r="B103" s="133" t="e">
        <f>#REF!</f>
        <v>#REF!</v>
      </c>
      <c r="C103" s="39" t="e">
        <f>#REF!</f>
        <v>#REF!</v>
      </c>
      <c r="D103" s="135" t="e">
        <f ca="1">MIN(1,OFFSET(#REF!,-1,0)+0.04+ROUNDDOWN(10*OFFSET(#REF!,-1,0),0)+ tech_2_7*OFFSET(#REF!,-1,0) + tech_5_6*OFFSET(#REF!,-1,0) )-#REF!</f>
        <v>#REF!</v>
      </c>
      <c r="E103" s="147" t="e">
        <f ca="1">OFFSET(#REF!,-1,0)+1/24</f>
        <v>#REF!</v>
      </c>
      <c r="F103" s="135" t="e">
        <f>#REF!</f>
        <v>#REF!</v>
      </c>
      <c r="G103" s="210"/>
      <c r="H103" s="210"/>
      <c r="I103" s="210"/>
      <c r="J103" s="210"/>
      <c r="K103" s="386"/>
      <c r="L103" s="210"/>
      <c r="M103" s="210"/>
      <c r="N103" s="210"/>
      <c r="O103" s="210"/>
      <c r="P103" s="210"/>
      <c r="Q103" s="210"/>
      <c r="R103" s="210"/>
      <c r="S103" s="210"/>
      <c r="T103" s="210"/>
      <c r="U103" s="210"/>
      <c r="V103" s="210"/>
      <c r="W103" s="134"/>
      <c r="X103" s="39" t="e">
        <f>(MAX(1-wg_spell_cost_cap,1-wg_spell_cost_red*ROUND(#REF!/#REF!,4))+ tech_3_9*#REF! + tech_6_2_2*#REF! )*(#REF!-#REF!*20)*(#REF!* Constants!$B$75 +#REF!* Constants!$B$76 +#REF!* Constants!$B$77 +#REF!* Constants!$B$79 +#REF!* Constants!$B$78  + SUM(#REF!)*Constants!$B$80*(1+tech_9_3*#REF!))</f>
        <v>#REF!</v>
      </c>
      <c r="Y103" s="135" t="e">
        <f>SUMIF(#REF!,1)*0.05</f>
        <v>#REF!</v>
      </c>
      <c r="Z103" s="134"/>
      <c r="AA103" s="57" t="e">
        <f ca="1">IF(#REF!,12,IF(OFFSET(#REF!,-1,0)&gt;0,OFFSET(#REF!,-1,0)-1,0))</f>
        <v>#REF!</v>
      </c>
      <c r="AB103" s="57" t="e">
        <f ca="1">IF(#REF!,12,IF(OFFSET(#REF!,-1,0)&gt;0,OFFSET(#REF!,-1,0)-1,0))</f>
        <v>#REF!</v>
      </c>
      <c r="AC103" s="57" t="e">
        <f ca="1">IF(#REF!,12,IF(OFFSET(#REF!,-1,0)&gt;0,OFFSET(#REF!,-1,0)-1,0))</f>
        <v>#REF!</v>
      </c>
      <c r="AD103" s="57" t="e">
        <f ca="1">IF(#REF!,12,IF(OFFSET(#REF!,-1,0)&gt;0,OFFSET(#REF!,-1,0)-1,0))</f>
        <v>#REF!</v>
      </c>
      <c r="AE103" s="57" t="e">
        <f ca="1">IF(#REF!,12,IF(OFFSET(#REF!,-1,0)&gt;0,OFFSET(#REF!,-1,0)-1,0))</f>
        <v>#REF!</v>
      </c>
      <c r="AF103" s="57" t="e">
        <f ca="1">IF(#REF!,12,IF(OFFSET(#REF!,-1,0)&gt;0,OFFSET(#REF!,-1,0)-1,0))</f>
        <v>#REF!</v>
      </c>
      <c r="AG103" s="57" t="e">
        <f ca="1">IF(#REF!,12,IF(OFFSET(#REF!,-1,0)&gt;0,OFFSET(#REF!,-1,0)-1,0))</f>
        <v>#REF!</v>
      </c>
      <c r="AH103" s="57" t="e">
        <f ca="1">IF(#REF!,12,IF(OFFSET(#REF!,-1,0)&gt;0,OFFSET(#REF!,-1,0)-1,0))</f>
        <v>#REF!</v>
      </c>
      <c r="AI103" s="57" t="e">
        <f ca="1">IF(#REF!,12,IF(OFFSET(#REF!,-1,0)&gt;0,OFFSET(#REF!,-1,0)-1,0))</f>
        <v>#REF!</v>
      </c>
      <c r="AJ103" s="57" t="e">
        <f ca="1">IF(#REF!,12,IF(OFFSET(#REF!,-1,0)&gt;0,OFFSET(#REF!,-1,0)-1,0))</f>
        <v>#REF!</v>
      </c>
      <c r="AK103" s="57" t="e">
        <f ca="1">IF(#REF!,12,IF(OFFSET(#REF!,-1,0)&gt;0,OFFSET(#REF!,-1,0)-1,0))</f>
        <v>#REF!</v>
      </c>
      <c r="AL103" s="57" t="e">
        <f ca="1">IF(#REF!,12,IF(OFFSET(#REF!,-1,0)&gt;0,OFFSET(#REF!,-1,0)-1,0))</f>
        <v>#REF!</v>
      </c>
      <c r="AM103" s="57" t="e">
        <f ca="1">IF(#REF!,12,IF(OFFSET(#REF!,-1,0)&gt;0,OFFSET(#REF!,-1,0)-1,0))</f>
        <v>#REF!</v>
      </c>
      <c r="AN103" s="57" t="e">
        <f ca="1">IF(#REF!,12,IF(OFFSET(#REF!,-1,0)&gt;0,OFFSET(#REF!,-1,0)-1,0))</f>
        <v>#REF!</v>
      </c>
      <c r="AO103" s="57" t="e">
        <f ca="1">IF(#REF!,12,IF(OFFSET(#REF!,-1,0)&gt;0,OFFSET(#REF!,-1,0)-1,0))</f>
        <v>#REF!</v>
      </c>
    </row>
    <row r="104" spans="1:41" x14ac:dyDescent="0.25">
      <c r="A104" s="130" t="e">
        <f>#REF!</f>
        <v>#REF!</v>
      </c>
      <c r="B104" s="133" t="e">
        <f>#REF!</f>
        <v>#REF!</v>
      </c>
      <c r="C104" s="39" t="e">
        <f>#REF!</f>
        <v>#REF!</v>
      </c>
      <c r="D104" s="135" t="e">
        <f ca="1">MIN(1,OFFSET(#REF!,-1,0)+0.04+ROUNDDOWN(10*OFFSET(#REF!,-1,0),0)+ tech_2_7*OFFSET(#REF!,-1,0) + tech_5_6*OFFSET(#REF!,-1,0) )-#REF!</f>
        <v>#REF!</v>
      </c>
      <c r="E104" s="147" t="e">
        <f ca="1">OFFSET(#REF!,-1,0)+1/24</f>
        <v>#REF!</v>
      </c>
      <c r="F104" s="135" t="e">
        <f>#REF!</f>
        <v>#REF!</v>
      </c>
      <c r="G104" s="210"/>
      <c r="H104" s="210"/>
      <c r="I104" s="210"/>
      <c r="J104" s="210"/>
      <c r="K104" s="386"/>
      <c r="L104" s="210"/>
      <c r="M104" s="210"/>
      <c r="N104" s="210"/>
      <c r="O104" s="210"/>
      <c r="P104" s="210"/>
      <c r="Q104" s="210"/>
      <c r="R104" s="210"/>
      <c r="S104" s="210"/>
      <c r="T104" s="210"/>
      <c r="U104" s="210"/>
      <c r="V104" s="210"/>
      <c r="W104" s="134"/>
      <c r="X104" s="39" t="e">
        <f>(MAX(1-wg_spell_cost_cap,1-wg_spell_cost_red*ROUND(#REF!/#REF!,4))+ tech_3_9*#REF! + tech_6_2_2*#REF! )*(#REF!-#REF!*20)*(#REF!* Constants!$B$75 +#REF!* Constants!$B$76 +#REF!* Constants!$B$77 +#REF!* Constants!$B$79 +#REF!* Constants!$B$78  + SUM(#REF!)*Constants!$B$80*(1+tech_9_3*#REF!))</f>
        <v>#REF!</v>
      </c>
      <c r="Y104" s="135" t="e">
        <f>SUMIF(#REF!,1)*0.05</f>
        <v>#REF!</v>
      </c>
      <c r="Z104" s="134"/>
      <c r="AA104" s="57" t="e">
        <f ca="1">IF(#REF!,12,IF(OFFSET(#REF!,-1,0)&gt;0,OFFSET(#REF!,-1,0)-1,0))</f>
        <v>#REF!</v>
      </c>
      <c r="AB104" s="57" t="e">
        <f ca="1">IF(#REF!,12,IF(OFFSET(#REF!,-1,0)&gt;0,OFFSET(#REF!,-1,0)-1,0))</f>
        <v>#REF!</v>
      </c>
      <c r="AC104" s="57" t="e">
        <f ca="1">IF(#REF!,12,IF(OFFSET(#REF!,-1,0)&gt;0,OFFSET(#REF!,-1,0)-1,0))</f>
        <v>#REF!</v>
      </c>
      <c r="AD104" s="57" t="e">
        <f ca="1">IF(#REF!,12,IF(OFFSET(#REF!,-1,0)&gt;0,OFFSET(#REF!,-1,0)-1,0))</f>
        <v>#REF!</v>
      </c>
      <c r="AE104" s="57" t="e">
        <f ca="1">IF(#REF!,12,IF(OFFSET(#REF!,-1,0)&gt;0,OFFSET(#REF!,-1,0)-1,0))</f>
        <v>#REF!</v>
      </c>
      <c r="AF104" s="57" t="e">
        <f ca="1">IF(#REF!,12,IF(OFFSET(#REF!,-1,0)&gt;0,OFFSET(#REF!,-1,0)-1,0))</f>
        <v>#REF!</v>
      </c>
      <c r="AG104" s="57" t="e">
        <f ca="1">IF(#REF!,12,IF(OFFSET(#REF!,-1,0)&gt;0,OFFSET(#REF!,-1,0)-1,0))</f>
        <v>#REF!</v>
      </c>
      <c r="AH104" s="57" t="e">
        <f ca="1">IF(#REF!,12,IF(OFFSET(#REF!,-1,0)&gt;0,OFFSET(#REF!,-1,0)-1,0))</f>
        <v>#REF!</v>
      </c>
      <c r="AI104" s="57" t="e">
        <f ca="1">IF(#REF!,12,IF(OFFSET(#REF!,-1,0)&gt;0,OFFSET(#REF!,-1,0)-1,0))</f>
        <v>#REF!</v>
      </c>
      <c r="AJ104" s="57" t="e">
        <f ca="1">IF(#REF!,12,IF(OFFSET(#REF!,-1,0)&gt;0,OFFSET(#REF!,-1,0)-1,0))</f>
        <v>#REF!</v>
      </c>
      <c r="AK104" s="57" t="e">
        <f ca="1">IF(#REF!,12,IF(OFFSET(#REF!,-1,0)&gt;0,OFFSET(#REF!,-1,0)-1,0))</f>
        <v>#REF!</v>
      </c>
      <c r="AL104" s="57" t="e">
        <f ca="1">IF(#REF!,12,IF(OFFSET(#REF!,-1,0)&gt;0,OFFSET(#REF!,-1,0)-1,0))</f>
        <v>#REF!</v>
      </c>
      <c r="AM104" s="57" t="e">
        <f ca="1">IF(#REF!,12,IF(OFFSET(#REF!,-1,0)&gt;0,OFFSET(#REF!,-1,0)-1,0))</f>
        <v>#REF!</v>
      </c>
      <c r="AN104" s="57" t="e">
        <f ca="1">IF(#REF!,12,IF(OFFSET(#REF!,-1,0)&gt;0,OFFSET(#REF!,-1,0)-1,0))</f>
        <v>#REF!</v>
      </c>
      <c r="AO104" s="57" t="e">
        <f ca="1">IF(#REF!,12,IF(OFFSET(#REF!,-1,0)&gt;0,OFFSET(#REF!,-1,0)-1,0))</f>
        <v>#REF!</v>
      </c>
    </row>
    <row r="105" spans="1:41" x14ac:dyDescent="0.25">
      <c r="A105" s="130" t="e">
        <f>#REF!</f>
        <v>#REF!</v>
      </c>
      <c r="B105" s="133" t="e">
        <f>#REF!</f>
        <v>#REF!</v>
      </c>
      <c r="C105" s="39" t="e">
        <f>#REF!</f>
        <v>#REF!</v>
      </c>
      <c r="D105" s="135" t="e">
        <f ca="1">MIN(1,OFFSET(#REF!,-1,0)+0.04+ROUNDDOWN(10*OFFSET(#REF!,-1,0),0)+ tech_2_7*OFFSET(#REF!,-1,0) + tech_5_6*OFFSET(#REF!,-1,0) )-#REF!</f>
        <v>#REF!</v>
      </c>
      <c r="E105" s="147" t="e">
        <f ca="1">OFFSET(#REF!,-1,0)+1/24</f>
        <v>#REF!</v>
      </c>
      <c r="F105" s="135" t="e">
        <f>#REF!</f>
        <v>#REF!</v>
      </c>
      <c r="G105" s="210"/>
      <c r="H105" s="210"/>
      <c r="I105" s="210"/>
      <c r="J105" s="210"/>
      <c r="K105" s="386"/>
      <c r="L105" s="210"/>
      <c r="M105" s="210"/>
      <c r="N105" s="210"/>
      <c r="O105" s="210"/>
      <c r="P105" s="210"/>
      <c r="Q105" s="210"/>
      <c r="R105" s="210"/>
      <c r="S105" s="210"/>
      <c r="T105" s="210"/>
      <c r="U105" s="210"/>
      <c r="V105" s="210"/>
      <c r="W105" s="134"/>
      <c r="X105" s="39" t="e">
        <f>(MAX(1-wg_spell_cost_cap,1-wg_spell_cost_red*ROUND(#REF!/#REF!,4))+ tech_3_9*#REF! + tech_6_2_2*#REF! )*(#REF!-#REF!*20)*(#REF!* Constants!$B$75 +#REF!* Constants!$B$76 +#REF!* Constants!$B$77 +#REF!* Constants!$B$79 +#REF!* Constants!$B$78  + SUM(#REF!)*Constants!$B$80*(1+tech_9_3*#REF!))</f>
        <v>#REF!</v>
      </c>
      <c r="Y105" s="135" t="e">
        <f>SUMIF(#REF!,1)*0.05</f>
        <v>#REF!</v>
      </c>
      <c r="Z105" s="134"/>
      <c r="AA105" s="57" t="e">
        <f ca="1">IF(#REF!,12,IF(OFFSET(#REF!,-1,0)&gt;0,OFFSET(#REF!,-1,0)-1,0))</f>
        <v>#REF!</v>
      </c>
      <c r="AB105" s="57" t="e">
        <f ca="1">IF(#REF!,12,IF(OFFSET(#REF!,-1,0)&gt;0,OFFSET(#REF!,-1,0)-1,0))</f>
        <v>#REF!</v>
      </c>
      <c r="AC105" s="57" t="e">
        <f ca="1">IF(#REF!,12,IF(OFFSET(#REF!,-1,0)&gt;0,OFFSET(#REF!,-1,0)-1,0))</f>
        <v>#REF!</v>
      </c>
      <c r="AD105" s="57" t="e">
        <f ca="1">IF(#REF!,12,IF(OFFSET(#REF!,-1,0)&gt;0,OFFSET(#REF!,-1,0)-1,0))</f>
        <v>#REF!</v>
      </c>
      <c r="AE105" s="57" t="e">
        <f ca="1">IF(#REF!,12,IF(OFFSET(#REF!,-1,0)&gt;0,OFFSET(#REF!,-1,0)-1,0))</f>
        <v>#REF!</v>
      </c>
      <c r="AF105" s="57" t="e">
        <f ca="1">IF(#REF!,12,IF(OFFSET(#REF!,-1,0)&gt;0,OFFSET(#REF!,-1,0)-1,0))</f>
        <v>#REF!</v>
      </c>
      <c r="AG105" s="57" t="e">
        <f ca="1">IF(#REF!,12,IF(OFFSET(#REF!,-1,0)&gt;0,OFFSET(#REF!,-1,0)-1,0))</f>
        <v>#REF!</v>
      </c>
      <c r="AH105" s="57" t="e">
        <f ca="1">IF(#REF!,12,IF(OFFSET(#REF!,-1,0)&gt;0,OFFSET(#REF!,-1,0)-1,0))</f>
        <v>#REF!</v>
      </c>
      <c r="AI105" s="57" t="e">
        <f ca="1">IF(#REF!,12,IF(OFFSET(#REF!,-1,0)&gt;0,OFFSET(#REF!,-1,0)-1,0))</f>
        <v>#REF!</v>
      </c>
      <c r="AJ105" s="57" t="e">
        <f ca="1">IF(#REF!,12,IF(OFFSET(#REF!,-1,0)&gt;0,OFFSET(#REF!,-1,0)-1,0))</f>
        <v>#REF!</v>
      </c>
      <c r="AK105" s="57" t="e">
        <f ca="1">IF(#REF!,12,IF(OFFSET(#REF!,-1,0)&gt;0,OFFSET(#REF!,-1,0)-1,0))</f>
        <v>#REF!</v>
      </c>
      <c r="AL105" s="57" t="e">
        <f ca="1">IF(#REF!,12,IF(OFFSET(#REF!,-1,0)&gt;0,OFFSET(#REF!,-1,0)-1,0))</f>
        <v>#REF!</v>
      </c>
      <c r="AM105" s="57" t="e">
        <f ca="1">IF(#REF!,12,IF(OFFSET(#REF!,-1,0)&gt;0,OFFSET(#REF!,-1,0)-1,0))</f>
        <v>#REF!</v>
      </c>
      <c r="AN105" s="57" t="e">
        <f ca="1">IF(#REF!,12,IF(OFFSET(#REF!,-1,0)&gt;0,OFFSET(#REF!,-1,0)-1,0))</f>
        <v>#REF!</v>
      </c>
      <c r="AO105" s="57" t="e">
        <f ca="1">IF(#REF!,12,IF(OFFSET(#REF!,-1,0)&gt;0,OFFSET(#REF!,-1,0)-1,0))</f>
        <v>#REF!</v>
      </c>
    </row>
    <row r="106" spans="1:41" x14ac:dyDescent="0.25">
      <c r="A106" s="130" t="e">
        <f>#REF!</f>
        <v>#REF!</v>
      </c>
      <c r="B106" s="133" t="e">
        <f>#REF!</f>
        <v>#REF!</v>
      </c>
      <c r="C106" s="39" t="e">
        <f>#REF!</f>
        <v>#REF!</v>
      </c>
      <c r="D106" s="135" t="e">
        <f ca="1">MIN(1,OFFSET(#REF!,-1,0)+0.04+ROUNDDOWN(10*OFFSET(#REF!,-1,0),0)+ tech_2_7*OFFSET(#REF!,-1,0) + tech_5_6*OFFSET(#REF!,-1,0) )-#REF!</f>
        <v>#REF!</v>
      </c>
      <c r="E106" s="147" t="e">
        <f ca="1">OFFSET(#REF!,-1,0)+1/24</f>
        <v>#REF!</v>
      </c>
      <c r="F106" s="135" t="e">
        <f>#REF!</f>
        <v>#REF!</v>
      </c>
      <c r="G106" s="210"/>
      <c r="H106" s="210"/>
      <c r="I106" s="210"/>
      <c r="J106" s="210"/>
      <c r="K106" s="386"/>
      <c r="L106" s="210"/>
      <c r="M106" s="210"/>
      <c r="N106" s="210"/>
      <c r="O106" s="210"/>
      <c r="P106" s="210"/>
      <c r="Q106" s="210"/>
      <c r="R106" s="210"/>
      <c r="S106" s="210"/>
      <c r="T106" s="210"/>
      <c r="U106" s="210"/>
      <c r="V106" s="210"/>
      <c r="W106" s="134"/>
      <c r="X106" s="39" t="e">
        <f>(MAX(1-wg_spell_cost_cap,1-wg_spell_cost_red*ROUND(#REF!/#REF!,4))+ tech_3_9*#REF! + tech_6_2_2*#REF! )*(#REF!-#REF!*20)*(#REF!* Constants!$B$75 +#REF!* Constants!$B$76 +#REF!* Constants!$B$77 +#REF!* Constants!$B$79 +#REF!* Constants!$B$78  + SUM(#REF!)*Constants!$B$80*(1+tech_9_3*#REF!))</f>
        <v>#REF!</v>
      </c>
      <c r="Y106" s="135" t="e">
        <f>SUMIF(#REF!,1)*0.05</f>
        <v>#REF!</v>
      </c>
      <c r="Z106" s="134"/>
      <c r="AA106" s="57" t="e">
        <f ca="1">IF(#REF!,12,IF(OFFSET(#REF!,-1,0)&gt;0,OFFSET(#REF!,-1,0)-1,0))</f>
        <v>#REF!</v>
      </c>
      <c r="AB106" s="57" t="e">
        <f ca="1">IF(#REF!,12,IF(OFFSET(#REF!,-1,0)&gt;0,OFFSET(#REF!,-1,0)-1,0))</f>
        <v>#REF!</v>
      </c>
      <c r="AC106" s="57" t="e">
        <f ca="1">IF(#REF!,12,IF(OFFSET(#REF!,-1,0)&gt;0,OFFSET(#REF!,-1,0)-1,0))</f>
        <v>#REF!</v>
      </c>
      <c r="AD106" s="57" t="e">
        <f ca="1">IF(#REF!,12,IF(OFFSET(#REF!,-1,0)&gt;0,OFFSET(#REF!,-1,0)-1,0))</f>
        <v>#REF!</v>
      </c>
      <c r="AE106" s="57" t="e">
        <f ca="1">IF(#REF!,12,IF(OFFSET(#REF!,-1,0)&gt;0,OFFSET(#REF!,-1,0)-1,0))</f>
        <v>#REF!</v>
      </c>
      <c r="AF106" s="57" t="e">
        <f ca="1">IF(#REF!,12,IF(OFFSET(#REF!,-1,0)&gt;0,OFFSET(#REF!,-1,0)-1,0))</f>
        <v>#REF!</v>
      </c>
      <c r="AG106" s="57" t="e">
        <f ca="1">IF(#REF!,12,IF(OFFSET(#REF!,-1,0)&gt;0,OFFSET(#REF!,-1,0)-1,0))</f>
        <v>#REF!</v>
      </c>
      <c r="AH106" s="57" t="e">
        <f ca="1">IF(#REF!,12,IF(OFFSET(#REF!,-1,0)&gt;0,OFFSET(#REF!,-1,0)-1,0))</f>
        <v>#REF!</v>
      </c>
      <c r="AI106" s="57" t="e">
        <f ca="1">IF(#REF!,12,IF(OFFSET(#REF!,-1,0)&gt;0,OFFSET(#REF!,-1,0)-1,0))</f>
        <v>#REF!</v>
      </c>
      <c r="AJ106" s="57" t="e">
        <f ca="1">IF(#REF!,12,IF(OFFSET(#REF!,-1,0)&gt;0,OFFSET(#REF!,-1,0)-1,0))</f>
        <v>#REF!</v>
      </c>
      <c r="AK106" s="57" t="e">
        <f ca="1">IF(#REF!,12,IF(OFFSET(#REF!,-1,0)&gt;0,OFFSET(#REF!,-1,0)-1,0))</f>
        <v>#REF!</v>
      </c>
      <c r="AL106" s="57" t="e">
        <f ca="1">IF(#REF!,12,IF(OFFSET(#REF!,-1,0)&gt;0,OFFSET(#REF!,-1,0)-1,0))</f>
        <v>#REF!</v>
      </c>
      <c r="AM106" s="57" t="e">
        <f ca="1">IF(#REF!,12,IF(OFFSET(#REF!,-1,0)&gt;0,OFFSET(#REF!,-1,0)-1,0))</f>
        <v>#REF!</v>
      </c>
      <c r="AN106" s="57" t="e">
        <f ca="1">IF(#REF!,12,IF(OFFSET(#REF!,-1,0)&gt;0,OFFSET(#REF!,-1,0)-1,0))</f>
        <v>#REF!</v>
      </c>
      <c r="AO106" s="57" t="e">
        <f ca="1">IF(#REF!,12,IF(OFFSET(#REF!,-1,0)&gt;0,OFFSET(#REF!,-1,0)-1,0))</f>
        <v>#REF!</v>
      </c>
    </row>
    <row r="107" spans="1:41" x14ac:dyDescent="0.25">
      <c r="A107" s="130" t="e">
        <f>#REF!</f>
        <v>#REF!</v>
      </c>
      <c r="B107" s="133" t="e">
        <f>#REF!</f>
        <v>#REF!</v>
      </c>
      <c r="C107" s="39" t="e">
        <f>#REF!</f>
        <v>#REF!</v>
      </c>
      <c r="D107" s="135" t="e">
        <f ca="1">MIN(1,OFFSET(#REF!,-1,0)+0.04+ROUNDDOWN(10*OFFSET(#REF!,-1,0),0)+ tech_2_7*OFFSET(#REF!,-1,0) + tech_5_6*OFFSET(#REF!,-1,0) )-#REF!</f>
        <v>#REF!</v>
      </c>
      <c r="E107" s="147" t="e">
        <f ca="1">OFFSET(#REF!,-1,0)+1/24</f>
        <v>#REF!</v>
      </c>
      <c r="F107" s="135" t="e">
        <f>#REF!</f>
        <v>#REF!</v>
      </c>
      <c r="G107" s="210"/>
      <c r="H107" s="210"/>
      <c r="I107" s="210"/>
      <c r="J107" s="210"/>
      <c r="K107" s="386"/>
      <c r="L107" s="210"/>
      <c r="M107" s="210"/>
      <c r="N107" s="210"/>
      <c r="O107" s="210"/>
      <c r="P107" s="210"/>
      <c r="Q107" s="210"/>
      <c r="R107" s="210"/>
      <c r="S107" s="210"/>
      <c r="T107" s="210"/>
      <c r="U107" s="210"/>
      <c r="V107" s="210"/>
      <c r="W107" s="134"/>
      <c r="X107" s="39" t="e">
        <f>(MAX(1-wg_spell_cost_cap,1-wg_spell_cost_red*ROUND(#REF!/#REF!,4))+ tech_3_9*#REF! + tech_6_2_2*#REF! )*(#REF!-#REF!*20)*(#REF!* Constants!$B$75 +#REF!* Constants!$B$76 +#REF!* Constants!$B$77 +#REF!* Constants!$B$79 +#REF!* Constants!$B$78  + SUM(#REF!)*Constants!$B$80*(1+tech_9_3*#REF!))</f>
        <v>#REF!</v>
      </c>
      <c r="Y107" s="135" t="e">
        <f>SUMIF(#REF!,1)*0.05</f>
        <v>#REF!</v>
      </c>
      <c r="Z107" s="134"/>
      <c r="AA107" s="57" t="e">
        <f ca="1">IF(#REF!,12,IF(OFFSET(#REF!,-1,0)&gt;0,OFFSET(#REF!,-1,0)-1,0))</f>
        <v>#REF!</v>
      </c>
      <c r="AB107" s="57" t="e">
        <f ca="1">IF(#REF!,12,IF(OFFSET(#REF!,-1,0)&gt;0,OFFSET(#REF!,-1,0)-1,0))</f>
        <v>#REF!</v>
      </c>
      <c r="AC107" s="57" t="e">
        <f ca="1">IF(#REF!,12,IF(OFFSET(#REF!,-1,0)&gt;0,OFFSET(#REF!,-1,0)-1,0))</f>
        <v>#REF!</v>
      </c>
      <c r="AD107" s="57" t="e">
        <f ca="1">IF(#REF!,12,IF(OFFSET(#REF!,-1,0)&gt;0,OFFSET(#REF!,-1,0)-1,0))</f>
        <v>#REF!</v>
      </c>
      <c r="AE107" s="57" t="e">
        <f ca="1">IF(#REF!,12,IF(OFFSET(#REF!,-1,0)&gt;0,OFFSET(#REF!,-1,0)-1,0))</f>
        <v>#REF!</v>
      </c>
      <c r="AF107" s="57" t="e">
        <f ca="1">IF(#REF!,12,IF(OFFSET(#REF!,-1,0)&gt;0,OFFSET(#REF!,-1,0)-1,0))</f>
        <v>#REF!</v>
      </c>
      <c r="AG107" s="57" t="e">
        <f ca="1">IF(#REF!,12,IF(OFFSET(#REF!,-1,0)&gt;0,OFFSET(#REF!,-1,0)-1,0))</f>
        <v>#REF!</v>
      </c>
      <c r="AH107" s="57" t="e">
        <f ca="1">IF(#REF!,12,IF(OFFSET(#REF!,-1,0)&gt;0,OFFSET(#REF!,-1,0)-1,0))</f>
        <v>#REF!</v>
      </c>
      <c r="AI107" s="57" t="e">
        <f ca="1">IF(#REF!,12,IF(OFFSET(#REF!,-1,0)&gt;0,OFFSET(#REF!,-1,0)-1,0))</f>
        <v>#REF!</v>
      </c>
      <c r="AJ107" s="57" t="e">
        <f ca="1">IF(#REF!,12,IF(OFFSET(#REF!,-1,0)&gt;0,OFFSET(#REF!,-1,0)-1,0))</f>
        <v>#REF!</v>
      </c>
      <c r="AK107" s="57" t="e">
        <f ca="1">IF(#REF!,12,IF(OFFSET(#REF!,-1,0)&gt;0,OFFSET(#REF!,-1,0)-1,0))</f>
        <v>#REF!</v>
      </c>
      <c r="AL107" s="57" t="e">
        <f ca="1">IF(#REF!,12,IF(OFFSET(#REF!,-1,0)&gt;0,OFFSET(#REF!,-1,0)-1,0))</f>
        <v>#REF!</v>
      </c>
      <c r="AM107" s="57" t="e">
        <f ca="1">IF(#REF!,12,IF(OFFSET(#REF!,-1,0)&gt;0,OFFSET(#REF!,-1,0)-1,0))</f>
        <v>#REF!</v>
      </c>
      <c r="AN107" s="57" t="e">
        <f ca="1">IF(#REF!,12,IF(OFFSET(#REF!,-1,0)&gt;0,OFFSET(#REF!,-1,0)-1,0))</f>
        <v>#REF!</v>
      </c>
      <c r="AO107" s="57" t="e">
        <f ca="1">IF(#REF!,12,IF(OFFSET(#REF!,-1,0)&gt;0,OFFSET(#REF!,-1,0)-1,0))</f>
        <v>#REF!</v>
      </c>
    </row>
    <row r="108" spans="1:41" x14ac:dyDescent="0.25">
      <c r="A108" s="130" t="e">
        <f>#REF!</f>
        <v>#REF!</v>
      </c>
      <c r="B108" s="133" t="e">
        <f>#REF!</f>
        <v>#REF!</v>
      </c>
      <c r="C108" s="39" t="e">
        <f>#REF!</f>
        <v>#REF!</v>
      </c>
      <c r="D108" s="135" t="e">
        <f ca="1">MIN(1,OFFSET(#REF!,-1,0)+0.04+ROUNDDOWN(10*OFFSET(#REF!,-1,0),0)+ tech_2_7*OFFSET(#REF!,-1,0) + tech_5_6*OFFSET(#REF!,-1,0) )-#REF!</f>
        <v>#REF!</v>
      </c>
      <c r="E108" s="147" t="e">
        <f ca="1">OFFSET(#REF!,-1,0)+1/24</f>
        <v>#REF!</v>
      </c>
      <c r="F108" s="135" t="e">
        <f>#REF!</f>
        <v>#REF!</v>
      </c>
      <c r="G108" s="210"/>
      <c r="H108" s="210"/>
      <c r="I108" s="210"/>
      <c r="J108" s="210"/>
      <c r="K108" s="386"/>
      <c r="L108" s="210"/>
      <c r="M108" s="210"/>
      <c r="N108" s="210"/>
      <c r="O108" s="210"/>
      <c r="P108" s="210"/>
      <c r="Q108" s="210"/>
      <c r="R108" s="210"/>
      <c r="S108" s="210"/>
      <c r="T108" s="210"/>
      <c r="U108" s="210"/>
      <c r="V108" s="210"/>
      <c r="W108" s="134"/>
      <c r="X108" s="39" t="e">
        <f>(MAX(1-wg_spell_cost_cap,1-wg_spell_cost_red*ROUND(#REF!/#REF!,4))+ tech_3_9*#REF! + tech_6_2_2*#REF! )*(#REF!-#REF!*20)*(#REF!* Constants!$B$75 +#REF!* Constants!$B$76 +#REF!* Constants!$B$77 +#REF!* Constants!$B$79 +#REF!* Constants!$B$78  + SUM(#REF!)*Constants!$B$80*(1+tech_9_3*#REF!))</f>
        <v>#REF!</v>
      </c>
      <c r="Y108" s="135" t="e">
        <f>SUMIF(#REF!,1)*0.05</f>
        <v>#REF!</v>
      </c>
      <c r="Z108" s="134"/>
      <c r="AA108" s="57" t="e">
        <f ca="1">IF(#REF!,12,IF(OFFSET(#REF!,-1,0)&gt;0,OFFSET(#REF!,-1,0)-1,0))</f>
        <v>#REF!</v>
      </c>
      <c r="AB108" s="57" t="e">
        <f ca="1">IF(#REF!,12,IF(OFFSET(#REF!,-1,0)&gt;0,OFFSET(#REF!,-1,0)-1,0))</f>
        <v>#REF!</v>
      </c>
      <c r="AC108" s="57" t="e">
        <f ca="1">IF(#REF!,12,IF(OFFSET(#REF!,-1,0)&gt;0,OFFSET(#REF!,-1,0)-1,0))</f>
        <v>#REF!</v>
      </c>
      <c r="AD108" s="57" t="e">
        <f ca="1">IF(#REF!,12,IF(OFFSET(#REF!,-1,0)&gt;0,OFFSET(#REF!,-1,0)-1,0))</f>
        <v>#REF!</v>
      </c>
      <c r="AE108" s="57" t="e">
        <f ca="1">IF(#REF!,12,IF(OFFSET(#REF!,-1,0)&gt;0,OFFSET(#REF!,-1,0)-1,0))</f>
        <v>#REF!</v>
      </c>
      <c r="AF108" s="57" t="e">
        <f ca="1">IF(#REF!,12,IF(OFFSET(#REF!,-1,0)&gt;0,OFFSET(#REF!,-1,0)-1,0))</f>
        <v>#REF!</v>
      </c>
      <c r="AG108" s="57" t="e">
        <f ca="1">IF(#REF!,12,IF(OFFSET(#REF!,-1,0)&gt;0,OFFSET(#REF!,-1,0)-1,0))</f>
        <v>#REF!</v>
      </c>
      <c r="AH108" s="57" t="e">
        <f ca="1">IF(#REF!,12,IF(OFFSET(#REF!,-1,0)&gt;0,OFFSET(#REF!,-1,0)-1,0))</f>
        <v>#REF!</v>
      </c>
      <c r="AI108" s="57" t="e">
        <f ca="1">IF(#REF!,12,IF(OFFSET(#REF!,-1,0)&gt;0,OFFSET(#REF!,-1,0)-1,0))</f>
        <v>#REF!</v>
      </c>
      <c r="AJ108" s="57" t="e">
        <f ca="1">IF(#REF!,12,IF(OFFSET(#REF!,-1,0)&gt;0,OFFSET(#REF!,-1,0)-1,0))</f>
        <v>#REF!</v>
      </c>
      <c r="AK108" s="57" t="e">
        <f ca="1">IF(#REF!,12,IF(OFFSET(#REF!,-1,0)&gt;0,OFFSET(#REF!,-1,0)-1,0))</f>
        <v>#REF!</v>
      </c>
      <c r="AL108" s="57" t="e">
        <f ca="1">IF(#REF!,12,IF(OFFSET(#REF!,-1,0)&gt;0,OFFSET(#REF!,-1,0)-1,0))</f>
        <v>#REF!</v>
      </c>
      <c r="AM108" s="57" t="e">
        <f ca="1">IF(#REF!,12,IF(OFFSET(#REF!,-1,0)&gt;0,OFFSET(#REF!,-1,0)-1,0))</f>
        <v>#REF!</v>
      </c>
      <c r="AN108" s="57" t="e">
        <f ca="1">IF(#REF!,12,IF(OFFSET(#REF!,-1,0)&gt;0,OFFSET(#REF!,-1,0)-1,0))</f>
        <v>#REF!</v>
      </c>
      <c r="AO108" s="57" t="e">
        <f ca="1">IF(#REF!,12,IF(OFFSET(#REF!,-1,0)&gt;0,OFFSET(#REF!,-1,0)-1,0))</f>
        <v>#REF!</v>
      </c>
    </row>
    <row r="109" spans="1:41" x14ac:dyDescent="0.25">
      <c r="A109" s="130" t="e">
        <f>#REF!</f>
        <v>#REF!</v>
      </c>
      <c r="B109" s="133" t="e">
        <f>#REF!</f>
        <v>#REF!</v>
      </c>
      <c r="C109" s="39" t="e">
        <f>#REF!</f>
        <v>#REF!</v>
      </c>
      <c r="D109" s="135" t="e">
        <f ca="1">MIN(1,OFFSET(#REF!,-1,0)+0.04+ROUNDDOWN(10*OFFSET(#REF!,-1,0),0)+ tech_2_7*OFFSET(#REF!,-1,0) + tech_5_6*OFFSET(#REF!,-1,0) )-#REF!</f>
        <v>#REF!</v>
      </c>
      <c r="E109" s="147" t="e">
        <f ca="1">OFFSET(#REF!,-1,0)+1/24</f>
        <v>#REF!</v>
      </c>
      <c r="F109" s="135" t="e">
        <f>#REF!</f>
        <v>#REF!</v>
      </c>
      <c r="G109" s="210"/>
      <c r="H109" s="210"/>
      <c r="I109" s="210"/>
      <c r="J109" s="210"/>
      <c r="K109" s="386"/>
      <c r="L109" s="210"/>
      <c r="M109" s="210"/>
      <c r="N109" s="210"/>
      <c r="O109" s="210"/>
      <c r="P109" s="210"/>
      <c r="Q109" s="210"/>
      <c r="R109" s="210"/>
      <c r="S109" s="210"/>
      <c r="T109" s="210"/>
      <c r="U109" s="210"/>
      <c r="V109" s="210"/>
      <c r="W109" s="134"/>
      <c r="X109" s="39" t="e">
        <f>(MAX(1-wg_spell_cost_cap,1-wg_spell_cost_red*ROUND(#REF!/#REF!,4))+ tech_3_9*#REF! + tech_6_2_2*#REF! )*(#REF!-#REF!*20)*(#REF!* Constants!$B$75 +#REF!* Constants!$B$76 +#REF!* Constants!$B$77 +#REF!* Constants!$B$79 +#REF!* Constants!$B$78  + SUM(#REF!)*Constants!$B$80*(1+tech_9_3*#REF!))</f>
        <v>#REF!</v>
      </c>
      <c r="Y109" s="135" t="e">
        <f>SUMIF(#REF!,1)*0.05</f>
        <v>#REF!</v>
      </c>
      <c r="Z109" s="134"/>
      <c r="AA109" s="57" t="e">
        <f ca="1">IF(#REF!,12,IF(OFFSET(#REF!,-1,0)&gt;0,OFFSET(#REF!,-1,0)-1,0))</f>
        <v>#REF!</v>
      </c>
      <c r="AB109" s="57" t="e">
        <f ca="1">IF(#REF!,12,IF(OFFSET(#REF!,-1,0)&gt;0,OFFSET(#REF!,-1,0)-1,0))</f>
        <v>#REF!</v>
      </c>
      <c r="AC109" s="57" t="e">
        <f ca="1">IF(#REF!,12,IF(OFFSET(#REF!,-1,0)&gt;0,OFFSET(#REF!,-1,0)-1,0))</f>
        <v>#REF!</v>
      </c>
      <c r="AD109" s="57" t="e">
        <f ca="1">IF(#REF!,12,IF(OFFSET(#REF!,-1,0)&gt;0,OFFSET(#REF!,-1,0)-1,0))</f>
        <v>#REF!</v>
      </c>
      <c r="AE109" s="57" t="e">
        <f ca="1">IF(#REF!,12,IF(OFFSET(#REF!,-1,0)&gt;0,OFFSET(#REF!,-1,0)-1,0))</f>
        <v>#REF!</v>
      </c>
      <c r="AF109" s="57" t="e">
        <f ca="1">IF(#REF!,12,IF(OFFSET(#REF!,-1,0)&gt;0,OFFSET(#REF!,-1,0)-1,0))</f>
        <v>#REF!</v>
      </c>
      <c r="AG109" s="57" t="e">
        <f ca="1">IF(#REF!,12,IF(OFFSET(#REF!,-1,0)&gt;0,OFFSET(#REF!,-1,0)-1,0))</f>
        <v>#REF!</v>
      </c>
      <c r="AH109" s="57" t="e">
        <f ca="1">IF(#REF!,12,IF(OFFSET(#REF!,-1,0)&gt;0,OFFSET(#REF!,-1,0)-1,0))</f>
        <v>#REF!</v>
      </c>
      <c r="AI109" s="57" t="e">
        <f ca="1">IF(#REF!,12,IF(OFFSET(#REF!,-1,0)&gt;0,OFFSET(#REF!,-1,0)-1,0))</f>
        <v>#REF!</v>
      </c>
      <c r="AJ109" s="57" t="e">
        <f ca="1">IF(#REF!,12,IF(OFFSET(#REF!,-1,0)&gt;0,OFFSET(#REF!,-1,0)-1,0))</f>
        <v>#REF!</v>
      </c>
      <c r="AK109" s="57" t="e">
        <f ca="1">IF(#REF!,12,IF(OFFSET(#REF!,-1,0)&gt;0,OFFSET(#REF!,-1,0)-1,0))</f>
        <v>#REF!</v>
      </c>
      <c r="AL109" s="57" t="e">
        <f ca="1">IF(#REF!,12,IF(OFFSET(#REF!,-1,0)&gt;0,OFFSET(#REF!,-1,0)-1,0))</f>
        <v>#REF!</v>
      </c>
      <c r="AM109" s="57" t="e">
        <f ca="1">IF(#REF!,12,IF(OFFSET(#REF!,-1,0)&gt;0,OFFSET(#REF!,-1,0)-1,0))</f>
        <v>#REF!</v>
      </c>
      <c r="AN109" s="57" t="e">
        <f ca="1">IF(#REF!,12,IF(OFFSET(#REF!,-1,0)&gt;0,OFFSET(#REF!,-1,0)-1,0))</f>
        <v>#REF!</v>
      </c>
      <c r="AO109" s="57" t="e">
        <f ca="1">IF(#REF!,12,IF(OFFSET(#REF!,-1,0)&gt;0,OFFSET(#REF!,-1,0)-1,0))</f>
        <v>#REF!</v>
      </c>
    </row>
    <row r="110" spans="1:41" x14ac:dyDescent="0.25">
      <c r="A110" s="130" t="e">
        <f>#REF!</f>
        <v>#REF!</v>
      </c>
      <c r="B110" s="133" t="e">
        <f>#REF!</f>
        <v>#REF!</v>
      </c>
      <c r="C110" s="39" t="e">
        <f>#REF!</f>
        <v>#REF!</v>
      </c>
      <c r="D110" s="135" t="e">
        <f ca="1">MIN(1,OFFSET(#REF!,-1,0)+0.04+ROUNDDOWN(10*OFFSET(#REF!,-1,0),0)+ tech_2_7*OFFSET(#REF!,-1,0) + tech_5_6*OFFSET(#REF!,-1,0) )-#REF!</f>
        <v>#REF!</v>
      </c>
      <c r="E110" s="147" t="e">
        <f ca="1">OFFSET(#REF!,-1,0)+1/24</f>
        <v>#REF!</v>
      </c>
      <c r="F110" s="135" t="e">
        <f>#REF!</f>
        <v>#REF!</v>
      </c>
      <c r="G110" s="210"/>
      <c r="H110" s="210"/>
      <c r="I110" s="210"/>
      <c r="J110" s="210"/>
      <c r="K110" s="386"/>
      <c r="L110" s="210"/>
      <c r="M110" s="210"/>
      <c r="N110" s="210"/>
      <c r="O110" s="210"/>
      <c r="P110" s="210"/>
      <c r="Q110" s="210"/>
      <c r="R110" s="210"/>
      <c r="S110" s="210"/>
      <c r="T110" s="210"/>
      <c r="U110" s="210"/>
      <c r="V110" s="210"/>
      <c r="W110" s="134"/>
      <c r="X110" s="39" t="e">
        <f>(MAX(1-wg_spell_cost_cap,1-wg_spell_cost_red*ROUND(#REF!/#REF!,4))+ tech_3_9*#REF! + tech_6_2_2*#REF! )*(#REF!-#REF!*20)*(#REF!* Constants!$B$75 +#REF!* Constants!$B$76 +#REF!* Constants!$B$77 +#REF!* Constants!$B$79 +#REF!* Constants!$B$78  + SUM(#REF!)*Constants!$B$80*(1+tech_9_3*#REF!))</f>
        <v>#REF!</v>
      </c>
      <c r="Y110" s="135" t="e">
        <f>SUMIF(#REF!,1)*0.05</f>
        <v>#REF!</v>
      </c>
      <c r="Z110" s="134"/>
      <c r="AA110" s="57" t="e">
        <f ca="1">IF(#REF!,12,IF(OFFSET(#REF!,-1,0)&gt;0,OFFSET(#REF!,-1,0)-1,0))</f>
        <v>#REF!</v>
      </c>
      <c r="AB110" s="57" t="e">
        <f ca="1">IF(#REF!,12,IF(OFFSET(#REF!,-1,0)&gt;0,OFFSET(#REF!,-1,0)-1,0))</f>
        <v>#REF!</v>
      </c>
      <c r="AC110" s="57" t="e">
        <f ca="1">IF(#REF!,12,IF(OFFSET(#REF!,-1,0)&gt;0,OFFSET(#REF!,-1,0)-1,0))</f>
        <v>#REF!</v>
      </c>
      <c r="AD110" s="57" t="e">
        <f ca="1">IF(#REF!,12,IF(OFFSET(#REF!,-1,0)&gt;0,OFFSET(#REF!,-1,0)-1,0))</f>
        <v>#REF!</v>
      </c>
      <c r="AE110" s="57" t="e">
        <f ca="1">IF(#REF!,12,IF(OFFSET(#REF!,-1,0)&gt;0,OFFSET(#REF!,-1,0)-1,0))</f>
        <v>#REF!</v>
      </c>
      <c r="AF110" s="57" t="e">
        <f ca="1">IF(#REF!,12,IF(OFFSET(#REF!,-1,0)&gt;0,OFFSET(#REF!,-1,0)-1,0))</f>
        <v>#REF!</v>
      </c>
      <c r="AG110" s="57" t="e">
        <f ca="1">IF(#REF!,12,IF(OFFSET(#REF!,-1,0)&gt;0,OFFSET(#REF!,-1,0)-1,0))</f>
        <v>#REF!</v>
      </c>
      <c r="AH110" s="57" t="e">
        <f ca="1">IF(#REF!,12,IF(OFFSET(#REF!,-1,0)&gt;0,OFFSET(#REF!,-1,0)-1,0))</f>
        <v>#REF!</v>
      </c>
      <c r="AI110" s="57" t="e">
        <f ca="1">IF(#REF!,12,IF(OFFSET(#REF!,-1,0)&gt;0,OFFSET(#REF!,-1,0)-1,0))</f>
        <v>#REF!</v>
      </c>
      <c r="AJ110" s="57" t="e">
        <f ca="1">IF(#REF!,12,IF(OFFSET(#REF!,-1,0)&gt;0,OFFSET(#REF!,-1,0)-1,0))</f>
        <v>#REF!</v>
      </c>
      <c r="AK110" s="57" t="e">
        <f ca="1">IF(#REF!,12,IF(OFFSET(#REF!,-1,0)&gt;0,OFFSET(#REF!,-1,0)-1,0))</f>
        <v>#REF!</v>
      </c>
      <c r="AL110" s="57" t="e">
        <f ca="1">IF(#REF!,12,IF(OFFSET(#REF!,-1,0)&gt;0,OFFSET(#REF!,-1,0)-1,0))</f>
        <v>#REF!</v>
      </c>
      <c r="AM110" s="57" t="e">
        <f ca="1">IF(#REF!,12,IF(OFFSET(#REF!,-1,0)&gt;0,OFFSET(#REF!,-1,0)-1,0))</f>
        <v>#REF!</v>
      </c>
      <c r="AN110" s="57" t="e">
        <f ca="1">IF(#REF!,12,IF(OFFSET(#REF!,-1,0)&gt;0,OFFSET(#REF!,-1,0)-1,0))</f>
        <v>#REF!</v>
      </c>
      <c r="AO110" s="57" t="e">
        <f ca="1">IF(#REF!,12,IF(OFFSET(#REF!,-1,0)&gt;0,OFFSET(#REF!,-1,0)-1,0))</f>
        <v>#REF!</v>
      </c>
    </row>
    <row r="111" spans="1:41" x14ac:dyDescent="0.25">
      <c r="A111" s="130" t="e">
        <f>#REF!</f>
        <v>#REF!</v>
      </c>
      <c r="B111" s="133" t="e">
        <f>#REF!</f>
        <v>#REF!</v>
      </c>
      <c r="C111" s="39" t="e">
        <f>#REF!</f>
        <v>#REF!</v>
      </c>
      <c r="D111" s="135" t="e">
        <f ca="1">MIN(1,OFFSET(#REF!,-1,0)+0.04+ROUNDDOWN(10*OFFSET(#REF!,-1,0),0)+ tech_2_7*OFFSET(#REF!,-1,0) + tech_5_6*OFFSET(#REF!,-1,0) )-#REF!</f>
        <v>#REF!</v>
      </c>
      <c r="E111" s="147" t="e">
        <f ca="1">OFFSET(#REF!,-1,0)+1/24</f>
        <v>#REF!</v>
      </c>
      <c r="F111" s="135" t="e">
        <f>#REF!</f>
        <v>#REF!</v>
      </c>
      <c r="G111" s="210"/>
      <c r="H111" s="210"/>
      <c r="I111" s="210"/>
      <c r="J111" s="210"/>
      <c r="K111" s="386"/>
      <c r="L111" s="210"/>
      <c r="M111" s="210"/>
      <c r="N111" s="210"/>
      <c r="O111" s="210"/>
      <c r="P111" s="210"/>
      <c r="Q111" s="210"/>
      <c r="R111" s="210"/>
      <c r="S111" s="210"/>
      <c r="T111" s="210"/>
      <c r="U111" s="210"/>
      <c r="V111" s="210"/>
      <c r="W111" s="134"/>
      <c r="X111" s="39" t="e">
        <f>(MAX(1-wg_spell_cost_cap,1-wg_spell_cost_red*ROUND(#REF!/#REF!,4))+ tech_3_9*#REF! + tech_6_2_2*#REF! )*(#REF!-#REF!*20)*(#REF!* Constants!$B$75 +#REF!* Constants!$B$76 +#REF!* Constants!$B$77 +#REF!* Constants!$B$79 +#REF!* Constants!$B$78  + SUM(#REF!)*Constants!$B$80*(1+tech_9_3*#REF!))</f>
        <v>#REF!</v>
      </c>
      <c r="Y111" s="135" t="e">
        <f>SUMIF(#REF!,1)*0.05</f>
        <v>#REF!</v>
      </c>
      <c r="Z111" s="134"/>
      <c r="AA111" s="57" t="e">
        <f ca="1">IF(#REF!,12,IF(OFFSET(#REF!,-1,0)&gt;0,OFFSET(#REF!,-1,0)-1,0))</f>
        <v>#REF!</v>
      </c>
      <c r="AB111" s="57" t="e">
        <f ca="1">IF(#REF!,12,IF(OFFSET(#REF!,-1,0)&gt;0,OFFSET(#REF!,-1,0)-1,0))</f>
        <v>#REF!</v>
      </c>
      <c r="AC111" s="57" t="e">
        <f ca="1">IF(#REF!,12,IF(OFFSET(#REF!,-1,0)&gt;0,OFFSET(#REF!,-1,0)-1,0))</f>
        <v>#REF!</v>
      </c>
      <c r="AD111" s="57" t="e">
        <f ca="1">IF(#REF!,12,IF(OFFSET(#REF!,-1,0)&gt;0,OFFSET(#REF!,-1,0)-1,0))</f>
        <v>#REF!</v>
      </c>
      <c r="AE111" s="57" t="e">
        <f ca="1">IF(#REF!,12,IF(OFFSET(#REF!,-1,0)&gt;0,OFFSET(#REF!,-1,0)-1,0))</f>
        <v>#REF!</v>
      </c>
      <c r="AF111" s="57" t="e">
        <f ca="1">IF(#REF!,12,IF(OFFSET(#REF!,-1,0)&gt;0,OFFSET(#REF!,-1,0)-1,0))</f>
        <v>#REF!</v>
      </c>
      <c r="AG111" s="57" t="e">
        <f ca="1">IF(#REF!,12,IF(OFFSET(#REF!,-1,0)&gt;0,OFFSET(#REF!,-1,0)-1,0))</f>
        <v>#REF!</v>
      </c>
      <c r="AH111" s="57" t="e">
        <f ca="1">IF(#REF!,12,IF(OFFSET(#REF!,-1,0)&gt;0,OFFSET(#REF!,-1,0)-1,0))</f>
        <v>#REF!</v>
      </c>
      <c r="AI111" s="57" t="e">
        <f ca="1">IF(#REF!,12,IF(OFFSET(#REF!,-1,0)&gt;0,OFFSET(#REF!,-1,0)-1,0))</f>
        <v>#REF!</v>
      </c>
      <c r="AJ111" s="57" t="e">
        <f ca="1">IF(#REF!,12,IF(OFFSET(#REF!,-1,0)&gt;0,OFFSET(#REF!,-1,0)-1,0))</f>
        <v>#REF!</v>
      </c>
      <c r="AK111" s="57" t="e">
        <f ca="1">IF(#REF!,12,IF(OFFSET(#REF!,-1,0)&gt;0,OFFSET(#REF!,-1,0)-1,0))</f>
        <v>#REF!</v>
      </c>
      <c r="AL111" s="57" t="e">
        <f ca="1">IF(#REF!,12,IF(OFFSET(#REF!,-1,0)&gt;0,OFFSET(#REF!,-1,0)-1,0))</f>
        <v>#REF!</v>
      </c>
      <c r="AM111" s="57" t="e">
        <f ca="1">IF(#REF!,12,IF(OFFSET(#REF!,-1,0)&gt;0,OFFSET(#REF!,-1,0)-1,0))</f>
        <v>#REF!</v>
      </c>
      <c r="AN111" s="57" t="e">
        <f ca="1">IF(#REF!,12,IF(OFFSET(#REF!,-1,0)&gt;0,OFFSET(#REF!,-1,0)-1,0))</f>
        <v>#REF!</v>
      </c>
      <c r="AO111" s="57" t="e">
        <f ca="1">IF(#REF!,12,IF(OFFSET(#REF!,-1,0)&gt;0,OFFSET(#REF!,-1,0)-1,0))</f>
        <v>#REF!</v>
      </c>
    </row>
    <row r="112" spans="1:41" x14ac:dyDescent="0.25">
      <c r="A112" s="130" t="e">
        <f>#REF!</f>
        <v>#REF!</v>
      </c>
      <c r="B112" s="133" t="e">
        <f>#REF!</f>
        <v>#REF!</v>
      </c>
      <c r="C112" s="39" t="e">
        <f>#REF!</f>
        <v>#REF!</v>
      </c>
      <c r="D112" s="135" t="e">
        <f ca="1">MIN(1,OFFSET(#REF!,-1,0)+0.04+ROUNDDOWN(10*OFFSET(#REF!,-1,0),0)+ tech_2_7*OFFSET(#REF!,-1,0) + tech_5_6*OFFSET(#REF!,-1,0) )-#REF!</f>
        <v>#REF!</v>
      </c>
      <c r="E112" s="147" t="e">
        <f ca="1">OFFSET(#REF!,-1,0)+1/24</f>
        <v>#REF!</v>
      </c>
      <c r="F112" s="135" t="e">
        <f>#REF!</f>
        <v>#REF!</v>
      </c>
      <c r="G112" s="210"/>
      <c r="H112" s="210"/>
      <c r="I112" s="210"/>
      <c r="J112" s="210"/>
      <c r="K112" s="386"/>
      <c r="L112" s="210"/>
      <c r="M112" s="210"/>
      <c r="N112" s="210"/>
      <c r="O112" s="210"/>
      <c r="P112" s="210"/>
      <c r="Q112" s="210"/>
      <c r="R112" s="210"/>
      <c r="S112" s="210"/>
      <c r="T112" s="210"/>
      <c r="U112" s="210"/>
      <c r="V112" s="210"/>
      <c r="W112" s="134"/>
      <c r="X112" s="39" t="e">
        <f>(MAX(1-wg_spell_cost_cap,1-wg_spell_cost_red*ROUND(#REF!/#REF!,4))+ tech_3_9*#REF! + tech_6_2_2*#REF! )*(#REF!-#REF!*20)*(#REF!* Constants!$B$75 +#REF!* Constants!$B$76 +#REF!* Constants!$B$77 +#REF!* Constants!$B$79 +#REF!* Constants!$B$78  + SUM(#REF!)*Constants!$B$80*(1+tech_9_3*#REF!))</f>
        <v>#REF!</v>
      </c>
      <c r="Y112" s="135" t="e">
        <f>SUMIF(#REF!,1)*0.05</f>
        <v>#REF!</v>
      </c>
      <c r="Z112" s="134"/>
      <c r="AA112" s="57" t="e">
        <f ca="1">IF(#REF!,12,IF(OFFSET(#REF!,-1,0)&gt;0,OFFSET(#REF!,-1,0)-1,0))</f>
        <v>#REF!</v>
      </c>
      <c r="AB112" s="57" t="e">
        <f ca="1">IF(#REF!,12,IF(OFFSET(#REF!,-1,0)&gt;0,OFFSET(#REF!,-1,0)-1,0))</f>
        <v>#REF!</v>
      </c>
      <c r="AC112" s="57" t="e">
        <f ca="1">IF(#REF!,12,IF(OFFSET(#REF!,-1,0)&gt;0,OFFSET(#REF!,-1,0)-1,0))</f>
        <v>#REF!</v>
      </c>
      <c r="AD112" s="57" t="e">
        <f ca="1">IF(#REF!,12,IF(OFFSET(#REF!,-1,0)&gt;0,OFFSET(#REF!,-1,0)-1,0))</f>
        <v>#REF!</v>
      </c>
      <c r="AE112" s="57" t="e">
        <f ca="1">IF(#REF!,12,IF(OFFSET(#REF!,-1,0)&gt;0,OFFSET(#REF!,-1,0)-1,0))</f>
        <v>#REF!</v>
      </c>
      <c r="AF112" s="57" t="e">
        <f ca="1">IF(#REF!,12,IF(OFFSET(#REF!,-1,0)&gt;0,OFFSET(#REF!,-1,0)-1,0))</f>
        <v>#REF!</v>
      </c>
      <c r="AG112" s="57" t="e">
        <f ca="1">IF(#REF!,12,IF(OFFSET(#REF!,-1,0)&gt;0,OFFSET(#REF!,-1,0)-1,0))</f>
        <v>#REF!</v>
      </c>
      <c r="AH112" s="57" t="e">
        <f ca="1">IF(#REF!,12,IF(OFFSET(#REF!,-1,0)&gt;0,OFFSET(#REF!,-1,0)-1,0))</f>
        <v>#REF!</v>
      </c>
      <c r="AI112" s="57" t="e">
        <f ca="1">IF(#REF!,12,IF(OFFSET(#REF!,-1,0)&gt;0,OFFSET(#REF!,-1,0)-1,0))</f>
        <v>#REF!</v>
      </c>
      <c r="AJ112" s="57" t="e">
        <f ca="1">IF(#REF!,12,IF(OFFSET(#REF!,-1,0)&gt;0,OFFSET(#REF!,-1,0)-1,0))</f>
        <v>#REF!</v>
      </c>
      <c r="AK112" s="57" t="e">
        <f ca="1">IF(#REF!,12,IF(OFFSET(#REF!,-1,0)&gt;0,OFFSET(#REF!,-1,0)-1,0))</f>
        <v>#REF!</v>
      </c>
      <c r="AL112" s="57" t="e">
        <f ca="1">IF(#REF!,12,IF(OFFSET(#REF!,-1,0)&gt;0,OFFSET(#REF!,-1,0)-1,0))</f>
        <v>#REF!</v>
      </c>
      <c r="AM112" s="57" t="e">
        <f ca="1">IF(#REF!,12,IF(OFFSET(#REF!,-1,0)&gt;0,OFFSET(#REF!,-1,0)-1,0))</f>
        <v>#REF!</v>
      </c>
      <c r="AN112" s="57" t="e">
        <f ca="1">IF(#REF!,12,IF(OFFSET(#REF!,-1,0)&gt;0,OFFSET(#REF!,-1,0)-1,0))</f>
        <v>#REF!</v>
      </c>
      <c r="AO112" s="57" t="e">
        <f ca="1">IF(#REF!,12,IF(OFFSET(#REF!,-1,0)&gt;0,OFFSET(#REF!,-1,0)-1,0))</f>
        <v>#REF!</v>
      </c>
    </row>
    <row r="113" spans="1:41" x14ac:dyDescent="0.25">
      <c r="A113" s="130" t="e">
        <f>#REF!</f>
        <v>#REF!</v>
      </c>
      <c r="B113" s="133" t="e">
        <f>#REF!</f>
        <v>#REF!</v>
      </c>
      <c r="C113" s="39" t="e">
        <f>#REF!</f>
        <v>#REF!</v>
      </c>
      <c r="D113" s="135" t="e">
        <f ca="1">MIN(1,OFFSET(#REF!,-1,0)+0.04+ROUNDDOWN(10*OFFSET(#REF!,-1,0),0)+ tech_2_7*OFFSET(#REF!,-1,0) + tech_5_6*OFFSET(#REF!,-1,0) )-#REF!</f>
        <v>#REF!</v>
      </c>
      <c r="E113" s="147" t="e">
        <f ca="1">OFFSET(#REF!,-1,0)+1/24</f>
        <v>#REF!</v>
      </c>
      <c r="F113" s="135" t="e">
        <f>#REF!</f>
        <v>#REF!</v>
      </c>
      <c r="G113" s="210"/>
      <c r="H113" s="210"/>
      <c r="I113" s="210"/>
      <c r="J113" s="210"/>
      <c r="K113" s="386"/>
      <c r="L113" s="210"/>
      <c r="M113" s="210"/>
      <c r="N113" s="210"/>
      <c r="O113" s="210"/>
      <c r="P113" s="210"/>
      <c r="Q113" s="210"/>
      <c r="R113" s="210"/>
      <c r="S113" s="210"/>
      <c r="T113" s="210"/>
      <c r="U113" s="210"/>
      <c r="V113" s="210"/>
      <c r="W113" s="134"/>
      <c r="X113" s="39" t="e">
        <f>(MAX(1-wg_spell_cost_cap,1-wg_spell_cost_red*ROUND(#REF!/#REF!,4))+ tech_3_9*#REF! + tech_6_2_2*#REF! )*(#REF!-#REF!*20)*(#REF!* Constants!$B$75 +#REF!* Constants!$B$76 +#REF!* Constants!$B$77 +#REF!* Constants!$B$79 +#REF!* Constants!$B$78  + SUM(#REF!)*Constants!$B$80*(1+tech_9_3*#REF!))</f>
        <v>#REF!</v>
      </c>
      <c r="Y113" s="135" t="e">
        <f>SUMIF(#REF!,1)*0.05</f>
        <v>#REF!</v>
      </c>
      <c r="Z113" s="134"/>
      <c r="AA113" s="57" t="e">
        <f ca="1">IF(#REF!,12,IF(OFFSET(#REF!,-1,0)&gt;0,OFFSET(#REF!,-1,0)-1,0))</f>
        <v>#REF!</v>
      </c>
      <c r="AB113" s="57" t="e">
        <f ca="1">IF(#REF!,12,IF(OFFSET(#REF!,-1,0)&gt;0,OFFSET(#REF!,-1,0)-1,0))</f>
        <v>#REF!</v>
      </c>
      <c r="AC113" s="57" t="e">
        <f ca="1">IF(#REF!,12,IF(OFFSET(#REF!,-1,0)&gt;0,OFFSET(#REF!,-1,0)-1,0))</f>
        <v>#REF!</v>
      </c>
      <c r="AD113" s="57" t="e">
        <f ca="1">IF(#REF!,12,IF(OFFSET(#REF!,-1,0)&gt;0,OFFSET(#REF!,-1,0)-1,0))</f>
        <v>#REF!</v>
      </c>
      <c r="AE113" s="57" t="e">
        <f ca="1">IF(#REF!,12,IF(OFFSET(#REF!,-1,0)&gt;0,OFFSET(#REF!,-1,0)-1,0))</f>
        <v>#REF!</v>
      </c>
      <c r="AF113" s="57" t="e">
        <f ca="1">IF(#REF!,12,IF(OFFSET(#REF!,-1,0)&gt;0,OFFSET(#REF!,-1,0)-1,0))</f>
        <v>#REF!</v>
      </c>
      <c r="AG113" s="57" t="e">
        <f ca="1">IF(#REF!,12,IF(OFFSET(#REF!,-1,0)&gt;0,OFFSET(#REF!,-1,0)-1,0))</f>
        <v>#REF!</v>
      </c>
      <c r="AH113" s="57" t="e">
        <f ca="1">IF(#REF!,12,IF(OFFSET(#REF!,-1,0)&gt;0,OFFSET(#REF!,-1,0)-1,0))</f>
        <v>#REF!</v>
      </c>
      <c r="AI113" s="57" t="e">
        <f ca="1">IF(#REF!,12,IF(OFFSET(#REF!,-1,0)&gt;0,OFFSET(#REF!,-1,0)-1,0))</f>
        <v>#REF!</v>
      </c>
      <c r="AJ113" s="57" t="e">
        <f ca="1">IF(#REF!,12,IF(OFFSET(#REF!,-1,0)&gt;0,OFFSET(#REF!,-1,0)-1,0))</f>
        <v>#REF!</v>
      </c>
      <c r="AK113" s="57" t="e">
        <f ca="1">IF(#REF!,12,IF(OFFSET(#REF!,-1,0)&gt;0,OFFSET(#REF!,-1,0)-1,0))</f>
        <v>#REF!</v>
      </c>
      <c r="AL113" s="57" t="e">
        <f ca="1">IF(#REF!,12,IF(OFFSET(#REF!,-1,0)&gt;0,OFFSET(#REF!,-1,0)-1,0))</f>
        <v>#REF!</v>
      </c>
      <c r="AM113" s="57" t="e">
        <f ca="1">IF(#REF!,12,IF(OFFSET(#REF!,-1,0)&gt;0,OFFSET(#REF!,-1,0)-1,0))</f>
        <v>#REF!</v>
      </c>
      <c r="AN113" s="57" t="e">
        <f ca="1">IF(#REF!,12,IF(OFFSET(#REF!,-1,0)&gt;0,OFFSET(#REF!,-1,0)-1,0))</f>
        <v>#REF!</v>
      </c>
      <c r="AO113" s="57" t="e">
        <f ca="1">IF(#REF!,12,IF(OFFSET(#REF!,-1,0)&gt;0,OFFSET(#REF!,-1,0)-1,0))</f>
        <v>#REF!</v>
      </c>
    </row>
    <row r="114" spans="1:41" x14ac:dyDescent="0.25">
      <c r="A114" s="130" t="e">
        <f>#REF!</f>
        <v>#REF!</v>
      </c>
      <c r="B114" s="133" t="e">
        <f>#REF!</f>
        <v>#REF!</v>
      </c>
      <c r="C114" s="39" t="e">
        <f>#REF!</f>
        <v>#REF!</v>
      </c>
      <c r="D114" s="135" t="e">
        <f ca="1">MIN(1,OFFSET(#REF!,-1,0)+0.04+ROUNDDOWN(10*OFFSET(#REF!,-1,0),0)+ tech_2_7*OFFSET(#REF!,-1,0) + tech_5_6*OFFSET(#REF!,-1,0) )-#REF!</f>
        <v>#REF!</v>
      </c>
      <c r="E114" s="147" t="e">
        <f ca="1">OFFSET(#REF!,-1,0)+1/24</f>
        <v>#REF!</v>
      </c>
      <c r="F114" s="135" t="e">
        <f>#REF!</f>
        <v>#REF!</v>
      </c>
      <c r="G114" s="210"/>
      <c r="H114" s="210"/>
      <c r="I114" s="210"/>
      <c r="J114" s="210"/>
      <c r="K114" s="386"/>
      <c r="L114" s="210"/>
      <c r="M114" s="210"/>
      <c r="N114" s="210"/>
      <c r="O114" s="210"/>
      <c r="P114" s="210"/>
      <c r="Q114" s="210"/>
      <c r="R114" s="210"/>
      <c r="S114" s="210"/>
      <c r="T114" s="210"/>
      <c r="U114" s="210"/>
      <c r="V114" s="210"/>
      <c r="W114" s="134"/>
      <c r="X114" s="39" t="e">
        <f>(MAX(1-wg_spell_cost_cap,1-wg_spell_cost_red*ROUND(#REF!/#REF!,4))+ tech_3_9*#REF! + tech_6_2_2*#REF! )*(#REF!-#REF!*20)*(#REF!* Constants!$B$75 +#REF!* Constants!$B$76 +#REF!* Constants!$B$77 +#REF!* Constants!$B$79 +#REF!* Constants!$B$78  + SUM(#REF!)*Constants!$B$80*(1+tech_9_3*#REF!))</f>
        <v>#REF!</v>
      </c>
      <c r="Y114" s="135" t="e">
        <f>SUMIF(#REF!,1)*0.05</f>
        <v>#REF!</v>
      </c>
      <c r="Z114" s="134"/>
      <c r="AA114" s="57" t="e">
        <f ca="1">IF(#REF!,12,IF(OFFSET(#REF!,-1,0)&gt;0,OFFSET(#REF!,-1,0)-1,0))</f>
        <v>#REF!</v>
      </c>
      <c r="AB114" s="57" t="e">
        <f ca="1">IF(#REF!,12,IF(OFFSET(#REF!,-1,0)&gt;0,OFFSET(#REF!,-1,0)-1,0))</f>
        <v>#REF!</v>
      </c>
      <c r="AC114" s="57" t="e">
        <f ca="1">IF(#REF!,12,IF(OFFSET(#REF!,-1,0)&gt;0,OFFSET(#REF!,-1,0)-1,0))</f>
        <v>#REF!</v>
      </c>
      <c r="AD114" s="57" t="e">
        <f ca="1">IF(#REF!,12,IF(OFFSET(#REF!,-1,0)&gt;0,OFFSET(#REF!,-1,0)-1,0))</f>
        <v>#REF!</v>
      </c>
      <c r="AE114" s="57" t="e">
        <f ca="1">IF(#REF!,12,IF(OFFSET(#REF!,-1,0)&gt;0,OFFSET(#REF!,-1,0)-1,0))</f>
        <v>#REF!</v>
      </c>
      <c r="AF114" s="57" t="e">
        <f ca="1">IF(#REF!,12,IF(OFFSET(#REF!,-1,0)&gt;0,OFFSET(#REF!,-1,0)-1,0))</f>
        <v>#REF!</v>
      </c>
      <c r="AG114" s="57" t="e">
        <f ca="1">IF(#REF!,12,IF(OFFSET(#REF!,-1,0)&gt;0,OFFSET(#REF!,-1,0)-1,0))</f>
        <v>#REF!</v>
      </c>
      <c r="AH114" s="57" t="e">
        <f ca="1">IF(#REF!,12,IF(OFFSET(#REF!,-1,0)&gt;0,OFFSET(#REF!,-1,0)-1,0))</f>
        <v>#REF!</v>
      </c>
      <c r="AI114" s="57" t="e">
        <f ca="1">IF(#REF!,12,IF(OFFSET(#REF!,-1,0)&gt;0,OFFSET(#REF!,-1,0)-1,0))</f>
        <v>#REF!</v>
      </c>
      <c r="AJ114" s="57" t="e">
        <f ca="1">IF(#REF!,12,IF(OFFSET(#REF!,-1,0)&gt;0,OFFSET(#REF!,-1,0)-1,0))</f>
        <v>#REF!</v>
      </c>
      <c r="AK114" s="57" t="e">
        <f ca="1">IF(#REF!,12,IF(OFFSET(#REF!,-1,0)&gt;0,OFFSET(#REF!,-1,0)-1,0))</f>
        <v>#REF!</v>
      </c>
      <c r="AL114" s="57" t="e">
        <f ca="1">IF(#REF!,12,IF(OFFSET(#REF!,-1,0)&gt;0,OFFSET(#REF!,-1,0)-1,0))</f>
        <v>#REF!</v>
      </c>
      <c r="AM114" s="57" t="e">
        <f ca="1">IF(#REF!,12,IF(OFFSET(#REF!,-1,0)&gt;0,OFFSET(#REF!,-1,0)-1,0))</f>
        <v>#REF!</v>
      </c>
      <c r="AN114" s="57" t="e">
        <f ca="1">IF(#REF!,12,IF(OFFSET(#REF!,-1,0)&gt;0,OFFSET(#REF!,-1,0)-1,0))</f>
        <v>#REF!</v>
      </c>
      <c r="AO114" s="57" t="e">
        <f ca="1">IF(#REF!,12,IF(OFFSET(#REF!,-1,0)&gt;0,OFFSET(#REF!,-1,0)-1,0))</f>
        <v>#REF!</v>
      </c>
    </row>
    <row r="115" spans="1:41" x14ac:dyDescent="0.25">
      <c r="A115" s="130" t="e">
        <f>#REF!</f>
        <v>#REF!</v>
      </c>
      <c r="B115" s="133" t="e">
        <f>#REF!</f>
        <v>#REF!</v>
      </c>
      <c r="C115" s="39" t="e">
        <f>#REF!</f>
        <v>#REF!</v>
      </c>
      <c r="D115" s="135" t="e">
        <f ca="1">MIN(1,OFFSET(#REF!,-1,0)+0.04+ROUNDDOWN(10*OFFSET(#REF!,-1,0),0)+ tech_2_7*OFFSET(#REF!,-1,0) + tech_5_6*OFFSET(#REF!,-1,0) )-#REF!</f>
        <v>#REF!</v>
      </c>
      <c r="E115" s="147" t="e">
        <f ca="1">OFFSET(#REF!,-1,0)+1/24</f>
        <v>#REF!</v>
      </c>
      <c r="F115" s="135" t="e">
        <f>#REF!</f>
        <v>#REF!</v>
      </c>
      <c r="G115" s="210"/>
      <c r="H115" s="210"/>
      <c r="I115" s="210"/>
      <c r="J115" s="210"/>
      <c r="K115" s="386"/>
      <c r="L115" s="210"/>
      <c r="M115" s="210"/>
      <c r="N115" s="210"/>
      <c r="O115" s="210"/>
      <c r="P115" s="210"/>
      <c r="Q115" s="210"/>
      <c r="R115" s="210"/>
      <c r="S115" s="210"/>
      <c r="T115" s="210"/>
      <c r="U115" s="210"/>
      <c r="V115" s="210"/>
      <c r="W115" s="134"/>
      <c r="X115" s="39" t="e">
        <f>(MAX(1-wg_spell_cost_cap,1-wg_spell_cost_red*ROUND(#REF!/#REF!,4))+ tech_3_9*#REF! + tech_6_2_2*#REF! )*(#REF!-#REF!*20)*(#REF!* Constants!$B$75 +#REF!* Constants!$B$76 +#REF!* Constants!$B$77 +#REF!* Constants!$B$79 +#REF!* Constants!$B$78  + SUM(#REF!)*Constants!$B$80*(1+tech_9_3*#REF!))</f>
        <v>#REF!</v>
      </c>
      <c r="Y115" s="135" t="e">
        <f>SUMIF(#REF!,1)*0.05</f>
        <v>#REF!</v>
      </c>
      <c r="Z115" s="134"/>
      <c r="AA115" s="57" t="e">
        <f ca="1">IF(#REF!,12,IF(OFFSET(#REF!,-1,0)&gt;0,OFFSET(#REF!,-1,0)-1,0))</f>
        <v>#REF!</v>
      </c>
      <c r="AB115" s="57" t="e">
        <f ca="1">IF(#REF!,12,IF(OFFSET(#REF!,-1,0)&gt;0,OFFSET(#REF!,-1,0)-1,0))</f>
        <v>#REF!</v>
      </c>
      <c r="AC115" s="57" t="e">
        <f ca="1">IF(#REF!,12,IF(OFFSET(#REF!,-1,0)&gt;0,OFFSET(#REF!,-1,0)-1,0))</f>
        <v>#REF!</v>
      </c>
      <c r="AD115" s="57" t="e">
        <f ca="1">IF(#REF!,12,IF(OFFSET(#REF!,-1,0)&gt;0,OFFSET(#REF!,-1,0)-1,0))</f>
        <v>#REF!</v>
      </c>
      <c r="AE115" s="57" t="e">
        <f ca="1">IF(#REF!,12,IF(OFFSET(#REF!,-1,0)&gt;0,OFFSET(#REF!,-1,0)-1,0))</f>
        <v>#REF!</v>
      </c>
      <c r="AF115" s="57" t="e">
        <f ca="1">IF(#REF!,12,IF(OFFSET(#REF!,-1,0)&gt;0,OFFSET(#REF!,-1,0)-1,0))</f>
        <v>#REF!</v>
      </c>
      <c r="AG115" s="57" t="e">
        <f ca="1">IF(#REF!,12,IF(OFFSET(#REF!,-1,0)&gt;0,OFFSET(#REF!,-1,0)-1,0))</f>
        <v>#REF!</v>
      </c>
      <c r="AH115" s="57" t="e">
        <f ca="1">IF(#REF!,12,IF(OFFSET(#REF!,-1,0)&gt;0,OFFSET(#REF!,-1,0)-1,0))</f>
        <v>#REF!</v>
      </c>
      <c r="AI115" s="57" t="e">
        <f ca="1">IF(#REF!,12,IF(OFFSET(#REF!,-1,0)&gt;0,OFFSET(#REF!,-1,0)-1,0))</f>
        <v>#REF!</v>
      </c>
      <c r="AJ115" s="57" t="e">
        <f ca="1">IF(#REF!,12,IF(OFFSET(#REF!,-1,0)&gt;0,OFFSET(#REF!,-1,0)-1,0))</f>
        <v>#REF!</v>
      </c>
      <c r="AK115" s="57" t="e">
        <f ca="1">IF(#REF!,12,IF(OFFSET(#REF!,-1,0)&gt;0,OFFSET(#REF!,-1,0)-1,0))</f>
        <v>#REF!</v>
      </c>
      <c r="AL115" s="57" t="e">
        <f ca="1">IF(#REF!,12,IF(OFFSET(#REF!,-1,0)&gt;0,OFFSET(#REF!,-1,0)-1,0))</f>
        <v>#REF!</v>
      </c>
      <c r="AM115" s="57" t="e">
        <f ca="1">IF(#REF!,12,IF(OFFSET(#REF!,-1,0)&gt;0,OFFSET(#REF!,-1,0)-1,0))</f>
        <v>#REF!</v>
      </c>
      <c r="AN115" s="57" t="e">
        <f ca="1">IF(#REF!,12,IF(OFFSET(#REF!,-1,0)&gt;0,OFFSET(#REF!,-1,0)-1,0))</f>
        <v>#REF!</v>
      </c>
      <c r="AO115" s="57" t="e">
        <f ca="1">IF(#REF!,12,IF(OFFSET(#REF!,-1,0)&gt;0,OFFSET(#REF!,-1,0)-1,0))</f>
        <v>#REF!</v>
      </c>
    </row>
    <row r="116" spans="1:41" x14ac:dyDescent="0.25">
      <c r="A116" s="130" t="e">
        <f>#REF!</f>
        <v>#REF!</v>
      </c>
      <c r="B116" s="133" t="e">
        <f>#REF!</f>
        <v>#REF!</v>
      </c>
      <c r="C116" s="39" t="e">
        <f>#REF!</f>
        <v>#REF!</v>
      </c>
      <c r="D116" s="135" t="e">
        <f ca="1">MIN(1,OFFSET(#REF!,-1,0)+0.04+ROUNDDOWN(10*OFFSET(#REF!,-1,0),0)+ tech_2_7*OFFSET(#REF!,-1,0) + tech_5_6*OFFSET(#REF!,-1,0) )-#REF!</f>
        <v>#REF!</v>
      </c>
      <c r="E116" s="147" t="e">
        <f ca="1">OFFSET(#REF!,-1,0)+1/24</f>
        <v>#REF!</v>
      </c>
      <c r="F116" s="135" t="e">
        <f>#REF!</f>
        <v>#REF!</v>
      </c>
      <c r="G116" s="210"/>
      <c r="H116" s="210"/>
      <c r="I116" s="210"/>
      <c r="J116" s="210"/>
      <c r="K116" s="386"/>
      <c r="L116" s="210"/>
      <c r="M116" s="210"/>
      <c r="N116" s="210"/>
      <c r="O116" s="210"/>
      <c r="P116" s="210"/>
      <c r="Q116" s="210"/>
      <c r="R116" s="210"/>
      <c r="S116" s="210"/>
      <c r="T116" s="210"/>
      <c r="U116" s="210"/>
      <c r="V116" s="210"/>
      <c r="W116" s="134"/>
      <c r="X116" s="39" t="e">
        <f>(MAX(1-wg_spell_cost_cap,1-wg_spell_cost_red*ROUND(#REF!/#REF!,4))+ tech_3_9*#REF! + tech_6_2_2*#REF! )*(#REF!-#REF!*20)*(#REF!* Constants!$B$75 +#REF!* Constants!$B$76 +#REF!* Constants!$B$77 +#REF!* Constants!$B$79 +#REF!* Constants!$B$78  + SUM(#REF!)*Constants!$B$80*(1+tech_9_3*#REF!))</f>
        <v>#REF!</v>
      </c>
      <c r="Y116" s="135" t="e">
        <f>SUMIF(#REF!,1)*0.05</f>
        <v>#REF!</v>
      </c>
      <c r="Z116" s="134"/>
      <c r="AA116" s="57" t="e">
        <f ca="1">IF(#REF!,12,IF(OFFSET(#REF!,-1,0)&gt;0,OFFSET(#REF!,-1,0)-1,0))</f>
        <v>#REF!</v>
      </c>
      <c r="AB116" s="57" t="e">
        <f ca="1">IF(#REF!,12,IF(OFFSET(#REF!,-1,0)&gt;0,OFFSET(#REF!,-1,0)-1,0))</f>
        <v>#REF!</v>
      </c>
      <c r="AC116" s="57" t="e">
        <f ca="1">IF(#REF!,12,IF(OFFSET(#REF!,-1,0)&gt;0,OFFSET(#REF!,-1,0)-1,0))</f>
        <v>#REF!</v>
      </c>
      <c r="AD116" s="57" t="e">
        <f ca="1">IF(#REF!,12,IF(OFFSET(#REF!,-1,0)&gt;0,OFFSET(#REF!,-1,0)-1,0))</f>
        <v>#REF!</v>
      </c>
      <c r="AE116" s="57" t="e">
        <f ca="1">IF(#REF!,12,IF(OFFSET(#REF!,-1,0)&gt;0,OFFSET(#REF!,-1,0)-1,0))</f>
        <v>#REF!</v>
      </c>
      <c r="AF116" s="57" t="e">
        <f ca="1">IF(#REF!,12,IF(OFFSET(#REF!,-1,0)&gt;0,OFFSET(#REF!,-1,0)-1,0))</f>
        <v>#REF!</v>
      </c>
      <c r="AG116" s="57" t="e">
        <f ca="1">IF(#REF!,12,IF(OFFSET(#REF!,-1,0)&gt;0,OFFSET(#REF!,-1,0)-1,0))</f>
        <v>#REF!</v>
      </c>
      <c r="AH116" s="57" t="e">
        <f ca="1">IF(#REF!,12,IF(OFFSET(#REF!,-1,0)&gt;0,OFFSET(#REF!,-1,0)-1,0))</f>
        <v>#REF!</v>
      </c>
      <c r="AI116" s="57" t="e">
        <f ca="1">IF(#REF!,12,IF(OFFSET(#REF!,-1,0)&gt;0,OFFSET(#REF!,-1,0)-1,0))</f>
        <v>#REF!</v>
      </c>
      <c r="AJ116" s="57" t="e">
        <f ca="1">IF(#REF!,12,IF(OFFSET(#REF!,-1,0)&gt;0,OFFSET(#REF!,-1,0)-1,0))</f>
        <v>#REF!</v>
      </c>
      <c r="AK116" s="57" t="e">
        <f ca="1">IF(#REF!,12,IF(OFFSET(#REF!,-1,0)&gt;0,OFFSET(#REF!,-1,0)-1,0))</f>
        <v>#REF!</v>
      </c>
      <c r="AL116" s="57" t="e">
        <f ca="1">IF(#REF!,12,IF(OFFSET(#REF!,-1,0)&gt;0,OFFSET(#REF!,-1,0)-1,0))</f>
        <v>#REF!</v>
      </c>
      <c r="AM116" s="57" t="e">
        <f ca="1">IF(#REF!,12,IF(OFFSET(#REF!,-1,0)&gt;0,OFFSET(#REF!,-1,0)-1,0))</f>
        <v>#REF!</v>
      </c>
      <c r="AN116" s="57" t="e">
        <f ca="1">IF(#REF!,12,IF(OFFSET(#REF!,-1,0)&gt;0,OFFSET(#REF!,-1,0)-1,0))</f>
        <v>#REF!</v>
      </c>
      <c r="AO116" s="57" t="e">
        <f ca="1">IF(#REF!,12,IF(OFFSET(#REF!,-1,0)&gt;0,OFFSET(#REF!,-1,0)-1,0))</f>
        <v>#REF!</v>
      </c>
    </row>
    <row r="117" spans="1:41" x14ac:dyDescent="0.25">
      <c r="A117" s="130" t="e">
        <f>#REF!</f>
        <v>#REF!</v>
      </c>
      <c r="B117" s="133" t="e">
        <f>#REF!</f>
        <v>#REF!</v>
      </c>
      <c r="C117" s="39" t="e">
        <f>#REF!</f>
        <v>#REF!</v>
      </c>
      <c r="D117" s="135" t="e">
        <f ca="1">MIN(1,OFFSET(#REF!,-1,0)+0.04+ROUNDDOWN(10*OFFSET(#REF!,-1,0),0)+ tech_2_7*OFFSET(#REF!,-1,0) + tech_5_6*OFFSET(#REF!,-1,0) )-#REF!</f>
        <v>#REF!</v>
      </c>
      <c r="E117" s="147" t="e">
        <f ca="1">OFFSET(#REF!,-1,0)+1/24</f>
        <v>#REF!</v>
      </c>
      <c r="F117" s="135" t="e">
        <f>#REF!</f>
        <v>#REF!</v>
      </c>
      <c r="G117" s="210"/>
      <c r="H117" s="210"/>
      <c r="I117" s="210"/>
      <c r="J117" s="210"/>
      <c r="K117" s="386"/>
      <c r="L117" s="210"/>
      <c r="M117" s="210"/>
      <c r="N117" s="210"/>
      <c r="O117" s="210"/>
      <c r="P117" s="210"/>
      <c r="Q117" s="210"/>
      <c r="R117" s="210"/>
      <c r="S117" s="210"/>
      <c r="T117" s="210"/>
      <c r="U117" s="210"/>
      <c r="V117" s="210"/>
      <c r="W117" s="134"/>
      <c r="X117" s="39" t="e">
        <f>(MAX(1-wg_spell_cost_cap,1-wg_spell_cost_red*ROUND(#REF!/#REF!,4))+ tech_3_9*#REF! + tech_6_2_2*#REF! )*(#REF!-#REF!*20)*(#REF!* Constants!$B$75 +#REF!* Constants!$B$76 +#REF!* Constants!$B$77 +#REF!* Constants!$B$79 +#REF!* Constants!$B$78  + SUM(#REF!)*Constants!$B$80*(1+tech_9_3*#REF!))</f>
        <v>#REF!</v>
      </c>
      <c r="Y117" s="135" t="e">
        <f>SUMIF(#REF!,1)*0.05</f>
        <v>#REF!</v>
      </c>
      <c r="Z117" s="134"/>
      <c r="AA117" s="57" t="e">
        <f ca="1">IF(#REF!,12,IF(OFFSET(#REF!,-1,0)&gt;0,OFFSET(#REF!,-1,0)-1,0))</f>
        <v>#REF!</v>
      </c>
      <c r="AB117" s="57" t="e">
        <f ca="1">IF(#REF!,12,IF(OFFSET(#REF!,-1,0)&gt;0,OFFSET(#REF!,-1,0)-1,0))</f>
        <v>#REF!</v>
      </c>
      <c r="AC117" s="57" t="e">
        <f ca="1">IF(#REF!,12,IF(OFFSET(#REF!,-1,0)&gt;0,OFFSET(#REF!,-1,0)-1,0))</f>
        <v>#REF!</v>
      </c>
      <c r="AD117" s="57" t="e">
        <f ca="1">IF(#REF!,12,IF(OFFSET(#REF!,-1,0)&gt;0,OFFSET(#REF!,-1,0)-1,0))</f>
        <v>#REF!</v>
      </c>
      <c r="AE117" s="57" t="e">
        <f ca="1">IF(#REF!,12,IF(OFFSET(#REF!,-1,0)&gt;0,OFFSET(#REF!,-1,0)-1,0))</f>
        <v>#REF!</v>
      </c>
      <c r="AF117" s="57" t="e">
        <f ca="1">IF(#REF!,12,IF(OFFSET(#REF!,-1,0)&gt;0,OFFSET(#REF!,-1,0)-1,0))</f>
        <v>#REF!</v>
      </c>
      <c r="AG117" s="57" t="e">
        <f ca="1">IF(#REF!,12,IF(OFFSET(#REF!,-1,0)&gt;0,OFFSET(#REF!,-1,0)-1,0))</f>
        <v>#REF!</v>
      </c>
      <c r="AH117" s="57" t="e">
        <f ca="1">IF(#REF!,12,IF(OFFSET(#REF!,-1,0)&gt;0,OFFSET(#REF!,-1,0)-1,0))</f>
        <v>#REF!</v>
      </c>
      <c r="AI117" s="57" t="e">
        <f ca="1">IF(#REF!,12,IF(OFFSET(#REF!,-1,0)&gt;0,OFFSET(#REF!,-1,0)-1,0))</f>
        <v>#REF!</v>
      </c>
      <c r="AJ117" s="57" t="e">
        <f ca="1">IF(#REF!,12,IF(OFFSET(#REF!,-1,0)&gt;0,OFFSET(#REF!,-1,0)-1,0))</f>
        <v>#REF!</v>
      </c>
      <c r="AK117" s="57" t="e">
        <f ca="1">IF(#REF!,12,IF(OFFSET(#REF!,-1,0)&gt;0,OFFSET(#REF!,-1,0)-1,0))</f>
        <v>#REF!</v>
      </c>
      <c r="AL117" s="57" t="e">
        <f ca="1">IF(#REF!,12,IF(OFFSET(#REF!,-1,0)&gt;0,OFFSET(#REF!,-1,0)-1,0))</f>
        <v>#REF!</v>
      </c>
      <c r="AM117" s="57" t="e">
        <f ca="1">IF(#REF!,12,IF(OFFSET(#REF!,-1,0)&gt;0,OFFSET(#REF!,-1,0)-1,0))</f>
        <v>#REF!</v>
      </c>
      <c r="AN117" s="57" t="e">
        <f ca="1">IF(#REF!,12,IF(OFFSET(#REF!,-1,0)&gt;0,OFFSET(#REF!,-1,0)-1,0))</f>
        <v>#REF!</v>
      </c>
      <c r="AO117" s="57" t="e">
        <f ca="1">IF(#REF!,12,IF(OFFSET(#REF!,-1,0)&gt;0,OFFSET(#REF!,-1,0)-1,0))</f>
        <v>#REF!</v>
      </c>
    </row>
    <row r="118" spans="1:41" x14ac:dyDescent="0.25">
      <c r="A118" s="130" t="e">
        <f>#REF!</f>
        <v>#REF!</v>
      </c>
      <c r="B118" s="133" t="e">
        <f>#REF!</f>
        <v>#REF!</v>
      </c>
      <c r="C118" s="39" t="e">
        <f>#REF!</f>
        <v>#REF!</v>
      </c>
      <c r="D118" s="135" t="e">
        <f ca="1">MIN(1,OFFSET(#REF!,-1,0)+0.04+ROUNDDOWN(10*OFFSET(#REF!,-1,0),0)+ tech_2_7*OFFSET(#REF!,-1,0) + tech_5_6*OFFSET(#REF!,-1,0) )-#REF!</f>
        <v>#REF!</v>
      </c>
      <c r="E118" s="147" t="e">
        <f ca="1">OFFSET(#REF!,-1,0)+1/24</f>
        <v>#REF!</v>
      </c>
      <c r="F118" s="135" t="e">
        <f>#REF!</f>
        <v>#REF!</v>
      </c>
      <c r="G118" s="210"/>
      <c r="H118" s="210"/>
      <c r="I118" s="210"/>
      <c r="J118" s="210"/>
      <c r="K118" s="386"/>
      <c r="L118" s="210"/>
      <c r="M118" s="210"/>
      <c r="N118" s="210"/>
      <c r="O118" s="210"/>
      <c r="P118" s="210"/>
      <c r="Q118" s="210"/>
      <c r="R118" s="210"/>
      <c r="S118" s="210"/>
      <c r="T118" s="210"/>
      <c r="U118" s="210"/>
      <c r="V118" s="210"/>
      <c r="W118" s="134"/>
      <c r="X118" s="39" t="e">
        <f>(MAX(1-wg_spell_cost_cap,1-wg_spell_cost_red*ROUND(#REF!/#REF!,4))+ tech_3_9*#REF! + tech_6_2_2*#REF! )*(#REF!-#REF!*20)*(#REF!* Constants!$B$75 +#REF!* Constants!$B$76 +#REF!* Constants!$B$77 +#REF!* Constants!$B$79 +#REF!* Constants!$B$78  + SUM(#REF!)*Constants!$B$80*(1+tech_9_3*#REF!))</f>
        <v>#REF!</v>
      </c>
      <c r="Y118" s="135" t="e">
        <f>SUMIF(#REF!,1)*0.05</f>
        <v>#REF!</v>
      </c>
      <c r="Z118" s="134"/>
      <c r="AA118" s="57" t="e">
        <f ca="1">IF(#REF!,12,IF(OFFSET(#REF!,-1,0)&gt;0,OFFSET(#REF!,-1,0)-1,0))</f>
        <v>#REF!</v>
      </c>
      <c r="AB118" s="57" t="e">
        <f ca="1">IF(#REF!,12,IF(OFFSET(#REF!,-1,0)&gt;0,OFFSET(#REF!,-1,0)-1,0))</f>
        <v>#REF!</v>
      </c>
      <c r="AC118" s="57" t="e">
        <f ca="1">IF(#REF!,12,IF(OFFSET(#REF!,-1,0)&gt;0,OFFSET(#REF!,-1,0)-1,0))</f>
        <v>#REF!</v>
      </c>
      <c r="AD118" s="57" t="e">
        <f ca="1">IF(#REF!,12,IF(OFFSET(#REF!,-1,0)&gt;0,OFFSET(#REF!,-1,0)-1,0))</f>
        <v>#REF!</v>
      </c>
      <c r="AE118" s="57" t="e">
        <f ca="1">IF(#REF!,12,IF(OFFSET(#REF!,-1,0)&gt;0,OFFSET(#REF!,-1,0)-1,0))</f>
        <v>#REF!</v>
      </c>
      <c r="AF118" s="57" t="e">
        <f ca="1">IF(#REF!,12,IF(OFFSET(#REF!,-1,0)&gt;0,OFFSET(#REF!,-1,0)-1,0))</f>
        <v>#REF!</v>
      </c>
      <c r="AG118" s="57" t="e">
        <f ca="1">IF(#REF!,12,IF(OFFSET(#REF!,-1,0)&gt;0,OFFSET(#REF!,-1,0)-1,0))</f>
        <v>#REF!</v>
      </c>
      <c r="AH118" s="57" t="e">
        <f ca="1">IF(#REF!,12,IF(OFFSET(#REF!,-1,0)&gt;0,OFFSET(#REF!,-1,0)-1,0))</f>
        <v>#REF!</v>
      </c>
      <c r="AI118" s="57" t="e">
        <f ca="1">IF(#REF!,12,IF(OFFSET(#REF!,-1,0)&gt;0,OFFSET(#REF!,-1,0)-1,0))</f>
        <v>#REF!</v>
      </c>
      <c r="AJ118" s="57" t="e">
        <f ca="1">IF(#REF!,12,IF(OFFSET(#REF!,-1,0)&gt;0,OFFSET(#REF!,-1,0)-1,0))</f>
        <v>#REF!</v>
      </c>
      <c r="AK118" s="57" t="e">
        <f ca="1">IF(#REF!,12,IF(OFFSET(#REF!,-1,0)&gt;0,OFFSET(#REF!,-1,0)-1,0))</f>
        <v>#REF!</v>
      </c>
      <c r="AL118" s="57" t="e">
        <f ca="1">IF(#REF!,12,IF(OFFSET(#REF!,-1,0)&gt;0,OFFSET(#REF!,-1,0)-1,0))</f>
        <v>#REF!</v>
      </c>
      <c r="AM118" s="57" t="e">
        <f ca="1">IF(#REF!,12,IF(OFFSET(#REF!,-1,0)&gt;0,OFFSET(#REF!,-1,0)-1,0))</f>
        <v>#REF!</v>
      </c>
      <c r="AN118" s="57" t="e">
        <f ca="1">IF(#REF!,12,IF(OFFSET(#REF!,-1,0)&gt;0,OFFSET(#REF!,-1,0)-1,0))</f>
        <v>#REF!</v>
      </c>
      <c r="AO118" s="57" t="e">
        <f ca="1">IF(#REF!,12,IF(OFFSET(#REF!,-1,0)&gt;0,OFFSET(#REF!,-1,0)-1,0))</f>
        <v>#REF!</v>
      </c>
    </row>
    <row r="119" spans="1:41" x14ac:dyDescent="0.25">
      <c r="A119" s="130" t="e">
        <f>#REF!</f>
        <v>#REF!</v>
      </c>
      <c r="B119" s="133" t="e">
        <f>#REF!</f>
        <v>#REF!</v>
      </c>
      <c r="C119" s="39" t="e">
        <f>#REF!</f>
        <v>#REF!</v>
      </c>
      <c r="D119" s="135" t="e">
        <f ca="1">MIN(1,OFFSET(#REF!,-1,0)+0.04+ROUNDDOWN(10*OFFSET(#REF!,-1,0),0)+ tech_2_7*OFFSET(#REF!,-1,0) + tech_5_6*OFFSET(#REF!,-1,0) )-#REF!</f>
        <v>#REF!</v>
      </c>
      <c r="E119" s="147" t="e">
        <f ca="1">OFFSET(#REF!,-1,0)+1/24</f>
        <v>#REF!</v>
      </c>
      <c r="F119" s="135" t="e">
        <f>#REF!</f>
        <v>#REF!</v>
      </c>
      <c r="G119" s="210"/>
      <c r="H119" s="210"/>
      <c r="I119" s="210"/>
      <c r="J119" s="210"/>
      <c r="K119" s="386"/>
      <c r="L119" s="210"/>
      <c r="M119" s="210"/>
      <c r="N119" s="210"/>
      <c r="O119" s="210"/>
      <c r="P119" s="210"/>
      <c r="Q119" s="210"/>
      <c r="R119" s="210"/>
      <c r="S119" s="210"/>
      <c r="T119" s="210"/>
      <c r="U119" s="210"/>
      <c r="V119" s="210"/>
      <c r="W119" s="134"/>
      <c r="X119" s="39" t="e">
        <f>(MAX(1-wg_spell_cost_cap,1-wg_spell_cost_red*ROUND(#REF!/#REF!,4))+ tech_3_9*#REF! + tech_6_2_2*#REF! )*(#REF!-#REF!*20)*(#REF!* Constants!$B$75 +#REF!* Constants!$B$76 +#REF!* Constants!$B$77 +#REF!* Constants!$B$79 +#REF!* Constants!$B$78  + SUM(#REF!)*Constants!$B$80*(1+tech_9_3*#REF!))</f>
        <v>#REF!</v>
      </c>
      <c r="Y119" s="135" t="e">
        <f>SUMIF(#REF!,1)*0.05</f>
        <v>#REF!</v>
      </c>
      <c r="Z119" s="134"/>
      <c r="AA119" s="57" t="e">
        <f ca="1">IF(#REF!,12,IF(OFFSET(#REF!,-1,0)&gt;0,OFFSET(#REF!,-1,0)-1,0))</f>
        <v>#REF!</v>
      </c>
      <c r="AB119" s="57" t="e">
        <f ca="1">IF(#REF!,12,IF(OFFSET(#REF!,-1,0)&gt;0,OFFSET(#REF!,-1,0)-1,0))</f>
        <v>#REF!</v>
      </c>
      <c r="AC119" s="57" t="e">
        <f ca="1">IF(#REF!,12,IF(OFFSET(#REF!,-1,0)&gt;0,OFFSET(#REF!,-1,0)-1,0))</f>
        <v>#REF!</v>
      </c>
      <c r="AD119" s="57" t="e">
        <f ca="1">IF(#REF!,12,IF(OFFSET(#REF!,-1,0)&gt;0,OFFSET(#REF!,-1,0)-1,0))</f>
        <v>#REF!</v>
      </c>
      <c r="AE119" s="57" t="e">
        <f ca="1">IF(#REF!,12,IF(OFFSET(#REF!,-1,0)&gt;0,OFFSET(#REF!,-1,0)-1,0))</f>
        <v>#REF!</v>
      </c>
      <c r="AF119" s="57" t="e">
        <f ca="1">IF(#REF!,12,IF(OFFSET(#REF!,-1,0)&gt;0,OFFSET(#REF!,-1,0)-1,0))</f>
        <v>#REF!</v>
      </c>
      <c r="AG119" s="57" t="e">
        <f ca="1">IF(#REF!,12,IF(OFFSET(#REF!,-1,0)&gt;0,OFFSET(#REF!,-1,0)-1,0))</f>
        <v>#REF!</v>
      </c>
      <c r="AH119" s="57" t="e">
        <f ca="1">IF(#REF!,12,IF(OFFSET(#REF!,-1,0)&gt;0,OFFSET(#REF!,-1,0)-1,0))</f>
        <v>#REF!</v>
      </c>
      <c r="AI119" s="57" t="e">
        <f ca="1">IF(#REF!,12,IF(OFFSET(#REF!,-1,0)&gt;0,OFFSET(#REF!,-1,0)-1,0))</f>
        <v>#REF!</v>
      </c>
      <c r="AJ119" s="57" t="e">
        <f ca="1">IF(#REF!,12,IF(OFFSET(#REF!,-1,0)&gt;0,OFFSET(#REF!,-1,0)-1,0))</f>
        <v>#REF!</v>
      </c>
      <c r="AK119" s="57" t="e">
        <f ca="1">IF(#REF!,12,IF(OFFSET(#REF!,-1,0)&gt;0,OFFSET(#REF!,-1,0)-1,0))</f>
        <v>#REF!</v>
      </c>
      <c r="AL119" s="57" t="e">
        <f ca="1">IF(#REF!,12,IF(OFFSET(#REF!,-1,0)&gt;0,OFFSET(#REF!,-1,0)-1,0))</f>
        <v>#REF!</v>
      </c>
      <c r="AM119" s="57" t="e">
        <f ca="1">IF(#REF!,12,IF(OFFSET(#REF!,-1,0)&gt;0,OFFSET(#REF!,-1,0)-1,0))</f>
        <v>#REF!</v>
      </c>
      <c r="AN119" s="57" t="e">
        <f ca="1">IF(#REF!,12,IF(OFFSET(#REF!,-1,0)&gt;0,OFFSET(#REF!,-1,0)-1,0))</f>
        <v>#REF!</v>
      </c>
      <c r="AO119" s="57" t="e">
        <f ca="1">IF(#REF!,12,IF(OFFSET(#REF!,-1,0)&gt;0,OFFSET(#REF!,-1,0)-1,0))</f>
        <v>#REF!</v>
      </c>
    </row>
    <row r="120" spans="1:41" x14ac:dyDescent="0.25">
      <c r="A120" s="130" t="e">
        <f>#REF!</f>
        <v>#REF!</v>
      </c>
      <c r="B120" s="133" t="e">
        <f>#REF!</f>
        <v>#REF!</v>
      </c>
      <c r="C120" s="39" t="e">
        <f>#REF!</f>
        <v>#REF!</v>
      </c>
      <c r="D120" s="135" t="e">
        <f ca="1">MIN(1,OFFSET(#REF!,-1,0)+0.04+ROUNDDOWN(10*OFFSET(#REF!,-1,0),0)+ tech_2_7*OFFSET(#REF!,-1,0) + tech_5_6*OFFSET(#REF!,-1,0) )-#REF!</f>
        <v>#REF!</v>
      </c>
      <c r="E120" s="147" t="e">
        <f ca="1">OFFSET(#REF!,-1,0)+1/24</f>
        <v>#REF!</v>
      </c>
      <c r="F120" s="135" t="e">
        <f>#REF!</f>
        <v>#REF!</v>
      </c>
      <c r="G120" s="210"/>
      <c r="H120" s="210"/>
      <c r="I120" s="210"/>
      <c r="J120" s="210"/>
      <c r="K120" s="386"/>
      <c r="L120" s="210"/>
      <c r="M120" s="210"/>
      <c r="N120" s="210"/>
      <c r="O120" s="210"/>
      <c r="P120" s="210"/>
      <c r="Q120" s="210"/>
      <c r="R120" s="210"/>
      <c r="S120" s="210"/>
      <c r="T120" s="210"/>
      <c r="U120" s="210"/>
      <c r="V120" s="210"/>
      <c r="W120" s="134"/>
      <c r="X120" s="39" t="e">
        <f>(MAX(1-wg_spell_cost_cap,1-wg_spell_cost_red*ROUND(#REF!/#REF!,4))+ tech_3_9*#REF! + tech_6_2_2*#REF! )*(#REF!-#REF!*20)*(#REF!* Constants!$B$75 +#REF!* Constants!$B$76 +#REF!* Constants!$B$77 +#REF!* Constants!$B$79 +#REF!* Constants!$B$78  + SUM(#REF!)*Constants!$B$80*(1+tech_9_3*#REF!))</f>
        <v>#REF!</v>
      </c>
      <c r="Y120" s="135" t="e">
        <f>SUMIF(#REF!,1)*0.05</f>
        <v>#REF!</v>
      </c>
      <c r="Z120" s="134"/>
      <c r="AA120" s="57" t="e">
        <f ca="1">IF(#REF!,12,IF(OFFSET(#REF!,-1,0)&gt;0,OFFSET(#REF!,-1,0)-1,0))</f>
        <v>#REF!</v>
      </c>
      <c r="AB120" s="57" t="e">
        <f ca="1">IF(#REF!,12,IF(OFFSET(#REF!,-1,0)&gt;0,OFFSET(#REF!,-1,0)-1,0))</f>
        <v>#REF!</v>
      </c>
      <c r="AC120" s="57" t="e">
        <f ca="1">IF(#REF!,12,IF(OFFSET(#REF!,-1,0)&gt;0,OFFSET(#REF!,-1,0)-1,0))</f>
        <v>#REF!</v>
      </c>
      <c r="AD120" s="57" t="e">
        <f ca="1">IF(#REF!,12,IF(OFFSET(#REF!,-1,0)&gt;0,OFFSET(#REF!,-1,0)-1,0))</f>
        <v>#REF!</v>
      </c>
      <c r="AE120" s="57" t="e">
        <f ca="1">IF(#REF!,12,IF(OFFSET(#REF!,-1,0)&gt;0,OFFSET(#REF!,-1,0)-1,0))</f>
        <v>#REF!</v>
      </c>
      <c r="AF120" s="57" t="e">
        <f ca="1">IF(#REF!,12,IF(OFFSET(#REF!,-1,0)&gt;0,OFFSET(#REF!,-1,0)-1,0))</f>
        <v>#REF!</v>
      </c>
      <c r="AG120" s="57" t="e">
        <f ca="1">IF(#REF!,12,IF(OFFSET(#REF!,-1,0)&gt;0,OFFSET(#REF!,-1,0)-1,0))</f>
        <v>#REF!</v>
      </c>
      <c r="AH120" s="57" t="e">
        <f ca="1">IF(#REF!,12,IF(OFFSET(#REF!,-1,0)&gt;0,OFFSET(#REF!,-1,0)-1,0))</f>
        <v>#REF!</v>
      </c>
      <c r="AI120" s="57" t="e">
        <f ca="1">IF(#REF!,12,IF(OFFSET(#REF!,-1,0)&gt;0,OFFSET(#REF!,-1,0)-1,0))</f>
        <v>#REF!</v>
      </c>
      <c r="AJ120" s="57" t="e">
        <f ca="1">IF(#REF!,12,IF(OFFSET(#REF!,-1,0)&gt;0,OFFSET(#REF!,-1,0)-1,0))</f>
        <v>#REF!</v>
      </c>
      <c r="AK120" s="57" t="e">
        <f ca="1">IF(#REF!,12,IF(OFFSET(#REF!,-1,0)&gt;0,OFFSET(#REF!,-1,0)-1,0))</f>
        <v>#REF!</v>
      </c>
      <c r="AL120" s="57" t="e">
        <f ca="1">IF(#REF!,12,IF(OFFSET(#REF!,-1,0)&gt;0,OFFSET(#REF!,-1,0)-1,0))</f>
        <v>#REF!</v>
      </c>
      <c r="AM120" s="57" t="e">
        <f ca="1">IF(#REF!,12,IF(OFFSET(#REF!,-1,0)&gt;0,OFFSET(#REF!,-1,0)-1,0))</f>
        <v>#REF!</v>
      </c>
      <c r="AN120" s="57" t="e">
        <f ca="1">IF(#REF!,12,IF(OFFSET(#REF!,-1,0)&gt;0,OFFSET(#REF!,-1,0)-1,0))</f>
        <v>#REF!</v>
      </c>
      <c r="AO120" s="57" t="e">
        <f ca="1">IF(#REF!,12,IF(OFFSET(#REF!,-1,0)&gt;0,OFFSET(#REF!,-1,0)-1,0))</f>
        <v>#REF!</v>
      </c>
    </row>
    <row r="121" spans="1:41" x14ac:dyDescent="0.25">
      <c r="A121" s="130" t="e">
        <f>#REF!</f>
        <v>#REF!</v>
      </c>
      <c r="B121" s="133" t="e">
        <f>#REF!</f>
        <v>#REF!</v>
      </c>
      <c r="C121" s="39" t="e">
        <f>#REF!</f>
        <v>#REF!</v>
      </c>
      <c r="D121" s="135" t="e">
        <f ca="1">MIN(1,OFFSET(#REF!,-1,0)+0.04+ROUNDDOWN(10*OFFSET(#REF!,-1,0),0)+ tech_2_7*OFFSET(#REF!,-1,0) + tech_5_6*OFFSET(#REF!,-1,0) )-#REF!</f>
        <v>#REF!</v>
      </c>
      <c r="E121" s="147" t="e">
        <f ca="1">OFFSET(#REF!,-1,0)+1/24</f>
        <v>#REF!</v>
      </c>
      <c r="F121" s="135" t="e">
        <f>#REF!</f>
        <v>#REF!</v>
      </c>
      <c r="G121" s="210"/>
      <c r="H121" s="210"/>
      <c r="I121" s="210"/>
      <c r="J121" s="210"/>
      <c r="K121" s="386"/>
      <c r="L121" s="210"/>
      <c r="M121" s="210"/>
      <c r="N121" s="210"/>
      <c r="O121" s="210"/>
      <c r="P121" s="210"/>
      <c r="Q121" s="210"/>
      <c r="R121" s="210"/>
      <c r="S121" s="210"/>
      <c r="T121" s="210"/>
      <c r="U121" s="210"/>
      <c r="V121" s="210"/>
      <c r="W121" s="134"/>
      <c r="X121" s="39" t="e">
        <f>(MAX(1-wg_spell_cost_cap,1-wg_spell_cost_red*ROUND(#REF!/#REF!,4))+ tech_3_9*#REF! + tech_6_2_2*#REF! )*(#REF!-#REF!*20)*(#REF!* Constants!$B$75 +#REF!* Constants!$B$76 +#REF!* Constants!$B$77 +#REF!* Constants!$B$79 +#REF!* Constants!$B$78  + SUM(#REF!)*Constants!$B$80*(1+tech_9_3*#REF!))</f>
        <v>#REF!</v>
      </c>
      <c r="Y121" s="135" t="e">
        <f>SUMIF(#REF!,1)*0.05</f>
        <v>#REF!</v>
      </c>
      <c r="Z121" s="134"/>
      <c r="AA121" s="57" t="e">
        <f ca="1">IF(#REF!,12,IF(OFFSET(#REF!,-1,0)&gt;0,OFFSET(#REF!,-1,0)-1,0))</f>
        <v>#REF!</v>
      </c>
      <c r="AB121" s="57" t="e">
        <f ca="1">IF(#REF!,12,IF(OFFSET(#REF!,-1,0)&gt;0,OFFSET(#REF!,-1,0)-1,0))</f>
        <v>#REF!</v>
      </c>
      <c r="AC121" s="57" t="e">
        <f ca="1">IF(#REF!,12,IF(OFFSET(#REF!,-1,0)&gt;0,OFFSET(#REF!,-1,0)-1,0))</f>
        <v>#REF!</v>
      </c>
      <c r="AD121" s="57" t="e">
        <f ca="1">IF(#REF!,12,IF(OFFSET(#REF!,-1,0)&gt;0,OFFSET(#REF!,-1,0)-1,0))</f>
        <v>#REF!</v>
      </c>
      <c r="AE121" s="57" t="e">
        <f ca="1">IF(#REF!,12,IF(OFFSET(#REF!,-1,0)&gt;0,OFFSET(#REF!,-1,0)-1,0))</f>
        <v>#REF!</v>
      </c>
      <c r="AF121" s="57" t="e">
        <f ca="1">IF(#REF!,12,IF(OFFSET(#REF!,-1,0)&gt;0,OFFSET(#REF!,-1,0)-1,0))</f>
        <v>#REF!</v>
      </c>
      <c r="AG121" s="57" t="e">
        <f ca="1">IF(#REF!,12,IF(OFFSET(#REF!,-1,0)&gt;0,OFFSET(#REF!,-1,0)-1,0))</f>
        <v>#REF!</v>
      </c>
      <c r="AH121" s="57" t="e">
        <f ca="1">IF(#REF!,12,IF(OFFSET(#REF!,-1,0)&gt;0,OFFSET(#REF!,-1,0)-1,0))</f>
        <v>#REF!</v>
      </c>
      <c r="AI121" s="57" t="e">
        <f ca="1">IF(#REF!,12,IF(OFFSET(#REF!,-1,0)&gt;0,OFFSET(#REF!,-1,0)-1,0))</f>
        <v>#REF!</v>
      </c>
      <c r="AJ121" s="57" t="e">
        <f ca="1">IF(#REF!,12,IF(OFFSET(#REF!,-1,0)&gt;0,OFFSET(#REF!,-1,0)-1,0))</f>
        <v>#REF!</v>
      </c>
      <c r="AK121" s="57" t="e">
        <f ca="1">IF(#REF!,12,IF(OFFSET(#REF!,-1,0)&gt;0,OFFSET(#REF!,-1,0)-1,0))</f>
        <v>#REF!</v>
      </c>
      <c r="AL121" s="57" t="e">
        <f ca="1">IF(#REF!,12,IF(OFFSET(#REF!,-1,0)&gt;0,OFFSET(#REF!,-1,0)-1,0))</f>
        <v>#REF!</v>
      </c>
      <c r="AM121" s="57" t="e">
        <f ca="1">IF(#REF!,12,IF(OFFSET(#REF!,-1,0)&gt;0,OFFSET(#REF!,-1,0)-1,0))</f>
        <v>#REF!</v>
      </c>
      <c r="AN121" s="57" t="e">
        <f ca="1">IF(#REF!,12,IF(OFFSET(#REF!,-1,0)&gt;0,OFFSET(#REF!,-1,0)-1,0))</f>
        <v>#REF!</v>
      </c>
      <c r="AO121" s="57" t="e">
        <f ca="1">IF(#REF!,12,IF(OFFSET(#REF!,-1,0)&gt;0,OFFSET(#REF!,-1,0)-1,0))</f>
        <v>#REF!</v>
      </c>
    </row>
    <row r="122" spans="1:41" x14ac:dyDescent="0.25">
      <c r="A122" s="130" t="e">
        <f>#REF!</f>
        <v>#REF!</v>
      </c>
      <c r="B122" s="133" t="e">
        <f>#REF!</f>
        <v>#REF!</v>
      </c>
      <c r="C122" s="39" t="e">
        <f>#REF!</f>
        <v>#REF!</v>
      </c>
      <c r="D122" s="135" t="e">
        <f ca="1">MIN(1,OFFSET(#REF!,-1,0)+0.04+ROUNDDOWN(10*OFFSET(#REF!,-1,0),0)+ tech_2_7*OFFSET(#REF!,-1,0) + tech_5_6*OFFSET(#REF!,-1,0) )-#REF!</f>
        <v>#REF!</v>
      </c>
      <c r="E122" s="147" t="e">
        <f ca="1">OFFSET(#REF!,-1,0)+1/24</f>
        <v>#REF!</v>
      </c>
      <c r="F122" s="135" t="e">
        <f>#REF!</f>
        <v>#REF!</v>
      </c>
      <c r="G122" s="210"/>
      <c r="H122" s="210"/>
      <c r="I122" s="210"/>
      <c r="J122" s="210"/>
      <c r="K122" s="386"/>
      <c r="L122" s="210"/>
      <c r="M122" s="210"/>
      <c r="N122" s="210"/>
      <c r="O122" s="210"/>
      <c r="P122" s="210"/>
      <c r="Q122" s="210"/>
      <c r="R122" s="210"/>
      <c r="S122" s="210"/>
      <c r="T122" s="210"/>
      <c r="U122" s="210"/>
      <c r="V122" s="210"/>
      <c r="W122" s="134"/>
      <c r="X122" s="39" t="e">
        <f>(MAX(1-wg_spell_cost_cap,1-wg_spell_cost_red*ROUND(#REF!/#REF!,4))+ tech_3_9*#REF! + tech_6_2_2*#REF! )*(#REF!-#REF!*20)*(#REF!* Constants!$B$75 +#REF!* Constants!$B$76 +#REF!* Constants!$B$77 +#REF!* Constants!$B$79 +#REF!* Constants!$B$78  + SUM(#REF!)*Constants!$B$80*(1+tech_9_3*#REF!))</f>
        <v>#REF!</v>
      </c>
      <c r="Y122" s="135" t="e">
        <f>SUMIF(#REF!,1)*0.05</f>
        <v>#REF!</v>
      </c>
      <c r="Z122" s="134"/>
      <c r="AA122" s="57" t="e">
        <f ca="1">IF(#REF!,12,IF(OFFSET(#REF!,-1,0)&gt;0,OFFSET(#REF!,-1,0)-1,0))</f>
        <v>#REF!</v>
      </c>
      <c r="AB122" s="57" t="e">
        <f ca="1">IF(#REF!,12,IF(OFFSET(#REF!,-1,0)&gt;0,OFFSET(#REF!,-1,0)-1,0))</f>
        <v>#REF!</v>
      </c>
      <c r="AC122" s="57" t="e">
        <f ca="1">IF(#REF!,12,IF(OFFSET(#REF!,-1,0)&gt;0,OFFSET(#REF!,-1,0)-1,0))</f>
        <v>#REF!</v>
      </c>
      <c r="AD122" s="57" t="e">
        <f ca="1">IF(#REF!,12,IF(OFFSET(#REF!,-1,0)&gt;0,OFFSET(#REF!,-1,0)-1,0))</f>
        <v>#REF!</v>
      </c>
      <c r="AE122" s="57" t="e">
        <f ca="1">IF(#REF!,12,IF(OFFSET(#REF!,-1,0)&gt;0,OFFSET(#REF!,-1,0)-1,0))</f>
        <v>#REF!</v>
      </c>
      <c r="AF122" s="57" t="e">
        <f ca="1">IF(#REF!,12,IF(OFFSET(#REF!,-1,0)&gt;0,OFFSET(#REF!,-1,0)-1,0))</f>
        <v>#REF!</v>
      </c>
      <c r="AG122" s="57" t="e">
        <f ca="1">IF(#REF!,12,IF(OFFSET(#REF!,-1,0)&gt;0,OFFSET(#REF!,-1,0)-1,0))</f>
        <v>#REF!</v>
      </c>
      <c r="AH122" s="57" t="e">
        <f ca="1">IF(#REF!,12,IF(OFFSET(#REF!,-1,0)&gt;0,OFFSET(#REF!,-1,0)-1,0))</f>
        <v>#REF!</v>
      </c>
      <c r="AI122" s="57" t="e">
        <f ca="1">IF(#REF!,12,IF(OFFSET(#REF!,-1,0)&gt;0,OFFSET(#REF!,-1,0)-1,0))</f>
        <v>#REF!</v>
      </c>
      <c r="AJ122" s="57" t="e">
        <f ca="1">IF(#REF!,12,IF(OFFSET(#REF!,-1,0)&gt;0,OFFSET(#REF!,-1,0)-1,0))</f>
        <v>#REF!</v>
      </c>
      <c r="AK122" s="57" t="e">
        <f ca="1">IF(#REF!,12,IF(OFFSET(#REF!,-1,0)&gt;0,OFFSET(#REF!,-1,0)-1,0))</f>
        <v>#REF!</v>
      </c>
      <c r="AL122" s="57" t="e">
        <f ca="1">IF(#REF!,12,IF(OFFSET(#REF!,-1,0)&gt;0,OFFSET(#REF!,-1,0)-1,0))</f>
        <v>#REF!</v>
      </c>
      <c r="AM122" s="57" t="e">
        <f ca="1">IF(#REF!,12,IF(OFFSET(#REF!,-1,0)&gt;0,OFFSET(#REF!,-1,0)-1,0))</f>
        <v>#REF!</v>
      </c>
      <c r="AN122" s="57" t="e">
        <f ca="1">IF(#REF!,12,IF(OFFSET(#REF!,-1,0)&gt;0,OFFSET(#REF!,-1,0)-1,0))</f>
        <v>#REF!</v>
      </c>
      <c r="AO122" s="57" t="e">
        <f ca="1">IF(#REF!,12,IF(OFFSET(#REF!,-1,0)&gt;0,OFFSET(#REF!,-1,0)-1,0))</f>
        <v>#REF!</v>
      </c>
    </row>
    <row r="123" spans="1:41" x14ac:dyDescent="0.25">
      <c r="A123" s="130" t="e">
        <f>#REF!</f>
        <v>#REF!</v>
      </c>
      <c r="B123" s="133" t="e">
        <f>#REF!</f>
        <v>#REF!</v>
      </c>
      <c r="C123" s="39" t="e">
        <f>#REF!</f>
        <v>#REF!</v>
      </c>
      <c r="D123" s="135" t="e">
        <f ca="1">MIN(1,OFFSET(#REF!,-1,0)+0.04+ROUNDDOWN(10*OFFSET(#REF!,-1,0),0)+ tech_2_7*OFFSET(#REF!,-1,0) + tech_5_6*OFFSET(#REF!,-1,0) )-#REF!</f>
        <v>#REF!</v>
      </c>
      <c r="E123" s="147" t="e">
        <f ca="1">OFFSET(#REF!,-1,0)+1/24</f>
        <v>#REF!</v>
      </c>
      <c r="F123" s="135" t="e">
        <f>#REF!</f>
        <v>#REF!</v>
      </c>
      <c r="G123" s="210"/>
      <c r="H123" s="210"/>
      <c r="I123" s="210"/>
      <c r="J123" s="210"/>
      <c r="K123" s="386"/>
      <c r="L123" s="210"/>
      <c r="M123" s="210"/>
      <c r="N123" s="210"/>
      <c r="O123" s="210"/>
      <c r="P123" s="210"/>
      <c r="Q123" s="210"/>
      <c r="R123" s="210"/>
      <c r="S123" s="210"/>
      <c r="T123" s="210"/>
      <c r="U123" s="210"/>
      <c r="V123" s="210"/>
      <c r="W123" s="134"/>
      <c r="X123" s="39" t="e">
        <f>(MAX(1-wg_spell_cost_cap,1-wg_spell_cost_red*ROUND(#REF!/#REF!,4))+ tech_3_9*#REF! + tech_6_2_2*#REF! )*(#REF!-#REF!*20)*(#REF!* Constants!$B$75 +#REF!* Constants!$B$76 +#REF!* Constants!$B$77 +#REF!* Constants!$B$79 +#REF!* Constants!$B$78  + SUM(#REF!)*Constants!$B$80*(1+tech_9_3*#REF!))</f>
        <v>#REF!</v>
      </c>
      <c r="Y123" s="135" t="e">
        <f>SUMIF(#REF!,1)*0.05</f>
        <v>#REF!</v>
      </c>
      <c r="Z123" s="134"/>
      <c r="AA123" s="57" t="e">
        <f ca="1">IF(#REF!,12,IF(OFFSET(#REF!,-1,0)&gt;0,OFFSET(#REF!,-1,0)-1,0))</f>
        <v>#REF!</v>
      </c>
      <c r="AB123" s="57" t="e">
        <f ca="1">IF(#REF!,12,IF(OFFSET(#REF!,-1,0)&gt;0,OFFSET(#REF!,-1,0)-1,0))</f>
        <v>#REF!</v>
      </c>
      <c r="AC123" s="57" t="e">
        <f ca="1">IF(#REF!,12,IF(OFFSET(#REF!,-1,0)&gt;0,OFFSET(#REF!,-1,0)-1,0))</f>
        <v>#REF!</v>
      </c>
      <c r="AD123" s="57" t="e">
        <f ca="1">IF(#REF!,12,IF(OFFSET(#REF!,-1,0)&gt;0,OFFSET(#REF!,-1,0)-1,0))</f>
        <v>#REF!</v>
      </c>
      <c r="AE123" s="57" t="e">
        <f ca="1">IF(#REF!,12,IF(OFFSET(#REF!,-1,0)&gt;0,OFFSET(#REF!,-1,0)-1,0))</f>
        <v>#REF!</v>
      </c>
      <c r="AF123" s="57" t="e">
        <f ca="1">IF(#REF!,12,IF(OFFSET(#REF!,-1,0)&gt;0,OFFSET(#REF!,-1,0)-1,0))</f>
        <v>#REF!</v>
      </c>
      <c r="AG123" s="57" t="e">
        <f ca="1">IF(#REF!,12,IF(OFFSET(#REF!,-1,0)&gt;0,OFFSET(#REF!,-1,0)-1,0))</f>
        <v>#REF!</v>
      </c>
      <c r="AH123" s="57" t="e">
        <f ca="1">IF(#REF!,12,IF(OFFSET(#REF!,-1,0)&gt;0,OFFSET(#REF!,-1,0)-1,0))</f>
        <v>#REF!</v>
      </c>
      <c r="AI123" s="57" t="e">
        <f ca="1">IF(#REF!,12,IF(OFFSET(#REF!,-1,0)&gt;0,OFFSET(#REF!,-1,0)-1,0))</f>
        <v>#REF!</v>
      </c>
      <c r="AJ123" s="57" t="e">
        <f ca="1">IF(#REF!,12,IF(OFFSET(#REF!,-1,0)&gt;0,OFFSET(#REF!,-1,0)-1,0))</f>
        <v>#REF!</v>
      </c>
      <c r="AK123" s="57" t="e">
        <f ca="1">IF(#REF!,12,IF(OFFSET(#REF!,-1,0)&gt;0,OFFSET(#REF!,-1,0)-1,0))</f>
        <v>#REF!</v>
      </c>
      <c r="AL123" s="57" t="e">
        <f ca="1">IF(#REF!,12,IF(OFFSET(#REF!,-1,0)&gt;0,OFFSET(#REF!,-1,0)-1,0))</f>
        <v>#REF!</v>
      </c>
      <c r="AM123" s="57" t="e">
        <f ca="1">IF(#REF!,12,IF(OFFSET(#REF!,-1,0)&gt;0,OFFSET(#REF!,-1,0)-1,0))</f>
        <v>#REF!</v>
      </c>
      <c r="AN123" s="57" t="e">
        <f ca="1">IF(#REF!,12,IF(OFFSET(#REF!,-1,0)&gt;0,OFFSET(#REF!,-1,0)-1,0))</f>
        <v>#REF!</v>
      </c>
      <c r="AO123" s="57" t="e">
        <f ca="1">IF(#REF!,12,IF(OFFSET(#REF!,-1,0)&gt;0,OFFSET(#REF!,-1,0)-1,0))</f>
        <v>#REF!</v>
      </c>
    </row>
    <row r="124" spans="1:41" x14ac:dyDescent="0.25">
      <c r="A124" s="130" t="e">
        <f>#REF!</f>
        <v>#REF!</v>
      </c>
      <c r="B124" s="133" t="e">
        <f>#REF!</f>
        <v>#REF!</v>
      </c>
      <c r="C124" s="39" t="e">
        <f>#REF!</f>
        <v>#REF!</v>
      </c>
      <c r="D124" s="135" t="e">
        <f ca="1">MIN(1,OFFSET(#REF!,-1,0)+0.04+ROUNDDOWN(10*OFFSET(#REF!,-1,0),0)+ tech_2_7*OFFSET(#REF!,-1,0) + tech_5_6*OFFSET(#REF!,-1,0) )-#REF!</f>
        <v>#REF!</v>
      </c>
      <c r="E124" s="147" t="e">
        <f ca="1">OFFSET(#REF!,-1,0)+1/24</f>
        <v>#REF!</v>
      </c>
      <c r="F124" s="135" t="e">
        <f>#REF!</f>
        <v>#REF!</v>
      </c>
      <c r="G124" s="210"/>
      <c r="H124" s="210"/>
      <c r="I124" s="210"/>
      <c r="J124" s="210"/>
      <c r="K124" s="386"/>
      <c r="L124" s="210"/>
      <c r="M124" s="210"/>
      <c r="N124" s="210"/>
      <c r="O124" s="210"/>
      <c r="P124" s="210"/>
      <c r="Q124" s="210"/>
      <c r="R124" s="210"/>
      <c r="S124" s="210"/>
      <c r="T124" s="210"/>
      <c r="U124" s="210"/>
      <c r="V124" s="210"/>
      <c r="W124" s="134"/>
      <c r="X124" s="39" t="e">
        <f>(MAX(1-wg_spell_cost_cap,1-wg_spell_cost_red*ROUND(#REF!/#REF!,4))+ tech_3_9*#REF! + tech_6_2_2*#REF! )*(#REF!-#REF!*20)*(#REF!* Constants!$B$75 +#REF!* Constants!$B$76 +#REF!* Constants!$B$77 +#REF!* Constants!$B$79 +#REF!* Constants!$B$78  + SUM(#REF!)*Constants!$B$80*(1+tech_9_3*#REF!))</f>
        <v>#REF!</v>
      </c>
      <c r="Y124" s="135" t="e">
        <f>SUMIF(#REF!,1)*0.05</f>
        <v>#REF!</v>
      </c>
      <c r="Z124" s="134"/>
      <c r="AA124" s="57" t="e">
        <f ca="1">IF(#REF!,12,IF(OFFSET(#REF!,-1,0)&gt;0,OFFSET(#REF!,-1,0)-1,0))</f>
        <v>#REF!</v>
      </c>
      <c r="AB124" s="57" t="e">
        <f ca="1">IF(#REF!,12,IF(OFFSET(#REF!,-1,0)&gt;0,OFFSET(#REF!,-1,0)-1,0))</f>
        <v>#REF!</v>
      </c>
      <c r="AC124" s="57" t="e">
        <f ca="1">IF(#REF!,12,IF(OFFSET(#REF!,-1,0)&gt;0,OFFSET(#REF!,-1,0)-1,0))</f>
        <v>#REF!</v>
      </c>
      <c r="AD124" s="57" t="e">
        <f ca="1">IF(#REF!,12,IF(OFFSET(#REF!,-1,0)&gt;0,OFFSET(#REF!,-1,0)-1,0))</f>
        <v>#REF!</v>
      </c>
      <c r="AE124" s="57" t="e">
        <f ca="1">IF(#REF!,12,IF(OFFSET(#REF!,-1,0)&gt;0,OFFSET(#REF!,-1,0)-1,0))</f>
        <v>#REF!</v>
      </c>
      <c r="AF124" s="57" t="e">
        <f ca="1">IF(#REF!,12,IF(OFFSET(#REF!,-1,0)&gt;0,OFFSET(#REF!,-1,0)-1,0))</f>
        <v>#REF!</v>
      </c>
      <c r="AG124" s="57" t="e">
        <f ca="1">IF(#REF!,12,IF(OFFSET(#REF!,-1,0)&gt;0,OFFSET(#REF!,-1,0)-1,0))</f>
        <v>#REF!</v>
      </c>
      <c r="AH124" s="57" t="e">
        <f ca="1">IF(#REF!,12,IF(OFFSET(#REF!,-1,0)&gt;0,OFFSET(#REF!,-1,0)-1,0))</f>
        <v>#REF!</v>
      </c>
      <c r="AI124" s="57" t="e">
        <f ca="1">IF(#REF!,12,IF(OFFSET(#REF!,-1,0)&gt;0,OFFSET(#REF!,-1,0)-1,0))</f>
        <v>#REF!</v>
      </c>
      <c r="AJ124" s="57" t="e">
        <f ca="1">IF(#REF!,12,IF(OFFSET(#REF!,-1,0)&gt;0,OFFSET(#REF!,-1,0)-1,0))</f>
        <v>#REF!</v>
      </c>
      <c r="AK124" s="57" t="e">
        <f ca="1">IF(#REF!,12,IF(OFFSET(#REF!,-1,0)&gt;0,OFFSET(#REF!,-1,0)-1,0))</f>
        <v>#REF!</v>
      </c>
      <c r="AL124" s="57" t="e">
        <f ca="1">IF(#REF!,12,IF(OFFSET(#REF!,-1,0)&gt;0,OFFSET(#REF!,-1,0)-1,0))</f>
        <v>#REF!</v>
      </c>
      <c r="AM124" s="57" t="e">
        <f ca="1">IF(#REF!,12,IF(OFFSET(#REF!,-1,0)&gt;0,OFFSET(#REF!,-1,0)-1,0))</f>
        <v>#REF!</v>
      </c>
      <c r="AN124" s="57" t="e">
        <f ca="1">IF(#REF!,12,IF(OFFSET(#REF!,-1,0)&gt;0,OFFSET(#REF!,-1,0)-1,0))</f>
        <v>#REF!</v>
      </c>
      <c r="AO124" s="57" t="e">
        <f ca="1">IF(#REF!,12,IF(OFFSET(#REF!,-1,0)&gt;0,OFFSET(#REF!,-1,0)-1,0))</f>
        <v>#REF!</v>
      </c>
    </row>
    <row r="125" spans="1:41" x14ac:dyDescent="0.25">
      <c r="A125" s="130" t="e">
        <f>#REF!</f>
        <v>#REF!</v>
      </c>
      <c r="B125" s="133" t="e">
        <f>#REF!</f>
        <v>#REF!</v>
      </c>
      <c r="C125" s="39" t="e">
        <f>#REF!</f>
        <v>#REF!</v>
      </c>
      <c r="D125" s="135" t="e">
        <f ca="1">MIN(1,OFFSET(#REF!,-1,0)+0.04+ROUNDDOWN(10*OFFSET(#REF!,-1,0),0)+ tech_2_7*OFFSET(#REF!,-1,0) + tech_5_6*OFFSET(#REF!,-1,0) )-#REF!</f>
        <v>#REF!</v>
      </c>
      <c r="E125" s="147" t="e">
        <f ca="1">OFFSET(#REF!,-1,0)+1/24</f>
        <v>#REF!</v>
      </c>
      <c r="F125" s="135" t="e">
        <f>#REF!</f>
        <v>#REF!</v>
      </c>
      <c r="G125" s="210"/>
      <c r="H125" s="210"/>
      <c r="I125" s="210"/>
      <c r="J125" s="210"/>
      <c r="K125" s="386"/>
      <c r="L125" s="210"/>
      <c r="M125" s="210"/>
      <c r="N125" s="210"/>
      <c r="O125" s="210"/>
      <c r="P125" s="210"/>
      <c r="Q125" s="210"/>
      <c r="R125" s="210"/>
      <c r="S125" s="210"/>
      <c r="T125" s="210"/>
      <c r="U125" s="210"/>
      <c r="V125" s="210"/>
      <c r="W125" s="134"/>
      <c r="X125" s="39" t="e">
        <f>(MAX(1-wg_spell_cost_cap,1-wg_spell_cost_red*ROUND(#REF!/#REF!,4))+ tech_3_9*#REF! + tech_6_2_2*#REF! )*(#REF!-#REF!*20)*(#REF!* Constants!$B$75 +#REF!* Constants!$B$76 +#REF!* Constants!$B$77 +#REF!* Constants!$B$79 +#REF!* Constants!$B$78  + SUM(#REF!)*Constants!$B$80*(1+tech_9_3*#REF!))</f>
        <v>#REF!</v>
      </c>
      <c r="Y125" s="135" t="e">
        <f>SUMIF(#REF!,1)*0.05</f>
        <v>#REF!</v>
      </c>
      <c r="Z125" s="134"/>
      <c r="AA125" s="57" t="e">
        <f ca="1">IF(#REF!,12,IF(OFFSET(#REF!,-1,0)&gt;0,OFFSET(#REF!,-1,0)-1,0))</f>
        <v>#REF!</v>
      </c>
      <c r="AB125" s="57" t="e">
        <f ca="1">IF(#REF!,12,IF(OFFSET(#REF!,-1,0)&gt;0,OFFSET(#REF!,-1,0)-1,0))</f>
        <v>#REF!</v>
      </c>
      <c r="AC125" s="57" t="e">
        <f ca="1">IF(#REF!,12,IF(OFFSET(#REF!,-1,0)&gt;0,OFFSET(#REF!,-1,0)-1,0))</f>
        <v>#REF!</v>
      </c>
      <c r="AD125" s="57" t="e">
        <f ca="1">IF(#REF!,12,IF(OFFSET(#REF!,-1,0)&gt;0,OFFSET(#REF!,-1,0)-1,0))</f>
        <v>#REF!</v>
      </c>
      <c r="AE125" s="57" t="e">
        <f ca="1">IF(#REF!,12,IF(OFFSET(#REF!,-1,0)&gt;0,OFFSET(#REF!,-1,0)-1,0))</f>
        <v>#REF!</v>
      </c>
      <c r="AF125" s="57" t="e">
        <f ca="1">IF(#REF!,12,IF(OFFSET(#REF!,-1,0)&gt;0,OFFSET(#REF!,-1,0)-1,0))</f>
        <v>#REF!</v>
      </c>
      <c r="AG125" s="57" t="e">
        <f ca="1">IF(#REF!,12,IF(OFFSET(#REF!,-1,0)&gt;0,OFFSET(#REF!,-1,0)-1,0))</f>
        <v>#REF!</v>
      </c>
      <c r="AH125" s="57" t="e">
        <f ca="1">IF(#REF!,12,IF(OFFSET(#REF!,-1,0)&gt;0,OFFSET(#REF!,-1,0)-1,0))</f>
        <v>#REF!</v>
      </c>
      <c r="AI125" s="57" t="e">
        <f ca="1">IF(#REF!,12,IF(OFFSET(#REF!,-1,0)&gt;0,OFFSET(#REF!,-1,0)-1,0))</f>
        <v>#REF!</v>
      </c>
      <c r="AJ125" s="57" t="e">
        <f ca="1">IF(#REF!,12,IF(OFFSET(#REF!,-1,0)&gt;0,OFFSET(#REF!,-1,0)-1,0))</f>
        <v>#REF!</v>
      </c>
      <c r="AK125" s="57" t="e">
        <f ca="1">IF(#REF!,12,IF(OFFSET(#REF!,-1,0)&gt;0,OFFSET(#REF!,-1,0)-1,0))</f>
        <v>#REF!</v>
      </c>
      <c r="AL125" s="57" t="e">
        <f ca="1">IF(#REF!,12,IF(OFFSET(#REF!,-1,0)&gt;0,OFFSET(#REF!,-1,0)-1,0))</f>
        <v>#REF!</v>
      </c>
      <c r="AM125" s="57" t="e">
        <f ca="1">IF(#REF!,12,IF(OFFSET(#REF!,-1,0)&gt;0,OFFSET(#REF!,-1,0)-1,0))</f>
        <v>#REF!</v>
      </c>
      <c r="AN125" s="57" t="e">
        <f ca="1">IF(#REF!,12,IF(OFFSET(#REF!,-1,0)&gt;0,OFFSET(#REF!,-1,0)-1,0))</f>
        <v>#REF!</v>
      </c>
      <c r="AO125" s="57" t="e">
        <f ca="1">IF(#REF!,12,IF(OFFSET(#REF!,-1,0)&gt;0,OFFSET(#REF!,-1,0)-1,0))</f>
        <v>#REF!</v>
      </c>
    </row>
    <row r="126" spans="1:41" x14ac:dyDescent="0.25">
      <c r="A126" s="130" t="e">
        <f>#REF!</f>
        <v>#REF!</v>
      </c>
      <c r="B126" s="133" t="e">
        <f>#REF!</f>
        <v>#REF!</v>
      </c>
      <c r="C126" s="39" t="e">
        <f>#REF!</f>
        <v>#REF!</v>
      </c>
      <c r="D126" s="135" t="e">
        <f ca="1">MIN(1,OFFSET(#REF!,-1,0)+0.04+ROUNDDOWN(10*OFFSET(#REF!,-1,0),0)+ tech_2_7*OFFSET(#REF!,-1,0) + tech_5_6*OFFSET(#REF!,-1,0) )-#REF!</f>
        <v>#REF!</v>
      </c>
      <c r="E126" s="147" t="e">
        <f ca="1">OFFSET(#REF!,-1,0)+1/24</f>
        <v>#REF!</v>
      </c>
      <c r="F126" s="135" t="e">
        <f>#REF!</f>
        <v>#REF!</v>
      </c>
      <c r="G126" s="210"/>
      <c r="H126" s="210"/>
      <c r="I126" s="210"/>
      <c r="J126" s="210"/>
      <c r="K126" s="386"/>
      <c r="L126" s="210"/>
      <c r="M126" s="210"/>
      <c r="N126" s="210"/>
      <c r="O126" s="210"/>
      <c r="P126" s="210"/>
      <c r="Q126" s="210"/>
      <c r="R126" s="210"/>
      <c r="S126" s="210"/>
      <c r="T126" s="210"/>
      <c r="U126" s="210"/>
      <c r="V126" s="210"/>
      <c r="W126" s="134"/>
      <c r="X126" s="39" t="e">
        <f>(MAX(1-wg_spell_cost_cap,1-wg_spell_cost_red*ROUND(#REF!/#REF!,4))+ tech_3_9*#REF! + tech_6_2_2*#REF! )*(#REF!-#REF!*20)*(#REF!* Constants!$B$75 +#REF!* Constants!$B$76 +#REF!* Constants!$B$77 +#REF!* Constants!$B$79 +#REF!* Constants!$B$78  + SUM(#REF!)*Constants!$B$80*(1+tech_9_3*#REF!))</f>
        <v>#REF!</v>
      </c>
      <c r="Y126" s="135" t="e">
        <f>SUMIF(#REF!,1)*0.05</f>
        <v>#REF!</v>
      </c>
      <c r="Z126" s="134"/>
      <c r="AA126" s="57" t="e">
        <f ca="1">IF(#REF!,12,IF(OFFSET(#REF!,-1,0)&gt;0,OFFSET(#REF!,-1,0)-1,0))</f>
        <v>#REF!</v>
      </c>
      <c r="AB126" s="57" t="e">
        <f ca="1">IF(#REF!,12,IF(OFFSET(#REF!,-1,0)&gt;0,OFFSET(#REF!,-1,0)-1,0))</f>
        <v>#REF!</v>
      </c>
      <c r="AC126" s="57" t="e">
        <f ca="1">IF(#REF!,12,IF(OFFSET(#REF!,-1,0)&gt;0,OFFSET(#REF!,-1,0)-1,0))</f>
        <v>#REF!</v>
      </c>
      <c r="AD126" s="57" t="e">
        <f ca="1">IF(#REF!,12,IF(OFFSET(#REF!,-1,0)&gt;0,OFFSET(#REF!,-1,0)-1,0))</f>
        <v>#REF!</v>
      </c>
      <c r="AE126" s="57" t="e">
        <f ca="1">IF(#REF!,12,IF(OFFSET(#REF!,-1,0)&gt;0,OFFSET(#REF!,-1,0)-1,0))</f>
        <v>#REF!</v>
      </c>
      <c r="AF126" s="57" t="e">
        <f ca="1">IF(#REF!,12,IF(OFFSET(#REF!,-1,0)&gt;0,OFFSET(#REF!,-1,0)-1,0))</f>
        <v>#REF!</v>
      </c>
      <c r="AG126" s="57" t="e">
        <f ca="1">IF(#REF!,12,IF(OFFSET(#REF!,-1,0)&gt;0,OFFSET(#REF!,-1,0)-1,0))</f>
        <v>#REF!</v>
      </c>
      <c r="AH126" s="57" t="e">
        <f ca="1">IF(#REF!,12,IF(OFFSET(#REF!,-1,0)&gt;0,OFFSET(#REF!,-1,0)-1,0))</f>
        <v>#REF!</v>
      </c>
      <c r="AI126" s="57" t="e">
        <f ca="1">IF(#REF!,12,IF(OFFSET(#REF!,-1,0)&gt;0,OFFSET(#REF!,-1,0)-1,0))</f>
        <v>#REF!</v>
      </c>
      <c r="AJ126" s="57" t="e">
        <f ca="1">IF(#REF!,12,IF(OFFSET(#REF!,-1,0)&gt;0,OFFSET(#REF!,-1,0)-1,0))</f>
        <v>#REF!</v>
      </c>
      <c r="AK126" s="57" t="e">
        <f ca="1">IF(#REF!,12,IF(OFFSET(#REF!,-1,0)&gt;0,OFFSET(#REF!,-1,0)-1,0))</f>
        <v>#REF!</v>
      </c>
      <c r="AL126" s="57" t="e">
        <f ca="1">IF(#REF!,12,IF(OFFSET(#REF!,-1,0)&gt;0,OFFSET(#REF!,-1,0)-1,0))</f>
        <v>#REF!</v>
      </c>
      <c r="AM126" s="57" t="e">
        <f ca="1">IF(#REF!,12,IF(OFFSET(#REF!,-1,0)&gt;0,OFFSET(#REF!,-1,0)-1,0))</f>
        <v>#REF!</v>
      </c>
      <c r="AN126" s="57" t="e">
        <f ca="1">IF(#REF!,12,IF(OFFSET(#REF!,-1,0)&gt;0,OFFSET(#REF!,-1,0)-1,0))</f>
        <v>#REF!</v>
      </c>
      <c r="AO126" s="57" t="e">
        <f ca="1">IF(#REF!,12,IF(OFFSET(#REF!,-1,0)&gt;0,OFFSET(#REF!,-1,0)-1,0))</f>
        <v>#REF!</v>
      </c>
    </row>
    <row r="127" spans="1:41" x14ac:dyDescent="0.25">
      <c r="A127" s="130" t="e">
        <f>#REF!</f>
        <v>#REF!</v>
      </c>
      <c r="B127" s="133" t="e">
        <f>#REF!</f>
        <v>#REF!</v>
      </c>
      <c r="C127" s="39" t="e">
        <f>#REF!</f>
        <v>#REF!</v>
      </c>
      <c r="D127" s="135" t="e">
        <f ca="1">MIN(1,OFFSET(#REF!,-1,0)+0.04+ROUNDDOWN(10*OFFSET(#REF!,-1,0),0)+ tech_2_7*OFFSET(#REF!,-1,0) + tech_5_6*OFFSET(#REF!,-1,0) )-#REF!</f>
        <v>#REF!</v>
      </c>
      <c r="E127" s="147" t="e">
        <f ca="1">OFFSET(#REF!,-1,0)+1/24</f>
        <v>#REF!</v>
      </c>
      <c r="F127" s="135" t="e">
        <f>#REF!</f>
        <v>#REF!</v>
      </c>
      <c r="G127" s="210"/>
      <c r="H127" s="210"/>
      <c r="I127" s="210"/>
      <c r="J127" s="210"/>
      <c r="K127" s="386"/>
      <c r="L127" s="210"/>
      <c r="M127" s="210"/>
      <c r="N127" s="210"/>
      <c r="O127" s="210"/>
      <c r="P127" s="210"/>
      <c r="Q127" s="210"/>
      <c r="R127" s="210"/>
      <c r="S127" s="210"/>
      <c r="T127" s="210"/>
      <c r="U127" s="210"/>
      <c r="V127" s="210"/>
      <c r="W127" s="134"/>
      <c r="X127" s="39" t="e">
        <f>(MAX(1-wg_spell_cost_cap,1-wg_spell_cost_red*ROUND(#REF!/#REF!,4))+ tech_3_9*#REF! + tech_6_2_2*#REF! )*(#REF!-#REF!*20)*(#REF!* Constants!$B$75 +#REF!* Constants!$B$76 +#REF!* Constants!$B$77 +#REF!* Constants!$B$79 +#REF!* Constants!$B$78  + SUM(#REF!)*Constants!$B$80*(1+tech_9_3*#REF!))</f>
        <v>#REF!</v>
      </c>
      <c r="Y127" s="135" t="e">
        <f>SUMIF(#REF!,1)*0.05</f>
        <v>#REF!</v>
      </c>
      <c r="Z127" s="134"/>
      <c r="AA127" s="57" t="e">
        <f ca="1">IF(#REF!,12,IF(OFFSET(#REF!,-1,0)&gt;0,OFFSET(#REF!,-1,0)-1,0))</f>
        <v>#REF!</v>
      </c>
      <c r="AB127" s="57" t="e">
        <f ca="1">IF(#REF!,12,IF(OFFSET(#REF!,-1,0)&gt;0,OFFSET(#REF!,-1,0)-1,0))</f>
        <v>#REF!</v>
      </c>
      <c r="AC127" s="57" t="e">
        <f ca="1">IF(#REF!,12,IF(OFFSET(#REF!,-1,0)&gt;0,OFFSET(#REF!,-1,0)-1,0))</f>
        <v>#REF!</v>
      </c>
      <c r="AD127" s="57" t="e">
        <f ca="1">IF(#REF!,12,IF(OFFSET(#REF!,-1,0)&gt;0,OFFSET(#REF!,-1,0)-1,0))</f>
        <v>#REF!</v>
      </c>
      <c r="AE127" s="57" t="e">
        <f ca="1">IF(#REF!,12,IF(OFFSET(#REF!,-1,0)&gt;0,OFFSET(#REF!,-1,0)-1,0))</f>
        <v>#REF!</v>
      </c>
      <c r="AF127" s="57" t="e">
        <f ca="1">IF(#REF!,12,IF(OFFSET(#REF!,-1,0)&gt;0,OFFSET(#REF!,-1,0)-1,0))</f>
        <v>#REF!</v>
      </c>
      <c r="AG127" s="57" t="e">
        <f ca="1">IF(#REF!,12,IF(OFFSET(#REF!,-1,0)&gt;0,OFFSET(#REF!,-1,0)-1,0))</f>
        <v>#REF!</v>
      </c>
      <c r="AH127" s="57" t="e">
        <f ca="1">IF(#REF!,12,IF(OFFSET(#REF!,-1,0)&gt;0,OFFSET(#REF!,-1,0)-1,0))</f>
        <v>#REF!</v>
      </c>
      <c r="AI127" s="57" t="e">
        <f ca="1">IF(#REF!,12,IF(OFFSET(#REF!,-1,0)&gt;0,OFFSET(#REF!,-1,0)-1,0))</f>
        <v>#REF!</v>
      </c>
      <c r="AJ127" s="57" t="e">
        <f ca="1">IF(#REF!,12,IF(OFFSET(#REF!,-1,0)&gt;0,OFFSET(#REF!,-1,0)-1,0))</f>
        <v>#REF!</v>
      </c>
      <c r="AK127" s="57" t="e">
        <f ca="1">IF(#REF!,12,IF(OFFSET(#REF!,-1,0)&gt;0,OFFSET(#REF!,-1,0)-1,0))</f>
        <v>#REF!</v>
      </c>
      <c r="AL127" s="57" t="e">
        <f ca="1">IF(#REF!,12,IF(OFFSET(#REF!,-1,0)&gt;0,OFFSET(#REF!,-1,0)-1,0))</f>
        <v>#REF!</v>
      </c>
      <c r="AM127" s="57" t="e">
        <f ca="1">IF(#REF!,12,IF(OFFSET(#REF!,-1,0)&gt;0,OFFSET(#REF!,-1,0)-1,0))</f>
        <v>#REF!</v>
      </c>
      <c r="AN127" s="57" t="e">
        <f ca="1">IF(#REF!,12,IF(OFFSET(#REF!,-1,0)&gt;0,OFFSET(#REF!,-1,0)-1,0))</f>
        <v>#REF!</v>
      </c>
      <c r="AO127" s="57" t="e">
        <f ca="1">IF(#REF!,12,IF(OFFSET(#REF!,-1,0)&gt;0,OFFSET(#REF!,-1,0)-1,0))</f>
        <v>#REF!</v>
      </c>
    </row>
    <row r="128" spans="1:41" x14ac:dyDescent="0.25">
      <c r="A128" s="130" t="e">
        <f>#REF!</f>
        <v>#REF!</v>
      </c>
      <c r="B128" s="133" t="e">
        <f>#REF!</f>
        <v>#REF!</v>
      </c>
      <c r="C128" s="39" t="e">
        <f>#REF!</f>
        <v>#REF!</v>
      </c>
      <c r="D128" s="135" t="e">
        <f ca="1">MIN(1,OFFSET(#REF!,-1,0)+0.04+ROUNDDOWN(10*OFFSET(#REF!,-1,0),0)+ tech_2_7*OFFSET(#REF!,-1,0) + tech_5_6*OFFSET(#REF!,-1,0) )-#REF!</f>
        <v>#REF!</v>
      </c>
      <c r="E128" s="147" t="e">
        <f ca="1">OFFSET(#REF!,-1,0)+1/24</f>
        <v>#REF!</v>
      </c>
      <c r="F128" s="135" t="e">
        <f>#REF!</f>
        <v>#REF!</v>
      </c>
      <c r="G128" s="210"/>
      <c r="H128" s="210"/>
      <c r="I128" s="210"/>
      <c r="J128" s="210"/>
      <c r="K128" s="386"/>
      <c r="L128" s="210"/>
      <c r="M128" s="210"/>
      <c r="N128" s="210"/>
      <c r="O128" s="210"/>
      <c r="P128" s="210"/>
      <c r="Q128" s="210"/>
      <c r="R128" s="210"/>
      <c r="S128" s="210"/>
      <c r="T128" s="210"/>
      <c r="U128" s="210"/>
      <c r="V128" s="210"/>
      <c r="W128" s="134"/>
      <c r="X128" s="39" t="e">
        <f>(MAX(1-wg_spell_cost_cap,1-wg_spell_cost_red*ROUND(#REF!/#REF!,4))+ tech_3_9*#REF! + tech_6_2_2*#REF! )*(#REF!-#REF!*20)*(#REF!* Constants!$B$75 +#REF!* Constants!$B$76 +#REF!* Constants!$B$77 +#REF!* Constants!$B$79 +#REF!* Constants!$B$78  + SUM(#REF!)*Constants!$B$80*(1+tech_9_3*#REF!))</f>
        <v>#REF!</v>
      </c>
      <c r="Y128" s="135" t="e">
        <f>SUMIF(#REF!,1)*0.05</f>
        <v>#REF!</v>
      </c>
      <c r="Z128" s="134"/>
      <c r="AA128" s="57" t="e">
        <f ca="1">IF(#REF!,12,IF(OFFSET(#REF!,-1,0)&gt;0,OFFSET(#REF!,-1,0)-1,0))</f>
        <v>#REF!</v>
      </c>
      <c r="AB128" s="57" t="e">
        <f ca="1">IF(#REF!,12,IF(OFFSET(#REF!,-1,0)&gt;0,OFFSET(#REF!,-1,0)-1,0))</f>
        <v>#REF!</v>
      </c>
      <c r="AC128" s="57" t="e">
        <f ca="1">IF(#REF!,12,IF(OFFSET(#REF!,-1,0)&gt;0,OFFSET(#REF!,-1,0)-1,0))</f>
        <v>#REF!</v>
      </c>
      <c r="AD128" s="57" t="e">
        <f ca="1">IF(#REF!,12,IF(OFFSET(#REF!,-1,0)&gt;0,OFFSET(#REF!,-1,0)-1,0))</f>
        <v>#REF!</v>
      </c>
      <c r="AE128" s="57" t="e">
        <f ca="1">IF(#REF!,12,IF(OFFSET(#REF!,-1,0)&gt;0,OFFSET(#REF!,-1,0)-1,0))</f>
        <v>#REF!</v>
      </c>
      <c r="AF128" s="57" t="e">
        <f ca="1">IF(#REF!,12,IF(OFFSET(#REF!,-1,0)&gt;0,OFFSET(#REF!,-1,0)-1,0))</f>
        <v>#REF!</v>
      </c>
      <c r="AG128" s="57" t="e">
        <f ca="1">IF(#REF!,12,IF(OFFSET(#REF!,-1,0)&gt;0,OFFSET(#REF!,-1,0)-1,0))</f>
        <v>#REF!</v>
      </c>
      <c r="AH128" s="57" t="e">
        <f ca="1">IF(#REF!,12,IF(OFFSET(#REF!,-1,0)&gt;0,OFFSET(#REF!,-1,0)-1,0))</f>
        <v>#REF!</v>
      </c>
      <c r="AI128" s="57" t="e">
        <f ca="1">IF(#REF!,12,IF(OFFSET(#REF!,-1,0)&gt;0,OFFSET(#REF!,-1,0)-1,0))</f>
        <v>#REF!</v>
      </c>
      <c r="AJ128" s="57" t="e">
        <f ca="1">IF(#REF!,12,IF(OFFSET(#REF!,-1,0)&gt;0,OFFSET(#REF!,-1,0)-1,0))</f>
        <v>#REF!</v>
      </c>
      <c r="AK128" s="57" t="e">
        <f ca="1">IF(#REF!,12,IF(OFFSET(#REF!,-1,0)&gt;0,OFFSET(#REF!,-1,0)-1,0))</f>
        <v>#REF!</v>
      </c>
      <c r="AL128" s="57" t="e">
        <f ca="1">IF(#REF!,12,IF(OFFSET(#REF!,-1,0)&gt;0,OFFSET(#REF!,-1,0)-1,0))</f>
        <v>#REF!</v>
      </c>
      <c r="AM128" s="57" t="e">
        <f ca="1">IF(#REF!,12,IF(OFFSET(#REF!,-1,0)&gt;0,OFFSET(#REF!,-1,0)-1,0))</f>
        <v>#REF!</v>
      </c>
      <c r="AN128" s="57" t="e">
        <f ca="1">IF(#REF!,12,IF(OFFSET(#REF!,-1,0)&gt;0,OFFSET(#REF!,-1,0)-1,0))</f>
        <v>#REF!</v>
      </c>
      <c r="AO128" s="57" t="e">
        <f ca="1">IF(#REF!,12,IF(OFFSET(#REF!,-1,0)&gt;0,OFFSET(#REF!,-1,0)-1,0))</f>
        <v>#REF!</v>
      </c>
    </row>
    <row r="129" spans="1:41" x14ac:dyDescent="0.25">
      <c r="A129" s="130" t="e">
        <f>#REF!</f>
        <v>#REF!</v>
      </c>
      <c r="B129" s="133" t="e">
        <f>#REF!</f>
        <v>#REF!</v>
      </c>
      <c r="C129" s="39" t="e">
        <f>#REF!</f>
        <v>#REF!</v>
      </c>
      <c r="D129" s="135" t="e">
        <f ca="1">MIN(1,OFFSET(#REF!,-1,0)+0.04+ROUNDDOWN(10*OFFSET(#REF!,-1,0),0)+ tech_2_7*OFFSET(#REF!,-1,0) + tech_5_6*OFFSET(#REF!,-1,0) )-#REF!</f>
        <v>#REF!</v>
      </c>
      <c r="E129" s="147" t="e">
        <f ca="1">OFFSET(#REF!,-1,0)+1/24</f>
        <v>#REF!</v>
      </c>
      <c r="F129" s="135" t="e">
        <f>#REF!</f>
        <v>#REF!</v>
      </c>
      <c r="G129" s="210"/>
      <c r="H129" s="210"/>
      <c r="I129" s="210"/>
      <c r="J129" s="210"/>
      <c r="K129" s="386"/>
      <c r="L129" s="210"/>
      <c r="M129" s="210"/>
      <c r="N129" s="210"/>
      <c r="O129" s="210"/>
      <c r="P129" s="210"/>
      <c r="Q129" s="210"/>
      <c r="R129" s="210"/>
      <c r="S129" s="210"/>
      <c r="T129" s="210"/>
      <c r="U129" s="210"/>
      <c r="V129" s="210"/>
      <c r="W129" s="134"/>
      <c r="X129" s="39" t="e">
        <f>(MAX(1-wg_spell_cost_cap,1-wg_spell_cost_red*ROUND(#REF!/#REF!,4))+ tech_3_9*#REF! + tech_6_2_2*#REF! )*(#REF!-#REF!*20)*(#REF!* Constants!$B$75 +#REF!* Constants!$B$76 +#REF!* Constants!$B$77 +#REF!* Constants!$B$79 +#REF!* Constants!$B$78  + SUM(#REF!)*Constants!$B$80*(1+tech_9_3*#REF!))</f>
        <v>#REF!</v>
      </c>
      <c r="Y129" s="135" t="e">
        <f>SUMIF(#REF!,1)*0.05</f>
        <v>#REF!</v>
      </c>
      <c r="Z129" s="134"/>
      <c r="AA129" s="57" t="e">
        <f ca="1">IF(#REF!,12,IF(OFFSET(#REF!,-1,0)&gt;0,OFFSET(#REF!,-1,0)-1,0))</f>
        <v>#REF!</v>
      </c>
      <c r="AB129" s="57" t="e">
        <f ca="1">IF(#REF!,12,IF(OFFSET(#REF!,-1,0)&gt;0,OFFSET(#REF!,-1,0)-1,0))</f>
        <v>#REF!</v>
      </c>
      <c r="AC129" s="57" t="e">
        <f ca="1">IF(#REF!,12,IF(OFFSET(#REF!,-1,0)&gt;0,OFFSET(#REF!,-1,0)-1,0))</f>
        <v>#REF!</v>
      </c>
      <c r="AD129" s="57" t="e">
        <f ca="1">IF(#REF!,12,IF(OFFSET(#REF!,-1,0)&gt;0,OFFSET(#REF!,-1,0)-1,0))</f>
        <v>#REF!</v>
      </c>
      <c r="AE129" s="57" t="e">
        <f ca="1">IF(#REF!,12,IF(OFFSET(#REF!,-1,0)&gt;0,OFFSET(#REF!,-1,0)-1,0))</f>
        <v>#REF!</v>
      </c>
      <c r="AF129" s="57" t="e">
        <f ca="1">IF(#REF!,12,IF(OFFSET(#REF!,-1,0)&gt;0,OFFSET(#REF!,-1,0)-1,0))</f>
        <v>#REF!</v>
      </c>
      <c r="AG129" s="57" t="e">
        <f ca="1">IF(#REF!,12,IF(OFFSET(#REF!,-1,0)&gt;0,OFFSET(#REF!,-1,0)-1,0))</f>
        <v>#REF!</v>
      </c>
      <c r="AH129" s="57" t="e">
        <f ca="1">IF(#REF!,12,IF(OFFSET(#REF!,-1,0)&gt;0,OFFSET(#REF!,-1,0)-1,0))</f>
        <v>#REF!</v>
      </c>
      <c r="AI129" s="57" t="e">
        <f ca="1">IF(#REF!,12,IF(OFFSET(#REF!,-1,0)&gt;0,OFFSET(#REF!,-1,0)-1,0))</f>
        <v>#REF!</v>
      </c>
      <c r="AJ129" s="57" t="e">
        <f ca="1">IF(#REF!,12,IF(OFFSET(#REF!,-1,0)&gt;0,OFFSET(#REF!,-1,0)-1,0))</f>
        <v>#REF!</v>
      </c>
      <c r="AK129" s="57" t="e">
        <f ca="1">IF(#REF!,12,IF(OFFSET(#REF!,-1,0)&gt;0,OFFSET(#REF!,-1,0)-1,0))</f>
        <v>#REF!</v>
      </c>
      <c r="AL129" s="57" t="e">
        <f ca="1">IF(#REF!,12,IF(OFFSET(#REF!,-1,0)&gt;0,OFFSET(#REF!,-1,0)-1,0))</f>
        <v>#REF!</v>
      </c>
      <c r="AM129" s="57" t="e">
        <f ca="1">IF(#REF!,12,IF(OFFSET(#REF!,-1,0)&gt;0,OFFSET(#REF!,-1,0)-1,0))</f>
        <v>#REF!</v>
      </c>
      <c r="AN129" s="57" t="e">
        <f ca="1">IF(#REF!,12,IF(OFFSET(#REF!,-1,0)&gt;0,OFFSET(#REF!,-1,0)-1,0))</f>
        <v>#REF!</v>
      </c>
      <c r="AO129" s="57" t="e">
        <f ca="1">IF(#REF!,12,IF(OFFSET(#REF!,-1,0)&gt;0,OFFSET(#REF!,-1,0)-1,0))</f>
        <v>#REF!</v>
      </c>
    </row>
    <row r="130" spans="1:41" x14ac:dyDescent="0.25">
      <c r="A130" s="130" t="e">
        <f>#REF!</f>
        <v>#REF!</v>
      </c>
      <c r="B130" s="133" t="e">
        <f>#REF!</f>
        <v>#REF!</v>
      </c>
      <c r="C130" s="39" t="e">
        <f>#REF!</f>
        <v>#REF!</v>
      </c>
      <c r="D130" s="135" t="e">
        <f ca="1">MIN(1,OFFSET(#REF!,-1,0)+0.04+ROUNDDOWN(10*OFFSET(#REF!,-1,0),0)+ tech_2_7*OFFSET(#REF!,-1,0) + tech_5_6*OFFSET(#REF!,-1,0) )-#REF!</f>
        <v>#REF!</v>
      </c>
      <c r="E130" s="147" t="e">
        <f ca="1">OFFSET(#REF!,-1,0)+1/24</f>
        <v>#REF!</v>
      </c>
      <c r="F130" s="135" t="e">
        <f>#REF!</f>
        <v>#REF!</v>
      </c>
      <c r="G130" s="210"/>
      <c r="H130" s="210"/>
      <c r="I130" s="210"/>
      <c r="J130" s="210"/>
      <c r="K130" s="386"/>
      <c r="L130" s="210"/>
      <c r="M130" s="210"/>
      <c r="N130" s="210"/>
      <c r="O130" s="210"/>
      <c r="P130" s="210"/>
      <c r="Q130" s="210"/>
      <c r="R130" s="210"/>
      <c r="S130" s="210"/>
      <c r="T130" s="210"/>
      <c r="U130" s="210"/>
      <c r="V130" s="210"/>
      <c r="W130" s="134"/>
      <c r="X130" s="39" t="e">
        <f>(MAX(1-wg_spell_cost_cap,1-wg_spell_cost_red*ROUND(#REF!/#REF!,4))+ tech_3_9*#REF! + tech_6_2_2*#REF! )*(#REF!-#REF!*20)*(#REF!* Constants!$B$75 +#REF!* Constants!$B$76 +#REF!* Constants!$B$77 +#REF!* Constants!$B$79 +#REF!* Constants!$B$78  + SUM(#REF!)*Constants!$B$80*(1+tech_9_3*#REF!))</f>
        <v>#REF!</v>
      </c>
      <c r="Y130" s="135" t="e">
        <f>SUMIF(#REF!,1)*0.05</f>
        <v>#REF!</v>
      </c>
      <c r="Z130" s="134"/>
      <c r="AA130" s="57" t="e">
        <f ca="1">IF(#REF!,12,IF(OFFSET(#REF!,-1,0)&gt;0,OFFSET(#REF!,-1,0)-1,0))</f>
        <v>#REF!</v>
      </c>
      <c r="AB130" s="57" t="e">
        <f ca="1">IF(#REF!,12,IF(OFFSET(#REF!,-1,0)&gt;0,OFFSET(#REF!,-1,0)-1,0))</f>
        <v>#REF!</v>
      </c>
      <c r="AC130" s="57" t="e">
        <f ca="1">IF(#REF!,12,IF(OFFSET(#REF!,-1,0)&gt;0,OFFSET(#REF!,-1,0)-1,0))</f>
        <v>#REF!</v>
      </c>
      <c r="AD130" s="57" t="e">
        <f ca="1">IF(#REF!,12,IF(OFFSET(#REF!,-1,0)&gt;0,OFFSET(#REF!,-1,0)-1,0))</f>
        <v>#REF!</v>
      </c>
      <c r="AE130" s="57" t="e">
        <f ca="1">IF(#REF!,12,IF(OFFSET(#REF!,-1,0)&gt;0,OFFSET(#REF!,-1,0)-1,0))</f>
        <v>#REF!</v>
      </c>
      <c r="AF130" s="57" t="e">
        <f ca="1">IF(#REF!,12,IF(OFFSET(#REF!,-1,0)&gt;0,OFFSET(#REF!,-1,0)-1,0))</f>
        <v>#REF!</v>
      </c>
      <c r="AG130" s="57" t="e">
        <f ca="1">IF(#REF!,12,IF(OFFSET(#REF!,-1,0)&gt;0,OFFSET(#REF!,-1,0)-1,0))</f>
        <v>#REF!</v>
      </c>
      <c r="AH130" s="57" t="e">
        <f ca="1">IF(#REF!,12,IF(OFFSET(#REF!,-1,0)&gt;0,OFFSET(#REF!,-1,0)-1,0))</f>
        <v>#REF!</v>
      </c>
      <c r="AI130" s="57" t="e">
        <f ca="1">IF(#REF!,12,IF(OFFSET(#REF!,-1,0)&gt;0,OFFSET(#REF!,-1,0)-1,0))</f>
        <v>#REF!</v>
      </c>
      <c r="AJ130" s="57" t="e">
        <f ca="1">IF(#REF!,12,IF(OFFSET(#REF!,-1,0)&gt;0,OFFSET(#REF!,-1,0)-1,0))</f>
        <v>#REF!</v>
      </c>
      <c r="AK130" s="57" t="e">
        <f ca="1">IF(#REF!,12,IF(OFFSET(#REF!,-1,0)&gt;0,OFFSET(#REF!,-1,0)-1,0))</f>
        <v>#REF!</v>
      </c>
      <c r="AL130" s="57" t="e">
        <f ca="1">IF(#REF!,12,IF(OFFSET(#REF!,-1,0)&gt;0,OFFSET(#REF!,-1,0)-1,0))</f>
        <v>#REF!</v>
      </c>
      <c r="AM130" s="57" t="e">
        <f ca="1">IF(#REF!,12,IF(OFFSET(#REF!,-1,0)&gt;0,OFFSET(#REF!,-1,0)-1,0))</f>
        <v>#REF!</v>
      </c>
      <c r="AN130" s="57" t="e">
        <f ca="1">IF(#REF!,12,IF(OFFSET(#REF!,-1,0)&gt;0,OFFSET(#REF!,-1,0)-1,0))</f>
        <v>#REF!</v>
      </c>
      <c r="AO130" s="57" t="e">
        <f ca="1">IF(#REF!,12,IF(OFFSET(#REF!,-1,0)&gt;0,OFFSET(#REF!,-1,0)-1,0))</f>
        <v>#REF!</v>
      </c>
    </row>
    <row r="131" spans="1:41" x14ac:dyDescent="0.25">
      <c r="A131" s="130" t="e">
        <f>#REF!</f>
        <v>#REF!</v>
      </c>
      <c r="B131" s="133" t="e">
        <f>#REF!</f>
        <v>#REF!</v>
      </c>
      <c r="C131" s="39" t="e">
        <f>#REF!</f>
        <v>#REF!</v>
      </c>
      <c r="D131" s="135" t="e">
        <f ca="1">MIN(1,OFFSET(#REF!,-1,0)+0.04+ROUNDDOWN(10*OFFSET(#REF!,-1,0),0)+ tech_2_7*OFFSET(#REF!,-1,0) + tech_5_6*OFFSET(#REF!,-1,0) )-#REF!</f>
        <v>#REF!</v>
      </c>
      <c r="E131" s="147" t="e">
        <f ca="1">OFFSET(#REF!,-1,0)+1/24</f>
        <v>#REF!</v>
      </c>
      <c r="F131" s="135" t="e">
        <f>#REF!</f>
        <v>#REF!</v>
      </c>
      <c r="G131" s="210"/>
      <c r="H131" s="210"/>
      <c r="I131" s="210"/>
      <c r="J131" s="210"/>
      <c r="K131" s="386"/>
      <c r="L131" s="210"/>
      <c r="M131" s="210"/>
      <c r="N131" s="210"/>
      <c r="O131" s="210"/>
      <c r="P131" s="210"/>
      <c r="Q131" s="210"/>
      <c r="R131" s="210"/>
      <c r="S131" s="210"/>
      <c r="T131" s="210"/>
      <c r="U131" s="210"/>
      <c r="V131" s="210"/>
      <c r="W131" s="134"/>
      <c r="X131" s="39" t="e">
        <f>(MAX(1-wg_spell_cost_cap,1-wg_spell_cost_red*ROUND(#REF!/#REF!,4))+ tech_3_9*#REF! + tech_6_2_2*#REF! )*(#REF!-#REF!*20)*(#REF!* Constants!$B$75 +#REF!* Constants!$B$76 +#REF!* Constants!$B$77 +#REF!* Constants!$B$79 +#REF!* Constants!$B$78  + SUM(#REF!)*Constants!$B$80*(1+tech_9_3*#REF!))</f>
        <v>#REF!</v>
      </c>
      <c r="Y131" s="135" t="e">
        <f>SUMIF(#REF!,1)*0.05</f>
        <v>#REF!</v>
      </c>
      <c r="Z131" s="134"/>
      <c r="AA131" s="57" t="e">
        <f ca="1">IF(#REF!,12,IF(OFFSET(#REF!,-1,0)&gt;0,OFFSET(#REF!,-1,0)-1,0))</f>
        <v>#REF!</v>
      </c>
      <c r="AB131" s="57" t="e">
        <f ca="1">IF(#REF!,12,IF(OFFSET(#REF!,-1,0)&gt;0,OFFSET(#REF!,-1,0)-1,0))</f>
        <v>#REF!</v>
      </c>
      <c r="AC131" s="57" t="e">
        <f ca="1">IF(#REF!,12,IF(OFFSET(#REF!,-1,0)&gt;0,OFFSET(#REF!,-1,0)-1,0))</f>
        <v>#REF!</v>
      </c>
      <c r="AD131" s="57" t="e">
        <f ca="1">IF(#REF!,12,IF(OFFSET(#REF!,-1,0)&gt;0,OFFSET(#REF!,-1,0)-1,0))</f>
        <v>#REF!</v>
      </c>
      <c r="AE131" s="57" t="e">
        <f ca="1">IF(#REF!,12,IF(OFFSET(#REF!,-1,0)&gt;0,OFFSET(#REF!,-1,0)-1,0))</f>
        <v>#REF!</v>
      </c>
      <c r="AF131" s="57" t="e">
        <f ca="1">IF(#REF!,12,IF(OFFSET(#REF!,-1,0)&gt;0,OFFSET(#REF!,-1,0)-1,0))</f>
        <v>#REF!</v>
      </c>
      <c r="AG131" s="57" t="e">
        <f ca="1">IF(#REF!,12,IF(OFFSET(#REF!,-1,0)&gt;0,OFFSET(#REF!,-1,0)-1,0))</f>
        <v>#REF!</v>
      </c>
      <c r="AH131" s="57" t="e">
        <f ca="1">IF(#REF!,12,IF(OFFSET(#REF!,-1,0)&gt;0,OFFSET(#REF!,-1,0)-1,0))</f>
        <v>#REF!</v>
      </c>
      <c r="AI131" s="57" t="e">
        <f ca="1">IF(#REF!,12,IF(OFFSET(#REF!,-1,0)&gt;0,OFFSET(#REF!,-1,0)-1,0))</f>
        <v>#REF!</v>
      </c>
      <c r="AJ131" s="57" t="e">
        <f ca="1">IF(#REF!,12,IF(OFFSET(#REF!,-1,0)&gt;0,OFFSET(#REF!,-1,0)-1,0))</f>
        <v>#REF!</v>
      </c>
      <c r="AK131" s="57" t="e">
        <f ca="1">IF(#REF!,12,IF(OFFSET(#REF!,-1,0)&gt;0,OFFSET(#REF!,-1,0)-1,0))</f>
        <v>#REF!</v>
      </c>
      <c r="AL131" s="57" t="e">
        <f ca="1">IF(#REF!,12,IF(OFFSET(#REF!,-1,0)&gt;0,OFFSET(#REF!,-1,0)-1,0))</f>
        <v>#REF!</v>
      </c>
      <c r="AM131" s="57" t="e">
        <f ca="1">IF(#REF!,12,IF(OFFSET(#REF!,-1,0)&gt;0,OFFSET(#REF!,-1,0)-1,0))</f>
        <v>#REF!</v>
      </c>
      <c r="AN131" s="57" t="e">
        <f ca="1">IF(#REF!,12,IF(OFFSET(#REF!,-1,0)&gt;0,OFFSET(#REF!,-1,0)-1,0))</f>
        <v>#REF!</v>
      </c>
      <c r="AO131" s="57" t="e">
        <f ca="1">IF(#REF!,12,IF(OFFSET(#REF!,-1,0)&gt;0,OFFSET(#REF!,-1,0)-1,0))</f>
        <v>#REF!</v>
      </c>
    </row>
    <row r="132" spans="1:41" x14ac:dyDescent="0.25">
      <c r="A132" s="130" t="e">
        <f>#REF!</f>
        <v>#REF!</v>
      </c>
      <c r="B132" s="133" t="e">
        <f>#REF!</f>
        <v>#REF!</v>
      </c>
      <c r="C132" s="39" t="e">
        <f>#REF!</f>
        <v>#REF!</v>
      </c>
      <c r="D132" s="135" t="e">
        <f ca="1">MIN(1,OFFSET(#REF!,-1,0)+0.04+ROUNDDOWN(10*OFFSET(#REF!,-1,0),0)+ tech_2_7*OFFSET(#REF!,-1,0) + tech_5_6*OFFSET(#REF!,-1,0) )-#REF!</f>
        <v>#REF!</v>
      </c>
      <c r="E132" s="147" t="e">
        <f ca="1">OFFSET(#REF!,-1,0)+1/24</f>
        <v>#REF!</v>
      </c>
      <c r="F132" s="135" t="e">
        <f>#REF!</f>
        <v>#REF!</v>
      </c>
      <c r="G132" s="210"/>
      <c r="H132" s="210"/>
      <c r="I132" s="210"/>
      <c r="J132" s="210"/>
      <c r="K132" s="386"/>
      <c r="L132" s="210"/>
      <c r="M132" s="210"/>
      <c r="N132" s="210"/>
      <c r="O132" s="210"/>
      <c r="P132" s="210"/>
      <c r="Q132" s="210"/>
      <c r="R132" s="210"/>
      <c r="S132" s="210"/>
      <c r="T132" s="210"/>
      <c r="U132" s="210"/>
      <c r="V132" s="210"/>
      <c r="W132" s="134"/>
      <c r="X132" s="39" t="e">
        <f>(MAX(1-wg_spell_cost_cap,1-wg_spell_cost_red*ROUND(#REF!/#REF!,4))+ tech_3_9*#REF! + tech_6_2_2*#REF! )*(#REF!-#REF!*20)*(#REF!* Constants!$B$75 +#REF!* Constants!$B$76 +#REF!* Constants!$B$77 +#REF!* Constants!$B$79 +#REF!* Constants!$B$78  + SUM(#REF!)*Constants!$B$80*(1+tech_9_3*#REF!))</f>
        <v>#REF!</v>
      </c>
      <c r="Y132" s="135" t="e">
        <f>SUMIF(#REF!,1)*0.05</f>
        <v>#REF!</v>
      </c>
      <c r="Z132" s="134"/>
      <c r="AA132" s="57" t="e">
        <f ca="1">IF(#REF!,12,IF(OFFSET(#REF!,-1,0)&gt;0,OFFSET(#REF!,-1,0)-1,0))</f>
        <v>#REF!</v>
      </c>
      <c r="AB132" s="57" t="e">
        <f ca="1">IF(#REF!,12,IF(OFFSET(#REF!,-1,0)&gt;0,OFFSET(#REF!,-1,0)-1,0))</f>
        <v>#REF!</v>
      </c>
      <c r="AC132" s="57" t="e">
        <f ca="1">IF(#REF!,12,IF(OFFSET(#REF!,-1,0)&gt;0,OFFSET(#REF!,-1,0)-1,0))</f>
        <v>#REF!</v>
      </c>
      <c r="AD132" s="57" t="e">
        <f ca="1">IF(#REF!,12,IF(OFFSET(#REF!,-1,0)&gt;0,OFFSET(#REF!,-1,0)-1,0))</f>
        <v>#REF!</v>
      </c>
      <c r="AE132" s="57" t="e">
        <f ca="1">IF(#REF!,12,IF(OFFSET(#REF!,-1,0)&gt;0,OFFSET(#REF!,-1,0)-1,0))</f>
        <v>#REF!</v>
      </c>
      <c r="AF132" s="57" t="e">
        <f ca="1">IF(#REF!,12,IF(OFFSET(#REF!,-1,0)&gt;0,OFFSET(#REF!,-1,0)-1,0))</f>
        <v>#REF!</v>
      </c>
      <c r="AG132" s="57" t="e">
        <f ca="1">IF(#REF!,12,IF(OFFSET(#REF!,-1,0)&gt;0,OFFSET(#REF!,-1,0)-1,0))</f>
        <v>#REF!</v>
      </c>
      <c r="AH132" s="57" t="e">
        <f ca="1">IF(#REF!,12,IF(OFFSET(#REF!,-1,0)&gt;0,OFFSET(#REF!,-1,0)-1,0))</f>
        <v>#REF!</v>
      </c>
      <c r="AI132" s="57" t="e">
        <f ca="1">IF(#REF!,12,IF(OFFSET(#REF!,-1,0)&gt;0,OFFSET(#REF!,-1,0)-1,0))</f>
        <v>#REF!</v>
      </c>
      <c r="AJ132" s="57" t="e">
        <f ca="1">IF(#REF!,12,IF(OFFSET(#REF!,-1,0)&gt;0,OFFSET(#REF!,-1,0)-1,0))</f>
        <v>#REF!</v>
      </c>
      <c r="AK132" s="57" t="e">
        <f ca="1">IF(#REF!,12,IF(OFFSET(#REF!,-1,0)&gt;0,OFFSET(#REF!,-1,0)-1,0))</f>
        <v>#REF!</v>
      </c>
      <c r="AL132" s="57" t="e">
        <f ca="1">IF(#REF!,12,IF(OFFSET(#REF!,-1,0)&gt;0,OFFSET(#REF!,-1,0)-1,0))</f>
        <v>#REF!</v>
      </c>
      <c r="AM132" s="57" t="e">
        <f ca="1">IF(#REF!,12,IF(OFFSET(#REF!,-1,0)&gt;0,OFFSET(#REF!,-1,0)-1,0))</f>
        <v>#REF!</v>
      </c>
      <c r="AN132" s="57" t="e">
        <f ca="1">IF(#REF!,12,IF(OFFSET(#REF!,-1,0)&gt;0,OFFSET(#REF!,-1,0)-1,0))</f>
        <v>#REF!</v>
      </c>
      <c r="AO132" s="57" t="e">
        <f ca="1">IF(#REF!,12,IF(OFFSET(#REF!,-1,0)&gt;0,OFFSET(#REF!,-1,0)-1,0))</f>
        <v>#REF!</v>
      </c>
    </row>
    <row r="133" spans="1:41" x14ac:dyDescent="0.25">
      <c r="A133" s="130" t="e">
        <f>#REF!</f>
        <v>#REF!</v>
      </c>
      <c r="B133" s="133" t="e">
        <f>#REF!</f>
        <v>#REF!</v>
      </c>
      <c r="C133" s="39" t="e">
        <f>#REF!</f>
        <v>#REF!</v>
      </c>
      <c r="D133" s="135" t="e">
        <f ca="1">MIN(1,OFFSET(#REF!,-1,0)+0.04+ROUNDDOWN(10*OFFSET(#REF!,-1,0),0)+ tech_2_7*OFFSET(#REF!,-1,0) + tech_5_6*OFFSET(#REF!,-1,0) )-#REF!</f>
        <v>#REF!</v>
      </c>
      <c r="E133" s="147" t="e">
        <f ca="1">OFFSET(#REF!,-1,0)+1/24</f>
        <v>#REF!</v>
      </c>
      <c r="F133" s="135" t="e">
        <f>#REF!</f>
        <v>#REF!</v>
      </c>
      <c r="G133" s="210"/>
      <c r="H133" s="210"/>
      <c r="I133" s="210"/>
      <c r="J133" s="210"/>
      <c r="K133" s="386"/>
      <c r="L133" s="210"/>
      <c r="M133" s="210"/>
      <c r="N133" s="210"/>
      <c r="O133" s="210"/>
      <c r="P133" s="210"/>
      <c r="Q133" s="210"/>
      <c r="R133" s="210"/>
      <c r="S133" s="210"/>
      <c r="T133" s="210"/>
      <c r="U133" s="210"/>
      <c r="V133" s="210"/>
      <c r="W133" s="134"/>
      <c r="X133" s="39" t="e">
        <f>(MAX(1-wg_spell_cost_cap,1-wg_spell_cost_red*ROUND(#REF!/#REF!,4))+ tech_3_9*#REF! + tech_6_2_2*#REF! )*(#REF!-#REF!*20)*(#REF!* Constants!$B$75 +#REF!* Constants!$B$76 +#REF!* Constants!$B$77 +#REF!* Constants!$B$79 +#REF!* Constants!$B$78  + SUM(#REF!)*Constants!$B$80*(1+tech_9_3*#REF!))</f>
        <v>#REF!</v>
      </c>
      <c r="Y133" s="135" t="e">
        <f>SUMIF(#REF!,1)*0.05</f>
        <v>#REF!</v>
      </c>
      <c r="Z133" s="134"/>
      <c r="AA133" s="57" t="e">
        <f ca="1">IF(#REF!,12,IF(OFFSET(#REF!,-1,0)&gt;0,OFFSET(#REF!,-1,0)-1,0))</f>
        <v>#REF!</v>
      </c>
      <c r="AB133" s="57" t="e">
        <f ca="1">IF(#REF!,12,IF(OFFSET(#REF!,-1,0)&gt;0,OFFSET(#REF!,-1,0)-1,0))</f>
        <v>#REF!</v>
      </c>
      <c r="AC133" s="57" t="e">
        <f ca="1">IF(#REF!,12,IF(OFFSET(#REF!,-1,0)&gt;0,OFFSET(#REF!,-1,0)-1,0))</f>
        <v>#REF!</v>
      </c>
      <c r="AD133" s="57" t="e">
        <f ca="1">IF(#REF!,12,IF(OFFSET(#REF!,-1,0)&gt;0,OFFSET(#REF!,-1,0)-1,0))</f>
        <v>#REF!</v>
      </c>
      <c r="AE133" s="57" t="e">
        <f ca="1">IF(#REF!,12,IF(OFFSET(#REF!,-1,0)&gt;0,OFFSET(#REF!,-1,0)-1,0))</f>
        <v>#REF!</v>
      </c>
      <c r="AF133" s="57" t="e">
        <f ca="1">IF(#REF!,12,IF(OFFSET(#REF!,-1,0)&gt;0,OFFSET(#REF!,-1,0)-1,0))</f>
        <v>#REF!</v>
      </c>
      <c r="AG133" s="57" t="e">
        <f ca="1">IF(#REF!,12,IF(OFFSET(#REF!,-1,0)&gt;0,OFFSET(#REF!,-1,0)-1,0))</f>
        <v>#REF!</v>
      </c>
      <c r="AH133" s="57" t="e">
        <f ca="1">IF(#REF!,12,IF(OFFSET(#REF!,-1,0)&gt;0,OFFSET(#REF!,-1,0)-1,0))</f>
        <v>#REF!</v>
      </c>
      <c r="AI133" s="57" t="e">
        <f ca="1">IF(#REF!,12,IF(OFFSET(#REF!,-1,0)&gt;0,OFFSET(#REF!,-1,0)-1,0))</f>
        <v>#REF!</v>
      </c>
      <c r="AJ133" s="57" t="e">
        <f ca="1">IF(#REF!,12,IF(OFFSET(#REF!,-1,0)&gt;0,OFFSET(#REF!,-1,0)-1,0))</f>
        <v>#REF!</v>
      </c>
      <c r="AK133" s="57" t="e">
        <f ca="1">IF(#REF!,12,IF(OFFSET(#REF!,-1,0)&gt;0,OFFSET(#REF!,-1,0)-1,0))</f>
        <v>#REF!</v>
      </c>
      <c r="AL133" s="57" t="e">
        <f ca="1">IF(#REF!,12,IF(OFFSET(#REF!,-1,0)&gt;0,OFFSET(#REF!,-1,0)-1,0))</f>
        <v>#REF!</v>
      </c>
      <c r="AM133" s="57" t="e">
        <f ca="1">IF(#REF!,12,IF(OFFSET(#REF!,-1,0)&gt;0,OFFSET(#REF!,-1,0)-1,0))</f>
        <v>#REF!</v>
      </c>
      <c r="AN133" s="57" t="e">
        <f ca="1">IF(#REF!,12,IF(OFFSET(#REF!,-1,0)&gt;0,OFFSET(#REF!,-1,0)-1,0))</f>
        <v>#REF!</v>
      </c>
      <c r="AO133" s="57" t="e">
        <f ca="1">IF(#REF!,12,IF(OFFSET(#REF!,-1,0)&gt;0,OFFSET(#REF!,-1,0)-1,0))</f>
        <v>#REF!</v>
      </c>
    </row>
    <row r="134" spans="1:41" x14ac:dyDescent="0.25">
      <c r="A134" s="130" t="e">
        <f>#REF!</f>
        <v>#REF!</v>
      </c>
      <c r="B134" s="133" t="e">
        <f>#REF!</f>
        <v>#REF!</v>
      </c>
      <c r="C134" s="39" t="e">
        <f>#REF!</f>
        <v>#REF!</v>
      </c>
      <c r="D134" s="135" t="e">
        <f ca="1">MIN(1,OFFSET(#REF!,-1,0)+0.04+ROUNDDOWN(10*OFFSET(#REF!,-1,0),0)+ tech_2_7*OFFSET(#REF!,-1,0) + tech_5_6*OFFSET(#REF!,-1,0) )-#REF!</f>
        <v>#REF!</v>
      </c>
      <c r="E134" s="147" t="e">
        <f ca="1">OFFSET(#REF!,-1,0)+1/24</f>
        <v>#REF!</v>
      </c>
      <c r="F134" s="135" t="e">
        <f>#REF!</f>
        <v>#REF!</v>
      </c>
      <c r="G134" s="210"/>
      <c r="H134" s="210"/>
      <c r="I134" s="210"/>
      <c r="J134" s="210"/>
      <c r="K134" s="386"/>
      <c r="L134" s="210"/>
      <c r="M134" s="210"/>
      <c r="N134" s="210"/>
      <c r="O134" s="210"/>
      <c r="P134" s="210"/>
      <c r="Q134" s="210"/>
      <c r="R134" s="210"/>
      <c r="S134" s="210"/>
      <c r="T134" s="210"/>
      <c r="U134" s="210"/>
      <c r="V134" s="210"/>
      <c r="W134" s="134"/>
      <c r="X134" s="39" t="e">
        <f>(MAX(1-wg_spell_cost_cap,1-wg_spell_cost_red*ROUND(#REF!/#REF!,4))+ tech_3_9*#REF! + tech_6_2_2*#REF! )*(#REF!-#REF!*20)*(#REF!* Constants!$B$75 +#REF!* Constants!$B$76 +#REF!* Constants!$B$77 +#REF!* Constants!$B$79 +#REF!* Constants!$B$78  + SUM(#REF!)*Constants!$B$80*(1+tech_9_3*#REF!))</f>
        <v>#REF!</v>
      </c>
      <c r="Y134" s="135" t="e">
        <f>SUMIF(#REF!,1)*0.05</f>
        <v>#REF!</v>
      </c>
      <c r="Z134" s="134"/>
      <c r="AA134" s="57" t="e">
        <f ca="1">IF(#REF!,12,IF(OFFSET(#REF!,-1,0)&gt;0,OFFSET(#REF!,-1,0)-1,0))</f>
        <v>#REF!</v>
      </c>
      <c r="AB134" s="57" t="e">
        <f ca="1">IF(#REF!,12,IF(OFFSET(#REF!,-1,0)&gt;0,OFFSET(#REF!,-1,0)-1,0))</f>
        <v>#REF!</v>
      </c>
      <c r="AC134" s="57" t="e">
        <f ca="1">IF(#REF!,12,IF(OFFSET(#REF!,-1,0)&gt;0,OFFSET(#REF!,-1,0)-1,0))</f>
        <v>#REF!</v>
      </c>
      <c r="AD134" s="57" t="e">
        <f ca="1">IF(#REF!,12,IF(OFFSET(#REF!,-1,0)&gt;0,OFFSET(#REF!,-1,0)-1,0))</f>
        <v>#REF!</v>
      </c>
      <c r="AE134" s="57" t="e">
        <f ca="1">IF(#REF!,12,IF(OFFSET(#REF!,-1,0)&gt;0,OFFSET(#REF!,-1,0)-1,0))</f>
        <v>#REF!</v>
      </c>
      <c r="AF134" s="57" t="e">
        <f ca="1">IF(#REF!,12,IF(OFFSET(#REF!,-1,0)&gt;0,OFFSET(#REF!,-1,0)-1,0))</f>
        <v>#REF!</v>
      </c>
      <c r="AG134" s="57" t="e">
        <f ca="1">IF(#REF!,12,IF(OFFSET(#REF!,-1,0)&gt;0,OFFSET(#REF!,-1,0)-1,0))</f>
        <v>#REF!</v>
      </c>
      <c r="AH134" s="57" t="e">
        <f ca="1">IF(#REF!,12,IF(OFFSET(#REF!,-1,0)&gt;0,OFFSET(#REF!,-1,0)-1,0))</f>
        <v>#REF!</v>
      </c>
      <c r="AI134" s="57" t="e">
        <f ca="1">IF(#REF!,12,IF(OFFSET(#REF!,-1,0)&gt;0,OFFSET(#REF!,-1,0)-1,0))</f>
        <v>#REF!</v>
      </c>
      <c r="AJ134" s="57" t="e">
        <f ca="1">IF(#REF!,12,IF(OFFSET(#REF!,-1,0)&gt;0,OFFSET(#REF!,-1,0)-1,0))</f>
        <v>#REF!</v>
      </c>
      <c r="AK134" s="57" t="e">
        <f ca="1">IF(#REF!,12,IF(OFFSET(#REF!,-1,0)&gt;0,OFFSET(#REF!,-1,0)-1,0))</f>
        <v>#REF!</v>
      </c>
      <c r="AL134" s="57" t="e">
        <f ca="1">IF(#REF!,12,IF(OFFSET(#REF!,-1,0)&gt;0,OFFSET(#REF!,-1,0)-1,0))</f>
        <v>#REF!</v>
      </c>
      <c r="AM134" s="57" t="e">
        <f ca="1">IF(#REF!,12,IF(OFFSET(#REF!,-1,0)&gt;0,OFFSET(#REF!,-1,0)-1,0))</f>
        <v>#REF!</v>
      </c>
      <c r="AN134" s="57" t="e">
        <f ca="1">IF(#REF!,12,IF(OFFSET(#REF!,-1,0)&gt;0,OFFSET(#REF!,-1,0)-1,0))</f>
        <v>#REF!</v>
      </c>
      <c r="AO134" s="57" t="e">
        <f ca="1">IF(#REF!,12,IF(OFFSET(#REF!,-1,0)&gt;0,OFFSET(#REF!,-1,0)-1,0))</f>
        <v>#REF!</v>
      </c>
    </row>
    <row r="135" spans="1:41" x14ac:dyDescent="0.25">
      <c r="A135" s="130" t="e">
        <f>#REF!</f>
        <v>#REF!</v>
      </c>
      <c r="B135" s="133" t="e">
        <f>#REF!</f>
        <v>#REF!</v>
      </c>
      <c r="C135" s="39" t="e">
        <f>#REF!</f>
        <v>#REF!</v>
      </c>
      <c r="D135" s="135" t="e">
        <f ca="1">MIN(1,OFFSET(#REF!,-1,0)+0.04+ROUNDDOWN(10*OFFSET(#REF!,-1,0),0)+ tech_2_7*OFFSET(#REF!,-1,0) + tech_5_6*OFFSET(#REF!,-1,0) )-#REF!</f>
        <v>#REF!</v>
      </c>
      <c r="E135" s="147" t="e">
        <f ca="1">OFFSET(#REF!,-1,0)+1/24</f>
        <v>#REF!</v>
      </c>
      <c r="F135" s="135" t="e">
        <f>#REF!</f>
        <v>#REF!</v>
      </c>
      <c r="G135" s="210"/>
      <c r="H135" s="210"/>
      <c r="I135" s="210"/>
      <c r="J135" s="210"/>
      <c r="K135" s="386"/>
      <c r="L135" s="210"/>
      <c r="M135" s="210"/>
      <c r="N135" s="210"/>
      <c r="O135" s="210"/>
      <c r="P135" s="210"/>
      <c r="Q135" s="210"/>
      <c r="R135" s="210"/>
      <c r="S135" s="210"/>
      <c r="T135" s="210"/>
      <c r="U135" s="210"/>
      <c r="V135" s="210"/>
      <c r="W135" s="134"/>
      <c r="X135" s="39" t="e">
        <f>(MAX(1-wg_spell_cost_cap,1-wg_spell_cost_red*ROUND(#REF!/#REF!,4))+ tech_3_9*#REF! + tech_6_2_2*#REF! )*(#REF!-#REF!*20)*(#REF!* Constants!$B$75 +#REF!* Constants!$B$76 +#REF!* Constants!$B$77 +#REF!* Constants!$B$79 +#REF!* Constants!$B$78  + SUM(#REF!)*Constants!$B$80*(1+tech_9_3*#REF!))</f>
        <v>#REF!</v>
      </c>
      <c r="Y135" s="135" t="e">
        <f>SUMIF(#REF!,1)*0.05</f>
        <v>#REF!</v>
      </c>
      <c r="Z135" s="134"/>
      <c r="AA135" s="57" t="e">
        <f ca="1">IF(#REF!,12,IF(OFFSET(#REF!,-1,0)&gt;0,OFFSET(#REF!,-1,0)-1,0))</f>
        <v>#REF!</v>
      </c>
      <c r="AB135" s="57" t="e">
        <f ca="1">IF(#REF!,12,IF(OFFSET(#REF!,-1,0)&gt;0,OFFSET(#REF!,-1,0)-1,0))</f>
        <v>#REF!</v>
      </c>
      <c r="AC135" s="57" t="e">
        <f ca="1">IF(#REF!,12,IF(OFFSET(#REF!,-1,0)&gt;0,OFFSET(#REF!,-1,0)-1,0))</f>
        <v>#REF!</v>
      </c>
      <c r="AD135" s="57" t="e">
        <f ca="1">IF(#REF!,12,IF(OFFSET(#REF!,-1,0)&gt;0,OFFSET(#REF!,-1,0)-1,0))</f>
        <v>#REF!</v>
      </c>
      <c r="AE135" s="57" t="e">
        <f ca="1">IF(#REF!,12,IF(OFFSET(#REF!,-1,0)&gt;0,OFFSET(#REF!,-1,0)-1,0))</f>
        <v>#REF!</v>
      </c>
      <c r="AF135" s="57" t="e">
        <f ca="1">IF(#REF!,12,IF(OFFSET(#REF!,-1,0)&gt;0,OFFSET(#REF!,-1,0)-1,0))</f>
        <v>#REF!</v>
      </c>
      <c r="AG135" s="57" t="e">
        <f ca="1">IF(#REF!,12,IF(OFFSET(#REF!,-1,0)&gt;0,OFFSET(#REF!,-1,0)-1,0))</f>
        <v>#REF!</v>
      </c>
      <c r="AH135" s="57" t="e">
        <f ca="1">IF(#REF!,12,IF(OFFSET(#REF!,-1,0)&gt;0,OFFSET(#REF!,-1,0)-1,0))</f>
        <v>#REF!</v>
      </c>
      <c r="AI135" s="57" t="e">
        <f ca="1">IF(#REF!,12,IF(OFFSET(#REF!,-1,0)&gt;0,OFFSET(#REF!,-1,0)-1,0))</f>
        <v>#REF!</v>
      </c>
      <c r="AJ135" s="57" t="e">
        <f ca="1">IF(#REF!,12,IF(OFFSET(#REF!,-1,0)&gt;0,OFFSET(#REF!,-1,0)-1,0))</f>
        <v>#REF!</v>
      </c>
      <c r="AK135" s="57" t="e">
        <f ca="1">IF(#REF!,12,IF(OFFSET(#REF!,-1,0)&gt;0,OFFSET(#REF!,-1,0)-1,0))</f>
        <v>#REF!</v>
      </c>
      <c r="AL135" s="57" t="e">
        <f ca="1">IF(#REF!,12,IF(OFFSET(#REF!,-1,0)&gt;0,OFFSET(#REF!,-1,0)-1,0))</f>
        <v>#REF!</v>
      </c>
      <c r="AM135" s="57" t="e">
        <f ca="1">IF(#REF!,12,IF(OFFSET(#REF!,-1,0)&gt;0,OFFSET(#REF!,-1,0)-1,0))</f>
        <v>#REF!</v>
      </c>
      <c r="AN135" s="57" t="e">
        <f ca="1">IF(#REF!,12,IF(OFFSET(#REF!,-1,0)&gt;0,OFFSET(#REF!,-1,0)-1,0))</f>
        <v>#REF!</v>
      </c>
      <c r="AO135" s="57" t="e">
        <f ca="1">IF(#REF!,12,IF(OFFSET(#REF!,-1,0)&gt;0,OFFSET(#REF!,-1,0)-1,0))</f>
        <v>#REF!</v>
      </c>
    </row>
    <row r="136" spans="1:41" x14ac:dyDescent="0.25">
      <c r="A136" s="130" t="e">
        <f>#REF!</f>
        <v>#REF!</v>
      </c>
      <c r="B136" s="133" t="e">
        <f>#REF!</f>
        <v>#REF!</v>
      </c>
      <c r="C136" s="39" t="e">
        <f>#REF!</f>
        <v>#REF!</v>
      </c>
      <c r="D136" s="135" t="e">
        <f ca="1">MIN(1,OFFSET(#REF!,-1,0)+0.04+ROUNDDOWN(10*OFFSET(#REF!,-1,0),0)+ tech_2_7*OFFSET(#REF!,-1,0) + tech_5_6*OFFSET(#REF!,-1,0) )-#REF!</f>
        <v>#REF!</v>
      </c>
      <c r="E136" s="147" t="e">
        <f ca="1">OFFSET(#REF!,-1,0)+1/24</f>
        <v>#REF!</v>
      </c>
      <c r="F136" s="135" t="e">
        <f>#REF!</f>
        <v>#REF!</v>
      </c>
      <c r="G136" s="210"/>
      <c r="H136" s="210"/>
      <c r="I136" s="210"/>
      <c r="J136" s="210"/>
      <c r="K136" s="386"/>
      <c r="L136" s="210"/>
      <c r="M136" s="210"/>
      <c r="N136" s="210"/>
      <c r="O136" s="210"/>
      <c r="P136" s="210"/>
      <c r="Q136" s="210"/>
      <c r="R136" s="210"/>
      <c r="S136" s="210"/>
      <c r="T136" s="210"/>
      <c r="U136" s="210"/>
      <c r="V136" s="210"/>
      <c r="W136" s="134"/>
      <c r="X136" s="39" t="e">
        <f>(MAX(1-wg_spell_cost_cap,1-wg_spell_cost_red*ROUND(#REF!/#REF!,4))+ tech_3_9*#REF! + tech_6_2_2*#REF! )*(#REF!-#REF!*20)*(#REF!* Constants!$B$75 +#REF!* Constants!$B$76 +#REF!* Constants!$B$77 +#REF!* Constants!$B$79 +#REF!* Constants!$B$78  + SUM(#REF!)*Constants!$B$80*(1+tech_9_3*#REF!))</f>
        <v>#REF!</v>
      </c>
      <c r="Y136" s="135" t="e">
        <f>SUMIF(#REF!,1)*0.05</f>
        <v>#REF!</v>
      </c>
      <c r="Z136" s="134"/>
      <c r="AA136" s="57" t="e">
        <f ca="1">IF(#REF!,12,IF(OFFSET(#REF!,-1,0)&gt;0,OFFSET(#REF!,-1,0)-1,0))</f>
        <v>#REF!</v>
      </c>
      <c r="AB136" s="57" t="e">
        <f ca="1">IF(#REF!,12,IF(OFFSET(#REF!,-1,0)&gt;0,OFFSET(#REF!,-1,0)-1,0))</f>
        <v>#REF!</v>
      </c>
      <c r="AC136" s="57" t="e">
        <f ca="1">IF(#REF!,12,IF(OFFSET(#REF!,-1,0)&gt;0,OFFSET(#REF!,-1,0)-1,0))</f>
        <v>#REF!</v>
      </c>
      <c r="AD136" s="57" t="e">
        <f ca="1">IF(#REF!,12,IF(OFFSET(#REF!,-1,0)&gt;0,OFFSET(#REF!,-1,0)-1,0))</f>
        <v>#REF!</v>
      </c>
      <c r="AE136" s="57" t="e">
        <f ca="1">IF(#REF!,12,IF(OFFSET(#REF!,-1,0)&gt;0,OFFSET(#REF!,-1,0)-1,0))</f>
        <v>#REF!</v>
      </c>
      <c r="AF136" s="57" t="e">
        <f ca="1">IF(#REF!,12,IF(OFFSET(#REF!,-1,0)&gt;0,OFFSET(#REF!,-1,0)-1,0))</f>
        <v>#REF!</v>
      </c>
      <c r="AG136" s="57" t="e">
        <f ca="1">IF(#REF!,12,IF(OFFSET(#REF!,-1,0)&gt;0,OFFSET(#REF!,-1,0)-1,0))</f>
        <v>#REF!</v>
      </c>
      <c r="AH136" s="57" t="e">
        <f ca="1">IF(#REF!,12,IF(OFFSET(#REF!,-1,0)&gt;0,OFFSET(#REF!,-1,0)-1,0))</f>
        <v>#REF!</v>
      </c>
      <c r="AI136" s="57" t="e">
        <f ca="1">IF(#REF!,12,IF(OFFSET(#REF!,-1,0)&gt;0,OFFSET(#REF!,-1,0)-1,0))</f>
        <v>#REF!</v>
      </c>
      <c r="AJ136" s="57" t="e">
        <f ca="1">IF(#REF!,12,IF(OFFSET(#REF!,-1,0)&gt;0,OFFSET(#REF!,-1,0)-1,0))</f>
        <v>#REF!</v>
      </c>
      <c r="AK136" s="57" t="e">
        <f ca="1">IF(#REF!,12,IF(OFFSET(#REF!,-1,0)&gt;0,OFFSET(#REF!,-1,0)-1,0))</f>
        <v>#REF!</v>
      </c>
      <c r="AL136" s="57" t="e">
        <f ca="1">IF(#REF!,12,IF(OFFSET(#REF!,-1,0)&gt;0,OFFSET(#REF!,-1,0)-1,0))</f>
        <v>#REF!</v>
      </c>
      <c r="AM136" s="57" t="e">
        <f ca="1">IF(#REF!,12,IF(OFFSET(#REF!,-1,0)&gt;0,OFFSET(#REF!,-1,0)-1,0))</f>
        <v>#REF!</v>
      </c>
      <c r="AN136" s="57" t="e">
        <f ca="1">IF(#REF!,12,IF(OFFSET(#REF!,-1,0)&gt;0,OFFSET(#REF!,-1,0)-1,0))</f>
        <v>#REF!</v>
      </c>
      <c r="AO136" s="57" t="e">
        <f ca="1">IF(#REF!,12,IF(OFFSET(#REF!,-1,0)&gt;0,OFFSET(#REF!,-1,0)-1,0))</f>
        <v>#REF!</v>
      </c>
    </row>
    <row r="1269" spans="3:4" ht="13" x14ac:dyDescent="0.3">
      <c r="C1269" s="448" t="s">
        <v>316</v>
      </c>
      <c r="D1269" s="405"/>
    </row>
    <row r="1270" spans="3:4" ht="13" x14ac:dyDescent="0.3">
      <c r="C1270" s="31" t="e">
        <f>Overview!E17</f>
        <v>#REF!</v>
      </c>
      <c r="D1270" s="31"/>
    </row>
  </sheetData>
  <mergeCells count="2">
    <mergeCell ref="C1269:D1269"/>
    <mergeCell ref="O1:O2"/>
  </mergeCells>
  <phoneticPr fontId="1"/>
  <conditionalFormatting sqref="A1:S1 U1:XFD1 A2:N2 P2:XFD2 A3:XFD3">
    <cfRule type="expression" dxfId="20" priority="14">
      <formula>$C$1270&lt;0</formula>
    </cfRule>
  </conditionalFormatting>
  <conditionalFormatting sqref="A4:AO136">
    <cfRule type="expression" dxfId="19" priority="1" stopIfTrue="1">
      <formula>ROW()-3=$C$1270</formula>
    </cfRule>
    <cfRule type="expression" dxfId="18" priority="2" stopIfTrue="1">
      <formula>OR(ROW()-3=$C$1270,A4&lt;0)</formula>
    </cfRule>
    <cfRule type="expression" dxfId="17" priority="3">
      <formula>$A4=73</formula>
    </cfRule>
    <cfRule type="expression" dxfId="16" priority="11">
      <formula>ROUND(($A4-1)/12,0)=INT($A4-1)/12</formula>
    </cfRule>
  </conditionalFormatting>
  <conditionalFormatting sqref="A1269:XFD1270">
    <cfRule type="expression" dxfId="15" priority="18" stopIfTrue="1">
      <formula>$C$1270&gt;144</formula>
    </cfRule>
  </conditionalFormatting>
  <conditionalFormatting sqref="G16:V136">
    <cfRule type="expression" dxfId="14" priority="12">
      <formula>COUNTA(G5:G16)&gt;0</formula>
    </cfRule>
  </conditionalFormatting>
  <conditionalFormatting sqref="AO8199:IW8199 B8250:AN8250 B12459:C20616 AO18583:IW29751 Y18614:AN29782">
    <cfRule type="expression" dxfId="13" priority="17" stopIfTrue="1">
      <formula>ROW()-2=#REF!</formula>
    </cfRule>
  </conditionalFormatting>
  <dataValidations count="1">
    <dataValidation type="whole" operator="equal" allowBlank="1" showInputMessage="1" showErrorMessage="1" sqref="G4:V136" xr:uid="{00000000-0002-0000-0700-000000000000}">
      <formula1>1</formula1>
    </dataValidation>
  </dataValidations>
  <pageMargins left="0.75" right="0.75" top="1" bottom="1" header="0.5" footer="0.5"/>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499984740745262"/>
  </sheetPr>
  <dimension ref="A1:CA1270"/>
  <sheetViews>
    <sheetView zoomScale="85" zoomScaleNormal="85" workbookViewId="0">
      <pane ySplit="3" topLeftCell="A31" activePane="bottomLeft" state="frozen"/>
      <selection pane="bottomLeft" activeCell="F4" sqref="F4"/>
    </sheetView>
  </sheetViews>
  <sheetFormatPr defaultColWidth="30.453125" defaultRowHeight="12.5" x14ac:dyDescent="0.25"/>
  <cols>
    <col min="1" max="1" width="7.54296875" style="3" customWidth="1"/>
    <col min="2" max="2" width="7.7265625" style="3" customWidth="1"/>
    <col min="3" max="3" width="13.54296875" style="3" customWidth="1"/>
    <col min="4" max="4" width="12.54296875" style="3" customWidth="1"/>
    <col min="5" max="5" width="3.26953125" style="3" customWidth="1"/>
    <col min="6" max="6" width="10.54296875" style="3" customWidth="1"/>
    <col min="7" max="7" width="11.453125" style="3" customWidth="1"/>
    <col min="8" max="8" width="21.7265625" style="3" customWidth="1"/>
    <col min="9" max="9" width="68.1796875" style="3" customWidth="1"/>
    <col min="10" max="10" width="3.54296875" style="3" customWidth="1"/>
    <col min="11" max="11" width="8.54296875" style="57" customWidth="1"/>
    <col min="12" max="12" width="9.81640625" style="3" customWidth="1"/>
    <col min="13" max="78" width="5.7265625" style="3" customWidth="1"/>
    <col min="79" max="79" width="16.26953125" style="3" customWidth="1"/>
    <col min="80" max="80" width="30.453125" style="3" customWidth="1"/>
    <col min="81" max="16384" width="30.453125" style="3"/>
  </cols>
  <sheetData>
    <row r="1" spans="1:79" x14ac:dyDescent="0.25">
      <c r="F1" s="259" t="e">
        <f ca="1">(INDIRECT("D" &amp; (INDIRECT("A4")+2)) &gt;= INDIRECT("E" &amp; (INDIRECT("A5")+2)))*1</f>
        <v>#REF!</v>
      </c>
    </row>
    <row r="2" spans="1:79" ht="15.5" x14ac:dyDescent="0.35">
      <c r="E2" s="162" t="s">
        <v>1006</v>
      </c>
      <c r="F2" s="275">
        <f>IFERROR(SMALL(#REF!,1),0)</f>
        <v>0</v>
      </c>
      <c r="G2" s="3" t="s">
        <v>1069</v>
      </c>
      <c r="M2" s="260" t="e">
        <f>INDEX(#REF!,MATCH(#REF!,#REF!,0),1)</f>
        <v>#REF!</v>
      </c>
      <c r="N2" s="260" t="e">
        <f>INDEX(#REF!,MATCH(#REF!,#REF!,0),1)</f>
        <v>#REF!</v>
      </c>
      <c r="O2" s="260" t="e">
        <f>INDEX(#REF!,MATCH(#REF!,#REF!,0),1)</f>
        <v>#REF!</v>
      </c>
      <c r="P2" s="260" t="e">
        <f>INDEX(#REF!,MATCH(#REF!,#REF!,0),1)</f>
        <v>#REF!</v>
      </c>
      <c r="Q2" s="260" t="e">
        <f>INDEX(#REF!,MATCH(#REF!,#REF!,0),1)</f>
        <v>#REF!</v>
      </c>
      <c r="R2" s="260" t="e">
        <f>INDEX(#REF!,MATCH(#REF!,#REF!,0),1)</f>
        <v>#REF!</v>
      </c>
      <c r="S2" s="260" t="e">
        <f>INDEX(#REF!,MATCH(#REF!,#REF!,0),1)</f>
        <v>#REF!</v>
      </c>
      <c r="T2" s="260" t="e">
        <f>INDEX(#REF!,MATCH(#REF!,#REF!,0),1)</f>
        <v>#REF!</v>
      </c>
      <c r="U2" s="260" t="e">
        <f>INDEX(#REF!,MATCH(#REF!,#REF!,0),1)</f>
        <v>#REF!</v>
      </c>
      <c r="V2" s="260" t="e">
        <f>INDEX(#REF!,MATCH(#REF!,#REF!,0),1)</f>
        <v>#REF!</v>
      </c>
      <c r="W2" s="260" t="e">
        <f>INDEX(#REF!,MATCH(#REF!,#REF!,0),1)</f>
        <v>#REF!</v>
      </c>
      <c r="X2" s="260" t="e">
        <f>INDEX(#REF!,MATCH(#REF!,#REF!,0),1)</f>
        <v>#REF!</v>
      </c>
      <c r="Y2" s="260" t="e">
        <f>INDEX(#REF!,MATCH(#REF!,#REF!,0),1)</f>
        <v>#REF!</v>
      </c>
      <c r="Z2" s="260" t="e">
        <f>INDEX(#REF!,MATCH(#REF!,#REF!,0),1)</f>
        <v>#REF!</v>
      </c>
      <c r="AA2" s="260" t="e">
        <f>INDEX(#REF!,MATCH(#REF!,#REF!,0),1)</f>
        <v>#REF!</v>
      </c>
      <c r="AB2" s="260" t="e">
        <f>INDEX(#REF!,MATCH(#REF!,#REF!,0),1)</f>
        <v>#REF!</v>
      </c>
      <c r="AC2" s="260" t="e">
        <f>INDEX(#REF!,MATCH(#REF!,#REF!,0),1)</f>
        <v>#REF!</v>
      </c>
      <c r="AD2" s="260" t="e">
        <f>INDEX(#REF!,MATCH(#REF!,#REF!,0),1)</f>
        <v>#REF!</v>
      </c>
      <c r="AE2" s="260" t="e">
        <f>INDEX(#REF!,MATCH(#REF!,#REF!,0),1)</f>
        <v>#REF!</v>
      </c>
      <c r="AF2" s="260" t="e">
        <f>INDEX(#REF!,MATCH(#REF!,#REF!,0),1)</f>
        <v>#REF!</v>
      </c>
      <c r="AG2" s="260" t="e">
        <f>INDEX(#REF!,MATCH(#REF!,#REF!,0),1)</f>
        <v>#REF!</v>
      </c>
      <c r="AH2" s="260" t="e">
        <f>INDEX(#REF!,MATCH(#REF!,#REF!,0),1)</f>
        <v>#REF!</v>
      </c>
      <c r="AI2" s="260" t="e">
        <f>INDEX(#REF!,MATCH(#REF!,#REF!,0),1)</f>
        <v>#REF!</v>
      </c>
      <c r="AJ2" s="260" t="e">
        <f>INDEX(#REF!,MATCH(#REF!,#REF!,0),1)</f>
        <v>#REF!</v>
      </c>
      <c r="AK2" s="260" t="e">
        <f>INDEX(#REF!,MATCH(#REF!,#REF!,0),1)</f>
        <v>#REF!</v>
      </c>
      <c r="AL2" s="260" t="e">
        <f>INDEX(#REF!,MATCH(#REF!,#REF!,0),1)</f>
        <v>#REF!</v>
      </c>
      <c r="AM2" s="260" t="e">
        <f>INDEX(#REF!,MATCH(#REF!,#REF!,0),1)</f>
        <v>#REF!</v>
      </c>
      <c r="AN2" s="260" t="e">
        <f>INDEX(#REF!,MATCH(#REF!,#REF!,0),1)</f>
        <v>#REF!</v>
      </c>
      <c r="AO2" s="260" t="e">
        <f>INDEX(#REF!,MATCH(#REF!,#REF!,0),1)</f>
        <v>#REF!</v>
      </c>
      <c r="AP2" s="260" t="e">
        <f>INDEX(#REF!,MATCH(#REF!,#REF!,0),1)</f>
        <v>#REF!</v>
      </c>
      <c r="AQ2" s="260" t="e">
        <f>INDEX(#REF!,MATCH(#REF!,#REF!,0),1)</f>
        <v>#REF!</v>
      </c>
      <c r="AR2" s="260" t="e">
        <f>INDEX(#REF!,MATCH(#REF!,#REF!,0),1)</f>
        <v>#REF!</v>
      </c>
      <c r="AS2" s="260" t="e">
        <f>INDEX(#REF!,MATCH(#REF!,#REF!,0),1)</f>
        <v>#REF!</v>
      </c>
      <c r="AT2" s="260" t="e">
        <f>INDEX(#REF!,MATCH(#REF!,#REF!,0),1)</f>
        <v>#REF!</v>
      </c>
      <c r="AU2" s="260" t="e">
        <f>INDEX(#REF!,MATCH(#REF!,#REF!,0),1)</f>
        <v>#REF!</v>
      </c>
      <c r="AV2" s="260" t="e">
        <f>INDEX(#REF!,MATCH(#REF!,#REF!,0),1)</f>
        <v>#REF!</v>
      </c>
      <c r="AW2" s="260" t="e">
        <f>INDEX(#REF!,MATCH(#REF!,#REF!,0),1)</f>
        <v>#REF!</v>
      </c>
      <c r="AX2" s="260" t="e">
        <f>INDEX(#REF!,MATCH(#REF!,#REF!,0),1)</f>
        <v>#REF!</v>
      </c>
      <c r="AY2" s="260" t="e">
        <f>INDEX(#REF!,MATCH(#REF!,#REF!,0),1)</f>
        <v>#REF!</v>
      </c>
      <c r="AZ2" s="260" t="e">
        <f>INDEX(#REF!,MATCH(#REF!,#REF!,0),1)</f>
        <v>#REF!</v>
      </c>
      <c r="BA2" s="260" t="e">
        <f>INDEX(#REF!,MATCH(#REF!,#REF!,0),1)</f>
        <v>#REF!</v>
      </c>
      <c r="BB2" s="260" t="e">
        <f>INDEX(#REF!,MATCH(#REF!,#REF!,0),1)</f>
        <v>#REF!</v>
      </c>
      <c r="BC2" s="260" t="e">
        <f>INDEX(#REF!,MATCH(#REF!,#REF!,0),1)</f>
        <v>#REF!</v>
      </c>
      <c r="BD2" s="260" t="e">
        <f>INDEX(#REF!,MATCH(#REF!,#REF!,0),1)</f>
        <v>#REF!</v>
      </c>
      <c r="BE2" s="260" t="e">
        <f>INDEX(#REF!,MATCH(#REF!,#REF!,0),1)</f>
        <v>#REF!</v>
      </c>
      <c r="BF2" s="260" t="e">
        <f>INDEX(#REF!,MATCH(#REF!,#REF!,0),1)</f>
        <v>#REF!</v>
      </c>
      <c r="BG2" s="260" t="e">
        <f>INDEX(#REF!,MATCH(#REF!,#REF!,0),1)</f>
        <v>#REF!</v>
      </c>
      <c r="BH2" s="260" t="e">
        <f>INDEX(#REF!,MATCH(#REF!,#REF!,0),1)</f>
        <v>#REF!</v>
      </c>
      <c r="BI2" s="260" t="e">
        <f>INDEX(#REF!,MATCH(#REF!,#REF!,0),1)</f>
        <v>#REF!</v>
      </c>
      <c r="BJ2" s="260" t="e">
        <f>INDEX(#REF!,MATCH(#REF!,#REF!,0),1)</f>
        <v>#REF!</v>
      </c>
      <c r="BK2" s="260" t="e">
        <f>INDEX(#REF!,MATCH(#REF!,#REF!,0),1)</f>
        <v>#REF!</v>
      </c>
      <c r="BL2" s="260" t="e">
        <f>INDEX(#REF!,MATCH(#REF!,#REF!,0),1)</f>
        <v>#REF!</v>
      </c>
      <c r="BM2" s="260" t="e">
        <f>INDEX(#REF!,MATCH(#REF!,#REF!,0),1)</f>
        <v>#REF!</v>
      </c>
      <c r="BN2" s="260" t="e">
        <f>INDEX(#REF!,MATCH(#REF!,#REF!,0),1)</f>
        <v>#REF!</v>
      </c>
      <c r="BO2" s="260" t="e">
        <f>INDEX(#REF!,MATCH(#REF!,#REF!,0),1)</f>
        <v>#REF!</v>
      </c>
      <c r="BP2" s="260" t="e">
        <f>INDEX(#REF!,MATCH(#REF!,#REF!,0),1)</f>
        <v>#REF!</v>
      </c>
      <c r="BQ2" s="260" t="e">
        <f>INDEX(#REF!,MATCH(#REF!,#REF!,0),1)</f>
        <v>#REF!</v>
      </c>
      <c r="BR2" s="260" t="e">
        <f>INDEX(#REF!,MATCH(#REF!,#REF!,0),1)</f>
        <v>#REF!</v>
      </c>
      <c r="BS2" s="260" t="e">
        <f>INDEX(#REF!,MATCH(#REF!,#REF!,0),1)</f>
        <v>#REF!</v>
      </c>
      <c r="BT2" s="260" t="e">
        <f>INDEX(#REF!,MATCH(#REF!,#REF!,0),1)</f>
        <v>#REF!</v>
      </c>
      <c r="BU2" s="260" t="e">
        <f>INDEX(#REF!,MATCH(#REF!,#REF!,0),1)</f>
        <v>#REF!</v>
      </c>
      <c r="BV2" s="260" t="e">
        <f>INDEX(#REF!,MATCH(#REF!,#REF!,0),1)</f>
        <v>#REF!</v>
      </c>
      <c r="BW2" s="260" t="e">
        <f>INDEX(#REF!,MATCH(#REF!,#REF!,0),1)</f>
        <v>#REF!</v>
      </c>
      <c r="BX2" s="260" t="e">
        <f>INDEX(#REF!,MATCH(#REF!,#REF!,0),1)</f>
        <v>#REF!</v>
      </c>
      <c r="BY2" s="260" t="e">
        <f>INDEX(#REF!,MATCH(#REF!,#REF!,0),1)</f>
        <v>#REF!</v>
      </c>
      <c r="BZ2" s="260" t="e">
        <f>INDEX(#REF!,MATCH(#REF!,#REF!,0),1)</f>
        <v>#REF!</v>
      </c>
    </row>
    <row r="3" spans="1:79" s="261" customFormat="1" ht="33.75" customHeight="1" x14ac:dyDescent="0.25">
      <c r="A3" s="261" t="s">
        <v>0</v>
      </c>
      <c r="B3" s="261" t="s">
        <v>1</v>
      </c>
      <c r="C3" s="261" t="s">
        <v>372</v>
      </c>
      <c r="D3" s="261" t="s">
        <v>33</v>
      </c>
      <c r="E3" s="261" t="s">
        <v>773</v>
      </c>
      <c r="F3" s="261" t="s">
        <v>1007</v>
      </c>
      <c r="G3" s="261" t="s">
        <v>936</v>
      </c>
      <c r="H3" s="261" t="s">
        <v>978</v>
      </c>
      <c r="I3" s="261" t="s">
        <v>979</v>
      </c>
      <c r="J3" s="261" t="s">
        <v>774</v>
      </c>
      <c r="K3" s="233" t="s">
        <v>775</v>
      </c>
      <c r="L3" s="261" t="s">
        <v>937</v>
      </c>
      <c r="M3" s="205" t="s">
        <v>537</v>
      </c>
      <c r="N3" s="205" t="s">
        <v>539</v>
      </c>
      <c r="O3" s="205" t="s">
        <v>540</v>
      </c>
      <c r="P3" s="205" t="s">
        <v>542</v>
      </c>
      <c r="Q3" s="205" t="s">
        <v>544</v>
      </c>
      <c r="R3" s="205" t="s">
        <v>545</v>
      </c>
      <c r="S3" s="205" t="s">
        <v>546</v>
      </c>
      <c r="T3" s="205" t="s">
        <v>547</v>
      </c>
      <c r="U3" s="205" t="s">
        <v>548</v>
      </c>
      <c r="V3" s="205" t="s">
        <v>550</v>
      </c>
      <c r="W3" s="205" t="s">
        <v>552</v>
      </c>
      <c r="X3" s="205" t="s">
        <v>553</v>
      </c>
      <c r="Y3" s="205" t="s">
        <v>554</v>
      </c>
      <c r="Z3" s="205" t="s">
        <v>555</v>
      </c>
      <c r="AA3" s="205" t="s">
        <v>557</v>
      </c>
      <c r="AB3" s="205" t="s">
        <v>558</v>
      </c>
      <c r="AC3" s="205" t="s">
        <v>559</v>
      </c>
      <c r="AD3" s="205" t="s">
        <v>561</v>
      </c>
      <c r="AE3" s="205" t="s">
        <v>563</v>
      </c>
      <c r="AF3" s="205" t="s">
        <v>564</v>
      </c>
      <c r="AG3" s="205" t="s">
        <v>565</v>
      </c>
      <c r="AH3" s="205" t="s">
        <v>567</v>
      </c>
      <c r="AI3" s="205" t="s">
        <v>569</v>
      </c>
      <c r="AJ3" s="205" t="s">
        <v>571</v>
      </c>
      <c r="AK3" s="205" t="s">
        <v>572</v>
      </c>
      <c r="AL3" s="205" t="s">
        <v>573</v>
      </c>
      <c r="AM3" s="205" t="s">
        <v>574</v>
      </c>
      <c r="AN3" s="205" t="s">
        <v>575</v>
      </c>
      <c r="AO3" s="205" t="s">
        <v>576</v>
      </c>
      <c r="AP3" s="205" t="s">
        <v>578</v>
      </c>
      <c r="AQ3" s="205" t="s">
        <v>580</v>
      </c>
      <c r="AR3" s="205" t="s">
        <v>581</v>
      </c>
      <c r="AS3" s="205" t="s">
        <v>582</v>
      </c>
      <c r="AT3" s="205" t="s">
        <v>583</v>
      </c>
      <c r="AU3" s="205" t="s">
        <v>584</v>
      </c>
      <c r="AV3" s="205" t="s">
        <v>585</v>
      </c>
      <c r="AW3" s="205" t="s">
        <v>587</v>
      </c>
      <c r="AX3" s="205" t="s">
        <v>588</v>
      </c>
      <c r="AY3" s="205" t="s">
        <v>589</v>
      </c>
      <c r="AZ3" s="205" t="s">
        <v>590</v>
      </c>
      <c r="BA3" s="205" t="s">
        <v>591</v>
      </c>
      <c r="BB3" s="205" t="s">
        <v>592</v>
      </c>
      <c r="BC3" s="205" t="s">
        <v>593</v>
      </c>
      <c r="BD3" s="205" t="s">
        <v>594</v>
      </c>
      <c r="BE3" s="205" t="s">
        <v>595</v>
      </c>
      <c r="BF3" s="205" t="s">
        <v>596</v>
      </c>
      <c r="BG3" s="205" t="s">
        <v>597</v>
      </c>
      <c r="BH3" s="205" t="s">
        <v>599</v>
      </c>
      <c r="BI3" s="205" t="s">
        <v>600</v>
      </c>
      <c r="BJ3" s="205" t="s">
        <v>602</v>
      </c>
      <c r="BK3" s="205" t="s">
        <v>603</v>
      </c>
      <c r="BL3" s="205" t="s">
        <v>604</v>
      </c>
      <c r="BM3" s="205" t="s">
        <v>606</v>
      </c>
      <c r="BN3" s="205" t="s">
        <v>608</v>
      </c>
      <c r="BO3" s="205" t="s">
        <v>609</v>
      </c>
      <c r="BP3" s="205" t="s">
        <v>610</v>
      </c>
      <c r="BQ3" s="205" t="s">
        <v>612</v>
      </c>
      <c r="BR3" s="205" t="s">
        <v>613</v>
      </c>
      <c r="BS3" s="205" t="s">
        <v>615</v>
      </c>
      <c r="BT3" s="205" t="s">
        <v>617</v>
      </c>
      <c r="BU3" s="205" t="s">
        <v>618</v>
      </c>
      <c r="BV3" s="205" t="s">
        <v>620</v>
      </c>
      <c r="BW3" s="205" t="s">
        <v>621</v>
      </c>
      <c r="BX3" s="205" t="s">
        <v>622</v>
      </c>
      <c r="BY3" s="205" t="s">
        <v>624</v>
      </c>
      <c r="BZ3" s="205" t="s">
        <v>625</v>
      </c>
      <c r="CA3" s="205" t="s">
        <v>680</v>
      </c>
    </row>
    <row r="4" spans="1:79" x14ac:dyDescent="0.25">
      <c r="A4" s="262" t="e">
        <f>#REF!</f>
        <v>#REF!</v>
      </c>
      <c r="B4" s="263" t="e">
        <f>#REF!</f>
        <v>#REF!</v>
      </c>
      <c r="C4" s="264" t="e">
        <f>#REF!</f>
        <v>#REF!</v>
      </c>
      <c r="D4" s="264" t="e">
        <f>#REF!</f>
        <v>#REF!</v>
      </c>
      <c r="E4" s="265"/>
      <c r="F4" s="266"/>
      <c r="G4" s="267" t="s">
        <v>537</v>
      </c>
      <c r="H4" s="268" t="s">
        <v>681</v>
      </c>
      <c r="I4" s="267" t="s">
        <v>538</v>
      </c>
      <c r="J4" s="263"/>
      <c r="K4" s="89" t="e">
        <f>#REF!</f>
        <v>#REF!</v>
      </c>
      <c r="L4" s="269" t="e">
        <f>COUNTIF(#REF!,1)</f>
        <v>#REF!</v>
      </c>
      <c r="M4" s="270" t="e">
        <f t="array" ref="M4">IF(AND(M$2&lt;&gt;0,#REF!&gt;=M$2),1,0)</f>
        <v>#REF!</v>
      </c>
      <c r="N4" s="270" t="e">
        <f t="array" ref="N4">IF(AND(N$2&lt;&gt;0,#REF!&gt;=N$2),1,0)</f>
        <v>#REF!</v>
      </c>
      <c r="O4" s="270" t="e">
        <f t="array" ref="O4">IF(AND(O$2&lt;&gt;0,#REF!&gt;=O$2),1,0)</f>
        <v>#REF!</v>
      </c>
      <c r="P4" s="270" t="e">
        <f t="array" ref="P4">IF(AND(P$2&lt;&gt;0,#REF!&gt;=P$2),1,0)</f>
        <v>#REF!</v>
      </c>
      <c r="Q4" s="270" t="e">
        <f t="array" ref="Q4">IF(AND(Q$2&lt;&gt;0,#REF!&gt;=Q$2),1,0)</f>
        <v>#REF!</v>
      </c>
      <c r="R4" s="270" t="e">
        <f t="array" ref="R4">IF(AND(R$2&lt;&gt;0,#REF!&gt;=R$2),1,0)</f>
        <v>#REF!</v>
      </c>
      <c r="S4" s="270" t="e">
        <f t="array" ref="S4">IF(AND(S$2&lt;&gt;0,#REF!&gt;=S$2),1,0)</f>
        <v>#REF!</v>
      </c>
      <c r="T4" s="270" t="e">
        <f t="array" ref="T4">IF(AND(T$2&lt;&gt;0,#REF!&gt;=T$2),1,0)</f>
        <v>#REF!</v>
      </c>
      <c r="U4" s="270" t="e">
        <f t="array" ref="U4">IF(AND(U$2&lt;&gt;0,#REF!&gt;=U$2),1,0)</f>
        <v>#REF!</v>
      </c>
      <c r="V4" s="270" t="e">
        <f t="array" ref="V4">IF(AND(V$2&lt;&gt;0,#REF!&gt;=V$2),1,0)</f>
        <v>#REF!</v>
      </c>
      <c r="W4" s="270" t="e">
        <f t="array" ref="W4">IF(AND(W$2&lt;&gt;0,#REF!&gt;=W$2),1,0)</f>
        <v>#REF!</v>
      </c>
      <c r="X4" s="270" t="e">
        <f t="array" ref="X4">IF(AND(X$2&lt;&gt;0,#REF!&gt;=X$2),1,0)</f>
        <v>#REF!</v>
      </c>
      <c r="Y4" s="270" t="e">
        <f t="array" ref="Y4">IF(AND(Y$2&lt;&gt;0,#REF!&gt;=Y$2),1,0)</f>
        <v>#REF!</v>
      </c>
      <c r="Z4" s="270" t="e">
        <f t="array" ref="Z4">IF(AND(Z$2&lt;&gt;0,#REF!&gt;=Z$2),1,0)</f>
        <v>#REF!</v>
      </c>
      <c r="AA4" s="270" t="e">
        <f t="array" ref="AA4">IF(AND(AA$2&lt;&gt;0,#REF!&gt;=AA$2),1,0)</f>
        <v>#REF!</v>
      </c>
      <c r="AB4" s="270" t="e">
        <f t="array" ref="AB4">IF(AND(AB$2&lt;&gt;0,#REF!&gt;=AB$2),1,0)</f>
        <v>#REF!</v>
      </c>
      <c r="AC4" s="270" t="e">
        <f t="array" ref="AC4">IF(AND(AC$2&lt;&gt;0,#REF!&gt;=AC$2),1,0)</f>
        <v>#REF!</v>
      </c>
      <c r="AD4" s="270" t="e">
        <f t="array" ref="AD4">IF(AND(AD$2&lt;&gt;0,#REF!&gt;=AD$2),1,0)</f>
        <v>#REF!</v>
      </c>
      <c r="AE4" s="270" t="e">
        <f t="array" ref="AE4">IF(AND(AE$2&lt;&gt;0,#REF!&gt;=AE$2),1,0)</f>
        <v>#REF!</v>
      </c>
      <c r="AF4" s="270" t="e">
        <f t="array" ref="AF4">IF(AND(AF$2&lt;&gt;0,#REF!&gt;=AF$2),1,0)</f>
        <v>#REF!</v>
      </c>
      <c r="AG4" s="270" t="e">
        <f t="array" ref="AG4">IF(AND(AG$2&lt;&gt;0,#REF!&gt;=AG$2),1,0)</f>
        <v>#REF!</v>
      </c>
      <c r="AH4" s="270" t="e">
        <f t="array" ref="AH4">IF(AND(AH$2&lt;&gt;0,#REF!&gt;=AH$2),1,0)</f>
        <v>#REF!</v>
      </c>
      <c r="AI4" s="270" t="e">
        <f t="array" ref="AI4">IF(AND(AI$2&lt;&gt;0,#REF!&gt;=AI$2),1,0)</f>
        <v>#REF!</v>
      </c>
      <c r="AJ4" s="270" t="e">
        <f t="array" ref="AJ4">IF(AND(AJ$2&lt;&gt;0,#REF!&gt;=AJ$2),1,0)</f>
        <v>#REF!</v>
      </c>
      <c r="AK4" s="270" t="e">
        <f t="array" ref="AK4">IF(AND(AK$2&lt;&gt;0,#REF!&gt;=AK$2),1,0)</f>
        <v>#REF!</v>
      </c>
      <c r="AL4" s="270" t="e">
        <f t="array" ref="AL4">IF(AND(AL$2&lt;&gt;0,#REF!&gt;=AL$2),1,0)</f>
        <v>#REF!</v>
      </c>
      <c r="AM4" s="270" t="e">
        <f t="array" ref="AM4">IF(AND(AM$2&lt;&gt;0,#REF!&gt;=AM$2),1,0)</f>
        <v>#REF!</v>
      </c>
      <c r="AN4" s="270" t="e">
        <f t="array" ref="AN4">IF(AND(AN$2&lt;&gt;0,#REF!&gt;=AN$2),1,0)</f>
        <v>#REF!</v>
      </c>
      <c r="AO4" s="270" t="e">
        <f t="array" ref="AO4">IF(AND(AO$2&lt;&gt;0,#REF!&gt;=AO$2),1,0)</f>
        <v>#REF!</v>
      </c>
      <c r="AP4" s="270" t="e">
        <f t="array" ref="AP4">IF(AND(AP$2&lt;&gt;0,#REF!&gt;=AP$2),1,0)</f>
        <v>#REF!</v>
      </c>
      <c r="AQ4" s="270" t="e">
        <f t="array" ref="AQ4">IF(AND(AQ$2&lt;&gt;0,#REF!&gt;=AQ$2),1,0)</f>
        <v>#REF!</v>
      </c>
      <c r="AR4" s="270" t="e">
        <f t="array" ref="AR4">IF(AND(AR$2&lt;&gt;0,#REF!&gt;=AR$2),1,0)</f>
        <v>#REF!</v>
      </c>
      <c r="AS4" s="270" t="e">
        <f t="array" ref="AS4">IF(AND(AS$2&lt;&gt;0,#REF!&gt;=AS$2),1,0)</f>
        <v>#REF!</v>
      </c>
      <c r="AT4" s="270" t="e">
        <f t="array" ref="AT4">IF(AND(AT$2&lt;&gt;0,#REF!&gt;=AT$2),1,0)</f>
        <v>#REF!</v>
      </c>
      <c r="AU4" s="270" t="e">
        <f t="array" ref="AU4">IF(AND(AU$2&lt;&gt;0,#REF!&gt;=AU$2),1,0)</f>
        <v>#REF!</v>
      </c>
      <c r="AV4" s="270" t="e">
        <f t="array" ref="AV4">IF(AND(AV$2&lt;&gt;0,#REF!&gt;=AV$2),1,0)</f>
        <v>#REF!</v>
      </c>
      <c r="AW4" s="270" t="e">
        <f t="array" ref="AW4">IF(AND(AW$2&lt;&gt;0,#REF!&gt;=AW$2),1,0)</f>
        <v>#REF!</v>
      </c>
      <c r="AX4" s="270" t="e">
        <f t="array" ref="AX4">IF(AND(AX$2&lt;&gt;0,#REF!&gt;=AX$2),1,0)</f>
        <v>#REF!</v>
      </c>
      <c r="AY4" s="270" t="e">
        <f t="array" ref="AY4">IF(AND(AY$2&lt;&gt;0,#REF!&gt;=AY$2),1,0)</f>
        <v>#REF!</v>
      </c>
      <c r="AZ4" s="270" t="e">
        <f t="array" ref="AZ4">IF(AND(AZ$2&lt;&gt;0,#REF!&gt;=AZ$2),1,0)</f>
        <v>#REF!</v>
      </c>
      <c r="BA4" s="270" t="e">
        <f t="array" ref="BA4">IF(AND(BA$2&lt;&gt;0,#REF!&gt;=BA$2),1,0)</f>
        <v>#REF!</v>
      </c>
      <c r="BB4" s="270" t="e">
        <f t="array" ref="BB4">IF(AND(BB$2&lt;&gt;0,#REF!&gt;=BB$2),1,0)</f>
        <v>#REF!</v>
      </c>
      <c r="BC4" s="270" t="e">
        <f t="array" ref="BC4">IF(AND(BC$2&lt;&gt;0,#REF!&gt;=BC$2),1,0)</f>
        <v>#REF!</v>
      </c>
      <c r="BD4" s="270" t="e">
        <f t="array" ref="BD4">IF(AND(BD$2&lt;&gt;0,#REF!&gt;=BD$2),1,0)</f>
        <v>#REF!</v>
      </c>
      <c r="BE4" s="270" t="e">
        <f t="array" ref="BE4">IF(AND(BE$2&lt;&gt;0,#REF!&gt;=BE$2),1,0)</f>
        <v>#REF!</v>
      </c>
      <c r="BF4" s="270" t="e">
        <f t="array" ref="BF4">IF(AND(BF$2&lt;&gt;0,#REF!&gt;=BF$2),1,0)</f>
        <v>#REF!</v>
      </c>
      <c r="BG4" s="270" t="e">
        <f t="array" ref="BG4">IF(AND(BG$2&lt;&gt;0,#REF!&gt;=BG$2),1,0)</f>
        <v>#REF!</v>
      </c>
      <c r="BH4" s="270" t="e">
        <f t="array" ref="BH4">IF(AND(BH$2&lt;&gt;0,#REF!&gt;=BH$2),1,0)</f>
        <v>#REF!</v>
      </c>
      <c r="BI4" s="270" t="e">
        <f t="array" ref="BI4">IF(AND(BI$2&lt;&gt;0,#REF!&gt;=BI$2),1,0)</f>
        <v>#REF!</v>
      </c>
      <c r="BJ4" s="270" t="e">
        <f t="array" ref="BJ4">IF(AND(BJ$2&lt;&gt;0,#REF!&gt;=BJ$2),1,0)</f>
        <v>#REF!</v>
      </c>
      <c r="BK4" s="270" t="e">
        <f t="array" ref="BK4">IF(AND(BK$2&lt;&gt;0,#REF!&gt;=BK$2),1,0)</f>
        <v>#REF!</v>
      </c>
      <c r="BL4" s="270" t="e">
        <f t="array" ref="BL4">IF(AND(BL$2&lt;&gt;0,#REF!&gt;=BL$2),1,0)</f>
        <v>#REF!</v>
      </c>
      <c r="BM4" s="270" t="e">
        <f t="array" ref="BM4">IF(AND(BM$2&lt;&gt;0,#REF!&gt;=BM$2),1,0)</f>
        <v>#REF!</v>
      </c>
      <c r="BN4" s="270" t="e">
        <f t="array" ref="BN4">IF(AND(BN$2&lt;&gt;0,#REF!&gt;=BN$2),1,0)</f>
        <v>#REF!</v>
      </c>
      <c r="BO4" s="270" t="e">
        <f t="array" ref="BO4">IF(AND(BO$2&lt;&gt;0,#REF!&gt;=BO$2),1,0)</f>
        <v>#REF!</v>
      </c>
      <c r="BP4" s="270" t="e">
        <f t="array" ref="BP4">IF(AND(BP$2&lt;&gt;0,#REF!&gt;=BP$2),1,0)</f>
        <v>#REF!</v>
      </c>
      <c r="BQ4" s="270" t="e">
        <f t="array" ref="BQ4">IF(AND(BQ$2&lt;&gt;0,#REF!&gt;=BQ$2),1,0)</f>
        <v>#REF!</v>
      </c>
      <c r="BR4" s="270" t="e">
        <f t="array" ref="BR4">IF(AND(BR$2&lt;&gt;0,#REF!&gt;=BR$2),1,0)</f>
        <v>#REF!</v>
      </c>
      <c r="BS4" s="270" t="e">
        <f t="array" ref="BS4">IF(AND(BS$2&lt;&gt;0,#REF!&gt;=BS$2),1,0)</f>
        <v>#REF!</v>
      </c>
      <c r="BT4" s="270" t="e">
        <f t="array" ref="BT4">IF(AND(BT$2&lt;&gt;0,#REF!&gt;=BT$2),1,0)</f>
        <v>#REF!</v>
      </c>
      <c r="BU4" s="270" t="e">
        <f t="array" ref="BU4">IF(AND(BU$2&lt;&gt;0,#REF!&gt;=BU$2),1,0)</f>
        <v>#REF!</v>
      </c>
      <c r="BV4" s="270" t="e">
        <f t="array" ref="BV4">IF(AND(BV$2&lt;&gt;0,#REF!&gt;=BV$2),1,0)</f>
        <v>#REF!</v>
      </c>
      <c r="BW4" s="270" t="e">
        <f t="array" ref="BW4">IF(AND(BW$2&lt;&gt;0,#REF!&gt;=BW$2),1,0)</f>
        <v>#REF!</v>
      </c>
      <c r="BX4" s="270" t="e">
        <f t="array" ref="BX4">IF(AND(BX$2&lt;&gt;0,#REF!&gt;=BX$2),1,0)</f>
        <v>#REF!</v>
      </c>
      <c r="BY4" s="270" t="e">
        <f t="array" ref="BY4">IF(AND(BY$2&lt;&gt;0,#REF!&gt;=BY$2),1,0)</f>
        <v>#REF!</v>
      </c>
      <c r="BZ4" s="270" t="e">
        <f t="array" ref="BZ4">IF(AND(BZ$2&lt;&gt;0,#REF!&gt;=BZ$2),1,0)</f>
        <v>#REF!</v>
      </c>
      <c r="CA4" s="359">
        <f>IFERROR(INDEX($H$4:$H$79,MATCH(INDEX(#REF!,1,MATCH(#REF!,$M$2:$BZ$2,0)),$G$4:$G$79,0)),)</f>
        <v>0</v>
      </c>
    </row>
    <row r="5" spans="1:79" x14ac:dyDescent="0.25">
      <c r="A5" s="262" t="e">
        <f>#REF!</f>
        <v>#REF!</v>
      </c>
      <c r="B5" s="263" t="e">
        <f>#REF!</f>
        <v>#REF!</v>
      </c>
      <c r="C5" s="264" t="e">
        <f>#REF!</f>
        <v>#REF!</v>
      </c>
      <c r="D5" s="264" t="e">
        <f>#REF!</f>
        <v>#REF!</v>
      </c>
      <c r="E5" s="265"/>
      <c r="F5" s="266"/>
      <c r="G5" s="267" t="s">
        <v>539</v>
      </c>
      <c r="H5" s="268" t="s">
        <v>682</v>
      </c>
      <c r="I5" s="267" t="s">
        <v>1107</v>
      </c>
      <c r="J5" s="263"/>
      <c r="K5" s="89" t="e">
        <f ca="1">IF(#REF!&lt;&gt;OFFSET(#REF!,-1,0),1,0)</f>
        <v>#REF!</v>
      </c>
      <c r="L5" s="269" t="e">
        <f>COUNTIF(#REF!,1)</f>
        <v>#REF!</v>
      </c>
      <c r="M5" s="270" t="e">
        <f t="array" ref="M5">IF(AND(M$2&lt;&gt;0,#REF!&gt;=M$2),1,0)</f>
        <v>#REF!</v>
      </c>
      <c r="N5" s="270" t="e">
        <f t="array" ref="N5">IF(AND(N$2&lt;&gt;0,#REF!&gt;=N$2),1,0)</f>
        <v>#REF!</v>
      </c>
      <c r="O5" s="270" t="e">
        <f t="array" ref="O5">IF(AND(O$2&lt;&gt;0,#REF!&gt;=O$2),1,0)</f>
        <v>#REF!</v>
      </c>
      <c r="P5" s="270" t="e">
        <f t="array" ref="P5">IF(AND(P$2&lt;&gt;0,#REF!&gt;=P$2),1,0)</f>
        <v>#REF!</v>
      </c>
      <c r="Q5" s="270" t="e">
        <f t="array" ref="Q5">IF(AND(Q$2&lt;&gt;0,#REF!&gt;=Q$2),1,0)</f>
        <v>#REF!</v>
      </c>
      <c r="R5" s="270" t="e">
        <f t="array" ref="R5">IF(AND(R$2&lt;&gt;0,#REF!&gt;=R$2),1,0)</f>
        <v>#REF!</v>
      </c>
      <c r="S5" s="270" t="e">
        <f t="array" ref="S5">IF(AND(S$2&lt;&gt;0,#REF!&gt;=S$2),1,0)</f>
        <v>#REF!</v>
      </c>
      <c r="T5" s="270" t="e">
        <f t="array" ref="T5">IF(AND(T$2&lt;&gt;0,#REF!&gt;=T$2),1,0)</f>
        <v>#REF!</v>
      </c>
      <c r="U5" s="270" t="e">
        <f t="array" ref="U5">IF(AND(U$2&lt;&gt;0,#REF!&gt;=U$2),1,0)</f>
        <v>#REF!</v>
      </c>
      <c r="V5" s="270" t="e">
        <f t="array" ref="V5">IF(AND(V$2&lt;&gt;0,#REF!&gt;=V$2),1,0)</f>
        <v>#REF!</v>
      </c>
      <c r="W5" s="270" t="e">
        <f t="array" ref="W5">IF(AND(W$2&lt;&gt;0,#REF!&gt;=W$2),1,0)</f>
        <v>#REF!</v>
      </c>
      <c r="X5" s="270" t="e">
        <f t="array" ref="X5">IF(AND(X$2&lt;&gt;0,#REF!&gt;=X$2),1,0)</f>
        <v>#REF!</v>
      </c>
      <c r="Y5" s="270" t="e">
        <f t="array" ref="Y5">IF(AND(Y$2&lt;&gt;0,#REF!&gt;=Y$2),1,0)</f>
        <v>#REF!</v>
      </c>
      <c r="Z5" s="270" t="e">
        <f t="array" ref="Z5">IF(AND(Z$2&lt;&gt;0,#REF!&gt;=Z$2),1,0)</f>
        <v>#REF!</v>
      </c>
      <c r="AA5" s="270" t="e">
        <f t="array" ref="AA5">IF(AND(AA$2&lt;&gt;0,#REF!&gt;=AA$2),1,0)</f>
        <v>#REF!</v>
      </c>
      <c r="AB5" s="270" t="e">
        <f t="array" ref="AB5">IF(AND(AB$2&lt;&gt;0,#REF!&gt;=AB$2),1,0)</f>
        <v>#REF!</v>
      </c>
      <c r="AC5" s="270" t="e">
        <f t="array" ref="AC5">IF(AND(AC$2&lt;&gt;0,#REF!&gt;=AC$2),1,0)</f>
        <v>#REF!</v>
      </c>
      <c r="AD5" s="270" t="e">
        <f t="array" ref="AD5">IF(AND(AD$2&lt;&gt;0,#REF!&gt;=AD$2),1,0)</f>
        <v>#REF!</v>
      </c>
      <c r="AE5" s="270" t="e">
        <f t="array" ref="AE5">IF(AND(AE$2&lt;&gt;0,#REF!&gt;=AE$2),1,0)</f>
        <v>#REF!</v>
      </c>
      <c r="AF5" s="270" t="e">
        <f t="array" ref="AF5">IF(AND(AF$2&lt;&gt;0,#REF!&gt;=AF$2),1,0)</f>
        <v>#REF!</v>
      </c>
      <c r="AG5" s="270" t="e">
        <f t="array" ref="AG5">IF(AND(AG$2&lt;&gt;0,#REF!&gt;=AG$2),1,0)</f>
        <v>#REF!</v>
      </c>
      <c r="AH5" s="270" t="e">
        <f t="array" ref="AH5">IF(AND(AH$2&lt;&gt;0,#REF!&gt;=AH$2),1,0)</f>
        <v>#REF!</v>
      </c>
      <c r="AI5" s="270" t="e">
        <f t="array" ref="AI5">IF(AND(AI$2&lt;&gt;0,#REF!&gt;=AI$2),1,0)</f>
        <v>#REF!</v>
      </c>
      <c r="AJ5" s="270" t="e">
        <f t="array" ref="AJ5">IF(AND(AJ$2&lt;&gt;0,#REF!&gt;=AJ$2),1,0)</f>
        <v>#REF!</v>
      </c>
      <c r="AK5" s="270" t="e">
        <f t="array" ref="AK5">IF(AND(AK$2&lt;&gt;0,#REF!&gt;=AK$2),1,0)</f>
        <v>#REF!</v>
      </c>
      <c r="AL5" s="270" t="e">
        <f t="array" ref="AL5">IF(AND(AL$2&lt;&gt;0,#REF!&gt;=AL$2),1,0)</f>
        <v>#REF!</v>
      </c>
      <c r="AM5" s="270" t="e">
        <f t="array" ref="AM5">IF(AND(AM$2&lt;&gt;0,#REF!&gt;=AM$2),1,0)</f>
        <v>#REF!</v>
      </c>
      <c r="AN5" s="270" t="e">
        <f t="array" ref="AN5">IF(AND(AN$2&lt;&gt;0,#REF!&gt;=AN$2),1,0)</f>
        <v>#REF!</v>
      </c>
      <c r="AO5" s="270" t="e">
        <f t="array" ref="AO5">IF(AND(AO$2&lt;&gt;0,#REF!&gt;=AO$2),1,0)</f>
        <v>#REF!</v>
      </c>
      <c r="AP5" s="270" t="e">
        <f t="array" ref="AP5">IF(AND(AP$2&lt;&gt;0,#REF!&gt;=AP$2),1,0)</f>
        <v>#REF!</v>
      </c>
      <c r="AQ5" s="270" t="e">
        <f t="array" ref="AQ5">IF(AND(AQ$2&lt;&gt;0,#REF!&gt;=AQ$2),1,0)</f>
        <v>#REF!</v>
      </c>
      <c r="AR5" s="270" t="e">
        <f t="array" ref="AR5">IF(AND(AR$2&lt;&gt;0,#REF!&gt;=AR$2),1,0)</f>
        <v>#REF!</v>
      </c>
      <c r="AS5" s="270" t="e">
        <f t="array" ref="AS5">IF(AND(AS$2&lt;&gt;0,#REF!&gt;=AS$2),1,0)</f>
        <v>#REF!</v>
      </c>
      <c r="AT5" s="270" t="e">
        <f t="array" ref="AT5">IF(AND(AT$2&lt;&gt;0,#REF!&gt;=AT$2),1,0)</f>
        <v>#REF!</v>
      </c>
      <c r="AU5" s="270" t="e">
        <f t="array" ref="AU5">IF(AND(AU$2&lt;&gt;0,#REF!&gt;=AU$2),1,0)</f>
        <v>#REF!</v>
      </c>
      <c r="AV5" s="270" t="e">
        <f t="array" ref="AV5">IF(AND(AV$2&lt;&gt;0,#REF!&gt;=AV$2),1,0)</f>
        <v>#REF!</v>
      </c>
      <c r="AW5" s="270" t="e">
        <f t="array" ref="AW5">IF(AND(AW$2&lt;&gt;0,#REF!&gt;=AW$2),1,0)</f>
        <v>#REF!</v>
      </c>
      <c r="AX5" s="270" t="e">
        <f t="array" ref="AX5">IF(AND(AX$2&lt;&gt;0,#REF!&gt;=AX$2),1,0)</f>
        <v>#REF!</v>
      </c>
      <c r="AY5" s="270" t="e">
        <f t="array" ref="AY5">IF(AND(AY$2&lt;&gt;0,#REF!&gt;=AY$2),1,0)</f>
        <v>#REF!</v>
      </c>
      <c r="AZ5" s="270" t="e">
        <f t="array" ref="AZ5">IF(AND(AZ$2&lt;&gt;0,#REF!&gt;=AZ$2),1,0)</f>
        <v>#REF!</v>
      </c>
      <c r="BA5" s="270" t="e">
        <f t="array" ref="BA5">IF(AND(BA$2&lt;&gt;0,#REF!&gt;=BA$2),1,0)</f>
        <v>#REF!</v>
      </c>
      <c r="BB5" s="270" t="e">
        <f t="array" ref="BB5">IF(AND(BB$2&lt;&gt;0,#REF!&gt;=BB$2),1,0)</f>
        <v>#REF!</v>
      </c>
      <c r="BC5" s="270" t="e">
        <f t="array" ref="BC5">IF(AND(BC$2&lt;&gt;0,#REF!&gt;=BC$2),1,0)</f>
        <v>#REF!</v>
      </c>
      <c r="BD5" s="270" t="e">
        <f t="array" ref="BD5">IF(AND(BD$2&lt;&gt;0,#REF!&gt;=BD$2),1,0)</f>
        <v>#REF!</v>
      </c>
      <c r="BE5" s="270" t="e">
        <f t="array" ref="BE5">IF(AND(BE$2&lt;&gt;0,#REF!&gt;=BE$2),1,0)</f>
        <v>#REF!</v>
      </c>
      <c r="BF5" s="270" t="e">
        <f t="array" ref="BF5">IF(AND(BF$2&lt;&gt;0,#REF!&gt;=BF$2),1,0)</f>
        <v>#REF!</v>
      </c>
      <c r="BG5" s="270" t="e">
        <f t="array" ref="BG5">IF(AND(BG$2&lt;&gt;0,#REF!&gt;=BG$2),1,0)</f>
        <v>#REF!</v>
      </c>
      <c r="BH5" s="270" t="e">
        <f t="array" ref="BH5">IF(AND(BH$2&lt;&gt;0,#REF!&gt;=BH$2),1,0)</f>
        <v>#REF!</v>
      </c>
      <c r="BI5" s="270" t="e">
        <f t="array" ref="BI5">IF(AND(BI$2&lt;&gt;0,#REF!&gt;=BI$2),1,0)</f>
        <v>#REF!</v>
      </c>
      <c r="BJ5" s="270" t="e">
        <f t="array" ref="BJ5">IF(AND(BJ$2&lt;&gt;0,#REF!&gt;=BJ$2),1,0)</f>
        <v>#REF!</v>
      </c>
      <c r="BK5" s="270" t="e">
        <f t="array" ref="BK5">IF(AND(BK$2&lt;&gt;0,#REF!&gt;=BK$2),1,0)</f>
        <v>#REF!</v>
      </c>
      <c r="BL5" s="270" t="e">
        <f t="array" ref="BL5">IF(AND(BL$2&lt;&gt;0,#REF!&gt;=BL$2),1,0)</f>
        <v>#REF!</v>
      </c>
      <c r="BM5" s="270" t="e">
        <f t="array" ref="BM5">IF(AND(BM$2&lt;&gt;0,#REF!&gt;=BM$2),1,0)</f>
        <v>#REF!</v>
      </c>
      <c r="BN5" s="270" t="e">
        <f t="array" ref="BN5">IF(AND(BN$2&lt;&gt;0,#REF!&gt;=BN$2),1,0)</f>
        <v>#REF!</v>
      </c>
      <c r="BO5" s="270" t="e">
        <f t="array" ref="BO5">IF(AND(BO$2&lt;&gt;0,#REF!&gt;=BO$2),1,0)</f>
        <v>#REF!</v>
      </c>
      <c r="BP5" s="270" t="e">
        <f t="array" ref="BP5">IF(AND(BP$2&lt;&gt;0,#REF!&gt;=BP$2),1,0)</f>
        <v>#REF!</v>
      </c>
      <c r="BQ5" s="270" t="e">
        <f t="array" ref="BQ5">IF(AND(BQ$2&lt;&gt;0,#REF!&gt;=BQ$2),1,0)</f>
        <v>#REF!</v>
      </c>
      <c r="BR5" s="270" t="e">
        <f t="array" ref="BR5">IF(AND(BR$2&lt;&gt;0,#REF!&gt;=BR$2),1,0)</f>
        <v>#REF!</v>
      </c>
      <c r="BS5" s="270" t="e">
        <f t="array" ref="BS5">IF(AND(BS$2&lt;&gt;0,#REF!&gt;=BS$2),1,0)</f>
        <v>#REF!</v>
      </c>
      <c r="BT5" s="270" t="e">
        <f t="array" ref="BT5">IF(AND(BT$2&lt;&gt;0,#REF!&gt;=BT$2),1,0)</f>
        <v>#REF!</v>
      </c>
      <c r="BU5" s="270" t="e">
        <f t="array" ref="BU5">IF(AND(BU$2&lt;&gt;0,#REF!&gt;=BU$2),1,0)</f>
        <v>#REF!</v>
      </c>
      <c r="BV5" s="270" t="e">
        <f t="array" ref="BV5">IF(AND(BV$2&lt;&gt;0,#REF!&gt;=BV$2),1,0)</f>
        <v>#REF!</v>
      </c>
      <c r="BW5" s="270" t="e">
        <f t="array" ref="BW5">IF(AND(BW$2&lt;&gt;0,#REF!&gt;=BW$2),1,0)</f>
        <v>#REF!</v>
      </c>
      <c r="BX5" s="270" t="e">
        <f t="array" ref="BX5">IF(AND(BX$2&lt;&gt;0,#REF!&gt;=BX$2),1,0)</f>
        <v>#REF!</v>
      </c>
      <c r="BY5" s="270" t="e">
        <f t="array" ref="BY5">IF(AND(BY$2&lt;&gt;0,#REF!&gt;=BY$2),1,0)</f>
        <v>#REF!</v>
      </c>
      <c r="BZ5" s="270" t="e">
        <f t="array" ref="BZ5">IF(AND(BZ$2&lt;&gt;0,#REF!&gt;=BZ$2),1,0)</f>
        <v>#REF!</v>
      </c>
      <c r="CA5" s="359">
        <f>IFERROR(INDEX($H$4:$H$79,MATCH(INDEX(#REF!,1,MATCH(#REF!,$M$2:$BZ$2,0)),$G$4:$G$79,0)),)</f>
        <v>0</v>
      </c>
    </row>
    <row r="6" spans="1:79" x14ac:dyDescent="0.25">
      <c r="A6" s="262" t="e">
        <f>#REF!</f>
        <v>#REF!</v>
      </c>
      <c r="B6" s="263" t="e">
        <f>#REF!</f>
        <v>#REF!</v>
      </c>
      <c r="C6" s="264" t="e">
        <f>#REF!</f>
        <v>#REF!</v>
      </c>
      <c r="D6" s="264" t="e">
        <f>#REF!</f>
        <v>#REF!</v>
      </c>
      <c r="E6" s="265"/>
      <c r="F6" s="266"/>
      <c r="G6" s="267" t="s">
        <v>540</v>
      </c>
      <c r="H6" s="268" t="s">
        <v>683</v>
      </c>
      <c r="I6" s="267" t="s">
        <v>541</v>
      </c>
      <c r="J6" s="263"/>
      <c r="K6" s="89" t="e">
        <f ca="1">IF(#REF!&lt;&gt;OFFSET(#REF!,-1,0),1,0)</f>
        <v>#REF!</v>
      </c>
      <c r="L6" s="269" t="e">
        <f>COUNTIF(#REF!,1)</f>
        <v>#REF!</v>
      </c>
      <c r="M6" s="270" t="e">
        <f t="array" ref="M6">IF(AND(M$2&lt;&gt;0,#REF!&gt;=M$2),1,0)</f>
        <v>#REF!</v>
      </c>
      <c r="N6" s="270" t="e">
        <f t="array" ref="N6">IF(AND(N$2&lt;&gt;0,#REF!&gt;=N$2),1,0)</f>
        <v>#REF!</v>
      </c>
      <c r="O6" s="270" t="e">
        <f t="array" ref="O6">IF(AND(O$2&lt;&gt;0,#REF!&gt;=O$2),1,0)</f>
        <v>#REF!</v>
      </c>
      <c r="P6" s="270" t="e">
        <f t="array" ref="P6">IF(AND(P$2&lt;&gt;0,#REF!&gt;=P$2),1,0)</f>
        <v>#REF!</v>
      </c>
      <c r="Q6" s="270" t="e">
        <f t="array" ref="Q6">IF(AND(Q$2&lt;&gt;0,#REF!&gt;=Q$2),1,0)</f>
        <v>#REF!</v>
      </c>
      <c r="R6" s="270" t="e">
        <f t="array" ref="R6">IF(AND(R$2&lt;&gt;0,#REF!&gt;=R$2),1,0)</f>
        <v>#REF!</v>
      </c>
      <c r="S6" s="270" t="e">
        <f t="array" ref="S6">IF(AND(S$2&lt;&gt;0,#REF!&gt;=S$2),1,0)</f>
        <v>#REF!</v>
      </c>
      <c r="T6" s="270" t="e">
        <f t="array" ref="T6">IF(AND(T$2&lt;&gt;0,#REF!&gt;=T$2),1,0)</f>
        <v>#REF!</v>
      </c>
      <c r="U6" s="270" t="e">
        <f t="array" ref="U6">IF(AND(U$2&lt;&gt;0,#REF!&gt;=U$2),1,0)</f>
        <v>#REF!</v>
      </c>
      <c r="V6" s="270" t="e">
        <f t="array" ref="V6">IF(AND(V$2&lt;&gt;0,#REF!&gt;=V$2),1,0)</f>
        <v>#REF!</v>
      </c>
      <c r="W6" s="270" t="e">
        <f t="array" ref="W6">IF(AND(W$2&lt;&gt;0,#REF!&gt;=W$2),1,0)</f>
        <v>#REF!</v>
      </c>
      <c r="X6" s="270" t="e">
        <f t="array" ref="X6">IF(AND(X$2&lt;&gt;0,#REF!&gt;=X$2),1,0)</f>
        <v>#REF!</v>
      </c>
      <c r="Y6" s="270" t="e">
        <f t="array" ref="Y6">IF(AND(Y$2&lt;&gt;0,#REF!&gt;=Y$2),1,0)</f>
        <v>#REF!</v>
      </c>
      <c r="Z6" s="270" t="e">
        <f t="array" ref="Z6">IF(AND(Z$2&lt;&gt;0,#REF!&gt;=Z$2),1,0)</f>
        <v>#REF!</v>
      </c>
      <c r="AA6" s="270" t="e">
        <f t="array" ref="AA6">IF(AND(AA$2&lt;&gt;0,#REF!&gt;=AA$2),1,0)</f>
        <v>#REF!</v>
      </c>
      <c r="AB6" s="270" t="e">
        <f t="array" ref="AB6">IF(AND(AB$2&lt;&gt;0,#REF!&gt;=AB$2),1,0)</f>
        <v>#REF!</v>
      </c>
      <c r="AC6" s="270" t="e">
        <f t="array" ref="AC6">IF(AND(AC$2&lt;&gt;0,#REF!&gt;=AC$2),1,0)</f>
        <v>#REF!</v>
      </c>
      <c r="AD6" s="270" t="e">
        <f t="array" ref="AD6">IF(AND(AD$2&lt;&gt;0,#REF!&gt;=AD$2),1,0)</f>
        <v>#REF!</v>
      </c>
      <c r="AE6" s="270" t="e">
        <f t="array" ref="AE6">IF(AND(AE$2&lt;&gt;0,#REF!&gt;=AE$2),1,0)</f>
        <v>#REF!</v>
      </c>
      <c r="AF6" s="270" t="e">
        <f t="array" ref="AF6">IF(AND(AF$2&lt;&gt;0,#REF!&gt;=AF$2),1,0)</f>
        <v>#REF!</v>
      </c>
      <c r="AG6" s="270" t="e">
        <f t="array" ref="AG6">IF(AND(AG$2&lt;&gt;0,#REF!&gt;=AG$2),1,0)</f>
        <v>#REF!</v>
      </c>
      <c r="AH6" s="270" t="e">
        <f t="array" ref="AH6">IF(AND(AH$2&lt;&gt;0,#REF!&gt;=AH$2),1,0)</f>
        <v>#REF!</v>
      </c>
      <c r="AI6" s="270" t="e">
        <f t="array" ref="AI6">IF(AND(AI$2&lt;&gt;0,#REF!&gt;=AI$2),1,0)</f>
        <v>#REF!</v>
      </c>
      <c r="AJ6" s="270" t="e">
        <f t="array" ref="AJ6">IF(AND(AJ$2&lt;&gt;0,#REF!&gt;=AJ$2),1,0)</f>
        <v>#REF!</v>
      </c>
      <c r="AK6" s="270" t="e">
        <f t="array" ref="AK6">IF(AND(AK$2&lt;&gt;0,#REF!&gt;=AK$2),1,0)</f>
        <v>#REF!</v>
      </c>
      <c r="AL6" s="270" t="e">
        <f t="array" ref="AL6">IF(AND(AL$2&lt;&gt;0,#REF!&gt;=AL$2),1,0)</f>
        <v>#REF!</v>
      </c>
      <c r="AM6" s="270" t="e">
        <f t="array" ref="AM6">IF(AND(AM$2&lt;&gt;0,#REF!&gt;=AM$2),1,0)</f>
        <v>#REF!</v>
      </c>
      <c r="AN6" s="270" t="e">
        <f t="array" ref="AN6">IF(AND(AN$2&lt;&gt;0,#REF!&gt;=AN$2),1,0)</f>
        <v>#REF!</v>
      </c>
      <c r="AO6" s="270" t="e">
        <f t="array" ref="AO6">IF(AND(AO$2&lt;&gt;0,#REF!&gt;=AO$2),1,0)</f>
        <v>#REF!</v>
      </c>
      <c r="AP6" s="270" t="e">
        <f t="array" ref="AP6">IF(AND(AP$2&lt;&gt;0,#REF!&gt;=AP$2),1,0)</f>
        <v>#REF!</v>
      </c>
      <c r="AQ6" s="270" t="e">
        <f t="array" ref="AQ6">IF(AND(AQ$2&lt;&gt;0,#REF!&gt;=AQ$2),1,0)</f>
        <v>#REF!</v>
      </c>
      <c r="AR6" s="270" t="e">
        <f t="array" ref="AR6">IF(AND(AR$2&lt;&gt;0,#REF!&gt;=AR$2),1,0)</f>
        <v>#REF!</v>
      </c>
      <c r="AS6" s="270" t="e">
        <f t="array" ref="AS6">IF(AND(AS$2&lt;&gt;0,#REF!&gt;=AS$2),1,0)</f>
        <v>#REF!</v>
      </c>
      <c r="AT6" s="270" t="e">
        <f t="array" ref="AT6">IF(AND(AT$2&lt;&gt;0,#REF!&gt;=AT$2),1,0)</f>
        <v>#REF!</v>
      </c>
      <c r="AU6" s="270" t="e">
        <f t="array" ref="AU6">IF(AND(AU$2&lt;&gt;0,#REF!&gt;=AU$2),1,0)</f>
        <v>#REF!</v>
      </c>
      <c r="AV6" s="270" t="e">
        <f t="array" ref="AV6">IF(AND(AV$2&lt;&gt;0,#REF!&gt;=AV$2),1,0)</f>
        <v>#REF!</v>
      </c>
      <c r="AW6" s="270" t="e">
        <f t="array" ref="AW6">IF(AND(AW$2&lt;&gt;0,#REF!&gt;=AW$2),1,0)</f>
        <v>#REF!</v>
      </c>
      <c r="AX6" s="270" t="e">
        <f t="array" ref="AX6">IF(AND(AX$2&lt;&gt;0,#REF!&gt;=AX$2),1,0)</f>
        <v>#REF!</v>
      </c>
      <c r="AY6" s="270" t="e">
        <f t="array" ref="AY6">IF(AND(AY$2&lt;&gt;0,#REF!&gt;=AY$2),1,0)</f>
        <v>#REF!</v>
      </c>
      <c r="AZ6" s="270" t="e">
        <f t="array" ref="AZ6">IF(AND(AZ$2&lt;&gt;0,#REF!&gt;=AZ$2),1,0)</f>
        <v>#REF!</v>
      </c>
      <c r="BA6" s="270" t="e">
        <f t="array" ref="BA6">IF(AND(BA$2&lt;&gt;0,#REF!&gt;=BA$2),1,0)</f>
        <v>#REF!</v>
      </c>
      <c r="BB6" s="270" t="e">
        <f t="array" ref="BB6">IF(AND(BB$2&lt;&gt;0,#REF!&gt;=BB$2),1,0)</f>
        <v>#REF!</v>
      </c>
      <c r="BC6" s="270" t="e">
        <f t="array" ref="BC6">IF(AND(BC$2&lt;&gt;0,#REF!&gt;=BC$2),1,0)</f>
        <v>#REF!</v>
      </c>
      <c r="BD6" s="270" t="e">
        <f t="array" ref="BD6">IF(AND(BD$2&lt;&gt;0,#REF!&gt;=BD$2),1,0)</f>
        <v>#REF!</v>
      </c>
      <c r="BE6" s="270" t="e">
        <f t="array" ref="BE6">IF(AND(BE$2&lt;&gt;0,#REF!&gt;=BE$2),1,0)</f>
        <v>#REF!</v>
      </c>
      <c r="BF6" s="270" t="e">
        <f t="array" ref="BF6">IF(AND(BF$2&lt;&gt;0,#REF!&gt;=BF$2),1,0)</f>
        <v>#REF!</v>
      </c>
      <c r="BG6" s="270" t="e">
        <f t="array" ref="BG6">IF(AND(BG$2&lt;&gt;0,#REF!&gt;=BG$2),1,0)</f>
        <v>#REF!</v>
      </c>
      <c r="BH6" s="270" t="e">
        <f t="array" ref="BH6">IF(AND(BH$2&lt;&gt;0,#REF!&gt;=BH$2),1,0)</f>
        <v>#REF!</v>
      </c>
      <c r="BI6" s="270" t="e">
        <f t="array" ref="BI6">IF(AND(BI$2&lt;&gt;0,#REF!&gt;=BI$2),1,0)</f>
        <v>#REF!</v>
      </c>
      <c r="BJ6" s="270" t="e">
        <f t="array" ref="BJ6">IF(AND(BJ$2&lt;&gt;0,#REF!&gt;=BJ$2),1,0)</f>
        <v>#REF!</v>
      </c>
      <c r="BK6" s="270" t="e">
        <f t="array" ref="BK6">IF(AND(BK$2&lt;&gt;0,#REF!&gt;=BK$2),1,0)</f>
        <v>#REF!</v>
      </c>
      <c r="BL6" s="270" t="e">
        <f t="array" ref="BL6">IF(AND(BL$2&lt;&gt;0,#REF!&gt;=BL$2),1,0)</f>
        <v>#REF!</v>
      </c>
      <c r="BM6" s="270" t="e">
        <f t="array" ref="BM6">IF(AND(BM$2&lt;&gt;0,#REF!&gt;=BM$2),1,0)</f>
        <v>#REF!</v>
      </c>
      <c r="BN6" s="270" t="e">
        <f t="array" ref="BN6">IF(AND(BN$2&lt;&gt;0,#REF!&gt;=BN$2),1,0)</f>
        <v>#REF!</v>
      </c>
      <c r="BO6" s="270" t="e">
        <f t="array" ref="BO6">IF(AND(BO$2&lt;&gt;0,#REF!&gt;=BO$2),1,0)</f>
        <v>#REF!</v>
      </c>
      <c r="BP6" s="270" t="e">
        <f t="array" ref="BP6">IF(AND(BP$2&lt;&gt;0,#REF!&gt;=BP$2),1,0)</f>
        <v>#REF!</v>
      </c>
      <c r="BQ6" s="270" t="e">
        <f t="array" ref="BQ6">IF(AND(BQ$2&lt;&gt;0,#REF!&gt;=BQ$2),1,0)</f>
        <v>#REF!</v>
      </c>
      <c r="BR6" s="270" t="e">
        <f t="array" ref="BR6">IF(AND(BR$2&lt;&gt;0,#REF!&gt;=BR$2),1,0)</f>
        <v>#REF!</v>
      </c>
      <c r="BS6" s="270" t="e">
        <f t="array" ref="BS6">IF(AND(BS$2&lt;&gt;0,#REF!&gt;=BS$2),1,0)</f>
        <v>#REF!</v>
      </c>
      <c r="BT6" s="270" t="e">
        <f t="array" ref="BT6">IF(AND(BT$2&lt;&gt;0,#REF!&gt;=BT$2),1,0)</f>
        <v>#REF!</v>
      </c>
      <c r="BU6" s="270" t="e">
        <f t="array" ref="BU6">IF(AND(BU$2&lt;&gt;0,#REF!&gt;=BU$2),1,0)</f>
        <v>#REF!</v>
      </c>
      <c r="BV6" s="270" t="e">
        <f t="array" ref="BV6">IF(AND(BV$2&lt;&gt;0,#REF!&gt;=BV$2),1,0)</f>
        <v>#REF!</v>
      </c>
      <c r="BW6" s="270" t="e">
        <f t="array" ref="BW6">IF(AND(BW$2&lt;&gt;0,#REF!&gt;=BW$2),1,0)</f>
        <v>#REF!</v>
      </c>
      <c r="BX6" s="270" t="e">
        <f t="array" ref="BX6">IF(AND(BX$2&lt;&gt;0,#REF!&gt;=BX$2),1,0)</f>
        <v>#REF!</v>
      </c>
      <c r="BY6" s="270" t="e">
        <f t="array" ref="BY6">IF(AND(BY$2&lt;&gt;0,#REF!&gt;=BY$2),1,0)</f>
        <v>#REF!</v>
      </c>
      <c r="BZ6" s="270" t="e">
        <f t="array" ref="BZ6">IF(AND(BZ$2&lt;&gt;0,#REF!&gt;=BZ$2),1,0)</f>
        <v>#REF!</v>
      </c>
      <c r="CA6" s="359">
        <f>IFERROR(INDEX($H$4:$H$79,MATCH(INDEX(#REF!,1,MATCH(#REF!,$M$2:$BZ$2,0)),$G$4:$G$79,0)),)</f>
        <v>0</v>
      </c>
    </row>
    <row r="7" spans="1:79" x14ac:dyDescent="0.25">
      <c r="A7" s="262" t="e">
        <f>#REF!</f>
        <v>#REF!</v>
      </c>
      <c r="B7" s="263" t="e">
        <f>#REF!</f>
        <v>#REF!</v>
      </c>
      <c r="C7" s="264" t="e">
        <f>#REF!</f>
        <v>#REF!</v>
      </c>
      <c r="D7" s="264" t="e">
        <f>#REF!</f>
        <v>#REF!</v>
      </c>
      <c r="E7" s="265"/>
      <c r="F7" s="266"/>
      <c r="G7" s="267" t="s">
        <v>542</v>
      </c>
      <c r="H7" s="268" t="s">
        <v>684</v>
      </c>
      <c r="I7" s="267" t="s">
        <v>543</v>
      </c>
      <c r="J7" s="263"/>
      <c r="K7" s="89" t="e">
        <f ca="1">IF(#REF!&lt;&gt;OFFSET(#REF!,-1,0),1,0)</f>
        <v>#REF!</v>
      </c>
      <c r="L7" s="269" t="e">
        <f>COUNTIF(#REF!,1)</f>
        <v>#REF!</v>
      </c>
      <c r="M7" s="270" t="e">
        <f t="array" ref="M7">IF(AND(M$2&lt;&gt;0,#REF!&gt;=M$2),1,0)</f>
        <v>#REF!</v>
      </c>
      <c r="N7" s="270" t="e">
        <f t="array" ref="N7">IF(AND(N$2&lt;&gt;0,#REF!&gt;=N$2),1,0)</f>
        <v>#REF!</v>
      </c>
      <c r="O7" s="270" t="e">
        <f t="array" ref="O7">IF(AND(O$2&lt;&gt;0,#REF!&gt;=O$2),1,0)</f>
        <v>#REF!</v>
      </c>
      <c r="P7" s="270" t="e">
        <f t="array" ref="P7">IF(AND(P$2&lt;&gt;0,#REF!&gt;=P$2),1,0)</f>
        <v>#REF!</v>
      </c>
      <c r="Q7" s="270" t="e">
        <f t="array" ref="Q7">IF(AND(Q$2&lt;&gt;0,#REF!&gt;=Q$2),1,0)</f>
        <v>#REF!</v>
      </c>
      <c r="R7" s="270" t="e">
        <f t="array" ref="R7">IF(AND(R$2&lt;&gt;0,#REF!&gt;=R$2),1,0)</f>
        <v>#REF!</v>
      </c>
      <c r="S7" s="270" t="e">
        <f t="array" ref="S7">IF(AND(S$2&lt;&gt;0,#REF!&gt;=S$2),1,0)</f>
        <v>#REF!</v>
      </c>
      <c r="T7" s="270" t="e">
        <f t="array" ref="T7">IF(AND(T$2&lt;&gt;0,#REF!&gt;=T$2),1,0)</f>
        <v>#REF!</v>
      </c>
      <c r="U7" s="270" t="e">
        <f t="array" ref="U7">IF(AND(U$2&lt;&gt;0,#REF!&gt;=U$2),1,0)</f>
        <v>#REF!</v>
      </c>
      <c r="V7" s="270" t="e">
        <f t="array" ref="V7">IF(AND(V$2&lt;&gt;0,#REF!&gt;=V$2),1,0)</f>
        <v>#REF!</v>
      </c>
      <c r="W7" s="270" t="e">
        <f t="array" ref="W7">IF(AND(W$2&lt;&gt;0,#REF!&gt;=W$2),1,0)</f>
        <v>#REF!</v>
      </c>
      <c r="X7" s="270" t="e">
        <f t="array" ref="X7">IF(AND(X$2&lt;&gt;0,#REF!&gt;=X$2),1,0)</f>
        <v>#REF!</v>
      </c>
      <c r="Y7" s="270" t="e">
        <f t="array" ref="Y7">IF(AND(Y$2&lt;&gt;0,#REF!&gt;=Y$2),1,0)</f>
        <v>#REF!</v>
      </c>
      <c r="Z7" s="270" t="e">
        <f t="array" ref="Z7">IF(AND(Z$2&lt;&gt;0,#REF!&gt;=Z$2),1,0)</f>
        <v>#REF!</v>
      </c>
      <c r="AA7" s="270" t="e">
        <f t="array" ref="AA7">IF(AND(AA$2&lt;&gt;0,#REF!&gt;=AA$2),1,0)</f>
        <v>#REF!</v>
      </c>
      <c r="AB7" s="270" t="e">
        <f t="array" ref="AB7">IF(AND(AB$2&lt;&gt;0,#REF!&gt;=AB$2),1,0)</f>
        <v>#REF!</v>
      </c>
      <c r="AC7" s="270" t="e">
        <f t="array" ref="AC7">IF(AND(AC$2&lt;&gt;0,#REF!&gt;=AC$2),1,0)</f>
        <v>#REF!</v>
      </c>
      <c r="AD7" s="270" t="e">
        <f t="array" ref="AD7">IF(AND(AD$2&lt;&gt;0,#REF!&gt;=AD$2),1,0)</f>
        <v>#REF!</v>
      </c>
      <c r="AE7" s="270" t="e">
        <f t="array" ref="AE7">IF(AND(AE$2&lt;&gt;0,#REF!&gt;=AE$2),1,0)</f>
        <v>#REF!</v>
      </c>
      <c r="AF7" s="270" t="e">
        <f t="array" ref="AF7">IF(AND(AF$2&lt;&gt;0,#REF!&gt;=AF$2),1,0)</f>
        <v>#REF!</v>
      </c>
      <c r="AG7" s="270" t="e">
        <f t="array" ref="AG7">IF(AND(AG$2&lt;&gt;0,#REF!&gt;=AG$2),1,0)</f>
        <v>#REF!</v>
      </c>
      <c r="AH7" s="270" t="e">
        <f t="array" ref="AH7">IF(AND(AH$2&lt;&gt;0,#REF!&gt;=AH$2),1,0)</f>
        <v>#REF!</v>
      </c>
      <c r="AI7" s="270" t="e">
        <f t="array" ref="AI7">IF(AND(AI$2&lt;&gt;0,#REF!&gt;=AI$2),1,0)</f>
        <v>#REF!</v>
      </c>
      <c r="AJ7" s="270" t="e">
        <f t="array" ref="AJ7">IF(AND(AJ$2&lt;&gt;0,#REF!&gt;=AJ$2),1,0)</f>
        <v>#REF!</v>
      </c>
      <c r="AK7" s="270" t="e">
        <f t="array" ref="AK7">IF(AND(AK$2&lt;&gt;0,#REF!&gt;=AK$2),1,0)</f>
        <v>#REF!</v>
      </c>
      <c r="AL7" s="270" t="e">
        <f t="array" ref="AL7">IF(AND(AL$2&lt;&gt;0,#REF!&gt;=AL$2),1,0)</f>
        <v>#REF!</v>
      </c>
      <c r="AM7" s="270" t="e">
        <f t="array" ref="AM7">IF(AND(AM$2&lt;&gt;0,#REF!&gt;=AM$2),1,0)</f>
        <v>#REF!</v>
      </c>
      <c r="AN7" s="270" t="e">
        <f t="array" ref="AN7">IF(AND(AN$2&lt;&gt;0,#REF!&gt;=AN$2),1,0)</f>
        <v>#REF!</v>
      </c>
      <c r="AO7" s="270" t="e">
        <f t="array" ref="AO7">IF(AND(AO$2&lt;&gt;0,#REF!&gt;=AO$2),1,0)</f>
        <v>#REF!</v>
      </c>
      <c r="AP7" s="270" t="e">
        <f t="array" ref="AP7">IF(AND(AP$2&lt;&gt;0,#REF!&gt;=AP$2),1,0)</f>
        <v>#REF!</v>
      </c>
      <c r="AQ7" s="270" t="e">
        <f t="array" ref="AQ7">IF(AND(AQ$2&lt;&gt;0,#REF!&gt;=AQ$2),1,0)</f>
        <v>#REF!</v>
      </c>
      <c r="AR7" s="270" t="e">
        <f t="array" ref="AR7">IF(AND(AR$2&lt;&gt;0,#REF!&gt;=AR$2),1,0)</f>
        <v>#REF!</v>
      </c>
      <c r="AS7" s="270" t="e">
        <f t="array" ref="AS7">IF(AND(AS$2&lt;&gt;0,#REF!&gt;=AS$2),1,0)</f>
        <v>#REF!</v>
      </c>
      <c r="AT7" s="270" t="e">
        <f t="array" ref="AT7">IF(AND(AT$2&lt;&gt;0,#REF!&gt;=AT$2),1,0)</f>
        <v>#REF!</v>
      </c>
      <c r="AU7" s="270" t="e">
        <f t="array" ref="AU7">IF(AND(AU$2&lt;&gt;0,#REF!&gt;=AU$2),1,0)</f>
        <v>#REF!</v>
      </c>
      <c r="AV7" s="270" t="e">
        <f t="array" ref="AV7">IF(AND(AV$2&lt;&gt;0,#REF!&gt;=AV$2),1,0)</f>
        <v>#REF!</v>
      </c>
      <c r="AW7" s="270" t="e">
        <f t="array" ref="AW7">IF(AND(AW$2&lt;&gt;0,#REF!&gt;=AW$2),1,0)</f>
        <v>#REF!</v>
      </c>
      <c r="AX7" s="270" t="e">
        <f t="array" ref="AX7">IF(AND(AX$2&lt;&gt;0,#REF!&gt;=AX$2),1,0)</f>
        <v>#REF!</v>
      </c>
      <c r="AY7" s="270" t="e">
        <f t="array" ref="AY7">IF(AND(AY$2&lt;&gt;0,#REF!&gt;=AY$2),1,0)</f>
        <v>#REF!</v>
      </c>
      <c r="AZ7" s="270" t="e">
        <f t="array" ref="AZ7">IF(AND(AZ$2&lt;&gt;0,#REF!&gt;=AZ$2),1,0)</f>
        <v>#REF!</v>
      </c>
      <c r="BA7" s="270" t="e">
        <f t="array" ref="BA7">IF(AND(BA$2&lt;&gt;0,#REF!&gt;=BA$2),1,0)</f>
        <v>#REF!</v>
      </c>
      <c r="BB7" s="270" t="e">
        <f t="array" ref="BB7">IF(AND(BB$2&lt;&gt;0,#REF!&gt;=BB$2),1,0)</f>
        <v>#REF!</v>
      </c>
      <c r="BC7" s="270" t="e">
        <f t="array" ref="BC7">IF(AND(BC$2&lt;&gt;0,#REF!&gt;=BC$2),1,0)</f>
        <v>#REF!</v>
      </c>
      <c r="BD7" s="270" t="e">
        <f t="array" ref="BD7">IF(AND(BD$2&lt;&gt;0,#REF!&gt;=BD$2),1,0)</f>
        <v>#REF!</v>
      </c>
      <c r="BE7" s="270" t="e">
        <f t="array" ref="BE7">IF(AND(BE$2&lt;&gt;0,#REF!&gt;=BE$2),1,0)</f>
        <v>#REF!</v>
      </c>
      <c r="BF7" s="270" t="e">
        <f t="array" ref="BF7">IF(AND(BF$2&lt;&gt;0,#REF!&gt;=BF$2),1,0)</f>
        <v>#REF!</v>
      </c>
      <c r="BG7" s="270" t="e">
        <f t="array" ref="BG7">IF(AND(BG$2&lt;&gt;0,#REF!&gt;=BG$2),1,0)</f>
        <v>#REF!</v>
      </c>
      <c r="BH7" s="270" t="e">
        <f t="array" ref="BH7">IF(AND(BH$2&lt;&gt;0,#REF!&gt;=BH$2),1,0)</f>
        <v>#REF!</v>
      </c>
      <c r="BI7" s="270" t="e">
        <f t="array" ref="BI7">IF(AND(BI$2&lt;&gt;0,#REF!&gt;=BI$2),1,0)</f>
        <v>#REF!</v>
      </c>
      <c r="BJ7" s="270" t="e">
        <f t="array" ref="BJ7">IF(AND(BJ$2&lt;&gt;0,#REF!&gt;=BJ$2),1,0)</f>
        <v>#REF!</v>
      </c>
      <c r="BK7" s="270" t="e">
        <f t="array" ref="BK7">IF(AND(BK$2&lt;&gt;0,#REF!&gt;=BK$2),1,0)</f>
        <v>#REF!</v>
      </c>
      <c r="BL7" s="270" t="e">
        <f t="array" ref="BL7">IF(AND(BL$2&lt;&gt;0,#REF!&gt;=BL$2),1,0)</f>
        <v>#REF!</v>
      </c>
      <c r="BM7" s="270" t="e">
        <f t="array" ref="BM7">IF(AND(BM$2&lt;&gt;0,#REF!&gt;=BM$2),1,0)</f>
        <v>#REF!</v>
      </c>
      <c r="BN7" s="270" t="e">
        <f t="array" ref="BN7">IF(AND(BN$2&lt;&gt;0,#REF!&gt;=BN$2),1,0)</f>
        <v>#REF!</v>
      </c>
      <c r="BO7" s="270" t="e">
        <f t="array" ref="BO7">IF(AND(BO$2&lt;&gt;0,#REF!&gt;=BO$2),1,0)</f>
        <v>#REF!</v>
      </c>
      <c r="BP7" s="270" t="e">
        <f t="array" ref="BP7">IF(AND(BP$2&lt;&gt;0,#REF!&gt;=BP$2),1,0)</f>
        <v>#REF!</v>
      </c>
      <c r="BQ7" s="270" t="e">
        <f t="array" ref="BQ7">IF(AND(BQ$2&lt;&gt;0,#REF!&gt;=BQ$2),1,0)</f>
        <v>#REF!</v>
      </c>
      <c r="BR7" s="270" t="e">
        <f t="array" ref="BR7">IF(AND(BR$2&lt;&gt;0,#REF!&gt;=BR$2),1,0)</f>
        <v>#REF!</v>
      </c>
      <c r="BS7" s="270" t="e">
        <f t="array" ref="BS7">IF(AND(BS$2&lt;&gt;0,#REF!&gt;=BS$2),1,0)</f>
        <v>#REF!</v>
      </c>
      <c r="BT7" s="270" t="e">
        <f t="array" ref="BT7">IF(AND(BT$2&lt;&gt;0,#REF!&gt;=BT$2),1,0)</f>
        <v>#REF!</v>
      </c>
      <c r="BU7" s="270" t="e">
        <f t="array" ref="BU7">IF(AND(BU$2&lt;&gt;0,#REF!&gt;=BU$2),1,0)</f>
        <v>#REF!</v>
      </c>
      <c r="BV7" s="270" t="e">
        <f t="array" ref="BV7">IF(AND(BV$2&lt;&gt;0,#REF!&gt;=BV$2),1,0)</f>
        <v>#REF!</v>
      </c>
      <c r="BW7" s="270" t="e">
        <f t="array" ref="BW7">IF(AND(BW$2&lt;&gt;0,#REF!&gt;=BW$2),1,0)</f>
        <v>#REF!</v>
      </c>
      <c r="BX7" s="270" t="e">
        <f t="array" ref="BX7">IF(AND(BX$2&lt;&gt;0,#REF!&gt;=BX$2),1,0)</f>
        <v>#REF!</v>
      </c>
      <c r="BY7" s="270" t="e">
        <f t="array" ref="BY7">IF(AND(BY$2&lt;&gt;0,#REF!&gt;=BY$2),1,0)</f>
        <v>#REF!</v>
      </c>
      <c r="BZ7" s="270" t="e">
        <f t="array" ref="BZ7">IF(AND(BZ$2&lt;&gt;0,#REF!&gt;=BZ$2),1,0)</f>
        <v>#REF!</v>
      </c>
      <c r="CA7" s="359">
        <f>IFERROR(INDEX($H$4:$H$79,MATCH(INDEX(#REF!,1,MATCH(#REF!,$M$2:$BZ$2,0)),$G$4:$G$79,0)),)</f>
        <v>0</v>
      </c>
    </row>
    <row r="8" spans="1:79" x14ac:dyDescent="0.25">
      <c r="A8" s="262" t="e">
        <f>#REF!</f>
        <v>#REF!</v>
      </c>
      <c r="B8" s="263" t="e">
        <f>#REF!</f>
        <v>#REF!</v>
      </c>
      <c r="C8" s="264" t="e">
        <f>#REF!</f>
        <v>#REF!</v>
      </c>
      <c r="D8" s="264" t="e">
        <f>#REF!</f>
        <v>#REF!</v>
      </c>
      <c r="E8" s="265"/>
      <c r="F8" s="266"/>
      <c r="G8" s="267" t="s">
        <v>544</v>
      </c>
      <c r="H8" s="268" t="s">
        <v>685</v>
      </c>
      <c r="I8" s="267" t="s">
        <v>1104</v>
      </c>
      <c r="J8" s="263"/>
      <c r="K8" s="89" t="e">
        <f ca="1">IF(#REF!&lt;&gt;OFFSET(#REF!,-1,0),1,0)</f>
        <v>#REF!</v>
      </c>
      <c r="L8" s="269" t="e">
        <f>COUNTIF(#REF!,1)</f>
        <v>#REF!</v>
      </c>
      <c r="M8" s="270" t="e">
        <f t="array" ref="M8">IF(AND(M$2&lt;&gt;0,#REF!&gt;=M$2),1,0)</f>
        <v>#REF!</v>
      </c>
      <c r="N8" s="270" t="e">
        <f t="array" ref="N8">IF(AND(N$2&lt;&gt;0,#REF!&gt;=N$2),1,0)</f>
        <v>#REF!</v>
      </c>
      <c r="O8" s="270" t="e">
        <f t="array" ref="O8">IF(AND(O$2&lt;&gt;0,#REF!&gt;=O$2),1,0)</f>
        <v>#REF!</v>
      </c>
      <c r="P8" s="270" t="e">
        <f t="array" ref="P8">IF(AND(P$2&lt;&gt;0,#REF!&gt;=P$2),1,0)</f>
        <v>#REF!</v>
      </c>
      <c r="Q8" s="270" t="e">
        <f t="array" ref="Q8">IF(AND(Q$2&lt;&gt;0,#REF!&gt;=Q$2),1,0)</f>
        <v>#REF!</v>
      </c>
      <c r="R8" s="270" t="e">
        <f t="array" ref="R8">IF(AND(R$2&lt;&gt;0,#REF!&gt;=R$2),1,0)</f>
        <v>#REF!</v>
      </c>
      <c r="S8" s="270" t="e">
        <f t="array" ref="S8">IF(AND(S$2&lt;&gt;0,#REF!&gt;=S$2),1,0)</f>
        <v>#REF!</v>
      </c>
      <c r="T8" s="270" t="e">
        <f t="array" ref="T8">IF(AND(T$2&lt;&gt;0,#REF!&gt;=T$2),1,0)</f>
        <v>#REF!</v>
      </c>
      <c r="U8" s="270" t="e">
        <f t="array" ref="U8">IF(AND(U$2&lt;&gt;0,#REF!&gt;=U$2),1,0)</f>
        <v>#REF!</v>
      </c>
      <c r="V8" s="270" t="e">
        <f t="array" ref="V8">IF(AND(V$2&lt;&gt;0,#REF!&gt;=V$2),1,0)</f>
        <v>#REF!</v>
      </c>
      <c r="W8" s="270" t="e">
        <f t="array" ref="W8">IF(AND(W$2&lt;&gt;0,#REF!&gt;=W$2),1,0)</f>
        <v>#REF!</v>
      </c>
      <c r="X8" s="270" t="e">
        <f t="array" ref="X8">IF(AND(X$2&lt;&gt;0,#REF!&gt;=X$2),1,0)</f>
        <v>#REF!</v>
      </c>
      <c r="Y8" s="270" t="e">
        <f t="array" ref="Y8">IF(AND(Y$2&lt;&gt;0,#REF!&gt;=Y$2),1,0)</f>
        <v>#REF!</v>
      </c>
      <c r="Z8" s="270" t="e">
        <f t="array" ref="Z8">IF(AND(Z$2&lt;&gt;0,#REF!&gt;=Z$2),1,0)</f>
        <v>#REF!</v>
      </c>
      <c r="AA8" s="270" t="e">
        <f t="array" ref="AA8">IF(AND(AA$2&lt;&gt;0,#REF!&gt;=AA$2),1,0)</f>
        <v>#REF!</v>
      </c>
      <c r="AB8" s="270" t="e">
        <f t="array" ref="AB8">IF(AND(AB$2&lt;&gt;0,#REF!&gt;=AB$2),1,0)</f>
        <v>#REF!</v>
      </c>
      <c r="AC8" s="270" t="e">
        <f t="array" ref="AC8">IF(AND(AC$2&lt;&gt;0,#REF!&gt;=AC$2),1,0)</f>
        <v>#REF!</v>
      </c>
      <c r="AD8" s="270" t="e">
        <f t="array" ref="AD8">IF(AND(AD$2&lt;&gt;0,#REF!&gt;=AD$2),1,0)</f>
        <v>#REF!</v>
      </c>
      <c r="AE8" s="270" t="e">
        <f t="array" ref="AE8">IF(AND(AE$2&lt;&gt;0,#REF!&gt;=AE$2),1,0)</f>
        <v>#REF!</v>
      </c>
      <c r="AF8" s="270" t="e">
        <f t="array" ref="AF8">IF(AND(AF$2&lt;&gt;0,#REF!&gt;=AF$2),1,0)</f>
        <v>#REF!</v>
      </c>
      <c r="AG8" s="270" t="e">
        <f t="array" ref="AG8">IF(AND(AG$2&lt;&gt;0,#REF!&gt;=AG$2),1,0)</f>
        <v>#REF!</v>
      </c>
      <c r="AH8" s="270" t="e">
        <f t="array" ref="AH8">IF(AND(AH$2&lt;&gt;0,#REF!&gt;=AH$2),1,0)</f>
        <v>#REF!</v>
      </c>
      <c r="AI8" s="270" t="e">
        <f t="array" ref="AI8">IF(AND(AI$2&lt;&gt;0,#REF!&gt;=AI$2),1,0)</f>
        <v>#REF!</v>
      </c>
      <c r="AJ8" s="270" t="e">
        <f t="array" ref="AJ8">IF(AND(AJ$2&lt;&gt;0,#REF!&gt;=AJ$2),1,0)</f>
        <v>#REF!</v>
      </c>
      <c r="AK8" s="270" t="e">
        <f t="array" ref="AK8">IF(AND(AK$2&lt;&gt;0,#REF!&gt;=AK$2),1,0)</f>
        <v>#REF!</v>
      </c>
      <c r="AL8" s="270" t="e">
        <f t="array" ref="AL8">IF(AND(AL$2&lt;&gt;0,#REF!&gt;=AL$2),1,0)</f>
        <v>#REF!</v>
      </c>
      <c r="AM8" s="270" t="e">
        <f t="array" ref="AM8">IF(AND(AM$2&lt;&gt;0,#REF!&gt;=AM$2),1,0)</f>
        <v>#REF!</v>
      </c>
      <c r="AN8" s="270" t="e">
        <f t="array" ref="AN8">IF(AND(AN$2&lt;&gt;0,#REF!&gt;=AN$2),1,0)</f>
        <v>#REF!</v>
      </c>
      <c r="AO8" s="270" t="e">
        <f t="array" ref="AO8">IF(AND(AO$2&lt;&gt;0,#REF!&gt;=AO$2),1,0)</f>
        <v>#REF!</v>
      </c>
      <c r="AP8" s="270" t="e">
        <f t="array" ref="AP8">IF(AND(AP$2&lt;&gt;0,#REF!&gt;=AP$2),1,0)</f>
        <v>#REF!</v>
      </c>
      <c r="AQ8" s="270" t="e">
        <f t="array" ref="AQ8">IF(AND(AQ$2&lt;&gt;0,#REF!&gt;=AQ$2),1,0)</f>
        <v>#REF!</v>
      </c>
      <c r="AR8" s="270" t="e">
        <f t="array" ref="AR8">IF(AND(AR$2&lt;&gt;0,#REF!&gt;=AR$2),1,0)</f>
        <v>#REF!</v>
      </c>
      <c r="AS8" s="270" t="e">
        <f t="array" ref="AS8">IF(AND(AS$2&lt;&gt;0,#REF!&gt;=AS$2),1,0)</f>
        <v>#REF!</v>
      </c>
      <c r="AT8" s="270" t="e">
        <f t="array" ref="AT8">IF(AND(AT$2&lt;&gt;0,#REF!&gt;=AT$2),1,0)</f>
        <v>#REF!</v>
      </c>
      <c r="AU8" s="270" t="e">
        <f t="array" ref="AU8">IF(AND(AU$2&lt;&gt;0,#REF!&gt;=AU$2),1,0)</f>
        <v>#REF!</v>
      </c>
      <c r="AV8" s="270" t="e">
        <f t="array" ref="AV8">IF(AND(AV$2&lt;&gt;0,#REF!&gt;=AV$2),1,0)</f>
        <v>#REF!</v>
      </c>
      <c r="AW8" s="270" t="e">
        <f t="array" ref="AW8">IF(AND(AW$2&lt;&gt;0,#REF!&gt;=AW$2),1,0)</f>
        <v>#REF!</v>
      </c>
      <c r="AX8" s="270" t="e">
        <f t="array" ref="AX8">IF(AND(AX$2&lt;&gt;0,#REF!&gt;=AX$2),1,0)</f>
        <v>#REF!</v>
      </c>
      <c r="AY8" s="270" t="e">
        <f t="array" ref="AY8">IF(AND(AY$2&lt;&gt;0,#REF!&gt;=AY$2),1,0)</f>
        <v>#REF!</v>
      </c>
      <c r="AZ8" s="270" t="e">
        <f t="array" ref="AZ8">IF(AND(AZ$2&lt;&gt;0,#REF!&gt;=AZ$2),1,0)</f>
        <v>#REF!</v>
      </c>
      <c r="BA8" s="270" t="e">
        <f t="array" ref="BA8">IF(AND(BA$2&lt;&gt;0,#REF!&gt;=BA$2),1,0)</f>
        <v>#REF!</v>
      </c>
      <c r="BB8" s="270" t="e">
        <f t="array" ref="BB8">IF(AND(BB$2&lt;&gt;0,#REF!&gt;=BB$2),1,0)</f>
        <v>#REF!</v>
      </c>
      <c r="BC8" s="270" t="e">
        <f t="array" ref="BC8">IF(AND(BC$2&lt;&gt;0,#REF!&gt;=BC$2),1,0)</f>
        <v>#REF!</v>
      </c>
      <c r="BD8" s="270" t="e">
        <f t="array" ref="BD8">IF(AND(BD$2&lt;&gt;0,#REF!&gt;=BD$2),1,0)</f>
        <v>#REF!</v>
      </c>
      <c r="BE8" s="270" t="e">
        <f t="array" ref="BE8">IF(AND(BE$2&lt;&gt;0,#REF!&gt;=BE$2),1,0)</f>
        <v>#REF!</v>
      </c>
      <c r="BF8" s="270" t="e">
        <f t="array" ref="BF8">IF(AND(BF$2&lt;&gt;0,#REF!&gt;=BF$2),1,0)</f>
        <v>#REF!</v>
      </c>
      <c r="BG8" s="270" t="e">
        <f t="array" ref="BG8">IF(AND(BG$2&lt;&gt;0,#REF!&gt;=BG$2),1,0)</f>
        <v>#REF!</v>
      </c>
      <c r="BH8" s="270" t="e">
        <f t="array" ref="BH8">IF(AND(BH$2&lt;&gt;0,#REF!&gt;=BH$2),1,0)</f>
        <v>#REF!</v>
      </c>
      <c r="BI8" s="270" t="e">
        <f t="array" ref="BI8">IF(AND(BI$2&lt;&gt;0,#REF!&gt;=BI$2),1,0)</f>
        <v>#REF!</v>
      </c>
      <c r="BJ8" s="270" t="e">
        <f t="array" ref="BJ8">IF(AND(BJ$2&lt;&gt;0,#REF!&gt;=BJ$2),1,0)</f>
        <v>#REF!</v>
      </c>
      <c r="BK8" s="270" t="e">
        <f t="array" ref="BK8">IF(AND(BK$2&lt;&gt;0,#REF!&gt;=BK$2),1,0)</f>
        <v>#REF!</v>
      </c>
      <c r="BL8" s="270" t="e">
        <f t="array" ref="BL8">IF(AND(BL$2&lt;&gt;0,#REF!&gt;=BL$2),1,0)</f>
        <v>#REF!</v>
      </c>
      <c r="BM8" s="270" t="e">
        <f t="array" ref="BM8">IF(AND(BM$2&lt;&gt;0,#REF!&gt;=BM$2),1,0)</f>
        <v>#REF!</v>
      </c>
      <c r="BN8" s="270" t="e">
        <f t="array" ref="BN8">IF(AND(BN$2&lt;&gt;0,#REF!&gt;=BN$2),1,0)</f>
        <v>#REF!</v>
      </c>
      <c r="BO8" s="270" t="e">
        <f t="array" ref="BO8">IF(AND(BO$2&lt;&gt;0,#REF!&gt;=BO$2),1,0)</f>
        <v>#REF!</v>
      </c>
      <c r="BP8" s="270" t="e">
        <f t="array" ref="BP8">IF(AND(BP$2&lt;&gt;0,#REF!&gt;=BP$2),1,0)</f>
        <v>#REF!</v>
      </c>
      <c r="BQ8" s="270" t="e">
        <f t="array" ref="BQ8">IF(AND(BQ$2&lt;&gt;0,#REF!&gt;=BQ$2),1,0)</f>
        <v>#REF!</v>
      </c>
      <c r="BR8" s="270" t="e">
        <f t="array" ref="BR8">IF(AND(BR$2&lt;&gt;0,#REF!&gt;=BR$2),1,0)</f>
        <v>#REF!</v>
      </c>
      <c r="BS8" s="270" t="e">
        <f t="array" ref="BS8">IF(AND(BS$2&lt;&gt;0,#REF!&gt;=BS$2),1,0)</f>
        <v>#REF!</v>
      </c>
      <c r="BT8" s="270" t="e">
        <f t="array" ref="BT8">IF(AND(BT$2&lt;&gt;0,#REF!&gt;=BT$2),1,0)</f>
        <v>#REF!</v>
      </c>
      <c r="BU8" s="270" t="e">
        <f t="array" ref="BU8">IF(AND(BU$2&lt;&gt;0,#REF!&gt;=BU$2),1,0)</f>
        <v>#REF!</v>
      </c>
      <c r="BV8" s="270" t="e">
        <f t="array" ref="BV8">IF(AND(BV$2&lt;&gt;0,#REF!&gt;=BV$2),1,0)</f>
        <v>#REF!</v>
      </c>
      <c r="BW8" s="270" t="e">
        <f t="array" ref="BW8">IF(AND(BW$2&lt;&gt;0,#REF!&gt;=BW$2),1,0)</f>
        <v>#REF!</v>
      </c>
      <c r="BX8" s="270" t="e">
        <f t="array" ref="BX8">IF(AND(BX$2&lt;&gt;0,#REF!&gt;=BX$2),1,0)</f>
        <v>#REF!</v>
      </c>
      <c r="BY8" s="270" t="e">
        <f t="array" ref="BY8">IF(AND(BY$2&lt;&gt;0,#REF!&gt;=BY$2),1,0)</f>
        <v>#REF!</v>
      </c>
      <c r="BZ8" s="270" t="e">
        <f t="array" ref="BZ8">IF(AND(BZ$2&lt;&gt;0,#REF!&gt;=BZ$2),1,0)</f>
        <v>#REF!</v>
      </c>
      <c r="CA8" s="359">
        <f>IFERROR(INDEX($H$4:$H$79,MATCH(INDEX(#REF!,1,MATCH(#REF!,$M$2:$BZ$2,0)),$G$4:$G$79,0)),)</f>
        <v>0</v>
      </c>
    </row>
    <row r="9" spans="1:79" x14ac:dyDescent="0.25">
      <c r="A9" s="262" t="e">
        <f>#REF!</f>
        <v>#REF!</v>
      </c>
      <c r="B9" s="263" t="e">
        <f>#REF!</f>
        <v>#REF!</v>
      </c>
      <c r="C9" s="264" t="e">
        <f>#REF!</f>
        <v>#REF!</v>
      </c>
      <c r="D9" s="264" t="e">
        <f>#REF!</f>
        <v>#REF!</v>
      </c>
      <c r="E9" s="265"/>
      <c r="F9" s="266"/>
      <c r="G9" s="267" t="s">
        <v>545</v>
      </c>
      <c r="H9" s="268" t="s">
        <v>696</v>
      </c>
      <c r="I9" s="267" t="s">
        <v>560</v>
      </c>
      <c r="J9" s="263"/>
      <c r="K9" s="89" t="e">
        <f ca="1">IF(#REF!&lt;&gt;OFFSET(#REF!,-1,0),1,0)</f>
        <v>#REF!</v>
      </c>
      <c r="L9" s="269" t="e">
        <f>COUNTIF(#REF!,1)</f>
        <v>#REF!</v>
      </c>
      <c r="M9" s="270" t="e">
        <f t="array" ref="M9">IF(AND(M$2&lt;&gt;0,#REF!&gt;=M$2),1,0)</f>
        <v>#REF!</v>
      </c>
      <c r="N9" s="270" t="e">
        <f t="array" ref="N9">IF(AND(N$2&lt;&gt;0,#REF!&gt;=N$2),1,0)</f>
        <v>#REF!</v>
      </c>
      <c r="O9" s="270" t="e">
        <f t="array" ref="O9">IF(AND(O$2&lt;&gt;0,#REF!&gt;=O$2),1,0)</f>
        <v>#REF!</v>
      </c>
      <c r="P9" s="270" t="e">
        <f t="array" ref="P9">IF(AND(P$2&lt;&gt;0,#REF!&gt;=P$2),1,0)</f>
        <v>#REF!</v>
      </c>
      <c r="Q9" s="270" t="e">
        <f t="array" ref="Q9">IF(AND(Q$2&lt;&gt;0,#REF!&gt;=Q$2),1,0)</f>
        <v>#REF!</v>
      </c>
      <c r="R9" s="270" t="e">
        <f t="array" ref="R9">IF(AND(R$2&lt;&gt;0,#REF!&gt;=R$2),1,0)</f>
        <v>#REF!</v>
      </c>
      <c r="S9" s="270" t="e">
        <f t="array" ref="S9">IF(AND(S$2&lt;&gt;0,#REF!&gt;=S$2),1,0)</f>
        <v>#REF!</v>
      </c>
      <c r="T9" s="270" t="e">
        <f t="array" ref="T9">IF(AND(T$2&lt;&gt;0,#REF!&gt;=T$2),1,0)</f>
        <v>#REF!</v>
      </c>
      <c r="U9" s="270" t="e">
        <f t="array" ref="U9">IF(AND(U$2&lt;&gt;0,#REF!&gt;=U$2),1,0)</f>
        <v>#REF!</v>
      </c>
      <c r="V9" s="270" t="e">
        <f t="array" ref="V9">IF(AND(V$2&lt;&gt;0,#REF!&gt;=V$2),1,0)</f>
        <v>#REF!</v>
      </c>
      <c r="W9" s="270" t="e">
        <f t="array" ref="W9">IF(AND(W$2&lt;&gt;0,#REF!&gt;=W$2),1,0)</f>
        <v>#REF!</v>
      </c>
      <c r="X9" s="270" t="e">
        <f t="array" ref="X9">IF(AND(X$2&lt;&gt;0,#REF!&gt;=X$2),1,0)</f>
        <v>#REF!</v>
      </c>
      <c r="Y9" s="270" t="e">
        <f t="array" ref="Y9">IF(AND(Y$2&lt;&gt;0,#REF!&gt;=Y$2),1,0)</f>
        <v>#REF!</v>
      </c>
      <c r="Z9" s="270" t="e">
        <f t="array" ref="Z9">IF(AND(Z$2&lt;&gt;0,#REF!&gt;=Z$2),1,0)</f>
        <v>#REF!</v>
      </c>
      <c r="AA9" s="270" t="e">
        <f t="array" ref="AA9">IF(AND(AA$2&lt;&gt;0,#REF!&gt;=AA$2),1,0)</f>
        <v>#REF!</v>
      </c>
      <c r="AB9" s="270" t="e">
        <f t="array" ref="AB9">IF(AND(AB$2&lt;&gt;0,#REF!&gt;=AB$2),1,0)</f>
        <v>#REF!</v>
      </c>
      <c r="AC9" s="270" t="e">
        <f t="array" ref="AC9">IF(AND(AC$2&lt;&gt;0,#REF!&gt;=AC$2),1,0)</f>
        <v>#REF!</v>
      </c>
      <c r="AD9" s="270" t="e">
        <f t="array" ref="AD9">IF(AND(AD$2&lt;&gt;0,#REF!&gt;=AD$2),1,0)</f>
        <v>#REF!</v>
      </c>
      <c r="AE9" s="270" t="e">
        <f t="array" ref="AE9">IF(AND(AE$2&lt;&gt;0,#REF!&gt;=AE$2),1,0)</f>
        <v>#REF!</v>
      </c>
      <c r="AF9" s="270" t="e">
        <f t="array" ref="AF9">IF(AND(AF$2&lt;&gt;0,#REF!&gt;=AF$2),1,0)</f>
        <v>#REF!</v>
      </c>
      <c r="AG9" s="270" t="e">
        <f t="array" ref="AG9">IF(AND(AG$2&lt;&gt;0,#REF!&gt;=AG$2),1,0)</f>
        <v>#REF!</v>
      </c>
      <c r="AH9" s="270" t="e">
        <f t="array" ref="AH9">IF(AND(AH$2&lt;&gt;0,#REF!&gt;=AH$2),1,0)</f>
        <v>#REF!</v>
      </c>
      <c r="AI9" s="270" t="e">
        <f t="array" ref="AI9">IF(AND(AI$2&lt;&gt;0,#REF!&gt;=AI$2),1,0)</f>
        <v>#REF!</v>
      </c>
      <c r="AJ9" s="270" t="e">
        <f t="array" ref="AJ9">IF(AND(AJ$2&lt;&gt;0,#REF!&gt;=AJ$2),1,0)</f>
        <v>#REF!</v>
      </c>
      <c r="AK9" s="270" t="e">
        <f t="array" ref="AK9">IF(AND(AK$2&lt;&gt;0,#REF!&gt;=AK$2),1,0)</f>
        <v>#REF!</v>
      </c>
      <c r="AL9" s="270" t="e">
        <f t="array" ref="AL9">IF(AND(AL$2&lt;&gt;0,#REF!&gt;=AL$2),1,0)</f>
        <v>#REF!</v>
      </c>
      <c r="AM9" s="270" t="e">
        <f t="array" ref="AM9">IF(AND(AM$2&lt;&gt;0,#REF!&gt;=AM$2),1,0)</f>
        <v>#REF!</v>
      </c>
      <c r="AN9" s="270" t="e">
        <f t="array" ref="AN9">IF(AND(AN$2&lt;&gt;0,#REF!&gt;=AN$2),1,0)</f>
        <v>#REF!</v>
      </c>
      <c r="AO9" s="270" t="e">
        <f t="array" ref="AO9">IF(AND(AO$2&lt;&gt;0,#REF!&gt;=AO$2),1,0)</f>
        <v>#REF!</v>
      </c>
      <c r="AP9" s="270" t="e">
        <f t="array" ref="AP9">IF(AND(AP$2&lt;&gt;0,#REF!&gt;=AP$2),1,0)</f>
        <v>#REF!</v>
      </c>
      <c r="AQ9" s="270" t="e">
        <f t="array" ref="AQ9">IF(AND(AQ$2&lt;&gt;0,#REF!&gt;=AQ$2),1,0)</f>
        <v>#REF!</v>
      </c>
      <c r="AR9" s="270" t="e">
        <f t="array" ref="AR9">IF(AND(AR$2&lt;&gt;0,#REF!&gt;=AR$2),1,0)</f>
        <v>#REF!</v>
      </c>
      <c r="AS9" s="270" t="e">
        <f t="array" ref="AS9">IF(AND(AS$2&lt;&gt;0,#REF!&gt;=AS$2),1,0)</f>
        <v>#REF!</v>
      </c>
      <c r="AT9" s="270" t="e">
        <f t="array" ref="AT9">IF(AND(AT$2&lt;&gt;0,#REF!&gt;=AT$2),1,0)</f>
        <v>#REF!</v>
      </c>
      <c r="AU9" s="270" t="e">
        <f t="array" ref="AU9">IF(AND(AU$2&lt;&gt;0,#REF!&gt;=AU$2),1,0)</f>
        <v>#REF!</v>
      </c>
      <c r="AV9" s="270" t="e">
        <f t="array" ref="AV9">IF(AND(AV$2&lt;&gt;0,#REF!&gt;=AV$2),1,0)</f>
        <v>#REF!</v>
      </c>
      <c r="AW9" s="270" t="e">
        <f t="array" ref="AW9">IF(AND(AW$2&lt;&gt;0,#REF!&gt;=AW$2),1,0)</f>
        <v>#REF!</v>
      </c>
      <c r="AX9" s="270" t="e">
        <f t="array" ref="AX9">IF(AND(AX$2&lt;&gt;0,#REF!&gt;=AX$2),1,0)</f>
        <v>#REF!</v>
      </c>
      <c r="AY9" s="270" t="e">
        <f t="array" ref="AY9">IF(AND(AY$2&lt;&gt;0,#REF!&gt;=AY$2),1,0)</f>
        <v>#REF!</v>
      </c>
      <c r="AZ9" s="270" t="e">
        <f t="array" ref="AZ9">IF(AND(AZ$2&lt;&gt;0,#REF!&gt;=AZ$2),1,0)</f>
        <v>#REF!</v>
      </c>
      <c r="BA9" s="270" t="e">
        <f t="array" ref="BA9">IF(AND(BA$2&lt;&gt;0,#REF!&gt;=BA$2),1,0)</f>
        <v>#REF!</v>
      </c>
      <c r="BB9" s="270" t="e">
        <f t="array" ref="BB9">IF(AND(BB$2&lt;&gt;0,#REF!&gt;=BB$2),1,0)</f>
        <v>#REF!</v>
      </c>
      <c r="BC9" s="270" t="e">
        <f t="array" ref="BC9">IF(AND(BC$2&lt;&gt;0,#REF!&gt;=BC$2),1,0)</f>
        <v>#REF!</v>
      </c>
      <c r="BD9" s="270" t="e">
        <f t="array" ref="BD9">IF(AND(BD$2&lt;&gt;0,#REF!&gt;=BD$2),1,0)</f>
        <v>#REF!</v>
      </c>
      <c r="BE9" s="270" t="e">
        <f t="array" ref="BE9">IF(AND(BE$2&lt;&gt;0,#REF!&gt;=BE$2),1,0)</f>
        <v>#REF!</v>
      </c>
      <c r="BF9" s="270" t="e">
        <f t="array" ref="BF9">IF(AND(BF$2&lt;&gt;0,#REF!&gt;=BF$2),1,0)</f>
        <v>#REF!</v>
      </c>
      <c r="BG9" s="270" t="e">
        <f t="array" ref="BG9">IF(AND(BG$2&lt;&gt;0,#REF!&gt;=BG$2),1,0)</f>
        <v>#REF!</v>
      </c>
      <c r="BH9" s="270" t="e">
        <f t="array" ref="BH9">IF(AND(BH$2&lt;&gt;0,#REF!&gt;=BH$2),1,0)</f>
        <v>#REF!</v>
      </c>
      <c r="BI9" s="270" t="e">
        <f t="array" ref="BI9">IF(AND(BI$2&lt;&gt;0,#REF!&gt;=BI$2),1,0)</f>
        <v>#REF!</v>
      </c>
      <c r="BJ9" s="270" t="e">
        <f t="array" ref="BJ9">IF(AND(BJ$2&lt;&gt;0,#REF!&gt;=BJ$2),1,0)</f>
        <v>#REF!</v>
      </c>
      <c r="BK9" s="270" t="e">
        <f t="array" ref="BK9">IF(AND(BK$2&lt;&gt;0,#REF!&gt;=BK$2),1,0)</f>
        <v>#REF!</v>
      </c>
      <c r="BL9" s="270" t="e">
        <f t="array" ref="BL9">IF(AND(BL$2&lt;&gt;0,#REF!&gt;=BL$2),1,0)</f>
        <v>#REF!</v>
      </c>
      <c r="BM9" s="270" t="e">
        <f t="array" ref="BM9">IF(AND(BM$2&lt;&gt;0,#REF!&gt;=BM$2),1,0)</f>
        <v>#REF!</v>
      </c>
      <c r="BN9" s="270" t="e">
        <f t="array" ref="BN9">IF(AND(BN$2&lt;&gt;0,#REF!&gt;=BN$2),1,0)</f>
        <v>#REF!</v>
      </c>
      <c r="BO9" s="270" t="e">
        <f t="array" ref="BO9">IF(AND(BO$2&lt;&gt;0,#REF!&gt;=BO$2),1,0)</f>
        <v>#REF!</v>
      </c>
      <c r="BP9" s="270" t="e">
        <f t="array" ref="BP9">IF(AND(BP$2&lt;&gt;0,#REF!&gt;=BP$2),1,0)</f>
        <v>#REF!</v>
      </c>
      <c r="BQ9" s="270" t="e">
        <f t="array" ref="BQ9">IF(AND(BQ$2&lt;&gt;0,#REF!&gt;=BQ$2),1,0)</f>
        <v>#REF!</v>
      </c>
      <c r="BR9" s="270" t="e">
        <f t="array" ref="BR9">IF(AND(BR$2&lt;&gt;0,#REF!&gt;=BR$2),1,0)</f>
        <v>#REF!</v>
      </c>
      <c r="BS9" s="270" t="e">
        <f t="array" ref="BS9">IF(AND(BS$2&lt;&gt;0,#REF!&gt;=BS$2),1,0)</f>
        <v>#REF!</v>
      </c>
      <c r="BT9" s="270" t="e">
        <f t="array" ref="BT9">IF(AND(BT$2&lt;&gt;0,#REF!&gt;=BT$2),1,0)</f>
        <v>#REF!</v>
      </c>
      <c r="BU9" s="270" t="e">
        <f t="array" ref="BU9">IF(AND(BU$2&lt;&gt;0,#REF!&gt;=BU$2),1,0)</f>
        <v>#REF!</v>
      </c>
      <c r="BV9" s="270" t="e">
        <f t="array" ref="BV9">IF(AND(BV$2&lt;&gt;0,#REF!&gt;=BV$2),1,0)</f>
        <v>#REF!</v>
      </c>
      <c r="BW9" s="270" t="e">
        <f t="array" ref="BW9">IF(AND(BW$2&lt;&gt;0,#REF!&gt;=BW$2),1,0)</f>
        <v>#REF!</v>
      </c>
      <c r="BX9" s="270" t="e">
        <f t="array" ref="BX9">IF(AND(BX$2&lt;&gt;0,#REF!&gt;=BX$2),1,0)</f>
        <v>#REF!</v>
      </c>
      <c r="BY9" s="270" t="e">
        <f t="array" ref="BY9">IF(AND(BY$2&lt;&gt;0,#REF!&gt;=BY$2),1,0)</f>
        <v>#REF!</v>
      </c>
      <c r="BZ9" s="270" t="e">
        <f t="array" ref="BZ9">IF(AND(BZ$2&lt;&gt;0,#REF!&gt;=BZ$2),1,0)</f>
        <v>#REF!</v>
      </c>
      <c r="CA9" s="359">
        <f>IFERROR(INDEX($H$4:$H$79,MATCH(INDEX(#REF!,1,MATCH(#REF!,$M$2:$BZ$2,0)),$G$4:$G$79,0)),)</f>
        <v>0</v>
      </c>
    </row>
    <row r="10" spans="1:79" x14ac:dyDescent="0.25">
      <c r="A10" s="262" t="e">
        <f>#REF!</f>
        <v>#REF!</v>
      </c>
      <c r="B10" s="263" t="e">
        <f>#REF!</f>
        <v>#REF!</v>
      </c>
      <c r="C10" s="264" t="e">
        <f>#REF!</f>
        <v>#REF!</v>
      </c>
      <c r="D10" s="264" t="e">
        <f>#REF!</f>
        <v>#REF!</v>
      </c>
      <c r="E10" s="265"/>
      <c r="F10" s="266"/>
      <c r="G10" s="267" t="s">
        <v>546</v>
      </c>
      <c r="H10" s="268" t="s">
        <v>725</v>
      </c>
      <c r="I10" s="267" t="s">
        <v>740</v>
      </c>
      <c r="J10" s="263"/>
      <c r="K10" s="89" t="e">
        <f ca="1">IF(#REF!&lt;&gt;OFFSET(#REF!,-1,0),1,0)</f>
        <v>#REF!</v>
      </c>
      <c r="L10" s="269" t="e">
        <f>COUNTIF(#REF!,1)</f>
        <v>#REF!</v>
      </c>
      <c r="M10" s="270" t="e">
        <f t="array" ref="M10">IF(AND(M$2&lt;&gt;0,#REF!&gt;=M$2),1,0)</f>
        <v>#REF!</v>
      </c>
      <c r="N10" s="270" t="e">
        <f t="array" ref="N10">IF(AND(N$2&lt;&gt;0,#REF!&gt;=N$2),1,0)</f>
        <v>#REF!</v>
      </c>
      <c r="O10" s="270" t="e">
        <f t="array" ref="O10">IF(AND(O$2&lt;&gt;0,#REF!&gt;=O$2),1,0)</f>
        <v>#REF!</v>
      </c>
      <c r="P10" s="270" t="e">
        <f t="array" ref="P10">IF(AND(P$2&lt;&gt;0,#REF!&gt;=P$2),1,0)</f>
        <v>#REF!</v>
      </c>
      <c r="Q10" s="270" t="e">
        <f t="array" ref="Q10">IF(AND(Q$2&lt;&gt;0,#REF!&gt;=Q$2),1,0)</f>
        <v>#REF!</v>
      </c>
      <c r="R10" s="270" t="e">
        <f t="array" ref="R10">IF(AND(R$2&lt;&gt;0,#REF!&gt;=R$2),1,0)</f>
        <v>#REF!</v>
      </c>
      <c r="S10" s="270" t="e">
        <f t="array" ref="S10">IF(AND(S$2&lt;&gt;0,#REF!&gt;=S$2),1,0)</f>
        <v>#REF!</v>
      </c>
      <c r="T10" s="270" t="e">
        <f t="array" ref="T10">IF(AND(T$2&lt;&gt;0,#REF!&gt;=T$2),1,0)</f>
        <v>#REF!</v>
      </c>
      <c r="U10" s="270" t="e">
        <f t="array" ref="U10">IF(AND(U$2&lt;&gt;0,#REF!&gt;=U$2),1,0)</f>
        <v>#REF!</v>
      </c>
      <c r="V10" s="270" t="e">
        <f t="array" ref="V10">IF(AND(V$2&lt;&gt;0,#REF!&gt;=V$2),1,0)</f>
        <v>#REF!</v>
      </c>
      <c r="W10" s="270" t="e">
        <f t="array" ref="W10">IF(AND(W$2&lt;&gt;0,#REF!&gt;=W$2),1,0)</f>
        <v>#REF!</v>
      </c>
      <c r="X10" s="270" t="e">
        <f t="array" ref="X10">IF(AND(X$2&lt;&gt;0,#REF!&gt;=X$2),1,0)</f>
        <v>#REF!</v>
      </c>
      <c r="Y10" s="270" t="e">
        <f t="array" ref="Y10">IF(AND(Y$2&lt;&gt;0,#REF!&gt;=Y$2),1,0)</f>
        <v>#REF!</v>
      </c>
      <c r="Z10" s="270" t="e">
        <f t="array" ref="Z10">IF(AND(Z$2&lt;&gt;0,#REF!&gt;=Z$2),1,0)</f>
        <v>#REF!</v>
      </c>
      <c r="AA10" s="270" t="e">
        <f t="array" ref="AA10">IF(AND(AA$2&lt;&gt;0,#REF!&gt;=AA$2),1,0)</f>
        <v>#REF!</v>
      </c>
      <c r="AB10" s="270" t="e">
        <f t="array" ref="AB10">IF(AND(AB$2&lt;&gt;0,#REF!&gt;=AB$2),1,0)</f>
        <v>#REF!</v>
      </c>
      <c r="AC10" s="270" t="e">
        <f t="array" ref="AC10">IF(AND(AC$2&lt;&gt;0,#REF!&gt;=AC$2),1,0)</f>
        <v>#REF!</v>
      </c>
      <c r="AD10" s="270" t="e">
        <f t="array" ref="AD10">IF(AND(AD$2&lt;&gt;0,#REF!&gt;=AD$2),1,0)</f>
        <v>#REF!</v>
      </c>
      <c r="AE10" s="270" t="e">
        <f t="array" ref="AE10">IF(AND(AE$2&lt;&gt;0,#REF!&gt;=AE$2),1,0)</f>
        <v>#REF!</v>
      </c>
      <c r="AF10" s="270" t="e">
        <f t="array" ref="AF10">IF(AND(AF$2&lt;&gt;0,#REF!&gt;=AF$2),1,0)</f>
        <v>#REF!</v>
      </c>
      <c r="AG10" s="270" t="e">
        <f t="array" ref="AG10">IF(AND(AG$2&lt;&gt;0,#REF!&gt;=AG$2),1,0)</f>
        <v>#REF!</v>
      </c>
      <c r="AH10" s="270" t="e">
        <f t="array" ref="AH10">IF(AND(AH$2&lt;&gt;0,#REF!&gt;=AH$2),1,0)</f>
        <v>#REF!</v>
      </c>
      <c r="AI10" s="270" t="e">
        <f t="array" ref="AI10">IF(AND(AI$2&lt;&gt;0,#REF!&gt;=AI$2),1,0)</f>
        <v>#REF!</v>
      </c>
      <c r="AJ10" s="270" t="e">
        <f t="array" ref="AJ10">IF(AND(AJ$2&lt;&gt;0,#REF!&gt;=AJ$2),1,0)</f>
        <v>#REF!</v>
      </c>
      <c r="AK10" s="270" t="e">
        <f t="array" ref="AK10">IF(AND(AK$2&lt;&gt;0,#REF!&gt;=AK$2),1,0)</f>
        <v>#REF!</v>
      </c>
      <c r="AL10" s="270" t="e">
        <f t="array" ref="AL10">IF(AND(AL$2&lt;&gt;0,#REF!&gt;=AL$2),1,0)</f>
        <v>#REF!</v>
      </c>
      <c r="AM10" s="270" t="e">
        <f t="array" ref="AM10">IF(AND(AM$2&lt;&gt;0,#REF!&gt;=AM$2),1,0)</f>
        <v>#REF!</v>
      </c>
      <c r="AN10" s="270" t="e">
        <f t="array" ref="AN10">IF(AND(AN$2&lt;&gt;0,#REF!&gt;=AN$2),1,0)</f>
        <v>#REF!</v>
      </c>
      <c r="AO10" s="270" t="e">
        <f t="array" ref="AO10">IF(AND(AO$2&lt;&gt;0,#REF!&gt;=AO$2),1,0)</f>
        <v>#REF!</v>
      </c>
      <c r="AP10" s="270" t="e">
        <f t="array" ref="AP10">IF(AND(AP$2&lt;&gt;0,#REF!&gt;=AP$2),1,0)</f>
        <v>#REF!</v>
      </c>
      <c r="AQ10" s="270" t="e">
        <f t="array" ref="AQ10">IF(AND(AQ$2&lt;&gt;0,#REF!&gt;=AQ$2),1,0)</f>
        <v>#REF!</v>
      </c>
      <c r="AR10" s="270" t="e">
        <f t="array" ref="AR10">IF(AND(AR$2&lt;&gt;0,#REF!&gt;=AR$2),1,0)</f>
        <v>#REF!</v>
      </c>
      <c r="AS10" s="270" t="e">
        <f t="array" ref="AS10">IF(AND(AS$2&lt;&gt;0,#REF!&gt;=AS$2),1,0)</f>
        <v>#REF!</v>
      </c>
      <c r="AT10" s="270" t="e">
        <f t="array" ref="AT10">IF(AND(AT$2&lt;&gt;0,#REF!&gt;=AT$2),1,0)</f>
        <v>#REF!</v>
      </c>
      <c r="AU10" s="270" t="e">
        <f t="array" ref="AU10">IF(AND(AU$2&lt;&gt;0,#REF!&gt;=AU$2),1,0)</f>
        <v>#REF!</v>
      </c>
      <c r="AV10" s="270" t="e">
        <f t="array" ref="AV10">IF(AND(AV$2&lt;&gt;0,#REF!&gt;=AV$2),1,0)</f>
        <v>#REF!</v>
      </c>
      <c r="AW10" s="270" t="e">
        <f t="array" ref="AW10">IF(AND(AW$2&lt;&gt;0,#REF!&gt;=AW$2),1,0)</f>
        <v>#REF!</v>
      </c>
      <c r="AX10" s="270" t="e">
        <f t="array" ref="AX10">IF(AND(AX$2&lt;&gt;0,#REF!&gt;=AX$2),1,0)</f>
        <v>#REF!</v>
      </c>
      <c r="AY10" s="270" t="e">
        <f t="array" ref="AY10">IF(AND(AY$2&lt;&gt;0,#REF!&gt;=AY$2),1,0)</f>
        <v>#REF!</v>
      </c>
      <c r="AZ10" s="270" t="e">
        <f t="array" ref="AZ10">IF(AND(AZ$2&lt;&gt;0,#REF!&gt;=AZ$2),1,0)</f>
        <v>#REF!</v>
      </c>
      <c r="BA10" s="270" t="e">
        <f t="array" ref="BA10">IF(AND(BA$2&lt;&gt;0,#REF!&gt;=BA$2),1,0)</f>
        <v>#REF!</v>
      </c>
      <c r="BB10" s="270" t="e">
        <f t="array" ref="BB10">IF(AND(BB$2&lt;&gt;0,#REF!&gt;=BB$2),1,0)</f>
        <v>#REF!</v>
      </c>
      <c r="BC10" s="270" t="e">
        <f t="array" ref="BC10">IF(AND(BC$2&lt;&gt;0,#REF!&gt;=BC$2),1,0)</f>
        <v>#REF!</v>
      </c>
      <c r="BD10" s="270" t="e">
        <f t="array" ref="BD10">IF(AND(BD$2&lt;&gt;0,#REF!&gt;=BD$2),1,0)</f>
        <v>#REF!</v>
      </c>
      <c r="BE10" s="270" t="e">
        <f t="array" ref="BE10">IF(AND(BE$2&lt;&gt;0,#REF!&gt;=BE$2),1,0)</f>
        <v>#REF!</v>
      </c>
      <c r="BF10" s="270" t="e">
        <f t="array" ref="BF10">IF(AND(BF$2&lt;&gt;0,#REF!&gt;=BF$2),1,0)</f>
        <v>#REF!</v>
      </c>
      <c r="BG10" s="270" t="e">
        <f t="array" ref="BG10">IF(AND(BG$2&lt;&gt;0,#REF!&gt;=BG$2),1,0)</f>
        <v>#REF!</v>
      </c>
      <c r="BH10" s="270" t="e">
        <f t="array" ref="BH10">IF(AND(BH$2&lt;&gt;0,#REF!&gt;=BH$2),1,0)</f>
        <v>#REF!</v>
      </c>
      <c r="BI10" s="270" t="e">
        <f t="array" ref="BI10">IF(AND(BI$2&lt;&gt;0,#REF!&gt;=BI$2),1,0)</f>
        <v>#REF!</v>
      </c>
      <c r="BJ10" s="270" t="e">
        <f t="array" ref="BJ10">IF(AND(BJ$2&lt;&gt;0,#REF!&gt;=BJ$2),1,0)</f>
        <v>#REF!</v>
      </c>
      <c r="BK10" s="270" t="e">
        <f t="array" ref="BK10">IF(AND(BK$2&lt;&gt;0,#REF!&gt;=BK$2),1,0)</f>
        <v>#REF!</v>
      </c>
      <c r="BL10" s="270" t="e">
        <f t="array" ref="BL10">IF(AND(BL$2&lt;&gt;0,#REF!&gt;=BL$2),1,0)</f>
        <v>#REF!</v>
      </c>
      <c r="BM10" s="270" t="e">
        <f t="array" ref="BM10">IF(AND(BM$2&lt;&gt;0,#REF!&gt;=BM$2),1,0)</f>
        <v>#REF!</v>
      </c>
      <c r="BN10" s="270" t="e">
        <f t="array" ref="BN10">IF(AND(BN$2&lt;&gt;0,#REF!&gt;=BN$2),1,0)</f>
        <v>#REF!</v>
      </c>
      <c r="BO10" s="270" t="e">
        <f t="array" ref="BO10">IF(AND(BO$2&lt;&gt;0,#REF!&gt;=BO$2),1,0)</f>
        <v>#REF!</v>
      </c>
      <c r="BP10" s="270" t="e">
        <f t="array" ref="BP10">IF(AND(BP$2&lt;&gt;0,#REF!&gt;=BP$2),1,0)</f>
        <v>#REF!</v>
      </c>
      <c r="BQ10" s="270" t="e">
        <f t="array" ref="BQ10">IF(AND(BQ$2&lt;&gt;0,#REF!&gt;=BQ$2),1,0)</f>
        <v>#REF!</v>
      </c>
      <c r="BR10" s="270" t="e">
        <f t="array" ref="BR10">IF(AND(BR$2&lt;&gt;0,#REF!&gt;=BR$2),1,0)</f>
        <v>#REF!</v>
      </c>
      <c r="BS10" s="270" t="e">
        <f t="array" ref="BS10">IF(AND(BS$2&lt;&gt;0,#REF!&gt;=BS$2),1,0)</f>
        <v>#REF!</v>
      </c>
      <c r="BT10" s="270" t="e">
        <f t="array" ref="BT10">IF(AND(BT$2&lt;&gt;0,#REF!&gt;=BT$2),1,0)</f>
        <v>#REF!</v>
      </c>
      <c r="BU10" s="270" t="e">
        <f t="array" ref="BU10">IF(AND(BU$2&lt;&gt;0,#REF!&gt;=BU$2),1,0)</f>
        <v>#REF!</v>
      </c>
      <c r="BV10" s="270" t="e">
        <f t="array" ref="BV10">IF(AND(BV$2&lt;&gt;0,#REF!&gt;=BV$2),1,0)</f>
        <v>#REF!</v>
      </c>
      <c r="BW10" s="270" t="e">
        <f t="array" ref="BW10">IF(AND(BW$2&lt;&gt;0,#REF!&gt;=BW$2),1,0)</f>
        <v>#REF!</v>
      </c>
      <c r="BX10" s="270" t="e">
        <f t="array" ref="BX10">IF(AND(BX$2&lt;&gt;0,#REF!&gt;=BX$2),1,0)</f>
        <v>#REF!</v>
      </c>
      <c r="BY10" s="270" t="e">
        <f t="array" ref="BY10">IF(AND(BY$2&lt;&gt;0,#REF!&gt;=BY$2),1,0)</f>
        <v>#REF!</v>
      </c>
      <c r="BZ10" s="270" t="e">
        <f t="array" ref="BZ10">IF(AND(BZ$2&lt;&gt;0,#REF!&gt;=BZ$2),1,0)</f>
        <v>#REF!</v>
      </c>
      <c r="CA10" s="359">
        <f>IFERROR(INDEX($H$4:$H$79,MATCH(INDEX(#REF!,1,MATCH(#REF!,$M$2:$BZ$2,0)),$G$4:$G$79,0)),)</f>
        <v>0</v>
      </c>
    </row>
    <row r="11" spans="1:79" x14ac:dyDescent="0.25">
      <c r="A11" s="262" t="e">
        <f>#REF!</f>
        <v>#REF!</v>
      </c>
      <c r="B11" s="263" t="e">
        <f>#REF!</f>
        <v>#REF!</v>
      </c>
      <c r="C11" s="264" t="e">
        <f>#REF!</f>
        <v>#REF!</v>
      </c>
      <c r="D11" s="264" t="e">
        <f>#REF!</f>
        <v>#REF!</v>
      </c>
      <c r="E11" s="265"/>
      <c r="F11" s="266"/>
      <c r="G11" s="267" t="s">
        <v>547</v>
      </c>
      <c r="H11" s="268" t="s">
        <v>688</v>
      </c>
      <c r="I11" s="267" t="s">
        <v>1053</v>
      </c>
      <c r="J11" s="263"/>
      <c r="K11" s="89" t="e">
        <f ca="1">IF(#REF!&lt;&gt;OFFSET(#REF!,-1,0),1,0)</f>
        <v>#REF!</v>
      </c>
      <c r="L11" s="269" t="e">
        <f>COUNTIF(#REF!,1)</f>
        <v>#REF!</v>
      </c>
      <c r="M11" s="270" t="e">
        <f t="array" ref="M11">IF(AND(M$2&lt;&gt;0,#REF!&gt;=M$2),1,0)</f>
        <v>#REF!</v>
      </c>
      <c r="N11" s="270" t="e">
        <f t="array" ref="N11">IF(AND(N$2&lt;&gt;0,#REF!&gt;=N$2),1,0)</f>
        <v>#REF!</v>
      </c>
      <c r="O11" s="270" t="e">
        <f t="array" ref="O11">IF(AND(O$2&lt;&gt;0,#REF!&gt;=O$2),1,0)</f>
        <v>#REF!</v>
      </c>
      <c r="P11" s="270" t="e">
        <f t="array" ref="P11">IF(AND(P$2&lt;&gt;0,#REF!&gt;=P$2),1,0)</f>
        <v>#REF!</v>
      </c>
      <c r="Q11" s="270" t="e">
        <f t="array" ref="Q11">IF(AND(Q$2&lt;&gt;0,#REF!&gt;=Q$2),1,0)</f>
        <v>#REF!</v>
      </c>
      <c r="R11" s="270" t="e">
        <f t="array" ref="R11">IF(AND(R$2&lt;&gt;0,#REF!&gt;=R$2),1,0)</f>
        <v>#REF!</v>
      </c>
      <c r="S11" s="270" t="e">
        <f t="array" ref="S11">IF(AND(S$2&lt;&gt;0,#REF!&gt;=S$2),1,0)</f>
        <v>#REF!</v>
      </c>
      <c r="T11" s="270" t="e">
        <f t="array" ref="T11">IF(AND(T$2&lt;&gt;0,#REF!&gt;=T$2),1,0)</f>
        <v>#REF!</v>
      </c>
      <c r="U11" s="270" t="e">
        <f t="array" ref="U11">IF(AND(U$2&lt;&gt;0,#REF!&gt;=U$2),1,0)</f>
        <v>#REF!</v>
      </c>
      <c r="V11" s="270" t="e">
        <f t="array" ref="V11">IF(AND(V$2&lt;&gt;0,#REF!&gt;=V$2),1,0)</f>
        <v>#REF!</v>
      </c>
      <c r="W11" s="270" t="e">
        <f t="array" ref="W11">IF(AND(W$2&lt;&gt;0,#REF!&gt;=W$2),1,0)</f>
        <v>#REF!</v>
      </c>
      <c r="X11" s="270" t="e">
        <f t="array" ref="X11">IF(AND(X$2&lt;&gt;0,#REF!&gt;=X$2),1,0)</f>
        <v>#REF!</v>
      </c>
      <c r="Y11" s="270" t="e">
        <f t="array" ref="Y11">IF(AND(Y$2&lt;&gt;0,#REF!&gt;=Y$2),1,0)</f>
        <v>#REF!</v>
      </c>
      <c r="Z11" s="270" t="e">
        <f t="array" ref="Z11">IF(AND(Z$2&lt;&gt;0,#REF!&gt;=Z$2),1,0)</f>
        <v>#REF!</v>
      </c>
      <c r="AA11" s="270" t="e">
        <f t="array" ref="AA11">IF(AND(AA$2&lt;&gt;0,#REF!&gt;=AA$2),1,0)</f>
        <v>#REF!</v>
      </c>
      <c r="AB11" s="270" t="e">
        <f t="array" ref="AB11">IF(AND(AB$2&lt;&gt;0,#REF!&gt;=AB$2),1,0)</f>
        <v>#REF!</v>
      </c>
      <c r="AC11" s="270" t="e">
        <f t="array" ref="AC11">IF(AND(AC$2&lt;&gt;0,#REF!&gt;=AC$2),1,0)</f>
        <v>#REF!</v>
      </c>
      <c r="AD11" s="270" t="e">
        <f t="array" ref="AD11">IF(AND(AD$2&lt;&gt;0,#REF!&gt;=AD$2),1,0)</f>
        <v>#REF!</v>
      </c>
      <c r="AE11" s="270" t="e">
        <f t="array" ref="AE11">IF(AND(AE$2&lt;&gt;0,#REF!&gt;=AE$2),1,0)</f>
        <v>#REF!</v>
      </c>
      <c r="AF11" s="270" t="e">
        <f t="array" ref="AF11">IF(AND(AF$2&lt;&gt;0,#REF!&gt;=AF$2),1,0)</f>
        <v>#REF!</v>
      </c>
      <c r="AG11" s="270" t="e">
        <f t="array" ref="AG11">IF(AND(AG$2&lt;&gt;0,#REF!&gt;=AG$2),1,0)</f>
        <v>#REF!</v>
      </c>
      <c r="AH11" s="270" t="e">
        <f t="array" ref="AH11">IF(AND(AH$2&lt;&gt;0,#REF!&gt;=AH$2),1,0)</f>
        <v>#REF!</v>
      </c>
      <c r="AI11" s="270" t="e">
        <f t="array" ref="AI11">IF(AND(AI$2&lt;&gt;0,#REF!&gt;=AI$2),1,0)</f>
        <v>#REF!</v>
      </c>
      <c r="AJ11" s="270" t="e">
        <f t="array" ref="AJ11">IF(AND(AJ$2&lt;&gt;0,#REF!&gt;=AJ$2),1,0)</f>
        <v>#REF!</v>
      </c>
      <c r="AK11" s="270" t="e">
        <f t="array" ref="AK11">IF(AND(AK$2&lt;&gt;0,#REF!&gt;=AK$2),1,0)</f>
        <v>#REF!</v>
      </c>
      <c r="AL11" s="270" t="e">
        <f t="array" ref="AL11">IF(AND(AL$2&lt;&gt;0,#REF!&gt;=AL$2),1,0)</f>
        <v>#REF!</v>
      </c>
      <c r="AM11" s="270" t="e">
        <f t="array" ref="AM11">IF(AND(AM$2&lt;&gt;0,#REF!&gt;=AM$2),1,0)</f>
        <v>#REF!</v>
      </c>
      <c r="AN11" s="270" t="e">
        <f t="array" ref="AN11">IF(AND(AN$2&lt;&gt;0,#REF!&gt;=AN$2),1,0)</f>
        <v>#REF!</v>
      </c>
      <c r="AO11" s="270" t="e">
        <f t="array" ref="AO11">IF(AND(AO$2&lt;&gt;0,#REF!&gt;=AO$2),1,0)</f>
        <v>#REF!</v>
      </c>
      <c r="AP11" s="270" t="e">
        <f t="array" ref="AP11">IF(AND(AP$2&lt;&gt;0,#REF!&gt;=AP$2),1,0)</f>
        <v>#REF!</v>
      </c>
      <c r="AQ11" s="270" t="e">
        <f t="array" ref="AQ11">IF(AND(AQ$2&lt;&gt;0,#REF!&gt;=AQ$2),1,0)</f>
        <v>#REF!</v>
      </c>
      <c r="AR11" s="270" t="e">
        <f t="array" ref="AR11">IF(AND(AR$2&lt;&gt;0,#REF!&gt;=AR$2),1,0)</f>
        <v>#REF!</v>
      </c>
      <c r="AS11" s="270" t="e">
        <f t="array" ref="AS11">IF(AND(AS$2&lt;&gt;0,#REF!&gt;=AS$2),1,0)</f>
        <v>#REF!</v>
      </c>
      <c r="AT11" s="270" t="e">
        <f t="array" ref="AT11">IF(AND(AT$2&lt;&gt;0,#REF!&gt;=AT$2),1,0)</f>
        <v>#REF!</v>
      </c>
      <c r="AU11" s="270" t="e">
        <f t="array" ref="AU11">IF(AND(AU$2&lt;&gt;0,#REF!&gt;=AU$2),1,0)</f>
        <v>#REF!</v>
      </c>
      <c r="AV11" s="270" t="e">
        <f t="array" ref="AV11">IF(AND(AV$2&lt;&gt;0,#REF!&gt;=AV$2),1,0)</f>
        <v>#REF!</v>
      </c>
      <c r="AW11" s="270" t="e">
        <f t="array" ref="AW11">IF(AND(AW$2&lt;&gt;0,#REF!&gt;=AW$2),1,0)</f>
        <v>#REF!</v>
      </c>
      <c r="AX11" s="270" t="e">
        <f t="array" ref="AX11">IF(AND(AX$2&lt;&gt;0,#REF!&gt;=AX$2),1,0)</f>
        <v>#REF!</v>
      </c>
      <c r="AY11" s="270" t="e">
        <f t="array" ref="AY11">IF(AND(AY$2&lt;&gt;0,#REF!&gt;=AY$2),1,0)</f>
        <v>#REF!</v>
      </c>
      <c r="AZ11" s="270" t="e">
        <f t="array" ref="AZ11">IF(AND(AZ$2&lt;&gt;0,#REF!&gt;=AZ$2),1,0)</f>
        <v>#REF!</v>
      </c>
      <c r="BA11" s="270" t="e">
        <f t="array" ref="BA11">IF(AND(BA$2&lt;&gt;0,#REF!&gt;=BA$2),1,0)</f>
        <v>#REF!</v>
      </c>
      <c r="BB11" s="270" t="e">
        <f t="array" ref="BB11">IF(AND(BB$2&lt;&gt;0,#REF!&gt;=BB$2),1,0)</f>
        <v>#REF!</v>
      </c>
      <c r="BC11" s="270" t="e">
        <f t="array" ref="BC11">IF(AND(BC$2&lt;&gt;0,#REF!&gt;=BC$2),1,0)</f>
        <v>#REF!</v>
      </c>
      <c r="BD11" s="270" t="e">
        <f t="array" ref="BD11">IF(AND(BD$2&lt;&gt;0,#REF!&gt;=BD$2),1,0)</f>
        <v>#REF!</v>
      </c>
      <c r="BE11" s="270" t="e">
        <f t="array" ref="BE11">IF(AND(BE$2&lt;&gt;0,#REF!&gt;=BE$2),1,0)</f>
        <v>#REF!</v>
      </c>
      <c r="BF11" s="270" t="e">
        <f t="array" ref="BF11">IF(AND(BF$2&lt;&gt;0,#REF!&gt;=BF$2),1,0)</f>
        <v>#REF!</v>
      </c>
      <c r="BG11" s="270" t="e">
        <f t="array" ref="BG11">IF(AND(BG$2&lt;&gt;0,#REF!&gt;=BG$2),1,0)</f>
        <v>#REF!</v>
      </c>
      <c r="BH11" s="270" t="e">
        <f t="array" ref="BH11">IF(AND(BH$2&lt;&gt;0,#REF!&gt;=BH$2),1,0)</f>
        <v>#REF!</v>
      </c>
      <c r="BI11" s="270" t="e">
        <f t="array" ref="BI11">IF(AND(BI$2&lt;&gt;0,#REF!&gt;=BI$2),1,0)</f>
        <v>#REF!</v>
      </c>
      <c r="BJ11" s="270" t="e">
        <f t="array" ref="BJ11">IF(AND(BJ$2&lt;&gt;0,#REF!&gt;=BJ$2),1,0)</f>
        <v>#REF!</v>
      </c>
      <c r="BK11" s="270" t="e">
        <f t="array" ref="BK11">IF(AND(BK$2&lt;&gt;0,#REF!&gt;=BK$2),1,0)</f>
        <v>#REF!</v>
      </c>
      <c r="BL11" s="270" t="e">
        <f t="array" ref="BL11">IF(AND(BL$2&lt;&gt;0,#REF!&gt;=BL$2),1,0)</f>
        <v>#REF!</v>
      </c>
      <c r="BM11" s="270" t="e">
        <f t="array" ref="BM11">IF(AND(BM$2&lt;&gt;0,#REF!&gt;=BM$2),1,0)</f>
        <v>#REF!</v>
      </c>
      <c r="BN11" s="270" t="e">
        <f t="array" ref="BN11">IF(AND(BN$2&lt;&gt;0,#REF!&gt;=BN$2),1,0)</f>
        <v>#REF!</v>
      </c>
      <c r="BO11" s="270" t="e">
        <f t="array" ref="BO11">IF(AND(BO$2&lt;&gt;0,#REF!&gt;=BO$2),1,0)</f>
        <v>#REF!</v>
      </c>
      <c r="BP11" s="270" t="e">
        <f t="array" ref="BP11">IF(AND(BP$2&lt;&gt;0,#REF!&gt;=BP$2),1,0)</f>
        <v>#REF!</v>
      </c>
      <c r="BQ11" s="270" t="e">
        <f t="array" ref="BQ11">IF(AND(BQ$2&lt;&gt;0,#REF!&gt;=BQ$2),1,0)</f>
        <v>#REF!</v>
      </c>
      <c r="BR11" s="270" t="e">
        <f t="array" ref="BR11">IF(AND(BR$2&lt;&gt;0,#REF!&gt;=BR$2),1,0)</f>
        <v>#REF!</v>
      </c>
      <c r="BS11" s="270" t="e">
        <f t="array" ref="BS11">IF(AND(BS$2&lt;&gt;0,#REF!&gt;=BS$2),1,0)</f>
        <v>#REF!</v>
      </c>
      <c r="BT11" s="270" t="e">
        <f t="array" ref="BT11">IF(AND(BT$2&lt;&gt;0,#REF!&gt;=BT$2),1,0)</f>
        <v>#REF!</v>
      </c>
      <c r="BU11" s="270" t="e">
        <f t="array" ref="BU11">IF(AND(BU$2&lt;&gt;0,#REF!&gt;=BU$2),1,0)</f>
        <v>#REF!</v>
      </c>
      <c r="BV11" s="270" t="e">
        <f t="array" ref="BV11">IF(AND(BV$2&lt;&gt;0,#REF!&gt;=BV$2),1,0)</f>
        <v>#REF!</v>
      </c>
      <c r="BW11" s="270" t="e">
        <f t="array" ref="BW11">IF(AND(BW$2&lt;&gt;0,#REF!&gt;=BW$2),1,0)</f>
        <v>#REF!</v>
      </c>
      <c r="BX11" s="270" t="e">
        <f t="array" ref="BX11">IF(AND(BX$2&lt;&gt;0,#REF!&gt;=BX$2),1,0)</f>
        <v>#REF!</v>
      </c>
      <c r="BY11" s="270" t="e">
        <f t="array" ref="BY11">IF(AND(BY$2&lt;&gt;0,#REF!&gt;=BY$2),1,0)</f>
        <v>#REF!</v>
      </c>
      <c r="BZ11" s="270" t="e">
        <f t="array" ref="BZ11">IF(AND(BZ$2&lt;&gt;0,#REF!&gt;=BZ$2),1,0)</f>
        <v>#REF!</v>
      </c>
      <c r="CA11" s="359">
        <f>IFERROR(INDEX($H$4:$H$79,MATCH(INDEX(#REF!,1,MATCH(#REF!,$M$2:$BZ$2,0)),$G$4:$G$79,0)),)</f>
        <v>0</v>
      </c>
    </row>
    <row r="12" spans="1:79" x14ac:dyDescent="0.25">
      <c r="A12" s="262" t="e">
        <f>#REF!</f>
        <v>#REF!</v>
      </c>
      <c r="B12" s="263" t="e">
        <f>#REF!</f>
        <v>#REF!</v>
      </c>
      <c r="C12" s="264" t="e">
        <f>#REF!</f>
        <v>#REF!</v>
      </c>
      <c r="D12" s="264" t="e">
        <f>#REF!</f>
        <v>#REF!</v>
      </c>
      <c r="E12" s="265"/>
      <c r="F12" s="266"/>
      <c r="G12" s="267" t="s">
        <v>548</v>
      </c>
      <c r="H12" s="268" t="s">
        <v>707</v>
      </c>
      <c r="I12" s="267" t="s">
        <v>579</v>
      </c>
      <c r="J12" s="263"/>
      <c r="K12" s="89" t="e">
        <f ca="1">IF(#REF!&lt;&gt;OFFSET(#REF!,-1,0),1,0)</f>
        <v>#REF!</v>
      </c>
      <c r="L12" s="269" t="e">
        <f>COUNTIF(#REF!,1)</f>
        <v>#REF!</v>
      </c>
      <c r="M12" s="270" t="e">
        <f t="array" ref="M12">IF(AND(M$2&lt;&gt;0,#REF!&gt;=M$2),1,0)</f>
        <v>#REF!</v>
      </c>
      <c r="N12" s="270" t="e">
        <f t="array" ref="N12">IF(AND(N$2&lt;&gt;0,#REF!&gt;=N$2),1,0)</f>
        <v>#REF!</v>
      </c>
      <c r="O12" s="270" t="e">
        <f t="array" ref="O12">IF(AND(O$2&lt;&gt;0,#REF!&gt;=O$2),1,0)</f>
        <v>#REF!</v>
      </c>
      <c r="P12" s="270" t="e">
        <f t="array" ref="P12">IF(AND(P$2&lt;&gt;0,#REF!&gt;=P$2),1,0)</f>
        <v>#REF!</v>
      </c>
      <c r="Q12" s="270" t="e">
        <f t="array" ref="Q12">IF(AND(Q$2&lt;&gt;0,#REF!&gt;=Q$2),1,0)</f>
        <v>#REF!</v>
      </c>
      <c r="R12" s="270" t="e">
        <f t="array" ref="R12">IF(AND(R$2&lt;&gt;0,#REF!&gt;=R$2),1,0)</f>
        <v>#REF!</v>
      </c>
      <c r="S12" s="270" t="e">
        <f t="array" ref="S12">IF(AND(S$2&lt;&gt;0,#REF!&gt;=S$2),1,0)</f>
        <v>#REF!</v>
      </c>
      <c r="T12" s="270" t="e">
        <f t="array" ref="T12">IF(AND(T$2&lt;&gt;0,#REF!&gt;=T$2),1,0)</f>
        <v>#REF!</v>
      </c>
      <c r="U12" s="270" t="e">
        <f t="array" ref="U12">IF(AND(U$2&lt;&gt;0,#REF!&gt;=U$2),1,0)</f>
        <v>#REF!</v>
      </c>
      <c r="V12" s="270" t="e">
        <f t="array" ref="V12">IF(AND(V$2&lt;&gt;0,#REF!&gt;=V$2),1,0)</f>
        <v>#REF!</v>
      </c>
      <c r="W12" s="270" t="e">
        <f t="array" ref="W12">IF(AND(W$2&lt;&gt;0,#REF!&gt;=W$2),1,0)</f>
        <v>#REF!</v>
      </c>
      <c r="X12" s="270" t="e">
        <f t="array" ref="X12">IF(AND(X$2&lt;&gt;0,#REF!&gt;=X$2),1,0)</f>
        <v>#REF!</v>
      </c>
      <c r="Y12" s="270" t="e">
        <f t="array" ref="Y12">IF(AND(Y$2&lt;&gt;0,#REF!&gt;=Y$2),1,0)</f>
        <v>#REF!</v>
      </c>
      <c r="Z12" s="270" t="e">
        <f t="array" ref="Z12">IF(AND(Z$2&lt;&gt;0,#REF!&gt;=Z$2),1,0)</f>
        <v>#REF!</v>
      </c>
      <c r="AA12" s="270" t="e">
        <f t="array" ref="AA12">IF(AND(AA$2&lt;&gt;0,#REF!&gt;=AA$2),1,0)</f>
        <v>#REF!</v>
      </c>
      <c r="AB12" s="270" t="e">
        <f t="array" ref="AB12">IF(AND(AB$2&lt;&gt;0,#REF!&gt;=AB$2),1,0)</f>
        <v>#REF!</v>
      </c>
      <c r="AC12" s="270" t="e">
        <f t="array" ref="AC12">IF(AND(AC$2&lt;&gt;0,#REF!&gt;=AC$2),1,0)</f>
        <v>#REF!</v>
      </c>
      <c r="AD12" s="270" t="e">
        <f t="array" ref="AD12">IF(AND(AD$2&lt;&gt;0,#REF!&gt;=AD$2),1,0)</f>
        <v>#REF!</v>
      </c>
      <c r="AE12" s="270" t="e">
        <f t="array" ref="AE12">IF(AND(AE$2&lt;&gt;0,#REF!&gt;=AE$2),1,0)</f>
        <v>#REF!</v>
      </c>
      <c r="AF12" s="270" t="e">
        <f t="array" ref="AF12">IF(AND(AF$2&lt;&gt;0,#REF!&gt;=AF$2),1,0)</f>
        <v>#REF!</v>
      </c>
      <c r="AG12" s="270" t="e">
        <f t="array" ref="AG12">IF(AND(AG$2&lt;&gt;0,#REF!&gt;=AG$2),1,0)</f>
        <v>#REF!</v>
      </c>
      <c r="AH12" s="270" t="e">
        <f t="array" ref="AH12">IF(AND(AH$2&lt;&gt;0,#REF!&gt;=AH$2),1,0)</f>
        <v>#REF!</v>
      </c>
      <c r="AI12" s="270" t="e">
        <f t="array" ref="AI12">IF(AND(AI$2&lt;&gt;0,#REF!&gt;=AI$2),1,0)</f>
        <v>#REF!</v>
      </c>
      <c r="AJ12" s="270" t="e">
        <f t="array" ref="AJ12">IF(AND(AJ$2&lt;&gt;0,#REF!&gt;=AJ$2),1,0)</f>
        <v>#REF!</v>
      </c>
      <c r="AK12" s="270" t="e">
        <f t="array" ref="AK12">IF(AND(AK$2&lt;&gt;0,#REF!&gt;=AK$2),1,0)</f>
        <v>#REF!</v>
      </c>
      <c r="AL12" s="270" t="e">
        <f t="array" ref="AL12">IF(AND(AL$2&lt;&gt;0,#REF!&gt;=AL$2),1,0)</f>
        <v>#REF!</v>
      </c>
      <c r="AM12" s="270" t="e">
        <f t="array" ref="AM12">IF(AND(AM$2&lt;&gt;0,#REF!&gt;=AM$2),1,0)</f>
        <v>#REF!</v>
      </c>
      <c r="AN12" s="270" t="e">
        <f t="array" ref="AN12">IF(AND(AN$2&lt;&gt;0,#REF!&gt;=AN$2),1,0)</f>
        <v>#REF!</v>
      </c>
      <c r="AO12" s="270" t="e">
        <f t="array" ref="AO12">IF(AND(AO$2&lt;&gt;0,#REF!&gt;=AO$2),1,0)</f>
        <v>#REF!</v>
      </c>
      <c r="AP12" s="270" t="e">
        <f t="array" ref="AP12">IF(AND(AP$2&lt;&gt;0,#REF!&gt;=AP$2),1,0)</f>
        <v>#REF!</v>
      </c>
      <c r="AQ12" s="270" t="e">
        <f t="array" ref="AQ12">IF(AND(AQ$2&lt;&gt;0,#REF!&gt;=AQ$2),1,0)</f>
        <v>#REF!</v>
      </c>
      <c r="AR12" s="270" t="e">
        <f t="array" ref="AR12">IF(AND(AR$2&lt;&gt;0,#REF!&gt;=AR$2),1,0)</f>
        <v>#REF!</v>
      </c>
      <c r="AS12" s="270" t="e">
        <f t="array" ref="AS12">IF(AND(AS$2&lt;&gt;0,#REF!&gt;=AS$2),1,0)</f>
        <v>#REF!</v>
      </c>
      <c r="AT12" s="270" t="e">
        <f t="array" ref="AT12">IF(AND(AT$2&lt;&gt;0,#REF!&gt;=AT$2),1,0)</f>
        <v>#REF!</v>
      </c>
      <c r="AU12" s="270" t="e">
        <f t="array" ref="AU12">IF(AND(AU$2&lt;&gt;0,#REF!&gt;=AU$2),1,0)</f>
        <v>#REF!</v>
      </c>
      <c r="AV12" s="270" t="e">
        <f t="array" ref="AV12">IF(AND(AV$2&lt;&gt;0,#REF!&gt;=AV$2),1,0)</f>
        <v>#REF!</v>
      </c>
      <c r="AW12" s="270" t="e">
        <f t="array" ref="AW12">IF(AND(AW$2&lt;&gt;0,#REF!&gt;=AW$2),1,0)</f>
        <v>#REF!</v>
      </c>
      <c r="AX12" s="270" t="e">
        <f t="array" ref="AX12">IF(AND(AX$2&lt;&gt;0,#REF!&gt;=AX$2),1,0)</f>
        <v>#REF!</v>
      </c>
      <c r="AY12" s="270" t="e">
        <f t="array" ref="AY12">IF(AND(AY$2&lt;&gt;0,#REF!&gt;=AY$2),1,0)</f>
        <v>#REF!</v>
      </c>
      <c r="AZ12" s="270" t="e">
        <f t="array" ref="AZ12">IF(AND(AZ$2&lt;&gt;0,#REF!&gt;=AZ$2),1,0)</f>
        <v>#REF!</v>
      </c>
      <c r="BA12" s="270" t="e">
        <f t="array" ref="BA12">IF(AND(BA$2&lt;&gt;0,#REF!&gt;=BA$2),1,0)</f>
        <v>#REF!</v>
      </c>
      <c r="BB12" s="270" t="e">
        <f t="array" ref="BB12">IF(AND(BB$2&lt;&gt;0,#REF!&gt;=BB$2),1,0)</f>
        <v>#REF!</v>
      </c>
      <c r="BC12" s="270" t="e">
        <f t="array" ref="BC12">IF(AND(BC$2&lt;&gt;0,#REF!&gt;=BC$2),1,0)</f>
        <v>#REF!</v>
      </c>
      <c r="BD12" s="270" t="e">
        <f t="array" ref="BD12">IF(AND(BD$2&lt;&gt;0,#REF!&gt;=BD$2),1,0)</f>
        <v>#REF!</v>
      </c>
      <c r="BE12" s="270" t="e">
        <f t="array" ref="BE12">IF(AND(BE$2&lt;&gt;0,#REF!&gt;=BE$2),1,0)</f>
        <v>#REF!</v>
      </c>
      <c r="BF12" s="270" t="e">
        <f t="array" ref="BF12">IF(AND(BF$2&lt;&gt;0,#REF!&gt;=BF$2),1,0)</f>
        <v>#REF!</v>
      </c>
      <c r="BG12" s="270" t="e">
        <f t="array" ref="BG12">IF(AND(BG$2&lt;&gt;0,#REF!&gt;=BG$2),1,0)</f>
        <v>#REF!</v>
      </c>
      <c r="BH12" s="270" t="e">
        <f t="array" ref="BH12">IF(AND(BH$2&lt;&gt;0,#REF!&gt;=BH$2),1,0)</f>
        <v>#REF!</v>
      </c>
      <c r="BI12" s="270" t="e">
        <f t="array" ref="BI12">IF(AND(BI$2&lt;&gt;0,#REF!&gt;=BI$2),1,0)</f>
        <v>#REF!</v>
      </c>
      <c r="BJ12" s="270" t="e">
        <f t="array" ref="BJ12">IF(AND(BJ$2&lt;&gt;0,#REF!&gt;=BJ$2),1,0)</f>
        <v>#REF!</v>
      </c>
      <c r="BK12" s="270" t="e">
        <f t="array" ref="BK12">IF(AND(BK$2&lt;&gt;0,#REF!&gt;=BK$2),1,0)</f>
        <v>#REF!</v>
      </c>
      <c r="BL12" s="270" t="e">
        <f t="array" ref="BL12">IF(AND(BL$2&lt;&gt;0,#REF!&gt;=BL$2),1,0)</f>
        <v>#REF!</v>
      </c>
      <c r="BM12" s="270" t="e">
        <f t="array" ref="BM12">IF(AND(BM$2&lt;&gt;0,#REF!&gt;=BM$2),1,0)</f>
        <v>#REF!</v>
      </c>
      <c r="BN12" s="270" t="e">
        <f t="array" ref="BN12">IF(AND(BN$2&lt;&gt;0,#REF!&gt;=BN$2),1,0)</f>
        <v>#REF!</v>
      </c>
      <c r="BO12" s="270" t="e">
        <f t="array" ref="BO12">IF(AND(BO$2&lt;&gt;0,#REF!&gt;=BO$2),1,0)</f>
        <v>#REF!</v>
      </c>
      <c r="BP12" s="270" t="e">
        <f t="array" ref="BP12">IF(AND(BP$2&lt;&gt;0,#REF!&gt;=BP$2),1,0)</f>
        <v>#REF!</v>
      </c>
      <c r="BQ12" s="270" t="e">
        <f t="array" ref="BQ12">IF(AND(BQ$2&lt;&gt;0,#REF!&gt;=BQ$2),1,0)</f>
        <v>#REF!</v>
      </c>
      <c r="BR12" s="270" t="e">
        <f t="array" ref="BR12">IF(AND(BR$2&lt;&gt;0,#REF!&gt;=BR$2),1,0)</f>
        <v>#REF!</v>
      </c>
      <c r="BS12" s="270" t="e">
        <f t="array" ref="BS12">IF(AND(BS$2&lt;&gt;0,#REF!&gt;=BS$2),1,0)</f>
        <v>#REF!</v>
      </c>
      <c r="BT12" s="270" t="e">
        <f t="array" ref="BT12">IF(AND(BT$2&lt;&gt;0,#REF!&gt;=BT$2),1,0)</f>
        <v>#REF!</v>
      </c>
      <c r="BU12" s="270" t="e">
        <f t="array" ref="BU12">IF(AND(BU$2&lt;&gt;0,#REF!&gt;=BU$2),1,0)</f>
        <v>#REF!</v>
      </c>
      <c r="BV12" s="270" t="e">
        <f t="array" ref="BV12">IF(AND(BV$2&lt;&gt;0,#REF!&gt;=BV$2),1,0)</f>
        <v>#REF!</v>
      </c>
      <c r="BW12" s="270" t="e">
        <f t="array" ref="BW12">IF(AND(BW$2&lt;&gt;0,#REF!&gt;=BW$2),1,0)</f>
        <v>#REF!</v>
      </c>
      <c r="BX12" s="270" t="e">
        <f t="array" ref="BX12">IF(AND(BX$2&lt;&gt;0,#REF!&gt;=BX$2),1,0)</f>
        <v>#REF!</v>
      </c>
      <c r="BY12" s="270" t="e">
        <f t="array" ref="BY12">IF(AND(BY$2&lt;&gt;0,#REF!&gt;=BY$2),1,0)</f>
        <v>#REF!</v>
      </c>
      <c r="BZ12" s="270" t="e">
        <f t="array" ref="BZ12">IF(AND(BZ$2&lt;&gt;0,#REF!&gt;=BZ$2),1,0)</f>
        <v>#REF!</v>
      </c>
      <c r="CA12" s="359">
        <f>IFERROR(INDEX($H$4:$H$79,MATCH(INDEX(#REF!,1,MATCH(#REF!,$M$2:$BZ$2,0)),$G$4:$G$79,0)),)</f>
        <v>0</v>
      </c>
    </row>
    <row r="13" spans="1:79" x14ac:dyDescent="0.25">
      <c r="A13" s="262" t="e">
        <f>#REF!</f>
        <v>#REF!</v>
      </c>
      <c r="B13" s="263" t="e">
        <f>#REF!</f>
        <v>#REF!</v>
      </c>
      <c r="C13" s="264" t="e">
        <f>#REF!</f>
        <v>#REF!</v>
      </c>
      <c r="D13" s="264" t="e">
        <f>#REF!</f>
        <v>#REF!</v>
      </c>
      <c r="E13" s="265"/>
      <c r="F13" s="266"/>
      <c r="G13" s="267" t="s">
        <v>550</v>
      </c>
      <c r="H13" s="268" t="s">
        <v>689</v>
      </c>
      <c r="I13" s="267" t="s">
        <v>549</v>
      </c>
      <c r="J13" s="263"/>
      <c r="K13" s="89" t="e">
        <f ca="1">IF(#REF!&lt;&gt;OFFSET(#REF!,-1,0),1,0)</f>
        <v>#REF!</v>
      </c>
      <c r="L13" s="269" t="e">
        <f>COUNTIF(#REF!,1)</f>
        <v>#REF!</v>
      </c>
      <c r="M13" s="270" t="e">
        <f t="array" ref="M13">IF(AND(M$2&lt;&gt;0,#REF!&gt;=M$2),1,0)</f>
        <v>#REF!</v>
      </c>
      <c r="N13" s="270" t="e">
        <f t="array" ref="N13">IF(AND(N$2&lt;&gt;0,#REF!&gt;=N$2),1,0)</f>
        <v>#REF!</v>
      </c>
      <c r="O13" s="270" t="e">
        <f t="array" ref="O13">IF(AND(O$2&lt;&gt;0,#REF!&gt;=O$2),1,0)</f>
        <v>#REF!</v>
      </c>
      <c r="P13" s="270" t="e">
        <f t="array" ref="P13">IF(AND(P$2&lt;&gt;0,#REF!&gt;=P$2),1,0)</f>
        <v>#REF!</v>
      </c>
      <c r="Q13" s="270" t="e">
        <f t="array" ref="Q13">IF(AND(Q$2&lt;&gt;0,#REF!&gt;=Q$2),1,0)</f>
        <v>#REF!</v>
      </c>
      <c r="R13" s="270" t="e">
        <f t="array" ref="R13">IF(AND(R$2&lt;&gt;0,#REF!&gt;=R$2),1,0)</f>
        <v>#REF!</v>
      </c>
      <c r="S13" s="270" t="e">
        <f t="array" ref="S13">IF(AND(S$2&lt;&gt;0,#REF!&gt;=S$2),1,0)</f>
        <v>#REF!</v>
      </c>
      <c r="T13" s="270" t="e">
        <f t="array" ref="T13">IF(AND(T$2&lt;&gt;0,#REF!&gt;=T$2),1,0)</f>
        <v>#REF!</v>
      </c>
      <c r="U13" s="270" t="e">
        <f t="array" ref="U13">IF(AND(U$2&lt;&gt;0,#REF!&gt;=U$2),1,0)</f>
        <v>#REF!</v>
      </c>
      <c r="V13" s="270" t="e">
        <f t="array" ref="V13">IF(AND(V$2&lt;&gt;0,#REF!&gt;=V$2),1,0)</f>
        <v>#REF!</v>
      </c>
      <c r="W13" s="270" t="e">
        <f t="array" ref="W13">IF(AND(W$2&lt;&gt;0,#REF!&gt;=W$2),1,0)</f>
        <v>#REF!</v>
      </c>
      <c r="X13" s="270" t="e">
        <f t="array" ref="X13">IF(AND(X$2&lt;&gt;0,#REF!&gt;=X$2),1,0)</f>
        <v>#REF!</v>
      </c>
      <c r="Y13" s="270" t="e">
        <f t="array" ref="Y13">IF(AND(Y$2&lt;&gt;0,#REF!&gt;=Y$2),1,0)</f>
        <v>#REF!</v>
      </c>
      <c r="Z13" s="270" t="e">
        <f t="array" ref="Z13">IF(AND(Z$2&lt;&gt;0,#REF!&gt;=Z$2),1,0)</f>
        <v>#REF!</v>
      </c>
      <c r="AA13" s="270" t="e">
        <f t="array" ref="AA13">IF(AND(AA$2&lt;&gt;0,#REF!&gt;=AA$2),1,0)</f>
        <v>#REF!</v>
      </c>
      <c r="AB13" s="270" t="e">
        <f t="array" ref="AB13">IF(AND(AB$2&lt;&gt;0,#REF!&gt;=AB$2),1,0)</f>
        <v>#REF!</v>
      </c>
      <c r="AC13" s="270" t="e">
        <f t="array" ref="AC13">IF(AND(AC$2&lt;&gt;0,#REF!&gt;=AC$2),1,0)</f>
        <v>#REF!</v>
      </c>
      <c r="AD13" s="270" t="e">
        <f t="array" ref="AD13">IF(AND(AD$2&lt;&gt;0,#REF!&gt;=AD$2),1,0)</f>
        <v>#REF!</v>
      </c>
      <c r="AE13" s="270" t="e">
        <f t="array" ref="AE13">IF(AND(AE$2&lt;&gt;0,#REF!&gt;=AE$2),1,0)</f>
        <v>#REF!</v>
      </c>
      <c r="AF13" s="270" t="e">
        <f t="array" ref="AF13">IF(AND(AF$2&lt;&gt;0,#REF!&gt;=AF$2),1,0)</f>
        <v>#REF!</v>
      </c>
      <c r="AG13" s="270" t="e">
        <f t="array" ref="AG13">IF(AND(AG$2&lt;&gt;0,#REF!&gt;=AG$2),1,0)</f>
        <v>#REF!</v>
      </c>
      <c r="AH13" s="270" t="e">
        <f t="array" ref="AH13">IF(AND(AH$2&lt;&gt;0,#REF!&gt;=AH$2),1,0)</f>
        <v>#REF!</v>
      </c>
      <c r="AI13" s="270" t="e">
        <f t="array" ref="AI13">IF(AND(AI$2&lt;&gt;0,#REF!&gt;=AI$2),1,0)</f>
        <v>#REF!</v>
      </c>
      <c r="AJ13" s="270" t="e">
        <f t="array" ref="AJ13">IF(AND(AJ$2&lt;&gt;0,#REF!&gt;=AJ$2),1,0)</f>
        <v>#REF!</v>
      </c>
      <c r="AK13" s="270" t="e">
        <f t="array" ref="AK13">IF(AND(AK$2&lt;&gt;0,#REF!&gt;=AK$2),1,0)</f>
        <v>#REF!</v>
      </c>
      <c r="AL13" s="270" t="e">
        <f t="array" ref="AL13">IF(AND(AL$2&lt;&gt;0,#REF!&gt;=AL$2),1,0)</f>
        <v>#REF!</v>
      </c>
      <c r="AM13" s="270" t="e">
        <f t="array" ref="AM13">IF(AND(AM$2&lt;&gt;0,#REF!&gt;=AM$2),1,0)</f>
        <v>#REF!</v>
      </c>
      <c r="AN13" s="270" t="e">
        <f t="array" ref="AN13">IF(AND(AN$2&lt;&gt;0,#REF!&gt;=AN$2),1,0)</f>
        <v>#REF!</v>
      </c>
      <c r="AO13" s="270" t="e">
        <f t="array" ref="AO13">IF(AND(AO$2&lt;&gt;0,#REF!&gt;=AO$2),1,0)</f>
        <v>#REF!</v>
      </c>
      <c r="AP13" s="270" t="e">
        <f t="array" ref="AP13">IF(AND(AP$2&lt;&gt;0,#REF!&gt;=AP$2),1,0)</f>
        <v>#REF!</v>
      </c>
      <c r="AQ13" s="270" t="e">
        <f t="array" ref="AQ13">IF(AND(AQ$2&lt;&gt;0,#REF!&gt;=AQ$2),1,0)</f>
        <v>#REF!</v>
      </c>
      <c r="AR13" s="270" t="e">
        <f t="array" ref="AR13">IF(AND(AR$2&lt;&gt;0,#REF!&gt;=AR$2),1,0)</f>
        <v>#REF!</v>
      </c>
      <c r="AS13" s="270" t="e">
        <f t="array" ref="AS13">IF(AND(AS$2&lt;&gt;0,#REF!&gt;=AS$2),1,0)</f>
        <v>#REF!</v>
      </c>
      <c r="AT13" s="270" t="e">
        <f t="array" ref="AT13">IF(AND(AT$2&lt;&gt;0,#REF!&gt;=AT$2),1,0)</f>
        <v>#REF!</v>
      </c>
      <c r="AU13" s="270" t="e">
        <f t="array" ref="AU13">IF(AND(AU$2&lt;&gt;0,#REF!&gt;=AU$2),1,0)</f>
        <v>#REF!</v>
      </c>
      <c r="AV13" s="270" t="e">
        <f t="array" ref="AV13">IF(AND(AV$2&lt;&gt;0,#REF!&gt;=AV$2),1,0)</f>
        <v>#REF!</v>
      </c>
      <c r="AW13" s="270" t="e">
        <f t="array" ref="AW13">IF(AND(AW$2&lt;&gt;0,#REF!&gt;=AW$2),1,0)</f>
        <v>#REF!</v>
      </c>
      <c r="AX13" s="270" t="e">
        <f t="array" ref="AX13">IF(AND(AX$2&lt;&gt;0,#REF!&gt;=AX$2),1,0)</f>
        <v>#REF!</v>
      </c>
      <c r="AY13" s="270" t="e">
        <f t="array" ref="AY13">IF(AND(AY$2&lt;&gt;0,#REF!&gt;=AY$2),1,0)</f>
        <v>#REF!</v>
      </c>
      <c r="AZ13" s="270" t="e">
        <f t="array" ref="AZ13">IF(AND(AZ$2&lt;&gt;0,#REF!&gt;=AZ$2),1,0)</f>
        <v>#REF!</v>
      </c>
      <c r="BA13" s="270" t="e">
        <f t="array" ref="BA13">IF(AND(BA$2&lt;&gt;0,#REF!&gt;=BA$2),1,0)</f>
        <v>#REF!</v>
      </c>
      <c r="BB13" s="270" t="e">
        <f t="array" ref="BB13">IF(AND(BB$2&lt;&gt;0,#REF!&gt;=BB$2),1,0)</f>
        <v>#REF!</v>
      </c>
      <c r="BC13" s="270" t="e">
        <f t="array" ref="BC13">IF(AND(BC$2&lt;&gt;0,#REF!&gt;=BC$2),1,0)</f>
        <v>#REF!</v>
      </c>
      <c r="BD13" s="270" t="e">
        <f t="array" ref="BD13">IF(AND(BD$2&lt;&gt;0,#REF!&gt;=BD$2),1,0)</f>
        <v>#REF!</v>
      </c>
      <c r="BE13" s="270" t="e">
        <f t="array" ref="BE13">IF(AND(BE$2&lt;&gt;0,#REF!&gt;=BE$2),1,0)</f>
        <v>#REF!</v>
      </c>
      <c r="BF13" s="270" t="e">
        <f t="array" ref="BF13">IF(AND(BF$2&lt;&gt;0,#REF!&gt;=BF$2),1,0)</f>
        <v>#REF!</v>
      </c>
      <c r="BG13" s="270" t="e">
        <f t="array" ref="BG13">IF(AND(BG$2&lt;&gt;0,#REF!&gt;=BG$2),1,0)</f>
        <v>#REF!</v>
      </c>
      <c r="BH13" s="270" t="e">
        <f t="array" ref="BH13">IF(AND(BH$2&lt;&gt;0,#REF!&gt;=BH$2),1,0)</f>
        <v>#REF!</v>
      </c>
      <c r="BI13" s="270" t="e">
        <f t="array" ref="BI13">IF(AND(BI$2&lt;&gt;0,#REF!&gt;=BI$2),1,0)</f>
        <v>#REF!</v>
      </c>
      <c r="BJ13" s="270" t="e">
        <f t="array" ref="BJ13">IF(AND(BJ$2&lt;&gt;0,#REF!&gt;=BJ$2),1,0)</f>
        <v>#REF!</v>
      </c>
      <c r="BK13" s="270" t="e">
        <f t="array" ref="BK13">IF(AND(BK$2&lt;&gt;0,#REF!&gt;=BK$2),1,0)</f>
        <v>#REF!</v>
      </c>
      <c r="BL13" s="270" t="e">
        <f t="array" ref="BL13">IF(AND(BL$2&lt;&gt;0,#REF!&gt;=BL$2),1,0)</f>
        <v>#REF!</v>
      </c>
      <c r="BM13" s="270" t="e">
        <f t="array" ref="BM13">IF(AND(BM$2&lt;&gt;0,#REF!&gt;=BM$2),1,0)</f>
        <v>#REF!</v>
      </c>
      <c r="BN13" s="270" t="e">
        <f t="array" ref="BN13">IF(AND(BN$2&lt;&gt;0,#REF!&gt;=BN$2),1,0)</f>
        <v>#REF!</v>
      </c>
      <c r="BO13" s="270" t="e">
        <f t="array" ref="BO13">IF(AND(BO$2&lt;&gt;0,#REF!&gt;=BO$2),1,0)</f>
        <v>#REF!</v>
      </c>
      <c r="BP13" s="270" t="e">
        <f t="array" ref="BP13">IF(AND(BP$2&lt;&gt;0,#REF!&gt;=BP$2),1,0)</f>
        <v>#REF!</v>
      </c>
      <c r="BQ13" s="270" t="e">
        <f t="array" ref="BQ13">IF(AND(BQ$2&lt;&gt;0,#REF!&gt;=BQ$2),1,0)</f>
        <v>#REF!</v>
      </c>
      <c r="BR13" s="270" t="e">
        <f t="array" ref="BR13">IF(AND(BR$2&lt;&gt;0,#REF!&gt;=BR$2),1,0)</f>
        <v>#REF!</v>
      </c>
      <c r="BS13" s="270" t="e">
        <f t="array" ref="BS13">IF(AND(BS$2&lt;&gt;0,#REF!&gt;=BS$2),1,0)</f>
        <v>#REF!</v>
      </c>
      <c r="BT13" s="270" t="e">
        <f t="array" ref="BT13">IF(AND(BT$2&lt;&gt;0,#REF!&gt;=BT$2),1,0)</f>
        <v>#REF!</v>
      </c>
      <c r="BU13" s="270" t="e">
        <f t="array" ref="BU13">IF(AND(BU$2&lt;&gt;0,#REF!&gt;=BU$2),1,0)</f>
        <v>#REF!</v>
      </c>
      <c r="BV13" s="270" t="e">
        <f t="array" ref="BV13">IF(AND(BV$2&lt;&gt;0,#REF!&gt;=BV$2),1,0)</f>
        <v>#REF!</v>
      </c>
      <c r="BW13" s="270" t="e">
        <f t="array" ref="BW13">IF(AND(BW$2&lt;&gt;0,#REF!&gt;=BW$2),1,0)</f>
        <v>#REF!</v>
      </c>
      <c r="BX13" s="270" t="e">
        <f t="array" ref="BX13">IF(AND(BX$2&lt;&gt;0,#REF!&gt;=BX$2),1,0)</f>
        <v>#REF!</v>
      </c>
      <c r="BY13" s="270" t="e">
        <f t="array" ref="BY13">IF(AND(BY$2&lt;&gt;0,#REF!&gt;=BY$2),1,0)</f>
        <v>#REF!</v>
      </c>
      <c r="BZ13" s="270" t="e">
        <f t="array" ref="BZ13">IF(AND(BZ$2&lt;&gt;0,#REF!&gt;=BZ$2),1,0)</f>
        <v>#REF!</v>
      </c>
      <c r="CA13" s="359">
        <f>IFERROR(INDEX($H$4:$H$79,MATCH(INDEX(#REF!,1,MATCH(#REF!,$M$2:$BZ$2,0)),$G$4:$G$79,0)),)</f>
        <v>0</v>
      </c>
    </row>
    <row r="14" spans="1:79" x14ac:dyDescent="0.25">
      <c r="A14" s="262" t="e">
        <f>#REF!</f>
        <v>#REF!</v>
      </c>
      <c r="B14" s="263" t="e">
        <f>#REF!</f>
        <v>#REF!</v>
      </c>
      <c r="C14" s="264" t="e">
        <f>#REF!</f>
        <v>#REF!</v>
      </c>
      <c r="D14" s="264" t="e">
        <f>#REF!</f>
        <v>#REF!</v>
      </c>
      <c r="E14" s="265"/>
      <c r="F14" s="266"/>
      <c r="G14" s="267" t="s">
        <v>552</v>
      </c>
      <c r="H14" s="268" t="s">
        <v>1063</v>
      </c>
      <c r="I14" s="267" t="s">
        <v>741</v>
      </c>
      <c r="J14" s="263"/>
      <c r="K14" s="89" t="e">
        <f ca="1">IF(#REF!&lt;&gt;OFFSET(#REF!,-1,0),1,0)</f>
        <v>#REF!</v>
      </c>
      <c r="L14" s="269" t="e">
        <f>COUNTIF(#REF!,1)</f>
        <v>#REF!</v>
      </c>
      <c r="M14" s="270" t="e">
        <f t="array" ref="M14">IF(AND(M$2&lt;&gt;0,#REF!&gt;=M$2),1,0)</f>
        <v>#REF!</v>
      </c>
      <c r="N14" s="270" t="e">
        <f t="array" ref="N14">IF(AND(N$2&lt;&gt;0,#REF!&gt;=N$2),1,0)</f>
        <v>#REF!</v>
      </c>
      <c r="O14" s="270" t="e">
        <f t="array" ref="O14">IF(AND(O$2&lt;&gt;0,#REF!&gt;=O$2),1,0)</f>
        <v>#REF!</v>
      </c>
      <c r="P14" s="270" t="e">
        <f t="array" ref="P14">IF(AND(P$2&lt;&gt;0,#REF!&gt;=P$2),1,0)</f>
        <v>#REF!</v>
      </c>
      <c r="Q14" s="270" t="e">
        <f t="array" ref="Q14">IF(AND(Q$2&lt;&gt;0,#REF!&gt;=Q$2),1,0)</f>
        <v>#REF!</v>
      </c>
      <c r="R14" s="270" t="e">
        <f t="array" ref="R14">IF(AND(R$2&lt;&gt;0,#REF!&gt;=R$2),1,0)</f>
        <v>#REF!</v>
      </c>
      <c r="S14" s="270" t="e">
        <f t="array" ref="S14">IF(AND(S$2&lt;&gt;0,#REF!&gt;=S$2),1,0)</f>
        <v>#REF!</v>
      </c>
      <c r="T14" s="270" t="e">
        <f t="array" ref="T14">IF(AND(T$2&lt;&gt;0,#REF!&gt;=T$2),1,0)</f>
        <v>#REF!</v>
      </c>
      <c r="U14" s="270" t="e">
        <f t="array" ref="U14">IF(AND(U$2&lt;&gt;0,#REF!&gt;=U$2),1,0)</f>
        <v>#REF!</v>
      </c>
      <c r="V14" s="270" t="e">
        <f t="array" ref="V14">IF(AND(V$2&lt;&gt;0,#REF!&gt;=V$2),1,0)</f>
        <v>#REF!</v>
      </c>
      <c r="W14" s="270" t="e">
        <f t="array" ref="W14">IF(AND(W$2&lt;&gt;0,#REF!&gt;=W$2),1,0)</f>
        <v>#REF!</v>
      </c>
      <c r="X14" s="270" t="e">
        <f t="array" ref="X14">IF(AND(X$2&lt;&gt;0,#REF!&gt;=X$2),1,0)</f>
        <v>#REF!</v>
      </c>
      <c r="Y14" s="270" t="e">
        <f t="array" ref="Y14">IF(AND(Y$2&lt;&gt;0,#REF!&gt;=Y$2),1,0)</f>
        <v>#REF!</v>
      </c>
      <c r="Z14" s="270" t="e">
        <f t="array" ref="Z14">IF(AND(Z$2&lt;&gt;0,#REF!&gt;=Z$2),1,0)</f>
        <v>#REF!</v>
      </c>
      <c r="AA14" s="270" t="e">
        <f t="array" ref="AA14">IF(AND(AA$2&lt;&gt;0,#REF!&gt;=AA$2),1,0)</f>
        <v>#REF!</v>
      </c>
      <c r="AB14" s="270" t="e">
        <f t="array" ref="AB14">IF(AND(AB$2&lt;&gt;0,#REF!&gt;=AB$2),1,0)</f>
        <v>#REF!</v>
      </c>
      <c r="AC14" s="270" t="e">
        <f t="array" ref="AC14">IF(AND(AC$2&lt;&gt;0,#REF!&gt;=AC$2),1,0)</f>
        <v>#REF!</v>
      </c>
      <c r="AD14" s="270" t="e">
        <f t="array" ref="AD14">IF(AND(AD$2&lt;&gt;0,#REF!&gt;=AD$2),1,0)</f>
        <v>#REF!</v>
      </c>
      <c r="AE14" s="270" t="e">
        <f t="array" ref="AE14">IF(AND(AE$2&lt;&gt;0,#REF!&gt;=AE$2),1,0)</f>
        <v>#REF!</v>
      </c>
      <c r="AF14" s="270" t="e">
        <f t="array" ref="AF14">IF(AND(AF$2&lt;&gt;0,#REF!&gt;=AF$2),1,0)</f>
        <v>#REF!</v>
      </c>
      <c r="AG14" s="270" t="e">
        <f t="array" ref="AG14">IF(AND(AG$2&lt;&gt;0,#REF!&gt;=AG$2),1,0)</f>
        <v>#REF!</v>
      </c>
      <c r="AH14" s="270" t="e">
        <f t="array" ref="AH14">IF(AND(AH$2&lt;&gt;0,#REF!&gt;=AH$2),1,0)</f>
        <v>#REF!</v>
      </c>
      <c r="AI14" s="270" t="e">
        <f t="array" ref="AI14">IF(AND(AI$2&lt;&gt;0,#REF!&gt;=AI$2),1,0)</f>
        <v>#REF!</v>
      </c>
      <c r="AJ14" s="270" t="e">
        <f t="array" ref="AJ14">IF(AND(AJ$2&lt;&gt;0,#REF!&gt;=AJ$2),1,0)</f>
        <v>#REF!</v>
      </c>
      <c r="AK14" s="270" t="e">
        <f t="array" ref="AK14">IF(AND(AK$2&lt;&gt;0,#REF!&gt;=AK$2),1,0)</f>
        <v>#REF!</v>
      </c>
      <c r="AL14" s="270" t="e">
        <f t="array" ref="AL14">IF(AND(AL$2&lt;&gt;0,#REF!&gt;=AL$2),1,0)</f>
        <v>#REF!</v>
      </c>
      <c r="AM14" s="270" t="e">
        <f t="array" ref="AM14">IF(AND(AM$2&lt;&gt;0,#REF!&gt;=AM$2),1,0)</f>
        <v>#REF!</v>
      </c>
      <c r="AN14" s="270" t="e">
        <f t="array" ref="AN14">IF(AND(AN$2&lt;&gt;0,#REF!&gt;=AN$2),1,0)</f>
        <v>#REF!</v>
      </c>
      <c r="AO14" s="270" t="e">
        <f t="array" ref="AO14">IF(AND(AO$2&lt;&gt;0,#REF!&gt;=AO$2),1,0)</f>
        <v>#REF!</v>
      </c>
      <c r="AP14" s="270" t="e">
        <f t="array" ref="AP14">IF(AND(AP$2&lt;&gt;0,#REF!&gt;=AP$2),1,0)</f>
        <v>#REF!</v>
      </c>
      <c r="AQ14" s="270" t="e">
        <f t="array" ref="AQ14">IF(AND(AQ$2&lt;&gt;0,#REF!&gt;=AQ$2),1,0)</f>
        <v>#REF!</v>
      </c>
      <c r="AR14" s="270" t="e">
        <f t="array" ref="AR14">IF(AND(AR$2&lt;&gt;0,#REF!&gt;=AR$2),1,0)</f>
        <v>#REF!</v>
      </c>
      <c r="AS14" s="270" t="e">
        <f t="array" ref="AS14">IF(AND(AS$2&lt;&gt;0,#REF!&gt;=AS$2),1,0)</f>
        <v>#REF!</v>
      </c>
      <c r="AT14" s="270" t="e">
        <f t="array" ref="AT14">IF(AND(AT$2&lt;&gt;0,#REF!&gt;=AT$2),1,0)</f>
        <v>#REF!</v>
      </c>
      <c r="AU14" s="270" t="e">
        <f t="array" ref="AU14">IF(AND(AU$2&lt;&gt;0,#REF!&gt;=AU$2),1,0)</f>
        <v>#REF!</v>
      </c>
      <c r="AV14" s="270" t="e">
        <f t="array" ref="AV14">IF(AND(AV$2&lt;&gt;0,#REF!&gt;=AV$2),1,0)</f>
        <v>#REF!</v>
      </c>
      <c r="AW14" s="270" t="e">
        <f t="array" ref="AW14">IF(AND(AW$2&lt;&gt;0,#REF!&gt;=AW$2),1,0)</f>
        <v>#REF!</v>
      </c>
      <c r="AX14" s="270" t="e">
        <f t="array" ref="AX14">IF(AND(AX$2&lt;&gt;0,#REF!&gt;=AX$2),1,0)</f>
        <v>#REF!</v>
      </c>
      <c r="AY14" s="270" t="e">
        <f t="array" ref="AY14">IF(AND(AY$2&lt;&gt;0,#REF!&gt;=AY$2),1,0)</f>
        <v>#REF!</v>
      </c>
      <c r="AZ14" s="270" t="e">
        <f t="array" ref="AZ14">IF(AND(AZ$2&lt;&gt;0,#REF!&gt;=AZ$2),1,0)</f>
        <v>#REF!</v>
      </c>
      <c r="BA14" s="270" t="e">
        <f t="array" ref="BA14">IF(AND(BA$2&lt;&gt;0,#REF!&gt;=BA$2),1,0)</f>
        <v>#REF!</v>
      </c>
      <c r="BB14" s="270" t="e">
        <f t="array" ref="BB14">IF(AND(BB$2&lt;&gt;0,#REF!&gt;=BB$2),1,0)</f>
        <v>#REF!</v>
      </c>
      <c r="BC14" s="270" t="e">
        <f t="array" ref="BC14">IF(AND(BC$2&lt;&gt;0,#REF!&gt;=BC$2),1,0)</f>
        <v>#REF!</v>
      </c>
      <c r="BD14" s="270" t="e">
        <f t="array" ref="BD14">IF(AND(BD$2&lt;&gt;0,#REF!&gt;=BD$2),1,0)</f>
        <v>#REF!</v>
      </c>
      <c r="BE14" s="270" t="e">
        <f t="array" ref="BE14">IF(AND(BE$2&lt;&gt;0,#REF!&gt;=BE$2),1,0)</f>
        <v>#REF!</v>
      </c>
      <c r="BF14" s="270" t="e">
        <f t="array" ref="BF14">IF(AND(BF$2&lt;&gt;0,#REF!&gt;=BF$2),1,0)</f>
        <v>#REF!</v>
      </c>
      <c r="BG14" s="270" t="e">
        <f t="array" ref="BG14">IF(AND(BG$2&lt;&gt;0,#REF!&gt;=BG$2),1,0)</f>
        <v>#REF!</v>
      </c>
      <c r="BH14" s="270" t="e">
        <f t="array" ref="BH14">IF(AND(BH$2&lt;&gt;0,#REF!&gt;=BH$2),1,0)</f>
        <v>#REF!</v>
      </c>
      <c r="BI14" s="270" t="e">
        <f t="array" ref="BI14">IF(AND(BI$2&lt;&gt;0,#REF!&gt;=BI$2),1,0)</f>
        <v>#REF!</v>
      </c>
      <c r="BJ14" s="270" t="e">
        <f t="array" ref="BJ14">IF(AND(BJ$2&lt;&gt;0,#REF!&gt;=BJ$2),1,0)</f>
        <v>#REF!</v>
      </c>
      <c r="BK14" s="270" t="e">
        <f t="array" ref="BK14">IF(AND(BK$2&lt;&gt;0,#REF!&gt;=BK$2),1,0)</f>
        <v>#REF!</v>
      </c>
      <c r="BL14" s="270" t="e">
        <f t="array" ref="BL14">IF(AND(BL$2&lt;&gt;0,#REF!&gt;=BL$2),1,0)</f>
        <v>#REF!</v>
      </c>
      <c r="BM14" s="270" t="e">
        <f t="array" ref="BM14">IF(AND(BM$2&lt;&gt;0,#REF!&gt;=BM$2),1,0)</f>
        <v>#REF!</v>
      </c>
      <c r="BN14" s="270" t="e">
        <f t="array" ref="BN14">IF(AND(BN$2&lt;&gt;0,#REF!&gt;=BN$2),1,0)</f>
        <v>#REF!</v>
      </c>
      <c r="BO14" s="270" t="e">
        <f t="array" ref="BO14">IF(AND(BO$2&lt;&gt;0,#REF!&gt;=BO$2),1,0)</f>
        <v>#REF!</v>
      </c>
      <c r="BP14" s="270" t="e">
        <f t="array" ref="BP14">IF(AND(BP$2&lt;&gt;0,#REF!&gt;=BP$2),1,0)</f>
        <v>#REF!</v>
      </c>
      <c r="BQ14" s="270" t="e">
        <f t="array" ref="BQ14">IF(AND(BQ$2&lt;&gt;0,#REF!&gt;=BQ$2),1,0)</f>
        <v>#REF!</v>
      </c>
      <c r="BR14" s="270" t="e">
        <f t="array" ref="BR14">IF(AND(BR$2&lt;&gt;0,#REF!&gt;=BR$2),1,0)</f>
        <v>#REF!</v>
      </c>
      <c r="BS14" s="270" t="e">
        <f t="array" ref="BS14">IF(AND(BS$2&lt;&gt;0,#REF!&gt;=BS$2),1,0)</f>
        <v>#REF!</v>
      </c>
      <c r="BT14" s="270" t="e">
        <f t="array" ref="BT14">IF(AND(BT$2&lt;&gt;0,#REF!&gt;=BT$2),1,0)</f>
        <v>#REF!</v>
      </c>
      <c r="BU14" s="270" t="e">
        <f t="array" ref="BU14">IF(AND(BU$2&lt;&gt;0,#REF!&gt;=BU$2),1,0)</f>
        <v>#REF!</v>
      </c>
      <c r="BV14" s="270" t="e">
        <f t="array" ref="BV14">IF(AND(BV$2&lt;&gt;0,#REF!&gt;=BV$2),1,0)</f>
        <v>#REF!</v>
      </c>
      <c r="BW14" s="270" t="e">
        <f t="array" ref="BW14">IF(AND(BW$2&lt;&gt;0,#REF!&gt;=BW$2),1,0)</f>
        <v>#REF!</v>
      </c>
      <c r="BX14" s="270" t="e">
        <f t="array" ref="BX14">IF(AND(BX$2&lt;&gt;0,#REF!&gt;=BX$2),1,0)</f>
        <v>#REF!</v>
      </c>
      <c r="BY14" s="270" t="e">
        <f t="array" ref="BY14">IF(AND(BY$2&lt;&gt;0,#REF!&gt;=BY$2),1,0)</f>
        <v>#REF!</v>
      </c>
      <c r="BZ14" s="270" t="e">
        <f t="array" ref="BZ14">IF(AND(BZ$2&lt;&gt;0,#REF!&gt;=BZ$2),1,0)</f>
        <v>#REF!</v>
      </c>
      <c r="CA14" s="359">
        <f>IFERROR(INDEX($H$4:$H$79,MATCH(INDEX(#REF!,1,MATCH(#REF!,$M$2:$BZ$2,0)),$G$4:$G$79,0)),)</f>
        <v>0</v>
      </c>
    </row>
    <row r="15" spans="1:79" x14ac:dyDescent="0.25">
      <c r="A15" s="262" t="e">
        <f>#REF!</f>
        <v>#REF!</v>
      </c>
      <c r="B15" s="263" t="e">
        <f>#REF!</f>
        <v>#REF!</v>
      </c>
      <c r="C15" s="264" t="e">
        <f>#REF!</f>
        <v>#REF!</v>
      </c>
      <c r="D15" s="264" t="e">
        <f>#REF!</f>
        <v>#REF!</v>
      </c>
      <c r="E15" s="265"/>
      <c r="F15" s="266"/>
      <c r="G15" s="267"/>
      <c r="H15" s="268"/>
      <c r="I15" s="267"/>
      <c r="J15" s="263"/>
      <c r="K15" s="89" t="e">
        <f ca="1">IF(#REF!&lt;&gt;OFFSET(#REF!,-1,0),1,0)</f>
        <v>#REF!</v>
      </c>
      <c r="L15" s="269" t="e">
        <f>COUNTIF(#REF!,1)</f>
        <v>#REF!</v>
      </c>
      <c r="M15" s="270" t="e">
        <f t="array" ref="M15">IF(AND(M$2&lt;&gt;0,#REF!&gt;=M$2),1,0)</f>
        <v>#REF!</v>
      </c>
      <c r="N15" s="270" t="e">
        <f t="array" ref="N15">IF(AND(N$2&lt;&gt;0,#REF!&gt;=N$2),1,0)</f>
        <v>#REF!</v>
      </c>
      <c r="O15" s="270" t="e">
        <f t="array" ref="O15">IF(AND(O$2&lt;&gt;0,#REF!&gt;=O$2),1,0)</f>
        <v>#REF!</v>
      </c>
      <c r="P15" s="270" t="e">
        <f t="array" ref="P15">IF(AND(P$2&lt;&gt;0,#REF!&gt;=P$2),1,0)</f>
        <v>#REF!</v>
      </c>
      <c r="Q15" s="270" t="e">
        <f t="array" ref="Q15">IF(AND(Q$2&lt;&gt;0,#REF!&gt;=Q$2),1,0)</f>
        <v>#REF!</v>
      </c>
      <c r="R15" s="270" t="e">
        <f t="array" ref="R15">IF(AND(R$2&lt;&gt;0,#REF!&gt;=R$2),1,0)</f>
        <v>#REF!</v>
      </c>
      <c r="S15" s="270" t="e">
        <f t="array" ref="S15">IF(AND(S$2&lt;&gt;0,#REF!&gt;=S$2),1,0)</f>
        <v>#REF!</v>
      </c>
      <c r="T15" s="270" t="e">
        <f t="array" ref="T15">IF(AND(T$2&lt;&gt;0,#REF!&gt;=T$2),1,0)</f>
        <v>#REF!</v>
      </c>
      <c r="U15" s="270" t="e">
        <f t="array" ref="U15">IF(AND(U$2&lt;&gt;0,#REF!&gt;=U$2),1,0)</f>
        <v>#REF!</v>
      </c>
      <c r="V15" s="270" t="e">
        <f t="array" ref="V15">IF(AND(V$2&lt;&gt;0,#REF!&gt;=V$2),1,0)</f>
        <v>#REF!</v>
      </c>
      <c r="W15" s="270" t="e">
        <f t="array" ref="W15">IF(AND(W$2&lt;&gt;0,#REF!&gt;=W$2),1,0)</f>
        <v>#REF!</v>
      </c>
      <c r="X15" s="270" t="e">
        <f t="array" ref="X15">IF(AND(X$2&lt;&gt;0,#REF!&gt;=X$2),1,0)</f>
        <v>#REF!</v>
      </c>
      <c r="Y15" s="270" t="e">
        <f t="array" ref="Y15">IF(AND(Y$2&lt;&gt;0,#REF!&gt;=Y$2),1,0)</f>
        <v>#REF!</v>
      </c>
      <c r="Z15" s="270" t="e">
        <f t="array" ref="Z15">IF(AND(Z$2&lt;&gt;0,#REF!&gt;=Z$2),1,0)</f>
        <v>#REF!</v>
      </c>
      <c r="AA15" s="270" t="e">
        <f t="array" ref="AA15">IF(AND(AA$2&lt;&gt;0,#REF!&gt;=AA$2),1,0)</f>
        <v>#REF!</v>
      </c>
      <c r="AB15" s="270" t="e">
        <f t="array" ref="AB15">IF(AND(AB$2&lt;&gt;0,#REF!&gt;=AB$2),1,0)</f>
        <v>#REF!</v>
      </c>
      <c r="AC15" s="270" t="e">
        <f t="array" ref="AC15">IF(AND(AC$2&lt;&gt;0,#REF!&gt;=AC$2),1,0)</f>
        <v>#REF!</v>
      </c>
      <c r="AD15" s="270" t="e">
        <f t="array" ref="AD15">IF(AND(AD$2&lt;&gt;0,#REF!&gt;=AD$2),1,0)</f>
        <v>#REF!</v>
      </c>
      <c r="AE15" s="270" t="e">
        <f t="array" ref="AE15">IF(AND(AE$2&lt;&gt;0,#REF!&gt;=AE$2),1,0)</f>
        <v>#REF!</v>
      </c>
      <c r="AF15" s="270" t="e">
        <f t="array" ref="AF15">IF(AND(AF$2&lt;&gt;0,#REF!&gt;=AF$2),1,0)</f>
        <v>#REF!</v>
      </c>
      <c r="AG15" s="270" t="e">
        <f t="array" ref="AG15">IF(AND(AG$2&lt;&gt;0,#REF!&gt;=AG$2),1,0)</f>
        <v>#REF!</v>
      </c>
      <c r="AH15" s="270" t="e">
        <f t="array" ref="AH15">IF(AND(AH$2&lt;&gt;0,#REF!&gt;=AH$2),1,0)</f>
        <v>#REF!</v>
      </c>
      <c r="AI15" s="270" t="e">
        <f t="array" ref="AI15">IF(AND(AI$2&lt;&gt;0,#REF!&gt;=AI$2),1,0)</f>
        <v>#REF!</v>
      </c>
      <c r="AJ15" s="270" t="e">
        <f t="array" ref="AJ15">IF(AND(AJ$2&lt;&gt;0,#REF!&gt;=AJ$2),1,0)</f>
        <v>#REF!</v>
      </c>
      <c r="AK15" s="270" t="e">
        <f t="array" ref="AK15">IF(AND(AK$2&lt;&gt;0,#REF!&gt;=AK$2),1,0)</f>
        <v>#REF!</v>
      </c>
      <c r="AL15" s="270" t="e">
        <f t="array" ref="AL15">IF(AND(AL$2&lt;&gt;0,#REF!&gt;=AL$2),1,0)</f>
        <v>#REF!</v>
      </c>
      <c r="AM15" s="270" t="e">
        <f t="array" ref="AM15">IF(AND(AM$2&lt;&gt;0,#REF!&gt;=AM$2),1,0)</f>
        <v>#REF!</v>
      </c>
      <c r="AN15" s="270" t="e">
        <f t="array" ref="AN15">IF(AND(AN$2&lt;&gt;0,#REF!&gt;=AN$2),1,0)</f>
        <v>#REF!</v>
      </c>
      <c r="AO15" s="270" t="e">
        <f t="array" ref="AO15">IF(AND(AO$2&lt;&gt;0,#REF!&gt;=AO$2),1,0)</f>
        <v>#REF!</v>
      </c>
      <c r="AP15" s="270" t="e">
        <f t="array" ref="AP15">IF(AND(AP$2&lt;&gt;0,#REF!&gt;=AP$2),1,0)</f>
        <v>#REF!</v>
      </c>
      <c r="AQ15" s="270" t="e">
        <f t="array" ref="AQ15">IF(AND(AQ$2&lt;&gt;0,#REF!&gt;=AQ$2),1,0)</f>
        <v>#REF!</v>
      </c>
      <c r="AR15" s="270" t="e">
        <f t="array" ref="AR15">IF(AND(AR$2&lt;&gt;0,#REF!&gt;=AR$2),1,0)</f>
        <v>#REF!</v>
      </c>
      <c r="AS15" s="270" t="e">
        <f t="array" ref="AS15">IF(AND(AS$2&lt;&gt;0,#REF!&gt;=AS$2),1,0)</f>
        <v>#REF!</v>
      </c>
      <c r="AT15" s="270" t="e">
        <f t="array" ref="AT15">IF(AND(AT$2&lt;&gt;0,#REF!&gt;=AT$2),1,0)</f>
        <v>#REF!</v>
      </c>
      <c r="AU15" s="270" t="e">
        <f t="array" ref="AU15">IF(AND(AU$2&lt;&gt;0,#REF!&gt;=AU$2),1,0)</f>
        <v>#REF!</v>
      </c>
      <c r="AV15" s="270" t="e">
        <f t="array" ref="AV15">IF(AND(AV$2&lt;&gt;0,#REF!&gt;=AV$2),1,0)</f>
        <v>#REF!</v>
      </c>
      <c r="AW15" s="270" t="e">
        <f t="array" ref="AW15">IF(AND(AW$2&lt;&gt;0,#REF!&gt;=AW$2),1,0)</f>
        <v>#REF!</v>
      </c>
      <c r="AX15" s="270" t="e">
        <f t="array" ref="AX15">IF(AND(AX$2&lt;&gt;0,#REF!&gt;=AX$2),1,0)</f>
        <v>#REF!</v>
      </c>
      <c r="AY15" s="270" t="e">
        <f t="array" ref="AY15">IF(AND(AY$2&lt;&gt;0,#REF!&gt;=AY$2),1,0)</f>
        <v>#REF!</v>
      </c>
      <c r="AZ15" s="270" t="e">
        <f t="array" ref="AZ15">IF(AND(AZ$2&lt;&gt;0,#REF!&gt;=AZ$2),1,0)</f>
        <v>#REF!</v>
      </c>
      <c r="BA15" s="270" t="e">
        <f t="array" ref="BA15">IF(AND(BA$2&lt;&gt;0,#REF!&gt;=BA$2),1,0)</f>
        <v>#REF!</v>
      </c>
      <c r="BB15" s="270" t="e">
        <f t="array" ref="BB15">IF(AND(BB$2&lt;&gt;0,#REF!&gt;=BB$2),1,0)</f>
        <v>#REF!</v>
      </c>
      <c r="BC15" s="270" t="e">
        <f t="array" ref="BC15">IF(AND(BC$2&lt;&gt;0,#REF!&gt;=BC$2),1,0)</f>
        <v>#REF!</v>
      </c>
      <c r="BD15" s="270" t="e">
        <f t="array" ref="BD15">IF(AND(BD$2&lt;&gt;0,#REF!&gt;=BD$2),1,0)</f>
        <v>#REF!</v>
      </c>
      <c r="BE15" s="270" t="e">
        <f t="array" ref="BE15">IF(AND(BE$2&lt;&gt;0,#REF!&gt;=BE$2),1,0)</f>
        <v>#REF!</v>
      </c>
      <c r="BF15" s="270" t="e">
        <f t="array" ref="BF15">IF(AND(BF$2&lt;&gt;0,#REF!&gt;=BF$2),1,0)</f>
        <v>#REF!</v>
      </c>
      <c r="BG15" s="270" t="e">
        <f t="array" ref="BG15">IF(AND(BG$2&lt;&gt;0,#REF!&gt;=BG$2),1,0)</f>
        <v>#REF!</v>
      </c>
      <c r="BH15" s="270" t="e">
        <f t="array" ref="BH15">IF(AND(BH$2&lt;&gt;0,#REF!&gt;=BH$2),1,0)</f>
        <v>#REF!</v>
      </c>
      <c r="BI15" s="270" t="e">
        <f t="array" ref="BI15">IF(AND(BI$2&lt;&gt;0,#REF!&gt;=BI$2),1,0)</f>
        <v>#REF!</v>
      </c>
      <c r="BJ15" s="270" t="e">
        <f t="array" ref="BJ15">IF(AND(BJ$2&lt;&gt;0,#REF!&gt;=BJ$2),1,0)</f>
        <v>#REF!</v>
      </c>
      <c r="BK15" s="270" t="e">
        <f t="array" ref="BK15">IF(AND(BK$2&lt;&gt;0,#REF!&gt;=BK$2),1,0)</f>
        <v>#REF!</v>
      </c>
      <c r="BL15" s="270" t="e">
        <f t="array" ref="BL15">IF(AND(BL$2&lt;&gt;0,#REF!&gt;=BL$2),1,0)</f>
        <v>#REF!</v>
      </c>
      <c r="BM15" s="270" t="e">
        <f t="array" ref="BM15">IF(AND(BM$2&lt;&gt;0,#REF!&gt;=BM$2),1,0)</f>
        <v>#REF!</v>
      </c>
      <c r="BN15" s="270" t="e">
        <f t="array" ref="BN15">IF(AND(BN$2&lt;&gt;0,#REF!&gt;=BN$2),1,0)</f>
        <v>#REF!</v>
      </c>
      <c r="BO15" s="270" t="e">
        <f t="array" ref="BO15">IF(AND(BO$2&lt;&gt;0,#REF!&gt;=BO$2),1,0)</f>
        <v>#REF!</v>
      </c>
      <c r="BP15" s="270" t="e">
        <f t="array" ref="BP15">IF(AND(BP$2&lt;&gt;0,#REF!&gt;=BP$2),1,0)</f>
        <v>#REF!</v>
      </c>
      <c r="BQ15" s="270" t="e">
        <f t="array" ref="BQ15">IF(AND(BQ$2&lt;&gt;0,#REF!&gt;=BQ$2),1,0)</f>
        <v>#REF!</v>
      </c>
      <c r="BR15" s="270" t="e">
        <f t="array" ref="BR15">IF(AND(BR$2&lt;&gt;0,#REF!&gt;=BR$2),1,0)</f>
        <v>#REF!</v>
      </c>
      <c r="BS15" s="270" t="e">
        <f t="array" ref="BS15">IF(AND(BS$2&lt;&gt;0,#REF!&gt;=BS$2),1,0)</f>
        <v>#REF!</v>
      </c>
      <c r="BT15" s="270" t="e">
        <f t="array" ref="BT15">IF(AND(BT$2&lt;&gt;0,#REF!&gt;=BT$2),1,0)</f>
        <v>#REF!</v>
      </c>
      <c r="BU15" s="270" t="e">
        <f t="array" ref="BU15">IF(AND(BU$2&lt;&gt;0,#REF!&gt;=BU$2),1,0)</f>
        <v>#REF!</v>
      </c>
      <c r="BV15" s="270" t="e">
        <f t="array" ref="BV15">IF(AND(BV$2&lt;&gt;0,#REF!&gt;=BV$2),1,0)</f>
        <v>#REF!</v>
      </c>
      <c r="BW15" s="270" t="e">
        <f t="array" ref="BW15">IF(AND(BW$2&lt;&gt;0,#REF!&gt;=BW$2),1,0)</f>
        <v>#REF!</v>
      </c>
      <c r="BX15" s="270" t="e">
        <f t="array" ref="BX15">IF(AND(BX$2&lt;&gt;0,#REF!&gt;=BX$2),1,0)</f>
        <v>#REF!</v>
      </c>
      <c r="BY15" s="270" t="e">
        <f t="array" ref="BY15">IF(AND(BY$2&lt;&gt;0,#REF!&gt;=BY$2),1,0)</f>
        <v>#REF!</v>
      </c>
      <c r="BZ15" s="270" t="e">
        <f t="array" ref="BZ15">IF(AND(BZ$2&lt;&gt;0,#REF!&gt;=BZ$2),1,0)</f>
        <v>#REF!</v>
      </c>
      <c r="CA15" s="359">
        <f>IFERROR(INDEX($H$4:$H$79,MATCH(INDEX(#REF!,1,MATCH(#REF!,$M$2:$BZ$2,0)),$G$4:$G$79,0)),)</f>
        <v>0</v>
      </c>
    </row>
    <row r="16" spans="1:79" x14ac:dyDescent="0.25">
      <c r="A16" s="262" t="e">
        <f>#REF!</f>
        <v>#REF!</v>
      </c>
      <c r="B16" s="263" t="e">
        <f>#REF!</f>
        <v>#REF!</v>
      </c>
      <c r="C16" s="264" t="e">
        <f>#REF!</f>
        <v>#REF!</v>
      </c>
      <c r="D16" s="264" t="e">
        <f>#REF!</f>
        <v>#REF!</v>
      </c>
      <c r="E16" s="265"/>
      <c r="F16" s="266"/>
      <c r="G16" s="267" t="s">
        <v>553</v>
      </c>
      <c r="H16" s="268" t="s">
        <v>691</v>
      </c>
      <c r="I16" s="267" t="s">
        <v>749</v>
      </c>
      <c r="J16" s="263"/>
      <c r="K16" s="89" t="e">
        <f ca="1">IF(#REF!&lt;&gt;OFFSET(#REF!,-1,0),1,0)</f>
        <v>#REF!</v>
      </c>
      <c r="L16" s="269" t="e">
        <f>COUNTIF(#REF!,1)</f>
        <v>#REF!</v>
      </c>
      <c r="M16" s="270" t="e">
        <f t="array" ref="M16">IF(AND(M$2&lt;&gt;0,#REF!&gt;=M$2),1,0)</f>
        <v>#REF!</v>
      </c>
      <c r="N16" s="270" t="e">
        <f t="array" ref="N16">IF(AND(N$2&lt;&gt;0,#REF!&gt;=N$2),1,0)</f>
        <v>#REF!</v>
      </c>
      <c r="O16" s="270" t="e">
        <f t="array" ref="O16">IF(AND(O$2&lt;&gt;0,#REF!&gt;=O$2),1,0)</f>
        <v>#REF!</v>
      </c>
      <c r="P16" s="270" t="e">
        <f t="array" ref="P16">IF(AND(P$2&lt;&gt;0,#REF!&gt;=P$2),1,0)</f>
        <v>#REF!</v>
      </c>
      <c r="Q16" s="270" t="e">
        <f t="array" ref="Q16">IF(AND(Q$2&lt;&gt;0,#REF!&gt;=Q$2),1,0)</f>
        <v>#REF!</v>
      </c>
      <c r="R16" s="270" t="e">
        <f t="array" ref="R16">IF(AND(R$2&lt;&gt;0,#REF!&gt;=R$2),1,0)</f>
        <v>#REF!</v>
      </c>
      <c r="S16" s="270" t="e">
        <f t="array" ref="S16">IF(AND(S$2&lt;&gt;0,#REF!&gt;=S$2),1,0)</f>
        <v>#REF!</v>
      </c>
      <c r="T16" s="270" t="e">
        <f t="array" ref="T16">IF(AND(T$2&lt;&gt;0,#REF!&gt;=T$2),1,0)</f>
        <v>#REF!</v>
      </c>
      <c r="U16" s="270" t="e">
        <f t="array" ref="U16">IF(AND(U$2&lt;&gt;0,#REF!&gt;=U$2),1,0)</f>
        <v>#REF!</v>
      </c>
      <c r="V16" s="270" t="e">
        <f t="array" ref="V16">IF(AND(V$2&lt;&gt;0,#REF!&gt;=V$2),1,0)</f>
        <v>#REF!</v>
      </c>
      <c r="W16" s="270" t="e">
        <f t="array" ref="W16">IF(AND(W$2&lt;&gt;0,#REF!&gt;=W$2),1,0)</f>
        <v>#REF!</v>
      </c>
      <c r="X16" s="270" t="e">
        <f t="array" ref="X16">IF(AND(X$2&lt;&gt;0,#REF!&gt;=X$2),1,0)</f>
        <v>#REF!</v>
      </c>
      <c r="Y16" s="270" t="e">
        <f t="array" ref="Y16">IF(AND(Y$2&lt;&gt;0,#REF!&gt;=Y$2),1,0)</f>
        <v>#REF!</v>
      </c>
      <c r="Z16" s="270" t="e">
        <f t="array" ref="Z16">IF(AND(Z$2&lt;&gt;0,#REF!&gt;=Z$2),1,0)</f>
        <v>#REF!</v>
      </c>
      <c r="AA16" s="270" t="e">
        <f t="array" ref="AA16">IF(AND(AA$2&lt;&gt;0,#REF!&gt;=AA$2),1,0)</f>
        <v>#REF!</v>
      </c>
      <c r="AB16" s="270" t="e">
        <f t="array" ref="AB16">IF(AND(AB$2&lt;&gt;0,#REF!&gt;=AB$2),1,0)</f>
        <v>#REF!</v>
      </c>
      <c r="AC16" s="270" t="e">
        <f t="array" ref="AC16">IF(AND(AC$2&lt;&gt;0,#REF!&gt;=AC$2),1,0)</f>
        <v>#REF!</v>
      </c>
      <c r="AD16" s="270" t="e">
        <f t="array" ref="AD16">IF(AND(AD$2&lt;&gt;0,#REF!&gt;=AD$2),1,0)</f>
        <v>#REF!</v>
      </c>
      <c r="AE16" s="270" t="e">
        <f t="array" ref="AE16">IF(AND(AE$2&lt;&gt;0,#REF!&gt;=AE$2),1,0)</f>
        <v>#REF!</v>
      </c>
      <c r="AF16" s="270" t="e">
        <f t="array" ref="AF16">IF(AND(AF$2&lt;&gt;0,#REF!&gt;=AF$2),1,0)</f>
        <v>#REF!</v>
      </c>
      <c r="AG16" s="270" t="e">
        <f t="array" ref="AG16">IF(AND(AG$2&lt;&gt;0,#REF!&gt;=AG$2),1,0)</f>
        <v>#REF!</v>
      </c>
      <c r="AH16" s="270" t="e">
        <f t="array" ref="AH16">IF(AND(AH$2&lt;&gt;0,#REF!&gt;=AH$2),1,0)</f>
        <v>#REF!</v>
      </c>
      <c r="AI16" s="270" t="e">
        <f t="array" ref="AI16">IF(AND(AI$2&lt;&gt;0,#REF!&gt;=AI$2),1,0)</f>
        <v>#REF!</v>
      </c>
      <c r="AJ16" s="270" t="e">
        <f t="array" ref="AJ16">IF(AND(AJ$2&lt;&gt;0,#REF!&gt;=AJ$2),1,0)</f>
        <v>#REF!</v>
      </c>
      <c r="AK16" s="270" t="e">
        <f t="array" ref="AK16">IF(AND(AK$2&lt;&gt;0,#REF!&gt;=AK$2),1,0)</f>
        <v>#REF!</v>
      </c>
      <c r="AL16" s="270" t="e">
        <f t="array" ref="AL16">IF(AND(AL$2&lt;&gt;0,#REF!&gt;=AL$2),1,0)</f>
        <v>#REF!</v>
      </c>
      <c r="AM16" s="270" t="e">
        <f t="array" ref="AM16">IF(AND(AM$2&lt;&gt;0,#REF!&gt;=AM$2),1,0)</f>
        <v>#REF!</v>
      </c>
      <c r="AN16" s="270" t="e">
        <f t="array" ref="AN16">IF(AND(AN$2&lt;&gt;0,#REF!&gt;=AN$2),1,0)</f>
        <v>#REF!</v>
      </c>
      <c r="AO16" s="270" t="e">
        <f t="array" ref="AO16">IF(AND(AO$2&lt;&gt;0,#REF!&gt;=AO$2),1,0)</f>
        <v>#REF!</v>
      </c>
      <c r="AP16" s="270" t="e">
        <f t="array" ref="AP16">IF(AND(AP$2&lt;&gt;0,#REF!&gt;=AP$2),1,0)</f>
        <v>#REF!</v>
      </c>
      <c r="AQ16" s="270" t="e">
        <f t="array" ref="AQ16">IF(AND(AQ$2&lt;&gt;0,#REF!&gt;=AQ$2),1,0)</f>
        <v>#REF!</v>
      </c>
      <c r="AR16" s="270" t="e">
        <f t="array" ref="AR16">IF(AND(AR$2&lt;&gt;0,#REF!&gt;=AR$2),1,0)</f>
        <v>#REF!</v>
      </c>
      <c r="AS16" s="270" t="e">
        <f t="array" ref="AS16">IF(AND(AS$2&lt;&gt;0,#REF!&gt;=AS$2),1,0)</f>
        <v>#REF!</v>
      </c>
      <c r="AT16" s="270" t="e">
        <f t="array" ref="AT16">IF(AND(AT$2&lt;&gt;0,#REF!&gt;=AT$2),1,0)</f>
        <v>#REF!</v>
      </c>
      <c r="AU16" s="270" t="e">
        <f t="array" ref="AU16">IF(AND(AU$2&lt;&gt;0,#REF!&gt;=AU$2),1,0)</f>
        <v>#REF!</v>
      </c>
      <c r="AV16" s="270" t="e">
        <f t="array" ref="AV16">IF(AND(AV$2&lt;&gt;0,#REF!&gt;=AV$2),1,0)</f>
        <v>#REF!</v>
      </c>
      <c r="AW16" s="270" t="e">
        <f t="array" ref="AW16">IF(AND(AW$2&lt;&gt;0,#REF!&gt;=AW$2),1,0)</f>
        <v>#REF!</v>
      </c>
      <c r="AX16" s="270" t="e">
        <f t="array" ref="AX16">IF(AND(AX$2&lt;&gt;0,#REF!&gt;=AX$2),1,0)</f>
        <v>#REF!</v>
      </c>
      <c r="AY16" s="270" t="e">
        <f t="array" ref="AY16">IF(AND(AY$2&lt;&gt;0,#REF!&gt;=AY$2),1,0)</f>
        <v>#REF!</v>
      </c>
      <c r="AZ16" s="270" t="e">
        <f t="array" ref="AZ16">IF(AND(AZ$2&lt;&gt;0,#REF!&gt;=AZ$2),1,0)</f>
        <v>#REF!</v>
      </c>
      <c r="BA16" s="270" t="e">
        <f t="array" ref="BA16">IF(AND(BA$2&lt;&gt;0,#REF!&gt;=BA$2),1,0)</f>
        <v>#REF!</v>
      </c>
      <c r="BB16" s="270" t="e">
        <f t="array" ref="BB16">IF(AND(BB$2&lt;&gt;0,#REF!&gt;=BB$2),1,0)</f>
        <v>#REF!</v>
      </c>
      <c r="BC16" s="270" t="e">
        <f t="array" ref="BC16">IF(AND(BC$2&lt;&gt;0,#REF!&gt;=BC$2),1,0)</f>
        <v>#REF!</v>
      </c>
      <c r="BD16" s="270" t="e">
        <f t="array" ref="BD16">IF(AND(BD$2&lt;&gt;0,#REF!&gt;=BD$2),1,0)</f>
        <v>#REF!</v>
      </c>
      <c r="BE16" s="270" t="e">
        <f t="array" ref="BE16">IF(AND(BE$2&lt;&gt;0,#REF!&gt;=BE$2),1,0)</f>
        <v>#REF!</v>
      </c>
      <c r="BF16" s="270" t="e">
        <f t="array" ref="BF16">IF(AND(BF$2&lt;&gt;0,#REF!&gt;=BF$2),1,0)</f>
        <v>#REF!</v>
      </c>
      <c r="BG16" s="270" t="e">
        <f t="array" ref="BG16">IF(AND(BG$2&lt;&gt;0,#REF!&gt;=BG$2),1,0)</f>
        <v>#REF!</v>
      </c>
      <c r="BH16" s="270" t="e">
        <f t="array" ref="BH16">IF(AND(BH$2&lt;&gt;0,#REF!&gt;=BH$2),1,0)</f>
        <v>#REF!</v>
      </c>
      <c r="BI16" s="270" t="e">
        <f t="array" ref="BI16">IF(AND(BI$2&lt;&gt;0,#REF!&gt;=BI$2),1,0)</f>
        <v>#REF!</v>
      </c>
      <c r="BJ16" s="270" t="e">
        <f t="array" ref="BJ16">IF(AND(BJ$2&lt;&gt;0,#REF!&gt;=BJ$2),1,0)</f>
        <v>#REF!</v>
      </c>
      <c r="BK16" s="270" t="e">
        <f t="array" ref="BK16">IF(AND(BK$2&lt;&gt;0,#REF!&gt;=BK$2),1,0)</f>
        <v>#REF!</v>
      </c>
      <c r="BL16" s="270" t="e">
        <f t="array" ref="BL16">IF(AND(BL$2&lt;&gt;0,#REF!&gt;=BL$2),1,0)</f>
        <v>#REF!</v>
      </c>
      <c r="BM16" s="270" t="e">
        <f t="array" ref="BM16">IF(AND(BM$2&lt;&gt;0,#REF!&gt;=BM$2),1,0)</f>
        <v>#REF!</v>
      </c>
      <c r="BN16" s="270" t="e">
        <f t="array" ref="BN16">IF(AND(BN$2&lt;&gt;0,#REF!&gt;=BN$2),1,0)</f>
        <v>#REF!</v>
      </c>
      <c r="BO16" s="270" t="e">
        <f t="array" ref="BO16">IF(AND(BO$2&lt;&gt;0,#REF!&gt;=BO$2),1,0)</f>
        <v>#REF!</v>
      </c>
      <c r="BP16" s="270" t="e">
        <f t="array" ref="BP16">IF(AND(BP$2&lt;&gt;0,#REF!&gt;=BP$2),1,0)</f>
        <v>#REF!</v>
      </c>
      <c r="BQ16" s="270" t="e">
        <f t="array" ref="BQ16">IF(AND(BQ$2&lt;&gt;0,#REF!&gt;=BQ$2),1,0)</f>
        <v>#REF!</v>
      </c>
      <c r="BR16" s="270" t="e">
        <f t="array" ref="BR16">IF(AND(BR$2&lt;&gt;0,#REF!&gt;=BR$2),1,0)</f>
        <v>#REF!</v>
      </c>
      <c r="BS16" s="270" t="e">
        <f t="array" ref="BS16">IF(AND(BS$2&lt;&gt;0,#REF!&gt;=BS$2),1,0)</f>
        <v>#REF!</v>
      </c>
      <c r="BT16" s="270" t="e">
        <f t="array" ref="BT16">IF(AND(BT$2&lt;&gt;0,#REF!&gt;=BT$2),1,0)</f>
        <v>#REF!</v>
      </c>
      <c r="BU16" s="270" t="e">
        <f t="array" ref="BU16">IF(AND(BU$2&lt;&gt;0,#REF!&gt;=BU$2),1,0)</f>
        <v>#REF!</v>
      </c>
      <c r="BV16" s="270" t="e">
        <f t="array" ref="BV16">IF(AND(BV$2&lt;&gt;0,#REF!&gt;=BV$2),1,0)</f>
        <v>#REF!</v>
      </c>
      <c r="BW16" s="270" t="e">
        <f t="array" ref="BW16">IF(AND(BW$2&lt;&gt;0,#REF!&gt;=BW$2),1,0)</f>
        <v>#REF!</v>
      </c>
      <c r="BX16" s="270" t="e">
        <f t="array" ref="BX16">IF(AND(BX$2&lt;&gt;0,#REF!&gt;=BX$2),1,0)</f>
        <v>#REF!</v>
      </c>
      <c r="BY16" s="270" t="e">
        <f t="array" ref="BY16">IF(AND(BY$2&lt;&gt;0,#REF!&gt;=BY$2),1,0)</f>
        <v>#REF!</v>
      </c>
      <c r="BZ16" s="270" t="e">
        <f t="array" ref="BZ16">IF(AND(BZ$2&lt;&gt;0,#REF!&gt;=BZ$2),1,0)</f>
        <v>#REF!</v>
      </c>
      <c r="CA16" s="359">
        <f>IFERROR(INDEX($H$4:$H$79,MATCH(INDEX(#REF!,1,MATCH(#REF!,$M$2:$BZ$2,0)),$G$4:$G$79,0)),)</f>
        <v>0</v>
      </c>
    </row>
    <row r="17" spans="1:79" x14ac:dyDescent="0.25">
      <c r="A17" s="262" t="e">
        <f>#REF!</f>
        <v>#REF!</v>
      </c>
      <c r="B17" s="263" t="e">
        <f>#REF!</f>
        <v>#REF!</v>
      </c>
      <c r="C17" s="264" t="e">
        <f>#REF!</f>
        <v>#REF!</v>
      </c>
      <c r="D17" s="264" t="e">
        <f>#REF!</f>
        <v>#REF!</v>
      </c>
      <c r="E17" s="265"/>
      <c r="F17" s="266"/>
      <c r="G17" s="267" t="s">
        <v>554</v>
      </c>
      <c r="H17" s="268" t="s">
        <v>692</v>
      </c>
      <c r="I17" s="267" t="s">
        <v>750</v>
      </c>
      <c r="J17" s="263"/>
      <c r="K17" s="89" t="e">
        <f ca="1">IF(#REF!&lt;&gt;OFFSET(#REF!,-1,0),1,0)</f>
        <v>#REF!</v>
      </c>
      <c r="L17" s="269" t="e">
        <f>COUNTIF(#REF!,1)</f>
        <v>#REF!</v>
      </c>
      <c r="M17" s="270" t="e">
        <f t="array" ref="M17">IF(AND(M$2&lt;&gt;0,#REF!&gt;=M$2),1,0)</f>
        <v>#REF!</v>
      </c>
      <c r="N17" s="270" t="e">
        <f t="array" ref="N17">IF(AND(N$2&lt;&gt;0,#REF!&gt;=N$2),1,0)</f>
        <v>#REF!</v>
      </c>
      <c r="O17" s="270" t="e">
        <f t="array" ref="O17">IF(AND(O$2&lt;&gt;0,#REF!&gt;=O$2),1,0)</f>
        <v>#REF!</v>
      </c>
      <c r="P17" s="270" t="e">
        <f t="array" ref="P17">IF(AND(P$2&lt;&gt;0,#REF!&gt;=P$2),1,0)</f>
        <v>#REF!</v>
      </c>
      <c r="Q17" s="270" t="e">
        <f t="array" ref="Q17">IF(AND(Q$2&lt;&gt;0,#REF!&gt;=Q$2),1,0)</f>
        <v>#REF!</v>
      </c>
      <c r="R17" s="270" t="e">
        <f t="array" ref="R17">IF(AND(R$2&lt;&gt;0,#REF!&gt;=R$2),1,0)</f>
        <v>#REF!</v>
      </c>
      <c r="S17" s="270" t="e">
        <f t="array" ref="S17">IF(AND(S$2&lt;&gt;0,#REF!&gt;=S$2),1,0)</f>
        <v>#REF!</v>
      </c>
      <c r="T17" s="270" t="e">
        <f t="array" ref="T17">IF(AND(T$2&lt;&gt;0,#REF!&gt;=T$2),1,0)</f>
        <v>#REF!</v>
      </c>
      <c r="U17" s="270" t="e">
        <f t="array" ref="U17">IF(AND(U$2&lt;&gt;0,#REF!&gt;=U$2),1,0)</f>
        <v>#REF!</v>
      </c>
      <c r="V17" s="270" t="e">
        <f t="array" ref="V17">IF(AND(V$2&lt;&gt;0,#REF!&gt;=V$2),1,0)</f>
        <v>#REF!</v>
      </c>
      <c r="W17" s="270" t="e">
        <f t="array" ref="W17">IF(AND(W$2&lt;&gt;0,#REF!&gt;=W$2),1,0)</f>
        <v>#REF!</v>
      </c>
      <c r="X17" s="270" t="e">
        <f t="array" ref="X17">IF(AND(X$2&lt;&gt;0,#REF!&gt;=X$2),1,0)</f>
        <v>#REF!</v>
      </c>
      <c r="Y17" s="270" t="e">
        <f t="array" ref="Y17">IF(AND(Y$2&lt;&gt;0,#REF!&gt;=Y$2),1,0)</f>
        <v>#REF!</v>
      </c>
      <c r="Z17" s="270" t="e">
        <f t="array" ref="Z17">IF(AND(Z$2&lt;&gt;0,#REF!&gt;=Z$2),1,0)</f>
        <v>#REF!</v>
      </c>
      <c r="AA17" s="270" t="e">
        <f t="array" ref="AA17">IF(AND(AA$2&lt;&gt;0,#REF!&gt;=AA$2),1,0)</f>
        <v>#REF!</v>
      </c>
      <c r="AB17" s="270" t="e">
        <f t="array" ref="AB17">IF(AND(AB$2&lt;&gt;0,#REF!&gt;=AB$2),1,0)</f>
        <v>#REF!</v>
      </c>
      <c r="AC17" s="270" t="e">
        <f t="array" ref="AC17">IF(AND(AC$2&lt;&gt;0,#REF!&gt;=AC$2),1,0)</f>
        <v>#REF!</v>
      </c>
      <c r="AD17" s="270" t="e">
        <f t="array" ref="AD17">IF(AND(AD$2&lt;&gt;0,#REF!&gt;=AD$2),1,0)</f>
        <v>#REF!</v>
      </c>
      <c r="AE17" s="270" t="e">
        <f t="array" ref="AE17">IF(AND(AE$2&lt;&gt;0,#REF!&gt;=AE$2),1,0)</f>
        <v>#REF!</v>
      </c>
      <c r="AF17" s="270" t="e">
        <f t="array" ref="AF17">IF(AND(AF$2&lt;&gt;0,#REF!&gt;=AF$2),1,0)</f>
        <v>#REF!</v>
      </c>
      <c r="AG17" s="270" t="e">
        <f t="array" ref="AG17">IF(AND(AG$2&lt;&gt;0,#REF!&gt;=AG$2),1,0)</f>
        <v>#REF!</v>
      </c>
      <c r="AH17" s="270" t="e">
        <f t="array" ref="AH17">IF(AND(AH$2&lt;&gt;0,#REF!&gt;=AH$2),1,0)</f>
        <v>#REF!</v>
      </c>
      <c r="AI17" s="270" t="e">
        <f t="array" ref="AI17">IF(AND(AI$2&lt;&gt;0,#REF!&gt;=AI$2),1,0)</f>
        <v>#REF!</v>
      </c>
      <c r="AJ17" s="270" t="e">
        <f t="array" ref="AJ17">IF(AND(AJ$2&lt;&gt;0,#REF!&gt;=AJ$2),1,0)</f>
        <v>#REF!</v>
      </c>
      <c r="AK17" s="270" t="e">
        <f t="array" ref="AK17">IF(AND(AK$2&lt;&gt;0,#REF!&gt;=AK$2),1,0)</f>
        <v>#REF!</v>
      </c>
      <c r="AL17" s="270" t="e">
        <f t="array" ref="AL17">IF(AND(AL$2&lt;&gt;0,#REF!&gt;=AL$2),1,0)</f>
        <v>#REF!</v>
      </c>
      <c r="AM17" s="270" t="e">
        <f t="array" ref="AM17">IF(AND(AM$2&lt;&gt;0,#REF!&gt;=AM$2),1,0)</f>
        <v>#REF!</v>
      </c>
      <c r="AN17" s="270" t="e">
        <f t="array" ref="AN17">IF(AND(AN$2&lt;&gt;0,#REF!&gt;=AN$2),1,0)</f>
        <v>#REF!</v>
      </c>
      <c r="AO17" s="270" t="e">
        <f t="array" ref="AO17">IF(AND(AO$2&lt;&gt;0,#REF!&gt;=AO$2),1,0)</f>
        <v>#REF!</v>
      </c>
      <c r="AP17" s="270" t="e">
        <f t="array" ref="AP17">IF(AND(AP$2&lt;&gt;0,#REF!&gt;=AP$2),1,0)</f>
        <v>#REF!</v>
      </c>
      <c r="AQ17" s="270" t="e">
        <f t="array" ref="AQ17">IF(AND(AQ$2&lt;&gt;0,#REF!&gt;=AQ$2),1,0)</f>
        <v>#REF!</v>
      </c>
      <c r="AR17" s="270" t="e">
        <f t="array" ref="AR17">IF(AND(AR$2&lt;&gt;0,#REF!&gt;=AR$2),1,0)</f>
        <v>#REF!</v>
      </c>
      <c r="AS17" s="270" t="e">
        <f t="array" ref="AS17">IF(AND(AS$2&lt;&gt;0,#REF!&gt;=AS$2),1,0)</f>
        <v>#REF!</v>
      </c>
      <c r="AT17" s="270" t="e">
        <f t="array" ref="AT17">IF(AND(AT$2&lt;&gt;0,#REF!&gt;=AT$2),1,0)</f>
        <v>#REF!</v>
      </c>
      <c r="AU17" s="270" t="e">
        <f t="array" ref="AU17">IF(AND(AU$2&lt;&gt;0,#REF!&gt;=AU$2),1,0)</f>
        <v>#REF!</v>
      </c>
      <c r="AV17" s="270" t="e">
        <f t="array" ref="AV17">IF(AND(AV$2&lt;&gt;0,#REF!&gt;=AV$2),1,0)</f>
        <v>#REF!</v>
      </c>
      <c r="AW17" s="270" t="e">
        <f t="array" ref="AW17">IF(AND(AW$2&lt;&gt;0,#REF!&gt;=AW$2),1,0)</f>
        <v>#REF!</v>
      </c>
      <c r="AX17" s="270" t="e">
        <f t="array" ref="AX17">IF(AND(AX$2&lt;&gt;0,#REF!&gt;=AX$2),1,0)</f>
        <v>#REF!</v>
      </c>
      <c r="AY17" s="270" t="e">
        <f t="array" ref="AY17">IF(AND(AY$2&lt;&gt;0,#REF!&gt;=AY$2),1,0)</f>
        <v>#REF!</v>
      </c>
      <c r="AZ17" s="270" t="e">
        <f t="array" ref="AZ17">IF(AND(AZ$2&lt;&gt;0,#REF!&gt;=AZ$2),1,0)</f>
        <v>#REF!</v>
      </c>
      <c r="BA17" s="270" t="e">
        <f t="array" ref="BA17">IF(AND(BA$2&lt;&gt;0,#REF!&gt;=BA$2),1,0)</f>
        <v>#REF!</v>
      </c>
      <c r="BB17" s="270" t="e">
        <f t="array" ref="BB17">IF(AND(BB$2&lt;&gt;0,#REF!&gt;=BB$2),1,0)</f>
        <v>#REF!</v>
      </c>
      <c r="BC17" s="270" t="e">
        <f t="array" ref="BC17">IF(AND(BC$2&lt;&gt;0,#REF!&gt;=BC$2),1,0)</f>
        <v>#REF!</v>
      </c>
      <c r="BD17" s="270" t="e">
        <f t="array" ref="BD17">IF(AND(BD$2&lt;&gt;0,#REF!&gt;=BD$2),1,0)</f>
        <v>#REF!</v>
      </c>
      <c r="BE17" s="270" t="e">
        <f t="array" ref="BE17">IF(AND(BE$2&lt;&gt;0,#REF!&gt;=BE$2),1,0)</f>
        <v>#REF!</v>
      </c>
      <c r="BF17" s="270" t="e">
        <f t="array" ref="BF17">IF(AND(BF$2&lt;&gt;0,#REF!&gt;=BF$2),1,0)</f>
        <v>#REF!</v>
      </c>
      <c r="BG17" s="270" t="e">
        <f t="array" ref="BG17">IF(AND(BG$2&lt;&gt;0,#REF!&gt;=BG$2),1,0)</f>
        <v>#REF!</v>
      </c>
      <c r="BH17" s="270" t="e">
        <f t="array" ref="BH17">IF(AND(BH$2&lt;&gt;0,#REF!&gt;=BH$2),1,0)</f>
        <v>#REF!</v>
      </c>
      <c r="BI17" s="270" t="e">
        <f t="array" ref="BI17">IF(AND(BI$2&lt;&gt;0,#REF!&gt;=BI$2),1,0)</f>
        <v>#REF!</v>
      </c>
      <c r="BJ17" s="270" t="e">
        <f t="array" ref="BJ17">IF(AND(BJ$2&lt;&gt;0,#REF!&gt;=BJ$2),1,0)</f>
        <v>#REF!</v>
      </c>
      <c r="BK17" s="270" t="e">
        <f t="array" ref="BK17">IF(AND(BK$2&lt;&gt;0,#REF!&gt;=BK$2),1,0)</f>
        <v>#REF!</v>
      </c>
      <c r="BL17" s="270" t="e">
        <f t="array" ref="BL17">IF(AND(BL$2&lt;&gt;0,#REF!&gt;=BL$2),1,0)</f>
        <v>#REF!</v>
      </c>
      <c r="BM17" s="270" t="e">
        <f t="array" ref="BM17">IF(AND(BM$2&lt;&gt;0,#REF!&gt;=BM$2),1,0)</f>
        <v>#REF!</v>
      </c>
      <c r="BN17" s="270" t="e">
        <f t="array" ref="BN17">IF(AND(BN$2&lt;&gt;0,#REF!&gt;=BN$2),1,0)</f>
        <v>#REF!</v>
      </c>
      <c r="BO17" s="270" t="e">
        <f t="array" ref="BO17">IF(AND(BO$2&lt;&gt;0,#REF!&gt;=BO$2),1,0)</f>
        <v>#REF!</v>
      </c>
      <c r="BP17" s="270" t="e">
        <f t="array" ref="BP17">IF(AND(BP$2&lt;&gt;0,#REF!&gt;=BP$2),1,0)</f>
        <v>#REF!</v>
      </c>
      <c r="BQ17" s="270" t="e">
        <f t="array" ref="BQ17">IF(AND(BQ$2&lt;&gt;0,#REF!&gt;=BQ$2),1,0)</f>
        <v>#REF!</v>
      </c>
      <c r="BR17" s="270" t="e">
        <f t="array" ref="BR17">IF(AND(BR$2&lt;&gt;0,#REF!&gt;=BR$2),1,0)</f>
        <v>#REF!</v>
      </c>
      <c r="BS17" s="270" t="e">
        <f t="array" ref="BS17">IF(AND(BS$2&lt;&gt;0,#REF!&gt;=BS$2),1,0)</f>
        <v>#REF!</v>
      </c>
      <c r="BT17" s="270" t="e">
        <f t="array" ref="BT17">IF(AND(BT$2&lt;&gt;0,#REF!&gt;=BT$2),1,0)</f>
        <v>#REF!</v>
      </c>
      <c r="BU17" s="270" t="e">
        <f t="array" ref="BU17">IF(AND(BU$2&lt;&gt;0,#REF!&gt;=BU$2),1,0)</f>
        <v>#REF!</v>
      </c>
      <c r="BV17" s="270" t="e">
        <f t="array" ref="BV17">IF(AND(BV$2&lt;&gt;0,#REF!&gt;=BV$2),1,0)</f>
        <v>#REF!</v>
      </c>
      <c r="BW17" s="270" t="e">
        <f t="array" ref="BW17">IF(AND(BW$2&lt;&gt;0,#REF!&gt;=BW$2),1,0)</f>
        <v>#REF!</v>
      </c>
      <c r="BX17" s="270" t="e">
        <f t="array" ref="BX17">IF(AND(BX$2&lt;&gt;0,#REF!&gt;=BX$2),1,0)</f>
        <v>#REF!</v>
      </c>
      <c r="BY17" s="270" t="e">
        <f t="array" ref="BY17">IF(AND(BY$2&lt;&gt;0,#REF!&gt;=BY$2),1,0)</f>
        <v>#REF!</v>
      </c>
      <c r="BZ17" s="270" t="e">
        <f t="array" ref="BZ17">IF(AND(BZ$2&lt;&gt;0,#REF!&gt;=BZ$2),1,0)</f>
        <v>#REF!</v>
      </c>
      <c r="CA17" s="359">
        <f>IFERROR(INDEX($H$4:$H$79,MATCH(INDEX(#REF!,1,MATCH(#REF!,$M$2:$BZ$2,0)),$G$4:$G$79,0)),)</f>
        <v>0</v>
      </c>
    </row>
    <row r="18" spans="1:79" x14ac:dyDescent="0.25">
      <c r="A18" s="262" t="e">
        <f>#REF!</f>
        <v>#REF!</v>
      </c>
      <c r="B18" s="263" t="e">
        <f>#REF!</f>
        <v>#REF!</v>
      </c>
      <c r="C18" s="264" t="e">
        <f>#REF!</f>
        <v>#REF!</v>
      </c>
      <c r="D18" s="264" t="e">
        <f>#REF!</f>
        <v>#REF!</v>
      </c>
      <c r="E18" s="265"/>
      <c r="F18" s="266"/>
      <c r="G18" s="267" t="s">
        <v>555</v>
      </c>
      <c r="H18" s="268" t="s">
        <v>693</v>
      </c>
      <c r="I18" s="267" t="s">
        <v>1100</v>
      </c>
      <c r="J18" s="263"/>
      <c r="K18" s="89" t="e">
        <f ca="1">IF(#REF!&lt;&gt;OFFSET(#REF!,-1,0),1,0)</f>
        <v>#REF!</v>
      </c>
      <c r="L18" s="269" t="e">
        <f>COUNTIF(#REF!,1)</f>
        <v>#REF!</v>
      </c>
      <c r="M18" s="270" t="e">
        <f t="array" ref="M18">IF(AND(M$2&lt;&gt;0,#REF!&gt;=M$2),1,0)</f>
        <v>#REF!</v>
      </c>
      <c r="N18" s="270" t="e">
        <f t="array" ref="N18">IF(AND(N$2&lt;&gt;0,#REF!&gt;=N$2),1,0)</f>
        <v>#REF!</v>
      </c>
      <c r="O18" s="270" t="e">
        <f t="array" ref="O18">IF(AND(O$2&lt;&gt;0,#REF!&gt;=O$2),1,0)</f>
        <v>#REF!</v>
      </c>
      <c r="P18" s="270" t="e">
        <f t="array" ref="P18">IF(AND(P$2&lt;&gt;0,#REF!&gt;=P$2),1,0)</f>
        <v>#REF!</v>
      </c>
      <c r="Q18" s="270" t="e">
        <f t="array" ref="Q18">IF(AND(Q$2&lt;&gt;0,#REF!&gt;=Q$2),1,0)</f>
        <v>#REF!</v>
      </c>
      <c r="R18" s="270" t="e">
        <f t="array" ref="R18">IF(AND(R$2&lt;&gt;0,#REF!&gt;=R$2),1,0)</f>
        <v>#REF!</v>
      </c>
      <c r="S18" s="270" t="e">
        <f t="array" ref="S18">IF(AND(S$2&lt;&gt;0,#REF!&gt;=S$2),1,0)</f>
        <v>#REF!</v>
      </c>
      <c r="T18" s="270" t="e">
        <f t="array" ref="T18">IF(AND(T$2&lt;&gt;0,#REF!&gt;=T$2),1,0)</f>
        <v>#REF!</v>
      </c>
      <c r="U18" s="270" t="e">
        <f t="array" ref="U18">IF(AND(U$2&lt;&gt;0,#REF!&gt;=U$2),1,0)</f>
        <v>#REF!</v>
      </c>
      <c r="V18" s="270" t="e">
        <f t="array" ref="V18">IF(AND(V$2&lt;&gt;0,#REF!&gt;=V$2),1,0)</f>
        <v>#REF!</v>
      </c>
      <c r="W18" s="270" t="e">
        <f t="array" ref="W18">IF(AND(W$2&lt;&gt;0,#REF!&gt;=W$2),1,0)</f>
        <v>#REF!</v>
      </c>
      <c r="X18" s="270" t="e">
        <f t="array" ref="X18">IF(AND(X$2&lt;&gt;0,#REF!&gt;=X$2),1,0)</f>
        <v>#REF!</v>
      </c>
      <c r="Y18" s="270" t="e">
        <f t="array" ref="Y18">IF(AND(Y$2&lt;&gt;0,#REF!&gt;=Y$2),1,0)</f>
        <v>#REF!</v>
      </c>
      <c r="Z18" s="270" t="e">
        <f t="array" ref="Z18">IF(AND(Z$2&lt;&gt;0,#REF!&gt;=Z$2),1,0)</f>
        <v>#REF!</v>
      </c>
      <c r="AA18" s="270" t="e">
        <f t="array" ref="AA18">IF(AND(AA$2&lt;&gt;0,#REF!&gt;=AA$2),1,0)</f>
        <v>#REF!</v>
      </c>
      <c r="AB18" s="270" t="e">
        <f t="array" ref="AB18">IF(AND(AB$2&lt;&gt;0,#REF!&gt;=AB$2),1,0)</f>
        <v>#REF!</v>
      </c>
      <c r="AC18" s="270" t="e">
        <f t="array" ref="AC18">IF(AND(AC$2&lt;&gt;0,#REF!&gt;=AC$2),1,0)</f>
        <v>#REF!</v>
      </c>
      <c r="AD18" s="270" t="e">
        <f t="array" ref="AD18">IF(AND(AD$2&lt;&gt;0,#REF!&gt;=AD$2),1,0)</f>
        <v>#REF!</v>
      </c>
      <c r="AE18" s="270" t="e">
        <f t="array" ref="AE18">IF(AND(AE$2&lt;&gt;0,#REF!&gt;=AE$2),1,0)</f>
        <v>#REF!</v>
      </c>
      <c r="AF18" s="270" t="e">
        <f t="array" ref="AF18">IF(AND(AF$2&lt;&gt;0,#REF!&gt;=AF$2),1,0)</f>
        <v>#REF!</v>
      </c>
      <c r="AG18" s="270" t="e">
        <f t="array" ref="AG18">IF(AND(AG$2&lt;&gt;0,#REF!&gt;=AG$2),1,0)</f>
        <v>#REF!</v>
      </c>
      <c r="AH18" s="270" t="e">
        <f t="array" ref="AH18">IF(AND(AH$2&lt;&gt;0,#REF!&gt;=AH$2),1,0)</f>
        <v>#REF!</v>
      </c>
      <c r="AI18" s="270" t="e">
        <f t="array" ref="AI18">IF(AND(AI$2&lt;&gt;0,#REF!&gt;=AI$2),1,0)</f>
        <v>#REF!</v>
      </c>
      <c r="AJ18" s="270" t="e">
        <f t="array" ref="AJ18">IF(AND(AJ$2&lt;&gt;0,#REF!&gt;=AJ$2),1,0)</f>
        <v>#REF!</v>
      </c>
      <c r="AK18" s="270" t="e">
        <f t="array" ref="AK18">IF(AND(AK$2&lt;&gt;0,#REF!&gt;=AK$2),1,0)</f>
        <v>#REF!</v>
      </c>
      <c r="AL18" s="270" t="e">
        <f t="array" ref="AL18">IF(AND(AL$2&lt;&gt;0,#REF!&gt;=AL$2),1,0)</f>
        <v>#REF!</v>
      </c>
      <c r="AM18" s="270" t="e">
        <f t="array" ref="AM18">IF(AND(AM$2&lt;&gt;0,#REF!&gt;=AM$2),1,0)</f>
        <v>#REF!</v>
      </c>
      <c r="AN18" s="270" t="e">
        <f t="array" ref="AN18">IF(AND(AN$2&lt;&gt;0,#REF!&gt;=AN$2),1,0)</f>
        <v>#REF!</v>
      </c>
      <c r="AO18" s="270" t="e">
        <f t="array" ref="AO18">IF(AND(AO$2&lt;&gt;0,#REF!&gt;=AO$2),1,0)</f>
        <v>#REF!</v>
      </c>
      <c r="AP18" s="270" t="e">
        <f t="array" ref="AP18">IF(AND(AP$2&lt;&gt;0,#REF!&gt;=AP$2),1,0)</f>
        <v>#REF!</v>
      </c>
      <c r="AQ18" s="270" t="e">
        <f t="array" ref="AQ18">IF(AND(AQ$2&lt;&gt;0,#REF!&gt;=AQ$2),1,0)</f>
        <v>#REF!</v>
      </c>
      <c r="AR18" s="270" t="e">
        <f t="array" ref="AR18">IF(AND(AR$2&lt;&gt;0,#REF!&gt;=AR$2),1,0)</f>
        <v>#REF!</v>
      </c>
      <c r="AS18" s="270" t="e">
        <f t="array" ref="AS18">IF(AND(AS$2&lt;&gt;0,#REF!&gt;=AS$2),1,0)</f>
        <v>#REF!</v>
      </c>
      <c r="AT18" s="270" t="e">
        <f t="array" ref="AT18">IF(AND(AT$2&lt;&gt;0,#REF!&gt;=AT$2),1,0)</f>
        <v>#REF!</v>
      </c>
      <c r="AU18" s="270" t="e">
        <f t="array" ref="AU18">IF(AND(AU$2&lt;&gt;0,#REF!&gt;=AU$2),1,0)</f>
        <v>#REF!</v>
      </c>
      <c r="AV18" s="270" t="e">
        <f t="array" ref="AV18">IF(AND(AV$2&lt;&gt;0,#REF!&gt;=AV$2),1,0)</f>
        <v>#REF!</v>
      </c>
      <c r="AW18" s="270" t="e">
        <f t="array" ref="AW18">IF(AND(AW$2&lt;&gt;0,#REF!&gt;=AW$2),1,0)</f>
        <v>#REF!</v>
      </c>
      <c r="AX18" s="270" t="e">
        <f t="array" ref="AX18">IF(AND(AX$2&lt;&gt;0,#REF!&gt;=AX$2),1,0)</f>
        <v>#REF!</v>
      </c>
      <c r="AY18" s="270" t="e">
        <f t="array" ref="AY18">IF(AND(AY$2&lt;&gt;0,#REF!&gt;=AY$2),1,0)</f>
        <v>#REF!</v>
      </c>
      <c r="AZ18" s="270" t="e">
        <f t="array" ref="AZ18">IF(AND(AZ$2&lt;&gt;0,#REF!&gt;=AZ$2),1,0)</f>
        <v>#REF!</v>
      </c>
      <c r="BA18" s="270" t="e">
        <f t="array" ref="BA18">IF(AND(BA$2&lt;&gt;0,#REF!&gt;=BA$2),1,0)</f>
        <v>#REF!</v>
      </c>
      <c r="BB18" s="270" t="e">
        <f t="array" ref="BB18">IF(AND(BB$2&lt;&gt;0,#REF!&gt;=BB$2),1,0)</f>
        <v>#REF!</v>
      </c>
      <c r="BC18" s="270" t="e">
        <f t="array" ref="BC18">IF(AND(BC$2&lt;&gt;0,#REF!&gt;=BC$2),1,0)</f>
        <v>#REF!</v>
      </c>
      <c r="BD18" s="270" t="e">
        <f t="array" ref="BD18">IF(AND(BD$2&lt;&gt;0,#REF!&gt;=BD$2),1,0)</f>
        <v>#REF!</v>
      </c>
      <c r="BE18" s="270" t="e">
        <f t="array" ref="BE18">IF(AND(BE$2&lt;&gt;0,#REF!&gt;=BE$2),1,0)</f>
        <v>#REF!</v>
      </c>
      <c r="BF18" s="270" t="e">
        <f t="array" ref="BF18">IF(AND(BF$2&lt;&gt;0,#REF!&gt;=BF$2),1,0)</f>
        <v>#REF!</v>
      </c>
      <c r="BG18" s="270" t="e">
        <f t="array" ref="BG18">IF(AND(BG$2&lt;&gt;0,#REF!&gt;=BG$2),1,0)</f>
        <v>#REF!</v>
      </c>
      <c r="BH18" s="270" t="e">
        <f t="array" ref="BH18">IF(AND(BH$2&lt;&gt;0,#REF!&gt;=BH$2),1,0)</f>
        <v>#REF!</v>
      </c>
      <c r="BI18" s="270" t="e">
        <f t="array" ref="BI18">IF(AND(BI$2&lt;&gt;0,#REF!&gt;=BI$2),1,0)</f>
        <v>#REF!</v>
      </c>
      <c r="BJ18" s="270" t="e">
        <f t="array" ref="BJ18">IF(AND(BJ$2&lt;&gt;0,#REF!&gt;=BJ$2),1,0)</f>
        <v>#REF!</v>
      </c>
      <c r="BK18" s="270" t="e">
        <f t="array" ref="BK18">IF(AND(BK$2&lt;&gt;0,#REF!&gt;=BK$2),1,0)</f>
        <v>#REF!</v>
      </c>
      <c r="BL18" s="270" t="e">
        <f t="array" ref="BL18">IF(AND(BL$2&lt;&gt;0,#REF!&gt;=BL$2),1,0)</f>
        <v>#REF!</v>
      </c>
      <c r="BM18" s="270" t="e">
        <f t="array" ref="BM18">IF(AND(BM$2&lt;&gt;0,#REF!&gt;=BM$2),1,0)</f>
        <v>#REF!</v>
      </c>
      <c r="BN18" s="270" t="e">
        <f t="array" ref="BN18">IF(AND(BN$2&lt;&gt;0,#REF!&gt;=BN$2),1,0)</f>
        <v>#REF!</v>
      </c>
      <c r="BO18" s="270" t="e">
        <f t="array" ref="BO18">IF(AND(BO$2&lt;&gt;0,#REF!&gt;=BO$2),1,0)</f>
        <v>#REF!</v>
      </c>
      <c r="BP18" s="270" t="e">
        <f t="array" ref="BP18">IF(AND(BP$2&lt;&gt;0,#REF!&gt;=BP$2),1,0)</f>
        <v>#REF!</v>
      </c>
      <c r="BQ18" s="270" t="e">
        <f t="array" ref="BQ18">IF(AND(BQ$2&lt;&gt;0,#REF!&gt;=BQ$2),1,0)</f>
        <v>#REF!</v>
      </c>
      <c r="BR18" s="270" t="e">
        <f t="array" ref="BR18">IF(AND(BR$2&lt;&gt;0,#REF!&gt;=BR$2),1,0)</f>
        <v>#REF!</v>
      </c>
      <c r="BS18" s="270" t="e">
        <f t="array" ref="BS18">IF(AND(BS$2&lt;&gt;0,#REF!&gt;=BS$2),1,0)</f>
        <v>#REF!</v>
      </c>
      <c r="BT18" s="270" t="e">
        <f t="array" ref="BT18">IF(AND(BT$2&lt;&gt;0,#REF!&gt;=BT$2),1,0)</f>
        <v>#REF!</v>
      </c>
      <c r="BU18" s="270" t="e">
        <f t="array" ref="BU18">IF(AND(BU$2&lt;&gt;0,#REF!&gt;=BU$2),1,0)</f>
        <v>#REF!</v>
      </c>
      <c r="BV18" s="270" t="e">
        <f t="array" ref="BV18">IF(AND(BV$2&lt;&gt;0,#REF!&gt;=BV$2),1,0)</f>
        <v>#REF!</v>
      </c>
      <c r="BW18" s="270" t="e">
        <f t="array" ref="BW18">IF(AND(BW$2&lt;&gt;0,#REF!&gt;=BW$2),1,0)</f>
        <v>#REF!</v>
      </c>
      <c r="BX18" s="270" t="e">
        <f t="array" ref="BX18">IF(AND(BX$2&lt;&gt;0,#REF!&gt;=BX$2),1,0)</f>
        <v>#REF!</v>
      </c>
      <c r="BY18" s="270" t="e">
        <f t="array" ref="BY18">IF(AND(BY$2&lt;&gt;0,#REF!&gt;=BY$2),1,0)</f>
        <v>#REF!</v>
      </c>
      <c r="BZ18" s="270" t="e">
        <f t="array" ref="BZ18">IF(AND(BZ$2&lt;&gt;0,#REF!&gt;=BZ$2),1,0)</f>
        <v>#REF!</v>
      </c>
      <c r="CA18" s="359">
        <f>IFERROR(INDEX($H$4:$H$79,MATCH(INDEX(#REF!,1,MATCH(#REF!,$M$2:$BZ$2,0)),$G$4:$G$79,0)),)</f>
        <v>0</v>
      </c>
    </row>
    <row r="19" spans="1:79" x14ac:dyDescent="0.25">
      <c r="A19" s="262" t="e">
        <f>#REF!</f>
        <v>#REF!</v>
      </c>
      <c r="B19" s="263" t="e">
        <f>#REF!</f>
        <v>#REF!</v>
      </c>
      <c r="C19" s="264" t="e">
        <f>#REF!</f>
        <v>#REF!</v>
      </c>
      <c r="D19" s="264" t="e">
        <f>#REF!</f>
        <v>#REF!</v>
      </c>
      <c r="E19" s="265"/>
      <c r="F19" s="266"/>
      <c r="G19" s="267" t="s">
        <v>557</v>
      </c>
      <c r="H19" s="268" t="s">
        <v>694</v>
      </c>
      <c r="I19" s="267" t="s">
        <v>1106</v>
      </c>
      <c r="J19" s="263"/>
      <c r="K19" s="89" t="e">
        <f ca="1">IF(#REF!&lt;&gt;OFFSET(#REF!,-1,0),1,0)</f>
        <v>#REF!</v>
      </c>
      <c r="L19" s="269" t="e">
        <f>COUNTIF(#REF!,1)</f>
        <v>#REF!</v>
      </c>
      <c r="M19" s="270" t="e">
        <f t="array" ref="M19">IF(AND(M$2&lt;&gt;0,#REF!&gt;=M$2),1,0)</f>
        <v>#REF!</v>
      </c>
      <c r="N19" s="270" t="e">
        <f t="array" ref="N19">IF(AND(N$2&lt;&gt;0,#REF!&gt;=N$2),1,0)</f>
        <v>#REF!</v>
      </c>
      <c r="O19" s="270" t="e">
        <f t="array" ref="O19">IF(AND(O$2&lt;&gt;0,#REF!&gt;=O$2),1,0)</f>
        <v>#REF!</v>
      </c>
      <c r="P19" s="270" t="e">
        <f t="array" ref="P19">IF(AND(P$2&lt;&gt;0,#REF!&gt;=P$2),1,0)</f>
        <v>#REF!</v>
      </c>
      <c r="Q19" s="270" t="e">
        <f t="array" ref="Q19">IF(AND(Q$2&lt;&gt;0,#REF!&gt;=Q$2),1,0)</f>
        <v>#REF!</v>
      </c>
      <c r="R19" s="270" t="e">
        <f t="array" ref="R19">IF(AND(R$2&lt;&gt;0,#REF!&gt;=R$2),1,0)</f>
        <v>#REF!</v>
      </c>
      <c r="S19" s="270" t="e">
        <f t="array" ref="S19">IF(AND(S$2&lt;&gt;0,#REF!&gt;=S$2),1,0)</f>
        <v>#REF!</v>
      </c>
      <c r="T19" s="270" t="e">
        <f t="array" ref="T19">IF(AND(T$2&lt;&gt;0,#REF!&gt;=T$2),1,0)</f>
        <v>#REF!</v>
      </c>
      <c r="U19" s="270" t="e">
        <f t="array" ref="U19">IF(AND(U$2&lt;&gt;0,#REF!&gt;=U$2),1,0)</f>
        <v>#REF!</v>
      </c>
      <c r="V19" s="270" t="e">
        <f t="array" ref="V19">IF(AND(V$2&lt;&gt;0,#REF!&gt;=V$2),1,0)</f>
        <v>#REF!</v>
      </c>
      <c r="W19" s="270" t="e">
        <f t="array" ref="W19">IF(AND(W$2&lt;&gt;0,#REF!&gt;=W$2),1,0)</f>
        <v>#REF!</v>
      </c>
      <c r="X19" s="270" t="e">
        <f t="array" ref="X19">IF(AND(X$2&lt;&gt;0,#REF!&gt;=X$2),1,0)</f>
        <v>#REF!</v>
      </c>
      <c r="Y19" s="270" t="e">
        <f t="array" ref="Y19">IF(AND(Y$2&lt;&gt;0,#REF!&gt;=Y$2),1,0)</f>
        <v>#REF!</v>
      </c>
      <c r="Z19" s="270" t="e">
        <f t="array" ref="Z19">IF(AND(Z$2&lt;&gt;0,#REF!&gt;=Z$2),1,0)</f>
        <v>#REF!</v>
      </c>
      <c r="AA19" s="270" t="e">
        <f t="array" ref="AA19">IF(AND(AA$2&lt;&gt;0,#REF!&gt;=AA$2),1,0)</f>
        <v>#REF!</v>
      </c>
      <c r="AB19" s="270" t="e">
        <f t="array" ref="AB19">IF(AND(AB$2&lt;&gt;0,#REF!&gt;=AB$2),1,0)</f>
        <v>#REF!</v>
      </c>
      <c r="AC19" s="270" t="e">
        <f t="array" ref="AC19">IF(AND(AC$2&lt;&gt;0,#REF!&gt;=AC$2),1,0)</f>
        <v>#REF!</v>
      </c>
      <c r="AD19" s="270" t="e">
        <f t="array" ref="AD19">IF(AND(AD$2&lt;&gt;0,#REF!&gt;=AD$2),1,0)</f>
        <v>#REF!</v>
      </c>
      <c r="AE19" s="270" t="e">
        <f t="array" ref="AE19">IF(AND(AE$2&lt;&gt;0,#REF!&gt;=AE$2),1,0)</f>
        <v>#REF!</v>
      </c>
      <c r="AF19" s="270" t="e">
        <f t="array" ref="AF19">IF(AND(AF$2&lt;&gt;0,#REF!&gt;=AF$2),1,0)</f>
        <v>#REF!</v>
      </c>
      <c r="AG19" s="270" t="e">
        <f t="array" ref="AG19">IF(AND(AG$2&lt;&gt;0,#REF!&gt;=AG$2),1,0)</f>
        <v>#REF!</v>
      </c>
      <c r="AH19" s="270" t="e">
        <f t="array" ref="AH19">IF(AND(AH$2&lt;&gt;0,#REF!&gt;=AH$2),1,0)</f>
        <v>#REF!</v>
      </c>
      <c r="AI19" s="270" t="e">
        <f t="array" ref="AI19">IF(AND(AI$2&lt;&gt;0,#REF!&gt;=AI$2),1,0)</f>
        <v>#REF!</v>
      </c>
      <c r="AJ19" s="270" t="e">
        <f t="array" ref="AJ19">IF(AND(AJ$2&lt;&gt;0,#REF!&gt;=AJ$2),1,0)</f>
        <v>#REF!</v>
      </c>
      <c r="AK19" s="270" t="e">
        <f t="array" ref="AK19">IF(AND(AK$2&lt;&gt;0,#REF!&gt;=AK$2),1,0)</f>
        <v>#REF!</v>
      </c>
      <c r="AL19" s="270" t="e">
        <f t="array" ref="AL19">IF(AND(AL$2&lt;&gt;0,#REF!&gt;=AL$2),1,0)</f>
        <v>#REF!</v>
      </c>
      <c r="AM19" s="270" t="e">
        <f t="array" ref="AM19">IF(AND(AM$2&lt;&gt;0,#REF!&gt;=AM$2),1,0)</f>
        <v>#REF!</v>
      </c>
      <c r="AN19" s="270" t="e">
        <f t="array" ref="AN19">IF(AND(AN$2&lt;&gt;0,#REF!&gt;=AN$2),1,0)</f>
        <v>#REF!</v>
      </c>
      <c r="AO19" s="270" t="e">
        <f t="array" ref="AO19">IF(AND(AO$2&lt;&gt;0,#REF!&gt;=AO$2),1,0)</f>
        <v>#REF!</v>
      </c>
      <c r="AP19" s="270" t="e">
        <f t="array" ref="AP19">IF(AND(AP$2&lt;&gt;0,#REF!&gt;=AP$2),1,0)</f>
        <v>#REF!</v>
      </c>
      <c r="AQ19" s="270" t="e">
        <f t="array" ref="AQ19">IF(AND(AQ$2&lt;&gt;0,#REF!&gt;=AQ$2),1,0)</f>
        <v>#REF!</v>
      </c>
      <c r="AR19" s="270" t="e">
        <f t="array" ref="AR19">IF(AND(AR$2&lt;&gt;0,#REF!&gt;=AR$2),1,0)</f>
        <v>#REF!</v>
      </c>
      <c r="AS19" s="270" t="e">
        <f t="array" ref="AS19">IF(AND(AS$2&lt;&gt;0,#REF!&gt;=AS$2),1,0)</f>
        <v>#REF!</v>
      </c>
      <c r="AT19" s="270" t="e">
        <f t="array" ref="AT19">IF(AND(AT$2&lt;&gt;0,#REF!&gt;=AT$2),1,0)</f>
        <v>#REF!</v>
      </c>
      <c r="AU19" s="270" t="e">
        <f t="array" ref="AU19">IF(AND(AU$2&lt;&gt;0,#REF!&gt;=AU$2),1,0)</f>
        <v>#REF!</v>
      </c>
      <c r="AV19" s="270" t="e">
        <f t="array" ref="AV19">IF(AND(AV$2&lt;&gt;0,#REF!&gt;=AV$2),1,0)</f>
        <v>#REF!</v>
      </c>
      <c r="AW19" s="270" t="e">
        <f t="array" ref="AW19">IF(AND(AW$2&lt;&gt;0,#REF!&gt;=AW$2),1,0)</f>
        <v>#REF!</v>
      </c>
      <c r="AX19" s="270" t="e">
        <f t="array" ref="AX19">IF(AND(AX$2&lt;&gt;0,#REF!&gt;=AX$2),1,0)</f>
        <v>#REF!</v>
      </c>
      <c r="AY19" s="270" t="e">
        <f t="array" ref="AY19">IF(AND(AY$2&lt;&gt;0,#REF!&gt;=AY$2),1,0)</f>
        <v>#REF!</v>
      </c>
      <c r="AZ19" s="270" t="e">
        <f t="array" ref="AZ19">IF(AND(AZ$2&lt;&gt;0,#REF!&gt;=AZ$2),1,0)</f>
        <v>#REF!</v>
      </c>
      <c r="BA19" s="270" t="e">
        <f t="array" ref="BA19">IF(AND(BA$2&lt;&gt;0,#REF!&gt;=BA$2),1,0)</f>
        <v>#REF!</v>
      </c>
      <c r="BB19" s="270" t="e">
        <f t="array" ref="BB19">IF(AND(BB$2&lt;&gt;0,#REF!&gt;=BB$2),1,0)</f>
        <v>#REF!</v>
      </c>
      <c r="BC19" s="270" t="e">
        <f t="array" ref="BC19">IF(AND(BC$2&lt;&gt;0,#REF!&gt;=BC$2),1,0)</f>
        <v>#REF!</v>
      </c>
      <c r="BD19" s="270" t="e">
        <f t="array" ref="BD19">IF(AND(BD$2&lt;&gt;0,#REF!&gt;=BD$2),1,0)</f>
        <v>#REF!</v>
      </c>
      <c r="BE19" s="270" t="e">
        <f t="array" ref="BE19">IF(AND(BE$2&lt;&gt;0,#REF!&gt;=BE$2),1,0)</f>
        <v>#REF!</v>
      </c>
      <c r="BF19" s="270" t="e">
        <f t="array" ref="BF19">IF(AND(BF$2&lt;&gt;0,#REF!&gt;=BF$2),1,0)</f>
        <v>#REF!</v>
      </c>
      <c r="BG19" s="270" t="e">
        <f t="array" ref="BG19">IF(AND(BG$2&lt;&gt;0,#REF!&gt;=BG$2),1,0)</f>
        <v>#REF!</v>
      </c>
      <c r="BH19" s="270" t="e">
        <f t="array" ref="BH19">IF(AND(BH$2&lt;&gt;0,#REF!&gt;=BH$2),1,0)</f>
        <v>#REF!</v>
      </c>
      <c r="BI19" s="270" t="e">
        <f t="array" ref="BI19">IF(AND(BI$2&lt;&gt;0,#REF!&gt;=BI$2),1,0)</f>
        <v>#REF!</v>
      </c>
      <c r="BJ19" s="270" t="e">
        <f t="array" ref="BJ19">IF(AND(BJ$2&lt;&gt;0,#REF!&gt;=BJ$2),1,0)</f>
        <v>#REF!</v>
      </c>
      <c r="BK19" s="270" t="e">
        <f t="array" ref="BK19">IF(AND(BK$2&lt;&gt;0,#REF!&gt;=BK$2),1,0)</f>
        <v>#REF!</v>
      </c>
      <c r="BL19" s="270" t="e">
        <f t="array" ref="BL19">IF(AND(BL$2&lt;&gt;0,#REF!&gt;=BL$2),1,0)</f>
        <v>#REF!</v>
      </c>
      <c r="BM19" s="270" t="e">
        <f t="array" ref="BM19">IF(AND(BM$2&lt;&gt;0,#REF!&gt;=BM$2),1,0)</f>
        <v>#REF!</v>
      </c>
      <c r="BN19" s="270" t="e">
        <f t="array" ref="BN19">IF(AND(BN$2&lt;&gt;0,#REF!&gt;=BN$2),1,0)</f>
        <v>#REF!</v>
      </c>
      <c r="BO19" s="270" t="e">
        <f t="array" ref="BO19">IF(AND(BO$2&lt;&gt;0,#REF!&gt;=BO$2),1,0)</f>
        <v>#REF!</v>
      </c>
      <c r="BP19" s="270" t="e">
        <f t="array" ref="BP19">IF(AND(BP$2&lt;&gt;0,#REF!&gt;=BP$2),1,0)</f>
        <v>#REF!</v>
      </c>
      <c r="BQ19" s="270" t="e">
        <f t="array" ref="BQ19">IF(AND(BQ$2&lt;&gt;0,#REF!&gt;=BQ$2),1,0)</f>
        <v>#REF!</v>
      </c>
      <c r="BR19" s="270" t="e">
        <f t="array" ref="BR19">IF(AND(BR$2&lt;&gt;0,#REF!&gt;=BR$2),1,0)</f>
        <v>#REF!</v>
      </c>
      <c r="BS19" s="270" t="e">
        <f t="array" ref="BS19">IF(AND(BS$2&lt;&gt;0,#REF!&gt;=BS$2),1,0)</f>
        <v>#REF!</v>
      </c>
      <c r="BT19" s="270" t="e">
        <f t="array" ref="BT19">IF(AND(BT$2&lt;&gt;0,#REF!&gt;=BT$2),1,0)</f>
        <v>#REF!</v>
      </c>
      <c r="BU19" s="270" t="e">
        <f t="array" ref="BU19">IF(AND(BU$2&lt;&gt;0,#REF!&gt;=BU$2),1,0)</f>
        <v>#REF!</v>
      </c>
      <c r="BV19" s="270" t="e">
        <f t="array" ref="BV19">IF(AND(BV$2&lt;&gt;0,#REF!&gt;=BV$2),1,0)</f>
        <v>#REF!</v>
      </c>
      <c r="BW19" s="270" t="e">
        <f t="array" ref="BW19">IF(AND(BW$2&lt;&gt;0,#REF!&gt;=BW$2),1,0)</f>
        <v>#REF!</v>
      </c>
      <c r="BX19" s="270" t="e">
        <f t="array" ref="BX19">IF(AND(BX$2&lt;&gt;0,#REF!&gt;=BX$2),1,0)</f>
        <v>#REF!</v>
      </c>
      <c r="BY19" s="270" t="e">
        <f t="array" ref="BY19">IF(AND(BY$2&lt;&gt;0,#REF!&gt;=BY$2),1,0)</f>
        <v>#REF!</v>
      </c>
      <c r="BZ19" s="270" t="e">
        <f t="array" ref="BZ19">IF(AND(BZ$2&lt;&gt;0,#REF!&gt;=BZ$2),1,0)</f>
        <v>#REF!</v>
      </c>
      <c r="CA19" s="359">
        <f>IFERROR(INDEX($H$4:$H$79,MATCH(INDEX(#REF!,1,MATCH(#REF!,$M$2:$BZ$2,0)),$G$4:$G$79,0)),)</f>
        <v>0</v>
      </c>
    </row>
    <row r="20" spans="1:79" x14ac:dyDescent="0.25">
      <c r="A20" s="262" t="e">
        <f>#REF!</f>
        <v>#REF!</v>
      </c>
      <c r="B20" s="263" t="e">
        <f>#REF!</f>
        <v>#REF!</v>
      </c>
      <c r="C20" s="264" t="e">
        <f>#REF!</f>
        <v>#REF!</v>
      </c>
      <c r="D20" s="264" t="e">
        <f>#REF!</f>
        <v>#REF!</v>
      </c>
      <c r="E20" s="265"/>
      <c r="F20" s="266"/>
      <c r="G20" s="267" t="s">
        <v>558</v>
      </c>
      <c r="H20" s="268" t="s">
        <v>695</v>
      </c>
      <c r="I20" s="267" t="s">
        <v>1054</v>
      </c>
      <c r="J20" s="263"/>
      <c r="K20" s="89" t="e">
        <f ca="1">IF(#REF!&lt;&gt;OFFSET(#REF!,-1,0),1,0)</f>
        <v>#REF!</v>
      </c>
      <c r="L20" s="269" t="e">
        <f>COUNTIF(#REF!,1)</f>
        <v>#REF!</v>
      </c>
      <c r="M20" s="270" t="e">
        <f t="array" ref="M20">IF(AND(M$2&lt;&gt;0,#REF!&gt;=M$2),1,0)</f>
        <v>#REF!</v>
      </c>
      <c r="N20" s="270" t="e">
        <f t="array" ref="N20">IF(AND(N$2&lt;&gt;0,#REF!&gt;=N$2),1,0)</f>
        <v>#REF!</v>
      </c>
      <c r="O20" s="270" t="e">
        <f t="array" ref="O20">IF(AND(O$2&lt;&gt;0,#REF!&gt;=O$2),1,0)</f>
        <v>#REF!</v>
      </c>
      <c r="P20" s="270" t="e">
        <f t="array" ref="P20">IF(AND(P$2&lt;&gt;0,#REF!&gt;=P$2),1,0)</f>
        <v>#REF!</v>
      </c>
      <c r="Q20" s="270" t="e">
        <f t="array" ref="Q20">IF(AND(Q$2&lt;&gt;0,#REF!&gt;=Q$2),1,0)</f>
        <v>#REF!</v>
      </c>
      <c r="R20" s="270" t="e">
        <f t="array" ref="R20">IF(AND(R$2&lt;&gt;0,#REF!&gt;=R$2),1,0)</f>
        <v>#REF!</v>
      </c>
      <c r="S20" s="270" t="e">
        <f t="array" ref="S20">IF(AND(S$2&lt;&gt;0,#REF!&gt;=S$2),1,0)</f>
        <v>#REF!</v>
      </c>
      <c r="T20" s="270" t="e">
        <f t="array" ref="T20">IF(AND(T$2&lt;&gt;0,#REF!&gt;=T$2),1,0)</f>
        <v>#REF!</v>
      </c>
      <c r="U20" s="270" t="e">
        <f t="array" ref="U20">IF(AND(U$2&lt;&gt;0,#REF!&gt;=U$2),1,0)</f>
        <v>#REF!</v>
      </c>
      <c r="V20" s="270" t="e">
        <f t="array" ref="V20">IF(AND(V$2&lt;&gt;0,#REF!&gt;=V$2),1,0)</f>
        <v>#REF!</v>
      </c>
      <c r="W20" s="270" t="e">
        <f t="array" ref="W20">IF(AND(W$2&lt;&gt;0,#REF!&gt;=W$2),1,0)</f>
        <v>#REF!</v>
      </c>
      <c r="X20" s="270" t="e">
        <f t="array" ref="X20">IF(AND(X$2&lt;&gt;0,#REF!&gt;=X$2),1,0)</f>
        <v>#REF!</v>
      </c>
      <c r="Y20" s="270" t="e">
        <f t="array" ref="Y20">IF(AND(Y$2&lt;&gt;0,#REF!&gt;=Y$2),1,0)</f>
        <v>#REF!</v>
      </c>
      <c r="Z20" s="270" t="e">
        <f t="array" ref="Z20">IF(AND(Z$2&lt;&gt;0,#REF!&gt;=Z$2),1,0)</f>
        <v>#REF!</v>
      </c>
      <c r="AA20" s="270" t="e">
        <f t="array" ref="AA20">IF(AND(AA$2&lt;&gt;0,#REF!&gt;=AA$2),1,0)</f>
        <v>#REF!</v>
      </c>
      <c r="AB20" s="270" t="e">
        <f t="array" ref="AB20">IF(AND(AB$2&lt;&gt;0,#REF!&gt;=AB$2),1,0)</f>
        <v>#REF!</v>
      </c>
      <c r="AC20" s="270" t="e">
        <f t="array" ref="AC20">IF(AND(AC$2&lt;&gt;0,#REF!&gt;=AC$2),1,0)</f>
        <v>#REF!</v>
      </c>
      <c r="AD20" s="270" t="e">
        <f t="array" ref="AD20">IF(AND(AD$2&lt;&gt;0,#REF!&gt;=AD$2),1,0)</f>
        <v>#REF!</v>
      </c>
      <c r="AE20" s="270" t="e">
        <f t="array" ref="AE20">IF(AND(AE$2&lt;&gt;0,#REF!&gt;=AE$2),1,0)</f>
        <v>#REF!</v>
      </c>
      <c r="AF20" s="270" t="e">
        <f t="array" ref="AF20">IF(AND(AF$2&lt;&gt;0,#REF!&gt;=AF$2),1,0)</f>
        <v>#REF!</v>
      </c>
      <c r="AG20" s="270" t="e">
        <f t="array" ref="AG20">IF(AND(AG$2&lt;&gt;0,#REF!&gt;=AG$2),1,0)</f>
        <v>#REF!</v>
      </c>
      <c r="AH20" s="270" t="e">
        <f t="array" ref="AH20">IF(AND(AH$2&lt;&gt;0,#REF!&gt;=AH$2),1,0)</f>
        <v>#REF!</v>
      </c>
      <c r="AI20" s="270" t="e">
        <f t="array" ref="AI20">IF(AND(AI$2&lt;&gt;0,#REF!&gt;=AI$2),1,0)</f>
        <v>#REF!</v>
      </c>
      <c r="AJ20" s="270" t="e">
        <f t="array" ref="AJ20">IF(AND(AJ$2&lt;&gt;0,#REF!&gt;=AJ$2),1,0)</f>
        <v>#REF!</v>
      </c>
      <c r="AK20" s="270" t="e">
        <f t="array" ref="AK20">IF(AND(AK$2&lt;&gt;0,#REF!&gt;=AK$2),1,0)</f>
        <v>#REF!</v>
      </c>
      <c r="AL20" s="270" t="e">
        <f t="array" ref="AL20">IF(AND(AL$2&lt;&gt;0,#REF!&gt;=AL$2),1,0)</f>
        <v>#REF!</v>
      </c>
      <c r="AM20" s="270" t="e">
        <f t="array" ref="AM20">IF(AND(AM$2&lt;&gt;0,#REF!&gt;=AM$2),1,0)</f>
        <v>#REF!</v>
      </c>
      <c r="AN20" s="270" t="e">
        <f t="array" ref="AN20">IF(AND(AN$2&lt;&gt;0,#REF!&gt;=AN$2),1,0)</f>
        <v>#REF!</v>
      </c>
      <c r="AO20" s="270" t="e">
        <f t="array" ref="AO20">IF(AND(AO$2&lt;&gt;0,#REF!&gt;=AO$2),1,0)</f>
        <v>#REF!</v>
      </c>
      <c r="AP20" s="270" t="e">
        <f t="array" ref="AP20">IF(AND(AP$2&lt;&gt;0,#REF!&gt;=AP$2),1,0)</f>
        <v>#REF!</v>
      </c>
      <c r="AQ20" s="270" t="e">
        <f t="array" ref="AQ20">IF(AND(AQ$2&lt;&gt;0,#REF!&gt;=AQ$2),1,0)</f>
        <v>#REF!</v>
      </c>
      <c r="AR20" s="270" t="e">
        <f t="array" ref="AR20">IF(AND(AR$2&lt;&gt;0,#REF!&gt;=AR$2),1,0)</f>
        <v>#REF!</v>
      </c>
      <c r="AS20" s="270" t="e">
        <f t="array" ref="AS20">IF(AND(AS$2&lt;&gt;0,#REF!&gt;=AS$2),1,0)</f>
        <v>#REF!</v>
      </c>
      <c r="AT20" s="270" t="e">
        <f t="array" ref="AT20">IF(AND(AT$2&lt;&gt;0,#REF!&gt;=AT$2),1,0)</f>
        <v>#REF!</v>
      </c>
      <c r="AU20" s="270" t="e">
        <f t="array" ref="AU20">IF(AND(AU$2&lt;&gt;0,#REF!&gt;=AU$2),1,0)</f>
        <v>#REF!</v>
      </c>
      <c r="AV20" s="270" t="e">
        <f t="array" ref="AV20">IF(AND(AV$2&lt;&gt;0,#REF!&gt;=AV$2),1,0)</f>
        <v>#REF!</v>
      </c>
      <c r="AW20" s="270" t="e">
        <f t="array" ref="AW20">IF(AND(AW$2&lt;&gt;0,#REF!&gt;=AW$2),1,0)</f>
        <v>#REF!</v>
      </c>
      <c r="AX20" s="270" t="e">
        <f t="array" ref="AX20">IF(AND(AX$2&lt;&gt;0,#REF!&gt;=AX$2),1,0)</f>
        <v>#REF!</v>
      </c>
      <c r="AY20" s="270" t="e">
        <f t="array" ref="AY20">IF(AND(AY$2&lt;&gt;0,#REF!&gt;=AY$2),1,0)</f>
        <v>#REF!</v>
      </c>
      <c r="AZ20" s="270" t="e">
        <f t="array" ref="AZ20">IF(AND(AZ$2&lt;&gt;0,#REF!&gt;=AZ$2),1,0)</f>
        <v>#REF!</v>
      </c>
      <c r="BA20" s="270" t="e">
        <f t="array" ref="BA20">IF(AND(BA$2&lt;&gt;0,#REF!&gt;=BA$2),1,0)</f>
        <v>#REF!</v>
      </c>
      <c r="BB20" s="270" t="e">
        <f t="array" ref="BB20">IF(AND(BB$2&lt;&gt;0,#REF!&gt;=BB$2),1,0)</f>
        <v>#REF!</v>
      </c>
      <c r="BC20" s="270" t="e">
        <f t="array" ref="BC20">IF(AND(BC$2&lt;&gt;0,#REF!&gt;=BC$2),1,0)</f>
        <v>#REF!</v>
      </c>
      <c r="BD20" s="270" t="e">
        <f t="array" ref="BD20">IF(AND(BD$2&lt;&gt;0,#REF!&gt;=BD$2),1,0)</f>
        <v>#REF!</v>
      </c>
      <c r="BE20" s="270" t="e">
        <f t="array" ref="BE20">IF(AND(BE$2&lt;&gt;0,#REF!&gt;=BE$2),1,0)</f>
        <v>#REF!</v>
      </c>
      <c r="BF20" s="270" t="e">
        <f t="array" ref="BF20">IF(AND(BF$2&lt;&gt;0,#REF!&gt;=BF$2),1,0)</f>
        <v>#REF!</v>
      </c>
      <c r="BG20" s="270" t="e">
        <f t="array" ref="BG20">IF(AND(BG$2&lt;&gt;0,#REF!&gt;=BG$2),1,0)</f>
        <v>#REF!</v>
      </c>
      <c r="BH20" s="270" t="e">
        <f t="array" ref="BH20">IF(AND(BH$2&lt;&gt;0,#REF!&gt;=BH$2),1,0)</f>
        <v>#REF!</v>
      </c>
      <c r="BI20" s="270" t="e">
        <f t="array" ref="BI20">IF(AND(BI$2&lt;&gt;0,#REF!&gt;=BI$2),1,0)</f>
        <v>#REF!</v>
      </c>
      <c r="BJ20" s="270" t="e">
        <f t="array" ref="BJ20">IF(AND(BJ$2&lt;&gt;0,#REF!&gt;=BJ$2),1,0)</f>
        <v>#REF!</v>
      </c>
      <c r="BK20" s="270" t="e">
        <f t="array" ref="BK20">IF(AND(BK$2&lt;&gt;0,#REF!&gt;=BK$2),1,0)</f>
        <v>#REF!</v>
      </c>
      <c r="BL20" s="270" t="e">
        <f t="array" ref="BL20">IF(AND(BL$2&lt;&gt;0,#REF!&gt;=BL$2),1,0)</f>
        <v>#REF!</v>
      </c>
      <c r="BM20" s="270" t="e">
        <f t="array" ref="BM20">IF(AND(BM$2&lt;&gt;0,#REF!&gt;=BM$2),1,0)</f>
        <v>#REF!</v>
      </c>
      <c r="BN20" s="270" t="e">
        <f t="array" ref="BN20">IF(AND(BN$2&lt;&gt;0,#REF!&gt;=BN$2),1,0)</f>
        <v>#REF!</v>
      </c>
      <c r="BO20" s="270" t="e">
        <f t="array" ref="BO20">IF(AND(BO$2&lt;&gt;0,#REF!&gt;=BO$2),1,0)</f>
        <v>#REF!</v>
      </c>
      <c r="BP20" s="270" t="e">
        <f t="array" ref="BP20">IF(AND(BP$2&lt;&gt;0,#REF!&gt;=BP$2),1,0)</f>
        <v>#REF!</v>
      </c>
      <c r="BQ20" s="270" t="e">
        <f t="array" ref="BQ20">IF(AND(BQ$2&lt;&gt;0,#REF!&gt;=BQ$2),1,0)</f>
        <v>#REF!</v>
      </c>
      <c r="BR20" s="270" t="e">
        <f t="array" ref="BR20">IF(AND(BR$2&lt;&gt;0,#REF!&gt;=BR$2),1,0)</f>
        <v>#REF!</v>
      </c>
      <c r="BS20" s="270" t="e">
        <f t="array" ref="BS20">IF(AND(BS$2&lt;&gt;0,#REF!&gt;=BS$2),1,0)</f>
        <v>#REF!</v>
      </c>
      <c r="BT20" s="270" t="e">
        <f t="array" ref="BT20">IF(AND(BT$2&lt;&gt;0,#REF!&gt;=BT$2),1,0)</f>
        <v>#REF!</v>
      </c>
      <c r="BU20" s="270" t="e">
        <f t="array" ref="BU20">IF(AND(BU$2&lt;&gt;0,#REF!&gt;=BU$2),1,0)</f>
        <v>#REF!</v>
      </c>
      <c r="BV20" s="270" t="e">
        <f t="array" ref="BV20">IF(AND(BV$2&lt;&gt;0,#REF!&gt;=BV$2),1,0)</f>
        <v>#REF!</v>
      </c>
      <c r="BW20" s="270" t="e">
        <f t="array" ref="BW20">IF(AND(BW$2&lt;&gt;0,#REF!&gt;=BW$2),1,0)</f>
        <v>#REF!</v>
      </c>
      <c r="BX20" s="270" t="e">
        <f t="array" ref="BX20">IF(AND(BX$2&lt;&gt;0,#REF!&gt;=BX$2),1,0)</f>
        <v>#REF!</v>
      </c>
      <c r="BY20" s="270" t="e">
        <f t="array" ref="BY20">IF(AND(BY$2&lt;&gt;0,#REF!&gt;=BY$2),1,0)</f>
        <v>#REF!</v>
      </c>
      <c r="BZ20" s="270" t="e">
        <f t="array" ref="BZ20">IF(AND(BZ$2&lt;&gt;0,#REF!&gt;=BZ$2),1,0)</f>
        <v>#REF!</v>
      </c>
      <c r="CA20" s="359">
        <f>IFERROR(INDEX($H$4:$H$79,MATCH(INDEX(#REF!,1,MATCH(#REF!,$M$2:$BZ$2,0)),$G$4:$G$79,0)),)</f>
        <v>0</v>
      </c>
    </row>
    <row r="21" spans="1:79" x14ac:dyDescent="0.25">
      <c r="A21" s="262" t="e">
        <f>#REF!</f>
        <v>#REF!</v>
      </c>
      <c r="B21" s="263" t="e">
        <f>#REF!</f>
        <v>#REF!</v>
      </c>
      <c r="C21" s="264" t="e">
        <f>#REF!</f>
        <v>#REF!</v>
      </c>
      <c r="D21" s="264" t="e">
        <f>#REF!</f>
        <v>#REF!</v>
      </c>
      <c r="E21" s="265"/>
      <c r="F21" s="266"/>
      <c r="G21" s="267" t="s">
        <v>559</v>
      </c>
      <c r="H21" s="268" t="s">
        <v>687</v>
      </c>
      <c r="I21" s="267" t="s">
        <v>1102</v>
      </c>
      <c r="J21" s="263"/>
      <c r="K21" s="89" t="e">
        <f ca="1">IF(#REF!&lt;&gt;OFFSET(#REF!,-1,0),1,0)</f>
        <v>#REF!</v>
      </c>
      <c r="L21" s="269" t="e">
        <f>COUNTIF(#REF!,1)</f>
        <v>#REF!</v>
      </c>
      <c r="M21" s="270" t="e">
        <f t="array" ref="M21">IF(AND(M$2&lt;&gt;0,#REF!&gt;=M$2),1,0)</f>
        <v>#REF!</v>
      </c>
      <c r="N21" s="270" t="e">
        <f t="array" ref="N21">IF(AND(N$2&lt;&gt;0,#REF!&gt;=N$2),1,0)</f>
        <v>#REF!</v>
      </c>
      <c r="O21" s="270" t="e">
        <f t="array" ref="O21">IF(AND(O$2&lt;&gt;0,#REF!&gt;=O$2),1,0)</f>
        <v>#REF!</v>
      </c>
      <c r="P21" s="270" t="e">
        <f t="array" ref="P21">IF(AND(P$2&lt;&gt;0,#REF!&gt;=P$2),1,0)</f>
        <v>#REF!</v>
      </c>
      <c r="Q21" s="270" t="e">
        <f t="array" ref="Q21">IF(AND(Q$2&lt;&gt;0,#REF!&gt;=Q$2),1,0)</f>
        <v>#REF!</v>
      </c>
      <c r="R21" s="270" t="e">
        <f t="array" ref="R21">IF(AND(R$2&lt;&gt;0,#REF!&gt;=R$2),1,0)</f>
        <v>#REF!</v>
      </c>
      <c r="S21" s="270" t="e">
        <f t="array" ref="S21">IF(AND(S$2&lt;&gt;0,#REF!&gt;=S$2),1,0)</f>
        <v>#REF!</v>
      </c>
      <c r="T21" s="270" t="e">
        <f t="array" ref="T21">IF(AND(T$2&lt;&gt;0,#REF!&gt;=T$2),1,0)</f>
        <v>#REF!</v>
      </c>
      <c r="U21" s="270" t="e">
        <f t="array" ref="U21">IF(AND(U$2&lt;&gt;0,#REF!&gt;=U$2),1,0)</f>
        <v>#REF!</v>
      </c>
      <c r="V21" s="270" t="e">
        <f t="array" ref="V21">IF(AND(V$2&lt;&gt;0,#REF!&gt;=V$2),1,0)</f>
        <v>#REF!</v>
      </c>
      <c r="W21" s="270" t="e">
        <f t="array" ref="W21">IF(AND(W$2&lt;&gt;0,#REF!&gt;=W$2),1,0)</f>
        <v>#REF!</v>
      </c>
      <c r="X21" s="270" t="e">
        <f t="array" ref="X21">IF(AND(X$2&lt;&gt;0,#REF!&gt;=X$2),1,0)</f>
        <v>#REF!</v>
      </c>
      <c r="Y21" s="270" t="e">
        <f t="array" ref="Y21">IF(AND(Y$2&lt;&gt;0,#REF!&gt;=Y$2),1,0)</f>
        <v>#REF!</v>
      </c>
      <c r="Z21" s="270" t="e">
        <f t="array" ref="Z21">IF(AND(Z$2&lt;&gt;0,#REF!&gt;=Z$2),1,0)</f>
        <v>#REF!</v>
      </c>
      <c r="AA21" s="270" t="e">
        <f t="array" ref="AA21">IF(AND(AA$2&lt;&gt;0,#REF!&gt;=AA$2),1,0)</f>
        <v>#REF!</v>
      </c>
      <c r="AB21" s="270" t="e">
        <f t="array" ref="AB21">IF(AND(AB$2&lt;&gt;0,#REF!&gt;=AB$2),1,0)</f>
        <v>#REF!</v>
      </c>
      <c r="AC21" s="270" t="e">
        <f t="array" ref="AC21">IF(AND(AC$2&lt;&gt;0,#REF!&gt;=AC$2),1,0)</f>
        <v>#REF!</v>
      </c>
      <c r="AD21" s="270" t="e">
        <f t="array" ref="AD21">IF(AND(AD$2&lt;&gt;0,#REF!&gt;=AD$2),1,0)</f>
        <v>#REF!</v>
      </c>
      <c r="AE21" s="270" t="e">
        <f t="array" ref="AE21">IF(AND(AE$2&lt;&gt;0,#REF!&gt;=AE$2),1,0)</f>
        <v>#REF!</v>
      </c>
      <c r="AF21" s="270" t="e">
        <f t="array" ref="AF21">IF(AND(AF$2&lt;&gt;0,#REF!&gt;=AF$2),1,0)</f>
        <v>#REF!</v>
      </c>
      <c r="AG21" s="270" t="e">
        <f t="array" ref="AG21">IF(AND(AG$2&lt;&gt;0,#REF!&gt;=AG$2),1,0)</f>
        <v>#REF!</v>
      </c>
      <c r="AH21" s="270" t="e">
        <f t="array" ref="AH21">IF(AND(AH$2&lt;&gt;0,#REF!&gt;=AH$2),1,0)</f>
        <v>#REF!</v>
      </c>
      <c r="AI21" s="270" t="e">
        <f t="array" ref="AI21">IF(AND(AI$2&lt;&gt;0,#REF!&gt;=AI$2),1,0)</f>
        <v>#REF!</v>
      </c>
      <c r="AJ21" s="270" t="e">
        <f t="array" ref="AJ21">IF(AND(AJ$2&lt;&gt;0,#REF!&gt;=AJ$2),1,0)</f>
        <v>#REF!</v>
      </c>
      <c r="AK21" s="270" t="e">
        <f t="array" ref="AK21">IF(AND(AK$2&lt;&gt;0,#REF!&gt;=AK$2),1,0)</f>
        <v>#REF!</v>
      </c>
      <c r="AL21" s="270" t="e">
        <f t="array" ref="AL21">IF(AND(AL$2&lt;&gt;0,#REF!&gt;=AL$2),1,0)</f>
        <v>#REF!</v>
      </c>
      <c r="AM21" s="270" t="e">
        <f t="array" ref="AM21">IF(AND(AM$2&lt;&gt;0,#REF!&gt;=AM$2),1,0)</f>
        <v>#REF!</v>
      </c>
      <c r="AN21" s="270" t="e">
        <f t="array" ref="AN21">IF(AND(AN$2&lt;&gt;0,#REF!&gt;=AN$2),1,0)</f>
        <v>#REF!</v>
      </c>
      <c r="AO21" s="270" t="e">
        <f t="array" ref="AO21">IF(AND(AO$2&lt;&gt;0,#REF!&gt;=AO$2),1,0)</f>
        <v>#REF!</v>
      </c>
      <c r="AP21" s="270" t="e">
        <f t="array" ref="AP21">IF(AND(AP$2&lt;&gt;0,#REF!&gt;=AP$2),1,0)</f>
        <v>#REF!</v>
      </c>
      <c r="AQ21" s="270" t="e">
        <f t="array" ref="AQ21">IF(AND(AQ$2&lt;&gt;0,#REF!&gt;=AQ$2),1,0)</f>
        <v>#REF!</v>
      </c>
      <c r="AR21" s="270" t="e">
        <f t="array" ref="AR21">IF(AND(AR$2&lt;&gt;0,#REF!&gt;=AR$2),1,0)</f>
        <v>#REF!</v>
      </c>
      <c r="AS21" s="270" t="e">
        <f t="array" ref="AS21">IF(AND(AS$2&lt;&gt;0,#REF!&gt;=AS$2),1,0)</f>
        <v>#REF!</v>
      </c>
      <c r="AT21" s="270" t="e">
        <f t="array" ref="AT21">IF(AND(AT$2&lt;&gt;0,#REF!&gt;=AT$2),1,0)</f>
        <v>#REF!</v>
      </c>
      <c r="AU21" s="270" t="e">
        <f t="array" ref="AU21">IF(AND(AU$2&lt;&gt;0,#REF!&gt;=AU$2),1,0)</f>
        <v>#REF!</v>
      </c>
      <c r="AV21" s="270" t="e">
        <f t="array" ref="AV21">IF(AND(AV$2&lt;&gt;0,#REF!&gt;=AV$2),1,0)</f>
        <v>#REF!</v>
      </c>
      <c r="AW21" s="270" t="e">
        <f t="array" ref="AW21">IF(AND(AW$2&lt;&gt;0,#REF!&gt;=AW$2),1,0)</f>
        <v>#REF!</v>
      </c>
      <c r="AX21" s="270" t="e">
        <f t="array" ref="AX21">IF(AND(AX$2&lt;&gt;0,#REF!&gt;=AX$2),1,0)</f>
        <v>#REF!</v>
      </c>
      <c r="AY21" s="270" t="e">
        <f t="array" ref="AY21">IF(AND(AY$2&lt;&gt;0,#REF!&gt;=AY$2),1,0)</f>
        <v>#REF!</v>
      </c>
      <c r="AZ21" s="270" t="e">
        <f t="array" ref="AZ21">IF(AND(AZ$2&lt;&gt;0,#REF!&gt;=AZ$2),1,0)</f>
        <v>#REF!</v>
      </c>
      <c r="BA21" s="270" t="e">
        <f t="array" ref="BA21">IF(AND(BA$2&lt;&gt;0,#REF!&gt;=BA$2),1,0)</f>
        <v>#REF!</v>
      </c>
      <c r="BB21" s="270" t="e">
        <f t="array" ref="BB21">IF(AND(BB$2&lt;&gt;0,#REF!&gt;=BB$2),1,0)</f>
        <v>#REF!</v>
      </c>
      <c r="BC21" s="270" t="e">
        <f t="array" ref="BC21">IF(AND(BC$2&lt;&gt;0,#REF!&gt;=BC$2),1,0)</f>
        <v>#REF!</v>
      </c>
      <c r="BD21" s="270" t="e">
        <f t="array" ref="BD21">IF(AND(BD$2&lt;&gt;0,#REF!&gt;=BD$2),1,0)</f>
        <v>#REF!</v>
      </c>
      <c r="BE21" s="270" t="e">
        <f t="array" ref="BE21">IF(AND(BE$2&lt;&gt;0,#REF!&gt;=BE$2),1,0)</f>
        <v>#REF!</v>
      </c>
      <c r="BF21" s="270" t="e">
        <f t="array" ref="BF21">IF(AND(BF$2&lt;&gt;0,#REF!&gt;=BF$2),1,0)</f>
        <v>#REF!</v>
      </c>
      <c r="BG21" s="270" t="e">
        <f t="array" ref="BG21">IF(AND(BG$2&lt;&gt;0,#REF!&gt;=BG$2),1,0)</f>
        <v>#REF!</v>
      </c>
      <c r="BH21" s="270" t="e">
        <f t="array" ref="BH21">IF(AND(BH$2&lt;&gt;0,#REF!&gt;=BH$2),1,0)</f>
        <v>#REF!</v>
      </c>
      <c r="BI21" s="270" t="e">
        <f t="array" ref="BI21">IF(AND(BI$2&lt;&gt;0,#REF!&gt;=BI$2),1,0)</f>
        <v>#REF!</v>
      </c>
      <c r="BJ21" s="270" t="e">
        <f t="array" ref="BJ21">IF(AND(BJ$2&lt;&gt;0,#REF!&gt;=BJ$2),1,0)</f>
        <v>#REF!</v>
      </c>
      <c r="BK21" s="270" t="e">
        <f t="array" ref="BK21">IF(AND(BK$2&lt;&gt;0,#REF!&gt;=BK$2),1,0)</f>
        <v>#REF!</v>
      </c>
      <c r="BL21" s="270" t="e">
        <f t="array" ref="BL21">IF(AND(BL$2&lt;&gt;0,#REF!&gt;=BL$2),1,0)</f>
        <v>#REF!</v>
      </c>
      <c r="BM21" s="270" t="e">
        <f t="array" ref="BM21">IF(AND(BM$2&lt;&gt;0,#REF!&gt;=BM$2),1,0)</f>
        <v>#REF!</v>
      </c>
      <c r="BN21" s="270" t="e">
        <f t="array" ref="BN21">IF(AND(BN$2&lt;&gt;0,#REF!&gt;=BN$2),1,0)</f>
        <v>#REF!</v>
      </c>
      <c r="BO21" s="270" t="e">
        <f t="array" ref="BO21">IF(AND(BO$2&lt;&gt;0,#REF!&gt;=BO$2),1,0)</f>
        <v>#REF!</v>
      </c>
      <c r="BP21" s="270" t="e">
        <f t="array" ref="BP21">IF(AND(BP$2&lt;&gt;0,#REF!&gt;=BP$2),1,0)</f>
        <v>#REF!</v>
      </c>
      <c r="BQ21" s="270" t="e">
        <f t="array" ref="BQ21">IF(AND(BQ$2&lt;&gt;0,#REF!&gt;=BQ$2),1,0)</f>
        <v>#REF!</v>
      </c>
      <c r="BR21" s="270" t="e">
        <f t="array" ref="BR21">IF(AND(BR$2&lt;&gt;0,#REF!&gt;=BR$2),1,0)</f>
        <v>#REF!</v>
      </c>
      <c r="BS21" s="270" t="e">
        <f t="array" ref="BS21">IF(AND(BS$2&lt;&gt;0,#REF!&gt;=BS$2),1,0)</f>
        <v>#REF!</v>
      </c>
      <c r="BT21" s="270" t="e">
        <f t="array" ref="BT21">IF(AND(BT$2&lt;&gt;0,#REF!&gt;=BT$2),1,0)</f>
        <v>#REF!</v>
      </c>
      <c r="BU21" s="270" t="e">
        <f t="array" ref="BU21">IF(AND(BU$2&lt;&gt;0,#REF!&gt;=BU$2),1,0)</f>
        <v>#REF!</v>
      </c>
      <c r="BV21" s="270" t="e">
        <f t="array" ref="BV21">IF(AND(BV$2&lt;&gt;0,#REF!&gt;=BV$2),1,0)</f>
        <v>#REF!</v>
      </c>
      <c r="BW21" s="270" t="e">
        <f t="array" ref="BW21">IF(AND(BW$2&lt;&gt;0,#REF!&gt;=BW$2),1,0)</f>
        <v>#REF!</v>
      </c>
      <c r="BX21" s="270" t="e">
        <f t="array" ref="BX21">IF(AND(BX$2&lt;&gt;0,#REF!&gt;=BX$2),1,0)</f>
        <v>#REF!</v>
      </c>
      <c r="BY21" s="270" t="e">
        <f t="array" ref="BY21">IF(AND(BY$2&lt;&gt;0,#REF!&gt;=BY$2),1,0)</f>
        <v>#REF!</v>
      </c>
      <c r="BZ21" s="270" t="e">
        <f t="array" ref="BZ21">IF(AND(BZ$2&lt;&gt;0,#REF!&gt;=BZ$2),1,0)</f>
        <v>#REF!</v>
      </c>
      <c r="CA21" s="359">
        <f>IFERROR(INDEX($H$4:$H$79,MATCH(INDEX(#REF!,1,MATCH(#REF!,$M$2:$BZ$2,0)),$G$4:$G$79,0)),)</f>
        <v>0</v>
      </c>
    </row>
    <row r="22" spans="1:79" x14ac:dyDescent="0.25">
      <c r="A22" s="262" t="e">
        <f>#REF!</f>
        <v>#REF!</v>
      </c>
      <c r="B22" s="263" t="e">
        <f>#REF!</f>
        <v>#REF!</v>
      </c>
      <c r="C22" s="264" t="e">
        <f>#REF!</f>
        <v>#REF!</v>
      </c>
      <c r="D22" s="264" t="e">
        <f>#REF!</f>
        <v>#REF!</v>
      </c>
      <c r="E22" s="265"/>
      <c r="F22" s="266"/>
      <c r="G22" s="267" t="s">
        <v>561</v>
      </c>
      <c r="H22" s="268" t="s">
        <v>714</v>
      </c>
      <c r="I22" s="267" t="s">
        <v>1055</v>
      </c>
      <c r="J22" s="263"/>
      <c r="K22" s="89" t="e">
        <f ca="1">IF(#REF!&lt;&gt;OFFSET(#REF!,-1,0),1,0)</f>
        <v>#REF!</v>
      </c>
      <c r="L22" s="269" t="e">
        <f>COUNTIF(#REF!,1)</f>
        <v>#REF!</v>
      </c>
      <c r="M22" s="270" t="e">
        <f t="array" ref="M22">IF(AND(M$2&lt;&gt;0,#REF!&gt;=M$2),1,0)</f>
        <v>#REF!</v>
      </c>
      <c r="N22" s="270" t="e">
        <f t="array" ref="N22">IF(AND(N$2&lt;&gt;0,#REF!&gt;=N$2),1,0)</f>
        <v>#REF!</v>
      </c>
      <c r="O22" s="270" t="e">
        <f t="array" ref="O22">IF(AND(O$2&lt;&gt;0,#REF!&gt;=O$2),1,0)</f>
        <v>#REF!</v>
      </c>
      <c r="P22" s="270" t="e">
        <f t="array" ref="P22">IF(AND(P$2&lt;&gt;0,#REF!&gt;=P$2),1,0)</f>
        <v>#REF!</v>
      </c>
      <c r="Q22" s="270" t="e">
        <f t="array" ref="Q22">IF(AND(Q$2&lt;&gt;0,#REF!&gt;=Q$2),1,0)</f>
        <v>#REF!</v>
      </c>
      <c r="R22" s="270" t="e">
        <f t="array" ref="R22">IF(AND(R$2&lt;&gt;0,#REF!&gt;=R$2),1,0)</f>
        <v>#REF!</v>
      </c>
      <c r="S22" s="270" t="e">
        <f t="array" ref="S22">IF(AND(S$2&lt;&gt;0,#REF!&gt;=S$2),1,0)</f>
        <v>#REF!</v>
      </c>
      <c r="T22" s="270" t="e">
        <f t="array" ref="T22">IF(AND(T$2&lt;&gt;0,#REF!&gt;=T$2),1,0)</f>
        <v>#REF!</v>
      </c>
      <c r="U22" s="270" t="e">
        <f t="array" ref="U22">IF(AND(U$2&lt;&gt;0,#REF!&gt;=U$2),1,0)</f>
        <v>#REF!</v>
      </c>
      <c r="V22" s="270" t="e">
        <f t="array" ref="V22">IF(AND(V$2&lt;&gt;0,#REF!&gt;=V$2),1,0)</f>
        <v>#REF!</v>
      </c>
      <c r="W22" s="270" t="e">
        <f t="array" ref="W22">IF(AND(W$2&lt;&gt;0,#REF!&gt;=W$2),1,0)</f>
        <v>#REF!</v>
      </c>
      <c r="X22" s="270" t="e">
        <f t="array" ref="X22">IF(AND(X$2&lt;&gt;0,#REF!&gt;=X$2),1,0)</f>
        <v>#REF!</v>
      </c>
      <c r="Y22" s="270" t="e">
        <f t="array" ref="Y22">IF(AND(Y$2&lt;&gt;0,#REF!&gt;=Y$2),1,0)</f>
        <v>#REF!</v>
      </c>
      <c r="Z22" s="270" t="e">
        <f t="array" ref="Z22">IF(AND(Z$2&lt;&gt;0,#REF!&gt;=Z$2),1,0)</f>
        <v>#REF!</v>
      </c>
      <c r="AA22" s="270" t="e">
        <f t="array" ref="AA22">IF(AND(AA$2&lt;&gt;0,#REF!&gt;=AA$2),1,0)</f>
        <v>#REF!</v>
      </c>
      <c r="AB22" s="270" t="e">
        <f t="array" ref="AB22">IF(AND(AB$2&lt;&gt;0,#REF!&gt;=AB$2),1,0)</f>
        <v>#REF!</v>
      </c>
      <c r="AC22" s="270" t="e">
        <f t="array" ref="AC22">IF(AND(AC$2&lt;&gt;0,#REF!&gt;=AC$2),1,0)</f>
        <v>#REF!</v>
      </c>
      <c r="AD22" s="270" t="e">
        <f t="array" ref="AD22">IF(AND(AD$2&lt;&gt;0,#REF!&gt;=AD$2),1,0)</f>
        <v>#REF!</v>
      </c>
      <c r="AE22" s="270" t="e">
        <f t="array" ref="AE22">IF(AND(AE$2&lt;&gt;0,#REF!&gt;=AE$2),1,0)</f>
        <v>#REF!</v>
      </c>
      <c r="AF22" s="270" t="e">
        <f t="array" ref="AF22">IF(AND(AF$2&lt;&gt;0,#REF!&gt;=AF$2),1,0)</f>
        <v>#REF!</v>
      </c>
      <c r="AG22" s="270" t="e">
        <f t="array" ref="AG22">IF(AND(AG$2&lt;&gt;0,#REF!&gt;=AG$2),1,0)</f>
        <v>#REF!</v>
      </c>
      <c r="AH22" s="270" t="e">
        <f t="array" ref="AH22">IF(AND(AH$2&lt;&gt;0,#REF!&gt;=AH$2),1,0)</f>
        <v>#REF!</v>
      </c>
      <c r="AI22" s="270" t="e">
        <f t="array" ref="AI22">IF(AND(AI$2&lt;&gt;0,#REF!&gt;=AI$2),1,0)</f>
        <v>#REF!</v>
      </c>
      <c r="AJ22" s="270" t="e">
        <f t="array" ref="AJ22">IF(AND(AJ$2&lt;&gt;0,#REF!&gt;=AJ$2),1,0)</f>
        <v>#REF!</v>
      </c>
      <c r="AK22" s="270" t="e">
        <f t="array" ref="AK22">IF(AND(AK$2&lt;&gt;0,#REF!&gt;=AK$2),1,0)</f>
        <v>#REF!</v>
      </c>
      <c r="AL22" s="270" t="e">
        <f t="array" ref="AL22">IF(AND(AL$2&lt;&gt;0,#REF!&gt;=AL$2),1,0)</f>
        <v>#REF!</v>
      </c>
      <c r="AM22" s="270" t="e">
        <f t="array" ref="AM22">IF(AND(AM$2&lt;&gt;0,#REF!&gt;=AM$2),1,0)</f>
        <v>#REF!</v>
      </c>
      <c r="AN22" s="270" t="e">
        <f t="array" ref="AN22">IF(AND(AN$2&lt;&gt;0,#REF!&gt;=AN$2),1,0)</f>
        <v>#REF!</v>
      </c>
      <c r="AO22" s="270" t="e">
        <f t="array" ref="AO22">IF(AND(AO$2&lt;&gt;0,#REF!&gt;=AO$2),1,0)</f>
        <v>#REF!</v>
      </c>
      <c r="AP22" s="270" t="e">
        <f t="array" ref="AP22">IF(AND(AP$2&lt;&gt;0,#REF!&gt;=AP$2),1,0)</f>
        <v>#REF!</v>
      </c>
      <c r="AQ22" s="270" t="e">
        <f t="array" ref="AQ22">IF(AND(AQ$2&lt;&gt;0,#REF!&gt;=AQ$2),1,0)</f>
        <v>#REF!</v>
      </c>
      <c r="AR22" s="270" t="e">
        <f t="array" ref="AR22">IF(AND(AR$2&lt;&gt;0,#REF!&gt;=AR$2),1,0)</f>
        <v>#REF!</v>
      </c>
      <c r="AS22" s="270" t="e">
        <f t="array" ref="AS22">IF(AND(AS$2&lt;&gt;0,#REF!&gt;=AS$2),1,0)</f>
        <v>#REF!</v>
      </c>
      <c r="AT22" s="270" t="e">
        <f t="array" ref="AT22">IF(AND(AT$2&lt;&gt;0,#REF!&gt;=AT$2),1,0)</f>
        <v>#REF!</v>
      </c>
      <c r="AU22" s="270" t="e">
        <f t="array" ref="AU22">IF(AND(AU$2&lt;&gt;0,#REF!&gt;=AU$2),1,0)</f>
        <v>#REF!</v>
      </c>
      <c r="AV22" s="270" t="e">
        <f t="array" ref="AV22">IF(AND(AV$2&lt;&gt;0,#REF!&gt;=AV$2),1,0)</f>
        <v>#REF!</v>
      </c>
      <c r="AW22" s="270" t="e">
        <f t="array" ref="AW22">IF(AND(AW$2&lt;&gt;0,#REF!&gt;=AW$2),1,0)</f>
        <v>#REF!</v>
      </c>
      <c r="AX22" s="270" t="e">
        <f t="array" ref="AX22">IF(AND(AX$2&lt;&gt;0,#REF!&gt;=AX$2),1,0)</f>
        <v>#REF!</v>
      </c>
      <c r="AY22" s="270" t="e">
        <f t="array" ref="AY22">IF(AND(AY$2&lt;&gt;0,#REF!&gt;=AY$2),1,0)</f>
        <v>#REF!</v>
      </c>
      <c r="AZ22" s="270" t="e">
        <f t="array" ref="AZ22">IF(AND(AZ$2&lt;&gt;0,#REF!&gt;=AZ$2),1,0)</f>
        <v>#REF!</v>
      </c>
      <c r="BA22" s="270" t="e">
        <f t="array" ref="BA22">IF(AND(BA$2&lt;&gt;0,#REF!&gt;=BA$2),1,0)</f>
        <v>#REF!</v>
      </c>
      <c r="BB22" s="270" t="e">
        <f t="array" ref="BB22">IF(AND(BB$2&lt;&gt;0,#REF!&gt;=BB$2),1,0)</f>
        <v>#REF!</v>
      </c>
      <c r="BC22" s="270" t="e">
        <f t="array" ref="BC22">IF(AND(BC$2&lt;&gt;0,#REF!&gt;=BC$2),1,0)</f>
        <v>#REF!</v>
      </c>
      <c r="BD22" s="270" t="e">
        <f t="array" ref="BD22">IF(AND(BD$2&lt;&gt;0,#REF!&gt;=BD$2),1,0)</f>
        <v>#REF!</v>
      </c>
      <c r="BE22" s="270" t="e">
        <f t="array" ref="BE22">IF(AND(BE$2&lt;&gt;0,#REF!&gt;=BE$2),1,0)</f>
        <v>#REF!</v>
      </c>
      <c r="BF22" s="270" t="e">
        <f t="array" ref="BF22">IF(AND(BF$2&lt;&gt;0,#REF!&gt;=BF$2),1,0)</f>
        <v>#REF!</v>
      </c>
      <c r="BG22" s="270" t="e">
        <f t="array" ref="BG22">IF(AND(BG$2&lt;&gt;0,#REF!&gt;=BG$2),1,0)</f>
        <v>#REF!</v>
      </c>
      <c r="BH22" s="270" t="e">
        <f t="array" ref="BH22">IF(AND(BH$2&lt;&gt;0,#REF!&gt;=BH$2),1,0)</f>
        <v>#REF!</v>
      </c>
      <c r="BI22" s="270" t="e">
        <f t="array" ref="BI22">IF(AND(BI$2&lt;&gt;0,#REF!&gt;=BI$2),1,0)</f>
        <v>#REF!</v>
      </c>
      <c r="BJ22" s="270" t="e">
        <f t="array" ref="BJ22">IF(AND(BJ$2&lt;&gt;0,#REF!&gt;=BJ$2),1,0)</f>
        <v>#REF!</v>
      </c>
      <c r="BK22" s="270" t="e">
        <f t="array" ref="BK22">IF(AND(BK$2&lt;&gt;0,#REF!&gt;=BK$2),1,0)</f>
        <v>#REF!</v>
      </c>
      <c r="BL22" s="270" t="e">
        <f t="array" ref="BL22">IF(AND(BL$2&lt;&gt;0,#REF!&gt;=BL$2),1,0)</f>
        <v>#REF!</v>
      </c>
      <c r="BM22" s="270" t="e">
        <f t="array" ref="BM22">IF(AND(BM$2&lt;&gt;0,#REF!&gt;=BM$2),1,0)</f>
        <v>#REF!</v>
      </c>
      <c r="BN22" s="270" t="e">
        <f t="array" ref="BN22">IF(AND(BN$2&lt;&gt;0,#REF!&gt;=BN$2),1,0)</f>
        <v>#REF!</v>
      </c>
      <c r="BO22" s="270" t="e">
        <f t="array" ref="BO22">IF(AND(BO$2&lt;&gt;0,#REF!&gt;=BO$2),1,0)</f>
        <v>#REF!</v>
      </c>
      <c r="BP22" s="270" t="e">
        <f t="array" ref="BP22">IF(AND(BP$2&lt;&gt;0,#REF!&gt;=BP$2),1,0)</f>
        <v>#REF!</v>
      </c>
      <c r="BQ22" s="270" t="e">
        <f t="array" ref="BQ22">IF(AND(BQ$2&lt;&gt;0,#REF!&gt;=BQ$2),1,0)</f>
        <v>#REF!</v>
      </c>
      <c r="BR22" s="270" t="e">
        <f t="array" ref="BR22">IF(AND(BR$2&lt;&gt;0,#REF!&gt;=BR$2),1,0)</f>
        <v>#REF!</v>
      </c>
      <c r="BS22" s="270" t="e">
        <f t="array" ref="BS22">IF(AND(BS$2&lt;&gt;0,#REF!&gt;=BS$2),1,0)</f>
        <v>#REF!</v>
      </c>
      <c r="BT22" s="270" t="e">
        <f t="array" ref="BT22">IF(AND(BT$2&lt;&gt;0,#REF!&gt;=BT$2),1,0)</f>
        <v>#REF!</v>
      </c>
      <c r="BU22" s="270" t="e">
        <f t="array" ref="BU22">IF(AND(BU$2&lt;&gt;0,#REF!&gt;=BU$2),1,0)</f>
        <v>#REF!</v>
      </c>
      <c r="BV22" s="270" t="e">
        <f t="array" ref="BV22">IF(AND(BV$2&lt;&gt;0,#REF!&gt;=BV$2),1,0)</f>
        <v>#REF!</v>
      </c>
      <c r="BW22" s="270" t="e">
        <f t="array" ref="BW22">IF(AND(BW$2&lt;&gt;0,#REF!&gt;=BW$2),1,0)</f>
        <v>#REF!</v>
      </c>
      <c r="BX22" s="270" t="e">
        <f t="array" ref="BX22">IF(AND(BX$2&lt;&gt;0,#REF!&gt;=BX$2),1,0)</f>
        <v>#REF!</v>
      </c>
      <c r="BY22" s="270" t="e">
        <f t="array" ref="BY22">IF(AND(BY$2&lt;&gt;0,#REF!&gt;=BY$2),1,0)</f>
        <v>#REF!</v>
      </c>
      <c r="BZ22" s="270" t="e">
        <f t="array" ref="BZ22">IF(AND(BZ$2&lt;&gt;0,#REF!&gt;=BZ$2),1,0)</f>
        <v>#REF!</v>
      </c>
      <c r="CA22" s="359">
        <f>IFERROR(INDEX($H$4:$H$79,MATCH(INDEX(#REF!,1,MATCH(#REF!,$M$2:$BZ$2,0)),$G$4:$G$79,0)),)</f>
        <v>0</v>
      </c>
    </row>
    <row r="23" spans="1:79" x14ac:dyDescent="0.25">
      <c r="A23" s="262" t="e">
        <f>#REF!</f>
        <v>#REF!</v>
      </c>
      <c r="B23" s="263" t="e">
        <f>#REF!</f>
        <v>#REF!</v>
      </c>
      <c r="C23" s="264" t="e">
        <f>#REF!</f>
        <v>#REF!</v>
      </c>
      <c r="D23" s="264" t="e">
        <f>#REF!</f>
        <v>#REF!</v>
      </c>
      <c r="E23" s="265"/>
      <c r="F23" s="266"/>
      <c r="G23" s="267" t="s">
        <v>563</v>
      </c>
      <c r="H23" s="268" t="s">
        <v>698</v>
      </c>
      <c r="I23" s="267" t="s">
        <v>742</v>
      </c>
      <c r="J23" s="263"/>
      <c r="K23" s="89" t="e">
        <f ca="1">IF(#REF!&lt;&gt;OFFSET(#REF!,-1,0),1,0)</f>
        <v>#REF!</v>
      </c>
      <c r="L23" s="269" t="e">
        <f>COUNTIF(#REF!,1)</f>
        <v>#REF!</v>
      </c>
      <c r="M23" s="270" t="e">
        <f t="array" ref="M23">IF(AND(M$2&lt;&gt;0,#REF!&gt;=M$2),1,0)</f>
        <v>#REF!</v>
      </c>
      <c r="N23" s="270" t="e">
        <f t="array" ref="N23">IF(AND(N$2&lt;&gt;0,#REF!&gt;=N$2),1,0)</f>
        <v>#REF!</v>
      </c>
      <c r="O23" s="270" t="e">
        <f t="array" ref="O23">IF(AND(O$2&lt;&gt;0,#REF!&gt;=O$2),1,0)</f>
        <v>#REF!</v>
      </c>
      <c r="P23" s="270" t="e">
        <f t="array" ref="P23">IF(AND(P$2&lt;&gt;0,#REF!&gt;=P$2),1,0)</f>
        <v>#REF!</v>
      </c>
      <c r="Q23" s="270" t="e">
        <f t="array" ref="Q23">IF(AND(Q$2&lt;&gt;0,#REF!&gt;=Q$2),1,0)</f>
        <v>#REF!</v>
      </c>
      <c r="R23" s="270" t="e">
        <f t="array" ref="R23">IF(AND(R$2&lt;&gt;0,#REF!&gt;=R$2),1,0)</f>
        <v>#REF!</v>
      </c>
      <c r="S23" s="270" t="e">
        <f t="array" ref="S23">IF(AND(S$2&lt;&gt;0,#REF!&gt;=S$2),1,0)</f>
        <v>#REF!</v>
      </c>
      <c r="T23" s="270" t="e">
        <f t="array" ref="T23">IF(AND(T$2&lt;&gt;0,#REF!&gt;=T$2),1,0)</f>
        <v>#REF!</v>
      </c>
      <c r="U23" s="270" t="e">
        <f t="array" ref="U23">IF(AND(U$2&lt;&gt;0,#REF!&gt;=U$2),1,0)</f>
        <v>#REF!</v>
      </c>
      <c r="V23" s="270" t="e">
        <f t="array" ref="V23">IF(AND(V$2&lt;&gt;0,#REF!&gt;=V$2),1,0)</f>
        <v>#REF!</v>
      </c>
      <c r="W23" s="270" t="e">
        <f t="array" ref="W23">IF(AND(W$2&lt;&gt;0,#REF!&gt;=W$2),1,0)</f>
        <v>#REF!</v>
      </c>
      <c r="X23" s="270" t="e">
        <f t="array" ref="X23">IF(AND(X$2&lt;&gt;0,#REF!&gt;=X$2),1,0)</f>
        <v>#REF!</v>
      </c>
      <c r="Y23" s="270" t="e">
        <f t="array" ref="Y23">IF(AND(Y$2&lt;&gt;0,#REF!&gt;=Y$2),1,0)</f>
        <v>#REF!</v>
      </c>
      <c r="Z23" s="270" t="e">
        <f t="array" ref="Z23">IF(AND(Z$2&lt;&gt;0,#REF!&gt;=Z$2),1,0)</f>
        <v>#REF!</v>
      </c>
      <c r="AA23" s="270" t="e">
        <f t="array" ref="AA23">IF(AND(AA$2&lt;&gt;0,#REF!&gt;=AA$2),1,0)</f>
        <v>#REF!</v>
      </c>
      <c r="AB23" s="270" t="e">
        <f t="array" ref="AB23">IF(AND(AB$2&lt;&gt;0,#REF!&gt;=AB$2),1,0)</f>
        <v>#REF!</v>
      </c>
      <c r="AC23" s="270" t="e">
        <f t="array" ref="AC23">IF(AND(AC$2&lt;&gt;0,#REF!&gt;=AC$2),1,0)</f>
        <v>#REF!</v>
      </c>
      <c r="AD23" s="270" t="e">
        <f t="array" ref="AD23">IF(AND(AD$2&lt;&gt;0,#REF!&gt;=AD$2),1,0)</f>
        <v>#REF!</v>
      </c>
      <c r="AE23" s="270" t="e">
        <f t="array" ref="AE23">IF(AND(AE$2&lt;&gt;0,#REF!&gt;=AE$2),1,0)</f>
        <v>#REF!</v>
      </c>
      <c r="AF23" s="270" t="e">
        <f t="array" ref="AF23">IF(AND(AF$2&lt;&gt;0,#REF!&gt;=AF$2),1,0)</f>
        <v>#REF!</v>
      </c>
      <c r="AG23" s="270" t="e">
        <f t="array" ref="AG23">IF(AND(AG$2&lt;&gt;0,#REF!&gt;=AG$2),1,0)</f>
        <v>#REF!</v>
      </c>
      <c r="AH23" s="270" t="e">
        <f t="array" ref="AH23">IF(AND(AH$2&lt;&gt;0,#REF!&gt;=AH$2),1,0)</f>
        <v>#REF!</v>
      </c>
      <c r="AI23" s="270" t="e">
        <f t="array" ref="AI23">IF(AND(AI$2&lt;&gt;0,#REF!&gt;=AI$2),1,0)</f>
        <v>#REF!</v>
      </c>
      <c r="AJ23" s="270" t="e">
        <f t="array" ref="AJ23">IF(AND(AJ$2&lt;&gt;0,#REF!&gt;=AJ$2),1,0)</f>
        <v>#REF!</v>
      </c>
      <c r="AK23" s="270" t="e">
        <f t="array" ref="AK23">IF(AND(AK$2&lt;&gt;0,#REF!&gt;=AK$2),1,0)</f>
        <v>#REF!</v>
      </c>
      <c r="AL23" s="270" t="e">
        <f t="array" ref="AL23">IF(AND(AL$2&lt;&gt;0,#REF!&gt;=AL$2),1,0)</f>
        <v>#REF!</v>
      </c>
      <c r="AM23" s="270" t="e">
        <f t="array" ref="AM23">IF(AND(AM$2&lt;&gt;0,#REF!&gt;=AM$2),1,0)</f>
        <v>#REF!</v>
      </c>
      <c r="AN23" s="270" t="e">
        <f t="array" ref="AN23">IF(AND(AN$2&lt;&gt;0,#REF!&gt;=AN$2),1,0)</f>
        <v>#REF!</v>
      </c>
      <c r="AO23" s="270" t="e">
        <f t="array" ref="AO23">IF(AND(AO$2&lt;&gt;0,#REF!&gt;=AO$2),1,0)</f>
        <v>#REF!</v>
      </c>
      <c r="AP23" s="270" t="e">
        <f t="array" ref="AP23">IF(AND(AP$2&lt;&gt;0,#REF!&gt;=AP$2),1,0)</f>
        <v>#REF!</v>
      </c>
      <c r="AQ23" s="270" t="e">
        <f t="array" ref="AQ23">IF(AND(AQ$2&lt;&gt;0,#REF!&gt;=AQ$2),1,0)</f>
        <v>#REF!</v>
      </c>
      <c r="AR23" s="270" t="e">
        <f t="array" ref="AR23">IF(AND(AR$2&lt;&gt;0,#REF!&gt;=AR$2),1,0)</f>
        <v>#REF!</v>
      </c>
      <c r="AS23" s="270" t="e">
        <f t="array" ref="AS23">IF(AND(AS$2&lt;&gt;0,#REF!&gt;=AS$2),1,0)</f>
        <v>#REF!</v>
      </c>
      <c r="AT23" s="270" t="e">
        <f t="array" ref="AT23">IF(AND(AT$2&lt;&gt;0,#REF!&gt;=AT$2),1,0)</f>
        <v>#REF!</v>
      </c>
      <c r="AU23" s="270" t="e">
        <f t="array" ref="AU23">IF(AND(AU$2&lt;&gt;0,#REF!&gt;=AU$2),1,0)</f>
        <v>#REF!</v>
      </c>
      <c r="AV23" s="270" t="e">
        <f t="array" ref="AV23">IF(AND(AV$2&lt;&gt;0,#REF!&gt;=AV$2),1,0)</f>
        <v>#REF!</v>
      </c>
      <c r="AW23" s="270" t="e">
        <f t="array" ref="AW23">IF(AND(AW$2&lt;&gt;0,#REF!&gt;=AW$2),1,0)</f>
        <v>#REF!</v>
      </c>
      <c r="AX23" s="270" t="e">
        <f t="array" ref="AX23">IF(AND(AX$2&lt;&gt;0,#REF!&gt;=AX$2),1,0)</f>
        <v>#REF!</v>
      </c>
      <c r="AY23" s="270" t="e">
        <f t="array" ref="AY23">IF(AND(AY$2&lt;&gt;0,#REF!&gt;=AY$2),1,0)</f>
        <v>#REF!</v>
      </c>
      <c r="AZ23" s="270" t="e">
        <f t="array" ref="AZ23">IF(AND(AZ$2&lt;&gt;0,#REF!&gt;=AZ$2),1,0)</f>
        <v>#REF!</v>
      </c>
      <c r="BA23" s="270" t="e">
        <f t="array" ref="BA23">IF(AND(BA$2&lt;&gt;0,#REF!&gt;=BA$2),1,0)</f>
        <v>#REF!</v>
      </c>
      <c r="BB23" s="270" t="e">
        <f t="array" ref="BB23">IF(AND(BB$2&lt;&gt;0,#REF!&gt;=BB$2),1,0)</f>
        <v>#REF!</v>
      </c>
      <c r="BC23" s="270" t="e">
        <f t="array" ref="BC23">IF(AND(BC$2&lt;&gt;0,#REF!&gt;=BC$2),1,0)</f>
        <v>#REF!</v>
      </c>
      <c r="BD23" s="270" t="e">
        <f t="array" ref="BD23">IF(AND(BD$2&lt;&gt;0,#REF!&gt;=BD$2),1,0)</f>
        <v>#REF!</v>
      </c>
      <c r="BE23" s="270" t="e">
        <f t="array" ref="BE23">IF(AND(BE$2&lt;&gt;0,#REF!&gt;=BE$2),1,0)</f>
        <v>#REF!</v>
      </c>
      <c r="BF23" s="270" t="e">
        <f t="array" ref="BF23">IF(AND(BF$2&lt;&gt;0,#REF!&gt;=BF$2),1,0)</f>
        <v>#REF!</v>
      </c>
      <c r="BG23" s="270" t="e">
        <f t="array" ref="BG23">IF(AND(BG$2&lt;&gt;0,#REF!&gt;=BG$2),1,0)</f>
        <v>#REF!</v>
      </c>
      <c r="BH23" s="270" t="e">
        <f t="array" ref="BH23">IF(AND(BH$2&lt;&gt;0,#REF!&gt;=BH$2),1,0)</f>
        <v>#REF!</v>
      </c>
      <c r="BI23" s="270" t="e">
        <f t="array" ref="BI23">IF(AND(BI$2&lt;&gt;0,#REF!&gt;=BI$2),1,0)</f>
        <v>#REF!</v>
      </c>
      <c r="BJ23" s="270" t="e">
        <f t="array" ref="BJ23">IF(AND(BJ$2&lt;&gt;0,#REF!&gt;=BJ$2),1,0)</f>
        <v>#REF!</v>
      </c>
      <c r="BK23" s="270" t="e">
        <f t="array" ref="BK23">IF(AND(BK$2&lt;&gt;0,#REF!&gt;=BK$2),1,0)</f>
        <v>#REF!</v>
      </c>
      <c r="BL23" s="270" t="e">
        <f t="array" ref="BL23">IF(AND(BL$2&lt;&gt;0,#REF!&gt;=BL$2),1,0)</f>
        <v>#REF!</v>
      </c>
      <c r="BM23" s="270" t="e">
        <f t="array" ref="BM23">IF(AND(BM$2&lt;&gt;0,#REF!&gt;=BM$2),1,0)</f>
        <v>#REF!</v>
      </c>
      <c r="BN23" s="270" t="e">
        <f t="array" ref="BN23">IF(AND(BN$2&lt;&gt;0,#REF!&gt;=BN$2),1,0)</f>
        <v>#REF!</v>
      </c>
      <c r="BO23" s="270" t="e">
        <f t="array" ref="BO23">IF(AND(BO$2&lt;&gt;0,#REF!&gt;=BO$2),1,0)</f>
        <v>#REF!</v>
      </c>
      <c r="BP23" s="270" t="e">
        <f t="array" ref="BP23">IF(AND(BP$2&lt;&gt;0,#REF!&gt;=BP$2),1,0)</f>
        <v>#REF!</v>
      </c>
      <c r="BQ23" s="270" t="e">
        <f t="array" ref="BQ23">IF(AND(BQ$2&lt;&gt;0,#REF!&gt;=BQ$2),1,0)</f>
        <v>#REF!</v>
      </c>
      <c r="BR23" s="270" t="e">
        <f t="array" ref="BR23">IF(AND(BR$2&lt;&gt;0,#REF!&gt;=BR$2),1,0)</f>
        <v>#REF!</v>
      </c>
      <c r="BS23" s="270" t="e">
        <f t="array" ref="BS23">IF(AND(BS$2&lt;&gt;0,#REF!&gt;=BS$2),1,0)</f>
        <v>#REF!</v>
      </c>
      <c r="BT23" s="270" t="e">
        <f t="array" ref="BT23">IF(AND(BT$2&lt;&gt;0,#REF!&gt;=BT$2),1,0)</f>
        <v>#REF!</v>
      </c>
      <c r="BU23" s="270" t="e">
        <f t="array" ref="BU23">IF(AND(BU$2&lt;&gt;0,#REF!&gt;=BU$2),1,0)</f>
        <v>#REF!</v>
      </c>
      <c r="BV23" s="270" t="e">
        <f t="array" ref="BV23">IF(AND(BV$2&lt;&gt;0,#REF!&gt;=BV$2),1,0)</f>
        <v>#REF!</v>
      </c>
      <c r="BW23" s="270" t="e">
        <f t="array" ref="BW23">IF(AND(BW$2&lt;&gt;0,#REF!&gt;=BW$2),1,0)</f>
        <v>#REF!</v>
      </c>
      <c r="BX23" s="270" t="e">
        <f t="array" ref="BX23">IF(AND(BX$2&lt;&gt;0,#REF!&gt;=BX$2),1,0)</f>
        <v>#REF!</v>
      </c>
      <c r="BY23" s="270" t="e">
        <f t="array" ref="BY23">IF(AND(BY$2&lt;&gt;0,#REF!&gt;=BY$2),1,0)</f>
        <v>#REF!</v>
      </c>
      <c r="BZ23" s="270" t="e">
        <f t="array" ref="BZ23">IF(AND(BZ$2&lt;&gt;0,#REF!&gt;=BZ$2),1,0)</f>
        <v>#REF!</v>
      </c>
      <c r="CA23" s="359">
        <f>IFERROR(INDEX($H$4:$H$79,MATCH(INDEX(#REF!,1,MATCH(#REF!,$M$2:$BZ$2,0)),$G$4:$G$79,0)),)</f>
        <v>0</v>
      </c>
    </row>
    <row r="24" spans="1:79" x14ac:dyDescent="0.25">
      <c r="A24" s="262" t="e">
        <f>#REF!</f>
        <v>#REF!</v>
      </c>
      <c r="B24" s="263" t="e">
        <f>#REF!</f>
        <v>#REF!</v>
      </c>
      <c r="C24" s="264" t="e">
        <f>#REF!</f>
        <v>#REF!</v>
      </c>
      <c r="D24" s="264" t="e">
        <f>#REF!</f>
        <v>#REF!</v>
      </c>
      <c r="E24" s="265"/>
      <c r="F24" s="266"/>
      <c r="G24" s="267" t="s">
        <v>564</v>
      </c>
      <c r="H24" s="268" t="s">
        <v>699</v>
      </c>
      <c r="I24" s="267" t="s">
        <v>743</v>
      </c>
      <c r="J24" s="263"/>
      <c r="K24" s="89" t="e">
        <f ca="1">IF(#REF!&lt;&gt;OFFSET(#REF!,-1,0),1,0)</f>
        <v>#REF!</v>
      </c>
      <c r="L24" s="269" t="e">
        <f>COUNTIF(#REF!,1)</f>
        <v>#REF!</v>
      </c>
      <c r="M24" s="270" t="e">
        <f t="array" ref="M24">IF(AND(M$2&lt;&gt;0,#REF!&gt;=M$2),1,0)</f>
        <v>#REF!</v>
      </c>
      <c r="N24" s="270" t="e">
        <f t="array" ref="N24">IF(AND(N$2&lt;&gt;0,#REF!&gt;=N$2),1,0)</f>
        <v>#REF!</v>
      </c>
      <c r="O24" s="270" t="e">
        <f t="array" ref="O24">IF(AND(O$2&lt;&gt;0,#REF!&gt;=O$2),1,0)</f>
        <v>#REF!</v>
      </c>
      <c r="P24" s="270" t="e">
        <f t="array" ref="P24">IF(AND(P$2&lt;&gt;0,#REF!&gt;=P$2),1,0)</f>
        <v>#REF!</v>
      </c>
      <c r="Q24" s="270" t="e">
        <f t="array" ref="Q24">IF(AND(Q$2&lt;&gt;0,#REF!&gt;=Q$2),1,0)</f>
        <v>#REF!</v>
      </c>
      <c r="R24" s="270" t="e">
        <f t="array" ref="R24">IF(AND(R$2&lt;&gt;0,#REF!&gt;=R$2),1,0)</f>
        <v>#REF!</v>
      </c>
      <c r="S24" s="270" t="e">
        <f t="array" ref="S24">IF(AND(S$2&lt;&gt;0,#REF!&gt;=S$2),1,0)</f>
        <v>#REF!</v>
      </c>
      <c r="T24" s="270" t="e">
        <f t="array" ref="T24">IF(AND(T$2&lt;&gt;0,#REF!&gt;=T$2),1,0)</f>
        <v>#REF!</v>
      </c>
      <c r="U24" s="270" t="e">
        <f t="array" ref="U24">IF(AND(U$2&lt;&gt;0,#REF!&gt;=U$2),1,0)</f>
        <v>#REF!</v>
      </c>
      <c r="V24" s="270" t="e">
        <f t="array" ref="V24">IF(AND(V$2&lt;&gt;0,#REF!&gt;=V$2),1,0)</f>
        <v>#REF!</v>
      </c>
      <c r="W24" s="270" t="e">
        <f t="array" ref="W24">IF(AND(W$2&lt;&gt;0,#REF!&gt;=W$2),1,0)</f>
        <v>#REF!</v>
      </c>
      <c r="X24" s="270" t="e">
        <f t="array" ref="X24">IF(AND(X$2&lt;&gt;0,#REF!&gt;=X$2),1,0)</f>
        <v>#REF!</v>
      </c>
      <c r="Y24" s="270" t="e">
        <f t="array" ref="Y24">IF(AND(Y$2&lt;&gt;0,#REF!&gt;=Y$2),1,0)</f>
        <v>#REF!</v>
      </c>
      <c r="Z24" s="270" t="e">
        <f t="array" ref="Z24">IF(AND(Z$2&lt;&gt;0,#REF!&gt;=Z$2),1,0)</f>
        <v>#REF!</v>
      </c>
      <c r="AA24" s="270" t="e">
        <f t="array" ref="AA24">IF(AND(AA$2&lt;&gt;0,#REF!&gt;=AA$2),1,0)</f>
        <v>#REF!</v>
      </c>
      <c r="AB24" s="270" t="e">
        <f t="array" ref="AB24">IF(AND(AB$2&lt;&gt;0,#REF!&gt;=AB$2),1,0)</f>
        <v>#REF!</v>
      </c>
      <c r="AC24" s="270" t="e">
        <f t="array" ref="AC24">IF(AND(AC$2&lt;&gt;0,#REF!&gt;=AC$2),1,0)</f>
        <v>#REF!</v>
      </c>
      <c r="AD24" s="270" t="e">
        <f t="array" ref="AD24">IF(AND(AD$2&lt;&gt;0,#REF!&gt;=AD$2),1,0)</f>
        <v>#REF!</v>
      </c>
      <c r="AE24" s="270" t="e">
        <f t="array" ref="AE24">IF(AND(AE$2&lt;&gt;0,#REF!&gt;=AE$2),1,0)</f>
        <v>#REF!</v>
      </c>
      <c r="AF24" s="270" t="e">
        <f t="array" ref="AF24">IF(AND(AF$2&lt;&gt;0,#REF!&gt;=AF$2),1,0)</f>
        <v>#REF!</v>
      </c>
      <c r="AG24" s="270" t="e">
        <f t="array" ref="AG24">IF(AND(AG$2&lt;&gt;0,#REF!&gt;=AG$2),1,0)</f>
        <v>#REF!</v>
      </c>
      <c r="AH24" s="270" t="e">
        <f t="array" ref="AH24">IF(AND(AH$2&lt;&gt;0,#REF!&gt;=AH$2),1,0)</f>
        <v>#REF!</v>
      </c>
      <c r="AI24" s="270" t="e">
        <f t="array" ref="AI24">IF(AND(AI$2&lt;&gt;0,#REF!&gt;=AI$2),1,0)</f>
        <v>#REF!</v>
      </c>
      <c r="AJ24" s="270" t="e">
        <f t="array" ref="AJ24">IF(AND(AJ$2&lt;&gt;0,#REF!&gt;=AJ$2),1,0)</f>
        <v>#REF!</v>
      </c>
      <c r="AK24" s="270" t="e">
        <f t="array" ref="AK24">IF(AND(AK$2&lt;&gt;0,#REF!&gt;=AK$2),1,0)</f>
        <v>#REF!</v>
      </c>
      <c r="AL24" s="270" t="e">
        <f t="array" ref="AL24">IF(AND(AL$2&lt;&gt;0,#REF!&gt;=AL$2),1,0)</f>
        <v>#REF!</v>
      </c>
      <c r="AM24" s="270" t="e">
        <f t="array" ref="AM24">IF(AND(AM$2&lt;&gt;0,#REF!&gt;=AM$2),1,0)</f>
        <v>#REF!</v>
      </c>
      <c r="AN24" s="270" t="e">
        <f t="array" ref="AN24">IF(AND(AN$2&lt;&gt;0,#REF!&gt;=AN$2),1,0)</f>
        <v>#REF!</v>
      </c>
      <c r="AO24" s="270" t="e">
        <f t="array" ref="AO24">IF(AND(AO$2&lt;&gt;0,#REF!&gt;=AO$2),1,0)</f>
        <v>#REF!</v>
      </c>
      <c r="AP24" s="270" t="e">
        <f t="array" ref="AP24">IF(AND(AP$2&lt;&gt;0,#REF!&gt;=AP$2),1,0)</f>
        <v>#REF!</v>
      </c>
      <c r="AQ24" s="270" t="e">
        <f t="array" ref="AQ24">IF(AND(AQ$2&lt;&gt;0,#REF!&gt;=AQ$2),1,0)</f>
        <v>#REF!</v>
      </c>
      <c r="AR24" s="270" t="e">
        <f t="array" ref="AR24">IF(AND(AR$2&lt;&gt;0,#REF!&gt;=AR$2),1,0)</f>
        <v>#REF!</v>
      </c>
      <c r="AS24" s="270" t="e">
        <f t="array" ref="AS24">IF(AND(AS$2&lt;&gt;0,#REF!&gt;=AS$2),1,0)</f>
        <v>#REF!</v>
      </c>
      <c r="AT24" s="270" t="e">
        <f t="array" ref="AT24">IF(AND(AT$2&lt;&gt;0,#REF!&gt;=AT$2),1,0)</f>
        <v>#REF!</v>
      </c>
      <c r="AU24" s="270" t="e">
        <f t="array" ref="AU24">IF(AND(AU$2&lt;&gt;0,#REF!&gt;=AU$2),1,0)</f>
        <v>#REF!</v>
      </c>
      <c r="AV24" s="270" t="e">
        <f t="array" ref="AV24">IF(AND(AV$2&lt;&gt;0,#REF!&gt;=AV$2),1,0)</f>
        <v>#REF!</v>
      </c>
      <c r="AW24" s="270" t="e">
        <f t="array" ref="AW24">IF(AND(AW$2&lt;&gt;0,#REF!&gt;=AW$2),1,0)</f>
        <v>#REF!</v>
      </c>
      <c r="AX24" s="270" t="e">
        <f t="array" ref="AX24">IF(AND(AX$2&lt;&gt;0,#REF!&gt;=AX$2),1,0)</f>
        <v>#REF!</v>
      </c>
      <c r="AY24" s="270" t="e">
        <f t="array" ref="AY24">IF(AND(AY$2&lt;&gt;0,#REF!&gt;=AY$2),1,0)</f>
        <v>#REF!</v>
      </c>
      <c r="AZ24" s="270" t="e">
        <f t="array" ref="AZ24">IF(AND(AZ$2&lt;&gt;0,#REF!&gt;=AZ$2),1,0)</f>
        <v>#REF!</v>
      </c>
      <c r="BA24" s="270" t="e">
        <f t="array" ref="BA24">IF(AND(BA$2&lt;&gt;0,#REF!&gt;=BA$2),1,0)</f>
        <v>#REF!</v>
      </c>
      <c r="BB24" s="270" t="e">
        <f t="array" ref="BB24">IF(AND(BB$2&lt;&gt;0,#REF!&gt;=BB$2),1,0)</f>
        <v>#REF!</v>
      </c>
      <c r="BC24" s="270" t="e">
        <f t="array" ref="BC24">IF(AND(BC$2&lt;&gt;0,#REF!&gt;=BC$2),1,0)</f>
        <v>#REF!</v>
      </c>
      <c r="BD24" s="270" t="e">
        <f t="array" ref="BD24">IF(AND(BD$2&lt;&gt;0,#REF!&gt;=BD$2),1,0)</f>
        <v>#REF!</v>
      </c>
      <c r="BE24" s="270" t="e">
        <f t="array" ref="BE24">IF(AND(BE$2&lt;&gt;0,#REF!&gt;=BE$2),1,0)</f>
        <v>#REF!</v>
      </c>
      <c r="BF24" s="270" t="e">
        <f t="array" ref="BF24">IF(AND(BF$2&lt;&gt;0,#REF!&gt;=BF$2),1,0)</f>
        <v>#REF!</v>
      </c>
      <c r="BG24" s="270" t="e">
        <f t="array" ref="BG24">IF(AND(BG$2&lt;&gt;0,#REF!&gt;=BG$2),1,0)</f>
        <v>#REF!</v>
      </c>
      <c r="BH24" s="270" t="e">
        <f t="array" ref="BH24">IF(AND(BH$2&lt;&gt;0,#REF!&gt;=BH$2),1,0)</f>
        <v>#REF!</v>
      </c>
      <c r="BI24" s="270" t="e">
        <f t="array" ref="BI24">IF(AND(BI$2&lt;&gt;0,#REF!&gt;=BI$2),1,0)</f>
        <v>#REF!</v>
      </c>
      <c r="BJ24" s="270" t="e">
        <f t="array" ref="BJ24">IF(AND(BJ$2&lt;&gt;0,#REF!&gt;=BJ$2),1,0)</f>
        <v>#REF!</v>
      </c>
      <c r="BK24" s="270" t="e">
        <f t="array" ref="BK24">IF(AND(BK$2&lt;&gt;0,#REF!&gt;=BK$2),1,0)</f>
        <v>#REF!</v>
      </c>
      <c r="BL24" s="270" t="e">
        <f t="array" ref="BL24">IF(AND(BL$2&lt;&gt;0,#REF!&gt;=BL$2),1,0)</f>
        <v>#REF!</v>
      </c>
      <c r="BM24" s="270" t="e">
        <f t="array" ref="BM24">IF(AND(BM$2&lt;&gt;0,#REF!&gt;=BM$2),1,0)</f>
        <v>#REF!</v>
      </c>
      <c r="BN24" s="270" t="e">
        <f t="array" ref="BN24">IF(AND(BN$2&lt;&gt;0,#REF!&gt;=BN$2),1,0)</f>
        <v>#REF!</v>
      </c>
      <c r="BO24" s="270" t="e">
        <f t="array" ref="BO24">IF(AND(BO$2&lt;&gt;0,#REF!&gt;=BO$2),1,0)</f>
        <v>#REF!</v>
      </c>
      <c r="BP24" s="270" t="e">
        <f t="array" ref="BP24">IF(AND(BP$2&lt;&gt;0,#REF!&gt;=BP$2),1,0)</f>
        <v>#REF!</v>
      </c>
      <c r="BQ24" s="270" t="e">
        <f t="array" ref="BQ24">IF(AND(BQ$2&lt;&gt;0,#REF!&gt;=BQ$2),1,0)</f>
        <v>#REF!</v>
      </c>
      <c r="BR24" s="270" t="e">
        <f t="array" ref="BR24">IF(AND(BR$2&lt;&gt;0,#REF!&gt;=BR$2),1,0)</f>
        <v>#REF!</v>
      </c>
      <c r="BS24" s="270" t="e">
        <f t="array" ref="BS24">IF(AND(BS$2&lt;&gt;0,#REF!&gt;=BS$2),1,0)</f>
        <v>#REF!</v>
      </c>
      <c r="BT24" s="270" t="e">
        <f t="array" ref="BT24">IF(AND(BT$2&lt;&gt;0,#REF!&gt;=BT$2),1,0)</f>
        <v>#REF!</v>
      </c>
      <c r="BU24" s="270" t="e">
        <f t="array" ref="BU24">IF(AND(BU$2&lt;&gt;0,#REF!&gt;=BU$2),1,0)</f>
        <v>#REF!</v>
      </c>
      <c r="BV24" s="270" t="e">
        <f t="array" ref="BV24">IF(AND(BV$2&lt;&gt;0,#REF!&gt;=BV$2),1,0)</f>
        <v>#REF!</v>
      </c>
      <c r="BW24" s="270" t="e">
        <f t="array" ref="BW24">IF(AND(BW$2&lt;&gt;0,#REF!&gt;=BW$2),1,0)</f>
        <v>#REF!</v>
      </c>
      <c r="BX24" s="270" t="e">
        <f t="array" ref="BX24">IF(AND(BX$2&lt;&gt;0,#REF!&gt;=BX$2),1,0)</f>
        <v>#REF!</v>
      </c>
      <c r="BY24" s="270" t="e">
        <f t="array" ref="BY24">IF(AND(BY$2&lt;&gt;0,#REF!&gt;=BY$2),1,0)</f>
        <v>#REF!</v>
      </c>
      <c r="BZ24" s="270" t="e">
        <f t="array" ref="BZ24">IF(AND(BZ$2&lt;&gt;0,#REF!&gt;=BZ$2),1,0)</f>
        <v>#REF!</v>
      </c>
      <c r="CA24" s="359">
        <f>IFERROR(INDEX($H$4:$H$79,MATCH(INDEX(#REF!,1,MATCH(#REF!,$M$2:$BZ$2,0)),$G$4:$G$79,0)),)</f>
        <v>0</v>
      </c>
    </row>
    <row r="25" spans="1:79" x14ac:dyDescent="0.25">
      <c r="A25" s="262" t="e">
        <f>#REF!</f>
        <v>#REF!</v>
      </c>
      <c r="B25" s="263" t="e">
        <f>#REF!</f>
        <v>#REF!</v>
      </c>
      <c r="C25" s="264" t="e">
        <f>#REF!</f>
        <v>#REF!</v>
      </c>
      <c r="D25" s="264" t="e">
        <f>#REF!</f>
        <v>#REF!</v>
      </c>
      <c r="E25" s="265"/>
      <c r="F25" s="266"/>
      <c r="G25" s="267" t="s">
        <v>565</v>
      </c>
      <c r="H25" s="268" t="s">
        <v>700</v>
      </c>
      <c r="I25" s="267" t="s">
        <v>566</v>
      </c>
      <c r="J25" s="263"/>
      <c r="K25" s="89" t="e">
        <f ca="1">IF(#REF!&lt;&gt;OFFSET(#REF!,-1,0),1,0)</f>
        <v>#REF!</v>
      </c>
      <c r="L25" s="269" t="e">
        <f>COUNTIF(#REF!,1)</f>
        <v>#REF!</v>
      </c>
      <c r="M25" s="270" t="e">
        <f t="array" ref="M25">IF(AND(M$2&lt;&gt;0,#REF!&gt;=M$2),1,0)</f>
        <v>#REF!</v>
      </c>
      <c r="N25" s="270" t="e">
        <f t="array" ref="N25">IF(AND(N$2&lt;&gt;0,#REF!&gt;=N$2),1,0)</f>
        <v>#REF!</v>
      </c>
      <c r="O25" s="270" t="e">
        <f t="array" ref="O25">IF(AND(O$2&lt;&gt;0,#REF!&gt;=O$2),1,0)</f>
        <v>#REF!</v>
      </c>
      <c r="P25" s="270" t="e">
        <f t="array" ref="P25">IF(AND(P$2&lt;&gt;0,#REF!&gt;=P$2),1,0)</f>
        <v>#REF!</v>
      </c>
      <c r="Q25" s="270" t="e">
        <f t="array" ref="Q25">IF(AND(Q$2&lt;&gt;0,#REF!&gt;=Q$2),1,0)</f>
        <v>#REF!</v>
      </c>
      <c r="R25" s="270" t="e">
        <f t="array" ref="R25">IF(AND(R$2&lt;&gt;0,#REF!&gt;=R$2),1,0)</f>
        <v>#REF!</v>
      </c>
      <c r="S25" s="270" t="e">
        <f t="array" ref="S25">IF(AND(S$2&lt;&gt;0,#REF!&gt;=S$2),1,0)</f>
        <v>#REF!</v>
      </c>
      <c r="T25" s="270" t="e">
        <f t="array" ref="T25">IF(AND(T$2&lt;&gt;0,#REF!&gt;=T$2),1,0)</f>
        <v>#REF!</v>
      </c>
      <c r="U25" s="270" t="e">
        <f t="array" ref="U25">IF(AND(U$2&lt;&gt;0,#REF!&gt;=U$2),1,0)</f>
        <v>#REF!</v>
      </c>
      <c r="V25" s="270" t="e">
        <f t="array" ref="V25">IF(AND(V$2&lt;&gt;0,#REF!&gt;=V$2),1,0)</f>
        <v>#REF!</v>
      </c>
      <c r="W25" s="270" t="e">
        <f t="array" ref="W25">IF(AND(W$2&lt;&gt;0,#REF!&gt;=W$2),1,0)</f>
        <v>#REF!</v>
      </c>
      <c r="X25" s="270" t="e">
        <f t="array" ref="X25">IF(AND(X$2&lt;&gt;0,#REF!&gt;=X$2),1,0)</f>
        <v>#REF!</v>
      </c>
      <c r="Y25" s="270" t="e">
        <f t="array" ref="Y25">IF(AND(Y$2&lt;&gt;0,#REF!&gt;=Y$2),1,0)</f>
        <v>#REF!</v>
      </c>
      <c r="Z25" s="270" t="e">
        <f t="array" ref="Z25">IF(AND(Z$2&lt;&gt;0,#REF!&gt;=Z$2),1,0)</f>
        <v>#REF!</v>
      </c>
      <c r="AA25" s="270" t="e">
        <f t="array" ref="AA25">IF(AND(AA$2&lt;&gt;0,#REF!&gt;=AA$2),1,0)</f>
        <v>#REF!</v>
      </c>
      <c r="AB25" s="270" t="e">
        <f t="array" ref="AB25">IF(AND(AB$2&lt;&gt;0,#REF!&gt;=AB$2),1,0)</f>
        <v>#REF!</v>
      </c>
      <c r="AC25" s="270" t="e">
        <f t="array" ref="AC25">IF(AND(AC$2&lt;&gt;0,#REF!&gt;=AC$2),1,0)</f>
        <v>#REF!</v>
      </c>
      <c r="AD25" s="270" t="e">
        <f t="array" ref="AD25">IF(AND(AD$2&lt;&gt;0,#REF!&gt;=AD$2),1,0)</f>
        <v>#REF!</v>
      </c>
      <c r="AE25" s="270" t="e">
        <f t="array" ref="AE25">IF(AND(AE$2&lt;&gt;0,#REF!&gt;=AE$2),1,0)</f>
        <v>#REF!</v>
      </c>
      <c r="AF25" s="270" t="e">
        <f t="array" ref="AF25">IF(AND(AF$2&lt;&gt;0,#REF!&gt;=AF$2),1,0)</f>
        <v>#REF!</v>
      </c>
      <c r="AG25" s="270" t="e">
        <f t="array" ref="AG25">IF(AND(AG$2&lt;&gt;0,#REF!&gt;=AG$2),1,0)</f>
        <v>#REF!</v>
      </c>
      <c r="AH25" s="270" t="e">
        <f t="array" ref="AH25">IF(AND(AH$2&lt;&gt;0,#REF!&gt;=AH$2),1,0)</f>
        <v>#REF!</v>
      </c>
      <c r="AI25" s="270" t="e">
        <f t="array" ref="AI25">IF(AND(AI$2&lt;&gt;0,#REF!&gt;=AI$2),1,0)</f>
        <v>#REF!</v>
      </c>
      <c r="AJ25" s="270" t="e">
        <f t="array" ref="AJ25">IF(AND(AJ$2&lt;&gt;0,#REF!&gt;=AJ$2),1,0)</f>
        <v>#REF!</v>
      </c>
      <c r="AK25" s="270" t="e">
        <f t="array" ref="AK25">IF(AND(AK$2&lt;&gt;0,#REF!&gt;=AK$2),1,0)</f>
        <v>#REF!</v>
      </c>
      <c r="AL25" s="270" t="e">
        <f t="array" ref="AL25">IF(AND(AL$2&lt;&gt;0,#REF!&gt;=AL$2),1,0)</f>
        <v>#REF!</v>
      </c>
      <c r="AM25" s="270" t="e">
        <f t="array" ref="AM25">IF(AND(AM$2&lt;&gt;0,#REF!&gt;=AM$2),1,0)</f>
        <v>#REF!</v>
      </c>
      <c r="AN25" s="270" t="e">
        <f t="array" ref="AN25">IF(AND(AN$2&lt;&gt;0,#REF!&gt;=AN$2),1,0)</f>
        <v>#REF!</v>
      </c>
      <c r="AO25" s="270" t="e">
        <f t="array" ref="AO25">IF(AND(AO$2&lt;&gt;0,#REF!&gt;=AO$2),1,0)</f>
        <v>#REF!</v>
      </c>
      <c r="AP25" s="270" t="e">
        <f t="array" ref="AP25">IF(AND(AP$2&lt;&gt;0,#REF!&gt;=AP$2),1,0)</f>
        <v>#REF!</v>
      </c>
      <c r="AQ25" s="270" t="e">
        <f t="array" ref="AQ25">IF(AND(AQ$2&lt;&gt;0,#REF!&gt;=AQ$2),1,0)</f>
        <v>#REF!</v>
      </c>
      <c r="AR25" s="270" t="e">
        <f t="array" ref="AR25">IF(AND(AR$2&lt;&gt;0,#REF!&gt;=AR$2),1,0)</f>
        <v>#REF!</v>
      </c>
      <c r="AS25" s="270" t="e">
        <f t="array" ref="AS25">IF(AND(AS$2&lt;&gt;0,#REF!&gt;=AS$2),1,0)</f>
        <v>#REF!</v>
      </c>
      <c r="AT25" s="270" t="e">
        <f t="array" ref="AT25">IF(AND(AT$2&lt;&gt;0,#REF!&gt;=AT$2),1,0)</f>
        <v>#REF!</v>
      </c>
      <c r="AU25" s="270" t="e">
        <f t="array" ref="AU25">IF(AND(AU$2&lt;&gt;0,#REF!&gt;=AU$2),1,0)</f>
        <v>#REF!</v>
      </c>
      <c r="AV25" s="270" t="e">
        <f t="array" ref="AV25">IF(AND(AV$2&lt;&gt;0,#REF!&gt;=AV$2),1,0)</f>
        <v>#REF!</v>
      </c>
      <c r="AW25" s="270" t="e">
        <f t="array" ref="AW25">IF(AND(AW$2&lt;&gt;0,#REF!&gt;=AW$2),1,0)</f>
        <v>#REF!</v>
      </c>
      <c r="AX25" s="270" t="e">
        <f t="array" ref="AX25">IF(AND(AX$2&lt;&gt;0,#REF!&gt;=AX$2),1,0)</f>
        <v>#REF!</v>
      </c>
      <c r="AY25" s="270" t="e">
        <f t="array" ref="AY25">IF(AND(AY$2&lt;&gt;0,#REF!&gt;=AY$2),1,0)</f>
        <v>#REF!</v>
      </c>
      <c r="AZ25" s="270" t="e">
        <f t="array" ref="AZ25">IF(AND(AZ$2&lt;&gt;0,#REF!&gt;=AZ$2),1,0)</f>
        <v>#REF!</v>
      </c>
      <c r="BA25" s="270" t="e">
        <f t="array" ref="BA25">IF(AND(BA$2&lt;&gt;0,#REF!&gt;=BA$2),1,0)</f>
        <v>#REF!</v>
      </c>
      <c r="BB25" s="270" t="e">
        <f t="array" ref="BB25">IF(AND(BB$2&lt;&gt;0,#REF!&gt;=BB$2),1,0)</f>
        <v>#REF!</v>
      </c>
      <c r="BC25" s="270" t="e">
        <f t="array" ref="BC25">IF(AND(BC$2&lt;&gt;0,#REF!&gt;=BC$2),1,0)</f>
        <v>#REF!</v>
      </c>
      <c r="BD25" s="270" t="e">
        <f t="array" ref="BD25">IF(AND(BD$2&lt;&gt;0,#REF!&gt;=BD$2),1,0)</f>
        <v>#REF!</v>
      </c>
      <c r="BE25" s="270" t="e">
        <f t="array" ref="BE25">IF(AND(BE$2&lt;&gt;0,#REF!&gt;=BE$2),1,0)</f>
        <v>#REF!</v>
      </c>
      <c r="BF25" s="270" t="e">
        <f t="array" ref="BF25">IF(AND(BF$2&lt;&gt;0,#REF!&gt;=BF$2),1,0)</f>
        <v>#REF!</v>
      </c>
      <c r="BG25" s="270" t="e">
        <f t="array" ref="BG25">IF(AND(BG$2&lt;&gt;0,#REF!&gt;=BG$2),1,0)</f>
        <v>#REF!</v>
      </c>
      <c r="BH25" s="270" t="e">
        <f t="array" ref="BH25">IF(AND(BH$2&lt;&gt;0,#REF!&gt;=BH$2),1,0)</f>
        <v>#REF!</v>
      </c>
      <c r="BI25" s="270" t="e">
        <f t="array" ref="BI25">IF(AND(BI$2&lt;&gt;0,#REF!&gt;=BI$2),1,0)</f>
        <v>#REF!</v>
      </c>
      <c r="BJ25" s="270" t="e">
        <f t="array" ref="BJ25">IF(AND(BJ$2&lt;&gt;0,#REF!&gt;=BJ$2),1,0)</f>
        <v>#REF!</v>
      </c>
      <c r="BK25" s="270" t="e">
        <f t="array" ref="BK25">IF(AND(BK$2&lt;&gt;0,#REF!&gt;=BK$2),1,0)</f>
        <v>#REF!</v>
      </c>
      <c r="BL25" s="270" t="e">
        <f t="array" ref="BL25">IF(AND(BL$2&lt;&gt;0,#REF!&gt;=BL$2),1,0)</f>
        <v>#REF!</v>
      </c>
      <c r="BM25" s="270" t="e">
        <f t="array" ref="BM25">IF(AND(BM$2&lt;&gt;0,#REF!&gt;=BM$2),1,0)</f>
        <v>#REF!</v>
      </c>
      <c r="BN25" s="270" t="e">
        <f t="array" ref="BN25">IF(AND(BN$2&lt;&gt;0,#REF!&gt;=BN$2),1,0)</f>
        <v>#REF!</v>
      </c>
      <c r="BO25" s="270" t="e">
        <f t="array" ref="BO25">IF(AND(BO$2&lt;&gt;0,#REF!&gt;=BO$2),1,0)</f>
        <v>#REF!</v>
      </c>
      <c r="BP25" s="270" t="e">
        <f t="array" ref="BP25">IF(AND(BP$2&lt;&gt;0,#REF!&gt;=BP$2),1,0)</f>
        <v>#REF!</v>
      </c>
      <c r="BQ25" s="270" t="e">
        <f t="array" ref="BQ25">IF(AND(BQ$2&lt;&gt;0,#REF!&gt;=BQ$2),1,0)</f>
        <v>#REF!</v>
      </c>
      <c r="BR25" s="270" t="e">
        <f t="array" ref="BR25">IF(AND(BR$2&lt;&gt;0,#REF!&gt;=BR$2),1,0)</f>
        <v>#REF!</v>
      </c>
      <c r="BS25" s="270" t="e">
        <f t="array" ref="BS25">IF(AND(BS$2&lt;&gt;0,#REF!&gt;=BS$2),1,0)</f>
        <v>#REF!</v>
      </c>
      <c r="BT25" s="270" t="e">
        <f t="array" ref="BT25">IF(AND(BT$2&lt;&gt;0,#REF!&gt;=BT$2),1,0)</f>
        <v>#REF!</v>
      </c>
      <c r="BU25" s="270" t="e">
        <f t="array" ref="BU25">IF(AND(BU$2&lt;&gt;0,#REF!&gt;=BU$2),1,0)</f>
        <v>#REF!</v>
      </c>
      <c r="BV25" s="270" t="e">
        <f t="array" ref="BV25">IF(AND(BV$2&lt;&gt;0,#REF!&gt;=BV$2),1,0)</f>
        <v>#REF!</v>
      </c>
      <c r="BW25" s="270" t="e">
        <f t="array" ref="BW25">IF(AND(BW$2&lt;&gt;0,#REF!&gt;=BW$2),1,0)</f>
        <v>#REF!</v>
      </c>
      <c r="BX25" s="270" t="e">
        <f t="array" ref="BX25">IF(AND(BX$2&lt;&gt;0,#REF!&gt;=BX$2),1,0)</f>
        <v>#REF!</v>
      </c>
      <c r="BY25" s="270" t="e">
        <f t="array" ref="BY25">IF(AND(BY$2&lt;&gt;0,#REF!&gt;=BY$2),1,0)</f>
        <v>#REF!</v>
      </c>
      <c r="BZ25" s="270" t="e">
        <f t="array" ref="BZ25">IF(AND(BZ$2&lt;&gt;0,#REF!&gt;=BZ$2),1,0)</f>
        <v>#REF!</v>
      </c>
      <c r="CA25" s="359">
        <f>IFERROR(INDEX($H$4:$H$79,MATCH(INDEX(#REF!,1,MATCH(#REF!,$M$2:$BZ$2,0)),$G$4:$G$79,0)),)</f>
        <v>0</v>
      </c>
    </row>
    <row r="26" spans="1:79" x14ac:dyDescent="0.25">
      <c r="A26" s="262" t="e">
        <f>#REF!</f>
        <v>#REF!</v>
      </c>
      <c r="B26" s="263" t="e">
        <f>#REF!</f>
        <v>#REF!</v>
      </c>
      <c r="C26" s="264" t="e">
        <f>#REF!</f>
        <v>#REF!</v>
      </c>
      <c r="D26" s="264" t="e">
        <f>#REF!</f>
        <v>#REF!</v>
      </c>
      <c r="E26" s="265"/>
      <c r="F26" s="266"/>
      <c r="G26" s="267"/>
      <c r="H26" s="268"/>
      <c r="I26" s="267"/>
      <c r="J26" s="263"/>
      <c r="K26" s="89" t="e">
        <f ca="1">IF(#REF!&lt;&gt;OFFSET(#REF!,-1,0),1,0)</f>
        <v>#REF!</v>
      </c>
      <c r="L26" s="269" t="e">
        <f>COUNTIF(#REF!,1)</f>
        <v>#REF!</v>
      </c>
      <c r="M26" s="270" t="e">
        <f t="array" ref="M26">IF(AND(M$2&lt;&gt;0,#REF!&gt;=M$2),1,0)</f>
        <v>#REF!</v>
      </c>
      <c r="N26" s="270" t="e">
        <f t="array" ref="N26">IF(AND(N$2&lt;&gt;0,#REF!&gt;=N$2),1,0)</f>
        <v>#REF!</v>
      </c>
      <c r="O26" s="270" t="e">
        <f t="array" ref="O26">IF(AND(O$2&lt;&gt;0,#REF!&gt;=O$2),1,0)</f>
        <v>#REF!</v>
      </c>
      <c r="P26" s="270" t="e">
        <f t="array" ref="P26">IF(AND(P$2&lt;&gt;0,#REF!&gt;=P$2),1,0)</f>
        <v>#REF!</v>
      </c>
      <c r="Q26" s="270" t="e">
        <f t="array" ref="Q26">IF(AND(Q$2&lt;&gt;0,#REF!&gt;=Q$2),1,0)</f>
        <v>#REF!</v>
      </c>
      <c r="R26" s="270" t="e">
        <f t="array" ref="R26">IF(AND(R$2&lt;&gt;0,#REF!&gt;=R$2),1,0)</f>
        <v>#REF!</v>
      </c>
      <c r="S26" s="270" t="e">
        <f t="array" ref="S26">IF(AND(S$2&lt;&gt;0,#REF!&gt;=S$2),1,0)</f>
        <v>#REF!</v>
      </c>
      <c r="T26" s="270" t="e">
        <f t="array" ref="T26">IF(AND(T$2&lt;&gt;0,#REF!&gt;=T$2),1,0)</f>
        <v>#REF!</v>
      </c>
      <c r="U26" s="270" t="e">
        <f t="array" ref="U26">IF(AND(U$2&lt;&gt;0,#REF!&gt;=U$2),1,0)</f>
        <v>#REF!</v>
      </c>
      <c r="V26" s="270" t="e">
        <f t="array" ref="V26">IF(AND(V$2&lt;&gt;0,#REF!&gt;=V$2),1,0)</f>
        <v>#REF!</v>
      </c>
      <c r="W26" s="270" t="e">
        <f t="array" ref="W26">IF(AND(W$2&lt;&gt;0,#REF!&gt;=W$2),1,0)</f>
        <v>#REF!</v>
      </c>
      <c r="X26" s="270" t="e">
        <f t="array" ref="X26">IF(AND(X$2&lt;&gt;0,#REF!&gt;=X$2),1,0)</f>
        <v>#REF!</v>
      </c>
      <c r="Y26" s="270" t="e">
        <f t="array" ref="Y26">IF(AND(Y$2&lt;&gt;0,#REF!&gt;=Y$2),1,0)</f>
        <v>#REF!</v>
      </c>
      <c r="Z26" s="270" t="e">
        <f t="array" ref="Z26">IF(AND(Z$2&lt;&gt;0,#REF!&gt;=Z$2),1,0)</f>
        <v>#REF!</v>
      </c>
      <c r="AA26" s="270" t="e">
        <f t="array" ref="AA26">IF(AND(AA$2&lt;&gt;0,#REF!&gt;=AA$2),1,0)</f>
        <v>#REF!</v>
      </c>
      <c r="AB26" s="270" t="e">
        <f t="array" ref="AB26">IF(AND(AB$2&lt;&gt;0,#REF!&gt;=AB$2),1,0)</f>
        <v>#REF!</v>
      </c>
      <c r="AC26" s="270" t="e">
        <f t="array" ref="AC26">IF(AND(AC$2&lt;&gt;0,#REF!&gt;=AC$2),1,0)</f>
        <v>#REF!</v>
      </c>
      <c r="AD26" s="270" t="e">
        <f t="array" ref="AD26">IF(AND(AD$2&lt;&gt;0,#REF!&gt;=AD$2),1,0)</f>
        <v>#REF!</v>
      </c>
      <c r="AE26" s="270" t="e">
        <f t="array" ref="AE26">IF(AND(AE$2&lt;&gt;0,#REF!&gt;=AE$2),1,0)</f>
        <v>#REF!</v>
      </c>
      <c r="AF26" s="270" t="e">
        <f t="array" ref="AF26">IF(AND(AF$2&lt;&gt;0,#REF!&gt;=AF$2),1,0)</f>
        <v>#REF!</v>
      </c>
      <c r="AG26" s="270" t="e">
        <f t="array" ref="AG26">IF(AND(AG$2&lt;&gt;0,#REF!&gt;=AG$2),1,0)</f>
        <v>#REF!</v>
      </c>
      <c r="AH26" s="270" t="e">
        <f t="array" ref="AH26">IF(AND(AH$2&lt;&gt;0,#REF!&gt;=AH$2),1,0)</f>
        <v>#REF!</v>
      </c>
      <c r="AI26" s="270" t="e">
        <f t="array" ref="AI26">IF(AND(AI$2&lt;&gt;0,#REF!&gt;=AI$2),1,0)</f>
        <v>#REF!</v>
      </c>
      <c r="AJ26" s="270" t="e">
        <f t="array" ref="AJ26">IF(AND(AJ$2&lt;&gt;0,#REF!&gt;=AJ$2),1,0)</f>
        <v>#REF!</v>
      </c>
      <c r="AK26" s="270" t="e">
        <f t="array" ref="AK26">IF(AND(AK$2&lt;&gt;0,#REF!&gt;=AK$2),1,0)</f>
        <v>#REF!</v>
      </c>
      <c r="AL26" s="270" t="e">
        <f t="array" ref="AL26">IF(AND(AL$2&lt;&gt;0,#REF!&gt;=AL$2),1,0)</f>
        <v>#REF!</v>
      </c>
      <c r="AM26" s="270" t="e">
        <f t="array" ref="AM26">IF(AND(AM$2&lt;&gt;0,#REF!&gt;=AM$2),1,0)</f>
        <v>#REF!</v>
      </c>
      <c r="AN26" s="270" t="e">
        <f t="array" ref="AN26">IF(AND(AN$2&lt;&gt;0,#REF!&gt;=AN$2),1,0)</f>
        <v>#REF!</v>
      </c>
      <c r="AO26" s="270" t="e">
        <f t="array" ref="AO26">IF(AND(AO$2&lt;&gt;0,#REF!&gt;=AO$2),1,0)</f>
        <v>#REF!</v>
      </c>
      <c r="AP26" s="270" t="e">
        <f t="array" ref="AP26">IF(AND(AP$2&lt;&gt;0,#REF!&gt;=AP$2),1,0)</f>
        <v>#REF!</v>
      </c>
      <c r="AQ26" s="270" t="e">
        <f t="array" ref="AQ26">IF(AND(AQ$2&lt;&gt;0,#REF!&gt;=AQ$2),1,0)</f>
        <v>#REF!</v>
      </c>
      <c r="AR26" s="270" t="e">
        <f t="array" ref="AR26">IF(AND(AR$2&lt;&gt;0,#REF!&gt;=AR$2),1,0)</f>
        <v>#REF!</v>
      </c>
      <c r="AS26" s="270" t="e">
        <f t="array" ref="AS26">IF(AND(AS$2&lt;&gt;0,#REF!&gt;=AS$2),1,0)</f>
        <v>#REF!</v>
      </c>
      <c r="AT26" s="270" t="e">
        <f t="array" ref="AT26">IF(AND(AT$2&lt;&gt;0,#REF!&gt;=AT$2),1,0)</f>
        <v>#REF!</v>
      </c>
      <c r="AU26" s="270" t="e">
        <f t="array" ref="AU26">IF(AND(AU$2&lt;&gt;0,#REF!&gt;=AU$2),1,0)</f>
        <v>#REF!</v>
      </c>
      <c r="AV26" s="270" t="e">
        <f t="array" ref="AV26">IF(AND(AV$2&lt;&gt;0,#REF!&gt;=AV$2),1,0)</f>
        <v>#REF!</v>
      </c>
      <c r="AW26" s="270" t="e">
        <f t="array" ref="AW26">IF(AND(AW$2&lt;&gt;0,#REF!&gt;=AW$2),1,0)</f>
        <v>#REF!</v>
      </c>
      <c r="AX26" s="270" t="e">
        <f t="array" ref="AX26">IF(AND(AX$2&lt;&gt;0,#REF!&gt;=AX$2),1,0)</f>
        <v>#REF!</v>
      </c>
      <c r="AY26" s="270" t="e">
        <f t="array" ref="AY26">IF(AND(AY$2&lt;&gt;0,#REF!&gt;=AY$2),1,0)</f>
        <v>#REF!</v>
      </c>
      <c r="AZ26" s="270" t="e">
        <f t="array" ref="AZ26">IF(AND(AZ$2&lt;&gt;0,#REF!&gt;=AZ$2),1,0)</f>
        <v>#REF!</v>
      </c>
      <c r="BA26" s="270" t="e">
        <f t="array" ref="BA26">IF(AND(BA$2&lt;&gt;0,#REF!&gt;=BA$2),1,0)</f>
        <v>#REF!</v>
      </c>
      <c r="BB26" s="270" t="e">
        <f t="array" ref="BB26">IF(AND(BB$2&lt;&gt;0,#REF!&gt;=BB$2),1,0)</f>
        <v>#REF!</v>
      </c>
      <c r="BC26" s="270" t="e">
        <f t="array" ref="BC26">IF(AND(BC$2&lt;&gt;0,#REF!&gt;=BC$2),1,0)</f>
        <v>#REF!</v>
      </c>
      <c r="BD26" s="270" t="e">
        <f t="array" ref="BD26">IF(AND(BD$2&lt;&gt;0,#REF!&gt;=BD$2),1,0)</f>
        <v>#REF!</v>
      </c>
      <c r="BE26" s="270" t="e">
        <f t="array" ref="BE26">IF(AND(BE$2&lt;&gt;0,#REF!&gt;=BE$2),1,0)</f>
        <v>#REF!</v>
      </c>
      <c r="BF26" s="270" t="e">
        <f t="array" ref="BF26">IF(AND(BF$2&lt;&gt;0,#REF!&gt;=BF$2),1,0)</f>
        <v>#REF!</v>
      </c>
      <c r="BG26" s="270" t="e">
        <f t="array" ref="BG26">IF(AND(BG$2&lt;&gt;0,#REF!&gt;=BG$2),1,0)</f>
        <v>#REF!</v>
      </c>
      <c r="BH26" s="270" t="e">
        <f t="array" ref="BH26">IF(AND(BH$2&lt;&gt;0,#REF!&gt;=BH$2),1,0)</f>
        <v>#REF!</v>
      </c>
      <c r="BI26" s="270" t="e">
        <f t="array" ref="BI26">IF(AND(BI$2&lt;&gt;0,#REF!&gt;=BI$2),1,0)</f>
        <v>#REF!</v>
      </c>
      <c r="BJ26" s="270" t="e">
        <f t="array" ref="BJ26">IF(AND(BJ$2&lt;&gt;0,#REF!&gt;=BJ$2),1,0)</f>
        <v>#REF!</v>
      </c>
      <c r="BK26" s="270" t="e">
        <f t="array" ref="BK26">IF(AND(BK$2&lt;&gt;0,#REF!&gt;=BK$2),1,0)</f>
        <v>#REF!</v>
      </c>
      <c r="BL26" s="270" t="e">
        <f t="array" ref="BL26">IF(AND(BL$2&lt;&gt;0,#REF!&gt;=BL$2),1,0)</f>
        <v>#REF!</v>
      </c>
      <c r="BM26" s="270" t="e">
        <f t="array" ref="BM26">IF(AND(BM$2&lt;&gt;0,#REF!&gt;=BM$2),1,0)</f>
        <v>#REF!</v>
      </c>
      <c r="BN26" s="270" t="e">
        <f t="array" ref="BN26">IF(AND(BN$2&lt;&gt;0,#REF!&gt;=BN$2),1,0)</f>
        <v>#REF!</v>
      </c>
      <c r="BO26" s="270" t="e">
        <f t="array" ref="BO26">IF(AND(BO$2&lt;&gt;0,#REF!&gt;=BO$2),1,0)</f>
        <v>#REF!</v>
      </c>
      <c r="BP26" s="270" t="e">
        <f t="array" ref="BP26">IF(AND(BP$2&lt;&gt;0,#REF!&gt;=BP$2),1,0)</f>
        <v>#REF!</v>
      </c>
      <c r="BQ26" s="270" t="e">
        <f t="array" ref="BQ26">IF(AND(BQ$2&lt;&gt;0,#REF!&gt;=BQ$2),1,0)</f>
        <v>#REF!</v>
      </c>
      <c r="BR26" s="270" t="e">
        <f t="array" ref="BR26">IF(AND(BR$2&lt;&gt;0,#REF!&gt;=BR$2),1,0)</f>
        <v>#REF!</v>
      </c>
      <c r="BS26" s="270" t="e">
        <f t="array" ref="BS26">IF(AND(BS$2&lt;&gt;0,#REF!&gt;=BS$2),1,0)</f>
        <v>#REF!</v>
      </c>
      <c r="BT26" s="270" t="e">
        <f t="array" ref="BT26">IF(AND(BT$2&lt;&gt;0,#REF!&gt;=BT$2),1,0)</f>
        <v>#REF!</v>
      </c>
      <c r="BU26" s="270" t="e">
        <f t="array" ref="BU26">IF(AND(BU$2&lt;&gt;0,#REF!&gt;=BU$2),1,0)</f>
        <v>#REF!</v>
      </c>
      <c r="BV26" s="270" t="e">
        <f t="array" ref="BV26">IF(AND(BV$2&lt;&gt;0,#REF!&gt;=BV$2),1,0)</f>
        <v>#REF!</v>
      </c>
      <c r="BW26" s="270" t="e">
        <f t="array" ref="BW26">IF(AND(BW$2&lt;&gt;0,#REF!&gt;=BW$2),1,0)</f>
        <v>#REF!</v>
      </c>
      <c r="BX26" s="270" t="e">
        <f t="array" ref="BX26">IF(AND(BX$2&lt;&gt;0,#REF!&gt;=BX$2),1,0)</f>
        <v>#REF!</v>
      </c>
      <c r="BY26" s="270" t="e">
        <f t="array" ref="BY26">IF(AND(BY$2&lt;&gt;0,#REF!&gt;=BY$2),1,0)</f>
        <v>#REF!</v>
      </c>
      <c r="BZ26" s="270" t="e">
        <f t="array" ref="BZ26">IF(AND(BZ$2&lt;&gt;0,#REF!&gt;=BZ$2),1,0)</f>
        <v>#REF!</v>
      </c>
      <c r="CA26" s="359">
        <f>IFERROR(INDEX($H$4:$H$79,MATCH(INDEX(#REF!,1,MATCH(#REF!,$M$2:$BZ$2,0)),$G$4:$G$79,0)),)</f>
        <v>0</v>
      </c>
    </row>
    <row r="27" spans="1:79" x14ac:dyDescent="0.25">
      <c r="A27" s="262" t="e">
        <f>#REF!</f>
        <v>#REF!</v>
      </c>
      <c r="B27" s="263" t="e">
        <f>#REF!</f>
        <v>#REF!</v>
      </c>
      <c r="C27" s="264" t="e">
        <f>#REF!</f>
        <v>#REF!</v>
      </c>
      <c r="D27" s="264" t="e">
        <f>#REF!</f>
        <v>#REF!</v>
      </c>
      <c r="E27" s="265"/>
      <c r="F27" s="266"/>
      <c r="G27" s="267" t="s">
        <v>567</v>
      </c>
      <c r="H27" s="268" t="s">
        <v>701</v>
      </c>
      <c r="I27" s="267" t="s">
        <v>568</v>
      </c>
      <c r="J27" s="263"/>
      <c r="K27" s="89" t="e">
        <f ca="1">IF(#REF!&lt;&gt;OFFSET(#REF!,-1,0),1,0)</f>
        <v>#REF!</v>
      </c>
      <c r="L27" s="269" t="e">
        <f>COUNTIF(#REF!,1)</f>
        <v>#REF!</v>
      </c>
      <c r="M27" s="270" t="e">
        <f t="array" ref="M27">IF(AND(M$2&lt;&gt;0,#REF!&gt;=M$2),1,0)</f>
        <v>#REF!</v>
      </c>
      <c r="N27" s="270" t="e">
        <f t="array" ref="N27">IF(AND(N$2&lt;&gt;0,#REF!&gt;=N$2),1,0)</f>
        <v>#REF!</v>
      </c>
      <c r="O27" s="270" t="e">
        <f t="array" ref="O27">IF(AND(O$2&lt;&gt;0,#REF!&gt;=O$2),1,0)</f>
        <v>#REF!</v>
      </c>
      <c r="P27" s="270" t="e">
        <f t="array" ref="P27">IF(AND(P$2&lt;&gt;0,#REF!&gt;=P$2),1,0)</f>
        <v>#REF!</v>
      </c>
      <c r="Q27" s="270" t="e">
        <f t="array" ref="Q27">IF(AND(Q$2&lt;&gt;0,#REF!&gt;=Q$2),1,0)</f>
        <v>#REF!</v>
      </c>
      <c r="R27" s="270" t="e">
        <f t="array" ref="R27">IF(AND(R$2&lt;&gt;0,#REF!&gt;=R$2),1,0)</f>
        <v>#REF!</v>
      </c>
      <c r="S27" s="270" t="e">
        <f t="array" ref="S27">IF(AND(S$2&lt;&gt;0,#REF!&gt;=S$2),1,0)</f>
        <v>#REF!</v>
      </c>
      <c r="T27" s="270" t="e">
        <f t="array" ref="T27">IF(AND(T$2&lt;&gt;0,#REF!&gt;=T$2),1,0)</f>
        <v>#REF!</v>
      </c>
      <c r="U27" s="270" t="e">
        <f t="array" ref="U27">IF(AND(U$2&lt;&gt;0,#REF!&gt;=U$2),1,0)</f>
        <v>#REF!</v>
      </c>
      <c r="V27" s="270" t="e">
        <f t="array" ref="V27">IF(AND(V$2&lt;&gt;0,#REF!&gt;=V$2),1,0)</f>
        <v>#REF!</v>
      </c>
      <c r="W27" s="270" t="e">
        <f t="array" ref="W27">IF(AND(W$2&lt;&gt;0,#REF!&gt;=W$2),1,0)</f>
        <v>#REF!</v>
      </c>
      <c r="X27" s="270" t="e">
        <f t="array" ref="X27">IF(AND(X$2&lt;&gt;0,#REF!&gt;=X$2),1,0)</f>
        <v>#REF!</v>
      </c>
      <c r="Y27" s="270" t="e">
        <f t="array" ref="Y27">IF(AND(Y$2&lt;&gt;0,#REF!&gt;=Y$2),1,0)</f>
        <v>#REF!</v>
      </c>
      <c r="Z27" s="270" t="e">
        <f t="array" ref="Z27">IF(AND(Z$2&lt;&gt;0,#REF!&gt;=Z$2),1,0)</f>
        <v>#REF!</v>
      </c>
      <c r="AA27" s="270" t="e">
        <f t="array" ref="AA27">IF(AND(AA$2&lt;&gt;0,#REF!&gt;=AA$2),1,0)</f>
        <v>#REF!</v>
      </c>
      <c r="AB27" s="270" t="e">
        <f t="array" ref="AB27">IF(AND(AB$2&lt;&gt;0,#REF!&gt;=AB$2),1,0)</f>
        <v>#REF!</v>
      </c>
      <c r="AC27" s="270" t="e">
        <f t="array" ref="AC27">IF(AND(AC$2&lt;&gt;0,#REF!&gt;=AC$2),1,0)</f>
        <v>#REF!</v>
      </c>
      <c r="AD27" s="270" t="e">
        <f t="array" ref="AD27">IF(AND(AD$2&lt;&gt;0,#REF!&gt;=AD$2),1,0)</f>
        <v>#REF!</v>
      </c>
      <c r="AE27" s="270" t="e">
        <f t="array" ref="AE27">IF(AND(AE$2&lt;&gt;0,#REF!&gt;=AE$2),1,0)</f>
        <v>#REF!</v>
      </c>
      <c r="AF27" s="270" t="e">
        <f t="array" ref="AF27">IF(AND(AF$2&lt;&gt;0,#REF!&gt;=AF$2),1,0)</f>
        <v>#REF!</v>
      </c>
      <c r="AG27" s="270" t="e">
        <f t="array" ref="AG27">IF(AND(AG$2&lt;&gt;0,#REF!&gt;=AG$2),1,0)</f>
        <v>#REF!</v>
      </c>
      <c r="AH27" s="270" t="e">
        <f t="array" ref="AH27">IF(AND(AH$2&lt;&gt;0,#REF!&gt;=AH$2),1,0)</f>
        <v>#REF!</v>
      </c>
      <c r="AI27" s="270" t="e">
        <f t="array" ref="AI27">IF(AND(AI$2&lt;&gt;0,#REF!&gt;=AI$2),1,0)</f>
        <v>#REF!</v>
      </c>
      <c r="AJ27" s="270" t="e">
        <f t="array" ref="AJ27">IF(AND(AJ$2&lt;&gt;0,#REF!&gt;=AJ$2),1,0)</f>
        <v>#REF!</v>
      </c>
      <c r="AK27" s="270" t="e">
        <f t="array" ref="AK27">IF(AND(AK$2&lt;&gt;0,#REF!&gt;=AK$2),1,0)</f>
        <v>#REF!</v>
      </c>
      <c r="AL27" s="270" t="e">
        <f t="array" ref="AL27">IF(AND(AL$2&lt;&gt;0,#REF!&gt;=AL$2),1,0)</f>
        <v>#REF!</v>
      </c>
      <c r="AM27" s="270" t="e">
        <f t="array" ref="AM27">IF(AND(AM$2&lt;&gt;0,#REF!&gt;=AM$2),1,0)</f>
        <v>#REF!</v>
      </c>
      <c r="AN27" s="270" t="e">
        <f t="array" ref="AN27">IF(AND(AN$2&lt;&gt;0,#REF!&gt;=AN$2),1,0)</f>
        <v>#REF!</v>
      </c>
      <c r="AO27" s="270" t="e">
        <f t="array" ref="AO27">IF(AND(AO$2&lt;&gt;0,#REF!&gt;=AO$2),1,0)</f>
        <v>#REF!</v>
      </c>
      <c r="AP27" s="270" t="e">
        <f t="array" ref="AP27">IF(AND(AP$2&lt;&gt;0,#REF!&gt;=AP$2),1,0)</f>
        <v>#REF!</v>
      </c>
      <c r="AQ27" s="270" t="e">
        <f t="array" ref="AQ27">IF(AND(AQ$2&lt;&gt;0,#REF!&gt;=AQ$2),1,0)</f>
        <v>#REF!</v>
      </c>
      <c r="AR27" s="270" t="e">
        <f t="array" ref="AR27">IF(AND(AR$2&lt;&gt;0,#REF!&gt;=AR$2),1,0)</f>
        <v>#REF!</v>
      </c>
      <c r="AS27" s="270" t="e">
        <f t="array" ref="AS27">IF(AND(AS$2&lt;&gt;0,#REF!&gt;=AS$2),1,0)</f>
        <v>#REF!</v>
      </c>
      <c r="AT27" s="270" t="e">
        <f t="array" ref="AT27">IF(AND(AT$2&lt;&gt;0,#REF!&gt;=AT$2),1,0)</f>
        <v>#REF!</v>
      </c>
      <c r="AU27" s="270" t="e">
        <f t="array" ref="AU27">IF(AND(AU$2&lt;&gt;0,#REF!&gt;=AU$2),1,0)</f>
        <v>#REF!</v>
      </c>
      <c r="AV27" s="270" t="e">
        <f t="array" ref="AV27">IF(AND(AV$2&lt;&gt;0,#REF!&gt;=AV$2),1,0)</f>
        <v>#REF!</v>
      </c>
      <c r="AW27" s="270" t="e">
        <f t="array" ref="AW27">IF(AND(AW$2&lt;&gt;0,#REF!&gt;=AW$2),1,0)</f>
        <v>#REF!</v>
      </c>
      <c r="AX27" s="270" t="e">
        <f t="array" ref="AX27">IF(AND(AX$2&lt;&gt;0,#REF!&gt;=AX$2),1,0)</f>
        <v>#REF!</v>
      </c>
      <c r="AY27" s="270" t="e">
        <f t="array" ref="AY27">IF(AND(AY$2&lt;&gt;0,#REF!&gt;=AY$2),1,0)</f>
        <v>#REF!</v>
      </c>
      <c r="AZ27" s="270" t="e">
        <f t="array" ref="AZ27">IF(AND(AZ$2&lt;&gt;0,#REF!&gt;=AZ$2),1,0)</f>
        <v>#REF!</v>
      </c>
      <c r="BA27" s="270" t="e">
        <f t="array" ref="BA27">IF(AND(BA$2&lt;&gt;0,#REF!&gt;=BA$2),1,0)</f>
        <v>#REF!</v>
      </c>
      <c r="BB27" s="270" t="e">
        <f t="array" ref="BB27">IF(AND(BB$2&lt;&gt;0,#REF!&gt;=BB$2),1,0)</f>
        <v>#REF!</v>
      </c>
      <c r="BC27" s="270" t="e">
        <f t="array" ref="BC27">IF(AND(BC$2&lt;&gt;0,#REF!&gt;=BC$2),1,0)</f>
        <v>#REF!</v>
      </c>
      <c r="BD27" s="270" t="e">
        <f t="array" ref="BD27">IF(AND(BD$2&lt;&gt;0,#REF!&gt;=BD$2),1,0)</f>
        <v>#REF!</v>
      </c>
      <c r="BE27" s="270" t="e">
        <f t="array" ref="BE27">IF(AND(BE$2&lt;&gt;0,#REF!&gt;=BE$2),1,0)</f>
        <v>#REF!</v>
      </c>
      <c r="BF27" s="270" t="e">
        <f t="array" ref="BF27">IF(AND(BF$2&lt;&gt;0,#REF!&gt;=BF$2),1,0)</f>
        <v>#REF!</v>
      </c>
      <c r="BG27" s="270" t="e">
        <f t="array" ref="BG27">IF(AND(BG$2&lt;&gt;0,#REF!&gt;=BG$2),1,0)</f>
        <v>#REF!</v>
      </c>
      <c r="BH27" s="270" t="e">
        <f t="array" ref="BH27">IF(AND(BH$2&lt;&gt;0,#REF!&gt;=BH$2),1,0)</f>
        <v>#REF!</v>
      </c>
      <c r="BI27" s="270" t="e">
        <f t="array" ref="BI27">IF(AND(BI$2&lt;&gt;0,#REF!&gt;=BI$2),1,0)</f>
        <v>#REF!</v>
      </c>
      <c r="BJ27" s="270" t="e">
        <f t="array" ref="BJ27">IF(AND(BJ$2&lt;&gt;0,#REF!&gt;=BJ$2),1,0)</f>
        <v>#REF!</v>
      </c>
      <c r="BK27" s="270" t="e">
        <f t="array" ref="BK27">IF(AND(BK$2&lt;&gt;0,#REF!&gt;=BK$2),1,0)</f>
        <v>#REF!</v>
      </c>
      <c r="BL27" s="270" t="e">
        <f t="array" ref="BL27">IF(AND(BL$2&lt;&gt;0,#REF!&gt;=BL$2),1,0)</f>
        <v>#REF!</v>
      </c>
      <c r="BM27" s="270" t="e">
        <f t="array" ref="BM27">IF(AND(BM$2&lt;&gt;0,#REF!&gt;=BM$2),1,0)</f>
        <v>#REF!</v>
      </c>
      <c r="BN27" s="270" t="e">
        <f t="array" ref="BN27">IF(AND(BN$2&lt;&gt;0,#REF!&gt;=BN$2),1,0)</f>
        <v>#REF!</v>
      </c>
      <c r="BO27" s="270" t="e">
        <f t="array" ref="BO27">IF(AND(BO$2&lt;&gt;0,#REF!&gt;=BO$2),1,0)</f>
        <v>#REF!</v>
      </c>
      <c r="BP27" s="270" t="e">
        <f t="array" ref="BP27">IF(AND(BP$2&lt;&gt;0,#REF!&gt;=BP$2),1,0)</f>
        <v>#REF!</v>
      </c>
      <c r="BQ27" s="270" t="e">
        <f t="array" ref="BQ27">IF(AND(BQ$2&lt;&gt;0,#REF!&gt;=BQ$2),1,0)</f>
        <v>#REF!</v>
      </c>
      <c r="BR27" s="270" t="e">
        <f t="array" ref="BR27">IF(AND(BR$2&lt;&gt;0,#REF!&gt;=BR$2),1,0)</f>
        <v>#REF!</v>
      </c>
      <c r="BS27" s="270" t="e">
        <f t="array" ref="BS27">IF(AND(BS$2&lt;&gt;0,#REF!&gt;=BS$2),1,0)</f>
        <v>#REF!</v>
      </c>
      <c r="BT27" s="270" t="e">
        <f t="array" ref="BT27">IF(AND(BT$2&lt;&gt;0,#REF!&gt;=BT$2),1,0)</f>
        <v>#REF!</v>
      </c>
      <c r="BU27" s="270" t="e">
        <f t="array" ref="BU27">IF(AND(BU$2&lt;&gt;0,#REF!&gt;=BU$2),1,0)</f>
        <v>#REF!</v>
      </c>
      <c r="BV27" s="270" t="e">
        <f t="array" ref="BV27">IF(AND(BV$2&lt;&gt;0,#REF!&gt;=BV$2),1,0)</f>
        <v>#REF!</v>
      </c>
      <c r="BW27" s="270" t="e">
        <f t="array" ref="BW27">IF(AND(BW$2&lt;&gt;0,#REF!&gt;=BW$2),1,0)</f>
        <v>#REF!</v>
      </c>
      <c r="BX27" s="270" t="e">
        <f t="array" ref="BX27">IF(AND(BX$2&lt;&gt;0,#REF!&gt;=BX$2),1,0)</f>
        <v>#REF!</v>
      </c>
      <c r="BY27" s="270" t="e">
        <f t="array" ref="BY27">IF(AND(BY$2&lt;&gt;0,#REF!&gt;=BY$2),1,0)</f>
        <v>#REF!</v>
      </c>
      <c r="BZ27" s="270" t="e">
        <f t="array" ref="BZ27">IF(AND(BZ$2&lt;&gt;0,#REF!&gt;=BZ$2),1,0)</f>
        <v>#REF!</v>
      </c>
      <c r="CA27" s="359">
        <f>IFERROR(INDEX($H$4:$H$79,MATCH(INDEX(#REF!,1,MATCH(#REF!,$M$2:$BZ$2,0)),$G$4:$G$79,0)),)</f>
        <v>0</v>
      </c>
    </row>
    <row r="28" spans="1:79" x14ac:dyDescent="0.25">
      <c r="A28" s="262" t="e">
        <f>#REF!</f>
        <v>#REF!</v>
      </c>
      <c r="B28" s="263" t="e">
        <f>#REF!</f>
        <v>#REF!</v>
      </c>
      <c r="C28" s="264" t="e">
        <f>#REF!</f>
        <v>#REF!</v>
      </c>
      <c r="D28" s="264" t="e">
        <f>#REF!</f>
        <v>#REF!</v>
      </c>
      <c r="E28" s="265"/>
      <c r="F28" s="266"/>
      <c r="G28" s="267" t="s">
        <v>569</v>
      </c>
      <c r="H28" s="268" t="s">
        <v>702</v>
      </c>
      <c r="I28" s="267" t="s">
        <v>570</v>
      </c>
      <c r="J28" s="263"/>
      <c r="K28" s="89" t="e">
        <f ca="1">IF(#REF!&lt;&gt;OFFSET(#REF!,-1,0),1,0)</f>
        <v>#REF!</v>
      </c>
      <c r="L28" s="269" t="e">
        <f>COUNTIF(#REF!,1)</f>
        <v>#REF!</v>
      </c>
      <c r="M28" s="270" t="e">
        <f t="array" ref="M28">IF(AND(M$2&lt;&gt;0,#REF!&gt;=M$2),1,0)</f>
        <v>#REF!</v>
      </c>
      <c r="N28" s="270" t="e">
        <f t="array" ref="N28">IF(AND(N$2&lt;&gt;0,#REF!&gt;=N$2),1,0)</f>
        <v>#REF!</v>
      </c>
      <c r="O28" s="270" t="e">
        <f t="array" ref="O28">IF(AND(O$2&lt;&gt;0,#REF!&gt;=O$2),1,0)</f>
        <v>#REF!</v>
      </c>
      <c r="P28" s="270" t="e">
        <f t="array" ref="P28">IF(AND(P$2&lt;&gt;0,#REF!&gt;=P$2),1,0)</f>
        <v>#REF!</v>
      </c>
      <c r="Q28" s="270" t="e">
        <f t="array" ref="Q28">IF(AND(Q$2&lt;&gt;0,#REF!&gt;=Q$2),1,0)</f>
        <v>#REF!</v>
      </c>
      <c r="R28" s="270" t="e">
        <f t="array" ref="R28">IF(AND(R$2&lt;&gt;0,#REF!&gt;=R$2),1,0)</f>
        <v>#REF!</v>
      </c>
      <c r="S28" s="270" t="e">
        <f t="array" ref="S28">IF(AND(S$2&lt;&gt;0,#REF!&gt;=S$2),1,0)</f>
        <v>#REF!</v>
      </c>
      <c r="T28" s="270" t="e">
        <f t="array" ref="T28">IF(AND(T$2&lt;&gt;0,#REF!&gt;=T$2),1,0)</f>
        <v>#REF!</v>
      </c>
      <c r="U28" s="270" t="e">
        <f t="array" ref="U28">IF(AND(U$2&lt;&gt;0,#REF!&gt;=U$2),1,0)</f>
        <v>#REF!</v>
      </c>
      <c r="V28" s="270" t="e">
        <f t="array" ref="V28">IF(AND(V$2&lt;&gt;0,#REF!&gt;=V$2),1,0)</f>
        <v>#REF!</v>
      </c>
      <c r="W28" s="270" t="e">
        <f t="array" ref="W28">IF(AND(W$2&lt;&gt;0,#REF!&gt;=W$2),1,0)</f>
        <v>#REF!</v>
      </c>
      <c r="X28" s="270" t="e">
        <f t="array" ref="X28">IF(AND(X$2&lt;&gt;0,#REF!&gt;=X$2),1,0)</f>
        <v>#REF!</v>
      </c>
      <c r="Y28" s="270" t="e">
        <f t="array" ref="Y28">IF(AND(Y$2&lt;&gt;0,#REF!&gt;=Y$2),1,0)</f>
        <v>#REF!</v>
      </c>
      <c r="Z28" s="270" t="e">
        <f t="array" ref="Z28">IF(AND(Z$2&lt;&gt;0,#REF!&gt;=Z$2),1,0)</f>
        <v>#REF!</v>
      </c>
      <c r="AA28" s="270" t="e">
        <f t="array" ref="AA28">IF(AND(AA$2&lt;&gt;0,#REF!&gt;=AA$2),1,0)</f>
        <v>#REF!</v>
      </c>
      <c r="AB28" s="270" t="e">
        <f t="array" ref="AB28">IF(AND(AB$2&lt;&gt;0,#REF!&gt;=AB$2),1,0)</f>
        <v>#REF!</v>
      </c>
      <c r="AC28" s="270" t="e">
        <f t="array" ref="AC28">IF(AND(AC$2&lt;&gt;0,#REF!&gt;=AC$2),1,0)</f>
        <v>#REF!</v>
      </c>
      <c r="AD28" s="270" t="e">
        <f t="array" ref="AD28">IF(AND(AD$2&lt;&gt;0,#REF!&gt;=AD$2),1,0)</f>
        <v>#REF!</v>
      </c>
      <c r="AE28" s="270" t="e">
        <f t="array" ref="AE28">IF(AND(AE$2&lt;&gt;0,#REF!&gt;=AE$2),1,0)</f>
        <v>#REF!</v>
      </c>
      <c r="AF28" s="270" t="e">
        <f t="array" ref="AF28">IF(AND(AF$2&lt;&gt;0,#REF!&gt;=AF$2),1,0)</f>
        <v>#REF!</v>
      </c>
      <c r="AG28" s="270" t="e">
        <f t="array" ref="AG28">IF(AND(AG$2&lt;&gt;0,#REF!&gt;=AG$2),1,0)</f>
        <v>#REF!</v>
      </c>
      <c r="AH28" s="270" t="e">
        <f t="array" ref="AH28">IF(AND(AH$2&lt;&gt;0,#REF!&gt;=AH$2),1,0)</f>
        <v>#REF!</v>
      </c>
      <c r="AI28" s="270" t="e">
        <f t="array" ref="AI28">IF(AND(AI$2&lt;&gt;0,#REF!&gt;=AI$2),1,0)</f>
        <v>#REF!</v>
      </c>
      <c r="AJ28" s="270" t="e">
        <f t="array" ref="AJ28">IF(AND(AJ$2&lt;&gt;0,#REF!&gt;=AJ$2),1,0)</f>
        <v>#REF!</v>
      </c>
      <c r="AK28" s="270" t="e">
        <f t="array" ref="AK28">IF(AND(AK$2&lt;&gt;0,#REF!&gt;=AK$2),1,0)</f>
        <v>#REF!</v>
      </c>
      <c r="AL28" s="270" t="e">
        <f t="array" ref="AL28">IF(AND(AL$2&lt;&gt;0,#REF!&gt;=AL$2),1,0)</f>
        <v>#REF!</v>
      </c>
      <c r="AM28" s="270" t="e">
        <f t="array" ref="AM28">IF(AND(AM$2&lt;&gt;0,#REF!&gt;=AM$2),1,0)</f>
        <v>#REF!</v>
      </c>
      <c r="AN28" s="270" t="e">
        <f t="array" ref="AN28">IF(AND(AN$2&lt;&gt;0,#REF!&gt;=AN$2),1,0)</f>
        <v>#REF!</v>
      </c>
      <c r="AO28" s="270" t="e">
        <f t="array" ref="AO28">IF(AND(AO$2&lt;&gt;0,#REF!&gt;=AO$2),1,0)</f>
        <v>#REF!</v>
      </c>
      <c r="AP28" s="270" t="e">
        <f t="array" ref="AP28">IF(AND(AP$2&lt;&gt;0,#REF!&gt;=AP$2),1,0)</f>
        <v>#REF!</v>
      </c>
      <c r="AQ28" s="270" t="e">
        <f t="array" ref="AQ28">IF(AND(AQ$2&lt;&gt;0,#REF!&gt;=AQ$2),1,0)</f>
        <v>#REF!</v>
      </c>
      <c r="AR28" s="270" t="e">
        <f t="array" ref="AR28">IF(AND(AR$2&lt;&gt;0,#REF!&gt;=AR$2),1,0)</f>
        <v>#REF!</v>
      </c>
      <c r="AS28" s="270" t="e">
        <f t="array" ref="AS28">IF(AND(AS$2&lt;&gt;0,#REF!&gt;=AS$2),1,0)</f>
        <v>#REF!</v>
      </c>
      <c r="AT28" s="270" t="e">
        <f t="array" ref="AT28">IF(AND(AT$2&lt;&gt;0,#REF!&gt;=AT$2),1,0)</f>
        <v>#REF!</v>
      </c>
      <c r="AU28" s="270" t="e">
        <f t="array" ref="AU28">IF(AND(AU$2&lt;&gt;0,#REF!&gt;=AU$2),1,0)</f>
        <v>#REF!</v>
      </c>
      <c r="AV28" s="270" t="e">
        <f t="array" ref="AV28">IF(AND(AV$2&lt;&gt;0,#REF!&gt;=AV$2),1,0)</f>
        <v>#REF!</v>
      </c>
      <c r="AW28" s="270" t="e">
        <f t="array" ref="AW28">IF(AND(AW$2&lt;&gt;0,#REF!&gt;=AW$2),1,0)</f>
        <v>#REF!</v>
      </c>
      <c r="AX28" s="270" t="e">
        <f t="array" ref="AX28">IF(AND(AX$2&lt;&gt;0,#REF!&gt;=AX$2),1,0)</f>
        <v>#REF!</v>
      </c>
      <c r="AY28" s="270" t="e">
        <f t="array" ref="AY28">IF(AND(AY$2&lt;&gt;0,#REF!&gt;=AY$2),1,0)</f>
        <v>#REF!</v>
      </c>
      <c r="AZ28" s="270" t="e">
        <f t="array" ref="AZ28">IF(AND(AZ$2&lt;&gt;0,#REF!&gt;=AZ$2),1,0)</f>
        <v>#REF!</v>
      </c>
      <c r="BA28" s="270" t="e">
        <f t="array" ref="BA28">IF(AND(BA$2&lt;&gt;0,#REF!&gt;=BA$2),1,0)</f>
        <v>#REF!</v>
      </c>
      <c r="BB28" s="270" t="e">
        <f t="array" ref="BB28">IF(AND(BB$2&lt;&gt;0,#REF!&gt;=BB$2),1,0)</f>
        <v>#REF!</v>
      </c>
      <c r="BC28" s="270" t="e">
        <f t="array" ref="BC28">IF(AND(BC$2&lt;&gt;0,#REF!&gt;=BC$2),1,0)</f>
        <v>#REF!</v>
      </c>
      <c r="BD28" s="270" t="e">
        <f t="array" ref="BD28">IF(AND(BD$2&lt;&gt;0,#REF!&gt;=BD$2),1,0)</f>
        <v>#REF!</v>
      </c>
      <c r="BE28" s="270" t="e">
        <f t="array" ref="BE28">IF(AND(BE$2&lt;&gt;0,#REF!&gt;=BE$2),1,0)</f>
        <v>#REF!</v>
      </c>
      <c r="BF28" s="270" t="e">
        <f t="array" ref="BF28">IF(AND(BF$2&lt;&gt;0,#REF!&gt;=BF$2),1,0)</f>
        <v>#REF!</v>
      </c>
      <c r="BG28" s="270" t="e">
        <f t="array" ref="BG28">IF(AND(BG$2&lt;&gt;0,#REF!&gt;=BG$2),1,0)</f>
        <v>#REF!</v>
      </c>
      <c r="BH28" s="270" t="e">
        <f t="array" ref="BH28">IF(AND(BH$2&lt;&gt;0,#REF!&gt;=BH$2),1,0)</f>
        <v>#REF!</v>
      </c>
      <c r="BI28" s="270" t="e">
        <f t="array" ref="BI28">IF(AND(BI$2&lt;&gt;0,#REF!&gt;=BI$2),1,0)</f>
        <v>#REF!</v>
      </c>
      <c r="BJ28" s="270" t="e">
        <f t="array" ref="BJ28">IF(AND(BJ$2&lt;&gt;0,#REF!&gt;=BJ$2),1,0)</f>
        <v>#REF!</v>
      </c>
      <c r="BK28" s="270" t="e">
        <f t="array" ref="BK28">IF(AND(BK$2&lt;&gt;0,#REF!&gt;=BK$2),1,0)</f>
        <v>#REF!</v>
      </c>
      <c r="BL28" s="270" t="e">
        <f t="array" ref="BL28">IF(AND(BL$2&lt;&gt;0,#REF!&gt;=BL$2),1,0)</f>
        <v>#REF!</v>
      </c>
      <c r="BM28" s="270" t="e">
        <f t="array" ref="BM28">IF(AND(BM$2&lt;&gt;0,#REF!&gt;=BM$2),1,0)</f>
        <v>#REF!</v>
      </c>
      <c r="BN28" s="270" t="e">
        <f t="array" ref="BN28">IF(AND(BN$2&lt;&gt;0,#REF!&gt;=BN$2),1,0)</f>
        <v>#REF!</v>
      </c>
      <c r="BO28" s="270" t="e">
        <f t="array" ref="BO28">IF(AND(BO$2&lt;&gt;0,#REF!&gt;=BO$2),1,0)</f>
        <v>#REF!</v>
      </c>
      <c r="BP28" s="270" t="e">
        <f t="array" ref="BP28">IF(AND(BP$2&lt;&gt;0,#REF!&gt;=BP$2),1,0)</f>
        <v>#REF!</v>
      </c>
      <c r="BQ28" s="270" t="e">
        <f t="array" ref="BQ28">IF(AND(BQ$2&lt;&gt;0,#REF!&gt;=BQ$2),1,0)</f>
        <v>#REF!</v>
      </c>
      <c r="BR28" s="270" t="e">
        <f t="array" ref="BR28">IF(AND(BR$2&lt;&gt;0,#REF!&gt;=BR$2),1,0)</f>
        <v>#REF!</v>
      </c>
      <c r="BS28" s="270" t="e">
        <f t="array" ref="BS28">IF(AND(BS$2&lt;&gt;0,#REF!&gt;=BS$2),1,0)</f>
        <v>#REF!</v>
      </c>
      <c r="BT28" s="270" t="e">
        <f t="array" ref="BT28">IF(AND(BT$2&lt;&gt;0,#REF!&gt;=BT$2),1,0)</f>
        <v>#REF!</v>
      </c>
      <c r="BU28" s="270" t="e">
        <f t="array" ref="BU28">IF(AND(BU$2&lt;&gt;0,#REF!&gt;=BU$2),1,0)</f>
        <v>#REF!</v>
      </c>
      <c r="BV28" s="270" t="e">
        <f t="array" ref="BV28">IF(AND(BV$2&lt;&gt;0,#REF!&gt;=BV$2),1,0)</f>
        <v>#REF!</v>
      </c>
      <c r="BW28" s="270" t="e">
        <f t="array" ref="BW28">IF(AND(BW$2&lt;&gt;0,#REF!&gt;=BW$2),1,0)</f>
        <v>#REF!</v>
      </c>
      <c r="BX28" s="270" t="e">
        <f t="array" ref="BX28">IF(AND(BX$2&lt;&gt;0,#REF!&gt;=BX$2),1,0)</f>
        <v>#REF!</v>
      </c>
      <c r="BY28" s="270" t="e">
        <f t="array" ref="BY28">IF(AND(BY$2&lt;&gt;0,#REF!&gt;=BY$2),1,0)</f>
        <v>#REF!</v>
      </c>
      <c r="BZ28" s="270" t="e">
        <f t="array" ref="BZ28">IF(AND(BZ$2&lt;&gt;0,#REF!&gt;=BZ$2),1,0)</f>
        <v>#REF!</v>
      </c>
      <c r="CA28" s="359">
        <f>IFERROR(INDEX($H$4:$H$79,MATCH(INDEX(#REF!,1,MATCH(#REF!,$M$2:$BZ$2,0)),$G$4:$G$79,0)),)</f>
        <v>0</v>
      </c>
    </row>
    <row r="29" spans="1:79" x14ac:dyDescent="0.25">
      <c r="A29" s="262" t="e">
        <f>#REF!</f>
        <v>#REF!</v>
      </c>
      <c r="B29" s="263" t="e">
        <f>#REF!</f>
        <v>#REF!</v>
      </c>
      <c r="C29" s="264" t="e">
        <f>#REF!</f>
        <v>#REF!</v>
      </c>
      <c r="D29" s="264" t="e">
        <f>#REF!</f>
        <v>#REF!</v>
      </c>
      <c r="E29" s="265"/>
      <c r="F29" s="266"/>
      <c r="G29" s="267" t="s">
        <v>571</v>
      </c>
      <c r="H29" s="268" t="s">
        <v>703</v>
      </c>
      <c r="I29" s="267" t="s">
        <v>1108</v>
      </c>
      <c r="J29" s="263"/>
      <c r="K29" s="89" t="e">
        <f ca="1">IF(#REF!&lt;&gt;OFFSET(#REF!,-1,0),1,0)</f>
        <v>#REF!</v>
      </c>
      <c r="L29" s="269" t="e">
        <f>COUNTIF(#REF!,1)</f>
        <v>#REF!</v>
      </c>
      <c r="M29" s="270" t="e">
        <f t="array" ref="M29">IF(AND(M$2&lt;&gt;0,#REF!&gt;=M$2),1,0)</f>
        <v>#REF!</v>
      </c>
      <c r="N29" s="270" t="e">
        <f t="array" ref="N29">IF(AND(N$2&lt;&gt;0,#REF!&gt;=N$2),1,0)</f>
        <v>#REF!</v>
      </c>
      <c r="O29" s="270" t="e">
        <f t="array" ref="O29">IF(AND(O$2&lt;&gt;0,#REF!&gt;=O$2),1,0)</f>
        <v>#REF!</v>
      </c>
      <c r="P29" s="270" t="e">
        <f t="array" ref="P29">IF(AND(P$2&lt;&gt;0,#REF!&gt;=P$2),1,0)</f>
        <v>#REF!</v>
      </c>
      <c r="Q29" s="270" t="e">
        <f t="array" ref="Q29">IF(AND(Q$2&lt;&gt;0,#REF!&gt;=Q$2),1,0)</f>
        <v>#REF!</v>
      </c>
      <c r="R29" s="270" t="e">
        <f t="array" ref="R29">IF(AND(R$2&lt;&gt;0,#REF!&gt;=R$2),1,0)</f>
        <v>#REF!</v>
      </c>
      <c r="S29" s="270" t="e">
        <f t="array" ref="S29">IF(AND(S$2&lt;&gt;0,#REF!&gt;=S$2),1,0)</f>
        <v>#REF!</v>
      </c>
      <c r="T29" s="270" t="e">
        <f t="array" ref="T29">IF(AND(T$2&lt;&gt;0,#REF!&gt;=T$2),1,0)</f>
        <v>#REF!</v>
      </c>
      <c r="U29" s="270" t="e">
        <f t="array" ref="U29">IF(AND(U$2&lt;&gt;0,#REF!&gt;=U$2),1,0)</f>
        <v>#REF!</v>
      </c>
      <c r="V29" s="270" t="e">
        <f t="array" ref="V29">IF(AND(V$2&lt;&gt;0,#REF!&gt;=V$2),1,0)</f>
        <v>#REF!</v>
      </c>
      <c r="W29" s="270" t="e">
        <f t="array" ref="W29">IF(AND(W$2&lt;&gt;0,#REF!&gt;=W$2),1,0)</f>
        <v>#REF!</v>
      </c>
      <c r="X29" s="270" t="e">
        <f t="array" ref="X29">IF(AND(X$2&lt;&gt;0,#REF!&gt;=X$2),1,0)</f>
        <v>#REF!</v>
      </c>
      <c r="Y29" s="270" t="e">
        <f t="array" ref="Y29">IF(AND(Y$2&lt;&gt;0,#REF!&gt;=Y$2),1,0)</f>
        <v>#REF!</v>
      </c>
      <c r="Z29" s="270" t="e">
        <f t="array" ref="Z29">IF(AND(Z$2&lt;&gt;0,#REF!&gt;=Z$2),1,0)</f>
        <v>#REF!</v>
      </c>
      <c r="AA29" s="270" t="e">
        <f t="array" ref="AA29">IF(AND(AA$2&lt;&gt;0,#REF!&gt;=AA$2),1,0)</f>
        <v>#REF!</v>
      </c>
      <c r="AB29" s="270" t="e">
        <f t="array" ref="AB29">IF(AND(AB$2&lt;&gt;0,#REF!&gt;=AB$2),1,0)</f>
        <v>#REF!</v>
      </c>
      <c r="AC29" s="270" t="e">
        <f t="array" ref="AC29">IF(AND(AC$2&lt;&gt;0,#REF!&gt;=AC$2),1,0)</f>
        <v>#REF!</v>
      </c>
      <c r="AD29" s="270" t="e">
        <f t="array" ref="AD29">IF(AND(AD$2&lt;&gt;0,#REF!&gt;=AD$2),1,0)</f>
        <v>#REF!</v>
      </c>
      <c r="AE29" s="270" t="e">
        <f t="array" ref="AE29">IF(AND(AE$2&lt;&gt;0,#REF!&gt;=AE$2),1,0)</f>
        <v>#REF!</v>
      </c>
      <c r="AF29" s="270" t="e">
        <f t="array" ref="AF29">IF(AND(AF$2&lt;&gt;0,#REF!&gt;=AF$2),1,0)</f>
        <v>#REF!</v>
      </c>
      <c r="AG29" s="270" t="e">
        <f t="array" ref="AG29">IF(AND(AG$2&lt;&gt;0,#REF!&gt;=AG$2),1,0)</f>
        <v>#REF!</v>
      </c>
      <c r="AH29" s="270" t="e">
        <f t="array" ref="AH29">IF(AND(AH$2&lt;&gt;0,#REF!&gt;=AH$2),1,0)</f>
        <v>#REF!</v>
      </c>
      <c r="AI29" s="270" t="e">
        <f t="array" ref="AI29">IF(AND(AI$2&lt;&gt;0,#REF!&gt;=AI$2),1,0)</f>
        <v>#REF!</v>
      </c>
      <c r="AJ29" s="270" t="e">
        <f t="array" ref="AJ29">IF(AND(AJ$2&lt;&gt;0,#REF!&gt;=AJ$2),1,0)</f>
        <v>#REF!</v>
      </c>
      <c r="AK29" s="270" t="e">
        <f t="array" ref="AK29">IF(AND(AK$2&lt;&gt;0,#REF!&gt;=AK$2),1,0)</f>
        <v>#REF!</v>
      </c>
      <c r="AL29" s="270" t="e">
        <f t="array" ref="AL29">IF(AND(AL$2&lt;&gt;0,#REF!&gt;=AL$2),1,0)</f>
        <v>#REF!</v>
      </c>
      <c r="AM29" s="270" t="e">
        <f t="array" ref="AM29">IF(AND(AM$2&lt;&gt;0,#REF!&gt;=AM$2),1,0)</f>
        <v>#REF!</v>
      </c>
      <c r="AN29" s="270" t="e">
        <f t="array" ref="AN29">IF(AND(AN$2&lt;&gt;0,#REF!&gt;=AN$2),1,0)</f>
        <v>#REF!</v>
      </c>
      <c r="AO29" s="270" t="e">
        <f t="array" ref="AO29">IF(AND(AO$2&lt;&gt;0,#REF!&gt;=AO$2),1,0)</f>
        <v>#REF!</v>
      </c>
      <c r="AP29" s="270" t="e">
        <f t="array" ref="AP29">IF(AND(AP$2&lt;&gt;0,#REF!&gt;=AP$2),1,0)</f>
        <v>#REF!</v>
      </c>
      <c r="AQ29" s="270" t="e">
        <f t="array" ref="AQ29">IF(AND(AQ$2&lt;&gt;0,#REF!&gt;=AQ$2),1,0)</f>
        <v>#REF!</v>
      </c>
      <c r="AR29" s="270" t="e">
        <f t="array" ref="AR29">IF(AND(AR$2&lt;&gt;0,#REF!&gt;=AR$2),1,0)</f>
        <v>#REF!</v>
      </c>
      <c r="AS29" s="270" t="e">
        <f t="array" ref="AS29">IF(AND(AS$2&lt;&gt;0,#REF!&gt;=AS$2),1,0)</f>
        <v>#REF!</v>
      </c>
      <c r="AT29" s="270" t="e">
        <f t="array" ref="AT29">IF(AND(AT$2&lt;&gt;0,#REF!&gt;=AT$2),1,0)</f>
        <v>#REF!</v>
      </c>
      <c r="AU29" s="270" t="e">
        <f t="array" ref="AU29">IF(AND(AU$2&lt;&gt;0,#REF!&gt;=AU$2),1,0)</f>
        <v>#REF!</v>
      </c>
      <c r="AV29" s="270" t="e">
        <f t="array" ref="AV29">IF(AND(AV$2&lt;&gt;0,#REF!&gt;=AV$2),1,0)</f>
        <v>#REF!</v>
      </c>
      <c r="AW29" s="270" t="e">
        <f t="array" ref="AW29">IF(AND(AW$2&lt;&gt;0,#REF!&gt;=AW$2),1,0)</f>
        <v>#REF!</v>
      </c>
      <c r="AX29" s="270" t="e">
        <f t="array" ref="AX29">IF(AND(AX$2&lt;&gt;0,#REF!&gt;=AX$2),1,0)</f>
        <v>#REF!</v>
      </c>
      <c r="AY29" s="270" t="e">
        <f t="array" ref="AY29">IF(AND(AY$2&lt;&gt;0,#REF!&gt;=AY$2),1,0)</f>
        <v>#REF!</v>
      </c>
      <c r="AZ29" s="270" t="e">
        <f t="array" ref="AZ29">IF(AND(AZ$2&lt;&gt;0,#REF!&gt;=AZ$2),1,0)</f>
        <v>#REF!</v>
      </c>
      <c r="BA29" s="270" t="e">
        <f t="array" ref="BA29">IF(AND(BA$2&lt;&gt;0,#REF!&gt;=BA$2),1,0)</f>
        <v>#REF!</v>
      </c>
      <c r="BB29" s="270" t="e">
        <f t="array" ref="BB29">IF(AND(BB$2&lt;&gt;0,#REF!&gt;=BB$2),1,0)</f>
        <v>#REF!</v>
      </c>
      <c r="BC29" s="270" t="e">
        <f t="array" ref="BC29">IF(AND(BC$2&lt;&gt;0,#REF!&gt;=BC$2),1,0)</f>
        <v>#REF!</v>
      </c>
      <c r="BD29" s="270" t="e">
        <f t="array" ref="BD29">IF(AND(BD$2&lt;&gt;0,#REF!&gt;=BD$2),1,0)</f>
        <v>#REF!</v>
      </c>
      <c r="BE29" s="270" t="e">
        <f t="array" ref="BE29">IF(AND(BE$2&lt;&gt;0,#REF!&gt;=BE$2),1,0)</f>
        <v>#REF!</v>
      </c>
      <c r="BF29" s="270" t="e">
        <f t="array" ref="BF29">IF(AND(BF$2&lt;&gt;0,#REF!&gt;=BF$2),1,0)</f>
        <v>#REF!</v>
      </c>
      <c r="BG29" s="270" t="e">
        <f t="array" ref="BG29">IF(AND(BG$2&lt;&gt;0,#REF!&gt;=BG$2),1,0)</f>
        <v>#REF!</v>
      </c>
      <c r="BH29" s="270" t="e">
        <f t="array" ref="BH29">IF(AND(BH$2&lt;&gt;0,#REF!&gt;=BH$2),1,0)</f>
        <v>#REF!</v>
      </c>
      <c r="BI29" s="270" t="e">
        <f t="array" ref="BI29">IF(AND(BI$2&lt;&gt;0,#REF!&gt;=BI$2),1,0)</f>
        <v>#REF!</v>
      </c>
      <c r="BJ29" s="270" t="e">
        <f t="array" ref="BJ29">IF(AND(BJ$2&lt;&gt;0,#REF!&gt;=BJ$2),1,0)</f>
        <v>#REF!</v>
      </c>
      <c r="BK29" s="270" t="e">
        <f t="array" ref="BK29">IF(AND(BK$2&lt;&gt;0,#REF!&gt;=BK$2),1,0)</f>
        <v>#REF!</v>
      </c>
      <c r="BL29" s="270" t="e">
        <f t="array" ref="BL29">IF(AND(BL$2&lt;&gt;0,#REF!&gt;=BL$2),1,0)</f>
        <v>#REF!</v>
      </c>
      <c r="BM29" s="270" t="e">
        <f t="array" ref="BM29">IF(AND(BM$2&lt;&gt;0,#REF!&gt;=BM$2),1,0)</f>
        <v>#REF!</v>
      </c>
      <c r="BN29" s="270" t="e">
        <f t="array" ref="BN29">IF(AND(BN$2&lt;&gt;0,#REF!&gt;=BN$2),1,0)</f>
        <v>#REF!</v>
      </c>
      <c r="BO29" s="270" t="e">
        <f t="array" ref="BO29">IF(AND(BO$2&lt;&gt;0,#REF!&gt;=BO$2),1,0)</f>
        <v>#REF!</v>
      </c>
      <c r="BP29" s="270" t="e">
        <f t="array" ref="BP29">IF(AND(BP$2&lt;&gt;0,#REF!&gt;=BP$2),1,0)</f>
        <v>#REF!</v>
      </c>
      <c r="BQ29" s="270" t="e">
        <f t="array" ref="BQ29">IF(AND(BQ$2&lt;&gt;0,#REF!&gt;=BQ$2),1,0)</f>
        <v>#REF!</v>
      </c>
      <c r="BR29" s="270" t="e">
        <f t="array" ref="BR29">IF(AND(BR$2&lt;&gt;0,#REF!&gt;=BR$2),1,0)</f>
        <v>#REF!</v>
      </c>
      <c r="BS29" s="270" t="e">
        <f t="array" ref="BS29">IF(AND(BS$2&lt;&gt;0,#REF!&gt;=BS$2),1,0)</f>
        <v>#REF!</v>
      </c>
      <c r="BT29" s="270" t="e">
        <f t="array" ref="BT29">IF(AND(BT$2&lt;&gt;0,#REF!&gt;=BT$2),1,0)</f>
        <v>#REF!</v>
      </c>
      <c r="BU29" s="270" t="e">
        <f t="array" ref="BU29">IF(AND(BU$2&lt;&gt;0,#REF!&gt;=BU$2),1,0)</f>
        <v>#REF!</v>
      </c>
      <c r="BV29" s="270" t="e">
        <f t="array" ref="BV29">IF(AND(BV$2&lt;&gt;0,#REF!&gt;=BV$2),1,0)</f>
        <v>#REF!</v>
      </c>
      <c r="BW29" s="270" t="e">
        <f t="array" ref="BW29">IF(AND(BW$2&lt;&gt;0,#REF!&gt;=BW$2),1,0)</f>
        <v>#REF!</v>
      </c>
      <c r="BX29" s="270" t="e">
        <f t="array" ref="BX29">IF(AND(BX$2&lt;&gt;0,#REF!&gt;=BX$2),1,0)</f>
        <v>#REF!</v>
      </c>
      <c r="BY29" s="270" t="e">
        <f t="array" ref="BY29">IF(AND(BY$2&lt;&gt;0,#REF!&gt;=BY$2),1,0)</f>
        <v>#REF!</v>
      </c>
      <c r="BZ29" s="270" t="e">
        <f t="array" ref="BZ29">IF(AND(BZ$2&lt;&gt;0,#REF!&gt;=BZ$2),1,0)</f>
        <v>#REF!</v>
      </c>
      <c r="CA29" s="359">
        <f>IFERROR(INDEX($H$4:$H$79,MATCH(INDEX(#REF!,1,MATCH(#REF!,$M$2:$BZ$2,0)),$G$4:$G$79,0)),)</f>
        <v>0</v>
      </c>
    </row>
    <row r="30" spans="1:79" x14ac:dyDescent="0.25">
      <c r="A30" s="262" t="e">
        <f>#REF!</f>
        <v>#REF!</v>
      </c>
      <c r="B30" s="263" t="e">
        <f>#REF!</f>
        <v>#REF!</v>
      </c>
      <c r="C30" s="264" t="e">
        <f>#REF!</f>
        <v>#REF!</v>
      </c>
      <c r="D30" s="264" t="e">
        <f>#REF!</f>
        <v>#REF!</v>
      </c>
      <c r="E30" s="265"/>
      <c r="F30" s="266"/>
      <c r="G30" s="267" t="s">
        <v>572</v>
      </c>
      <c r="H30" s="268" t="s">
        <v>704</v>
      </c>
      <c r="I30" s="267" t="s">
        <v>1101</v>
      </c>
      <c r="J30" s="263"/>
      <c r="K30" s="89" t="e">
        <f ca="1">IF(#REF!&lt;&gt;OFFSET(#REF!,-1,0),1,0)</f>
        <v>#REF!</v>
      </c>
      <c r="L30" s="269" t="e">
        <f>COUNTIF(#REF!,1)</f>
        <v>#REF!</v>
      </c>
      <c r="M30" s="270" t="e">
        <f t="array" ref="M30">IF(AND(M$2&lt;&gt;0,#REF!&gt;=M$2),1,0)</f>
        <v>#REF!</v>
      </c>
      <c r="N30" s="270" t="e">
        <f t="array" ref="N30">IF(AND(N$2&lt;&gt;0,#REF!&gt;=N$2),1,0)</f>
        <v>#REF!</v>
      </c>
      <c r="O30" s="270" t="e">
        <f t="array" ref="O30">IF(AND(O$2&lt;&gt;0,#REF!&gt;=O$2),1,0)</f>
        <v>#REF!</v>
      </c>
      <c r="P30" s="270" t="e">
        <f t="array" ref="P30">IF(AND(P$2&lt;&gt;0,#REF!&gt;=P$2),1,0)</f>
        <v>#REF!</v>
      </c>
      <c r="Q30" s="270" t="e">
        <f t="array" ref="Q30">IF(AND(Q$2&lt;&gt;0,#REF!&gt;=Q$2),1,0)</f>
        <v>#REF!</v>
      </c>
      <c r="R30" s="270" t="e">
        <f t="array" ref="R30">IF(AND(R$2&lt;&gt;0,#REF!&gt;=R$2),1,0)</f>
        <v>#REF!</v>
      </c>
      <c r="S30" s="270" t="e">
        <f t="array" ref="S30">IF(AND(S$2&lt;&gt;0,#REF!&gt;=S$2),1,0)</f>
        <v>#REF!</v>
      </c>
      <c r="T30" s="270" t="e">
        <f t="array" ref="T30">IF(AND(T$2&lt;&gt;0,#REF!&gt;=T$2),1,0)</f>
        <v>#REF!</v>
      </c>
      <c r="U30" s="270" t="e">
        <f t="array" ref="U30">IF(AND(U$2&lt;&gt;0,#REF!&gt;=U$2),1,0)</f>
        <v>#REF!</v>
      </c>
      <c r="V30" s="270" t="e">
        <f t="array" ref="V30">IF(AND(V$2&lt;&gt;0,#REF!&gt;=V$2),1,0)</f>
        <v>#REF!</v>
      </c>
      <c r="W30" s="270" t="e">
        <f t="array" ref="W30">IF(AND(W$2&lt;&gt;0,#REF!&gt;=W$2),1,0)</f>
        <v>#REF!</v>
      </c>
      <c r="X30" s="270" t="e">
        <f t="array" ref="X30">IF(AND(X$2&lt;&gt;0,#REF!&gt;=X$2),1,0)</f>
        <v>#REF!</v>
      </c>
      <c r="Y30" s="270" t="e">
        <f t="array" ref="Y30">IF(AND(Y$2&lt;&gt;0,#REF!&gt;=Y$2),1,0)</f>
        <v>#REF!</v>
      </c>
      <c r="Z30" s="270" t="e">
        <f t="array" ref="Z30">IF(AND(Z$2&lt;&gt;0,#REF!&gt;=Z$2),1,0)</f>
        <v>#REF!</v>
      </c>
      <c r="AA30" s="270" t="e">
        <f t="array" ref="AA30">IF(AND(AA$2&lt;&gt;0,#REF!&gt;=AA$2),1,0)</f>
        <v>#REF!</v>
      </c>
      <c r="AB30" s="270" t="e">
        <f t="array" ref="AB30">IF(AND(AB$2&lt;&gt;0,#REF!&gt;=AB$2),1,0)</f>
        <v>#REF!</v>
      </c>
      <c r="AC30" s="270" t="e">
        <f t="array" ref="AC30">IF(AND(AC$2&lt;&gt;0,#REF!&gt;=AC$2),1,0)</f>
        <v>#REF!</v>
      </c>
      <c r="AD30" s="270" t="e">
        <f t="array" ref="AD30">IF(AND(AD$2&lt;&gt;0,#REF!&gt;=AD$2),1,0)</f>
        <v>#REF!</v>
      </c>
      <c r="AE30" s="270" t="e">
        <f t="array" ref="AE30">IF(AND(AE$2&lt;&gt;0,#REF!&gt;=AE$2),1,0)</f>
        <v>#REF!</v>
      </c>
      <c r="AF30" s="270" t="e">
        <f t="array" ref="AF30">IF(AND(AF$2&lt;&gt;0,#REF!&gt;=AF$2),1,0)</f>
        <v>#REF!</v>
      </c>
      <c r="AG30" s="270" t="e">
        <f t="array" ref="AG30">IF(AND(AG$2&lt;&gt;0,#REF!&gt;=AG$2),1,0)</f>
        <v>#REF!</v>
      </c>
      <c r="AH30" s="270" t="e">
        <f t="array" ref="AH30">IF(AND(AH$2&lt;&gt;0,#REF!&gt;=AH$2),1,0)</f>
        <v>#REF!</v>
      </c>
      <c r="AI30" s="270" t="e">
        <f t="array" ref="AI30">IF(AND(AI$2&lt;&gt;0,#REF!&gt;=AI$2),1,0)</f>
        <v>#REF!</v>
      </c>
      <c r="AJ30" s="270" t="e">
        <f t="array" ref="AJ30">IF(AND(AJ$2&lt;&gt;0,#REF!&gt;=AJ$2),1,0)</f>
        <v>#REF!</v>
      </c>
      <c r="AK30" s="270" t="e">
        <f t="array" ref="AK30">IF(AND(AK$2&lt;&gt;0,#REF!&gt;=AK$2),1,0)</f>
        <v>#REF!</v>
      </c>
      <c r="AL30" s="270" t="e">
        <f t="array" ref="AL30">IF(AND(AL$2&lt;&gt;0,#REF!&gt;=AL$2),1,0)</f>
        <v>#REF!</v>
      </c>
      <c r="AM30" s="270" t="e">
        <f t="array" ref="AM30">IF(AND(AM$2&lt;&gt;0,#REF!&gt;=AM$2),1,0)</f>
        <v>#REF!</v>
      </c>
      <c r="AN30" s="270" t="e">
        <f t="array" ref="AN30">IF(AND(AN$2&lt;&gt;0,#REF!&gt;=AN$2),1,0)</f>
        <v>#REF!</v>
      </c>
      <c r="AO30" s="270" t="e">
        <f t="array" ref="AO30">IF(AND(AO$2&lt;&gt;0,#REF!&gt;=AO$2),1,0)</f>
        <v>#REF!</v>
      </c>
      <c r="AP30" s="270" t="e">
        <f t="array" ref="AP30">IF(AND(AP$2&lt;&gt;0,#REF!&gt;=AP$2),1,0)</f>
        <v>#REF!</v>
      </c>
      <c r="AQ30" s="270" t="e">
        <f t="array" ref="AQ30">IF(AND(AQ$2&lt;&gt;0,#REF!&gt;=AQ$2),1,0)</f>
        <v>#REF!</v>
      </c>
      <c r="AR30" s="270" t="e">
        <f t="array" ref="AR30">IF(AND(AR$2&lt;&gt;0,#REF!&gt;=AR$2),1,0)</f>
        <v>#REF!</v>
      </c>
      <c r="AS30" s="270" t="e">
        <f t="array" ref="AS30">IF(AND(AS$2&lt;&gt;0,#REF!&gt;=AS$2),1,0)</f>
        <v>#REF!</v>
      </c>
      <c r="AT30" s="270" t="e">
        <f t="array" ref="AT30">IF(AND(AT$2&lt;&gt;0,#REF!&gt;=AT$2),1,0)</f>
        <v>#REF!</v>
      </c>
      <c r="AU30" s="270" t="e">
        <f t="array" ref="AU30">IF(AND(AU$2&lt;&gt;0,#REF!&gt;=AU$2),1,0)</f>
        <v>#REF!</v>
      </c>
      <c r="AV30" s="270" t="e">
        <f t="array" ref="AV30">IF(AND(AV$2&lt;&gt;0,#REF!&gt;=AV$2),1,0)</f>
        <v>#REF!</v>
      </c>
      <c r="AW30" s="270" t="e">
        <f t="array" ref="AW30">IF(AND(AW$2&lt;&gt;0,#REF!&gt;=AW$2),1,0)</f>
        <v>#REF!</v>
      </c>
      <c r="AX30" s="270" t="e">
        <f t="array" ref="AX30">IF(AND(AX$2&lt;&gt;0,#REF!&gt;=AX$2),1,0)</f>
        <v>#REF!</v>
      </c>
      <c r="AY30" s="270" t="e">
        <f t="array" ref="AY30">IF(AND(AY$2&lt;&gt;0,#REF!&gt;=AY$2),1,0)</f>
        <v>#REF!</v>
      </c>
      <c r="AZ30" s="270" t="e">
        <f t="array" ref="AZ30">IF(AND(AZ$2&lt;&gt;0,#REF!&gt;=AZ$2),1,0)</f>
        <v>#REF!</v>
      </c>
      <c r="BA30" s="270" t="e">
        <f t="array" ref="BA30">IF(AND(BA$2&lt;&gt;0,#REF!&gt;=BA$2),1,0)</f>
        <v>#REF!</v>
      </c>
      <c r="BB30" s="270" t="e">
        <f t="array" ref="BB30">IF(AND(BB$2&lt;&gt;0,#REF!&gt;=BB$2),1,0)</f>
        <v>#REF!</v>
      </c>
      <c r="BC30" s="270" t="e">
        <f t="array" ref="BC30">IF(AND(BC$2&lt;&gt;0,#REF!&gt;=BC$2),1,0)</f>
        <v>#REF!</v>
      </c>
      <c r="BD30" s="270" t="e">
        <f t="array" ref="BD30">IF(AND(BD$2&lt;&gt;0,#REF!&gt;=BD$2),1,0)</f>
        <v>#REF!</v>
      </c>
      <c r="BE30" s="270" t="e">
        <f t="array" ref="BE30">IF(AND(BE$2&lt;&gt;0,#REF!&gt;=BE$2),1,0)</f>
        <v>#REF!</v>
      </c>
      <c r="BF30" s="270" t="e">
        <f t="array" ref="BF30">IF(AND(BF$2&lt;&gt;0,#REF!&gt;=BF$2),1,0)</f>
        <v>#REF!</v>
      </c>
      <c r="BG30" s="270" t="e">
        <f t="array" ref="BG30">IF(AND(BG$2&lt;&gt;0,#REF!&gt;=BG$2),1,0)</f>
        <v>#REF!</v>
      </c>
      <c r="BH30" s="270" t="e">
        <f t="array" ref="BH30">IF(AND(BH$2&lt;&gt;0,#REF!&gt;=BH$2),1,0)</f>
        <v>#REF!</v>
      </c>
      <c r="BI30" s="270" t="e">
        <f t="array" ref="BI30">IF(AND(BI$2&lt;&gt;0,#REF!&gt;=BI$2),1,0)</f>
        <v>#REF!</v>
      </c>
      <c r="BJ30" s="270" t="e">
        <f t="array" ref="BJ30">IF(AND(BJ$2&lt;&gt;0,#REF!&gt;=BJ$2),1,0)</f>
        <v>#REF!</v>
      </c>
      <c r="BK30" s="270" t="e">
        <f t="array" ref="BK30">IF(AND(BK$2&lt;&gt;0,#REF!&gt;=BK$2),1,0)</f>
        <v>#REF!</v>
      </c>
      <c r="BL30" s="270" t="e">
        <f t="array" ref="BL30">IF(AND(BL$2&lt;&gt;0,#REF!&gt;=BL$2),1,0)</f>
        <v>#REF!</v>
      </c>
      <c r="BM30" s="270" t="e">
        <f t="array" ref="BM30">IF(AND(BM$2&lt;&gt;0,#REF!&gt;=BM$2),1,0)</f>
        <v>#REF!</v>
      </c>
      <c r="BN30" s="270" t="e">
        <f t="array" ref="BN30">IF(AND(BN$2&lt;&gt;0,#REF!&gt;=BN$2),1,0)</f>
        <v>#REF!</v>
      </c>
      <c r="BO30" s="270" t="e">
        <f t="array" ref="BO30">IF(AND(BO$2&lt;&gt;0,#REF!&gt;=BO$2),1,0)</f>
        <v>#REF!</v>
      </c>
      <c r="BP30" s="270" t="e">
        <f t="array" ref="BP30">IF(AND(BP$2&lt;&gt;0,#REF!&gt;=BP$2),1,0)</f>
        <v>#REF!</v>
      </c>
      <c r="BQ30" s="270" t="e">
        <f t="array" ref="BQ30">IF(AND(BQ$2&lt;&gt;0,#REF!&gt;=BQ$2),1,0)</f>
        <v>#REF!</v>
      </c>
      <c r="BR30" s="270" t="e">
        <f t="array" ref="BR30">IF(AND(BR$2&lt;&gt;0,#REF!&gt;=BR$2),1,0)</f>
        <v>#REF!</v>
      </c>
      <c r="BS30" s="270" t="e">
        <f t="array" ref="BS30">IF(AND(BS$2&lt;&gt;0,#REF!&gt;=BS$2),1,0)</f>
        <v>#REF!</v>
      </c>
      <c r="BT30" s="270" t="e">
        <f t="array" ref="BT30">IF(AND(BT$2&lt;&gt;0,#REF!&gt;=BT$2),1,0)</f>
        <v>#REF!</v>
      </c>
      <c r="BU30" s="270" t="e">
        <f t="array" ref="BU30">IF(AND(BU$2&lt;&gt;0,#REF!&gt;=BU$2),1,0)</f>
        <v>#REF!</v>
      </c>
      <c r="BV30" s="270" t="e">
        <f t="array" ref="BV30">IF(AND(BV$2&lt;&gt;0,#REF!&gt;=BV$2),1,0)</f>
        <v>#REF!</v>
      </c>
      <c r="BW30" s="270" t="e">
        <f t="array" ref="BW30">IF(AND(BW$2&lt;&gt;0,#REF!&gt;=BW$2),1,0)</f>
        <v>#REF!</v>
      </c>
      <c r="BX30" s="270" t="e">
        <f t="array" ref="BX30">IF(AND(BX$2&lt;&gt;0,#REF!&gt;=BX$2),1,0)</f>
        <v>#REF!</v>
      </c>
      <c r="BY30" s="270" t="e">
        <f t="array" ref="BY30">IF(AND(BY$2&lt;&gt;0,#REF!&gt;=BY$2),1,0)</f>
        <v>#REF!</v>
      </c>
      <c r="BZ30" s="270" t="e">
        <f t="array" ref="BZ30">IF(AND(BZ$2&lt;&gt;0,#REF!&gt;=BZ$2),1,0)</f>
        <v>#REF!</v>
      </c>
      <c r="CA30" s="359">
        <f>IFERROR(INDEX($H$4:$H$79,MATCH(INDEX(#REF!,1,MATCH(#REF!,$M$2:$BZ$2,0)),$G$4:$G$79,0)),)</f>
        <v>0</v>
      </c>
    </row>
    <row r="31" spans="1:79" x14ac:dyDescent="0.25">
      <c r="A31" s="262" t="e">
        <f>#REF!</f>
        <v>#REF!</v>
      </c>
      <c r="B31" s="263" t="e">
        <f>#REF!</f>
        <v>#REF!</v>
      </c>
      <c r="C31" s="264" t="e">
        <f>#REF!</f>
        <v>#REF!</v>
      </c>
      <c r="D31" s="264" t="e">
        <f>#REF!</f>
        <v>#REF!</v>
      </c>
      <c r="E31" s="265"/>
      <c r="F31" s="266"/>
      <c r="G31" s="267" t="s">
        <v>573</v>
      </c>
      <c r="H31" s="268" t="s">
        <v>686</v>
      </c>
      <c r="I31" s="267" t="s">
        <v>1056</v>
      </c>
      <c r="J31" s="263"/>
      <c r="K31" s="89" t="e">
        <f ca="1">IF(#REF!&lt;&gt;OFFSET(#REF!,-1,0),1,0)</f>
        <v>#REF!</v>
      </c>
      <c r="L31" s="269" t="e">
        <f>COUNTIF(#REF!,1)</f>
        <v>#REF!</v>
      </c>
      <c r="M31" s="270" t="e">
        <f t="array" ref="M31">IF(AND(M$2&lt;&gt;0,#REF!&gt;=M$2),1,0)</f>
        <v>#REF!</v>
      </c>
      <c r="N31" s="270" t="e">
        <f t="array" ref="N31">IF(AND(N$2&lt;&gt;0,#REF!&gt;=N$2),1,0)</f>
        <v>#REF!</v>
      </c>
      <c r="O31" s="270" t="e">
        <f t="array" ref="O31">IF(AND(O$2&lt;&gt;0,#REF!&gt;=O$2),1,0)</f>
        <v>#REF!</v>
      </c>
      <c r="P31" s="270" t="e">
        <f t="array" ref="P31">IF(AND(P$2&lt;&gt;0,#REF!&gt;=P$2),1,0)</f>
        <v>#REF!</v>
      </c>
      <c r="Q31" s="270" t="e">
        <f t="array" ref="Q31">IF(AND(Q$2&lt;&gt;0,#REF!&gt;=Q$2),1,0)</f>
        <v>#REF!</v>
      </c>
      <c r="R31" s="270" t="e">
        <f t="array" ref="R31">IF(AND(R$2&lt;&gt;0,#REF!&gt;=R$2),1,0)</f>
        <v>#REF!</v>
      </c>
      <c r="S31" s="270" t="e">
        <f t="array" ref="S31">IF(AND(S$2&lt;&gt;0,#REF!&gt;=S$2),1,0)</f>
        <v>#REF!</v>
      </c>
      <c r="T31" s="270" t="e">
        <f t="array" ref="T31">IF(AND(T$2&lt;&gt;0,#REF!&gt;=T$2),1,0)</f>
        <v>#REF!</v>
      </c>
      <c r="U31" s="270" t="e">
        <f t="array" ref="U31">IF(AND(U$2&lt;&gt;0,#REF!&gt;=U$2),1,0)</f>
        <v>#REF!</v>
      </c>
      <c r="V31" s="270" t="e">
        <f t="array" ref="V31">IF(AND(V$2&lt;&gt;0,#REF!&gt;=V$2),1,0)</f>
        <v>#REF!</v>
      </c>
      <c r="W31" s="270" t="e">
        <f t="array" ref="W31">IF(AND(W$2&lt;&gt;0,#REF!&gt;=W$2),1,0)</f>
        <v>#REF!</v>
      </c>
      <c r="X31" s="270" t="e">
        <f t="array" ref="X31">IF(AND(X$2&lt;&gt;0,#REF!&gt;=X$2),1,0)</f>
        <v>#REF!</v>
      </c>
      <c r="Y31" s="270" t="e">
        <f t="array" ref="Y31">IF(AND(Y$2&lt;&gt;0,#REF!&gt;=Y$2),1,0)</f>
        <v>#REF!</v>
      </c>
      <c r="Z31" s="270" t="e">
        <f t="array" ref="Z31">IF(AND(Z$2&lt;&gt;0,#REF!&gt;=Z$2),1,0)</f>
        <v>#REF!</v>
      </c>
      <c r="AA31" s="270" t="e">
        <f t="array" ref="AA31">IF(AND(AA$2&lt;&gt;0,#REF!&gt;=AA$2),1,0)</f>
        <v>#REF!</v>
      </c>
      <c r="AB31" s="270" t="e">
        <f t="array" ref="AB31">IF(AND(AB$2&lt;&gt;0,#REF!&gt;=AB$2),1,0)</f>
        <v>#REF!</v>
      </c>
      <c r="AC31" s="270" t="e">
        <f t="array" ref="AC31">IF(AND(AC$2&lt;&gt;0,#REF!&gt;=AC$2),1,0)</f>
        <v>#REF!</v>
      </c>
      <c r="AD31" s="270" t="e">
        <f t="array" ref="AD31">IF(AND(AD$2&lt;&gt;0,#REF!&gt;=AD$2),1,0)</f>
        <v>#REF!</v>
      </c>
      <c r="AE31" s="270" t="e">
        <f t="array" ref="AE31">IF(AND(AE$2&lt;&gt;0,#REF!&gt;=AE$2),1,0)</f>
        <v>#REF!</v>
      </c>
      <c r="AF31" s="270" t="e">
        <f t="array" ref="AF31">IF(AND(AF$2&lt;&gt;0,#REF!&gt;=AF$2),1,0)</f>
        <v>#REF!</v>
      </c>
      <c r="AG31" s="270" t="e">
        <f t="array" ref="AG31">IF(AND(AG$2&lt;&gt;0,#REF!&gt;=AG$2),1,0)</f>
        <v>#REF!</v>
      </c>
      <c r="AH31" s="270" t="e">
        <f t="array" ref="AH31">IF(AND(AH$2&lt;&gt;0,#REF!&gt;=AH$2),1,0)</f>
        <v>#REF!</v>
      </c>
      <c r="AI31" s="270" t="e">
        <f t="array" ref="AI31">IF(AND(AI$2&lt;&gt;0,#REF!&gt;=AI$2),1,0)</f>
        <v>#REF!</v>
      </c>
      <c r="AJ31" s="270" t="e">
        <f t="array" ref="AJ31">IF(AND(AJ$2&lt;&gt;0,#REF!&gt;=AJ$2),1,0)</f>
        <v>#REF!</v>
      </c>
      <c r="AK31" s="270" t="e">
        <f t="array" ref="AK31">IF(AND(AK$2&lt;&gt;0,#REF!&gt;=AK$2),1,0)</f>
        <v>#REF!</v>
      </c>
      <c r="AL31" s="270" t="e">
        <f t="array" ref="AL31">IF(AND(AL$2&lt;&gt;0,#REF!&gt;=AL$2),1,0)</f>
        <v>#REF!</v>
      </c>
      <c r="AM31" s="270" t="e">
        <f t="array" ref="AM31">IF(AND(AM$2&lt;&gt;0,#REF!&gt;=AM$2),1,0)</f>
        <v>#REF!</v>
      </c>
      <c r="AN31" s="270" t="e">
        <f t="array" ref="AN31">IF(AND(AN$2&lt;&gt;0,#REF!&gt;=AN$2),1,0)</f>
        <v>#REF!</v>
      </c>
      <c r="AO31" s="270" t="e">
        <f t="array" ref="AO31">IF(AND(AO$2&lt;&gt;0,#REF!&gt;=AO$2),1,0)</f>
        <v>#REF!</v>
      </c>
      <c r="AP31" s="270" t="e">
        <f t="array" ref="AP31">IF(AND(AP$2&lt;&gt;0,#REF!&gt;=AP$2),1,0)</f>
        <v>#REF!</v>
      </c>
      <c r="AQ31" s="270" t="e">
        <f t="array" ref="AQ31">IF(AND(AQ$2&lt;&gt;0,#REF!&gt;=AQ$2),1,0)</f>
        <v>#REF!</v>
      </c>
      <c r="AR31" s="270" t="e">
        <f t="array" ref="AR31">IF(AND(AR$2&lt;&gt;0,#REF!&gt;=AR$2),1,0)</f>
        <v>#REF!</v>
      </c>
      <c r="AS31" s="270" t="e">
        <f t="array" ref="AS31">IF(AND(AS$2&lt;&gt;0,#REF!&gt;=AS$2),1,0)</f>
        <v>#REF!</v>
      </c>
      <c r="AT31" s="270" t="e">
        <f t="array" ref="AT31">IF(AND(AT$2&lt;&gt;0,#REF!&gt;=AT$2),1,0)</f>
        <v>#REF!</v>
      </c>
      <c r="AU31" s="270" t="e">
        <f t="array" ref="AU31">IF(AND(AU$2&lt;&gt;0,#REF!&gt;=AU$2),1,0)</f>
        <v>#REF!</v>
      </c>
      <c r="AV31" s="270" t="e">
        <f t="array" ref="AV31">IF(AND(AV$2&lt;&gt;0,#REF!&gt;=AV$2),1,0)</f>
        <v>#REF!</v>
      </c>
      <c r="AW31" s="270" t="e">
        <f t="array" ref="AW31">IF(AND(AW$2&lt;&gt;0,#REF!&gt;=AW$2),1,0)</f>
        <v>#REF!</v>
      </c>
      <c r="AX31" s="270" t="e">
        <f t="array" ref="AX31">IF(AND(AX$2&lt;&gt;0,#REF!&gt;=AX$2),1,0)</f>
        <v>#REF!</v>
      </c>
      <c r="AY31" s="270" t="e">
        <f t="array" ref="AY31">IF(AND(AY$2&lt;&gt;0,#REF!&gt;=AY$2),1,0)</f>
        <v>#REF!</v>
      </c>
      <c r="AZ31" s="270" t="e">
        <f t="array" ref="AZ31">IF(AND(AZ$2&lt;&gt;0,#REF!&gt;=AZ$2),1,0)</f>
        <v>#REF!</v>
      </c>
      <c r="BA31" s="270" t="e">
        <f t="array" ref="BA31">IF(AND(BA$2&lt;&gt;0,#REF!&gt;=BA$2),1,0)</f>
        <v>#REF!</v>
      </c>
      <c r="BB31" s="270" t="e">
        <f t="array" ref="BB31">IF(AND(BB$2&lt;&gt;0,#REF!&gt;=BB$2),1,0)</f>
        <v>#REF!</v>
      </c>
      <c r="BC31" s="270" t="e">
        <f t="array" ref="BC31">IF(AND(BC$2&lt;&gt;0,#REF!&gt;=BC$2),1,0)</f>
        <v>#REF!</v>
      </c>
      <c r="BD31" s="270" t="e">
        <f t="array" ref="BD31">IF(AND(BD$2&lt;&gt;0,#REF!&gt;=BD$2),1,0)</f>
        <v>#REF!</v>
      </c>
      <c r="BE31" s="270" t="e">
        <f t="array" ref="BE31">IF(AND(BE$2&lt;&gt;0,#REF!&gt;=BE$2),1,0)</f>
        <v>#REF!</v>
      </c>
      <c r="BF31" s="270" t="e">
        <f t="array" ref="BF31">IF(AND(BF$2&lt;&gt;0,#REF!&gt;=BF$2),1,0)</f>
        <v>#REF!</v>
      </c>
      <c r="BG31" s="270" t="e">
        <f t="array" ref="BG31">IF(AND(BG$2&lt;&gt;0,#REF!&gt;=BG$2),1,0)</f>
        <v>#REF!</v>
      </c>
      <c r="BH31" s="270" t="e">
        <f t="array" ref="BH31">IF(AND(BH$2&lt;&gt;0,#REF!&gt;=BH$2),1,0)</f>
        <v>#REF!</v>
      </c>
      <c r="BI31" s="270" t="e">
        <f t="array" ref="BI31">IF(AND(BI$2&lt;&gt;0,#REF!&gt;=BI$2),1,0)</f>
        <v>#REF!</v>
      </c>
      <c r="BJ31" s="270" t="e">
        <f t="array" ref="BJ31">IF(AND(BJ$2&lt;&gt;0,#REF!&gt;=BJ$2),1,0)</f>
        <v>#REF!</v>
      </c>
      <c r="BK31" s="270" t="e">
        <f t="array" ref="BK31">IF(AND(BK$2&lt;&gt;0,#REF!&gt;=BK$2),1,0)</f>
        <v>#REF!</v>
      </c>
      <c r="BL31" s="270" t="e">
        <f t="array" ref="BL31">IF(AND(BL$2&lt;&gt;0,#REF!&gt;=BL$2),1,0)</f>
        <v>#REF!</v>
      </c>
      <c r="BM31" s="270" t="e">
        <f t="array" ref="BM31">IF(AND(BM$2&lt;&gt;0,#REF!&gt;=BM$2),1,0)</f>
        <v>#REF!</v>
      </c>
      <c r="BN31" s="270" t="e">
        <f t="array" ref="BN31">IF(AND(BN$2&lt;&gt;0,#REF!&gt;=BN$2),1,0)</f>
        <v>#REF!</v>
      </c>
      <c r="BO31" s="270" t="e">
        <f t="array" ref="BO31">IF(AND(BO$2&lt;&gt;0,#REF!&gt;=BO$2),1,0)</f>
        <v>#REF!</v>
      </c>
      <c r="BP31" s="270" t="e">
        <f t="array" ref="BP31">IF(AND(BP$2&lt;&gt;0,#REF!&gt;=BP$2),1,0)</f>
        <v>#REF!</v>
      </c>
      <c r="BQ31" s="270" t="e">
        <f t="array" ref="BQ31">IF(AND(BQ$2&lt;&gt;0,#REF!&gt;=BQ$2),1,0)</f>
        <v>#REF!</v>
      </c>
      <c r="BR31" s="270" t="e">
        <f t="array" ref="BR31">IF(AND(BR$2&lt;&gt;0,#REF!&gt;=BR$2),1,0)</f>
        <v>#REF!</v>
      </c>
      <c r="BS31" s="270" t="e">
        <f t="array" ref="BS31">IF(AND(BS$2&lt;&gt;0,#REF!&gt;=BS$2),1,0)</f>
        <v>#REF!</v>
      </c>
      <c r="BT31" s="270" t="e">
        <f t="array" ref="BT31">IF(AND(BT$2&lt;&gt;0,#REF!&gt;=BT$2),1,0)</f>
        <v>#REF!</v>
      </c>
      <c r="BU31" s="270" t="e">
        <f t="array" ref="BU31">IF(AND(BU$2&lt;&gt;0,#REF!&gt;=BU$2),1,0)</f>
        <v>#REF!</v>
      </c>
      <c r="BV31" s="270" t="e">
        <f t="array" ref="BV31">IF(AND(BV$2&lt;&gt;0,#REF!&gt;=BV$2),1,0)</f>
        <v>#REF!</v>
      </c>
      <c r="BW31" s="270" t="e">
        <f t="array" ref="BW31">IF(AND(BW$2&lt;&gt;0,#REF!&gt;=BW$2),1,0)</f>
        <v>#REF!</v>
      </c>
      <c r="BX31" s="270" t="e">
        <f t="array" ref="BX31">IF(AND(BX$2&lt;&gt;0,#REF!&gt;=BX$2),1,0)</f>
        <v>#REF!</v>
      </c>
      <c r="BY31" s="270" t="e">
        <f t="array" ref="BY31">IF(AND(BY$2&lt;&gt;0,#REF!&gt;=BY$2),1,0)</f>
        <v>#REF!</v>
      </c>
      <c r="BZ31" s="270" t="e">
        <f t="array" ref="BZ31">IF(AND(BZ$2&lt;&gt;0,#REF!&gt;=BZ$2),1,0)</f>
        <v>#REF!</v>
      </c>
      <c r="CA31" s="359">
        <f>IFERROR(INDEX($H$4:$H$79,MATCH(INDEX(#REF!,1,MATCH(#REF!,$M$2:$BZ$2,0)),$G$4:$G$79,0)),)</f>
        <v>0</v>
      </c>
    </row>
    <row r="32" spans="1:79" x14ac:dyDescent="0.25">
      <c r="A32" s="262" t="e">
        <f>#REF!</f>
        <v>#REF!</v>
      </c>
      <c r="B32" s="263" t="e">
        <f>#REF!</f>
        <v>#REF!</v>
      </c>
      <c r="C32" s="264" t="e">
        <f>#REF!</f>
        <v>#REF!</v>
      </c>
      <c r="D32" s="264" t="e">
        <f>#REF!</f>
        <v>#REF!</v>
      </c>
      <c r="E32" s="265"/>
      <c r="F32" s="266"/>
      <c r="G32" s="267" t="s">
        <v>574</v>
      </c>
      <c r="H32" s="268" t="s">
        <v>697</v>
      </c>
      <c r="I32" s="267" t="s">
        <v>562</v>
      </c>
      <c r="J32" s="263"/>
      <c r="K32" s="89" t="e">
        <f ca="1">IF(#REF!&lt;&gt;OFFSET(#REF!,-1,0),1,0)</f>
        <v>#REF!</v>
      </c>
      <c r="L32" s="269" t="e">
        <f>COUNTIF(#REF!,1)</f>
        <v>#REF!</v>
      </c>
      <c r="M32" s="270" t="e">
        <f t="array" ref="M32">IF(AND(M$2&lt;&gt;0,#REF!&gt;=M$2),1,0)</f>
        <v>#REF!</v>
      </c>
      <c r="N32" s="270" t="e">
        <f t="array" ref="N32">IF(AND(N$2&lt;&gt;0,#REF!&gt;=N$2),1,0)</f>
        <v>#REF!</v>
      </c>
      <c r="O32" s="270" t="e">
        <f t="array" ref="O32">IF(AND(O$2&lt;&gt;0,#REF!&gt;=O$2),1,0)</f>
        <v>#REF!</v>
      </c>
      <c r="P32" s="270" t="e">
        <f t="array" ref="P32">IF(AND(P$2&lt;&gt;0,#REF!&gt;=P$2),1,0)</f>
        <v>#REF!</v>
      </c>
      <c r="Q32" s="270" t="e">
        <f t="array" ref="Q32">IF(AND(Q$2&lt;&gt;0,#REF!&gt;=Q$2),1,0)</f>
        <v>#REF!</v>
      </c>
      <c r="R32" s="270" t="e">
        <f t="array" ref="R32">IF(AND(R$2&lt;&gt;0,#REF!&gt;=R$2),1,0)</f>
        <v>#REF!</v>
      </c>
      <c r="S32" s="270" t="e">
        <f t="array" ref="S32">IF(AND(S$2&lt;&gt;0,#REF!&gt;=S$2),1,0)</f>
        <v>#REF!</v>
      </c>
      <c r="T32" s="270" t="e">
        <f t="array" ref="T32">IF(AND(T$2&lt;&gt;0,#REF!&gt;=T$2),1,0)</f>
        <v>#REF!</v>
      </c>
      <c r="U32" s="270" t="e">
        <f t="array" ref="U32">IF(AND(U$2&lt;&gt;0,#REF!&gt;=U$2),1,0)</f>
        <v>#REF!</v>
      </c>
      <c r="V32" s="270" t="e">
        <f t="array" ref="V32">IF(AND(V$2&lt;&gt;0,#REF!&gt;=V$2),1,0)</f>
        <v>#REF!</v>
      </c>
      <c r="W32" s="270" t="e">
        <f t="array" ref="W32">IF(AND(W$2&lt;&gt;0,#REF!&gt;=W$2),1,0)</f>
        <v>#REF!</v>
      </c>
      <c r="X32" s="270" t="e">
        <f t="array" ref="X32">IF(AND(X$2&lt;&gt;0,#REF!&gt;=X$2),1,0)</f>
        <v>#REF!</v>
      </c>
      <c r="Y32" s="270" t="e">
        <f t="array" ref="Y32">IF(AND(Y$2&lt;&gt;0,#REF!&gt;=Y$2),1,0)</f>
        <v>#REF!</v>
      </c>
      <c r="Z32" s="270" t="e">
        <f t="array" ref="Z32">IF(AND(Z$2&lt;&gt;0,#REF!&gt;=Z$2),1,0)</f>
        <v>#REF!</v>
      </c>
      <c r="AA32" s="270" t="e">
        <f t="array" ref="AA32">IF(AND(AA$2&lt;&gt;0,#REF!&gt;=AA$2),1,0)</f>
        <v>#REF!</v>
      </c>
      <c r="AB32" s="270" t="e">
        <f t="array" ref="AB32">IF(AND(AB$2&lt;&gt;0,#REF!&gt;=AB$2),1,0)</f>
        <v>#REF!</v>
      </c>
      <c r="AC32" s="270" t="e">
        <f t="array" ref="AC32">IF(AND(AC$2&lt;&gt;0,#REF!&gt;=AC$2),1,0)</f>
        <v>#REF!</v>
      </c>
      <c r="AD32" s="270" t="e">
        <f t="array" ref="AD32">IF(AND(AD$2&lt;&gt;0,#REF!&gt;=AD$2),1,0)</f>
        <v>#REF!</v>
      </c>
      <c r="AE32" s="270" t="e">
        <f t="array" ref="AE32">IF(AND(AE$2&lt;&gt;0,#REF!&gt;=AE$2),1,0)</f>
        <v>#REF!</v>
      </c>
      <c r="AF32" s="270" t="e">
        <f t="array" ref="AF32">IF(AND(AF$2&lt;&gt;0,#REF!&gt;=AF$2),1,0)</f>
        <v>#REF!</v>
      </c>
      <c r="AG32" s="270" t="e">
        <f t="array" ref="AG32">IF(AND(AG$2&lt;&gt;0,#REF!&gt;=AG$2),1,0)</f>
        <v>#REF!</v>
      </c>
      <c r="AH32" s="270" t="e">
        <f t="array" ref="AH32">IF(AND(AH$2&lt;&gt;0,#REF!&gt;=AH$2),1,0)</f>
        <v>#REF!</v>
      </c>
      <c r="AI32" s="270" t="e">
        <f t="array" ref="AI32">IF(AND(AI$2&lt;&gt;0,#REF!&gt;=AI$2),1,0)</f>
        <v>#REF!</v>
      </c>
      <c r="AJ32" s="270" t="e">
        <f t="array" ref="AJ32">IF(AND(AJ$2&lt;&gt;0,#REF!&gt;=AJ$2),1,0)</f>
        <v>#REF!</v>
      </c>
      <c r="AK32" s="270" t="e">
        <f t="array" ref="AK32">IF(AND(AK$2&lt;&gt;0,#REF!&gt;=AK$2),1,0)</f>
        <v>#REF!</v>
      </c>
      <c r="AL32" s="270" t="e">
        <f t="array" ref="AL32">IF(AND(AL$2&lt;&gt;0,#REF!&gt;=AL$2),1,0)</f>
        <v>#REF!</v>
      </c>
      <c r="AM32" s="270" t="e">
        <f t="array" ref="AM32">IF(AND(AM$2&lt;&gt;0,#REF!&gt;=AM$2),1,0)</f>
        <v>#REF!</v>
      </c>
      <c r="AN32" s="270" t="e">
        <f t="array" ref="AN32">IF(AND(AN$2&lt;&gt;0,#REF!&gt;=AN$2),1,0)</f>
        <v>#REF!</v>
      </c>
      <c r="AO32" s="270" t="e">
        <f t="array" ref="AO32">IF(AND(AO$2&lt;&gt;0,#REF!&gt;=AO$2),1,0)</f>
        <v>#REF!</v>
      </c>
      <c r="AP32" s="270" t="e">
        <f t="array" ref="AP32">IF(AND(AP$2&lt;&gt;0,#REF!&gt;=AP$2),1,0)</f>
        <v>#REF!</v>
      </c>
      <c r="AQ32" s="270" t="e">
        <f t="array" ref="AQ32">IF(AND(AQ$2&lt;&gt;0,#REF!&gt;=AQ$2),1,0)</f>
        <v>#REF!</v>
      </c>
      <c r="AR32" s="270" t="e">
        <f t="array" ref="AR32">IF(AND(AR$2&lt;&gt;0,#REF!&gt;=AR$2),1,0)</f>
        <v>#REF!</v>
      </c>
      <c r="AS32" s="270" t="e">
        <f t="array" ref="AS32">IF(AND(AS$2&lt;&gt;0,#REF!&gt;=AS$2),1,0)</f>
        <v>#REF!</v>
      </c>
      <c r="AT32" s="270" t="e">
        <f t="array" ref="AT32">IF(AND(AT$2&lt;&gt;0,#REF!&gt;=AT$2),1,0)</f>
        <v>#REF!</v>
      </c>
      <c r="AU32" s="270" t="e">
        <f t="array" ref="AU32">IF(AND(AU$2&lt;&gt;0,#REF!&gt;=AU$2),1,0)</f>
        <v>#REF!</v>
      </c>
      <c r="AV32" s="270" t="e">
        <f t="array" ref="AV32">IF(AND(AV$2&lt;&gt;0,#REF!&gt;=AV$2),1,0)</f>
        <v>#REF!</v>
      </c>
      <c r="AW32" s="270" t="e">
        <f t="array" ref="AW32">IF(AND(AW$2&lt;&gt;0,#REF!&gt;=AW$2),1,0)</f>
        <v>#REF!</v>
      </c>
      <c r="AX32" s="270" t="e">
        <f t="array" ref="AX32">IF(AND(AX$2&lt;&gt;0,#REF!&gt;=AX$2),1,0)</f>
        <v>#REF!</v>
      </c>
      <c r="AY32" s="270" t="e">
        <f t="array" ref="AY32">IF(AND(AY$2&lt;&gt;0,#REF!&gt;=AY$2),1,0)</f>
        <v>#REF!</v>
      </c>
      <c r="AZ32" s="270" t="e">
        <f t="array" ref="AZ32">IF(AND(AZ$2&lt;&gt;0,#REF!&gt;=AZ$2),1,0)</f>
        <v>#REF!</v>
      </c>
      <c r="BA32" s="270" t="e">
        <f t="array" ref="BA32">IF(AND(BA$2&lt;&gt;0,#REF!&gt;=BA$2),1,0)</f>
        <v>#REF!</v>
      </c>
      <c r="BB32" s="270" t="e">
        <f t="array" ref="BB32">IF(AND(BB$2&lt;&gt;0,#REF!&gt;=BB$2),1,0)</f>
        <v>#REF!</v>
      </c>
      <c r="BC32" s="270" t="e">
        <f t="array" ref="BC32">IF(AND(BC$2&lt;&gt;0,#REF!&gt;=BC$2),1,0)</f>
        <v>#REF!</v>
      </c>
      <c r="BD32" s="270" t="e">
        <f t="array" ref="BD32">IF(AND(BD$2&lt;&gt;0,#REF!&gt;=BD$2),1,0)</f>
        <v>#REF!</v>
      </c>
      <c r="BE32" s="270" t="e">
        <f t="array" ref="BE32">IF(AND(BE$2&lt;&gt;0,#REF!&gt;=BE$2),1,0)</f>
        <v>#REF!</v>
      </c>
      <c r="BF32" s="270" t="e">
        <f t="array" ref="BF32">IF(AND(BF$2&lt;&gt;0,#REF!&gt;=BF$2),1,0)</f>
        <v>#REF!</v>
      </c>
      <c r="BG32" s="270" t="e">
        <f t="array" ref="BG32">IF(AND(BG$2&lt;&gt;0,#REF!&gt;=BG$2),1,0)</f>
        <v>#REF!</v>
      </c>
      <c r="BH32" s="270" t="e">
        <f t="array" ref="BH32">IF(AND(BH$2&lt;&gt;0,#REF!&gt;=BH$2),1,0)</f>
        <v>#REF!</v>
      </c>
      <c r="BI32" s="270" t="e">
        <f t="array" ref="BI32">IF(AND(BI$2&lt;&gt;0,#REF!&gt;=BI$2),1,0)</f>
        <v>#REF!</v>
      </c>
      <c r="BJ32" s="270" t="e">
        <f t="array" ref="BJ32">IF(AND(BJ$2&lt;&gt;0,#REF!&gt;=BJ$2),1,0)</f>
        <v>#REF!</v>
      </c>
      <c r="BK32" s="270" t="e">
        <f t="array" ref="BK32">IF(AND(BK$2&lt;&gt;0,#REF!&gt;=BK$2),1,0)</f>
        <v>#REF!</v>
      </c>
      <c r="BL32" s="270" t="e">
        <f t="array" ref="BL32">IF(AND(BL$2&lt;&gt;0,#REF!&gt;=BL$2),1,0)</f>
        <v>#REF!</v>
      </c>
      <c r="BM32" s="270" t="e">
        <f t="array" ref="BM32">IF(AND(BM$2&lt;&gt;0,#REF!&gt;=BM$2),1,0)</f>
        <v>#REF!</v>
      </c>
      <c r="BN32" s="270" t="e">
        <f t="array" ref="BN32">IF(AND(BN$2&lt;&gt;0,#REF!&gt;=BN$2),1,0)</f>
        <v>#REF!</v>
      </c>
      <c r="BO32" s="270" t="e">
        <f t="array" ref="BO32">IF(AND(BO$2&lt;&gt;0,#REF!&gt;=BO$2),1,0)</f>
        <v>#REF!</v>
      </c>
      <c r="BP32" s="270" t="e">
        <f t="array" ref="BP32">IF(AND(BP$2&lt;&gt;0,#REF!&gt;=BP$2),1,0)</f>
        <v>#REF!</v>
      </c>
      <c r="BQ32" s="270" t="e">
        <f t="array" ref="BQ32">IF(AND(BQ$2&lt;&gt;0,#REF!&gt;=BQ$2),1,0)</f>
        <v>#REF!</v>
      </c>
      <c r="BR32" s="270" t="e">
        <f t="array" ref="BR32">IF(AND(BR$2&lt;&gt;0,#REF!&gt;=BR$2),1,0)</f>
        <v>#REF!</v>
      </c>
      <c r="BS32" s="270" t="e">
        <f t="array" ref="BS32">IF(AND(BS$2&lt;&gt;0,#REF!&gt;=BS$2),1,0)</f>
        <v>#REF!</v>
      </c>
      <c r="BT32" s="270" t="e">
        <f t="array" ref="BT32">IF(AND(BT$2&lt;&gt;0,#REF!&gt;=BT$2),1,0)</f>
        <v>#REF!</v>
      </c>
      <c r="BU32" s="270" t="e">
        <f t="array" ref="BU32">IF(AND(BU$2&lt;&gt;0,#REF!&gt;=BU$2),1,0)</f>
        <v>#REF!</v>
      </c>
      <c r="BV32" s="270" t="e">
        <f t="array" ref="BV32">IF(AND(BV$2&lt;&gt;0,#REF!&gt;=BV$2),1,0)</f>
        <v>#REF!</v>
      </c>
      <c r="BW32" s="270" t="e">
        <f t="array" ref="BW32">IF(AND(BW$2&lt;&gt;0,#REF!&gt;=BW$2),1,0)</f>
        <v>#REF!</v>
      </c>
      <c r="BX32" s="270" t="e">
        <f t="array" ref="BX32">IF(AND(BX$2&lt;&gt;0,#REF!&gt;=BX$2),1,0)</f>
        <v>#REF!</v>
      </c>
      <c r="BY32" s="270" t="e">
        <f t="array" ref="BY32">IF(AND(BY$2&lt;&gt;0,#REF!&gt;=BY$2),1,0)</f>
        <v>#REF!</v>
      </c>
      <c r="BZ32" s="270" t="e">
        <f t="array" ref="BZ32">IF(AND(BZ$2&lt;&gt;0,#REF!&gt;=BZ$2),1,0)</f>
        <v>#REF!</v>
      </c>
      <c r="CA32" s="359">
        <f>IFERROR(INDEX($H$4:$H$79,MATCH(INDEX(#REF!,1,MATCH(#REF!,$M$2:$BZ$2,0)),$G$4:$G$79,0)),)</f>
        <v>0</v>
      </c>
    </row>
    <row r="33" spans="1:79" x14ac:dyDescent="0.25">
      <c r="A33" s="262" t="e">
        <f>#REF!</f>
        <v>#REF!</v>
      </c>
      <c r="B33" s="263" t="e">
        <f>#REF!</f>
        <v>#REF!</v>
      </c>
      <c r="C33" s="264" t="e">
        <f>#REF!</f>
        <v>#REF!</v>
      </c>
      <c r="D33" s="264" t="e">
        <f>#REF!</f>
        <v>#REF!</v>
      </c>
      <c r="E33" s="265"/>
      <c r="F33" s="266"/>
      <c r="G33" s="267" t="s">
        <v>575</v>
      </c>
      <c r="H33" s="268" t="s">
        <v>705</v>
      </c>
      <c r="I33" s="267" t="s">
        <v>744</v>
      </c>
      <c r="J33" s="263"/>
      <c r="K33" s="89" t="e">
        <f ca="1">IF(#REF!&lt;&gt;OFFSET(#REF!,-1,0),1,0)</f>
        <v>#REF!</v>
      </c>
      <c r="L33" s="269" t="e">
        <f>COUNTIF(#REF!,1)</f>
        <v>#REF!</v>
      </c>
      <c r="M33" s="270" t="e">
        <f t="array" ref="M33">IF(AND(M$2&lt;&gt;0,#REF!&gt;=M$2),1,0)</f>
        <v>#REF!</v>
      </c>
      <c r="N33" s="270" t="e">
        <f t="array" ref="N33">IF(AND(N$2&lt;&gt;0,#REF!&gt;=N$2),1,0)</f>
        <v>#REF!</v>
      </c>
      <c r="O33" s="270" t="e">
        <f t="array" ref="O33">IF(AND(O$2&lt;&gt;0,#REF!&gt;=O$2),1,0)</f>
        <v>#REF!</v>
      </c>
      <c r="P33" s="270" t="e">
        <f t="array" ref="P33">IF(AND(P$2&lt;&gt;0,#REF!&gt;=P$2),1,0)</f>
        <v>#REF!</v>
      </c>
      <c r="Q33" s="270" t="e">
        <f t="array" ref="Q33">IF(AND(Q$2&lt;&gt;0,#REF!&gt;=Q$2),1,0)</f>
        <v>#REF!</v>
      </c>
      <c r="R33" s="270" t="e">
        <f t="array" ref="R33">IF(AND(R$2&lt;&gt;0,#REF!&gt;=R$2),1,0)</f>
        <v>#REF!</v>
      </c>
      <c r="S33" s="270" t="e">
        <f t="array" ref="S33">IF(AND(S$2&lt;&gt;0,#REF!&gt;=S$2),1,0)</f>
        <v>#REF!</v>
      </c>
      <c r="T33" s="270" t="e">
        <f t="array" ref="T33">IF(AND(T$2&lt;&gt;0,#REF!&gt;=T$2),1,0)</f>
        <v>#REF!</v>
      </c>
      <c r="U33" s="270" t="e">
        <f t="array" ref="U33">IF(AND(U$2&lt;&gt;0,#REF!&gt;=U$2),1,0)</f>
        <v>#REF!</v>
      </c>
      <c r="V33" s="270" t="e">
        <f t="array" ref="V33">IF(AND(V$2&lt;&gt;0,#REF!&gt;=V$2),1,0)</f>
        <v>#REF!</v>
      </c>
      <c r="W33" s="270" t="e">
        <f t="array" ref="W33">IF(AND(W$2&lt;&gt;0,#REF!&gt;=W$2),1,0)</f>
        <v>#REF!</v>
      </c>
      <c r="X33" s="270" t="e">
        <f t="array" ref="X33">IF(AND(X$2&lt;&gt;0,#REF!&gt;=X$2),1,0)</f>
        <v>#REF!</v>
      </c>
      <c r="Y33" s="270" t="e">
        <f t="array" ref="Y33">IF(AND(Y$2&lt;&gt;0,#REF!&gt;=Y$2),1,0)</f>
        <v>#REF!</v>
      </c>
      <c r="Z33" s="270" t="e">
        <f t="array" ref="Z33">IF(AND(Z$2&lt;&gt;0,#REF!&gt;=Z$2),1,0)</f>
        <v>#REF!</v>
      </c>
      <c r="AA33" s="270" t="e">
        <f t="array" ref="AA33">IF(AND(AA$2&lt;&gt;0,#REF!&gt;=AA$2),1,0)</f>
        <v>#REF!</v>
      </c>
      <c r="AB33" s="270" t="e">
        <f t="array" ref="AB33">IF(AND(AB$2&lt;&gt;0,#REF!&gt;=AB$2),1,0)</f>
        <v>#REF!</v>
      </c>
      <c r="AC33" s="270" t="e">
        <f t="array" ref="AC33">IF(AND(AC$2&lt;&gt;0,#REF!&gt;=AC$2),1,0)</f>
        <v>#REF!</v>
      </c>
      <c r="AD33" s="270" t="e">
        <f t="array" ref="AD33">IF(AND(AD$2&lt;&gt;0,#REF!&gt;=AD$2),1,0)</f>
        <v>#REF!</v>
      </c>
      <c r="AE33" s="270" t="e">
        <f t="array" ref="AE33">IF(AND(AE$2&lt;&gt;0,#REF!&gt;=AE$2),1,0)</f>
        <v>#REF!</v>
      </c>
      <c r="AF33" s="270" t="e">
        <f t="array" ref="AF33">IF(AND(AF$2&lt;&gt;0,#REF!&gt;=AF$2),1,0)</f>
        <v>#REF!</v>
      </c>
      <c r="AG33" s="270" t="e">
        <f t="array" ref="AG33">IF(AND(AG$2&lt;&gt;0,#REF!&gt;=AG$2),1,0)</f>
        <v>#REF!</v>
      </c>
      <c r="AH33" s="270" t="e">
        <f t="array" ref="AH33">IF(AND(AH$2&lt;&gt;0,#REF!&gt;=AH$2),1,0)</f>
        <v>#REF!</v>
      </c>
      <c r="AI33" s="270" t="e">
        <f t="array" ref="AI33">IF(AND(AI$2&lt;&gt;0,#REF!&gt;=AI$2),1,0)</f>
        <v>#REF!</v>
      </c>
      <c r="AJ33" s="270" t="e">
        <f t="array" ref="AJ33">IF(AND(AJ$2&lt;&gt;0,#REF!&gt;=AJ$2),1,0)</f>
        <v>#REF!</v>
      </c>
      <c r="AK33" s="270" t="e">
        <f t="array" ref="AK33">IF(AND(AK$2&lt;&gt;0,#REF!&gt;=AK$2),1,0)</f>
        <v>#REF!</v>
      </c>
      <c r="AL33" s="270" t="e">
        <f t="array" ref="AL33">IF(AND(AL$2&lt;&gt;0,#REF!&gt;=AL$2),1,0)</f>
        <v>#REF!</v>
      </c>
      <c r="AM33" s="270" t="e">
        <f t="array" ref="AM33">IF(AND(AM$2&lt;&gt;0,#REF!&gt;=AM$2),1,0)</f>
        <v>#REF!</v>
      </c>
      <c r="AN33" s="270" t="e">
        <f t="array" ref="AN33">IF(AND(AN$2&lt;&gt;0,#REF!&gt;=AN$2),1,0)</f>
        <v>#REF!</v>
      </c>
      <c r="AO33" s="270" t="e">
        <f t="array" ref="AO33">IF(AND(AO$2&lt;&gt;0,#REF!&gt;=AO$2),1,0)</f>
        <v>#REF!</v>
      </c>
      <c r="AP33" s="270" t="e">
        <f t="array" ref="AP33">IF(AND(AP$2&lt;&gt;0,#REF!&gt;=AP$2),1,0)</f>
        <v>#REF!</v>
      </c>
      <c r="AQ33" s="270" t="e">
        <f t="array" ref="AQ33">IF(AND(AQ$2&lt;&gt;0,#REF!&gt;=AQ$2),1,0)</f>
        <v>#REF!</v>
      </c>
      <c r="AR33" s="270" t="e">
        <f t="array" ref="AR33">IF(AND(AR$2&lt;&gt;0,#REF!&gt;=AR$2),1,0)</f>
        <v>#REF!</v>
      </c>
      <c r="AS33" s="270" t="e">
        <f t="array" ref="AS33">IF(AND(AS$2&lt;&gt;0,#REF!&gt;=AS$2),1,0)</f>
        <v>#REF!</v>
      </c>
      <c r="AT33" s="270" t="e">
        <f t="array" ref="AT33">IF(AND(AT$2&lt;&gt;0,#REF!&gt;=AT$2),1,0)</f>
        <v>#REF!</v>
      </c>
      <c r="AU33" s="270" t="e">
        <f t="array" ref="AU33">IF(AND(AU$2&lt;&gt;0,#REF!&gt;=AU$2),1,0)</f>
        <v>#REF!</v>
      </c>
      <c r="AV33" s="270" t="e">
        <f t="array" ref="AV33">IF(AND(AV$2&lt;&gt;0,#REF!&gt;=AV$2),1,0)</f>
        <v>#REF!</v>
      </c>
      <c r="AW33" s="270" t="e">
        <f t="array" ref="AW33">IF(AND(AW$2&lt;&gt;0,#REF!&gt;=AW$2),1,0)</f>
        <v>#REF!</v>
      </c>
      <c r="AX33" s="270" t="e">
        <f t="array" ref="AX33">IF(AND(AX$2&lt;&gt;0,#REF!&gt;=AX$2),1,0)</f>
        <v>#REF!</v>
      </c>
      <c r="AY33" s="270" t="e">
        <f t="array" ref="AY33">IF(AND(AY$2&lt;&gt;0,#REF!&gt;=AY$2),1,0)</f>
        <v>#REF!</v>
      </c>
      <c r="AZ33" s="270" t="e">
        <f t="array" ref="AZ33">IF(AND(AZ$2&lt;&gt;0,#REF!&gt;=AZ$2),1,0)</f>
        <v>#REF!</v>
      </c>
      <c r="BA33" s="270" t="e">
        <f t="array" ref="BA33">IF(AND(BA$2&lt;&gt;0,#REF!&gt;=BA$2),1,0)</f>
        <v>#REF!</v>
      </c>
      <c r="BB33" s="270" t="e">
        <f t="array" ref="BB33">IF(AND(BB$2&lt;&gt;0,#REF!&gt;=BB$2),1,0)</f>
        <v>#REF!</v>
      </c>
      <c r="BC33" s="270" t="e">
        <f t="array" ref="BC33">IF(AND(BC$2&lt;&gt;0,#REF!&gt;=BC$2),1,0)</f>
        <v>#REF!</v>
      </c>
      <c r="BD33" s="270" t="e">
        <f t="array" ref="BD33">IF(AND(BD$2&lt;&gt;0,#REF!&gt;=BD$2),1,0)</f>
        <v>#REF!</v>
      </c>
      <c r="BE33" s="270" t="e">
        <f t="array" ref="BE33">IF(AND(BE$2&lt;&gt;0,#REF!&gt;=BE$2),1,0)</f>
        <v>#REF!</v>
      </c>
      <c r="BF33" s="270" t="e">
        <f t="array" ref="BF33">IF(AND(BF$2&lt;&gt;0,#REF!&gt;=BF$2),1,0)</f>
        <v>#REF!</v>
      </c>
      <c r="BG33" s="270" t="e">
        <f t="array" ref="BG33">IF(AND(BG$2&lt;&gt;0,#REF!&gt;=BG$2),1,0)</f>
        <v>#REF!</v>
      </c>
      <c r="BH33" s="270" t="e">
        <f t="array" ref="BH33">IF(AND(BH$2&lt;&gt;0,#REF!&gt;=BH$2),1,0)</f>
        <v>#REF!</v>
      </c>
      <c r="BI33" s="270" t="e">
        <f t="array" ref="BI33">IF(AND(BI$2&lt;&gt;0,#REF!&gt;=BI$2),1,0)</f>
        <v>#REF!</v>
      </c>
      <c r="BJ33" s="270" t="e">
        <f t="array" ref="BJ33">IF(AND(BJ$2&lt;&gt;0,#REF!&gt;=BJ$2),1,0)</f>
        <v>#REF!</v>
      </c>
      <c r="BK33" s="270" t="e">
        <f t="array" ref="BK33">IF(AND(BK$2&lt;&gt;0,#REF!&gt;=BK$2),1,0)</f>
        <v>#REF!</v>
      </c>
      <c r="BL33" s="270" t="e">
        <f t="array" ref="BL33">IF(AND(BL$2&lt;&gt;0,#REF!&gt;=BL$2),1,0)</f>
        <v>#REF!</v>
      </c>
      <c r="BM33" s="270" t="e">
        <f t="array" ref="BM33">IF(AND(BM$2&lt;&gt;0,#REF!&gt;=BM$2),1,0)</f>
        <v>#REF!</v>
      </c>
      <c r="BN33" s="270" t="e">
        <f t="array" ref="BN33">IF(AND(BN$2&lt;&gt;0,#REF!&gt;=BN$2),1,0)</f>
        <v>#REF!</v>
      </c>
      <c r="BO33" s="270" t="e">
        <f t="array" ref="BO33">IF(AND(BO$2&lt;&gt;0,#REF!&gt;=BO$2),1,0)</f>
        <v>#REF!</v>
      </c>
      <c r="BP33" s="270" t="e">
        <f t="array" ref="BP33">IF(AND(BP$2&lt;&gt;0,#REF!&gt;=BP$2),1,0)</f>
        <v>#REF!</v>
      </c>
      <c r="BQ33" s="270" t="e">
        <f t="array" ref="BQ33">IF(AND(BQ$2&lt;&gt;0,#REF!&gt;=BQ$2),1,0)</f>
        <v>#REF!</v>
      </c>
      <c r="BR33" s="270" t="e">
        <f t="array" ref="BR33">IF(AND(BR$2&lt;&gt;0,#REF!&gt;=BR$2),1,0)</f>
        <v>#REF!</v>
      </c>
      <c r="BS33" s="270" t="e">
        <f t="array" ref="BS33">IF(AND(BS$2&lt;&gt;0,#REF!&gt;=BS$2),1,0)</f>
        <v>#REF!</v>
      </c>
      <c r="BT33" s="270" t="e">
        <f t="array" ref="BT33">IF(AND(BT$2&lt;&gt;0,#REF!&gt;=BT$2),1,0)</f>
        <v>#REF!</v>
      </c>
      <c r="BU33" s="270" t="e">
        <f t="array" ref="BU33">IF(AND(BU$2&lt;&gt;0,#REF!&gt;=BU$2),1,0)</f>
        <v>#REF!</v>
      </c>
      <c r="BV33" s="270" t="e">
        <f t="array" ref="BV33">IF(AND(BV$2&lt;&gt;0,#REF!&gt;=BV$2),1,0)</f>
        <v>#REF!</v>
      </c>
      <c r="BW33" s="270" t="e">
        <f t="array" ref="BW33">IF(AND(BW$2&lt;&gt;0,#REF!&gt;=BW$2),1,0)</f>
        <v>#REF!</v>
      </c>
      <c r="BX33" s="270" t="e">
        <f t="array" ref="BX33">IF(AND(BX$2&lt;&gt;0,#REF!&gt;=BX$2),1,0)</f>
        <v>#REF!</v>
      </c>
      <c r="BY33" s="270" t="e">
        <f t="array" ref="BY33">IF(AND(BY$2&lt;&gt;0,#REF!&gt;=BY$2),1,0)</f>
        <v>#REF!</v>
      </c>
      <c r="BZ33" s="270" t="e">
        <f t="array" ref="BZ33">IF(AND(BZ$2&lt;&gt;0,#REF!&gt;=BZ$2),1,0)</f>
        <v>#REF!</v>
      </c>
      <c r="CA33" s="359">
        <f>IFERROR(INDEX($H$4:$H$79,MATCH(INDEX(#REF!,1,MATCH(#REF!,$M$2:$BZ$2,0)),$G$4:$G$79,0)),)</f>
        <v>0</v>
      </c>
    </row>
    <row r="34" spans="1:79" x14ac:dyDescent="0.25">
      <c r="A34" s="262" t="e">
        <f>#REF!</f>
        <v>#REF!</v>
      </c>
      <c r="B34" s="263" t="e">
        <f>#REF!</f>
        <v>#REF!</v>
      </c>
      <c r="C34" s="264" t="e">
        <f>#REF!</f>
        <v>#REF!</v>
      </c>
      <c r="D34" s="264" t="e">
        <f>#REF!</f>
        <v>#REF!</v>
      </c>
      <c r="E34" s="265"/>
      <c r="F34" s="266"/>
      <c r="G34" s="267" t="s">
        <v>576</v>
      </c>
      <c r="H34" s="268" t="s">
        <v>706</v>
      </c>
      <c r="I34" s="267" t="s">
        <v>577</v>
      </c>
      <c r="J34" s="263"/>
      <c r="K34" s="89" t="e">
        <f ca="1">IF(#REF!&lt;&gt;OFFSET(#REF!,-1,0),1,0)</f>
        <v>#REF!</v>
      </c>
      <c r="L34" s="269" t="e">
        <f>COUNTIF(#REF!,1)</f>
        <v>#REF!</v>
      </c>
      <c r="M34" s="270" t="e">
        <f t="array" ref="M34">IF(AND(M$2&lt;&gt;0,#REF!&gt;=M$2),1,0)</f>
        <v>#REF!</v>
      </c>
      <c r="N34" s="270" t="e">
        <f t="array" ref="N34">IF(AND(N$2&lt;&gt;0,#REF!&gt;=N$2),1,0)</f>
        <v>#REF!</v>
      </c>
      <c r="O34" s="270" t="e">
        <f t="array" ref="O34">IF(AND(O$2&lt;&gt;0,#REF!&gt;=O$2),1,0)</f>
        <v>#REF!</v>
      </c>
      <c r="P34" s="270" t="e">
        <f t="array" ref="P34">IF(AND(P$2&lt;&gt;0,#REF!&gt;=P$2),1,0)</f>
        <v>#REF!</v>
      </c>
      <c r="Q34" s="270" t="e">
        <f t="array" ref="Q34">IF(AND(Q$2&lt;&gt;0,#REF!&gt;=Q$2),1,0)</f>
        <v>#REF!</v>
      </c>
      <c r="R34" s="270" t="e">
        <f t="array" ref="R34">IF(AND(R$2&lt;&gt;0,#REF!&gt;=R$2),1,0)</f>
        <v>#REF!</v>
      </c>
      <c r="S34" s="270" t="e">
        <f t="array" ref="S34">IF(AND(S$2&lt;&gt;0,#REF!&gt;=S$2),1,0)</f>
        <v>#REF!</v>
      </c>
      <c r="T34" s="270" t="e">
        <f t="array" ref="T34">IF(AND(T$2&lt;&gt;0,#REF!&gt;=T$2),1,0)</f>
        <v>#REF!</v>
      </c>
      <c r="U34" s="270" t="e">
        <f t="array" ref="U34">IF(AND(U$2&lt;&gt;0,#REF!&gt;=U$2),1,0)</f>
        <v>#REF!</v>
      </c>
      <c r="V34" s="270" t="e">
        <f t="array" ref="V34">IF(AND(V$2&lt;&gt;0,#REF!&gt;=V$2),1,0)</f>
        <v>#REF!</v>
      </c>
      <c r="W34" s="270" t="e">
        <f t="array" ref="W34">IF(AND(W$2&lt;&gt;0,#REF!&gt;=W$2),1,0)</f>
        <v>#REF!</v>
      </c>
      <c r="X34" s="270" t="e">
        <f t="array" ref="X34">IF(AND(X$2&lt;&gt;0,#REF!&gt;=X$2),1,0)</f>
        <v>#REF!</v>
      </c>
      <c r="Y34" s="270" t="e">
        <f t="array" ref="Y34">IF(AND(Y$2&lt;&gt;0,#REF!&gt;=Y$2),1,0)</f>
        <v>#REF!</v>
      </c>
      <c r="Z34" s="270" t="e">
        <f t="array" ref="Z34">IF(AND(Z$2&lt;&gt;0,#REF!&gt;=Z$2),1,0)</f>
        <v>#REF!</v>
      </c>
      <c r="AA34" s="270" t="e">
        <f t="array" ref="AA34">IF(AND(AA$2&lt;&gt;0,#REF!&gt;=AA$2),1,0)</f>
        <v>#REF!</v>
      </c>
      <c r="AB34" s="270" t="e">
        <f t="array" ref="AB34">IF(AND(AB$2&lt;&gt;0,#REF!&gt;=AB$2),1,0)</f>
        <v>#REF!</v>
      </c>
      <c r="AC34" s="270" t="e">
        <f t="array" ref="AC34">IF(AND(AC$2&lt;&gt;0,#REF!&gt;=AC$2),1,0)</f>
        <v>#REF!</v>
      </c>
      <c r="AD34" s="270" t="e">
        <f t="array" ref="AD34">IF(AND(AD$2&lt;&gt;0,#REF!&gt;=AD$2),1,0)</f>
        <v>#REF!</v>
      </c>
      <c r="AE34" s="270" t="e">
        <f t="array" ref="AE34">IF(AND(AE$2&lt;&gt;0,#REF!&gt;=AE$2),1,0)</f>
        <v>#REF!</v>
      </c>
      <c r="AF34" s="270" t="e">
        <f t="array" ref="AF34">IF(AND(AF$2&lt;&gt;0,#REF!&gt;=AF$2),1,0)</f>
        <v>#REF!</v>
      </c>
      <c r="AG34" s="270" t="e">
        <f t="array" ref="AG34">IF(AND(AG$2&lt;&gt;0,#REF!&gt;=AG$2),1,0)</f>
        <v>#REF!</v>
      </c>
      <c r="AH34" s="270" t="e">
        <f t="array" ref="AH34">IF(AND(AH$2&lt;&gt;0,#REF!&gt;=AH$2),1,0)</f>
        <v>#REF!</v>
      </c>
      <c r="AI34" s="270" t="e">
        <f t="array" ref="AI34">IF(AND(AI$2&lt;&gt;0,#REF!&gt;=AI$2),1,0)</f>
        <v>#REF!</v>
      </c>
      <c r="AJ34" s="270" t="e">
        <f t="array" ref="AJ34">IF(AND(AJ$2&lt;&gt;0,#REF!&gt;=AJ$2),1,0)</f>
        <v>#REF!</v>
      </c>
      <c r="AK34" s="270" t="e">
        <f t="array" ref="AK34">IF(AND(AK$2&lt;&gt;0,#REF!&gt;=AK$2),1,0)</f>
        <v>#REF!</v>
      </c>
      <c r="AL34" s="270" t="e">
        <f t="array" ref="AL34">IF(AND(AL$2&lt;&gt;0,#REF!&gt;=AL$2),1,0)</f>
        <v>#REF!</v>
      </c>
      <c r="AM34" s="270" t="e">
        <f t="array" ref="AM34">IF(AND(AM$2&lt;&gt;0,#REF!&gt;=AM$2),1,0)</f>
        <v>#REF!</v>
      </c>
      <c r="AN34" s="270" t="e">
        <f t="array" ref="AN34">IF(AND(AN$2&lt;&gt;0,#REF!&gt;=AN$2),1,0)</f>
        <v>#REF!</v>
      </c>
      <c r="AO34" s="270" t="e">
        <f t="array" ref="AO34">IF(AND(AO$2&lt;&gt;0,#REF!&gt;=AO$2),1,0)</f>
        <v>#REF!</v>
      </c>
      <c r="AP34" s="270" t="e">
        <f t="array" ref="AP34">IF(AND(AP$2&lt;&gt;0,#REF!&gt;=AP$2),1,0)</f>
        <v>#REF!</v>
      </c>
      <c r="AQ34" s="270" t="e">
        <f t="array" ref="AQ34">IF(AND(AQ$2&lt;&gt;0,#REF!&gt;=AQ$2),1,0)</f>
        <v>#REF!</v>
      </c>
      <c r="AR34" s="270" t="e">
        <f t="array" ref="AR34">IF(AND(AR$2&lt;&gt;0,#REF!&gt;=AR$2),1,0)</f>
        <v>#REF!</v>
      </c>
      <c r="AS34" s="270" t="e">
        <f t="array" ref="AS34">IF(AND(AS$2&lt;&gt;0,#REF!&gt;=AS$2),1,0)</f>
        <v>#REF!</v>
      </c>
      <c r="AT34" s="270" t="e">
        <f t="array" ref="AT34">IF(AND(AT$2&lt;&gt;0,#REF!&gt;=AT$2),1,0)</f>
        <v>#REF!</v>
      </c>
      <c r="AU34" s="270" t="e">
        <f t="array" ref="AU34">IF(AND(AU$2&lt;&gt;0,#REF!&gt;=AU$2),1,0)</f>
        <v>#REF!</v>
      </c>
      <c r="AV34" s="270" t="e">
        <f t="array" ref="AV34">IF(AND(AV$2&lt;&gt;0,#REF!&gt;=AV$2),1,0)</f>
        <v>#REF!</v>
      </c>
      <c r="AW34" s="270" t="e">
        <f t="array" ref="AW34">IF(AND(AW$2&lt;&gt;0,#REF!&gt;=AW$2),1,0)</f>
        <v>#REF!</v>
      </c>
      <c r="AX34" s="270" t="e">
        <f t="array" ref="AX34">IF(AND(AX$2&lt;&gt;0,#REF!&gt;=AX$2),1,0)</f>
        <v>#REF!</v>
      </c>
      <c r="AY34" s="270" t="e">
        <f t="array" ref="AY34">IF(AND(AY$2&lt;&gt;0,#REF!&gt;=AY$2),1,0)</f>
        <v>#REF!</v>
      </c>
      <c r="AZ34" s="270" t="e">
        <f t="array" ref="AZ34">IF(AND(AZ$2&lt;&gt;0,#REF!&gt;=AZ$2),1,0)</f>
        <v>#REF!</v>
      </c>
      <c r="BA34" s="270" t="e">
        <f t="array" ref="BA34">IF(AND(BA$2&lt;&gt;0,#REF!&gt;=BA$2),1,0)</f>
        <v>#REF!</v>
      </c>
      <c r="BB34" s="270" t="e">
        <f t="array" ref="BB34">IF(AND(BB$2&lt;&gt;0,#REF!&gt;=BB$2),1,0)</f>
        <v>#REF!</v>
      </c>
      <c r="BC34" s="270" t="e">
        <f t="array" ref="BC34">IF(AND(BC$2&lt;&gt;0,#REF!&gt;=BC$2),1,0)</f>
        <v>#REF!</v>
      </c>
      <c r="BD34" s="270" t="e">
        <f t="array" ref="BD34">IF(AND(BD$2&lt;&gt;0,#REF!&gt;=BD$2),1,0)</f>
        <v>#REF!</v>
      </c>
      <c r="BE34" s="270" t="e">
        <f t="array" ref="BE34">IF(AND(BE$2&lt;&gt;0,#REF!&gt;=BE$2),1,0)</f>
        <v>#REF!</v>
      </c>
      <c r="BF34" s="270" t="e">
        <f t="array" ref="BF34">IF(AND(BF$2&lt;&gt;0,#REF!&gt;=BF$2),1,0)</f>
        <v>#REF!</v>
      </c>
      <c r="BG34" s="270" t="e">
        <f t="array" ref="BG34">IF(AND(BG$2&lt;&gt;0,#REF!&gt;=BG$2),1,0)</f>
        <v>#REF!</v>
      </c>
      <c r="BH34" s="270" t="e">
        <f t="array" ref="BH34">IF(AND(BH$2&lt;&gt;0,#REF!&gt;=BH$2),1,0)</f>
        <v>#REF!</v>
      </c>
      <c r="BI34" s="270" t="e">
        <f t="array" ref="BI34">IF(AND(BI$2&lt;&gt;0,#REF!&gt;=BI$2),1,0)</f>
        <v>#REF!</v>
      </c>
      <c r="BJ34" s="270" t="e">
        <f t="array" ref="BJ34">IF(AND(BJ$2&lt;&gt;0,#REF!&gt;=BJ$2),1,0)</f>
        <v>#REF!</v>
      </c>
      <c r="BK34" s="270" t="e">
        <f t="array" ref="BK34">IF(AND(BK$2&lt;&gt;0,#REF!&gt;=BK$2),1,0)</f>
        <v>#REF!</v>
      </c>
      <c r="BL34" s="270" t="e">
        <f t="array" ref="BL34">IF(AND(BL$2&lt;&gt;0,#REF!&gt;=BL$2),1,0)</f>
        <v>#REF!</v>
      </c>
      <c r="BM34" s="270" t="e">
        <f t="array" ref="BM34">IF(AND(BM$2&lt;&gt;0,#REF!&gt;=BM$2),1,0)</f>
        <v>#REF!</v>
      </c>
      <c r="BN34" s="270" t="e">
        <f t="array" ref="BN34">IF(AND(BN$2&lt;&gt;0,#REF!&gt;=BN$2),1,0)</f>
        <v>#REF!</v>
      </c>
      <c r="BO34" s="270" t="e">
        <f t="array" ref="BO34">IF(AND(BO$2&lt;&gt;0,#REF!&gt;=BO$2),1,0)</f>
        <v>#REF!</v>
      </c>
      <c r="BP34" s="270" t="e">
        <f t="array" ref="BP34">IF(AND(BP$2&lt;&gt;0,#REF!&gt;=BP$2),1,0)</f>
        <v>#REF!</v>
      </c>
      <c r="BQ34" s="270" t="e">
        <f t="array" ref="BQ34">IF(AND(BQ$2&lt;&gt;0,#REF!&gt;=BQ$2),1,0)</f>
        <v>#REF!</v>
      </c>
      <c r="BR34" s="270" t="e">
        <f t="array" ref="BR34">IF(AND(BR$2&lt;&gt;0,#REF!&gt;=BR$2),1,0)</f>
        <v>#REF!</v>
      </c>
      <c r="BS34" s="270" t="e">
        <f t="array" ref="BS34">IF(AND(BS$2&lt;&gt;0,#REF!&gt;=BS$2),1,0)</f>
        <v>#REF!</v>
      </c>
      <c r="BT34" s="270" t="e">
        <f t="array" ref="BT34">IF(AND(BT$2&lt;&gt;0,#REF!&gt;=BT$2),1,0)</f>
        <v>#REF!</v>
      </c>
      <c r="BU34" s="270" t="e">
        <f t="array" ref="BU34">IF(AND(BU$2&lt;&gt;0,#REF!&gt;=BU$2),1,0)</f>
        <v>#REF!</v>
      </c>
      <c r="BV34" s="270" t="e">
        <f t="array" ref="BV34">IF(AND(BV$2&lt;&gt;0,#REF!&gt;=BV$2),1,0)</f>
        <v>#REF!</v>
      </c>
      <c r="BW34" s="270" t="e">
        <f t="array" ref="BW34">IF(AND(BW$2&lt;&gt;0,#REF!&gt;=BW$2),1,0)</f>
        <v>#REF!</v>
      </c>
      <c r="BX34" s="270" t="e">
        <f t="array" ref="BX34">IF(AND(BX$2&lt;&gt;0,#REF!&gt;=BX$2),1,0)</f>
        <v>#REF!</v>
      </c>
      <c r="BY34" s="270" t="e">
        <f t="array" ref="BY34">IF(AND(BY$2&lt;&gt;0,#REF!&gt;=BY$2),1,0)</f>
        <v>#REF!</v>
      </c>
      <c r="BZ34" s="270" t="e">
        <f t="array" ref="BZ34">IF(AND(BZ$2&lt;&gt;0,#REF!&gt;=BZ$2),1,0)</f>
        <v>#REF!</v>
      </c>
      <c r="CA34" s="359">
        <f>IFERROR(INDEX($H$4:$H$79,MATCH(INDEX(#REF!,1,MATCH(#REF!,$M$2:$BZ$2,0)),$G$4:$G$79,0)),)</f>
        <v>0</v>
      </c>
    </row>
    <row r="35" spans="1:79" x14ac:dyDescent="0.25">
      <c r="A35" s="262" t="e">
        <f>#REF!</f>
        <v>#REF!</v>
      </c>
      <c r="B35" s="263" t="e">
        <f>#REF!</f>
        <v>#REF!</v>
      </c>
      <c r="C35" s="264" t="e">
        <f>#REF!</f>
        <v>#REF!</v>
      </c>
      <c r="D35" s="264" t="e">
        <f>#REF!</f>
        <v>#REF!</v>
      </c>
      <c r="E35" s="265"/>
      <c r="F35" s="266"/>
      <c r="G35" s="267" t="s">
        <v>578</v>
      </c>
      <c r="H35" s="268" t="s">
        <v>690</v>
      </c>
      <c r="I35" s="267" t="s">
        <v>551</v>
      </c>
      <c r="J35" s="263"/>
      <c r="K35" s="89" t="e">
        <f ca="1">IF(#REF!&lt;&gt;OFFSET(#REF!,-1,0),1,0)</f>
        <v>#REF!</v>
      </c>
      <c r="L35" s="269" t="e">
        <f>COUNTIF(#REF!,1)</f>
        <v>#REF!</v>
      </c>
      <c r="M35" s="270" t="e">
        <f t="array" ref="M35">IF(AND(M$2&lt;&gt;0,#REF!&gt;=M$2),1,0)</f>
        <v>#REF!</v>
      </c>
      <c r="N35" s="270" t="e">
        <f t="array" ref="N35">IF(AND(N$2&lt;&gt;0,#REF!&gt;=N$2),1,0)</f>
        <v>#REF!</v>
      </c>
      <c r="O35" s="270" t="e">
        <f t="array" ref="O35">IF(AND(O$2&lt;&gt;0,#REF!&gt;=O$2),1,0)</f>
        <v>#REF!</v>
      </c>
      <c r="P35" s="270" t="e">
        <f t="array" ref="P35">IF(AND(P$2&lt;&gt;0,#REF!&gt;=P$2),1,0)</f>
        <v>#REF!</v>
      </c>
      <c r="Q35" s="270" t="e">
        <f t="array" ref="Q35">IF(AND(Q$2&lt;&gt;0,#REF!&gt;=Q$2),1,0)</f>
        <v>#REF!</v>
      </c>
      <c r="R35" s="270" t="e">
        <f t="array" ref="R35">IF(AND(R$2&lt;&gt;0,#REF!&gt;=R$2),1,0)</f>
        <v>#REF!</v>
      </c>
      <c r="S35" s="270" t="e">
        <f t="array" ref="S35">IF(AND(S$2&lt;&gt;0,#REF!&gt;=S$2),1,0)</f>
        <v>#REF!</v>
      </c>
      <c r="T35" s="270" t="e">
        <f t="array" ref="T35">IF(AND(T$2&lt;&gt;0,#REF!&gt;=T$2),1,0)</f>
        <v>#REF!</v>
      </c>
      <c r="U35" s="270" t="e">
        <f t="array" ref="U35">IF(AND(U$2&lt;&gt;0,#REF!&gt;=U$2),1,0)</f>
        <v>#REF!</v>
      </c>
      <c r="V35" s="270" t="e">
        <f t="array" ref="V35">IF(AND(V$2&lt;&gt;0,#REF!&gt;=V$2),1,0)</f>
        <v>#REF!</v>
      </c>
      <c r="W35" s="270" t="e">
        <f t="array" ref="W35">IF(AND(W$2&lt;&gt;0,#REF!&gt;=W$2),1,0)</f>
        <v>#REF!</v>
      </c>
      <c r="X35" s="270" t="e">
        <f t="array" ref="X35">IF(AND(X$2&lt;&gt;0,#REF!&gt;=X$2),1,0)</f>
        <v>#REF!</v>
      </c>
      <c r="Y35" s="270" t="e">
        <f t="array" ref="Y35">IF(AND(Y$2&lt;&gt;0,#REF!&gt;=Y$2),1,0)</f>
        <v>#REF!</v>
      </c>
      <c r="Z35" s="270" t="e">
        <f t="array" ref="Z35">IF(AND(Z$2&lt;&gt;0,#REF!&gt;=Z$2),1,0)</f>
        <v>#REF!</v>
      </c>
      <c r="AA35" s="270" t="e">
        <f t="array" ref="AA35">IF(AND(AA$2&lt;&gt;0,#REF!&gt;=AA$2),1,0)</f>
        <v>#REF!</v>
      </c>
      <c r="AB35" s="270" t="e">
        <f t="array" ref="AB35">IF(AND(AB$2&lt;&gt;0,#REF!&gt;=AB$2),1,0)</f>
        <v>#REF!</v>
      </c>
      <c r="AC35" s="270" t="e">
        <f t="array" ref="AC35">IF(AND(AC$2&lt;&gt;0,#REF!&gt;=AC$2),1,0)</f>
        <v>#REF!</v>
      </c>
      <c r="AD35" s="270" t="e">
        <f t="array" ref="AD35">IF(AND(AD$2&lt;&gt;0,#REF!&gt;=AD$2),1,0)</f>
        <v>#REF!</v>
      </c>
      <c r="AE35" s="270" t="e">
        <f t="array" ref="AE35">IF(AND(AE$2&lt;&gt;0,#REF!&gt;=AE$2),1,0)</f>
        <v>#REF!</v>
      </c>
      <c r="AF35" s="270" t="e">
        <f t="array" ref="AF35">IF(AND(AF$2&lt;&gt;0,#REF!&gt;=AF$2),1,0)</f>
        <v>#REF!</v>
      </c>
      <c r="AG35" s="270" t="e">
        <f t="array" ref="AG35">IF(AND(AG$2&lt;&gt;0,#REF!&gt;=AG$2),1,0)</f>
        <v>#REF!</v>
      </c>
      <c r="AH35" s="270" t="e">
        <f t="array" ref="AH35">IF(AND(AH$2&lt;&gt;0,#REF!&gt;=AH$2),1,0)</f>
        <v>#REF!</v>
      </c>
      <c r="AI35" s="270" t="e">
        <f t="array" ref="AI35">IF(AND(AI$2&lt;&gt;0,#REF!&gt;=AI$2),1,0)</f>
        <v>#REF!</v>
      </c>
      <c r="AJ35" s="270" t="e">
        <f t="array" ref="AJ35">IF(AND(AJ$2&lt;&gt;0,#REF!&gt;=AJ$2),1,0)</f>
        <v>#REF!</v>
      </c>
      <c r="AK35" s="270" t="e">
        <f t="array" ref="AK35">IF(AND(AK$2&lt;&gt;0,#REF!&gt;=AK$2),1,0)</f>
        <v>#REF!</v>
      </c>
      <c r="AL35" s="270" t="e">
        <f t="array" ref="AL35">IF(AND(AL$2&lt;&gt;0,#REF!&gt;=AL$2),1,0)</f>
        <v>#REF!</v>
      </c>
      <c r="AM35" s="270" t="e">
        <f t="array" ref="AM35">IF(AND(AM$2&lt;&gt;0,#REF!&gt;=AM$2),1,0)</f>
        <v>#REF!</v>
      </c>
      <c r="AN35" s="270" t="e">
        <f t="array" ref="AN35">IF(AND(AN$2&lt;&gt;0,#REF!&gt;=AN$2),1,0)</f>
        <v>#REF!</v>
      </c>
      <c r="AO35" s="270" t="e">
        <f t="array" ref="AO35">IF(AND(AO$2&lt;&gt;0,#REF!&gt;=AO$2),1,0)</f>
        <v>#REF!</v>
      </c>
      <c r="AP35" s="270" t="e">
        <f t="array" ref="AP35">IF(AND(AP$2&lt;&gt;0,#REF!&gt;=AP$2),1,0)</f>
        <v>#REF!</v>
      </c>
      <c r="AQ35" s="270" t="e">
        <f t="array" ref="AQ35">IF(AND(AQ$2&lt;&gt;0,#REF!&gt;=AQ$2),1,0)</f>
        <v>#REF!</v>
      </c>
      <c r="AR35" s="270" t="e">
        <f t="array" ref="AR35">IF(AND(AR$2&lt;&gt;0,#REF!&gt;=AR$2),1,0)</f>
        <v>#REF!</v>
      </c>
      <c r="AS35" s="270" t="e">
        <f t="array" ref="AS35">IF(AND(AS$2&lt;&gt;0,#REF!&gt;=AS$2),1,0)</f>
        <v>#REF!</v>
      </c>
      <c r="AT35" s="270" t="e">
        <f t="array" ref="AT35">IF(AND(AT$2&lt;&gt;0,#REF!&gt;=AT$2),1,0)</f>
        <v>#REF!</v>
      </c>
      <c r="AU35" s="270" t="e">
        <f t="array" ref="AU35">IF(AND(AU$2&lt;&gt;0,#REF!&gt;=AU$2),1,0)</f>
        <v>#REF!</v>
      </c>
      <c r="AV35" s="270" t="e">
        <f t="array" ref="AV35">IF(AND(AV$2&lt;&gt;0,#REF!&gt;=AV$2),1,0)</f>
        <v>#REF!</v>
      </c>
      <c r="AW35" s="270" t="e">
        <f t="array" ref="AW35">IF(AND(AW$2&lt;&gt;0,#REF!&gt;=AW$2),1,0)</f>
        <v>#REF!</v>
      </c>
      <c r="AX35" s="270" t="e">
        <f t="array" ref="AX35">IF(AND(AX$2&lt;&gt;0,#REF!&gt;=AX$2),1,0)</f>
        <v>#REF!</v>
      </c>
      <c r="AY35" s="270" t="e">
        <f t="array" ref="AY35">IF(AND(AY$2&lt;&gt;0,#REF!&gt;=AY$2),1,0)</f>
        <v>#REF!</v>
      </c>
      <c r="AZ35" s="270" t="e">
        <f t="array" ref="AZ35">IF(AND(AZ$2&lt;&gt;0,#REF!&gt;=AZ$2),1,0)</f>
        <v>#REF!</v>
      </c>
      <c r="BA35" s="270" t="e">
        <f t="array" ref="BA35">IF(AND(BA$2&lt;&gt;0,#REF!&gt;=BA$2),1,0)</f>
        <v>#REF!</v>
      </c>
      <c r="BB35" s="270" t="e">
        <f t="array" ref="BB35">IF(AND(BB$2&lt;&gt;0,#REF!&gt;=BB$2),1,0)</f>
        <v>#REF!</v>
      </c>
      <c r="BC35" s="270" t="e">
        <f t="array" ref="BC35">IF(AND(BC$2&lt;&gt;0,#REF!&gt;=BC$2),1,0)</f>
        <v>#REF!</v>
      </c>
      <c r="BD35" s="270" t="e">
        <f t="array" ref="BD35">IF(AND(BD$2&lt;&gt;0,#REF!&gt;=BD$2),1,0)</f>
        <v>#REF!</v>
      </c>
      <c r="BE35" s="270" t="e">
        <f t="array" ref="BE35">IF(AND(BE$2&lt;&gt;0,#REF!&gt;=BE$2),1,0)</f>
        <v>#REF!</v>
      </c>
      <c r="BF35" s="270" t="e">
        <f t="array" ref="BF35">IF(AND(BF$2&lt;&gt;0,#REF!&gt;=BF$2),1,0)</f>
        <v>#REF!</v>
      </c>
      <c r="BG35" s="270" t="e">
        <f t="array" ref="BG35">IF(AND(BG$2&lt;&gt;0,#REF!&gt;=BG$2),1,0)</f>
        <v>#REF!</v>
      </c>
      <c r="BH35" s="270" t="e">
        <f t="array" ref="BH35">IF(AND(BH$2&lt;&gt;0,#REF!&gt;=BH$2),1,0)</f>
        <v>#REF!</v>
      </c>
      <c r="BI35" s="270" t="e">
        <f t="array" ref="BI35">IF(AND(BI$2&lt;&gt;0,#REF!&gt;=BI$2),1,0)</f>
        <v>#REF!</v>
      </c>
      <c r="BJ35" s="270" t="e">
        <f t="array" ref="BJ35">IF(AND(BJ$2&lt;&gt;0,#REF!&gt;=BJ$2),1,0)</f>
        <v>#REF!</v>
      </c>
      <c r="BK35" s="270" t="e">
        <f t="array" ref="BK35">IF(AND(BK$2&lt;&gt;0,#REF!&gt;=BK$2),1,0)</f>
        <v>#REF!</v>
      </c>
      <c r="BL35" s="270" t="e">
        <f t="array" ref="BL35">IF(AND(BL$2&lt;&gt;0,#REF!&gt;=BL$2),1,0)</f>
        <v>#REF!</v>
      </c>
      <c r="BM35" s="270" t="e">
        <f t="array" ref="BM35">IF(AND(BM$2&lt;&gt;0,#REF!&gt;=BM$2),1,0)</f>
        <v>#REF!</v>
      </c>
      <c r="BN35" s="270" t="e">
        <f t="array" ref="BN35">IF(AND(BN$2&lt;&gt;0,#REF!&gt;=BN$2),1,0)</f>
        <v>#REF!</v>
      </c>
      <c r="BO35" s="270" t="e">
        <f t="array" ref="BO35">IF(AND(BO$2&lt;&gt;0,#REF!&gt;=BO$2),1,0)</f>
        <v>#REF!</v>
      </c>
      <c r="BP35" s="270" t="e">
        <f t="array" ref="BP35">IF(AND(BP$2&lt;&gt;0,#REF!&gt;=BP$2),1,0)</f>
        <v>#REF!</v>
      </c>
      <c r="BQ35" s="270" t="e">
        <f t="array" ref="BQ35">IF(AND(BQ$2&lt;&gt;0,#REF!&gt;=BQ$2),1,0)</f>
        <v>#REF!</v>
      </c>
      <c r="BR35" s="270" t="e">
        <f t="array" ref="BR35">IF(AND(BR$2&lt;&gt;0,#REF!&gt;=BR$2),1,0)</f>
        <v>#REF!</v>
      </c>
      <c r="BS35" s="270" t="e">
        <f t="array" ref="BS35">IF(AND(BS$2&lt;&gt;0,#REF!&gt;=BS$2),1,0)</f>
        <v>#REF!</v>
      </c>
      <c r="BT35" s="270" t="e">
        <f t="array" ref="BT35">IF(AND(BT$2&lt;&gt;0,#REF!&gt;=BT$2),1,0)</f>
        <v>#REF!</v>
      </c>
      <c r="BU35" s="270" t="e">
        <f t="array" ref="BU35">IF(AND(BU$2&lt;&gt;0,#REF!&gt;=BU$2),1,0)</f>
        <v>#REF!</v>
      </c>
      <c r="BV35" s="270" t="e">
        <f t="array" ref="BV35">IF(AND(BV$2&lt;&gt;0,#REF!&gt;=BV$2),1,0)</f>
        <v>#REF!</v>
      </c>
      <c r="BW35" s="270" t="e">
        <f t="array" ref="BW35">IF(AND(BW$2&lt;&gt;0,#REF!&gt;=BW$2),1,0)</f>
        <v>#REF!</v>
      </c>
      <c r="BX35" s="270" t="e">
        <f t="array" ref="BX35">IF(AND(BX$2&lt;&gt;0,#REF!&gt;=BX$2),1,0)</f>
        <v>#REF!</v>
      </c>
      <c r="BY35" s="270" t="e">
        <f t="array" ref="BY35">IF(AND(BY$2&lt;&gt;0,#REF!&gt;=BY$2),1,0)</f>
        <v>#REF!</v>
      </c>
      <c r="BZ35" s="270" t="e">
        <f t="array" ref="BZ35">IF(AND(BZ$2&lt;&gt;0,#REF!&gt;=BZ$2),1,0)</f>
        <v>#REF!</v>
      </c>
      <c r="CA35" s="359">
        <f>IFERROR(INDEX($H$4:$H$79,MATCH(INDEX(#REF!,1,MATCH(#REF!,$M$2:$BZ$2,0)),$G$4:$G$79,0)),)</f>
        <v>0</v>
      </c>
    </row>
    <row r="36" spans="1:79" x14ac:dyDescent="0.25">
      <c r="A36" s="262" t="e">
        <f>#REF!</f>
        <v>#REF!</v>
      </c>
      <c r="B36" s="263" t="e">
        <f>#REF!</f>
        <v>#REF!</v>
      </c>
      <c r="C36" s="264" t="e">
        <f>#REF!</f>
        <v>#REF!</v>
      </c>
      <c r="D36" s="264" t="e">
        <f>#REF!</f>
        <v>#REF!</v>
      </c>
      <c r="E36" s="265"/>
      <c r="F36" s="266"/>
      <c r="G36" s="267"/>
      <c r="H36" s="268"/>
      <c r="I36" s="267"/>
      <c r="J36" s="263"/>
      <c r="K36" s="89" t="e">
        <f ca="1">IF(#REF!&lt;&gt;OFFSET(#REF!,-1,0),1,0)</f>
        <v>#REF!</v>
      </c>
      <c r="L36" s="269" t="e">
        <f>COUNTIF(#REF!,1)</f>
        <v>#REF!</v>
      </c>
      <c r="M36" s="270" t="e">
        <f t="array" ref="M36">IF(AND(M$2&lt;&gt;0,#REF!&gt;=M$2),1,0)</f>
        <v>#REF!</v>
      </c>
      <c r="N36" s="270" t="e">
        <f t="array" ref="N36">IF(AND(N$2&lt;&gt;0,#REF!&gt;=N$2),1,0)</f>
        <v>#REF!</v>
      </c>
      <c r="O36" s="270" t="e">
        <f t="array" ref="O36">IF(AND(O$2&lt;&gt;0,#REF!&gt;=O$2),1,0)</f>
        <v>#REF!</v>
      </c>
      <c r="P36" s="270" t="e">
        <f t="array" ref="P36">IF(AND(P$2&lt;&gt;0,#REF!&gt;=P$2),1,0)</f>
        <v>#REF!</v>
      </c>
      <c r="Q36" s="270" t="e">
        <f t="array" ref="Q36">IF(AND(Q$2&lt;&gt;0,#REF!&gt;=Q$2),1,0)</f>
        <v>#REF!</v>
      </c>
      <c r="R36" s="270" t="e">
        <f t="array" ref="R36">IF(AND(R$2&lt;&gt;0,#REF!&gt;=R$2),1,0)</f>
        <v>#REF!</v>
      </c>
      <c r="S36" s="270" t="e">
        <f t="array" ref="S36">IF(AND(S$2&lt;&gt;0,#REF!&gt;=S$2),1,0)</f>
        <v>#REF!</v>
      </c>
      <c r="T36" s="270" t="e">
        <f t="array" ref="T36">IF(AND(T$2&lt;&gt;0,#REF!&gt;=T$2),1,0)</f>
        <v>#REF!</v>
      </c>
      <c r="U36" s="270" t="e">
        <f t="array" ref="U36">IF(AND(U$2&lt;&gt;0,#REF!&gt;=U$2),1,0)</f>
        <v>#REF!</v>
      </c>
      <c r="V36" s="270" t="e">
        <f t="array" ref="V36">IF(AND(V$2&lt;&gt;0,#REF!&gt;=V$2),1,0)</f>
        <v>#REF!</v>
      </c>
      <c r="W36" s="270" t="e">
        <f t="array" ref="W36">IF(AND(W$2&lt;&gt;0,#REF!&gt;=W$2),1,0)</f>
        <v>#REF!</v>
      </c>
      <c r="X36" s="270" t="e">
        <f t="array" ref="X36">IF(AND(X$2&lt;&gt;0,#REF!&gt;=X$2),1,0)</f>
        <v>#REF!</v>
      </c>
      <c r="Y36" s="270" t="e">
        <f t="array" ref="Y36">IF(AND(Y$2&lt;&gt;0,#REF!&gt;=Y$2),1,0)</f>
        <v>#REF!</v>
      </c>
      <c r="Z36" s="270" t="e">
        <f t="array" ref="Z36">IF(AND(Z$2&lt;&gt;0,#REF!&gt;=Z$2),1,0)</f>
        <v>#REF!</v>
      </c>
      <c r="AA36" s="270" t="e">
        <f t="array" ref="AA36">IF(AND(AA$2&lt;&gt;0,#REF!&gt;=AA$2),1,0)</f>
        <v>#REF!</v>
      </c>
      <c r="AB36" s="270" t="e">
        <f t="array" ref="AB36">IF(AND(AB$2&lt;&gt;0,#REF!&gt;=AB$2),1,0)</f>
        <v>#REF!</v>
      </c>
      <c r="AC36" s="270" t="e">
        <f t="array" ref="AC36">IF(AND(AC$2&lt;&gt;0,#REF!&gt;=AC$2),1,0)</f>
        <v>#REF!</v>
      </c>
      <c r="AD36" s="270" t="e">
        <f t="array" ref="AD36">IF(AND(AD$2&lt;&gt;0,#REF!&gt;=AD$2),1,0)</f>
        <v>#REF!</v>
      </c>
      <c r="AE36" s="270" t="e">
        <f t="array" ref="AE36">IF(AND(AE$2&lt;&gt;0,#REF!&gt;=AE$2),1,0)</f>
        <v>#REF!</v>
      </c>
      <c r="AF36" s="270" t="e">
        <f t="array" ref="AF36">IF(AND(AF$2&lt;&gt;0,#REF!&gt;=AF$2),1,0)</f>
        <v>#REF!</v>
      </c>
      <c r="AG36" s="270" t="e">
        <f t="array" ref="AG36">IF(AND(AG$2&lt;&gt;0,#REF!&gt;=AG$2),1,0)</f>
        <v>#REF!</v>
      </c>
      <c r="AH36" s="270" t="e">
        <f t="array" ref="AH36">IF(AND(AH$2&lt;&gt;0,#REF!&gt;=AH$2),1,0)</f>
        <v>#REF!</v>
      </c>
      <c r="AI36" s="270" t="e">
        <f t="array" ref="AI36">IF(AND(AI$2&lt;&gt;0,#REF!&gt;=AI$2),1,0)</f>
        <v>#REF!</v>
      </c>
      <c r="AJ36" s="270" t="e">
        <f t="array" ref="AJ36">IF(AND(AJ$2&lt;&gt;0,#REF!&gt;=AJ$2),1,0)</f>
        <v>#REF!</v>
      </c>
      <c r="AK36" s="270" t="e">
        <f t="array" ref="AK36">IF(AND(AK$2&lt;&gt;0,#REF!&gt;=AK$2),1,0)</f>
        <v>#REF!</v>
      </c>
      <c r="AL36" s="270" t="e">
        <f t="array" ref="AL36">IF(AND(AL$2&lt;&gt;0,#REF!&gt;=AL$2),1,0)</f>
        <v>#REF!</v>
      </c>
      <c r="AM36" s="270" t="e">
        <f t="array" ref="AM36">IF(AND(AM$2&lt;&gt;0,#REF!&gt;=AM$2),1,0)</f>
        <v>#REF!</v>
      </c>
      <c r="AN36" s="270" t="e">
        <f t="array" ref="AN36">IF(AND(AN$2&lt;&gt;0,#REF!&gt;=AN$2),1,0)</f>
        <v>#REF!</v>
      </c>
      <c r="AO36" s="270" t="e">
        <f t="array" ref="AO36">IF(AND(AO$2&lt;&gt;0,#REF!&gt;=AO$2),1,0)</f>
        <v>#REF!</v>
      </c>
      <c r="AP36" s="270" t="e">
        <f t="array" ref="AP36">IF(AND(AP$2&lt;&gt;0,#REF!&gt;=AP$2),1,0)</f>
        <v>#REF!</v>
      </c>
      <c r="AQ36" s="270" t="e">
        <f t="array" ref="AQ36">IF(AND(AQ$2&lt;&gt;0,#REF!&gt;=AQ$2),1,0)</f>
        <v>#REF!</v>
      </c>
      <c r="AR36" s="270" t="e">
        <f t="array" ref="AR36">IF(AND(AR$2&lt;&gt;0,#REF!&gt;=AR$2),1,0)</f>
        <v>#REF!</v>
      </c>
      <c r="AS36" s="270" t="e">
        <f t="array" ref="AS36">IF(AND(AS$2&lt;&gt;0,#REF!&gt;=AS$2),1,0)</f>
        <v>#REF!</v>
      </c>
      <c r="AT36" s="270" t="e">
        <f t="array" ref="AT36">IF(AND(AT$2&lt;&gt;0,#REF!&gt;=AT$2),1,0)</f>
        <v>#REF!</v>
      </c>
      <c r="AU36" s="270" t="e">
        <f t="array" ref="AU36">IF(AND(AU$2&lt;&gt;0,#REF!&gt;=AU$2),1,0)</f>
        <v>#REF!</v>
      </c>
      <c r="AV36" s="270" t="e">
        <f t="array" ref="AV36">IF(AND(AV$2&lt;&gt;0,#REF!&gt;=AV$2),1,0)</f>
        <v>#REF!</v>
      </c>
      <c r="AW36" s="270" t="e">
        <f t="array" ref="AW36">IF(AND(AW$2&lt;&gt;0,#REF!&gt;=AW$2),1,0)</f>
        <v>#REF!</v>
      </c>
      <c r="AX36" s="270" t="e">
        <f t="array" ref="AX36">IF(AND(AX$2&lt;&gt;0,#REF!&gt;=AX$2),1,0)</f>
        <v>#REF!</v>
      </c>
      <c r="AY36" s="270" t="e">
        <f t="array" ref="AY36">IF(AND(AY$2&lt;&gt;0,#REF!&gt;=AY$2),1,0)</f>
        <v>#REF!</v>
      </c>
      <c r="AZ36" s="270" t="e">
        <f t="array" ref="AZ36">IF(AND(AZ$2&lt;&gt;0,#REF!&gt;=AZ$2),1,0)</f>
        <v>#REF!</v>
      </c>
      <c r="BA36" s="270" t="e">
        <f t="array" ref="BA36">IF(AND(BA$2&lt;&gt;0,#REF!&gt;=BA$2),1,0)</f>
        <v>#REF!</v>
      </c>
      <c r="BB36" s="270" t="e">
        <f t="array" ref="BB36">IF(AND(BB$2&lt;&gt;0,#REF!&gt;=BB$2),1,0)</f>
        <v>#REF!</v>
      </c>
      <c r="BC36" s="270" t="e">
        <f t="array" ref="BC36">IF(AND(BC$2&lt;&gt;0,#REF!&gt;=BC$2),1,0)</f>
        <v>#REF!</v>
      </c>
      <c r="BD36" s="270" t="e">
        <f t="array" ref="BD36">IF(AND(BD$2&lt;&gt;0,#REF!&gt;=BD$2),1,0)</f>
        <v>#REF!</v>
      </c>
      <c r="BE36" s="270" t="e">
        <f t="array" ref="BE36">IF(AND(BE$2&lt;&gt;0,#REF!&gt;=BE$2),1,0)</f>
        <v>#REF!</v>
      </c>
      <c r="BF36" s="270" t="e">
        <f t="array" ref="BF36">IF(AND(BF$2&lt;&gt;0,#REF!&gt;=BF$2),1,0)</f>
        <v>#REF!</v>
      </c>
      <c r="BG36" s="270" t="e">
        <f t="array" ref="BG36">IF(AND(BG$2&lt;&gt;0,#REF!&gt;=BG$2),1,0)</f>
        <v>#REF!</v>
      </c>
      <c r="BH36" s="270" t="e">
        <f t="array" ref="BH36">IF(AND(BH$2&lt;&gt;0,#REF!&gt;=BH$2),1,0)</f>
        <v>#REF!</v>
      </c>
      <c r="BI36" s="270" t="e">
        <f t="array" ref="BI36">IF(AND(BI$2&lt;&gt;0,#REF!&gt;=BI$2),1,0)</f>
        <v>#REF!</v>
      </c>
      <c r="BJ36" s="270" t="e">
        <f t="array" ref="BJ36">IF(AND(BJ$2&lt;&gt;0,#REF!&gt;=BJ$2),1,0)</f>
        <v>#REF!</v>
      </c>
      <c r="BK36" s="270" t="e">
        <f t="array" ref="BK36">IF(AND(BK$2&lt;&gt;0,#REF!&gt;=BK$2),1,0)</f>
        <v>#REF!</v>
      </c>
      <c r="BL36" s="270" t="e">
        <f t="array" ref="BL36">IF(AND(BL$2&lt;&gt;0,#REF!&gt;=BL$2),1,0)</f>
        <v>#REF!</v>
      </c>
      <c r="BM36" s="270" t="e">
        <f t="array" ref="BM36">IF(AND(BM$2&lt;&gt;0,#REF!&gt;=BM$2),1,0)</f>
        <v>#REF!</v>
      </c>
      <c r="BN36" s="270" t="e">
        <f t="array" ref="BN36">IF(AND(BN$2&lt;&gt;0,#REF!&gt;=BN$2),1,0)</f>
        <v>#REF!</v>
      </c>
      <c r="BO36" s="270" t="e">
        <f t="array" ref="BO36">IF(AND(BO$2&lt;&gt;0,#REF!&gt;=BO$2),1,0)</f>
        <v>#REF!</v>
      </c>
      <c r="BP36" s="270" t="e">
        <f t="array" ref="BP36">IF(AND(BP$2&lt;&gt;0,#REF!&gt;=BP$2),1,0)</f>
        <v>#REF!</v>
      </c>
      <c r="BQ36" s="270" t="e">
        <f t="array" ref="BQ36">IF(AND(BQ$2&lt;&gt;0,#REF!&gt;=BQ$2),1,0)</f>
        <v>#REF!</v>
      </c>
      <c r="BR36" s="270" t="e">
        <f t="array" ref="BR36">IF(AND(BR$2&lt;&gt;0,#REF!&gt;=BR$2),1,0)</f>
        <v>#REF!</v>
      </c>
      <c r="BS36" s="270" t="e">
        <f t="array" ref="BS36">IF(AND(BS$2&lt;&gt;0,#REF!&gt;=BS$2),1,0)</f>
        <v>#REF!</v>
      </c>
      <c r="BT36" s="270" t="e">
        <f t="array" ref="BT36">IF(AND(BT$2&lt;&gt;0,#REF!&gt;=BT$2),1,0)</f>
        <v>#REF!</v>
      </c>
      <c r="BU36" s="270" t="e">
        <f t="array" ref="BU36">IF(AND(BU$2&lt;&gt;0,#REF!&gt;=BU$2),1,0)</f>
        <v>#REF!</v>
      </c>
      <c r="BV36" s="270" t="e">
        <f t="array" ref="BV36">IF(AND(BV$2&lt;&gt;0,#REF!&gt;=BV$2),1,0)</f>
        <v>#REF!</v>
      </c>
      <c r="BW36" s="270" t="e">
        <f t="array" ref="BW36">IF(AND(BW$2&lt;&gt;0,#REF!&gt;=BW$2),1,0)</f>
        <v>#REF!</v>
      </c>
      <c r="BX36" s="270" t="e">
        <f t="array" ref="BX36">IF(AND(BX$2&lt;&gt;0,#REF!&gt;=BX$2),1,0)</f>
        <v>#REF!</v>
      </c>
      <c r="BY36" s="270" t="e">
        <f t="array" ref="BY36">IF(AND(BY$2&lt;&gt;0,#REF!&gt;=BY$2),1,0)</f>
        <v>#REF!</v>
      </c>
      <c r="BZ36" s="270" t="e">
        <f t="array" ref="BZ36">IF(AND(BZ$2&lt;&gt;0,#REF!&gt;=BZ$2),1,0)</f>
        <v>#REF!</v>
      </c>
      <c r="CA36" s="359">
        <f>IFERROR(INDEX($H$4:$H$79,MATCH(INDEX(#REF!,1,MATCH(#REF!,$M$2:$BZ$2,0)),$G$4:$G$79,0)),)</f>
        <v>0</v>
      </c>
    </row>
    <row r="37" spans="1:79" x14ac:dyDescent="0.25">
      <c r="A37" s="262" t="e">
        <f>#REF!</f>
        <v>#REF!</v>
      </c>
      <c r="B37" s="263" t="e">
        <f>#REF!</f>
        <v>#REF!</v>
      </c>
      <c r="C37" s="264" t="e">
        <f>#REF!</f>
        <v>#REF!</v>
      </c>
      <c r="D37" s="264" t="e">
        <f>#REF!</f>
        <v>#REF!</v>
      </c>
      <c r="E37" s="265"/>
      <c r="F37" s="266"/>
      <c r="G37" s="267" t="s">
        <v>580</v>
      </c>
      <c r="H37" s="268" t="s">
        <v>708</v>
      </c>
      <c r="I37" s="267" t="s">
        <v>758</v>
      </c>
      <c r="J37" s="263"/>
      <c r="K37" s="89" t="e">
        <f ca="1">IF(#REF!&lt;&gt;OFFSET(#REF!,-1,0),1,0)</f>
        <v>#REF!</v>
      </c>
      <c r="L37" s="269" t="e">
        <f>COUNTIF(#REF!,1)</f>
        <v>#REF!</v>
      </c>
      <c r="M37" s="270" t="e">
        <f t="array" ref="M37">IF(AND(M$2&lt;&gt;0,#REF!&gt;=M$2),1,0)</f>
        <v>#REF!</v>
      </c>
      <c r="N37" s="270" t="e">
        <f t="array" ref="N37">IF(AND(N$2&lt;&gt;0,#REF!&gt;=N$2),1,0)</f>
        <v>#REF!</v>
      </c>
      <c r="O37" s="270" t="e">
        <f t="array" ref="O37">IF(AND(O$2&lt;&gt;0,#REF!&gt;=O$2),1,0)</f>
        <v>#REF!</v>
      </c>
      <c r="P37" s="270" t="e">
        <f t="array" ref="P37">IF(AND(P$2&lt;&gt;0,#REF!&gt;=P$2),1,0)</f>
        <v>#REF!</v>
      </c>
      <c r="Q37" s="270" t="e">
        <f t="array" ref="Q37">IF(AND(Q$2&lt;&gt;0,#REF!&gt;=Q$2),1,0)</f>
        <v>#REF!</v>
      </c>
      <c r="R37" s="270" t="e">
        <f t="array" ref="R37">IF(AND(R$2&lt;&gt;0,#REF!&gt;=R$2),1,0)</f>
        <v>#REF!</v>
      </c>
      <c r="S37" s="270" t="e">
        <f t="array" ref="S37">IF(AND(S$2&lt;&gt;0,#REF!&gt;=S$2),1,0)</f>
        <v>#REF!</v>
      </c>
      <c r="T37" s="270" t="e">
        <f t="array" ref="T37">IF(AND(T$2&lt;&gt;0,#REF!&gt;=T$2),1,0)</f>
        <v>#REF!</v>
      </c>
      <c r="U37" s="270" t="e">
        <f t="array" ref="U37">IF(AND(U$2&lt;&gt;0,#REF!&gt;=U$2),1,0)</f>
        <v>#REF!</v>
      </c>
      <c r="V37" s="270" t="e">
        <f t="array" ref="V37">IF(AND(V$2&lt;&gt;0,#REF!&gt;=V$2),1,0)</f>
        <v>#REF!</v>
      </c>
      <c r="W37" s="270" t="e">
        <f t="array" ref="W37">IF(AND(W$2&lt;&gt;0,#REF!&gt;=W$2),1,0)</f>
        <v>#REF!</v>
      </c>
      <c r="X37" s="270" t="e">
        <f t="array" ref="X37">IF(AND(X$2&lt;&gt;0,#REF!&gt;=X$2),1,0)</f>
        <v>#REF!</v>
      </c>
      <c r="Y37" s="270" t="e">
        <f t="array" ref="Y37">IF(AND(Y$2&lt;&gt;0,#REF!&gt;=Y$2),1,0)</f>
        <v>#REF!</v>
      </c>
      <c r="Z37" s="270" t="e">
        <f t="array" ref="Z37">IF(AND(Z$2&lt;&gt;0,#REF!&gt;=Z$2),1,0)</f>
        <v>#REF!</v>
      </c>
      <c r="AA37" s="270" t="e">
        <f t="array" ref="AA37">IF(AND(AA$2&lt;&gt;0,#REF!&gt;=AA$2),1,0)</f>
        <v>#REF!</v>
      </c>
      <c r="AB37" s="270" t="e">
        <f t="array" ref="AB37">IF(AND(AB$2&lt;&gt;0,#REF!&gt;=AB$2),1,0)</f>
        <v>#REF!</v>
      </c>
      <c r="AC37" s="270" t="e">
        <f t="array" ref="AC37">IF(AND(AC$2&lt;&gt;0,#REF!&gt;=AC$2),1,0)</f>
        <v>#REF!</v>
      </c>
      <c r="AD37" s="270" t="e">
        <f t="array" ref="AD37">IF(AND(AD$2&lt;&gt;0,#REF!&gt;=AD$2),1,0)</f>
        <v>#REF!</v>
      </c>
      <c r="AE37" s="270" t="e">
        <f t="array" ref="AE37">IF(AND(AE$2&lt;&gt;0,#REF!&gt;=AE$2),1,0)</f>
        <v>#REF!</v>
      </c>
      <c r="AF37" s="270" t="e">
        <f t="array" ref="AF37">IF(AND(AF$2&lt;&gt;0,#REF!&gt;=AF$2),1,0)</f>
        <v>#REF!</v>
      </c>
      <c r="AG37" s="270" t="e">
        <f t="array" ref="AG37">IF(AND(AG$2&lt;&gt;0,#REF!&gt;=AG$2),1,0)</f>
        <v>#REF!</v>
      </c>
      <c r="AH37" s="270" t="e">
        <f t="array" ref="AH37">IF(AND(AH$2&lt;&gt;0,#REF!&gt;=AH$2),1,0)</f>
        <v>#REF!</v>
      </c>
      <c r="AI37" s="270" t="e">
        <f t="array" ref="AI37">IF(AND(AI$2&lt;&gt;0,#REF!&gt;=AI$2),1,0)</f>
        <v>#REF!</v>
      </c>
      <c r="AJ37" s="270" t="e">
        <f t="array" ref="AJ37">IF(AND(AJ$2&lt;&gt;0,#REF!&gt;=AJ$2),1,0)</f>
        <v>#REF!</v>
      </c>
      <c r="AK37" s="270" t="e">
        <f t="array" ref="AK37">IF(AND(AK$2&lt;&gt;0,#REF!&gt;=AK$2),1,0)</f>
        <v>#REF!</v>
      </c>
      <c r="AL37" s="270" t="e">
        <f t="array" ref="AL37">IF(AND(AL$2&lt;&gt;0,#REF!&gt;=AL$2),1,0)</f>
        <v>#REF!</v>
      </c>
      <c r="AM37" s="270" t="e">
        <f t="array" ref="AM37">IF(AND(AM$2&lt;&gt;0,#REF!&gt;=AM$2),1,0)</f>
        <v>#REF!</v>
      </c>
      <c r="AN37" s="270" t="e">
        <f t="array" ref="AN37">IF(AND(AN$2&lt;&gt;0,#REF!&gt;=AN$2),1,0)</f>
        <v>#REF!</v>
      </c>
      <c r="AO37" s="270" t="e">
        <f t="array" ref="AO37">IF(AND(AO$2&lt;&gt;0,#REF!&gt;=AO$2),1,0)</f>
        <v>#REF!</v>
      </c>
      <c r="AP37" s="270" t="e">
        <f t="array" ref="AP37">IF(AND(AP$2&lt;&gt;0,#REF!&gt;=AP$2),1,0)</f>
        <v>#REF!</v>
      </c>
      <c r="AQ37" s="270" t="e">
        <f t="array" ref="AQ37">IF(AND(AQ$2&lt;&gt;0,#REF!&gt;=AQ$2),1,0)</f>
        <v>#REF!</v>
      </c>
      <c r="AR37" s="270" t="e">
        <f t="array" ref="AR37">IF(AND(AR$2&lt;&gt;0,#REF!&gt;=AR$2),1,0)</f>
        <v>#REF!</v>
      </c>
      <c r="AS37" s="270" t="e">
        <f t="array" ref="AS37">IF(AND(AS$2&lt;&gt;0,#REF!&gt;=AS$2),1,0)</f>
        <v>#REF!</v>
      </c>
      <c r="AT37" s="270" t="e">
        <f t="array" ref="AT37">IF(AND(AT$2&lt;&gt;0,#REF!&gt;=AT$2),1,0)</f>
        <v>#REF!</v>
      </c>
      <c r="AU37" s="270" t="e">
        <f t="array" ref="AU37">IF(AND(AU$2&lt;&gt;0,#REF!&gt;=AU$2),1,0)</f>
        <v>#REF!</v>
      </c>
      <c r="AV37" s="270" t="e">
        <f t="array" ref="AV37">IF(AND(AV$2&lt;&gt;0,#REF!&gt;=AV$2),1,0)</f>
        <v>#REF!</v>
      </c>
      <c r="AW37" s="270" t="e">
        <f t="array" ref="AW37">IF(AND(AW$2&lt;&gt;0,#REF!&gt;=AW$2),1,0)</f>
        <v>#REF!</v>
      </c>
      <c r="AX37" s="270" t="e">
        <f t="array" ref="AX37">IF(AND(AX$2&lt;&gt;0,#REF!&gt;=AX$2),1,0)</f>
        <v>#REF!</v>
      </c>
      <c r="AY37" s="270" t="e">
        <f t="array" ref="AY37">IF(AND(AY$2&lt;&gt;0,#REF!&gt;=AY$2),1,0)</f>
        <v>#REF!</v>
      </c>
      <c r="AZ37" s="270" t="e">
        <f t="array" ref="AZ37">IF(AND(AZ$2&lt;&gt;0,#REF!&gt;=AZ$2),1,0)</f>
        <v>#REF!</v>
      </c>
      <c r="BA37" s="270" t="e">
        <f t="array" ref="BA37">IF(AND(BA$2&lt;&gt;0,#REF!&gt;=BA$2),1,0)</f>
        <v>#REF!</v>
      </c>
      <c r="BB37" s="270" t="e">
        <f t="array" ref="BB37">IF(AND(BB$2&lt;&gt;0,#REF!&gt;=BB$2),1,0)</f>
        <v>#REF!</v>
      </c>
      <c r="BC37" s="270" t="e">
        <f t="array" ref="BC37">IF(AND(BC$2&lt;&gt;0,#REF!&gt;=BC$2),1,0)</f>
        <v>#REF!</v>
      </c>
      <c r="BD37" s="270" t="e">
        <f t="array" ref="BD37">IF(AND(BD$2&lt;&gt;0,#REF!&gt;=BD$2),1,0)</f>
        <v>#REF!</v>
      </c>
      <c r="BE37" s="270" t="e">
        <f t="array" ref="BE37">IF(AND(BE$2&lt;&gt;0,#REF!&gt;=BE$2),1,0)</f>
        <v>#REF!</v>
      </c>
      <c r="BF37" s="270" t="e">
        <f t="array" ref="BF37">IF(AND(BF$2&lt;&gt;0,#REF!&gt;=BF$2),1,0)</f>
        <v>#REF!</v>
      </c>
      <c r="BG37" s="270" t="e">
        <f t="array" ref="BG37">IF(AND(BG$2&lt;&gt;0,#REF!&gt;=BG$2),1,0)</f>
        <v>#REF!</v>
      </c>
      <c r="BH37" s="270" t="e">
        <f t="array" ref="BH37">IF(AND(BH$2&lt;&gt;0,#REF!&gt;=BH$2),1,0)</f>
        <v>#REF!</v>
      </c>
      <c r="BI37" s="270" t="e">
        <f t="array" ref="BI37">IF(AND(BI$2&lt;&gt;0,#REF!&gt;=BI$2),1,0)</f>
        <v>#REF!</v>
      </c>
      <c r="BJ37" s="270" t="e">
        <f t="array" ref="BJ37">IF(AND(BJ$2&lt;&gt;0,#REF!&gt;=BJ$2),1,0)</f>
        <v>#REF!</v>
      </c>
      <c r="BK37" s="270" t="e">
        <f t="array" ref="BK37">IF(AND(BK$2&lt;&gt;0,#REF!&gt;=BK$2),1,0)</f>
        <v>#REF!</v>
      </c>
      <c r="BL37" s="270" t="e">
        <f t="array" ref="BL37">IF(AND(BL$2&lt;&gt;0,#REF!&gt;=BL$2),1,0)</f>
        <v>#REF!</v>
      </c>
      <c r="BM37" s="270" t="e">
        <f t="array" ref="BM37">IF(AND(BM$2&lt;&gt;0,#REF!&gt;=BM$2),1,0)</f>
        <v>#REF!</v>
      </c>
      <c r="BN37" s="270" t="e">
        <f t="array" ref="BN37">IF(AND(BN$2&lt;&gt;0,#REF!&gt;=BN$2),1,0)</f>
        <v>#REF!</v>
      </c>
      <c r="BO37" s="270" t="e">
        <f t="array" ref="BO37">IF(AND(BO$2&lt;&gt;0,#REF!&gt;=BO$2),1,0)</f>
        <v>#REF!</v>
      </c>
      <c r="BP37" s="270" t="e">
        <f t="array" ref="BP37">IF(AND(BP$2&lt;&gt;0,#REF!&gt;=BP$2),1,0)</f>
        <v>#REF!</v>
      </c>
      <c r="BQ37" s="270" t="e">
        <f t="array" ref="BQ37">IF(AND(BQ$2&lt;&gt;0,#REF!&gt;=BQ$2),1,0)</f>
        <v>#REF!</v>
      </c>
      <c r="BR37" s="270" t="e">
        <f t="array" ref="BR37">IF(AND(BR$2&lt;&gt;0,#REF!&gt;=BR$2),1,0)</f>
        <v>#REF!</v>
      </c>
      <c r="BS37" s="270" t="e">
        <f t="array" ref="BS37">IF(AND(BS$2&lt;&gt;0,#REF!&gt;=BS$2),1,0)</f>
        <v>#REF!</v>
      </c>
      <c r="BT37" s="270" t="e">
        <f t="array" ref="BT37">IF(AND(BT$2&lt;&gt;0,#REF!&gt;=BT$2),1,0)</f>
        <v>#REF!</v>
      </c>
      <c r="BU37" s="270" t="e">
        <f t="array" ref="BU37">IF(AND(BU$2&lt;&gt;0,#REF!&gt;=BU$2),1,0)</f>
        <v>#REF!</v>
      </c>
      <c r="BV37" s="270" t="e">
        <f t="array" ref="BV37">IF(AND(BV$2&lt;&gt;0,#REF!&gt;=BV$2),1,0)</f>
        <v>#REF!</v>
      </c>
      <c r="BW37" s="270" t="e">
        <f t="array" ref="BW37">IF(AND(BW$2&lt;&gt;0,#REF!&gt;=BW$2),1,0)</f>
        <v>#REF!</v>
      </c>
      <c r="BX37" s="270" t="e">
        <f t="array" ref="BX37">IF(AND(BX$2&lt;&gt;0,#REF!&gt;=BX$2),1,0)</f>
        <v>#REF!</v>
      </c>
      <c r="BY37" s="270" t="e">
        <f t="array" ref="BY37">IF(AND(BY$2&lt;&gt;0,#REF!&gt;=BY$2),1,0)</f>
        <v>#REF!</v>
      </c>
      <c r="BZ37" s="270" t="e">
        <f t="array" ref="BZ37">IF(AND(BZ$2&lt;&gt;0,#REF!&gt;=BZ$2),1,0)</f>
        <v>#REF!</v>
      </c>
      <c r="CA37" s="359">
        <f>IFERROR(INDEX($H$4:$H$79,MATCH(INDEX(#REF!,1,MATCH(#REF!,$M$2:$BZ$2,0)),$G$4:$G$79,0)),)</f>
        <v>0</v>
      </c>
    </row>
    <row r="38" spans="1:79" x14ac:dyDescent="0.25">
      <c r="A38" s="262" t="e">
        <f>#REF!</f>
        <v>#REF!</v>
      </c>
      <c r="B38" s="263" t="e">
        <f>#REF!</f>
        <v>#REF!</v>
      </c>
      <c r="C38" s="264" t="e">
        <f>#REF!</f>
        <v>#REF!</v>
      </c>
      <c r="D38" s="264" t="e">
        <f>#REF!</f>
        <v>#REF!</v>
      </c>
      <c r="E38" s="265"/>
      <c r="F38" s="266"/>
      <c r="G38" s="267" t="s">
        <v>581</v>
      </c>
      <c r="H38" s="268" t="s">
        <v>709</v>
      </c>
      <c r="I38" s="267" t="s">
        <v>628</v>
      </c>
      <c r="J38" s="263"/>
      <c r="K38" s="89" t="e">
        <f ca="1">IF(#REF!&lt;&gt;OFFSET(#REF!,-1,0),1,0)</f>
        <v>#REF!</v>
      </c>
      <c r="L38" s="269" t="e">
        <f>COUNTIF(#REF!,1)</f>
        <v>#REF!</v>
      </c>
      <c r="M38" s="270" t="e">
        <f t="array" ref="M38">IF(AND(M$2&lt;&gt;0,#REF!&gt;=M$2),1,0)</f>
        <v>#REF!</v>
      </c>
      <c r="N38" s="270" t="e">
        <f t="array" ref="N38">IF(AND(N$2&lt;&gt;0,#REF!&gt;=N$2),1,0)</f>
        <v>#REF!</v>
      </c>
      <c r="O38" s="270" t="e">
        <f t="array" ref="O38">IF(AND(O$2&lt;&gt;0,#REF!&gt;=O$2),1,0)</f>
        <v>#REF!</v>
      </c>
      <c r="P38" s="270" t="e">
        <f t="array" ref="P38">IF(AND(P$2&lt;&gt;0,#REF!&gt;=P$2),1,0)</f>
        <v>#REF!</v>
      </c>
      <c r="Q38" s="270" t="e">
        <f t="array" ref="Q38">IF(AND(Q$2&lt;&gt;0,#REF!&gt;=Q$2),1,0)</f>
        <v>#REF!</v>
      </c>
      <c r="R38" s="270" t="e">
        <f t="array" ref="R38">IF(AND(R$2&lt;&gt;0,#REF!&gt;=R$2),1,0)</f>
        <v>#REF!</v>
      </c>
      <c r="S38" s="270" t="e">
        <f t="array" ref="S38">IF(AND(S$2&lt;&gt;0,#REF!&gt;=S$2),1,0)</f>
        <v>#REF!</v>
      </c>
      <c r="T38" s="270" t="e">
        <f t="array" ref="T38">IF(AND(T$2&lt;&gt;0,#REF!&gt;=T$2),1,0)</f>
        <v>#REF!</v>
      </c>
      <c r="U38" s="270" t="e">
        <f t="array" ref="U38">IF(AND(U$2&lt;&gt;0,#REF!&gt;=U$2),1,0)</f>
        <v>#REF!</v>
      </c>
      <c r="V38" s="270" t="e">
        <f t="array" ref="V38">IF(AND(V$2&lt;&gt;0,#REF!&gt;=V$2),1,0)</f>
        <v>#REF!</v>
      </c>
      <c r="W38" s="270" t="e">
        <f t="array" ref="W38">IF(AND(W$2&lt;&gt;0,#REF!&gt;=W$2),1,0)</f>
        <v>#REF!</v>
      </c>
      <c r="X38" s="270" t="e">
        <f t="array" ref="X38">IF(AND(X$2&lt;&gt;0,#REF!&gt;=X$2),1,0)</f>
        <v>#REF!</v>
      </c>
      <c r="Y38" s="270" t="e">
        <f t="array" ref="Y38">IF(AND(Y$2&lt;&gt;0,#REF!&gt;=Y$2),1,0)</f>
        <v>#REF!</v>
      </c>
      <c r="Z38" s="270" t="e">
        <f t="array" ref="Z38">IF(AND(Z$2&lt;&gt;0,#REF!&gt;=Z$2),1,0)</f>
        <v>#REF!</v>
      </c>
      <c r="AA38" s="270" t="e">
        <f t="array" ref="AA38">IF(AND(AA$2&lt;&gt;0,#REF!&gt;=AA$2),1,0)</f>
        <v>#REF!</v>
      </c>
      <c r="AB38" s="270" t="e">
        <f t="array" ref="AB38">IF(AND(AB$2&lt;&gt;0,#REF!&gt;=AB$2),1,0)</f>
        <v>#REF!</v>
      </c>
      <c r="AC38" s="270" t="e">
        <f t="array" ref="AC38">IF(AND(AC$2&lt;&gt;0,#REF!&gt;=AC$2),1,0)</f>
        <v>#REF!</v>
      </c>
      <c r="AD38" s="270" t="e">
        <f t="array" ref="AD38">IF(AND(AD$2&lt;&gt;0,#REF!&gt;=AD$2),1,0)</f>
        <v>#REF!</v>
      </c>
      <c r="AE38" s="270" t="e">
        <f t="array" ref="AE38">IF(AND(AE$2&lt;&gt;0,#REF!&gt;=AE$2),1,0)</f>
        <v>#REF!</v>
      </c>
      <c r="AF38" s="270" t="e">
        <f t="array" ref="AF38">IF(AND(AF$2&lt;&gt;0,#REF!&gt;=AF$2),1,0)</f>
        <v>#REF!</v>
      </c>
      <c r="AG38" s="270" t="e">
        <f t="array" ref="AG38">IF(AND(AG$2&lt;&gt;0,#REF!&gt;=AG$2),1,0)</f>
        <v>#REF!</v>
      </c>
      <c r="AH38" s="270" t="e">
        <f t="array" ref="AH38">IF(AND(AH$2&lt;&gt;0,#REF!&gt;=AH$2),1,0)</f>
        <v>#REF!</v>
      </c>
      <c r="AI38" s="270" t="e">
        <f t="array" ref="AI38">IF(AND(AI$2&lt;&gt;0,#REF!&gt;=AI$2),1,0)</f>
        <v>#REF!</v>
      </c>
      <c r="AJ38" s="270" t="e">
        <f t="array" ref="AJ38">IF(AND(AJ$2&lt;&gt;0,#REF!&gt;=AJ$2),1,0)</f>
        <v>#REF!</v>
      </c>
      <c r="AK38" s="270" t="e">
        <f t="array" ref="AK38">IF(AND(AK$2&lt;&gt;0,#REF!&gt;=AK$2),1,0)</f>
        <v>#REF!</v>
      </c>
      <c r="AL38" s="270" t="e">
        <f t="array" ref="AL38">IF(AND(AL$2&lt;&gt;0,#REF!&gt;=AL$2),1,0)</f>
        <v>#REF!</v>
      </c>
      <c r="AM38" s="270" t="e">
        <f t="array" ref="AM38">IF(AND(AM$2&lt;&gt;0,#REF!&gt;=AM$2),1,0)</f>
        <v>#REF!</v>
      </c>
      <c r="AN38" s="270" t="e">
        <f t="array" ref="AN38">IF(AND(AN$2&lt;&gt;0,#REF!&gt;=AN$2),1,0)</f>
        <v>#REF!</v>
      </c>
      <c r="AO38" s="270" t="e">
        <f t="array" ref="AO38">IF(AND(AO$2&lt;&gt;0,#REF!&gt;=AO$2),1,0)</f>
        <v>#REF!</v>
      </c>
      <c r="AP38" s="270" t="e">
        <f t="array" ref="AP38">IF(AND(AP$2&lt;&gt;0,#REF!&gt;=AP$2),1,0)</f>
        <v>#REF!</v>
      </c>
      <c r="AQ38" s="270" t="e">
        <f t="array" ref="AQ38">IF(AND(AQ$2&lt;&gt;0,#REF!&gt;=AQ$2),1,0)</f>
        <v>#REF!</v>
      </c>
      <c r="AR38" s="270" t="e">
        <f t="array" ref="AR38">IF(AND(AR$2&lt;&gt;0,#REF!&gt;=AR$2),1,0)</f>
        <v>#REF!</v>
      </c>
      <c r="AS38" s="270" t="e">
        <f t="array" ref="AS38">IF(AND(AS$2&lt;&gt;0,#REF!&gt;=AS$2),1,0)</f>
        <v>#REF!</v>
      </c>
      <c r="AT38" s="270" t="e">
        <f t="array" ref="AT38">IF(AND(AT$2&lt;&gt;0,#REF!&gt;=AT$2),1,0)</f>
        <v>#REF!</v>
      </c>
      <c r="AU38" s="270" t="e">
        <f t="array" ref="AU38">IF(AND(AU$2&lt;&gt;0,#REF!&gt;=AU$2),1,0)</f>
        <v>#REF!</v>
      </c>
      <c r="AV38" s="270" t="e">
        <f t="array" ref="AV38">IF(AND(AV$2&lt;&gt;0,#REF!&gt;=AV$2),1,0)</f>
        <v>#REF!</v>
      </c>
      <c r="AW38" s="270" t="e">
        <f t="array" ref="AW38">IF(AND(AW$2&lt;&gt;0,#REF!&gt;=AW$2),1,0)</f>
        <v>#REF!</v>
      </c>
      <c r="AX38" s="270" t="e">
        <f t="array" ref="AX38">IF(AND(AX$2&lt;&gt;0,#REF!&gt;=AX$2),1,0)</f>
        <v>#REF!</v>
      </c>
      <c r="AY38" s="270" t="e">
        <f t="array" ref="AY38">IF(AND(AY$2&lt;&gt;0,#REF!&gt;=AY$2),1,0)</f>
        <v>#REF!</v>
      </c>
      <c r="AZ38" s="270" t="e">
        <f t="array" ref="AZ38">IF(AND(AZ$2&lt;&gt;0,#REF!&gt;=AZ$2),1,0)</f>
        <v>#REF!</v>
      </c>
      <c r="BA38" s="270" t="e">
        <f t="array" ref="BA38">IF(AND(BA$2&lt;&gt;0,#REF!&gt;=BA$2),1,0)</f>
        <v>#REF!</v>
      </c>
      <c r="BB38" s="270" t="e">
        <f t="array" ref="BB38">IF(AND(BB$2&lt;&gt;0,#REF!&gt;=BB$2),1,0)</f>
        <v>#REF!</v>
      </c>
      <c r="BC38" s="270" t="e">
        <f t="array" ref="BC38">IF(AND(BC$2&lt;&gt;0,#REF!&gt;=BC$2),1,0)</f>
        <v>#REF!</v>
      </c>
      <c r="BD38" s="270" t="e">
        <f t="array" ref="BD38">IF(AND(BD$2&lt;&gt;0,#REF!&gt;=BD$2),1,0)</f>
        <v>#REF!</v>
      </c>
      <c r="BE38" s="270" t="e">
        <f t="array" ref="BE38">IF(AND(BE$2&lt;&gt;0,#REF!&gt;=BE$2),1,0)</f>
        <v>#REF!</v>
      </c>
      <c r="BF38" s="270" t="e">
        <f t="array" ref="BF38">IF(AND(BF$2&lt;&gt;0,#REF!&gt;=BF$2),1,0)</f>
        <v>#REF!</v>
      </c>
      <c r="BG38" s="270" t="e">
        <f t="array" ref="BG38">IF(AND(BG$2&lt;&gt;0,#REF!&gt;=BG$2),1,0)</f>
        <v>#REF!</v>
      </c>
      <c r="BH38" s="270" t="e">
        <f t="array" ref="BH38">IF(AND(BH$2&lt;&gt;0,#REF!&gt;=BH$2),1,0)</f>
        <v>#REF!</v>
      </c>
      <c r="BI38" s="270" t="e">
        <f t="array" ref="BI38">IF(AND(BI$2&lt;&gt;0,#REF!&gt;=BI$2),1,0)</f>
        <v>#REF!</v>
      </c>
      <c r="BJ38" s="270" t="e">
        <f t="array" ref="BJ38">IF(AND(BJ$2&lt;&gt;0,#REF!&gt;=BJ$2),1,0)</f>
        <v>#REF!</v>
      </c>
      <c r="BK38" s="270" t="e">
        <f t="array" ref="BK38">IF(AND(BK$2&lt;&gt;0,#REF!&gt;=BK$2),1,0)</f>
        <v>#REF!</v>
      </c>
      <c r="BL38" s="270" t="e">
        <f t="array" ref="BL38">IF(AND(BL$2&lt;&gt;0,#REF!&gt;=BL$2),1,0)</f>
        <v>#REF!</v>
      </c>
      <c r="BM38" s="270" t="e">
        <f t="array" ref="BM38">IF(AND(BM$2&lt;&gt;0,#REF!&gt;=BM$2),1,0)</f>
        <v>#REF!</v>
      </c>
      <c r="BN38" s="270" t="e">
        <f t="array" ref="BN38">IF(AND(BN$2&lt;&gt;0,#REF!&gt;=BN$2),1,0)</f>
        <v>#REF!</v>
      </c>
      <c r="BO38" s="270" t="e">
        <f t="array" ref="BO38">IF(AND(BO$2&lt;&gt;0,#REF!&gt;=BO$2),1,0)</f>
        <v>#REF!</v>
      </c>
      <c r="BP38" s="270" t="e">
        <f t="array" ref="BP38">IF(AND(BP$2&lt;&gt;0,#REF!&gt;=BP$2),1,0)</f>
        <v>#REF!</v>
      </c>
      <c r="BQ38" s="270" t="e">
        <f t="array" ref="BQ38">IF(AND(BQ$2&lt;&gt;0,#REF!&gt;=BQ$2),1,0)</f>
        <v>#REF!</v>
      </c>
      <c r="BR38" s="270" t="e">
        <f t="array" ref="BR38">IF(AND(BR$2&lt;&gt;0,#REF!&gt;=BR$2),1,0)</f>
        <v>#REF!</v>
      </c>
      <c r="BS38" s="270" t="e">
        <f t="array" ref="BS38">IF(AND(BS$2&lt;&gt;0,#REF!&gt;=BS$2),1,0)</f>
        <v>#REF!</v>
      </c>
      <c r="BT38" s="270" t="e">
        <f t="array" ref="BT38">IF(AND(BT$2&lt;&gt;0,#REF!&gt;=BT$2),1,0)</f>
        <v>#REF!</v>
      </c>
      <c r="BU38" s="270" t="e">
        <f t="array" ref="BU38">IF(AND(BU$2&lt;&gt;0,#REF!&gt;=BU$2),1,0)</f>
        <v>#REF!</v>
      </c>
      <c r="BV38" s="270" t="e">
        <f t="array" ref="BV38">IF(AND(BV$2&lt;&gt;0,#REF!&gt;=BV$2),1,0)</f>
        <v>#REF!</v>
      </c>
      <c r="BW38" s="270" t="e">
        <f t="array" ref="BW38">IF(AND(BW$2&lt;&gt;0,#REF!&gt;=BW$2),1,0)</f>
        <v>#REF!</v>
      </c>
      <c r="BX38" s="270" t="e">
        <f t="array" ref="BX38">IF(AND(BX$2&lt;&gt;0,#REF!&gt;=BX$2),1,0)</f>
        <v>#REF!</v>
      </c>
      <c r="BY38" s="270" t="e">
        <f t="array" ref="BY38">IF(AND(BY$2&lt;&gt;0,#REF!&gt;=BY$2),1,0)</f>
        <v>#REF!</v>
      </c>
      <c r="BZ38" s="270" t="e">
        <f t="array" ref="BZ38">IF(AND(BZ$2&lt;&gt;0,#REF!&gt;=BZ$2),1,0)</f>
        <v>#REF!</v>
      </c>
      <c r="CA38" s="359">
        <f>IFERROR(INDEX($H$4:$H$79,MATCH(INDEX(#REF!,1,MATCH(#REF!,$M$2:$BZ$2,0)),$G$4:$G$79,0)),)</f>
        <v>0</v>
      </c>
    </row>
    <row r="39" spans="1:79" x14ac:dyDescent="0.25">
      <c r="A39" s="262" t="e">
        <f>#REF!</f>
        <v>#REF!</v>
      </c>
      <c r="B39" s="263" t="e">
        <f>#REF!</f>
        <v>#REF!</v>
      </c>
      <c r="C39" s="264" t="e">
        <f>#REF!</f>
        <v>#REF!</v>
      </c>
      <c r="D39" s="264" t="e">
        <f>#REF!</f>
        <v>#REF!</v>
      </c>
      <c r="E39" s="265"/>
      <c r="F39" s="266"/>
      <c r="G39" s="267" t="s">
        <v>582</v>
      </c>
      <c r="H39" s="268" t="s">
        <v>710</v>
      </c>
      <c r="I39" s="267" t="s">
        <v>1057</v>
      </c>
      <c r="J39" s="263"/>
      <c r="K39" s="89" t="e">
        <f ca="1">IF(#REF!&lt;&gt;OFFSET(#REF!,-1,0),1,0)</f>
        <v>#REF!</v>
      </c>
      <c r="L39" s="269" t="e">
        <f>COUNTIF(#REF!,1)</f>
        <v>#REF!</v>
      </c>
      <c r="M39" s="270" t="e">
        <f t="array" ref="M39">IF(AND(M$2&lt;&gt;0,#REF!&gt;=M$2),1,0)</f>
        <v>#REF!</v>
      </c>
      <c r="N39" s="270" t="e">
        <f t="array" ref="N39">IF(AND(N$2&lt;&gt;0,#REF!&gt;=N$2),1,0)</f>
        <v>#REF!</v>
      </c>
      <c r="O39" s="270" t="e">
        <f t="array" ref="O39">IF(AND(O$2&lt;&gt;0,#REF!&gt;=O$2),1,0)</f>
        <v>#REF!</v>
      </c>
      <c r="P39" s="270" t="e">
        <f t="array" ref="P39">IF(AND(P$2&lt;&gt;0,#REF!&gt;=P$2),1,0)</f>
        <v>#REF!</v>
      </c>
      <c r="Q39" s="270" t="e">
        <f t="array" ref="Q39">IF(AND(Q$2&lt;&gt;0,#REF!&gt;=Q$2),1,0)</f>
        <v>#REF!</v>
      </c>
      <c r="R39" s="270" t="e">
        <f t="array" ref="R39">IF(AND(R$2&lt;&gt;0,#REF!&gt;=R$2),1,0)</f>
        <v>#REF!</v>
      </c>
      <c r="S39" s="270" t="e">
        <f t="array" ref="S39">IF(AND(S$2&lt;&gt;0,#REF!&gt;=S$2),1,0)</f>
        <v>#REF!</v>
      </c>
      <c r="T39" s="270" t="e">
        <f t="array" ref="T39">IF(AND(T$2&lt;&gt;0,#REF!&gt;=T$2),1,0)</f>
        <v>#REF!</v>
      </c>
      <c r="U39" s="270" t="e">
        <f t="array" ref="U39">IF(AND(U$2&lt;&gt;0,#REF!&gt;=U$2),1,0)</f>
        <v>#REF!</v>
      </c>
      <c r="V39" s="270" t="e">
        <f t="array" ref="V39">IF(AND(V$2&lt;&gt;0,#REF!&gt;=V$2),1,0)</f>
        <v>#REF!</v>
      </c>
      <c r="W39" s="270" t="e">
        <f t="array" ref="W39">IF(AND(W$2&lt;&gt;0,#REF!&gt;=W$2),1,0)</f>
        <v>#REF!</v>
      </c>
      <c r="X39" s="270" t="e">
        <f t="array" ref="X39">IF(AND(X$2&lt;&gt;0,#REF!&gt;=X$2),1,0)</f>
        <v>#REF!</v>
      </c>
      <c r="Y39" s="270" t="e">
        <f t="array" ref="Y39">IF(AND(Y$2&lt;&gt;0,#REF!&gt;=Y$2),1,0)</f>
        <v>#REF!</v>
      </c>
      <c r="Z39" s="270" t="e">
        <f t="array" ref="Z39">IF(AND(Z$2&lt;&gt;0,#REF!&gt;=Z$2),1,0)</f>
        <v>#REF!</v>
      </c>
      <c r="AA39" s="270" t="e">
        <f t="array" ref="AA39">IF(AND(AA$2&lt;&gt;0,#REF!&gt;=AA$2),1,0)</f>
        <v>#REF!</v>
      </c>
      <c r="AB39" s="270" t="e">
        <f t="array" ref="AB39">IF(AND(AB$2&lt;&gt;0,#REF!&gt;=AB$2),1,0)</f>
        <v>#REF!</v>
      </c>
      <c r="AC39" s="270" t="e">
        <f t="array" ref="AC39">IF(AND(AC$2&lt;&gt;0,#REF!&gt;=AC$2),1,0)</f>
        <v>#REF!</v>
      </c>
      <c r="AD39" s="270" t="e">
        <f t="array" ref="AD39">IF(AND(AD$2&lt;&gt;0,#REF!&gt;=AD$2),1,0)</f>
        <v>#REF!</v>
      </c>
      <c r="AE39" s="270" t="e">
        <f t="array" ref="AE39">IF(AND(AE$2&lt;&gt;0,#REF!&gt;=AE$2),1,0)</f>
        <v>#REF!</v>
      </c>
      <c r="AF39" s="270" t="e">
        <f t="array" ref="AF39">IF(AND(AF$2&lt;&gt;0,#REF!&gt;=AF$2),1,0)</f>
        <v>#REF!</v>
      </c>
      <c r="AG39" s="270" t="e">
        <f t="array" ref="AG39">IF(AND(AG$2&lt;&gt;0,#REF!&gt;=AG$2),1,0)</f>
        <v>#REF!</v>
      </c>
      <c r="AH39" s="270" t="e">
        <f t="array" ref="AH39">IF(AND(AH$2&lt;&gt;0,#REF!&gt;=AH$2),1,0)</f>
        <v>#REF!</v>
      </c>
      <c r="AI39" s="270" t="e">
        <f t="array" ref="AI39">IF(AND(AI$2&lt;&gt;0,#REF!&gt;=AI$2),1,0)</f>
        <v>#REF!</v>
      </c>
      <c r="AJ39" s="270" t="e">
        <f t="array" ref="AJ39">IF(AND(AJ$2&lt;&gt;0,#REF!&gt;=AJ$2),1,0)</f>
        <v>#REF!</v>
      </c>
      <c r="AK39" s="270" t="e">
        <f t="array" ref="AK39">IF(AND(AK$2&lt;&gt;0,#REF!&gt;=AK$2),1,0)</f>
        <v>#REF!</v>
      </c>
      <c r="AL39" s="270" t="e">
        <f t="array" ref="AL39">IF(AND(AL$2&lt;&gt;0,#REF!&gt;=AL$2),1,0)</f>
        <v>#REF!</v>
      </c>
      <c r="AM39" s="270" t="e">
        <f t="array" ref="AM39">IF(AND(AM$2&lt;&gt;0,#REF!&gt;=AM$2),1,0)</f>
        <v>#REF!</v>
      </c>
      <c r="AN39" s="270" t="e">
        <f t="array" ref="AN39">IF(AND(AN$2&lt;&gt;0,#REF!&gt;=AN$2),1,0)</f>
        <v>#REF!</v>
      </c>
      <c r="AO39" s="270" t="e">
        <f t="array" ref="AO39">IF(AND(AO$2&lt;&gt;0,#REF!&gt;=AO$2),1,0)</f>
        <v>#REF!</v>
      </c>
      <c r="AP39" s="270" t="e">
        <f t="array" ref="AP39">IF(AND(AP$2&lt;&gt;0,#REF!&gt;=AP$2),1,0)</f>
        <v>#REF!</v>
      </c>
      <c r="AQ39" s="270" t="e">
        <f t="array" ref="AQ39">IF(AND(AQ$2&lt;&gt;0,#REF!&gt;=AQ$2),1,0)</f>
        <v>#REF!</v>
      </c>
      <c r="AR39" s="270" t="e">
        <f t="array" ref="AR39">IF(AND(AR$2&lt;&gt;0,#REF!&gt;=AR$2),1,0)</f>
        <v>#REF!</v>
      </c>
      <c r="AS39" s="270" t="e">
        <f t="array" ref="AS39">IF(AND(AS$2&lt;&gt;0,#REF!&gt;=AS$2),1,0)</f>
        <v>#REF!</v>
      </c>
      <c r="AT39" s="270" t="e">
        <f t="array" ref="AT39">IF(AND(AT$2&lt;&gt;0,#REF!&gt;=AT$2),1,0)</f>
        <v>#REF!</v>
      </c>
      <c r="AU39" s="270" t="e">
        <f t="array" ref="AU39">IF(AND(AU$2&lt;&gt;0,#REF!&gt;=AU$2),1,0)</f>
        <v>#REF!</v>
      </c>
      <c r="AV39" s="270" t="e">
        <f t="array" ref="AV39">IF(AND(AV$2&lt;&gt;0,#REF!&gt;=AV$2),1,0)</f>
        <v>#REF!</v>
      </c>
      <c r="AW39" s="270" t="e">
        <f t="array" ref="AW39">IF(AND(AW$2&lt;&gt;0,#REF!&gt;=AW$2),1,0)</f>
        <v>#REF!</v>
      </c>
      <c r="AX39" s="270" t="e">
        <f t="array" ref="AX39">IF(AND(AX$2&lt;&gt;0,#REF!&gt;=AX$2),1,0)</f>
        <v>#REF!</v>
      </c>
      <c r="AY39" s="270" t="e">
        <f t="array" ref="AY39">IF(AND(AY$2&lt;&gt;0,#REF!&gt;=AY$2),1,0)</f>
        <v>#REF!</v>
      </c>
      <c r="AZ39" s="270" t="e">
        <f t="array" ref="AZ39">IF(AND(AZ$2&lt;&gt;0,#REF!&gt;=AZ$2),1,0)</f>
        <v>#REF!</v>
      </c>
      <c r="BA39" s="270" t="e">
        <f t="array" ref="BA39">IF(AND(BA$2&lt;&gt;0,#REF!&gt;=BA$2),1,0)</f>
        <v>#REF!</v>
      </c>
      <c r="BB39" s="270" t="e">
        <f t="array" ref="BB39">IF(AND(BB$2&lt;&gt;0,#REF!&gt;=BB$2),1,0)</f>
        <v>#REF!</v>
      </c>
      <c r="BC39" s="270" t="e">
        <f t="array" ref="BC39">IF(AND(BC$2&lt;&gt;0,#REF!&gt;=BC$2),1,0)</f>
        <v>#REF!</v>
      </c>
      <c r="BD39" s="270" t="e">
        <f t="array" ref="BD39">IF(AND(BD$2&lt;&gt;0,#REF!&gt;=BD$2),1,0)</f>
        <v>#REF!</v>
      </c>
      <c r="BE39" s="270" t="e">
        <f t="array" ref="BE39">IF(AND(BE$2&lt;&gt;0,#REF!&gt;=BE$2),1,0)</f>
        <v>#REF!</v>
      </c>
      <c r="BF39" s="270" t="e">
        <f t="array" ref="BF39">IF(AND(BF$2&lt;&gt;0,#REF!&gt;=BF$2),1,0)</f>
        <v>#REF!</v>
      </c>
      <c r="BG39" s="270" t="e">
        <f t="array" ref="BG39">IF(AND(BG$2&lt;&gt;0,#REF!&gt;=BG$2),1,0)</f>
        <v>#REF!</v>
      </c>
      <c r="BH39" s="270" t="e">
        <f t="array" ref="BH39">IF(AND(BH$2&lt;&gt;0,#REF!&gt;=BH$2),1,0)</f>
        <v>#REF!</v>
      </c>
      <c r="BI39" s="270" t="e">
        <f t="array" ref="BI39">IF(AND(BI$2&lt;&gt;0,#REF!&gt;=BI$2),1,0)</f>
        <v>#REF!</v>
      </c>
      <c r="BJ39" s="270" t="e">
        <f t="array" ref="BJ39">IF(AND(BJ$2&lt;&gt;0,#REF!&gt;=BJ$2),1,0)</f>
        <v>#REF!</v>
      </c>
      <c r="BK39" s="270" t="e">
        <f t="array" ref="BK39">IF(AND(BK$2&lt;&gt;0,#REF!&gt;=BK$2),1,0)</f>
        <v>#REF!</v>
      </c>
      <c r="BL39" s="270" t="e">
        <f t="array" ref="BL39">IF(AND(BL$2&lt;&gt;0,#REF!&gt;=BL$2),1,0)</f>
        <v>#REF!</v>
      </c>
      <c r="BM39" s="270" t="e">
        <f t="array" ref="BM39">IF(AND(BM$2&lt;&gt;0,#REF!&gt;=BM$2),1,0)</f>
        <v>#REF!</v>
      </c>
      <c r="BN39" s="270" t="e">
        <f t="array" ref="BN39">IF(AND(BN$2&lt;&gt;0,#REF!&gt;=BN$2),1,0)</f>
        <v>#REF!</v>
      </c>
      <c r="BO39" s="270" t="e">
        <f t="array" ref="BO39">IF(AND(BO$2&lt;&gt;0,#REF!&gt;=BO$2),1,0)</f>
        <v>#REF!</v>
      </c>
      <c r="BP39" s="270" t="e">
        <f t="array" ref="BP39">IF(AND(BP$2&lt;&gt;0,#REF!&gt;=BP$2),1,0)</f>
        <v>#REF!</v>
      </c>
      <c r="BQ39" s="270" t="e">
        <f t="array" ref="BQ39">IF(AND(BQ$2&lt;&gt;0,#REF!&gt;=BQ$2),1,0)</f>
        <v>#REF!</v>
      </c>
      <c r="BR39" s="270" t="e">
        <f t="array" ref="BR39">IF(AND(BR$2&lt;&gt;0,#REF!&gt;=BR$2),1,0)</f>
        <v>#REF!</v>
      </c>
      <c r="BS39" s="270" t="e">
        <f t="array" ref="BS39">IF(AND(BS$2&lt;&gt;0,#REF!&gt;=BS$2),1,0)</f>
        <v>#REF!</v>
      </c>
      <c r="BT39" s="270" t="e">
        <f t="array" ref="BT39">IF(AND(BT$2&lt;&gt;0,#REF!&gt;=BT$2),1,0)</f>
        <v>#REF!</v>
      </c>
      <c r="BU39" s="270" t="e">
        <f t="array" ref="BU39">IF(AND(BU$2&lt;&gt;0,#REF!&gt;=BU$2),1,0)</f>
        <v>#REF!</v>
      </c>
      <c r="BV39" s="270" t="e">
        <f t="array" ref="BV39">IF(AND(BV$2&lt;&gt;0,#REF!&gt;=BV$2),1,0)</f>
        <v>#REF!</v>
      </c>
      <c r="BW39" s="270" t="e">
        <f t="array" ref="BW39">IF(AND(BW$2&lt;&gt;0,#REF!&gt;=BW$2),1,0)</f>
        <v>#REF!</v>
      </c>
      <c r="BX39" s="270" t="e">
        <f t="array" ref="BX39">IF(AND(BX$2&lt;&gt;0,#REF!&gt;=BX$2),1,0)</f>
        <v>#REF!</v>
      </c>
      <c r="BY39" s="270" t="e">
        <f t="array" ref="BY39">IF(AND(BY$2&lt;&gt;0,#REF!&gt;=BY$2),1,0)</f>
        <v>#REF!</v>
      </c>
      <c r="BZ39" s="270" t="e">
        <f t="array" ref="BZ39">IF(AND(BZ$2&lt;&gt;0,#REF!&gt;=BZ$2),1,0)</f>
        <v>#REF!</v>
      </c>
      <c r="CA39" s="359">
        <f>IFERROR(INDEX($H$4:$H$79,MATCH(INDEX(#REF!,1,MATCH(#REF!,$M$2:$BZ$2,0)),$G$4:$G$79,0)),)</f>
        <v>0</v>
      </c>
    </row>
    <row r="40" spans="1:79" x14ac:dyDescent="0.25">
      <c r="A40" s="262" t="e">
        <f>#REF!</f>
        <v>#REF!</v>
      </c>
      <c r="B40" s="263" t="e">
        <f>#REF!</f>
        <v>#REF!</v>
      </c>
      <c r="C40" s="264" t="e">
        <f>#REF!</f>
        <v>#REF!</v>
      </c>
      <c r="D40" s="264" t="e">
        <f>#REF!</f>
        <v>#REF!</v>
      </c>
      <c r="E40" s="265"/>
      <c r="F40" s="266"/>
      <c r="G40" s="267" t="s">
        <v>583</v>
      </c>
      <c r="H40" s="268" t="s">
        <v>711</v>
      </c>
      <c r="I40" s="267" t="s">
        <v>1105</v>
      </c>
      <c r="J40" s="263"/>
      <c r="K40" s="89" t="e">
        <f ca="1">IF(#REF!&lt;&gt;OFFSET(#REF!,-1,0),1,0)</f>
        <v>#REF!</v>
      </c>
      <c r="L40" s="269" t="e">
        <f>COUNTIF(#REF!,1)</f>
        <v>#REF!</v>
      </c>
      <c r="M40" s="270" t="e">
        <f t="array" ref="M40">IF(AND(M$2&lt;&gt;0,#REF!&gt;=M$2),1,0)</f>
        <v>#REF!</v>
      </c>
      <c r="N40" s="270" t="e">
        <f t="array" ref="N40">IF(AND(N$2&lt;&gt;0,#REF!&gt;=N$2),1,0)</f>
        <v>#REF!</v>
      </c>
      <c r="O40" s="270" t="e">
        <f t="array" ref="O40">IF(AND(O$2&lt;&gt;0,#REF!&gt;=O$2),1,0)</f>
        <v>#REF!</v>
      </c>
      <c r="P40" s="270" t="e">
        <f t="array" ref="P40">IF(AND(P$2&lt;&gt;0,#REF!&gt;=P$2),1,0)</f>
        <v>#REF!</v>
      </c>
      <c r="Q40" s="270" t="e">
        <f t="array" ref="Q40">IF(AND(Q$2&lt;&gt;0,#REF!&gt;=Q$2),1,0)</f>
        <v>#REF!</v>
      </c>
      <c r="R40" s="270" t="e">
        <f t="array" ref="R40">IF(AND(R$2&lt;&gt;0,#REF!&gt;=R$2),1,0)</f>
        <v>#REF!</v>
      </c>
      <c r="S40" s="270" t="e">
        <f t="array" ref="S40">IF(AND(S$2&lt;&gt;0,#REF!&gt;=S$2),1,0)</f>
        <v>#REF!</v>
      </c>
      <c r="T40" s="270" t="e">
        <f t="array" ref="T40">IF(AND(T$2&lt;&gt;0,#REF!&gt;=T$2),1,0)</f>
        <v>#REF!</v>
      </c>
      <c r="U40" s="270" t="e">
        <f t="array" ref="U40">IF(AND(U$2&lt;&gt;0,#REF!&gt;=U$2),1,0)</f>
        <v>#REF!</v>
      </c>
      <c r="V40" s="270" t="e">
        <f t="array" ref="V40">IF(AND(V$2&lt;&gt;0,#REF!&gt;=V$2),1,0)</f>
        <v>#REF!</v>
      </c>
      <c r="W40" s="270" t="e">
        <f t="array" ref="W40">IF(AND(W$2&lt;&gt;0,#REF!&gt;=W$2),1,0)</f>
        <v>#REF!</v>
      </c>
      <c r="X40" s="270" t="e">
        <f t="array" ref="X40">IF(AND(X$2&lt;&gt;0,#REF!&gt;=X$2),1,0)</f>
        <v>#REF!</v>
      </c>
      <c r="Y40" s="270" t="e">
        <f t="array" ref="Y40">IF(AND(Y$2&lt;&gt;0,#REF!&gt;=Y$2),1,0)</f>
        <v>#REF!</v>
      </c>
      <c r="Z40" s="270" t="e">
        <f t="array" ref="Z40">IF(AND(Z$2&lt;&gt;0,#REF!&gt;=Z$2),1,0)</f>
        <v>#REF!</v>
      </c>
      <c r="AA40" s="270" t="e">
        <f t="array" ref="AA40">IF(AND(AA$2&lt;&gt;0,#REF!&gt;=AA$2),1,0)</f>
        <v>#REF!</v>
      </c>
      <c r="AB40" s="270" t="e">
        <f t="array" ref="AB40">IF(AND(AB$2&lt;&gt;0,#REF!&gt;=AB$2),1,0)</f>
        <v>#REF!</v>
      </c>
      <c r="AC40" s="270" t="e">
        <f t="array" ref="AC40">IF(AND(AC$2&lt;&gt;0,#REF!&gt;=AC$2),1,0)</f>
        <v>#REF!</v>
      </c>
      <c r="AD40" s="270" t="e">
        <f t="array" ref="AD40">IF(AND(AD$2&lt;&gt;0,#REF!&gt;=AD$2),1,0)</f>
        <v>#REF!</v>
      </c>
      <c r="AE40" s="270" t="e">
        <f t="array" ref="AE40">IF(AND(AE$2&lt;&gt;0,#REF!&gt;=AE$2),1,0)</f>
        <v>#REF!</v>
      </c>
      <c r="AF40" s="270" t="e">
        <f t="array" ref="AF40">IF(AND(AF$2&lt;&gt;0,#REF!&gt;=AF$2),1,0)</f>
        <v>#REF!</v>
      </c>
      <c r="AG40" s="270" t="e">
        <f t="array" ref="AG40">IF(AND(AG$2&lt;&gt;0,#REF!&gt;=AG$2),1,0)</f>
        <v>#REF!</v>
      </c>
      <c r="AH40" s="270" t="e">
        <f t="array" ref="AH40">IF(AND(AH$2&lt;&gt;0,#REF!&gt;=AH$2),1,0)</f>
        <v>#REF!</v>
      </c>
      <c r="AI40" s="270" t="e">
        <f t="array" ref="AI40">IF(AND(AI$2&lt;&gt;0,#REF!&gt;=AI$2),1,0)</f>
        <v>#REF!</v>
      </c>
      <c r="AJ40" s="270" t="e">
        <f t="array" ref="AJ40">IF(AND(AJ$2&lt;&gt;0,#REF!&gt;=AJ$2),1,0)</f>
        <v>#REF!</v>
      </c>
      <c r="AK40" s="270" t="e">
        <f t="array" ref="AK40">IF(AND(AK$2&lt;&gt;0,#REF!&gt;=AK$2),1,0)</f>
        <v>#REF!</v>
      </c>
      <c r="AL40" s="270" t="e">
        <f t="array" ref="AL40">IF(AND(AL$2&lt;&gt;0,#REF!&gt;=AL$2),1,0)</f>
        <v>#REF!</v>
      </c>
      <c r="AM40" s="270" t="e">
        <f t="array" ref="AM40">IF(AND(AM$2&lt;&gt;0,#REF!&gt;=AM$2),1,0)</f>
        <v>#REF!</v>
      </c>
      <c r="AN40" s="270" t="e">
        <f t="array" ref="AN40">IF(AND(AN$2&lt;&gt;0,#REF!&gt;=AN$2),1,0)</f>
        <v>#REF!</v>
      </c>
      <c r="AO40" s="270" t="e">
        <f t="array" ref="AO40">IF(AND(AO$2&lt;&gt;0,#REF!&gt;=AO$2),1,0)</f>
        <v>#REF!</v>
      </c>
      <c r="AP40" s="270" t="e">
        <f t="array" ref="AP40">IF(AND(AP$2&lt;&gt;0,#REF!&gt;=AP$2),1,0)</f>
        <v>#REF!</v>
      </c>
      <c r="AQ40" s="270" t="e">
        <f t="array" ref="AQ40">IF(AND(AQ$2&lt;&gt;0,#REF!&gt;=AQ$2),1,0)</f>
        <v>#REF!</v>
      </c>
      <c r="AR40" s="270" t="e">
        <f t="array" ref="AR40">IF(AND(AR$2&lt;&gt;0,#REF!&gt;=AR$2),1,0)</f>
        <v>#REF!</v>
      </c>
      <c r="AS40" s="270" t="e">
        <f t="array" ref="AS40">IF(AND(AS$2&lt;&gt;0,#REF!&gt;=AS$2),1,0)</f>
        <v>#REF!</v>
      </c>
      <c r="AT40" s="270" t="e">
        <f t="array" ref="AT40">IF(AND(AT$2&lt;&gt;0,#REF!&gt;=AT$2),1,0)</f>
        <v>#REF!</v>
      </c>
      <c r="AU40" s="270" t="e">
        <f t="array" ref="AU40">IF(AND(AU$2&lt;&gt;0,#REF!&gt;=AU$2),1,0)</f>
        <v>#REF!</v>
      </c>
      <c r="AV40" s="270" t="e">
        <f t="array" ref="AV40">IF(AND(AV$2&lt;&gt;0,#REF!&gt;=AV$2),1,0)</f>
        <v>#REF!</v>
      </c>
      <c r="AW40" s="270" t="e">
        <f t="array" ref="AW40">IF(AND(AW$2&lt;&gt;0,#REF!&gt;=AW$2),1,0)</f>
        <v>#REF!</v>
      </c>
      <c r="AX40" s="270" t="e">
        <f t="array" ref="AX40">IF(AND(AX$2&lt;&gt;0,#REF!&gt;=AX$2),1,0)</f>
        <v>#REF!</v>
      </c>
      <c r="AY40" s="270" t="e">
        <f t="array" ref="AY40">IF(AND(AY$2&lt;&gt;0,#REF!&gt;=AY$2),1,0)</f>
        <v>#REF!</v>
      </c>
      <c r="AZ40" s="270" t="e">
        <f t="array" ref="AZ40">IF(AND(AZ$2&lt;&gt;0,#REF!&gt;=AZ$2),1,0)</f>
        <v>#REF!</v>
      </c>
      <c r="BA40" s="270" t="e">
        <f t="array" ref="BA40">IF(AND(BA$2&lt;&gt;0,#REF!&gt;=BA$2),1,0)</f>
        <v>#REF!</v>
      </c>
      <c r="BB40" s="270" t="e">
        <f t="array" ref="BB40">IF(AND(BB$2&lt;&gt;0,#REF!&gt;=BB$2),1,0)</f>
        <v>#REF!</v>
      </c>
      <c r="BC40" s="270" t="e">
        <f t="array" ref="BC40">IF(AND(BC$2&lt;&gt;0,#REF!&gt;=BC$2),1,0)</f>
        <v>#REF!</v>
      </c>
      <c r="BD40" s="270" t="e">
        <f t="array" ref="BD40">IF(AND(BD$2&lt;&gt;0,#REF!&gt;=BD$2),1,0)</f>
        <v>#REF!</v>
      </c>
      <c r="BE40" s="270" t="e">
        <f t="array" ref="BE40">IF(AND(BE$2&lt;&gt;0,#REF!&gt;=BE$2),1,0)</f>
        <v>#REF!</v>
      </c>
      <c r="BF40" s="270" t="e">
        <f t="array" ref="BF40">IF(AND(BF$2&lt;&gt;0,#REF!&gt;=BF$2),1,0)</f>
        <v>#REF!</v>
      </c>
      <c r="BG40" s="270" t="e">
        <f t="array" ref="BG40">IF(AND(BG$2&lt;&gt;0,#REF!&gt;=BG$2),1,0)</f>
        <v>#REF!</v>
      </c>
      <c r="BH40" s="270" t="e">
        <f t="array" ref="BH40">IF(AND(BH$2&lt;&gt;0,#REF!&gt;=BH$2),1,0)</f>
        <v>#REF!</v>
      </c>
      <c r="BI40" s="270" t="e">
        <f t="array" ref="BI40">IF(AND(BI$2&lt;&gt;0,#REF!&gt;=BI$2),1,0)</f>
        <v>#REF!</v>
      </c>
      <c r="BJ40" s="270" t="e">
        <f t="array" ref="BJ40">IF(AND(BJ$2&lt;&gt;0,#REF!&gt;=BJ$2),1,0)</f>
        <v>#REF!</v>
      </c>
      <c r="BK40" s="270" t="e">
        <f t="array" ref="BK40">IF(AND(BK$2&lt;&gt;0,#REF!&gt;=BK$2),1,0)</f>
        <v>#REF!</v>
      </c>
      <c r="BL40" s="270" t="e">
        <f t="array" ref="BL40">IF(AND(BL$2&lt;&gt;0,#REF!&gt;=BL$2),1,0)</f>
        <v>#REF!</v>
      </c>
      <c r="BM40" s="270" t="e">
        <f t="array" ref="BM40">IF(AND(BM$2&lt;&gt;0,#REF!&gt;=BM$2),1,0)</f>
        <v>#REF!</v>
      </c>
      <c r="BN40" s="270" t="e">
        <f t="array" ref="BN40">IF(AND(BN$2&lt;&gt;0,#REF!&gt;=BN$2),1,0)</f>
        <v>#REF!</v>
      </c>
      <c r="BO40" s="270" t="e">
        <f t="array" ref="BO40">IF(AND(BO$2&lt;&gt;0,#REF!&gt;=BO$2),1,0)</f>
        <v>#REF!</v>
      </c>
      <c r="BP40" s="270" t="e">
        <f t="array" ref="BP40">IF(AND(BP$2&lt;&gt;0,#REF!&gt;=BP$2),1,0)</f>
        <v>#REF!</v>
      </c>
      <c r="BQ40" s="270" t="e">
        <f t="array" ref="BQ40">IF(AND(BQ$2&lt;&gt;0,#REF!&gt;=BQ$2),1,0)</f>
        <v>#REF!</v>
      </c>
      <c r="BR40" s="270" t="e">
        <f t="array" ref="BR40">IF(AND(BR$2&lt;&gt;0,#REF!&gt;=BR$2),1,0)</f>
        <v>#REF!</v>
      </c>
      <c r="BS40" s="270" t="e">
        <f t="array" ref="BS40">IF(AND(BS$2&lt;&gt;0,#REF!&gt;=BS$2),1,0)</f>
        <v>#REF!</v>
      </c>
      <c r="BT40" s="270" t="e">
        <f t="array" ref="BT40">IF(AND(BT$2&lt;&gt;0,#REF!&gt;=BT$2),1,0)</f>
        <v>#REF!</v>
      </c>
      <c r="BU40" s="270" t="e">
        <f t="array" ref="BU40">IF(AND(BU$2&lt;&gt;0,#REF!&gt;=BU$2),1,0)</f>
        <v>#REF!</v>
      </c>
      <c r="BV40" s="270" t="e">
        <f t="array" ref="BV40">IF(AND(BV$2&lt;&gt;0,#REF!&gt;=BV$2),1,0)</f>
        <v>#REF!</v>
      </c>
      <c r="BW40" s="270" t="e">
        <f t="array" ref="BW40">IF(AND(BW$2&lt;&gt;0,#REF!&gt;=BW$2),1,0)</f>
        <v>#REF!</v>
      </c>
      <c r="BX40" s="270" t="e">
        <f t="array" ref="BX40">IF(AND(BX$2&lt;&gt;0,#REF!&gt;=BX$2),1,0)</f>
        <v>#REF!</v>
      </c>
      <c r="BY40" s="270" t="e">
        <f t="array" ref="BY40">IF(AND(BY$2&lt;&gt;0,#REF!&gt;=BY$2),1,0)</f>
        <v>#REF!</v>
      </c>
      <c r="BZ40" s="270" t="e">
        <f t="array" ref="BZ40">IF(AND(BZ$2&lt;&gt;0,#REF!&gt;=BZ$2),1,0)</f>
        <v>#REF!</v>
      </c>
      <c r="CA40" s="359">
        <f>IFERROR(INDEX($H$4:$H$79,MATCH(INDEX(#REF!,1,MATCH(#REF!,$M$2:$BZ$2,0)),$G$4:$G$79,0)),)</f>
        <v>0</v>
      </c>
    </row>
    <row r="41" spans="1:79" x14ac:dyDescent="0.25">
      <c r="A41" s="262" t="e">
        <f>#REF!</f>
        <v>#REF!</v>
      </c>
      <c r="B41" s="263" t="e">
        <f>#REF!</f>
        <v>#REF!</v>
      </c>
      <c r="C41" s="264" t="e">
        <f>#REF!</f>
        <v>#REF!</v>
      </c>
      <c r="D41" s="264" t="e">
        <f>#REF!</f>
        <v>#REF!</v>
      </c>
      <c r="E41" s="265"/>
      <c r="F41" s="266"/>
      <c r="G41" s="267" t="s">
        <v>584</v>
      </c>
      <c r="H41" s="268" t="s">
        <v>1062</v>
      </c>
      <c r="I41" s="267" t="s">
        <v>1058</v>
      </c>
      <c r="J41" s="263"/>
      <c r="K41" s="89" t="e">
        <f ca="1">IF(#REF!&lt;&gt;OFFSET(#REF!,-1,0),1,0)</f>
        <v>#REF!</v>
      </c>
      <c r="L41" s="269" t="e">
        <f>COUNTIF(#REF!,1)</f>
        <v>#REF!</v>
      </c>
      <c r="M41" s="270" t="e">
        <f t="array" ref="M41">IF(AND(M$2&lt;&gt;0,#REF!&gt;=M$2),1,0)</f>
        <v>#REF!</v>
      </c>
      <c r="N41" s="270" t="e">
        <f t="array" ref="N41">IF(AND(N$2&lt;&gt;0,#REF!&gt;=N$2),1,0)</f>
        <v>#REF!</v>
      </c>
      <c r="O41" s="270" t="e">
        <f t="array" ref="O41">IF(AND(O$2&lt;&gt;0,#REF!&gt;=O$2),1,0)</f>
        <v>#REF!</v>
      </c>
      <c r="P41" s="270" t="e">
        <f t="array" ref="P41">IF(AND(P$2&lt;&gt;0,#REF!&gt;=P$2),1,0)</f>
        <v>#REF!</v>
      </c>
      <c r="Q41" s="270" t="e">
        <f t="array" ref="Q41">IF(AND(Q$2&lt;&gt;0,#REF!&gt;=Q$2),1,0)</f>
        <v>#REF!</v>
      </c>
      <c r="R41" s="270" t="e">
        <f t="array" ref="R41">IF(AND(R$2&lt;&gt;0,#REF!&gt;=R$2),1,0)</f>
        <v>#REF!</v>
      </c>
      <c r="S41" s="270" t="e">
        <f t="array" ref="S41">IF(AND(S$2&lt;&gt;0,#REF!&gt;=S$2),1,0)</f>
        <v>#REF!</v>
      </c>
      <c r="T41" s="270" t="e">
        <f t="array" ref="T41">IF(AND(T$2&lt;&gt;0,#REF!&gt;=T$2),1,0)</f>
        <v>#REF!</v>
      </c>
      <c r="U41" s="270" t="e">
        <f t="array" ref="U41">IF(AND(U$2&lt;&gt;0,#REF!&gt;=U$2),1,0)</f>
        <v>#REF!</v>
      </c>
      <c r="V41" s="270" t="e">
        <f t="array" ref="V41">IF(AND(V$2&lt;&gt;0,#REF!&gt;=V$2),1,0)</f>
        <v>#REF!</v>
      </c>
      <c r="W41" s="270" t="e">
        <f t="array" ref="W41">IF(AND(W$2&lt;&gt;0,#REF!&gt;=W$2),1,0)</f>
        <v>#REF!</v>
      </c>
      <c r="X41" s="270" t="e">
        <f t="array" ref="X41">IF(AND(X$2&lt;&gt;0,#REF!&gt;=X$2),1,0)</f>
        <v>#REF!</v>
      </c>
      <c r="Y41" s="270" t="e">
        <f t="array" ref="Y41">IF(AND(Y$2&lt;&gt;0,#REF!&gt;=Y$2),1,0)</f>
        <v>#REF!</v>
      </c>
      <c r="Z41" s="270" t="e">
        <f t="array" ref="Z41">IF(AND(Z$2&lt;&gt;0,#REF!&gt;=Z$2),1,0)</f>
        <v>#REF!</v>
      </c>
      <c r="AA41" s="270" t="e">
        <f t="array" ref="AA41">IF(AND(AA$2&lt;&gt;0,#REF!&gt;=AA$2),1,0)</f>
        <v>#REF!</v>
      </c>
      <c r="AB41" s="270" t="e">
        <f t="array" ref="AB41">IF(AND(AB$2&lt;&gt;0,#REF!&gt;=AB$2),1,0)</f>
        <v>#REF!</v>
      </c>
      <c r="AC41" s="270" t="e">
        <f t="array" ref="AC41">IF(AND(AC$2&lt;&gt;0,#REF!&gt;=AC$2),1,0)</f>
        <v>#REF!</v>
      </c>
      <c r="AD41" s="270" t="e">
        <f t="array" ref="AD41">IF(AND(AD$2&lt;&gt;0,#REF!&gt;=AD$2),1,0)</f>
        <v>#REF!</v>
      </c>
      <c r="AE41" s="270" t="e">
        <f t="array" ref="AE41">IF(AND(AE$2&lt;&gt;0,#REF!&gt;=AE$2),1,0)</f>
        <v>#REF!</v>
      </c>
      <c r="AF41" s="270" t="e">
        <f t="array" ref="AF41">IF(AND(AF$2&lt;&gt;0,#REF!&gt;=AF$2),1,0)</f>
        <v>#REF!</v>
      </c>
      <c r="AG41" s="270" t="e">
        <f t="array" ref="AG41">IF(AND(AG$2&lt;&gt;0,#REF!&gt;=AG$2),1,0)</f>
        <v>#REF!</v>
      </c>
      <c r="AH41" s="270" t="e">
        <f t="array" ref="AH41">IF(AND(AH$2&lt;&gt;0,#REF!&gt;=AH$2),1,0)</f>
        <v>#REF!</v>
      </c>
      <c r="AI41" s="270" t="e">
        <f t="array" ref="AI41">IF(AND(AI$2&lt;&gt;0,#REF!&gt;=AI$2),1,0)</f>
        <v>#REF!</v>
      </c>
      <c r="AJ41" s="270" t="e">
        <f t="array" ref="AJ41">IF(AND(AJ$2&lt;&gt;0,#REF!&gt;=AJ$2),1,0)</f>
        <v>#REF!</v>
      </c>
      <c r="AK41" s="270" t="e">
        <f t="array" ref="AK41">IF(AND(AK$2&lt;&gt;0,#REF!&gt;=AK$2),1,0)</f>
        <v>#REF!</v>
      </c>
      <c r="AL41" s="270" t="e">
        <f t="array" ref="AL41">IF(AND(AL$2&lt;&gt;0,#REF!&gt;=AL$2),1,0)</f>
        <v>#REF!</v>
      </c>
      <c r="AM41" s="270" t="e">
        <f t="array" ref="AM41">IF(AND(AM$2&lt;&gt;0,#REF!&gt;=AM$2),1,0)</f>
        <v>#REF!</v>
      </c>
      <c r="AN41" s="270" t="e">
        <f t="array" ref="AN41">IF(AND(AN$2&lt;&gt;0,#REF!&gt;=AN$2),1,0)</f>
        <v>#REF!</v>
      </c>
      <c r="AO41" s="270" t="e">
        <f t="array" ref="AO41">IF(AND(AO$2&lt;&gt;0,#REF!&gt;=AO$2),1,0)</f>
        <v>#REF!</v>
      </c>
      <c r="AP41" s="270" t="e">
        <f t="array" ref="AP41">IF(AND(AP$2&lt;&gt;0,#REF!&gt;=AP$2),1,0)</f>
        <v>#REF!</v>
      </c>
      <c r="AQ41" s="270" t="e">
        <f t="array" ref="AQ41">IF(AND(AQ$2&lt;&gt;0,#REF!&gt;=AQ$2),1,0)</f>
        <v>#REF!</v>
      </c>
      <c r="AR41" s="270" t="e">
        <f t="array" ref="AR41">IF(AND(AR$2&lt;&gt;0,#REF!&gt;=AR$2),1,0)</f>
        <v>#REF!</v>
      </c>
      <c r="AS41" s="270" t="e">
        <f t="array" ref="AS41">IF(AND(AS$2&lt;&gt;0,#REF!&gt;=AS$2),1,0)</f>
        <v>#REF!</v>
      </c>
      <c r="AT41" s="270" t="e">
        <f t="array" ref="AT41">IF(AND(AT$2&lt;&gt;0,#REF!&gt;=AT$2),1,0)</f>
        <v>#REF!</v>
      </c>
      <c r="AU41" s="270" t="e">
        <f t="array" ref="AU41">IF(AND(AU$2&lt;&gt;0,#REF!&gt;=AU$2),1,0)</f>
        <v>#REF!</v>
      </c>
      <c r="AV41" s="270" t="e">
        <f t="array" ref="AV41">IF(AND(AV$2&lt;&gt;0,#REF!&gt;=AV$2),1,0)</f>
        <v>#REF!</v>
      </c>
      <c r="AW41" s="270" t="e">
        <f t="array" ref="AW41">IF(AND(AW$2&lt;&gt;0,#REF!&gt;=AW$2),1,0)</f>
        <v>#REF!</v>
      </c>
      <c r="AX41" s="270" t="e">
        <f t="array" ref="AX41">IF(AND(AX$2&lt;&gt;0,#REF!&gt;=AX$2),1,0)</f>
        <v>#REF!</v>
      </c>
      <c r="AY41" s="270" t="e">
        <f t="array" ref="AY41">IF(AND(AY$2&lt;&gt;0,#REF!&gt;=AY$2),1,0)</f>
        <v>#REF!</v>
      </c>
      <c r="AZ41" s="270" t="e">
        <f t="array" ref="AZ41">IF(AND(AZ$2&lt;&gt;0,#REF!&gt;=AZ$2),1,0)</f>
        <v>#REF!</v>
      </c>
      <c r="BA41" s="270" t="e">
        <f t="array" ref="BA41">IF(AND(BA$2&lt;&gt;0,#REF!&gt;=BA$2),1,0)</f>
        <v>#REF!</v>
      </c>
      <c r="BB41" s="270" t="e">
        <f t="array" ref="BB41">IF(AND(BB$2&lt;&gt;0,#REF!&gt;=BB$2),1,0)</f>
        <v>#REF!</v>
      </c>
      <c r="BC41" s="270" t="e">
        <f t="array" ref="BC41">IF(AND(BC$2&lt;&gt;0,#REF!&gt;=BC$2),1,0)</f>
        <v>#REF!</v>
      </c>
      <c r="BD41" s="270" t="e">
        <f t="array" ref="BD41">IF(AND(BD$2&lt;&gt;0,#REF!&gt;=BD$2),1,0)</f>
        <v>#REF!</v>
      </c>
      <c r="BE41" s="270" t="e">
        <f t="array" ref="BE41">IF(AND(BE$2&lt;&gt;0,#REF!&gt;=BE$2),1,0)</f>
        <v>#REF!</v>
      </c>
      <c r="BF41" s="270" t="e">
        <f t="array" ref="BF41">IF(AND(BF$2&lt;&gt;0,#REF!&gt;=BF$2),1,0)</f>
        <v>#REF!</v>
      </c>
      <c r="BG41" s="270" t="e">
        <f t="array" ref="BG41">IF(AND(BG$2&lt;&gt;0,#REF!&gt;=BG$2),1,0)</f>
        <v>#REF!</v>
      </c>
      <c r="BH41" s="270" t="e">
        <f t="array" ref="BH41">IF(AND(BH$2&lt;&gt;0,#REF!&gt;=BH$2),1,0)</f>
        <v>#REF!</v>
      </c>
      <c r="BI41" s="270" t="e">
        <f t="array" ref="BI41">IF(AND(BI$2&lt;&gt;0,#REF!&gt;=BI$2),1,0)</f>
        <v>#REF!</v>
      </c>
      <c r="BJ41" s="270" t="e">
        <f t="array" ref="BJ41">IF(AND(BJ$2&lt;&gt;0,#REF!&gt;=BJ$2),1,0)</f>
        <v>#REF!</v>
      </c>
      <c r="BK41" s="270" t="e">
        <f t="array" ref="BK41">IF(AND(BK$2&lt;&gt;0,#REF!&gt;=BK$2),1,0)</f>
        <v>#REF!</v>
      </c>
      <c r="BL41" s="270" t="e">
        <f t="array" ref="BL41">IF(AND(BL$2&lt;&gt;0,#REF!&gt;=BL$2),1,0)</f>
        <v>#REF!</v>
      </c>
      <c r="BM41" s="270" t="e">
        <f t="array" ref="BM41">IF(AND(BM$2&lt;&gt;0,#REF!&gt;=BM$2),1,0)</f>
        <v>#REF!</v>
      </c>
      <c r="BN41" s="270" t="e">
        <f t="array" ref="BN41">IF(AND(BN$2&lt;&gt;0,#REF!&gt;=BN$2),1,0)</f>
        <v>#REF!</v>
      </c>
      <c r="BO41" s="270" t="e">
        <f t="array" ref="BO41">IF(AND(BO$2&lt;&gt;0,#REF!&gt;=BO$2),1,0)</f>
        <v>#REF!</v>
      </c>
      <c r="BP41" s="270" t="e">
        <f t="array" ref="BP41">IF(AND(BP$2&lt;&gt;0,#REF!&gt;=BP$2),1,0)</f>
        <v>#REF!</v>
      </c>
      <c r="BQ41" s="270" t="e">
        <f t="array" ref="BQ41">IF(AND(BQ$2&lt;&gt;0,#REF!&gt;=BQ$2),1,0)</f>
        <v>#REF!</v>
      </c>
      <c r="BR41" s="270" t="e">
        <f t="array" ref="BR41">IF(AND(BR$2&lt;&gt;0,#REF!&gt;=BR$2),1,0)</f>
        <v>#REF!</v>
      </c>
      <c r="BS41" s="270" t="e">
        <f t="array" ref="BS41">IF(AND(BS$2&lt;&gt;0,#REF!&gt;=BS$2),1,0)</f>
        <v>#REF!</v>
      </c>
      <c r="BT41" s="270" t="e">
        <f t="array" ref="BT41">IF(AND(BT$2&lt;&gt;0,#REF!&gt;=BT$2),1,0)</f>
        <v>#REF!</v>
      </c>
      <c r="BU41" s="270" t="e">
        <f t="array" ref="BU41">IF(AND(BU$2&lt;&gt;0,#REF!&gt;=BU$2),1,0)</f>
        <v>#REF!</v>
      </c>
      <c r="BV41" s="270" t="e">
        <f t="array" ref="BV41">IF(AND(BV$2&lt;&gt;0,#REF!&gt;=BV$2),1,0)</f>
        <v>#REF!</v>
      </c>
      <c r="BW41" s="270" t="e">
        <f t="array" ref="BW41">IF(AND(BW$2&lt;&gt;0,#REF!&gt;=BW$2),1,0)</f>
        <v>#REF!</v>
      </c>
      <c r="BX41" s="270" t="e">
        <f t="array" ref="BX41">IF(AND(BX$2&lt;&gt;0,#REF!&gt;=BX$2),1,0)</f>
        <v>#REF!</v>
      </c>
      <c r="BY41" s="270" t="e">
        <f t="array" ref="BY41">IF(AND(BY$2&lt;&gt;0,#REF!&gt;=BY$2),1,0)</f>
        <v>#REF!</v>
      </c>
      <c r="BZ41" s="270" t="e">
        <f t="array" ref="BZ41">IF(AND(BZ$2&lt;&gt;0,#REF!&gt;=BZ$2),1,0)</f>
        <v>#REF!</v>
      </c>
      <c r="CA41" s="359">
        <f>IFERROR(INDEX($H$4:$H$79,MATCH(INDEX(#REF!,1,MATCH(#REF!,$M$2:$BZ$2,0)),$G$4:$G$79,0)),)</f>
        <v>0</v>
      </c>
    </row>
    <row r="42" spans="1:79" x14ac:dyDescent="0.25">
      <c r="A42" s="262" t="e">
        <f>#REF!</f>
        <v>#REF!</v>
      </c>
      <c r="B42" s="263" t="e">
        <f>#REF!</f>
        <v>#REF!</v>
      </c>
      <c r="C42" s="264" t="e">
        <f>#REF!</f>
        <v>#REF!</v>
      </c>
      <c r="D42" s="264" t="e">
        <f>#REF!</f>
        <v>#REF!</v>
      </c>
      <c r="E42" s="265"/>
      <c r="F42" s="266"/>
      <c r="G42" s="267" t="s">
        <v>585</v>
      </c>
      <c r="H42" s="268" t="s">
        <v>713</v>
      </c>
      <c r="I42" s="267" t="s">
        <v>1100</v>
      </c>
      <c r="J42" s="263"/>
      <c r="K42" s="89" t="e">
        <f ca="1">IF(#REF!&lt;&gt;OFFSET(#REF!,-1,0),1,0)</f>
        <v>#REF!</v>
      </c>
      <c r="L42" s="269" t="e">
        <f>COUNTIF(#REF!,1)</f>
        <v>#REF!</v>
      </c>
      <c r="M42" s="270" t="e">
        <f t="array" ref="M42">IF(AND(M$2&lt;&gt;0,#REF!&gt;=M$2),1,0)</f>
        <v>#REF!</v>
      </c>
      <c r="N42" s="270" t="e">
        <f t="array" ref="N42">IF(AND(N$2&lt;&gt;0,#REF!&gt;=N$2),1,0)</f>
        <v>#REF!</v>
      </c>
      <c r="O42" s="270" t="e">
        <f t="array" ref="O42">IF(AND(O$2&lt;&gt;0,#REF!&gt;=O$2),1,0)</f>
        <v>#REF!</v>
      </c>
      <c r="P42" s="270" t="e">
        <f t="array" ref="P42">IF(AND(P$2&lt;&gt;0,#REF!&gt;=P$2),1,0)</f>
        <v>#REF!</v>
      </c>
      <c r="Q42" s="270" t="e">
        <f t="array" ref="Q42">IF(AND(Q$2&lt;&gt;0,#REF!&gt;=Q$2),1,0)</f>
        <v>#REF!</v>
      </c>
      <c r="R42" s="270" t="e">
        <f t="array" ref="R42">IF(AND(R$2&lt;&gt;0,#REF!&gt;=R$2),1,0)</f>
        <v>#REF!</v>
      </c>
      <c r="S42" s="270" t="e">
        <f t="array" ref="S42">IF(AND(S$2&lt;&gt;0,#REF!&gt;=S$2),1,0)</f>
        <v>#REF!</v>
      </c>
      <c r="T42" s="270" t="e">
        <f t="array" ref="T42">IF(AND(T$2&lt;&gt;0,#REF!&gt;=T$2),1,0)</f>
        <v>#REF!</v>
      </c>
      <c r="U42" s="270" t="e">
        <f t="array" ref="U42">IF(AND(U$2&lt;&gt;0,#REF!&gt;=U$2),1,0)</f>
        <v>#REF!</v>
      </c>
      <c r="V42" s="270" t="e">
        <f t="array" ref="V42">IF(AND(V$2&lt;&gt;0,#REF!&gt;=V$2),1,0)</f>
        <v>#REF!</v>
      </c>
      <c r="W42" s="270" t="e">
        <f t="array" ref="W42">IF(AND(W$2&lt;&gt;0,#REF!&gt;=W$2),1,0)</f>
        <v>#REF!</v>
      </c>
      <c r="X42" s="270" t="e">
        <f t="array" ref="X42">IF(AND(X$2&lt;&gt;0,#REF!&gt;=X$2),1,0)</f>
        <v>#REF!</v>
      </c>
      <c r="Y42" s="270" t="e">
        <f t="array" ref="Y42">IF(AND(Y$2&lt;&gt;0,#REF!&gt;=Y$2),1,0)</f>
        <v>#REF!</v>
      </c>
      <c r="Z42" s="270" t="e">
        <f t="array" ref="Z42">IF(AND(Z$2&lt;&gt;0,#REF!&gt;=Z$2),1,0)</f>
        <v>#REF!</v>
      </c>
      <c r="AA42" s="270" t="e">
        <f t="array" ref="AA42">IF(AND(AA$2&lt;&gt;0,#REF!&gt;=AA$2),1,0)</f>
        <v>#REF!</v>
      </c>
      <c r="AB42" s="270" t="e">
        <f t="array" ref="AB42">IF(AND(AB$2&lt;&gt;0,#REF!&gt;=AB$2),1,0)</f>
        <v>#REF!</v>
      </c>
      <c r="AC42" s="270" t="e">
        <f t="array" ref="AC42">IF(AND(AC$2&lt;&gt;0,#REF!&gt;=AC$2),1,0)</f>
        <v>#REF!</v>
      </c>
      <c r="AD42" s="270" t="e">
        <f t="array" ref="AD42">IF(AND(AD$2&lt;&gt;0,#REF!&gt;=AD$2),1,0)</f>
        <v>#REF!</v>
      </c>
      <c r="AE42" s="270" t="e">
        <f t="array" ref="AE42">IF(AND(AE$2&lt;&gt;0,#REF!&gt;=AE$2),1,0)</f>
        <v>#REF!</v>
      </c>
      <c r="AF42" s="270" t="e">
        <f t="array" ref="AF42">IF(AND(AF$2&lt;&gt;0,#REF!&gt;=AF$2),1,0)</f>
        <v>#REF!</v>
      </c>
      <c r="AG42" s="270" t="e">
        <f t="array" ref="AG42">IF(AND(AG$2&lt;&gt;0,#REF!&gt;=AG$2),1,0)</f>
        <v>#REF!</v>
      </c>
      <c r="AH42" s="270" t="e">
        <f t="array" ref="AH42">IF(AND(AH$2&lt;&gt;0,#REF!&gt;=AH$2),1,0)</f>
        <v>#REF!</v>
      </c>
      <c r="AI42" s="270" t="e">
        <f t="array" ref="AI42">IF(AND(AI$2&lt;&gt;0,#REF!&gt;=AI$2),1,0)</f>
        <v>#REF!</v>
      </c>
      <c r="AJ42" s="270" t="e">
        <f t="array" ref="AJ42">IF(AND(AJ$2&lt;&gt;0,#REF!&gt;=AJ$2),1,0)</f>
        <v>#REF!</v>
      </c>
      <c r="AK42" s="270" t="e">
        <f t="array" ref="AK42">IF(AND(AK$2&lt;&gt;0,#REF!&gt;=AK$2),1,0)</f>
        <v>#REF!</v>
      </c>
      <c r="AL42" s="270" t="e">
        <f t="array" ref="AL42">IF(AND(AL$2&lt;&gt;0,#REF!&gt;=AL$2),1,0)</f>
        <v>#REF!</v>
      </c>
      <c r="AM42" s="270" t="e">
        <f t="array" ref="AM42">IF(AND(AM$2&lt;&gt;0,#REF!&gt;=AM$2),1,0)</f>
        <v>#REF!</v>
      </c>
      <c r="AN42" s="270" t="e">
        <f t="array" ref="AN42">IF(AND(AN$2&lt;&gt;0,#REF!&gt;=AN$2),1,0)</f>
        <v>#REF!</v>
      </c>
      <c r="AO42" s="270" t="e">
        <f t="array" ref="AO42">IF(AND(AO$2&lt;&gt;0,#REF!&gt;=AO$2),1,0)</f>
        <v>#REF!</v>
      </c>
      <c r="AP42" s="270" t="e">
        <f t="array" ref="AP42">IF(AND(AP$2&lt;&gt;0,#REF!&gt;=AP$2),1,0)</f>
        <v>#REF!</v>
      </c>
      <c r="AQ42" s="270" t="e">
        <f t="array" ref="AQ42">IF(AND(AQ$2&lt;&gt;0,#REF!&gt;=AQ$2),1,0)</f>
        <v>#REF!</v>
      </c>
      <c r="AR42" s="270" t="e">
        <f t="array" ref="AR42">IF(AND(AR$2&lt;&gt;0,#REF!&gt;=AR$2),1,0)</f>
        <v>#REF!</v>
      </c>
      <c r="AS42" s="270" t="e">
        <f t="array" ref="AS42">IF(AND(AS$2&lt;&gt;0,#REF!&gt;=AS$2),1,0)</f>
        <v>#REF!</v>
      </c>
      <c r="AT42" s="270" t="e">
        <f t="array" ref="AT42">IF(AND(AT$2&lt;&gt;0,#REF!&gt;=AT$2),1,0)</f>
        <v>#REF!</v>
      </c>
      <c r="AU42" s="270" t="e">
        <f t="array" ref="AU42">IF(AND(AU$2&lt;&gt;0,#REF!&gt;=AU$2),1,0)</f>
        <v>#REF!</v>
      </c>
      <c r="AV42" s="270" t="e">
        <f t="array" ref="AV42">IF(AND(AV$2&lt;&gt;0,#REF!&gt;=AV$2),1,0)</f>
        <v>#REF!</v>
      </c>
      <c r="AW42" s="270" t="e">
        <f t="array" ref="AW42">IF(AND(AW$2&lt;&gt;0,#REF!&gt;=AW$2),1,0)</f>
        <v>#REF!</v>
      </c>
      <c r="AX42" s="270" t="e">
        <f t="array" ref="AX42">IF(AND(AX$2&lt;&gt;0,#REF!&gt;=AX$2),1,0)</f>
        <v>#REF!</v>
      </c>
      <c r="AY42" s="270" t="e">
        <f t="array" ref="AY42">IF(AND(AY$2&lt;&gt;0,#REF!&gt;=AY$2),1,0)</f>
        <v>#REF!</v>
      </c>
      <c r="AZ42" s="270" t="e">
        <f t="array" ref="AZ42">IF(AND(AZ$2&lt;&gt;0,#REF!&gt;=AZ$2),1,0)</f>
        <v>#REF!</v>
      </c>
      <c r="BA42" s="270" t="e">
        <f t="array" ref="BA42">IF(AND(BA$2&lt;&gt;0,#REF!&gt;=BA$2),1,0)</f>
        <v>#REF!</v>
      </c>
      <c r="BB42" s="270" t="e">
        <f t="array" ref="BB42">IF(AND(BB$2&lt;&gt;0,#REF!&gt;=BB$2),1,0)</f>
        <v>#REF!</v>
      </c>
      <c r="BC42" s="270" t="e">
        <f t="array" ref="BC42">IF(AND(BC$2&lt;&gt;0,#REF!&gt;=BC$2),1,0)</f>
        <v>#REF!</v>
      </c>
      <c r="BD42" s="270" t="e">
        <f t="array" ref="BD42">IF(AND(BD$2&lt;&gt;0,#REF!&gt;=BD$2),1,0)</f>
        <v>#REF!</v>
      </c>
      <c r="BE42" s="270" t="e">
        <f t="array" ref="BE42">IF(AND(BE$2&lt;&gt;0,#REF!&gt;=BE$2),1,0)</f>
        <v>#REF!</v>
      </c>
      <c r="BF42" s="270" t="e">
        <f t="array" ref="BF42">IF(AND(BF$2&lt;&gt;0,#REF!&gt;=BF$2),1,0)</f>
        <v>#REF!</v>
      </c>
      <c r="BG42" s="270" t="e">
        <f t="array" ref="BG42">IF(AND(BG$2&lt;&gt;0,#REF!&gt;=BG$2),1,0)</f>
        <v>#REF!</v>
      </c>
      <c r="BH42" s="270" t="e">
        <f t="array" ref="BH42">IF(AND(BH$2&lt;&gt;0,#REF!&gt;=BH$2),1,0)</f>
        <v>#REF!</v>
      </c>
      <c r="BI42" s="270" t="e">
        <f t="array" ref="BI42">IF(AND(BI$2&lt;&gt;0,#REF!&gt;=BI$2),1,0)</f>
        <v>#REF!</v>
      </c>
      <c r="BJ42" s="270" t="e">
        <f t="array" ref="BJ42">IF(AND(BJ$2&lt;&gt;0,#REF!&gt;=BJ$2),1,0)</f>
        <v>#REF!</v>
      </c>
      <c r="BK42" s="270" t="e">
        <f t="array" ref="BK42">IF(AND(BK$2&lt;&gt;0,#REF!&gt;=BK$2),1,0)</f>
        <v>#REF!</v>
      </c>
      <c r="BL42" s="270" t="e">
        <f t="array" ref="BL42">IF(AND(BL$2&lt;&gt;0,#REF!&gt;=BL$2),1,0)</f>
        <v>#REF!</v>
      </c>
      <c r="BM42" s="270" t="e">
        <f t="array" ref="BM42">IF(AND(BM$2&lt;&gt;0,#REF!&gt;=BM$2),1,0)</f>
        <v>#REF!</v>
      </c>
      <c r="BN42" s="270" t="e">
        <f t="array" ref="BN42">IF(AND(BN$2&lt;&gt;0,#REF!&gt;=BN$2),1,0)</f>
        <v>#REF!</v>
      </c>
      <c r="BO42" s="270" t="e">
        <f t="array" ref="BO42">IF(AND(BO$2&lt;&gt;0,#REF!&gt;=BO$2),1,0)</f>
        <v>#REF!</v>
      </c>
      <c r="BP42" s="270" t="e">
        <f t="array" ref="BP42">IF(AND(BP$2&lt;&gt;0,#REF!&gt;=BP$2),1,0)</f>
        <v>#REF!</v>
      </c>
      <c r="BQ42" s="270" t="e">
        <f t="array" ref="BQ42">IF(AND(BQ$2&lt;&gt;0,#REF!&gt;=BQ$2),1,0)</f>
        <v>#REF!</v>
      </c>
      <c r="BR42" s="270" t="e">
        <f t="array" ref="BR42">IF(AND(BR$2&lt;&gt;0,#REF!&gt;=BR$2),1,0)</f>
        <v>#REF!</v>
      </c>
      <c r="BS42" s="270" t="e">
        <f t="array" ref="BS42">IF(AND(BS$2&lt;&gt;0,#REF!&gt;=BS$2),1,0)</f>
        <v>#REF!</v>
      </c>
      <c r="BT42" s="270" t="e">
        <f t="array" ref="BT42">IF(AND(BT$2&lt;&gt;0,#REF!&gt;=BT$2),1,0)</f>
        <v>#REF!</v>
      </c>
      <c r="BU42" s="270" t="e">
        <f t="array" ref="BU42">IF(AND(BU$2&lt;&gt;0,#REF!&gt;=BU$2),1,0)</f>
        <v>#REF!</v>
      </c>
      <c r="BV42" s="270" t="e">
        <f t="array" ref="BV42">IF(AND(BV$2&lt;&gt;0,#REF!&gt;=BV$2),1,0)</f>
        <v>#REF!</v>
      </c>
      <c r="BW42" s="270" t="e">
        <f t="array" ref="BW42">IF(AND(BW$2&lt;&gt;0,#REF!&gt;=BW$2),1,0)</f>
        <v>#REF!</v>
      </c>
      <c r="BX42" s="270" t="e">
        <f t="array" ref="BX42">IF(AND(BX$2&lt;&gt;0,#REF!&gt;=BX$2),1,0)</f>
        <v>#REF!</v>
      </c>
      <c r="BY42" s="270" t="e">
        <f t="array" ref="BY42">IF(AND(BY$2&lt;&gt;0,#REF!&gt;=BY$2),1,0)</f>
        <v>#REF!</v>
      </c>
      <c r="BZ42" s="270" t="e">
        <f t="array" ref="BZ42">IF(AND(BZ$2&lt;&gt;0,#REF!&gt;=BZ$2),1,0)</f>
        <v>#REF!</v>
      </c>
      <c r="CA42" s="359">
        <f>IFERROR(INDEX($H$4:$H$79,MATCH(INDEX(#REF!,1,MATCH(#REF!,$M$2:$BZ$2,0)),$G$4:$G$79,0)),)</f>
        <v>0</v>
      </c>
    </row>
    <row r="43" spans="1:79" x14ac:dyDescent="0.25">
      <c r="A43" s="262" t="e">
        <f>#REF!</f>
        <v>#REF!</v>
      </c>
      <c r="B43" s="263" t="e">
        <f>#REF!</f>
        <v>#REF!</v>
      </c>
      <c r="C43" s="264" t="e">
        <f>#REF!</f>
        <v>#REF!</v>
      </c>
      <c r="D43" s="264" t="e">
        <f>#REF!</f>
        <v>#REF!</v>
      </c>
      <c r="E43" s="265"/>
      <c r="F43" s="266"/>
      <c r="G43" s="267" t="s">
        <v>587</v>
      </c>
      <c r="H43" s="268" t="s">
        <v>1064</v>
      </c>
      <c r="I43" s="267" t="s">
        <v>745</v>
      </c>
      <c r="J43" s="263"/>
      <c r="K43" s="89" t="e">
        <f ca="1">IF(#REF!&lt;&gt;OFFSET(#REF!,-1,0),1,0)</f>
        <v>#REF!</v>
      </c>
      <c r="L43" s="269" t="e">
        <f>COUNTIF(#REF!,1)</f>
        <v>#REF!</v>
      </c>
      <c r="M43" s="270" t="e">
        <f t="array" ref="M43">IF(AND(M$2&lt;&gt;0,#REF!&gt;=M$2),1,0)</f>
        <v>#REF!</v>
      </c>
      <c r="N43" s="270" t="e">
        <f t="array" ref="N43">IF(AND(N$2&lt;&gt;0,#REF!&gt;=N$2),1,0)</f>
        <v>#REF!</v>
      </c>
      <c r="O43" s="270" t="e">
        <f t="array" ref="O43">IF(AND(O$2&lt;&gt;0,#REF!&gt;=O$2),1,0)</f>
        <v>#REF!</v>
      </c>
      <c r="P43" s="270" t="e">
        <f t="array" ref="P43">IF(AND(P$2&lt;&gt;0,#REF!&gt;=P$2),1,0)</f>
        <v>#REF!</v>
      </c>
      <c r="Q43" s="270" t="e">
        <f t="array" ref="Q43">IF(AND(Q$2&lt;&gt;0,#REF!&gt;=Q$2),1,0)</f>
        <v>#REF!</v>
      </c>
      <c r="R43" s="270" t="e">
        <f t="array" ref="R43">IF(AND(R$2&lt;&gt;0,#REF!&gt;=R$2),1,0)</f>
        <v>#REF!</v>
      </c>
      <c r="S43" s="270" t="e">
        <f t="array" ref="S43">IF(AND(S$2&lt;&gt;0,#REF!&gt;=S$2),1,0)</f>
        <v>#REF!</v>
      </c>
      <c r="T43" s="270" t="e">
        <f t="array" ref="T43">IF(AND(T$2&lt;&gt;0,#REF!&gt;=T$2),1,0)</f>
        <v>#REF!</v>
      </c>
      <c r="U43" s="270" t="e">
        <f t="array" ref="U43">IF(AND(U$2&lt;&gt;0,#REF!&gt;=U$2),1,0)</f>
        <v>#REF!</v>
      </c>
      <c r="V43" s="270" t="e">
        <f t="array" ref="V43">IF(AND(V$2&lt;&gt;0,#REF!&gt;=V$2),1,0)</f>
        <v>#REF!</v>
      </c>
      <c r="W43" s="270" t="e">
        <f t="array" ref="W43">IF(AND(W$2&lt;&gt;0,#REF!&gt;=W$2),1,0)</f>
        <v>#REF!</v>
      </c>
      <c r="X43" s="270" t="e">
        <f t="array" ref="X43">IF(AND(X$2&lt;&gt;0,#REF!&gt;=X$2),1,0)</f>
        <v>#REF!</v>
      </c>
      <c r="Y43" s="270" t="e">
        <f t="array" ref="Y43">IF(AND(Y$2&lt;&gt;0,#REF!&gt;=Y$2),1,0)</f>
        <v>#REF!</v>
      </c>
      <c r="Z43" s="270" t="e">
        <f t="array" ref="Z43">IF(AND(Z$2&lt;&gt;0,#REF!&gt;=Z$2),1,0)</f>
        <v>#REF!</v>
      </c>
      <c r="AA43" s="270" t="e">
        <f t="array" ref="AA43">IF(AND(AA$2&lt;&gt;0,#REF!&gt;=AA$2),1,0)</f>
        <v>#REF!</v>
      </c>
      <c r="AB43" s="270" t="e">
        <f t="array" ref="AB43">IF(AND(AB$2&lt;&gt;0,#REF!&gt;=AB$2),1,0)</f>
        <v>#REF!</v>
      </c>
      <c r="AC43" s="270" t="e">
        <f t="array" ref="AC43">IF(AND(AC$2&lt;&gt;0,#REF!&gt;=AC$2),1,0)</f>
        <v>#REF!</v>
      </c>
      <c r="AD43" s="270" t="e">
        <f t="array" ref="AD43">IF(AND(AD$2&lt;&gt;0,#REF!&gt;=AD$2),1,0)</f>
        <v>#REF!</v>
      </c>
      <c r="AE43" s="270" t="e">
        <f t="array" ref="AE43">IF(AND(AE$2&lt;&gt;0,#REF!&gt;=AE$2),1,0)</f>
        <v>#REF!</v>
      </c>
      <c r="AF43" s="270" t="e">
        <f t="array" ref="AF43">IF(AND(AF$2&lt;&gt;0,#REF!&gt;=AF$2),1,0)</f>
        <v>#REF!</v>
      </c>
      <c r="AG43" s="270" t="e">
        <f t="array" ref="AG43">IF(AND(AG$2&lt;&gt;0,#REF!&gt;=AG$2),1,0)</f>
        <v>#REF!</v>
      </c>
      <c r="AH43" s="270" t="e">
        <f t="array" ref="AH43">IF(AND(AH$2&lt;&gt;0,#REF!&gt;=AH$2),1,0)</f>
        <v>#REF!</v>
      </c>
      <c r="AI43" s="270" t="e">
        <f t="array" ref="AI43">IF(AND(AI$2&lt;&gt;0,#REF!&gt;=AI$2),1,0)</f>
        <v>#REF!</v>
      </c>
      <c r="AJ43" s="270" t="e">
        <f t="array" ref="AJ43">IF(AND(AJ$2&lt;&gt;0,#REF!&gt;=AJ$2),1,0)</f>
        <v>#REF!</v>
      </c>
      <c r="AK43" s="270" t="e">
        <f t="array" ref="AK43">IF(AND(AK$2&lt;&gt;0,#REF!&gt;=AK$2),1,0)</f>
        <v>#REF!</v>
      </c>
      <c r="AL43" s="270" t="e">
        <f t="array" ref="AL43">IF(AND(AL$2&lt;&gt;0,#REF!&gt;=AL$2),1,0)</f>
        <v>#REF!</v>
      </c>
      <c r="AM43" s="270" t="e">
        <f t="array" ref="AM43">IF(AND(AM$2&lt;&gt;0,#REF!&gt;=AM$2),1,0)</f>
        <v>#REF!</v>
      </c>
      <c r="AN43" s="270" t="e">
        <f t="array" ref="AN43">IF(AND(AN$2&lt;&gt;0,#REF!&gt;=AN$2),1,0)</f>
        <v>#REF!</v>
      </c>
      <c r="AO43" s="270" t="e">
        <f t="array" ref="AO43">IF(AND(AO$2&lt;&gt;0,#REF!&gt;=AO$2),1,0)</f>
        <v>#REF!</v>
      </c>
      <c r="AP43" s="270" t="e">
        <f t="array" ref="AP43">IF(AND(AP$2&lt;&gt;0,#REF!&gt;=AP$2),1,0)</f>
        <v>#REF!</v>
      </c>
      <c r="AQ43" s="270" t="e">
        <f t="array" ref="AQ43">IF(AND(AQ$2&lt;&gt;0,#REF!&gt;=AQ$2),1,0)</f>
        <v>#REF!</v>
      </c>
      <c r="AR43" s="270" t="e">
        <f t="array" ref="AR43">IF(AND(AR$2&lt;&gt;0,#REF!&gt;=AR$2),1,0)</f>
        <v>#REF!</v>
      </c>
      <c r="AS43" s="270" t="e">
        <f t="array" ref="AS43">IF(AND(AS$2&lt;&gt;0,#REF!&gt;=AS$2),1,0)</f>
        <v>#REF!</v>
      </c>
      <c r="AT43" s="270" t="e">
        <f t="array" ref="AT43">IF(AND(AT$2&lt;&gt;0,#REF!&gt;=AT$2),1,0)</f>
        <v>#REF!</v>
      </c>
      <c r="AU43" s="270" t="e">
        <f t="array" ref="AU43">IF(AND(AU$2&lt;&gt;0,#REF!&gt;=AU$2),1,0)</f>
        <v>#REF!</v>
      </c>
      <c r="AV43" s="270" t="e">
        <f t="array" ref="AV43">IF(AND(AV$2&lt;&gt;0,#REF!&gt;=AV$2),1,0)</f>
        <v>#REF!</v>
      </c>
      <c r="AW43" s="270" t="e">
        <f t="array" ref="AW43">IF(AND(AW$2&lt;&gt;0,#REF!&gt;=AW$2),1,0)</f>
        <v>#REF!</v>
      </c>
      <c r="AX43" s="270" t="e">
        <f t="array" ref="AX43">IF(AND(AX$2&lt;&gt;0,#REF!&gt;=AX$2),1,0)</f>
        <v>#REF!</v>
      </c>
      <c r="AY43" s="270" t="e">
        <f t="array" ref="AY43">IF(AND(AY$2&lt;&gt;0,#REF!&gt;=AY$2),1,0)</f>
        <v>#REF!</v>
      </c>
      <c r="AZ43" s="270" t="e">
        <f t="array" ref="AZ43">IF(AND(AZ$2&lt;&gt;0,#REF!&gt;=AZ$2),1,0)</f>
        <v>#REF!</v>
      </c>
      <c r="BA43" s="270" t="e">
        <f t="array" ref="BA43">IF(AND(BA$2&lt;&gt;0,#REF!&gt;=BA$2),1,0)</f>
        <v>#REF!</v>
      </c>
      <c r="BB43" s="270" t="e">
        <f t="array" ref="BB43">IF(AND(BB$2&lt;&gt;0,#REF!&gt;=BB$2),1,0)</f>
        <v>#REF!</v>
      </c>
      <c r="BC43" s="270" t="e">
        <f t="array" ref="BC43">IF(AND(BC$2&lt;&gt;0,#REF!&gt;=BC$2),1,0)</f>
        <v>#REF!</v>
      </c>
      <c r="BD43" s="270" t="e">
        <f t="array" ref="BD43">IF(AND(BD$2&lt;&gt;0,#REF!&gt;=BD$2),1,0)</f>
        <v>#REF!</v>
      </c>
      <c r="BE43" s="270" t="e">
        <f t="array" ref="BE43">IF(AND(BE$2&lt;&gt;0,#REF!&gt;=BE$2),1,0)</f>
        <v>#REF!</v>
      </c>
      <c r="BF43" s="270" t="e">
        <f t="array" ref="BF43">IF(AND(BF$2&lt;&gt;0,#REF!&gt;=BF$2),1,0)</f>
        <v>#REF!</v>
      </c>
      <c r="BG43" s="270" t="e">
        <f t="array" ref="BG43">IF(AND(BG$2&lt;&gt;0,#REF!&gt;=BG$2),1,0)</f>
        <v>#REF!</v>
      </c>
      <c r="BH43" s="270" t="e">
        <f t="array" ref="BH43">IF(AND(BH$2&lt;&gt;0,#REF!&gt;=BH$2),1,0)</f>
        <v>#REF!</v>
      </c>
      <c r="BI43" s="270" t="e">
        <f t="array" ref="BI43">IF(AND(BI$2&lt;&gt;0,#REF!&gt;=BI$2),1,0)</f>
        <v>#REF!</v>
      </c>
      <c r="BJ43" s="270" t="e">
        <f t="array" ref="BJ43">IF(AND(BJ$2&lt;&gt;0,#REF!&gt;=BJ$2),1,0)</f>
        <v>#REF!</v>
      </c>
      <c r="BK43" s="270" t="e">
        <f t="array" ref="BK43">IF(AND(BK$2&lt;&gt;0,#REF!&gt;=BK$2),1,0)</f>
        <v>#REF!</v>
      </c>
      <c r="BL43" s="270" t="e">
        <f t="array" ref="BL43">IF(AND(BL$2&lt;&gt;0,#REF!&gt;=BL$2),1,0)</f>
        <v>#REF!</v>
      </c>
      <c r="BM43" s="270" t="e">
        <f t="array" ref="BM43">IF(AND(BM$2&lt;&gt;0,#REF!&gt;=BM$2),1,0)</f>
        <v>#REF!</v>
      </c>
      <c r="BN43" s="270" t="e">
        <f t="array" ref="BN43">IF(AND(BN$2&lt;&gt;0,#REF!&gt;=BN$2),1,0)</f>
        <v>#REF!</v>
      </c>
      <c r="BO43" s="270" t="e">
        <f t="array" ref="BO43">IF(AND(BO$2&lt;&gt;0,#REF!&gt;=BO$2),1,0)</f>
        <v>#REF!</v>
      </c>
      <c r="BP43" s="270" t="e">
        <f t="array" ref="BP43">IF(AND(BP$2&lt;&gt;0,#REF!&gt;=BP$2),1,0)</f>
        <v>#REF!</v>
      </c>
      <c r="BQ43" s="270" t="e">
        <f t="array" ref="BQ43">IF(AND(BQ$2&lt;&gt;0,#REF!&gt;=BQ$2),1,0)</f>
        <v>#REF!</v>
      </c>
      <c r="BR43" s="270" t="e">
        <f t="array" ref="BR43">IF(AND(BR$2&lt;&gt;0,#REF!&gt;=BR$2),1,0)</f>
        <v>#REF!</v>
      </c>
      <c r="BS43" s="270" t="e">
        <f t="array" ref="BS43">IF(AND(BS$2&lt;&gt;0,#REF!&gt;=BS$2),1,0)</f>
        <v>#REF!</v>
      </c>
      <c r="BT43" s="270" t="e">
        <f t="array" ref="BT43">IF(AND(BT$2&lt;&gt;0,#REF!&gt;=BT$2),1,0)</f>
        <v>#REF!</v>
      </c>
      <c r="BU43" s="270" t="e">
        <f t="array" ref="BU43">IF(AND(BU$2&lt;&gt;0,#REF!&gt;=BU$2),1,0)</f>
        <v>#REF!</v>
      </c>
      <c r="BV43" s="270" t="e">
        <f t="array" ref="BV43">IF(AND(BV$2&lt;&gt;0,#REF!&gt;=BV$2),1,0)</f>
        <v>#REF!</v>
      </c>
      <c r="BW43" s="270" t="e">
        <f t="array" ref="BW43">IF(AND(BW$2&lt;&gt;0,#REF!&gt;=BW$2),1,0)</f>
        <v>#REF!</v>
      </c>
      <c r="BX43" s="270" t="e">
        <f t="array" ref="BX43">IF(AND(BX$2&lt;&gt;0,#REF!&gt;=BX$2),1,0)</f>
        <v>#REF!</v>
      </c>
      <c r="BY43" s="270" t="e">
        <f t="array" ref="BY43">IF(AND(BY$2&lt;&gt;0,#REF!&gt;=BY$2),1,0)</f>
        <v>#REF!</v>
      </c>
      <c r="BZ43" s="270" t="e">
        <f t="array" ref="BZ43">IF(AND(BZ$2&lt;&gt;0,#REF!&gt;=BZ$2),1,0)</f>
        <v>#REF!</v>
      </c>
      <c r="CA43" s="359">
        <f>IFERROR(INDEX($H$4:$H$79,MATCH(INDEX(#REF!,1,MATCH(#REF!,$M$2:$BZ$2,0)),$G$4:$G$79,0)),)</f>
        <v>0</v>
      </c>
    </row>
    <row r="44" spans="1:79" x14ac:dyDescent="0.25">
      <c r="A44" s="262" t="e">
        <f>#REF!</f>
        <v>#REF!</v>
      </c>
      <c r="B44" s="263" t="e">
        <f>#REF!</f>
        <v>#REF!</v>
      </c>
      <c r="C44" s="264" t="e">
        <f>#REF!</f>
        <v>#REF!</v>
      </c>
      <c r="D44" s="264" t="e">
        <f>#REF!</f>
        <v>#REF!</v>
      </c>
      <c r="E44" s="265"/>
      <c r="F44" s="266"/>
      <c r="G44" s="267" t="s">
        <v>588</v>
      </c>
      <c r="H44" s="268" t="s">
        <v>712</v>
      </c>
      <c r="I44" s="267" t="s">
        <v>586</v>
      </c>
      <c r="J44" s="263"/>
      <c r="K44" s="89" t="e">
        <f ca="1">IF(#REF!&lt;&gt;OFFSET(#REF!,-1,0),1,0)</f>
        <v>#REF!</v>
      </c>
      <c r="L44" s="269" t="e">
        <f>COUNTIF(#REF!,1)</f>
        <v>#REF!</v>
      </c>
      <c r="M44" s="270" t="e">
        <f t="array" ref="M44">IF(AND(M$2&lt;&gt;0,#REF!&gt;=M$2),1,0)</f>
        <v>#REF!</v>
      </c>
      <c r="N44" s="270" t="e">
        <f t="array" ref="N44">IF(AND(N$2&lt;&gt;0,#REF!&gt;=N$2),1,0)</f>
        <v>#REF!</v>
      </c>
      <c r="O44" s="270" t="e">
        <f t="array" ref="O44">IF(AND(O$2&lt;&gt;0,#REF!&gt;=O$2),1,0)</f>
        <v>#REF!</v>
      </c>
      <c r="P44" s="270" t="e">
        <f t="array" ref="P44">IF(AND(P$2&lt;&gt;0,#REF!&gt;=P$2),1,0)</f>
        <v>#REF!</v>
      </c>
      <c r="Q44" s="270" t="e">
        <f t="array" ref="Q44">IF(AND(Q$2&lt;&gt;0,#REF!&gt;=Q$2),1,0)</f>
        <v>#REF!</v>
      </c>
      <c r="R44" s="270" t="e">
        <f t="array" ref="R44">IF(AND(R$2&lt;&gt;0,#REF!&gt;=R$2),1,0)</f>
        <v>#REF!</v>
      </c>
      <c r="S44" s="270" t="e">
        <f t="array" ref="S44">IF(AND(S$2&lt;&gt;0,#REF!&gt;=S$2),1,0)</f>
        <v>#REF!</v>
      </c>
      <c r="T44" s="270" t="e">
        <f t="array" ref="T44">IF(AND(T$2&lt;&gt;0,#REF!&gt;=T$2),1,0)</f>
        <v>#REF!</v>
      </c>
      <c r="U44" s="270" t="e">
        <f t="array" ref="U44">IF(AND(U$2&lt;&gt;0,#REF!&gt;=U$2),1,0)</f>
        <v>#REF!</v>
      </c>
      <c r="V44" s="270" t="e">
        <f t="array" ref="V44">IF(AND(V$2&lt;&gt;0,#REF!&gt;=V$2),1,0)</f>
        <v>#REF!</v>
      </c>
      <c r="W44" s="270" t="e">
        <f t="array" ref="W44">IF(AND(W$2&lt;&gt;0,#REF!&gt;=W$2),1,0)</f>
        <v>#REF!</v>
      </c>
      <c r="X44" s="270" t="e">
        <f t="array" ref="X44">IF(AND(X$2&lt;&gt;0,#REF!&gt;=X$2),1,0)</f>
        <v>#REF!</v>
      </c>
      <c r="Y44" s="270" t="e">
        <f t="array" ref="Y44">IF(AND(Y$2&lt;&gt;0,#REF!&gt;=Y$2),1,0)</f>
        <v>#REF!</v>
      </c>
      <c r="Z44" s="270" t="e">
        <f t="array" ref="Z44">IF(AND(Z$2&lt;&gt;0,#REF!&gt;=Z$2),1,0)</f>
        <v>#REF!</v>
      </c>
      <c r="AA44" s="270" t="e">
        <f t="array" ref="AA44">IF(AND(AA$2&lt;&gt;0,#REF!&gt;=AA$2),1,0)</f>
        <v>#REF!</v>
      </c>
      <c r="AB44" s="270" t="e">
        <f t="array" ref="AB44">IF(AND(AB$2&lt;&gt;0,#REF!&gt;=AB$2),1,0)</f>
        <v>#REF!</v>
      </c>
      <c r="AC44" s="270" t="e">
        <f t="array" ref="AC44">IF(AND(AC$2&lt;&gt;0,#REF!&gt;=AC$2),1,0)</f>
        <v>#REF!</v>
      </c>
      <c r="AD44" s="270" t="e">
        <f t="array" ref="AD44">IF(AND(AD$2&lt;&gt;0,#REF!&gt;=AD$2),1,0)</f>
        <v>#REF!</v>
      </c>
      <c r="AE44" s="270" t="e">
        <f t="array" ref="AE44">IF(AND(AE$2&lt;&gt;0,#REF!&gt;=AE$2),1,0)</f>
        <v>#REF!</v>
      </c>
      <c r="AF44" s="270" t="e">
        <f t="array" ref="AF44">IF(AND(AF$2&lt;&gt;0,#REF!&gt;=AF$2),1,0)</f>
        <v>#REF!</v>
      </c>
      <c r="AG44" s="270" t="e">
        <f t="array" ref="AG44">IF(AND(AG$2&lt;&gt;0,#REF!&gt;=AG$2),1,0)</f>
        <v>#REF!</v>
      </c>
      <c r="AH44" s="270" t="e">
        <f t="array" ref="AH44">IF(AND(AH$2&lt;&gt;0,#REF!&gt;=AH$2),1,0)</f>
        <v>#REF!</v>
      </c>
      <c r="AI44" s="270" t="e">
        <f t="array" ref="AI44">IF(AND(AI$2&lt;&gt;0,#REF!&gt;=AI$2),1,0)</f>
        <v>#REF!</v>
      </c>
      <c r="AJ44" s="270" t="e">
        <f t="array" ref="AJ44">IF(AND(AJ$2&lt;&gt;0,#REF!&gt;=AJ$2),1,0)</f>
        <v>#REF!</v>
      </c>
      <c r="AK44" s="270" t="e">
        <f t="array" ref="AK44">IF(AND(AK$2&lt;&gt;0,#REF!&gt;=AK$2),1,0)</f>
        <v>#REF!</v>
      </c>
      <c r="AL44" s="270" t="e">
        <f t="array" ref="AL44">IF(AND(AL$2&lt;&gt;0,#REF!&gt;=AL$2),1,0)</f>
        <v>#REF!</v>
      </c>
      <c r="AM44" s="270" t="e">
        <f t="array" ref="AM44">IF(AND(AM$2&lt;&gt;0,#REF!&gt;=AM$2),1,0)</f>
        <v>#REF!</v>
      </c>
      <c r="AN44" s="270" t="e">
        <f t="array" ref="AN44">IF(AND(AN$2&lt;&gt;0,#REF!&gt;=AN$2),1,0)</f>
        <v>#REF!</v>
      </c>
      <c r="AO44" s="270" t="e">
        <f t="array" ref="AO44">IF(AND(AO$2&lt;&gt;0,#REF!&gt;=AO$2),1,0)</f>
        <v>#REF!</v>
      </c>
      <c r="AP44" s="270" t="e">
        <f t="array" ref="AP44">IF(AND(AP$2&lt;&gt;0,#REF!&gt;=AP$2),1,0)</f>
        <v>#REF!</v>
      </c>
      <c r="AQ44" s="270" t="e">
        <f t="array" ref="AQ44">IF(AND(AQ$2&lt;&gt;0,#REF!&gt;=AQ$2),1,0)</f>
        <v>#REF!</v>
      </c>
      <c r="AR44" s="270" t="e">
        <f t="array" ref="AR44">IF(AND(AR$2&lt;&gt;0,#REF!&gt;=AR$2),1,0)</f>
        <v>#REF!</v>
      </c>
      <c r="AS44" s="270" t="e">
        <f t="array" ref="AS44">IF(AND(AS$2&lt;&gt;0,#REF!&gt;=AS$2),1,0)</f>
        <v>#REF!</v>
      </c>
      <c r="AT44" s="270" t="e">
        <f t="array" ref="AT44">IF(AND(AT$2&lt;&gt;0,#REF!&gt;=AT$2),1,0)</f>
        <v>#REF!</v>
      </c>
      <c r="AU44" s="270" t="e">
        <f t="array" ref="AU44">IF(AND(AU$2&lt;&gt;0,#REF!&gt;=AU$2),1,0)</f>
        <v>#REF!</v>
      </c>
      <c r="AV44" s="270" t="e">
        <f t="array" ref="AV44">IF(AND(AV$2&lt;&gt;0,#REF!&gt;=AV$2),1,0)</f>
        <v>#REF!</v>
      </c>
      <c r="AW44" s="270" t="e">
        <f t="array" ref="AW44">IF(AND(AW$2&lt;&gt;0,#REF!&gt;=AW$2),1,0)</f>
        <v>#REF!</v>
      </c>
      <c r="AX44" s="270" t="e">
        <f t="array" ref="AX44">IF(AND(AX$2&lt;&gt;0,#REF!&gt;=AX$2),1,0)</f>
        <v>#REF!</v>
      </c>
      <c r="AY44" s="270" t="e">
        <f t="array" ref="AY44">IF(AND(AY$2&lt;&gt;0,#REF!&gt;=AY$2),1,0)</f>
        <v>#REF!</v>
      </c>
      <c r="AZ44" s="270" t="e">
        <f t="array" ref="AZ44">IF(AND(AZ$2&lt;&gt;0,#REF!&gt;=AZ$2),1,0)</f>
        <v>#REF!</v>
      </c>
      <c r="BA44" s="270" t="e">
        <f t="array" ref="BA44">IF(AND(BA$2&lt;&gt;0,#REF!&gt;=BA$2),1,0)</f>
        <v>#REF!</v>
      </c>
      <c r="BB44" s="270" t="e">
        <f t="array" ref="BB44">IF(AND(BB$2&lt;&gt;0,#REF!&gt;=BB$2),1,0)</f>
        <v>#REF!</v>
      </c>
      <c r="BC44" s="270" t="e">
        <f t="array" ref="BC44">IF(AND(BC$2&lt;&gt;0,#REF!&gt;=BC$2),1,0)</f>
        <v>#REF!</v>
      </c>
      <c r="BD44" s="270" t="e">
        <f t="array" ref="BD44">IF(AND(BD$2&lt;&gt;0,#REF!&gt;=BD$2),1,0)</f>
        <v>#REF!</v>
      </c>
      <c r="BE44" s="270" t="e">
        <f t="array" ref="BE44">IF(AND(BE$2&lt;&gt;0,#REF!&gt;=BE$2),1,0)</f>
        <v>#REF!</v>
      </c>
      <c r="BF44" s="270" t="e">
        <f t="array" ref="BF44">IF(AND(BF$2&lt;&gt;0,#REF!&gt;=BF$2),1,0)</f>
        <v>#REF!</v>
      </c>
      <c r="BG44" s="270" t="e">
        <f t="array" ref="BG44">IF(AND(BG$2&lt;&gt;0,#REF!&gt;=BG$2),1,0)</f>
        <v>#REF!</v>
      </c>
      <c r="BH44" s="270" t="e">
        <f t="array" ref="BH44">IF(AND(BH$2&lt;&gt;0,#REF!&gt;=BH$2),1,0)</f>
        <v>#REF!</v>
      </c>
      <c r="BI44" s="270" t="e">
        <f t="array" ref="BI44">IF(AND(BI$2&lt;&gt;0,#REF!&gt;=BI$2),1,0)</f>
        <v>#REF!</v>
      </c>
      <c r="BJ44" s="270" t="e">
        <f t="array" ref="BJ44">IF(AND(BJ$2&lt;&gt;0,#REF!&gt;=BJ$2),1,0)</f>
        <v>#REF!</v>
      </c>
      <c r="BK44" s="270" t="e">
        <f t="array" ref="BK44">IF(AND(BK$2&lt;&gt;0,#REF!&gt;=BK$2),1,0)</f>
        <v>#REF!</v>
      </c>
      <c r="BL44" s="270" t="e">
        <f t="array" ref="BL44">IF(AND(BL$2&lt;&gt;0,#REF!&gt;=BL$2),1,0)</f>
        <v>#REF!</v>
      </c>
      <c r="BM44" s="270" t="e">
        <f t="array" ref="BM44">IF(AND(BM$2&lt;&gt;0,#REF!&gt;=BM$2),1,0)</f>
        <v>#REF!</v>
      </c>
      <c r="BN44" s="270" t="e">
        <f t="array" ref="BN44">IF(AND(BN$2&lt;&gt;0,#REF!&gt;=BN$2),1,0)</f>
        <v>#REF!</v>
      </c>
      <c r="BO44" s="270" t="e">
        <f t="array" ref="BO44">IF(AND(BO$2&lt;&gt;0,#REF!&gt;=BO$2),1,0)</f>
        <v>#REF!</v>
      </c>
      <c r="BP44" s="270" t="e">
        <f t="array" ref="BP44">IF(AND(BP$2&lt;&gt;0,#REF!&gt;=BP$2),1,0)</f>
        <v>#REF!</v>
      </c>
      <c r="BQ44" s="270" t="e">
        <f t="array" ref="BQ44">IF(AND(BQ$2&lt;&gt;0,#REF!&gt;=BQ$2),1,0)</f>
        <v>#REF!</v>
      </c>
      <c r="BR44" s="270" t="e">
        <f t="array" ref="BR44">IF(AND(BR$2&lt;&gt;0,#REF!&gt;=BR$2),1,0)</f>
        <v>#REF!</v>
      </c>
      <c r="BS44" s="270" t="e">
        <f t="array" ref="BS44">IF(AND(BS$2&lt;&gt;0,#REF!&gt;=BS$2),1,0)</f>
        <v>#REF!</v>
      </c>
      <c r="BT44" s="270" t="e">
        <f t="array" ref="BT44">IF(AND(BT$2&lt;&gt;0,#REF!&gt;=BT$2),1,0)</f>
        <v>#REF!</v>
      </c>
      <c r="BU44" s="270" t="e">
        <f t="array" ref="BU44">IF(AND(BU$2&lt;&gt;0,#REF!&gt;=BU$2),1,0)</f>
        <v>#REF!</v>
      </c>
      <c r="BV44" s="270" t="e">
        <f t="array" ref="BV44">IF(AND(BV$2&lt;&gt;0,#REF!&gt;=BV$2),1,0)</f>
        <v>#REF!</v>
      </c>
      <c r="BW44" s="270" t="e">
        <f t="array" ref="BW44">IF(AND(BW$2&lt;&gt;0,#REF!&gt;=BW$2),1,0)</f>
        <v>#REF!</v>
      </c>
      <c r="BX44" s="270" t="e">
        <f t="array" ref="BX44">IF(AND(BX$2&lt;&gt;0,#REF!&gt;=BX$2),1,0)</f>
        <v>#REF!</v>
      </c>
      <c r="BY44" s="270" t="e">
        <f t="array" ref="BY44">IF(AND(BY$2&lt;&gt;0,#REF!&gt;=BY$2),1,0)</f>
        <v>#REF!</v>
      </c>
      <c r="BZ44" s="270" t="e">
        <f t="array" ref="BZ44">IF(AND(BZ$2&lt;&gt;0,#REF!&gt;=BZ$2),1,0)</f>
        <v>#REF!</v>
      </c>
      <c r="CA44" s="359">
        <f>IFERROR(INDEX($H$4:$H$79,MATCH(INDEX(#REF!,1,MATCH(#REF!,$M$2:$BZ$2,0)),$G$4:$G$79,0)),)</f>
        <v>0</v>
      </c>
    </row>
    <row r="45" spans="1:79" x14ac:dyDescent="0.25">
      <c r="A45" s="262" t="e">
        <f>#REF!</f>
        <v>#REF!</v>
      </c>
      <c r="B45" s="263" t="e">
        <f>#REF!</f>
        <v>#REF!</v>
      </c>
      <c r="C45" s="264" t="e">
        <f>#REF!</f>
        <v>#REF!</v>
      </c>
      <c r="D45" s="264" t="e">
        <f>#REF!</f>
        <v>#REF!</v>
      </c>
      <c r="E45" s="265"/>
      <c r="F45" s="266"/>
      <c r="G45" s="267"/>
      <c r="H45" s="268"/>
      <c r="I45" s="267"/>
      <c r="J45" s="263"/>
      <c r="K45" s="89" t="e">
        <f ca="1">IF(#REF!&lt;&gt;OFFSET(#REF!,-1,0),1,0)</f>
        <v>#REF!</v>
      </c>
      <c r="L45" s="269" t="e">
        <f>COUNTIF(#REF!,1)</f>
        <v>#REF!</v>
      </c>
      <c r="M45" s="270" t="e">
        <f t="array" ref="M45">IF(AND(M$2&lt;&gt;0,#REF!&gt;=M$2),1,0)</f>
        <v>#REF!</v>
      </c>
      <c r="N45" s="270" t="e">
        <f t="array" ref="N45">IF(AND(N$2&lt;&gt;0,#REF!&gt;=N$2),1,0)</f>
        <v>#REF!</v>
      </c>
      <c r="O45" s="270" t="e">
        <f t="array" ref="O45">IF(AND(O$2&lt;&gt;0,#REF!&gt;=O$2),1,0)</f>
        <v>#REF!</v>
      </c>
      <c r="P45" s="270" t="e">
        <f t="array" ref="P45">IF(AND(P$2&lt;&gt;0,#REF!&gt;=P$2),1,0)</f>
        <v>#REF!</v>
      </c>
      <c r="Q45" s="270" t="e">
        <f t="array" ref="Q45">IF(AND(Q$2&lt;&gt;0,#REF!&gt;=Q$2),1,0)</f>
        <v>#REF!</v>
      </c>
      <c r="R45" s="270" t="e">
        <f t="array" ref="R45">IF(AND(R$2&lt;&gt;0,#REF!&gt;=R$2),1,0)</f>
        <v>#REF!</v>
      </c>
      <c r="S45" s="270" t="e">
        <f t="array" ref="S45">IF(AND(S$2&lt;&gt;0,#REF!&gt;=S$2),1,0)</f>
        <v>#REF!</v>
      </c>
      <c r="T45" s="270" t="e">
        <f t="array" ref="T45">IF(AND(T$2&lt;&gt;0,#REF!&gt;=T$2),1,0)</f>
        <v>#REF!</v>
      </c>
      <c r="U45" s="270" t="e">
        <f t="array" ref="U45">IF(AND(U$2&lt;&gt;0,#REF!&gt;=U$2),1,0)</f>
        <v>#REF!</v>
      </c>
      <c r="V45" s="270" t="e">
        <f t="array" ref="V45">IF(AND(V$2&lt;&gt;0,#REF!&gt;=V$2),1,0)</f>
        <v>#REF!</v>
      </c>
      <c r="W45" s="270" t="e">
        <f t="array" ref="W45">IF(AND(W$2&lt;&gt;0,#REF!&gt;=W$2),1,0)</f>
        <v>#REF!</v>
      </c>
      <c r="X45" s="270" t="e">
        <f t="array" ref="X45">IF(AND(X$2&lt;&gt;0,#REF!&gt;=X$2),1,0)</f>
        <v>#REF!</v>
      </c>
      <c r="Y45" s="270" t="e">
        <f t="array" ref="Y45">IF(AND(Y$2&lt;&gt;0,#REF!&gt;=Y$2),1,0)</f>
        <v>#REF!</v>
      </c>
      <c r="Z45" s="270" t="e">
        <f t="array" ref="Z45">IF(AND(Z$2&lt;&gt;0,#REF!&gt;=Z$2),1,0)</f>
        <v>#REF!</v>
      </c>
      <c r="AA45" s="270" t="e">
        <f t="array" ref="AA45">IF(AND(AA$2&lt;&gt;0,#REF!&gt;=AA$2),1,0)</f>
        <v>#REF!</v>
      </c>
      <c r="AB45" s="270" t="e">
        <f t="array" ref="AB45">IF(AND(AB$2&lt;&gt;0,#REF!&gt;=AB$2),1,0)</f>
        <v>#REF!</v>
      </c>
      <c r="AC45" s="270" t="e">
        <f t="array" ref="AC45">IF(AND(AC$2&lt;&gt;0,#REF!&gt;=AC$2),1,0)</f>
        <v>#REF!</v>
      </c>
      <c r="AD45" s="270" t="e">
        <f t="array" ref="AD45">IF(AND(AD$2&lt;&gt;0,#REF!&gt;=AD$2),1,0)</f>
        <v>#REF!</v>
      </c>
      <c r="AE45" s="270" t="e">
        <f t="array" ref="AE45">IF(AND(AE$2&lt;&gt;0,#REF!&gt;=AE$2),1,0)</f>
        <v>#REF!</v>
      </c>
      <c r="AF45" s="270" t="e">
        <f t="array" ref="AF45">IF(AND(AF$2&lt;&gt;0,#REF!&gt;=AF$2),1,0)</f>
        <v>#REF!</v>
      </c>
      <c r="AG45" s="270" t="e">
        <f t="array" ref="AG45">IF(AND(AG$2&lt;&gt;0,#REF!&gt;=AG$2),1,0)</f>
        <v>#REF!</v>
      </c>
      <c r="AH45" s="270" t="e">
        <f t="array" ref="AH45">IF(AND(AH$2&lt;&gt;0,#REF!&gt;=AH$2),1,0)</f>
        <v>#REF!</v>
      </c>
      <c r="AI45" s="270" t="e">
        <f t="array" ref="AI45">IF(AND(AI$2&lt;&gt;0,#REF!&gt;=AI$2),1,0)</f>
        <v>#REF!</v>
      </c>
      <c r="AJ45" s="270" t="e">
        <f t="array" ref="AJ45">IF(AND(AJ$2&lt;&gt;0,#REF!&gt;=AJ$2),1,0)</f>
        <v>#REF!</v>
      </c>
      <c r="AK45" s="270" t="e">
        <f t="array" ref="AK45">IF(AND(AK$2&lt;&gt;0,#REF!&gt;=AK$2),1,0)</f>
        <v>#REF!</v>
      </c>
      <c r="AL45" s="270" t="e">
        <f t="array" ref="AL45">IF(AND(AL$2&lt;&gt;0,#REF!&gt;=AL$2),1,0)</f>
        <v>#REF!</v>
      </c>
      <c r="AM45" s="270" t="e">
        <f t="array" ref="AM45">IF(AND(AM$2&lt;&gt;0,#REF!&gt;=AM$2),1,0)</f>
        <v>#REF!</v>
      </c>
      <c r="AN45" s="270" t="e">
        <f t="array" ref="AN45">IF(AND(AN$2&lt;&gt;0,#REF!&gt;=AN$2),1,0)</f>
        <v>#REF!</v>
      </c>
      <c r="AO45" s="270" t="e">
        <f t="array" ref="AO45">IF(AND(AO$2&lt;&gt;0,#REF!&gt;=AO$2),1,0)</f>
        <v>#REF!</v>
      </c>
      <c r="AP45" s="270" t="e">
        <f t="array" ref="AP45">IF(AND(AP$2&lt;&gt;0,#REF!&gt;=AP$2),1,0)</f>
        <v>#REF!</v>
      </c>
      <c r="AQ45" s="270" t="e">
        <f t="array" ref="AQ45">IF(AND(AQ$2&lt;&gt;0,#REF!&gt;=AQ$2),1,0)</f>
        <v>#REF!</v>
      </c>
      <c r="AR45" s="270" t="e">
        <f t="array" ref="AR45">IF(AND(AR$2&lt;&gt;0,#REF!&gt;=AR$2),1,0)</f>
        <v>#REF!</v>
      </c>
      <c r="AS45" s="270" t="e">
        <f t="array" ref="AS45">IF(AND(AS$2&lt;&gt;0,#REF!&gt;=AS$2),1,0)</f>
        <v>#REF!</v>
      </c>
      <c r="AT45" s="270" t="e">
        <f t="array" ref="AT45">IF(AND(AT$2&lt;&gt;0,#REF!&gt;=AT$2),1,0)</f>
        <v>#REF!</v>
      </c>
      <c r="AU45" s="270" t="e">
        <f t="array" ref="AU45">IF(AND(AU$2&lt;&gt;0,#REF!&gt;=AU$2),1,0)</f>
        <v>#REF!</v>
      </c>
      <c r="AV45" s="270" t="e">
        <f t="array" ref="AV45">IF(AND(AV$2&lt;&gt;0,#REF!&gt;=AV$2),1,0)</f>
        <v>#REF!</v>
      </c>
      <c r="AW45" s="270" t="e">
        <f t="array" ref="AW45">IF(AND(AW$2&lt;&gt;0,#REF!&gt;=AW$2),1,0)</f>
        <v>#REF!</v>
      </c>
      <c r="AX45" s="270" t="e">
        <f t="array" ref="AX45">IF(AND(AX$2&lt;&gt;0,#REF!&gt;=AX$2),1,0)</f>
        <v>#REF!</v>
      </c>
      <c r="AY45" s="270" t="e">
        <f t="array" ref="AY45">IF(AND(AY$2&lt;&gt;0,#REF!&gt;=AY$2),1,0)</f>
        <v>#REF!</v>
      </c>
      <c r="AZ45" s="270" t="e">
        <f t="array" ref="AZ45">IF(AND(AZ$2&lt;&gt;0,#REF!&gt;=AZ$2),1,0)</f>
        <v>#REF!</v>
      </c>
      <c r="BA45" s="270" t="e">
        <f t="array" ref="BA45">IF(AND(BA$2&lt;&gt;0,#REF!&gt;=BA$2),1,0)</f>
        <v>#REF!</v>
      </c>
      <c r="BB45" s="270" t="e">
        <f t="array" ref="BB45">IF(AND(BB$2&lt;&gt;0,#REF!&gt;=BB$2),1,0)</f>
        <v>#REF!</v>
      </c>
      <c r="BC45" s="270" t="e">
        <f t="array" ref="BC45">IF(AND(BC$2&lt;&gt;0,#REF!&gt;=BC$2),1,0)</f>
        <v>#REF!</v>
      </c>
      <c r="BD45" s="270" t="e">
        <f t="array" ref="BD45">IF(AND(BD$2&lt;&gt;0,#REF!&gt;=BD$2),1,0)</f>
        <v>#REF!</v>
      </c>
      <c r="BE45" s="270" t="e">
        <f t="array" ref="BE45">IF(AND(BE$2&lt;&gt;0,#REF!&gt;=BE$2),1,0)</f>
        <v>#REF!</v>
      </c>
      <c r="BF45" s="270" t="e">
        <f t="array" ref="BF45">IF(AND(BF$2&lt;&gt;0,#REF!&gt;=BF$2),1,0)</f>
        <v>#REF!</v>
      </c>
      <c r="BG45" s="270" t="e">
        <f t="array" ref="BG45">IF(AND(BG$2&lt;&gt;0,#REF!&gt;=BG$2),1,0)</f>
        <v>#REF!</v>
      </c>
      <c r="BH45" s="270" t="e">
        <f t="array" ref="BH45">IF(AND(BH$2&lt;&gt;0,#REF!&gt;=BH$2),1,0)</f>
        <v>#REF!</v>
      </c>
      <c r="BI45" s="270" t="e">
        <f t="array" ref="BI45">IF(AND(BI$2&lt;&gt;0,#REF!&gt;=BI$2),1,0)</f>
        <v>#REF!</v>
      </c>
      <c r="BJ45" s="270" t="e">
        <f t="array" ref="BJ45">IF(AND(BJ$2&lt;&gt;0,#REF!&gt;=BJ$2),1,0)</f>
        <v>#REF!</v>
      </c>
      <c r="BK45" s="270" t="e">
        <f t="array" ref="BK45">IF(AND(BK$2&lt;&gt;0,#REF!&gt;=BK$2),1,0)</f>
        <v>#REF!</v>
      </c>
      <c r="BL45" s="270" t="e">
        <f t="array" ref="BL45">IF(AND(BL$2&lt;&gt;0,#REF!&gt;=BL$2),1,0)</f>
        <v>#REF!</v>
      </c>
      <c r="BM45" s="270" t="e">
        <f t="array" ref="BM45">IF(AND(BM$2&lt;&gt;0,#REF!&gt;=BM$2),1,0)</f>
        <v>#REF!</v>
      </c>
      <c r="BN45" s="270" t="e">
        <f t="array" ref="BN45">IF(AND(BN$2&lt;&gt;0,#REF!&gt;=BN$2),1,0)</f>
        <v>#REF!</v>
      </c>
      <c r="BO45" s="270" t="e">
        <f t="array" ref="BO45">IF(AND(BO$2&lt;&gt;0,#REF!&gt;=BO$2),1,0)</f>
        <v>#REF!</v>
      </c>
      <c r="BP45" s="270" t="e">
        <f t="array" ref="BP45">IF(AND(BP$2&lt;&gt;0,#REF!&gt;=BP$2),1,0)</f>
        <v>#REF!</v>
      </c>
      <c r="BQ45" s="270" t="e">
        <f t="array" ref="BQ45">IF(AND(BQ$2&lt;&gt;0,#REF!&gt;=BQ$2),1,0)</f>
        <v>#REF!</v>
      </c>
      <c r="BR45" s="270" t="e">
        <f t="array" ref="BR45">IF(AND(BR$2&lt;&gt;0,#REF!&gt;=BR$2),1,0)</f>
        <v>#REF!</v>
      </c>
      <c r="BS45" s="270" t="e">
        <f t="array" ref="BS45">IF(AND(BS$2&lt;&gt;0,#REF!&gt;=BS$2),1,0)</f>
        <v>#REF!</v>
      </c>
      <c r="BT45" s="270" t="e">
        <f t="array" ref="BT45">IF(AND(BT$2&lt;&gt;0,#REF!&gt;=BT$2),1,0)</f>
        <v>#REF!</v>
      </c>
      <c r="BU45" s="270" t="e">
        <f t="array" ref="BU45">IF(AND(BU$2&lt;&gt;0,#REF!&gt;=BU$2),1,0)</f>
        <v>#REF!</v>
      </c>
      <c r="BV45" s="270" t="e">
        <f t="array" ref="BV45">IF(AND(BV$2&lt;&gt;0,#REF!&gt;=BV$2),1,0)</f>
        <v>#REF!</v>
      </c>
      <c r="BW45" s="270" t="e">
        <f t="array" ref="BW45">IF(AND(BW$2&lt;&gt;0,#REF!&gt;=BW$2),1,0)</f>
        <v>#REF!</v>
      </c>
      <c r="BX45" s="270" t="e">
        <f t="array" ref="BX45">IF(AND(BX$2&lt;&gt;0,#REF!&gt;=BX$2),1,0)</f>
        <v>#REF!</v>
      </c>
      <c r="BY45" s="270" t="e">
        <f t="array" ref="BY45">IF(AND(BY$2&lt;&gt;0,#REF!&gt;=BY$2),1,0)</f>
        <v>#REF!</v>
      </c>
      <c r="BZ45" s="270" t="e">
        <f t="array" ref="BZ45">IF(AND(BZ$2&lt;&gt;0,#REF!&gt;=BZ$2),1,0)</f>
        <v>#REF!</v>
      </c>
      <c r="CA45" s="359">
        <f>IFERROR(INDEX($H$4:$H$79,MATCH(INDEX(#REF!,1,MATCH(#REF!,$M$2:$BZ$2,0)),$G$4:$G$79,0)),)</f>
        <v>0</v>
      </c>
    </row>
    <row r="46" spans="1:79" x14ac:dyDescent="0.25">
      <c r="A46" s="262" t="e">
        <f>#REF!</f>
        <v>#REF!</v>
      </c>
      <c r="B46" s="263" t="e">
        <f>#REF!</f>
        <v>#REF!</v>
      </c>
      <c r="C46" s="264" t="e">
        <f>#REF!</f>
        <v>#REF!</v>
      </c>
      <c r="D46" s="264" t="e">
        <f>#REF!</f>
        <v>#REF!</v>
      </c>
      <c r="E46" s="265"/>
      <c r="F46" s="266"/>
      <c r="G46" s="267" t="s">
        <v>589</v>
      </c>
      <c r="H46" s="268" t="s">
        <v>716</v>
      </c>
      <c r="I46" s="267" t="s">
        <v>1059</v>
      </c>
      <c r="J46" s="263"/>
      <c r="K46" s="89" t="e">
        <f ca="1">IF(#REF!&lt;&gt;OFFSET(#REF!,-1,0),1,0)</f>
        <v>#REF!</v>
      </c>
      <c r="L46" s="269" t="e">
        <f>COUNTIF(#REF!,1)</f>
        <v>#REF!</v>
      </c>
      <c r="M46" s="270" t="e">
        <f t="array" ref="M46">IF(AND(M$2&lt;&gt;0,#REF!&gt;=M$2),1,0)</f>
        <v>#REF!</v>
      </c>
      <c r="N46" s="270" t="e">
        <f t="array" ref="N46">IF(AND(N$2&lt;&gt;0,#REF!&gt;=N$2),1,0)</f>
        <v>#REF!</v>
      </c>
      <c r="O46" s="270" t="e">
        <f t="array" ref="O46">IF(AND(O$2&lt;&gt;0,#REF!&gt;=O$2),1,0)</f>
        <v>#REF!</v>
      </c>
      <c r="P46" s="270" t="e">
        <f t="array" ref="P46">IF(AND(P$2&lt;&gt;0,#REF!&gt;=P$2),1,0)</f>
        <v>#REF!</v>
      </c>
      <c r="Q46" s="270" t="e">
        <f t="array" ref="Q46">IF(AND(Q$2&lt;&gt;0,#REF!&gt;=Q$2),1,0)</f>
        <v>#REF!</v>
      </c>
      <c r="R46" s="270" t="e">
        <f t="array" ref="R46">IF(AND(R$2&lt;&gt;0,#REF!&gt;=R$2),1,0)</f>
        <v>#REF!</v>
      </c>
      <c r="S46" s="270" t="e">
        <f t="array" ref="S46">IF(AND(S$2&lt;&gt;0,#REF!&gt;=S$2),1,0)</f>
        <v>#REF!</v>
      </c>
      <c r="T46" s="270" t="e">
        <f t="array" ref="T46">IF(AND(T$2&lt;&gt;0,#REF!&gt;=T$2),1,0)</f>
        <v>#REF!</v>
      </c>
      <c r="U46" s="270" t="e">
        <f t="array" ref="U46">IF(AND(U$2&lt;&gt;0,#REF!&gt;=U$2),1,0)</f>
        <v>#REF!</v>
      </c>
      <c r="V46" s="270" t="e">
        <f t="array" ref="V46">IF(AND(V$2&lt;&gt;0,#REF!&gt;=V$2),1,0)</f>
        <v>#REF!</v>
      </c>
      <c r="W46" s="270" t="e">
        <f t="array" ref="W46">IF(AND(W$2&lt;&gt;0,#REF!&gt;=W$2),1,0)</f>
        <v>#REF!</v>
      </c>
      <c r="X46" s="270" t="e">
        <f t="array" ref="X46">IF(AND(X$2&lt;&gt;0,#REF!&gt;=X$2),1,0)</f>
        <v>#REF!</v>
      </c>
      <c r="Y46" s="270" t="e">
        <f t="array" ref="Y46">IF(AND(Y$2&lt;&gt;0,#REF!&gt;=Y$2),1,0)</f>
        <v>#REF!</v>
      </c>
      <c r="Z46" s="270" t="e">
        <f t="array" ref="Z46">IF(AND(Z$2&lt;&gt;0,#REF!&gt;=Z$2),1,0)</f>
        <v>#REF!</v>
      </c>
      <c r="AA46" s="270" t="e">
        <f t="array" ref="AA46">IF(AND(AA$2&lt;&gt;0,#REF!&gt;=AA$2),1,0)</f>
        <v>#REF!</v>
      </c>
      <c r="AB46" s="270" t="e">
        <f t="array" ref="AB46">IF(AND(AB$2&lt;&gt;0,#REF!&gt;=AB$2),1,0)</f>
        <v>#REF!</v>
      </c>
      <c r="AC46" s="270" t="e">
        <f t="array" ref="AC46">IF(AND(AC$2&lt;&gt;0,#REF!&gt;=AC$2),1,0)</f>
        <v>#REF!</v>
      </c>
      <c r="AD46" s="270" t="e">
        <f t="array" ref="AD46">IF(AND(AD$2&lt;&gt;0,#REF!&gt;=AD$2),1,0)</f>
        <v>#REF!</v>
      </c>
      <c r="AE46" s="270" t="e">
        <f t="array" ref="AE46">IF(AND(AE$2&lt;&gt;0,#REF!&gt;=AE$2),1,0)</f>
        <v>#REF!</v>
      </c>
      <c r="AF46" s="270" t="e">
        <f t="array" ref="AF46">IF(AND(AF$2&lt;&gt;0,#REF!&gt;=AF$2),1,0)</f>
        <v>#REF!</v>
      </c>
      <c r="AG46" s="270" t="e">
        <f t="array" ref="AG46">IF(AND(AG$2&lt;&gt;0,#REF!&gt;=AG$2),1,0)</f>
        <v>#REF!</v>
      </c>
      <c r="AH46" s="270" t="e">
        <f t="array" ref="AH46">IF(AND(AH$2&lt;&gt;0,#REF!&gt;=AH$2),1,0)</f>
        <v>#REF!</v>
      </c>
      <c r="AI46" s="270" t="e">
        <f t="array" ref="AI46">IF(AND(AI$2&lt;&gt;0,#REF!&gt;=AI$2),1,0)</f>
        <v>#REF!</v>
      </c>
      <c r="AJ46" s="270" t="e">
        <f t="array" ref="AJ46">IF(AND(AJ$2&lt;&gt;0,#REF!&gt;=AJ$2),1,0)</f>
        <v>#REF!</v>
      </c>
      <c r="AK46" s="270" t="e">
        <f t="array" ref="AK46">IF(AND(AK$2&lt;&gt;0,#REF!&gt;=AK$2),1,0)</f>
        <v>#REF!</v>
      </c>
      <c r="AL46" s="270" t="e">
        <f t="array" ref="AL46">IF(AND(AL$2&lt;&gt;0,#REF!&gt;=AL$2),1,0)</f>
        <v>#REF!</v>
      </c>
      <c r="AM46" s="270" t="e">
        <f t="array" ref="AM46">IF(AND(AM$2&lt;&gt;0,#REF!&gt;=AM$2),1,0)</f>
        <v>#REF!</v>
      </c>
      <c r="AN46" s="270" t="e">
        <f t="array" ref="AN46">IF(AND(AN$2&lt;&gt;0,#REF!&gt;=AN$2),1,0)</f>
        <v>#REF!</v>
      </c>
      <c r="AO46" s="270" t="e">
        <f t="array" ref="AO46">IF(AND(AO$2&lt;&gt;0,#REF!&gt;=AO$2),1,0)</f>
        <v>#REF!</v>
      </c>
      <c r="AP46" s="270" t="e">
        <f t="array" ref="AP46">IF(AND(AP$2&lt;&gt;0,#REF!&gt;=AP$2),1,0)</f>
        <v>#REF!</v>
      </c>
      <c r="AQ46" s="270" t="e">
        <f t="array" ref="AQ46">IF(AND(AQ$2&lt;&gt;0,#REF!&gt;=AQ$2),1,0)</f>
        <v>#REF!</v>
      </c>
      <c r="AR46" s="270" t="e">
        <f t="array" ref="AR46">IF(AND(AR$2&lt;&gt;0,#REF!&gt;=AR$2),1,0)</f>
        <v>#REF!</v>
      </c>
      <c r="AS46" s="270" t="e">
        <f t="array" ref="AS46">IF(AND(AS$2&lt;&gt;0,#REF!&gt;=AS$2),1,0)</f>
        <v>#REF!</v>
      </c>
      <c r="AT46" s="270" t="e">
        <f t="array" ref="AT46">IF(AND(AT$2&lt;&gt;0,#REF!&gt;=AT$2),1,0)</f>
        <v>#REF!</v>
      </c>
      <c r="AU46" s="270" t="e">
        <f t="array" ref="AU46">IF(AND(AU$2&lt;&gt;0,#REF!&gt;=AU$2),1,0)</f>
        <v>#REF!</v>
      </c>
      <c r="AV46" s="270" t="e">
        <f t="array" ref="AV46">IF(AND(AV$2&lt;&gt;0,#REF!&gt;=AV$2),1,0)</f>
        <v>#REF!</v>
      </c>
      <c r="AW46" s="270" t="e">
        <f t="array" ref="AW46">IF(AND(AW$2&lt;&gt;0,#REF!&gt;=AW$2),1,0)</f>
        <v>#REF!</v>
      </c>
      <c r="AX46" s="270" t="e">
        <f t="array" ref="AX46">IF(AND(AX$2&lt;&gt;0,#REF!&gt;=AX$2),1,0)</f>
        <v>#REF!</v>
      </c>
      <c r="AY46" s="270" t="e">
        <f t="array" ref="AY46">IF(AND(AY$2&lt;&gt;0,#REF!&gt;=AY$2),1,0)</f>
        <v>#REF!</v>
      </c>
      <c r="AZ46" s="270" t="e">
        <f t="array" ref="AZ46">IF(AND(AZ$2&lt;&gt;0,#REF!&gt;=AZ$2),1,0)</f>
        <v>#REF!</v>
      </c>
      <c r="BA46" s="270" t="e">
        <f t="array" ref="BA46">IF(AND(BA$2&lt;&gt;0,#REF!&gt;=BA$2),1,0)</f>
        <v>#REF!</v>
      </c>
      <c r="BB46" s="270" t="e">
        <f t="array" ref="BB46">IF(AND(BB$2&lt;&gt;0,#REF!&gt;=BB$2),1,0)</f>
        <v>#REF!</v>
      </c>
      <c r="BC46" s="270" t="e">
        <f t="array" ref="BC46">IF(AND(BC$2&lt;&gt;0,#REF!&gt;=BC$2),1,0)</f>
        <v>#REF!</v>
      </c>
      <c r="BD46" s="270" t="e">
        <f t="array" ref="BD46">IF(AND(BD$2&lt;&gt;0,#REF!&gt;=BD$2),1,0)</f>
        <v>#REF!</v>
      </c>
      <c r="BE46" s="270" t="e">
        <f t="array" ref="BE46">IF(AND(BE$2&lt;&gt;0,#REF!&gt;=BE$2),1,0)</f>
        <v>#REF!</v>
      </c>
      <c r="BF46" s="270" t="e">
        <f t="array" ref="BF46">IF(AND(BF$2&lt;&gt;0,#REF!&gt;=BF$2),1,0)</f>
        <v>#REF!</v>
      </c>
      <c r="BG46" s="270" t="e">
        <f t="array" ref="BG46">IF(AND(BG$2&lt;&gt;0,#REF!&gt;=BG$2),1,0)</f>
        <v>#REF!</v>
      </c>
      <c r="BH46" s="270" t="e">
        <f t="array" ref="BH46">IF(AND(BH$2&lt;&gt;0,#REF!&gt;=BH$2),1,0)</f>
        <v>#REF!</v>
      </c>
      <c r="BI46" s="270" t="e">
        <f t="array" ref="BI46">IF(AND(BI$2&lt;&gt;0,#REF!&gt;=BI$2),1,0)</f>
        <v>#REF!</v>
      </c>
      <c r="BJ46" s="270" t="e">
        <f t="array" ref="BJ46">IF(AND(BJ$2&lt;&gt;0,#REF!&gt;=BJ$2),1,0)</f>
        <v>#REF!</v>
      </c>
      <c r="BK46" s="270" t="e">
        <f t="array" ref="BK46">IF(AND(BK$2&lt;&gt;0,#REF!&gt;=BK$2),1,0)</f>
        <v>#REF!</v>
      </c>
      <c r="BL46" s="270" t="e">
        <f t="array" ref="BL46">IF(AND(BL$2&lt;&gt;0,#REF!&gt;=BL$2),1,0)</f>
        <v>#REF!</v>
      </c>
      <c r="BM46" s="270" t="e">
        <f t="array" ref="BM46">IF(AND(BM$2&lt;&gt;0,#REF!&gt;=BM$2),1,0)</f>
        <v>#REF!</v>
      </c>
      <c r="BN46" s="270" t="e">
        <f t="array" ref="BN46">IF(AND(BN$2&lt;&gt;0,#REF!&gt;=BN$2),1,0)</f>
        <v>#REF!</v>
      </c>
      <c r="BO46" s="270" t="e">
        <f t="array" ref="BO46">IF(AND(BO$2&lt;&gt;0,#REF!&gt;=BO$2),1,0)</f>
        <v>#REF!</v>
      </c>
      <c r="BP46" s="270" t="e">
        <f t="array" ref="BP46">IF(AND(BP$2&lt;&gt;0,#REF!&gt;=BP$2),1,0)</f>
        <v>#REF!</v>
      </c>
      <c r="BQ46" s="270" t="e">
        <f t="array" ref="BQ46">IF(AND(BQ$2&lt;&gt;0,#REF!&gt;=BQ$2),1,0)</f>
        <v>#REF!</v>
      </c>
      <c r="BR46" s="270" t="e">
        <f t="array" ref="BR46">IF(AND(BR$2&lt;&gt;0,#REF!&gt;=BR$2),1,0)</f>
        <v>#REF!</v>
      </c>
      <c r="BS46" s="270" t="e">
        <f t="array" ref="BS46">IF(AND(BS$2&lt;&gt;0,#REF!&gt;=BS$2),1,0)</f>
        <v>#REF!</v>
      </c>
      <c r="BT46" s="270" t="e">
        <f t="array" ref="BT46">IF(AND(BT$2&lt;&gt;0,#REF!&gt;=BT$2),1,0)</f>
        <v>#REF!</v>
      </c>
      <c r="BU46" s="270" t="e">
        <f t="array" ref="BU46">IF(AND(BU$2&lt;&gt;0,#REF!&gt;=BU$2),1,0)</f>
        <v>#REF!</v>
      </c>
      <c r="BV46" s="270" t="e">
        <f t="array" ref="BV46">IF(AND(BV$2&lt;&gt;0,#REF!&gt;=BV$2),1,0)</f>
        <v>#REF!</v>
      </c>
      <c r="BW46" s="270" t="e">
        <f t="array" ref="BW46">IF(AND(BW$2&lt;&gt;0,#REF!&gt;=BW$2),1,0)</f>
        <v>#REF!</v>
      </c>
      <c r="BX46" s="270" t="e">
        <f t="array" ref="BX46">IF(AND(BX$2&lt;&gt;0,#REF!&gt;=BX$2),1,0)</f>
        <v>#REF!</v>
      </c>
      <c r="BY46" s="270" t="e">
        <f t="array" ref="BY46">IF(AND(BY$2&lt;&gt;0,#REF!&gt;=BY$2),1,0)</f>
        <v>#REF!</v>
      </c>
      <c r="BZ46" s="270" t="e">
        <f t="array" ref="BZ46">IF(AND(BZ$2&lt;&gt;0,#REF!&gt;=BZ$2),1,0)</f>
        <v>#REF!</v>
      </c>
      <c r="CA46" s="359">
        <f>IFERROR(INDEX($H$4:$H$79,MATCH(INDEX(#REF!,1,MATCH(#REF!,$M$2:$BZ$2,0)),$G$4:$G$79,0)),)</f>
        <v>0</v>
      </c>
    </row>
    <row r="47" spans="1:79" x14ac:dyDescent="0.25">
      <c r="A47" s="262" t="e">
        <f>#REF!</f>
        <v>#REF!</v>
      </c>
      <c r="B47" s="263" t="e">
        <f>#REF!</f>
        <v>#REF!</v>
      </c>
      <c r="C47" s="264" t="e">
        <f>#REF!</f>
        <v>#REF!</v>
      </c>
      <c r="D47" s="264" t="e">
        <f>#REF!</f>
        <v>#REF!</v>
      </c>
      <c r="E47" s="265"/>
      <c r="F47" s="266"/>
      <c r="G47" s="267" t="s">
        <v>590</v>
      </c>
      <c r="H47" s="268" t="s">
        <v>715</v>
      </c>
      <c r="I47" s="267" t="s">
        <v>1103</v>
      </c>
      <c r="J47" s="263"/>
      <c r="K47" s="89" t="e">
        <f ca="1">IF(#REF!&lt;&gt;OFFSET(#REF!,-1,0),1,0)</f>
        <v>#REF!</v>
      </c>
      <c r="L47" s="269" t="e">
        <f>COUNTIF(#REF!,1)</f>
        <v>#REF!</v>
      </c>
      <c r="M47" s="270" t="e">
        <f t="array" ref="M47">IF(AND(M$2&lt;&gt;0,#REF!&gt;=M$2),1,0)</f>
        <v>#REF!</v>
      </c>
      <c r="N47" s="270" t="e">
        <f t="array" ref="N47">IF(AND(N$2&lt;&gt;0,#REF!&gt;=N$2),1,0)</f>
        <v>#REF!</v>
      </c>
      <c r="O47" s="270" t="e">
        <f t="array" ref="O47">IF(AND(O$2&lt;&gt;0,#REF!&gt;=O$2),1,0)</f>
        <v>#REF!</v>
      </c>
      <c r="P47" s="270" t="e">
        <f t="array" ref="P47">IF(AND(P$2&lt;&gt;0,#REF!&gt;=P$2),1,0)</f>
        <v>#REF!</v>
      </c>
      <c r="Q47" s="270" t="e">
        <f t="array" ref="Q47">IF(AND(Q$2&lt;&gt;0,#REF!&gt;=Q$2),1,0)</f>
        <v>#REF!</v>
      </c>
      <c r="R47" s="270" t="e">
        <f t="array" ref="R47">IF(AND(R$2&lt;&gt;0,#REF!&gt;=R$2),1,0)</f>
        <v>#REF!</v>
      </c>
      <c r="S47" s="270" t="e">
        <f t="array" ref="S47">IF(AND(S$2&lt;&gt;0,#REF!&gt;=S$2),1,0)</f>
        <v>#REF!</v>
      </c>
      <c r="T47" s="270" t="e">
        <f t="array" ref="T47">IF(AND(T$2&lt;&gt;0,#REF!&gt;=T$2),1,0)</f>
        <v>#REF!</v>
      </c>
      <c r="U47" s="270" t="e">
        <f t="array" ref="U47">IF(AND(U$2&lt;&gt;0,#REF!&gt;=U$2),1,0)</f>
        <v>#REF!</v>
      </c>
      <c r="V47" s="270" t="e">
        <f t="array" ref="V47">IF(AND(V$2&lt;&gt;0,#REF!&gt;=V$2),1,0)</f>
        <v>#REF!</v>
      </c>
      <c r="W47" s="270" t="e">
        <f t="array" ref="W47">IF(AND(W$2&lt;&gt;0,#REF!&gt;=W$2),1,0)</f>
        <v>#REF!</v>
      </c>
      <c r="X47" s="270" t="e">
        <f t="array" ref="X47">IF(AND(X$2&lt;&gt;0,#REF!&gt;=X$2),1,0)</f>
        <v>#REF!</v>
      </c>
      <c r="Y47" s="270" t="e">
        <f t="array" ref="Y47">IF(AND(Y$2&lt;&gt;0,#REF!&gt;=Y$2),1,0)</f>
        <v>#REF!</v>
      </c>
      <c r="Z47" s="270" t="e">
        <f t="array" ref="Z47">IF(AND(Z$2&lt;&gt;0,#REF!&gt;=Z$2),1,0)</f>
        <v>#REF!</v>
      </c>
      <c r="AA47" s="270" t="e">
        <f t="array" ref="AA47">IF(AND(AA$2&lt;&gt;0,#REF!&gt;=AA$2),1,0)</f>
        <v>#REF!</v>
      </c>
      <c r="AB47" s="270" t="e">
        <f t="array" ref="AB47">IF(AND(AB$2&lt;&gt;0,#REF!&gt;=AB$2),1,0)</f>
        <v>#REF!</v>
      </c>
      <c r="AC47" s="270" t="e">
        <f t="array" ref="AC47">IF(AND(AC$2&lt;&gt;0,#REF!&gt;=AC$2),1,0)</f>
        <v>#REF!</v>
      </c>
      <c r="AD47" s="270" t="e">
        <f t="array" ref="AD47">IF(AND(AD$2&lt;&gt;0,#REF!&gt;=AD$2),1,0)</f>
        <v>#REF!</v>
      </c>
      <c r="AE47" s="270" t="e">
        <f t="array" ref="AE47">IF(AND(AE$2&lt;&gt;0,#REF!&gt;=AE$2),1,0)</f>
        <v>#REF!</v>
      </c>
      <c r="AF47" s="270" t="e">
        <f t="array" ref="AF47">IF(AND(AF$2&lt;&gt;0,#REF!&gt;=AF$2),1,0)</f>
        <v>#REF!</v>
      </c>
      <c r="AG47" s="270" t="e">
        <f t="array" ref="AG47">IF(AND(AG$2&lt;&gt;0,#REF!&gt;=AG$2),1,0)</f>
        <v>#REF!</v>
      </c>
      <c r="AH47" s="270" t="e">
        <f t="array" ref="AH47">IF(AND(AH$2&lt;&gt;0,#REF!&gt;=AH$2),1,0)</f>
        <v>#REF!</v>
      </c>
      <c r="AI47" s="270" t="e">
        <f t="array" ref="AI47">IF(AND(AI$2&lt;&gt;0,#REF!&gt;=AI$2),1,0)</f>
        <v>#REF!</v>
      </c>
      <c r="AJ47" s="270" t="e">
        <f t="array" ref="AJ47">IF(AND(AJ$2&lt;&gt;0,#REF!&gt;=AJ$2),1,0)</f>
        <v>#REF!</v>
      </c>
      <c r="AK47" s="270" t="e">
        <f t="array" ref="AK47">IF(AND(AK$2&lt;&gt;0,#REF!&gt;=AK$2),1,0)</f>
        <v>#REF!</v>
      </c>
      <c r="AL47" s="270" t="e">
        <f t="array" ref="AL47">IF(AND(AL$2&lt;&gt;0,#REF!&gt;=AL$2),1,0)</f>
        <v>#REF!</v>
      </c>
      <c r="AM47" s="270" t="e">
        <f t="array" ref="AM47">IF(AND(AM$2&lt;&gt;0,#REF!&gt;=AM$2),1,0)</f>
        <v>#REF!</v>
      </c>
      <c r="AN47" s="270" t="e">
        <f t="array" ref="AN47">IF(AND(AN$2&lt;&gt;0,#REF!&gt;=AN$2),1,0)</f>
        <v>#REF!</v>
      </c>
      <c r="AO47" s="270" t="e">
        <f t="array" ref="AO47">IF(AND(AO$2&lt;&gt;0,#REF!&gt;=AO$2),1,0)</f>
        <v>#REF!</v>
      </c>
      <c r="AP47" s="270" t="e">
        <f t="array" ref="AP47">IF(AND(AP$2&lt;&gt;0,#REF!&gt;=AP$2),1,0)</f>
        <v>#REF!</v>
      </c>
      <c r="AQ47" s="270" t="e">
        <f t="array" ref="AQ47">IF(AND(AQ$2&lt;&gt;0,#REF!&gt;=AQ$2),1,0)</f>
        <v>#REF!</v>
      </c>
      <c r="AR47" s="270" t="e">
        <f t="array" ref="AR47">IF(AND(AR$2&lt;&gt;0,#REF!&gt;=AR$2),1,0)</f>
        <v>#REF!</v>
      </c>
      <c r="AS47" s="270" t="e">
        <f t="array" ref="AS47">IF(AND(AS$2&lt;&gt;0,#REF!&gt;=AS$2),1,0)</f>
        <v>#REF!</v>
      </c>
      <c r="AT47" s="270" t="e">
        <f t="array" ref="AT47">IF(AND(AT$2&lt;&gt;0,#REF!&gt;=AT$2),1,0)</f>
        <v>#REF!</v>
      </c>
      <c r="AU47" s="270" t="e">
        <f t="array" ref="AU47">IF(AND(AU$2&lt;&gt;0,#REF!&gt;=AU$2),1,0)</f>
        <v>#REF!</v>
      </c>
      <c r="AV47" s="270" t="e">
        <f t="array" ref="AV47">IF(AND(AV$2&lt;&gt;0,#REF!&gt;=AV$2),1,0)</f>
        <v>#REF!</v>
      </c>
      <c r="AW47" s="270" t="e">
        <f t="array" ref="AW47">IF(AND(AW$2&lt;&gt;0,#REF!&gt;=AW$2),1,0)</f>
        <v>#REF!</v>
      </c>
      <c r="AX47" s="270" t="e">
        <f t="array" ref="AX47">IF(AND(AX$2&lt;&gt;0,#REF!&gt;=AX$2),1,0)</f>
        <v>#REF!</v>
      </c>
      <c r="AY47" s="270" t="e">
        <f t="array" ref="AY47">IF(AND(AY$2&lt;&gt;0,#REF!&gt;=AY$2),1,0)</f>
        <v>#REF!</v>
      </c>
      <c r="AZ47" s="270" t="e">
        <f t="array" ref="AZ47">IF(AND(AZ$2&lt;&gt;0,#REF!&gt;=AZ$2),1,0)</f>
        <v>#REF!</v>
      </c>
      <c r="BA47" s="270" t="e">
        <f t="array" ref="BA47">IF(AND(BA$2&lt;&gt;0,#REF!&gt;=BA$2),1,0)</f>
        <v>#REF!</v>
      </c>
      <c r="BB47" s="270" t="e">
        <f t="array" ref="BB47">IF(AND(BB$2&lt;&gt;0,#REF!&gt;=BB$2),1,0)</f>
        <v>#REF!</v>
      </c>
      <c r="BC47" s="270" t="e">
        <f t="array" ref="BC47">IF(AND(BC$2&lt;&gt;0,#REF!&gt;=BC$2),1,0)</f>
        <v>#REF!</v>
      </c>
      <c r="BD47" s="270" t="e">
        <f t="array" ref="BD47">IF(AND(BD$2&lt;&gt;0,#REF!&gt;=BD$2),1,0)</f>
        <v>#REF!</v>
      </c>
      <c r="BE47" s="270" t="e">
        <f t="array" ref="BE47">IF(AND(BE$2&lt;&gt;0,#REF!&gt;=BE$2),1,0)</f>
        <v>#REF!</v>
      </c>
      <c r="BF47" s="270" t="e">
        <f t="array" ref="BF47">IF(AND(BF$2&lt;&gt;0,#REF!&gt;=BF$2),1,0)</f>
        <v>#REF!</v>
      </c>
      <c r="BG47" s="270" t="e">
        <f t="array" ref="BG47">IF(AND(BG$2&lt;&gt;0,#REF!&gt;=BG$2),1,0)</f>
        <v>#REF!</v>
      </c>
      <c r="BH47" s="270" t="e">
        <f t="array" ref="BH47">IF(AND(BH$2&lt;&gt;0,#REF!&gt;=BH$2),1,0)</f>
        <v>#REF!</v>
      </c>
      <c r="BI47" s="270" t="e">
        <f t="array" ref="BI47">IF(AND(BI$2&lt;&gt;0,#REF!&gt;=BI$2),1,0)</f>
        <v>#REF!</v>
      </c>
      <c r="BJ47" s="270" t="e">
        <f t="array" ref="BJ47">IF(AND(BJ$2&lt;&gt;0,#REF!&gt;=BJ$2),1,0)</f>
        <v>#REF!</v>
      </c>
      <c r="BK47" s="270" t="e">
        <f t="array" ref="BK47">IF(AND(BK$2&lt;&gt;0,#REF!&gt;=BK$2),1,0)</f>
        <v>#REF!</v>
      </c>
      <c r="BL47" s="270" t="e">
        <f t="array" ref="BL47">IF(AND(BL$2&lt;&gt;0,#REF!&gt;=BL$2),1,0)</f>
        <v>#REF!</v>
      </c>
      <c r="BM47" s="270" t="e">
        <f t="array" ref="BM47">IF(AND(BM$2&lt;&gt;0,#REF!&gt;=BM$2),1,0)</f>
        <v>#REF!</v>
      </c>
      <c r="BN47" s="270" t="e">
        <f t="array" ref="BN47">IF(AND(BN$2&lt;&gt;0,#REF!&gt;=BN$2),1,0)</f>
        <v>#REF!</v>
      </c>
      <c r="BO47" s="270" t="e">
        <f t="array" ref="BO47">IF(AND(BO$2&lt;&gt;0,#REF!&gt;=BO$2),1,0)</f>
        <v>#REF!</v>
      </c>
      <c r="BP47" s="270" t="e">
        <f t="array" ref="BP47">IF(AND(BP$2&lt;&gt;0,#REF!&gt;=BP$2),1,0)</f>
        <v>#REF!</v>
      </c>
      <c r="BQ47" s="270" t="e">
        <f t="array" ref="BQ47">IF(AND(BQ$2&lt;&gt;0,#REF!&gt;=BQ$2),1,0)</f>
        <v>#REF!</v>
      </c>
      <c r="BR47" s="270" t="e">
        <f t="array" ref="BR47">IF(AND(BR$2&lt;&gt;0,#REF!&gt;=BR$2),1,0)</f>
        <v>#REF!</v>
      </c>
      <c r="BS47" s="270" t="e">
        <f t="array" ref="BS47">IF(AND(BS$2&lt;&gt;0,#REF!&gt;=BS$2),1,0)</f>
        <v>#REF!</v>
      </c>
      <c r="BT47" s="270" t="e">
        <f t="array" ref="BT47">IF(AND(BT$2&lt;&gt;0,#REF!&gt;=BT$2),1,0)</f>
        <v>#REF!</v>
      </c>
      <c r="BU47" s="270" t="e">
        <f t="array" ref="BU47">IF(AND(BU$2&lt;&gt;0,#REF!&gt;=BU$2),1,0)</f>
        <v>#REF!</v>
      </c>
      <c r="BV47" s="270" t="e">
        <f t="array" ref="BV47">IF(AND(BV$2&lt;&gt;0,#REF!&gt;=BV$2),1,0)</f>
        <v>#REF!</v>
      </c>
      <c r="BW47" s="270" t="e">
        <f t="array" ref="BW47">IF(AND(BW$2&lt;&gt;0,#REF!&gt;=BW$2),1,0)</f>
        <v>#REF!</v>
      </c>
      <c r="BX47" s="270" t="e">
        <f t="array" ref="BX47">IF(AND(BX$2&lt;&gt;0,#REF!&gt;=BX$2),1,0)</f>
        <v>#REF!</v>
      </c>
      <c r="BY47" s="270" t="e">
        <f t="array" ref="BY47">IF(AND(BY$2&lt;&gt;0,#REF!&gt;=BY$2),1,0)</f>
        <v>#REF!</v>
      </c>
      <c r="BZ47" s="270" t="e">
        <f t="array" ref="BZ47">IF(AND(BZ$2&lt;&gt;0,#REF!&gt;=BZ$2),1,0)</f>
        <v>#REF!</v>
      </c>
      <c r="CA47" s="359">
        <f>IFERROR(INDEX($H$4:$H$79,MATCH(INDEX(#REF!,1,MATCH(#REF!,$M$2:$BZ$2,0)),$G$4:$G$79,0)),)</f>
        <v>0</v>
      </c>
    </row>
    <row r="48" spans="1:79" x14ac:dyDescent="0.25">
      <c r="A48" s="262" t="e">
        <f>#REF!</f>
        <v>#REF!</v>
      </c>
      <c r="B48" s="263" t="e">
        <f>#REF!</f>
        <v>#REF!</v>
      </c>
      <c r="C48" s="264" t="e">
        <f>#REF!</f>
        <v>#REF!</v>
      </c>
      <c r="D48" s="264" t="e">
        <f>#REF!</f>
        <v>#REF!</v>
      </c>
      <c r="E48" s="265"/>
      <c r="F48" s="266"/>
      <c r="G48" s="267" t="s">
        <v>591</v>
      </c>
      <c r="H48" s="268" t="s">
        <v>717</v>
      </c>
      <c r="I48" s="267" t="s">
        <v>1056</v>
      </c>
      <c r="J48" s="263"/>
      <c r="K48" s="89" t="e">
        <f ca="1">IF(#REF!&lt;&gt;OFFSET(#REF!,-1,0),1,0)</f>
        <v>#REF!</v>
      </c>
      <c r="L48" s="269" t="e">
        <f>COUNTIF(#REF!,1)</f>
        <v>#REF!</v>
      </c>
      <c r="M48" s="270" t="e">
        <f t="array" ref="M48">IF(AND(M$2&lt;&gt;0,#REF!&gt;=M$2),1,0)</f>
        <v>#REF!</v>
      </c>
      <c r="N48" s="270" t="e">
        <f t="array" ref="N48">IF(AND(N$2&lt;&gt;0,#REF!&gt;=N$2),1,0)</f>
        <v>#REF!</v>
      </c>
      <c r="O48" s="270" t="e">
        <f t="array" ref="O48">IF(AND(O$2&lt;&gt;0,#REF!&gt;=O$2),1,0)</f>
        <v>#REF!</v>
      </c>
      <c r="P48" s="270" t="e">
        <f t="array" ref="P48">IF(AND(P$2&lt;&gt;0,#REF!&gt;=P$2),1,0)</f>
        <v>#REF!</v>
      </c>
      <c r="Q48" s="270" t="e">
        <f t="array" ref="Q48">IF(AND(Q$2&lt;&gt;0,#REF!&gt;=Q$2),1,0)</f>
        <v>#REF!</v>
      </c>
      <c r="R48" s="270" t="e">
        <f t="array" ref="R48">IF(AND(R$2&lt;&gt;0,#REF!&gt;=R$2),1,0)</f>
        <v>#REF!</v>
      </c>
      <c r="S48" s="270" t="e">
        <f t="array" ref="S48">IF(AND(S$2&lt;&gt;0,#REF!&gt;=S$2),1,0)</f>
        <v>#REF!</v>
      </c>
      <c r="T48" s="270" t="e">
        <f t="array" ref="T48">IF(AND(T$2&lt;&gt;0,#REF!&gt;=T$2),1,0)</f>
        <v>#REF!</v>
      </c>
      <c r="U48" s="270" t="e">
        <f t="array" ref="U48">IF(AND(U$2&lt;&gt;0,#REF!&gt;=U$2),1,0)</f>
        <v>#REF!</v>
      </c>
      <c r="V48" s="270" t="e">
        <f t="array" ref="V48">IF(AND(V$2&lt;&gt;0,#REF!&gt;=V$2),1,0)</f>
        <v>#REF!</v>
      </c>
      <c r="W48" s="270" t="e">
        <f t="array" ref="W48">IF(AND(W$2&lt;&gt;0,#REF!&gt;=W$2),1,0)</f>
        <v>#REF!</v>
      </c>
      <c r="X48" s="270" t="e">
        <f t="array" ref="X48">IF(AND(X$2&lt;&gt;0,#REF!&gt;=X$2),1,0)</f>
        <v>#REF!</v>
      </c>
      <c r="Y48" s="270" t="e">
        <f t="array" ref="Y48">IF(AND(Y$2&lt;&gt;0,#REF!&gt;=Y$2),1,0)</f>
        <v>#REF!</v>
      </c>
      <c r="Z48" s="270" t="e">
        <f t="array" ref="Z48">IF(AND(Z$2&lt;&gt;0,#REF!&gt;=Z$2),1,0)</f>
        <v>#REF!</v>
      </c>
      <c r="AA48" s="270" t="e">
        <f t="array" ref="AA48">IF(AND(AA$2&lt;&gt;0,#REF!&gt;=AA$2),1,0)</f>
        <v>#REF!</v>
      </c>
      <c r="AB48" s="270" t="e">
        <f t="array" ref="AB48">IF(AND(AB$2&lt;&gt;0,#REF!&gt;=AB$2),1,0)</f>
        <v>#REF!</v>
      </c>
      <c r="AC48" s="270" t="e">
        <f t="array" ref="AC48">IF(AND(AC$2&lt;&gt;0,#REF!&gt;=AC$2),1,0)</f>
        <v>#REF!</v>
      </c>
      <c r="AD48" s="270" t="e">
        <f t="array" ref="AD48">IF(AND(AD$2&lt;&gt;0,#REF!&gt;=AD$2),1,0)</f>
        <v>#REF!</v>
      </c>
      <c r="AE48" s="270" t="e">
        <f t="array" ref="AE48">IF(AND(AE$2&lt;&gt;0,#REF!&gt;=AE$2),1,0)</f>
        <v>#REF!</v>
      </c>
      <c r="AF48" s="270" t="e">
        <f t="array" ref="AF48">IF(AND(AF$2&lt;&gt;0,#REF!&gt;=AF$2),1,0)</f>
        <v>#REF!</v>
      </c>
      <c r="AG48" s="270" t="e">
        <f t="array" ref="AG48">IF(AND(AG$2&lt;&gt;0,#REF!&gt;=AG$2),1,0)</f>
        <v>#REF!</v>
      </c>
      <c r="AH48" s="270" t="e">
        <f t="array" ref="AH48">IF(AND(AH$2&lt;&gt;0,#REF!&gt;=AH$2),1,0)</f>
        <v>#REF!</v>
      </c>
      <c r="AI48" s="270" t="e">
        <f t="array" ref="AI48">IF(AND(AI$2&lt;&gt;0,#REF!&gt;=AI$2),1,0)</f>
        <v>#REF!</v>
      </c>
      <c r="AJ48" s="270" t="e">
        <f t="array" ref="AJ48">IF(AND(AJ$2&lt;&gt;0,#REF!&gt;=AJ$2),1,0)</f>
        <v>#REF!</v>
      </c>
      <c r="AK48" s="270" t="e">
        <f t="array" ref="AK48">IF(AND(AK$2&lt;&gt;0,#REF!&gt;=AK$2),1,0)</f>
        <v>#REF!</v>
      </c>
      <c r="AL48" s="270" t="e">
        <f t="array" ref="AL48">IF(AND(AL$2&lt;&gt;0,#REF!&gt;=AL$2),1,0)</f>
        <v>#REF!</v>
      </c>
      <c r="AM48" s="270" t="e">
        <f t="array" ref="AM48">IF(AND(AM$2&lt;&gt;0,#REF!&gt;=AM$2),1,0)</f>
        <v>#REF!</v>
      </c>
      <c r="AN48" s="270" t="e">
        <f t="array" ref="AN48">IF(AND(AN$2&lt;&gt;0,#REF!&gt;=AN$2),1,0)</f>
        <v>#REF!</v>
      </c>
      <c r="AO48" s="270" t="e">
        <f t="array" ref="AO48">IF(AND(AO$2&lt;&gt;0,#REF!&gt;=AO$2),1,0)</f>
        <v>#REF!</v>
      </c>
      <c r="AP48" s="270" t="e">
        <f t="array" ref="AP48">IF(AND(AP$2&lt;&gt;0,#REF!&gt;=AP$2),1,0)</f>
        <v>#REF!</v>
      </c>
      <c r="AQ48" s="270" t="e">
        <f t="array" ref="AQ48">IF(AND(AQ$2&lt;&gt;0,#REF!&gt;=AQ$2),1,0)</f>
        <v>#REF!</v>
      </c>
      <c r="AR48" s="270" t="e">
        <f t="array" ref="AR48">IF(AND(AR$2&lt;&gt;0,#REF!&gt;=AR$2),1,0)</f>
        <v>#REF!</v>
      </c>
      <c r="AS48" s="270" t="e">
        <f t="array" ref="AS48">IF(AND(AS$2&lt;&gt;0,#REF!&gt;=AS$2),1,0)</f>
        <v>#REF!</v>
      </c>
      <c r="AT48" s="270" t="e">
        <f t="array" ref="AT48">IF(AND(AT$2&lt;&gt;0,#REF!&gt;=AT$2),1,0)</f>
        <v>#REF!</v>
      </c>
      <c r="AU48" s="270" t="e">
        <f t="array" ref="AU48">IF(AND(AU$2&lt;&gt;0,#REF!&gt;=AU$2),1,0)</f>
        <v>#REF!</v>
      </c>
      <c r="AV48" s="270" t="e">
        <f t="array" ref="AV48">IF(AND(AV$2&lt;&gt;0,#REF!&gt;=AV$2),1,0)</f>
        <v>#REF!</v>
      </c>
      <c r="AW48" s="270" t="e">
        <f t="array" ref="AW48">IF(AND(AW$2&lt;&gt;0,#REF!&gt;=AW$2),1,0)</f>
        <v>#REF!</v>
      </c>
      <c r="AX48" s="270" t="e">
        <f t="array" ref="AX48">IF(AND(AX$2&lt;&gt;0,#REF!&gt;=AX$2),1,0)</f>
        <v>#REF!</v>
      </c>
      <c r="AY48" s="270" t="e">
        <f t="array" ref="AY48">IF(AND(AY$2&lt;&gt;0,#REF!&gt;=AY$2),1,0)</f>
        <v>#REF!</v>
      </c>
      <c r="AZ48" s="270" t="e">
        <f t="array" ref="AZ48">IF(AND(AZ$2&lt;&gt;0,#REF!&gt;=AZ$2),1,0)</f>
        <v>#REF!</v>
      </c>
      <c r="BA48" s="270" t="e">
        <f t="array" ref="BA48">IF(AND(BA$2&lt;&gt;0,#REF!&gt;=BA$2),1,0)</f>
        <v>#REF!</v>
      </c>
      <c r="BB48" s="270" t="e">
        <f t="array" ref="BB48">IF(AND(BB$2&lt;&gt;0,#REF!&gt;=BB$2),1,0)</f>
        <v>#REF!</v>
      </c>
      <c r="BC48" s="270" t="e">
        <f t="array" ref="BC48">IF(AND(BC$2&lt;&gt;0,#REF!&gt;=BC$2),1,0)</f>
        <v>#REF!</v>
      </c>
      <c r="BD48" s="270" t="e">
        <f t="array" ref="BD48">IF(AND(BD$2&lt;&gt;0,#REF!&gt;=BD$2),1,0)</f>
        <v>#REF!</v>
      </c>
      <c r="BE48" s="270" t="e">
        <f t="array" ref="BE48">IF(AND(BE$2&lt;&gt;0,#REF!&gt;=BE$2),1,0)</f>
        <v>#REF!</v>
      </c>
      <c r="BF48" s="270" t="e">
        <f t="array" ref="BF48">IF(AND(BF$2&lt;&gt;0,#REF!&gt;=BF$2),1,0)</f>
        <v>#REF!</v>
      </c>
      <c r="BG48" s="270" t="e">
        <f t="array" ref="BG48">IF(AND(BG$2&lt;&gt;0,#REF!&gt;=BG$2),1,0)</f>
        <v>#REF!</v>
      </c>
      <c r="BH48" s="270" t="e">
        <f t="array" ref="BH48">IF(AND(BH$2&lt;&gt;0,#REF!&gt;=BH$2),1,0)</f>
        <v>#REF!</v>
      </c>
      <c r="BI48" s="270" t="e">
        <f t="array" ref="BI48">IF(AND(BI$2&lt;&gt;0,#REF!&gt;=BI$2),1,0)</f>
        <v>#REF!</v>
      </c>
      <c r="BJ48" s="270" t="e">
        <f t="array" ref="BJ48">IF(AND(BJ$2&lt;&gt;0,#REF!&gt;=BJ$2),1,0)</f>
        <v>#REF!</v>
      </c>
      <c r="BK48" s="270" t="e">
        <f t="array" ref="BK48">IF(AND(BK$2&lt;&gt;0,#REF!&gt;=BK$2),1,0)</f>
        <v>#REF!</v>
      </c>
      <c r="BL48" s="270" t="e">
        <f t="array" ref="BL48">IF(AND(BL$2&lt;&gt;0,#REF!&gt;=BL$2),1,0)</f>
        <v>#REF!</v>
      </c>
      <c r="BM48" s="270" t="e">
        <f t="array" ref="BM48">IF(AND(BM$2&lt;&gt;0,#REF!&gt;=BM$2),1,0)</f>
        <v>#REF!</v>
      </c>
      <c r="BN48" s="270" t="e">
        <f t="array" ref="BN48">IF(AND(BN$2&lt;&gt;0,#REF!&gt;=BN$2),1,0)</f>
        <v>#REF!</v>
      </c>
      <c r="BO48" s="270" t="e">
        <f t="array" ref="BO48">IF(AND(BO$2&lt;&gt;0,#REF!&gt;=BO$2),1,0)</f>
        <v>#REF!</v>
      </c>
      <c r="BP48" s="270" t="e">
        <f t="array" ref="BP48">IF(AND(BP$2&lt;&gt;0,#REF!&gt;=BP$2),1,0)</f>
        <v>#REF!</v>
      </c>
      <c r="BQ48" s="270" t="e">
        <f t="array" ref="BQ48">IF(AND(BQ$2&lt;&gt;0,#REF!&gt;=BQ$2),1,0)</f>
        <v>#REF!</v>
      </c>
      <c r="BR48" s="270" t="e">
        <f t="array" ref="BR48">IF(AND(BR$2&lt;&gt;0,#REF!&gt;=BR$2),1,0)</f>
        <v>#REF!</v>
      </c>
      <c r="BS48" s="270" t="e">
        <f t="array" ref="BS48">IF(AND(BS$2&lt;&gt;0,#REF!&gt;=BS$2),1,0)</f>
        <v>#REF!</v>
      </c>
      <c r="BT48" s="270" t="e">
        <f t="array" ref="BT48">IF(AND(BT$2&lt;&gt;0,#REF!&gt;=BT$2),1,0)</f>
        <v>#REF!</v>
      </c>
      <c r="BU48" s="270" t="e">
        <f t="array" ref="BU48">IF(AND(BU$2&lt;&gt;0,#REF!&gt;=BU$2),1,0)</f>
        <v>#REF!</v>
      </c>
      <c r="BV48" s="270" t="e">
        <f t="array" ref="BV48">IF(AND(BV$2&lt;&gt;0,#REF!&gt;=BV$2),1,0)</f>
        <v>#REF!</v>
      </c>
      <c r="BW48" s="270" t="e">
        <f t="array" ref="BW48">IF(AND(BW$2&lt;&gt;0,#REF!&gt;=BW$2),1,0)</f>
        <v>#REF!</v>
      </c>
      <c r="BX48" s="270" t="e">
        <f t="array" ref="BX48">IF(AND(BX$2&lt;&gt;0,#REF!&gt;=BX$2),1,0)</f>
        <v>#REF!</v>
      </c>
      <c r="BY48" s="270" t="e">
        <f t="array" ref="BY48">IF(AND(BY$2&lt;&gt;0,#REF!&gt;=BY$2),1,0)</f>
        <v>#REF!</v>
      </c>
      <c r="BZ48" s="270" t="e">
        <f t="array" ref="BZ48">IF(AND(BZ$2&lt;&gt;0,#REF!&gt;=BZ$2),1,0)</f>
        <v>#REF!</v>
      </c>
      <c r="CA48" s="359">
        <f>IFERROR(INDEX($H$4:$H$79,MATCH(INDEX(#REF!,1,MATCH(#REF!,$M$2:$BZ$2,0)),$G$4:$G$79,0)),)</f>
        <v>0</v>
      </c>
    </row>
    <row r="49" spans="1:79" x14ac:dyDescent="0.25">
      <c r="A49" s="262" t="e">
        <f>#REF!</f>
        <v>#REF!</v>
      </c>
      <c r="B49" s="263" t="e">
        <f>#REF!</f>
        <v>#REF!</v>
      </c>
      <c r="C49" s="264" t="e">
        <f>#REF!</f>
        <v>#REF!</v>
      </c>
      <c r="D49" s="264" t="e">
        <f>#REF!</f>
        <v>#REF!</v>
      </c>
      <c r="E49" s="265"/>
      <c r="F49" s="266"/>
      <c r="G49" s="267" t="s">
        <v>592</v>
      </c>
      <c r="H49" s="268" t="s">
        <v>718</v>
      </c>
      <c r="I49" s="267" t="s">
        <v>629</v>
      </c>
      <c r="J49" s="263"/>
      <c r="K49" s="89" t="e">
        <f ca="1">IF(#REF!&lt;&gt;OFFSET(#REF!,-1,0),1,0)</f>
        <v>#REF!</v>
      </c>
      <c r="L49" s="269" t="e">
        <f>COUNTIF(#REF!,1)</f>
        <v>#REF!</v>
      </c>
      <c r="M49" s="270" t="e">
        <f t="array" ref="M49">IF(AND(M$2&lt;&gt;0,#REF!&gt;=M$2),1,0)</f>
        <v>#REF!</v>
      </c>
      <c r="N49" s="270" t="e">
        <f t="array" ref="N49">IF(AND(N$2&lt;&gt;0,#REF!&gt;=N$2),1,0)</f>
        <v>#REF!</v>
      </c>
      <c r="O49" s="270" t="e">
        <f t="array" ref="O49">IF(AND(O$2&lt;&gt;0,#REF!&gt;=O$2),1,0)</f>
        <v>#REF!</v>
      </c>
      <c r="P49" s="270" t="e">
        <f t="array" ref="P49">IF(AND(P$2&lt;&gt;0,#REF!&gt;=P$2),1,0)</f>
        <v>#REF!</v>
      </c>
      <c r="Q49" s="270" t="e">
        <f t="array" ref="Q49">IF(AND(Q$2&lt;&gt;0,#REF!&gt;=Q$2),1,0)</f>
        <v>#REF!</v>
      </c>
      <c r="R49" s="270" t="e">
        <f t="array" ref="R49">IF(AND(R$2&lt;&gt;0,#REF!&gt;=R$2),1,0)</f>
        <v>#REF!</v>
      </c>
      <c r="S49" s="270" t="e">
        <f t="array" ref="S49">IF(AND(S$2&lt;&gt;0,#REF!&gt;=S$2),1,0)</f>
        <v>#REF!</v>
      </c>
      <c r="T49" s="270" t="e">
        <f t="array" ref="T49">IF(AND(T$2&lt;&gt;0,#REF!&gt;=T$2),1,0)</f>
        <v>#REF!</v>
      </c>
      <c r="U49" s="270" t="e">
        <f t="array" ref="U49">IF(AND(U$2&lt;&gt;0,#REF!&gt;=U$2),1,0)</f>
        <v>#REF!</v>
      </c>
      <c r="V49" s="270" t="e">
        <f t="array" ref="V49">IF(AND(V$2&lt;&gt;0,#REF!&gt;=V$2),1,0)</f>
        <v>#REF!</v>
      </c>
      <c r="W49" s="270" t="e">
        <f t="array" ref="W49">IF(AND(W$2&lt;&gt;0,#REF!&gt;=W$2),1,0)</f>
        <v>#REF!</v>
      </c>
      <c r="X49" s="270" t="e">
        <f t="array" ref="X49">IF(AND(X$2&lt;&gt;0,#REF!&gt;=X$2),1,0)</f>
        <v>#REF!</v>
      </c>
      <c r="Y49" s="270" t="e">
        <f t="array" ref="Y49">IF(AND(Y$2&lt;&gt;0,#REF!&gt;=Y$2),1,0)</f>
        <v>#REF!</v>
      </c>
      <c r="Z49" s="270" t="e">
        <f t="array" ref="Z49">IF(AND(Z$2&lt;&gt;0,#REF!&gt;=Z$2),1,0)</f>
        <v>#REF!</v>
      </c>
      <c r="AA49" s="270" t="e">
        <f t="array" ref="AA49">IF(AND(AA$2&lt;&gt;0,#REF!&gt;=AA$2),1,0)</f>
        <v>#REF!</v>
      </c>
      <c r="AB49" s="270" t="e">
        <f t="array" ref="AB49">IF(AND(AB$2&lt;&gt;0,#REF!&gt;=AB$2),1,0)</f>
        <v>#REF!</v>
      </c>
      <c r="AC49" s="270" t="e">
        <f t="array" ref="AC49">IF(AND(AC$2&lt;&gt;0,#REF!&gt;=AC$2),1,0)</f>
        <v>#REF!</v>
      </c>
      <c r="AD49" s="270" t="e">
        <f t="array" ref="AD49">IF(AND(AD$2&lt;&gt;0,#REF!&gt;=AD$2),1,0)</f>
        <v>#REF!</v>
      </c>
      <c r="AE49" s="270" t="e">
        <f t="array" ref="AE49">IF(AND(AE$2&lt;&gt;0,#REF!&gt;=AE$2),1,0)</f>
        <v>#REF!</v>
      </c>
      <c r="AF49" s="270" t="e">
        <f t="array" ref="AF49">IF(AND(AF$2&lt;&gt;0,#REF!&gt;=AF$2),1,0)</f>
        <v>#REF!</v>
      </c>
      <c r="AG49" s="270" t="e">
        <f t="array" ref="AG49">IF(AND(AG$2&lt;&gt;0,#REF!&gt;=AG$2),1,0)</f>
        <v>#REF!</v>
      </c>
      <c r="AH49" s="270" t="e">
        <f t="array" ref="AH49">IF(AND(AH$2&lt;&gt;0,#REF!&gt;=AH$2),1,0)</f>
        <v>#REF!</v>
      </c>
      <c r="AI49" s="270" t="e">
        <f t="array" ref="AI49">IF(AND(AI$2&lt;&gt;0,#REF!&gt;=AI$2),1,0)</f>
        <v>#REF!</v>
      </c>
      <c r="AJ49" s="270" t="e">
        <f t="array" ref="AJ49">IF(AND(AJ$2&lt;&gt;0,#REF!&gt;=AJ$2),1,0)</f>
        <v>#REF!</v>
      </c>
      <c r="AK49" s="270" t="e">
        <f t="array" ref="AK49">IF(AND(AK$2&lt;&gt;0,#REF!&gt;=AK$2),1,0)</f>
        <v>#REF!</v>
      </c>
      <c r="AL49" s="270" t="e">
        <f t="array" ref="AL49">IF(AND(AL$2&lt;&gt;0,#REF!&gt;=AL$2),1,0)</f>
        <v>#REF!</v>
      </c>
      <c r="AM49" s="270" t="e">
        <f t="array" ref="AM49">IF(AND(AM$2&lt;&gt;0,#REF!&gt;=AM$2),1,0)</f>
        <v>#REF!</v>
      </c>
      <c r="AN49" s="270" t="e">
        <f t="array" ref="AN49">IF(AND(AN$2&lt;&gt;0,#REF!&gt;=AN$2),1,0)</f>
        <v>#REF!</v>
      </c>
      <c r="AO49" s="270" t="e">
        <f t="array" ref="AO49">IF(AND(AO$2&lt;&gt;0,#REF!&gt;=AO$2),1,0)</f>
        <v>#REF!</v>
      </c>
      <c r="AP49" s="270" t="e">
        <f t="array" ref="AP49">IF(AND(AP$2&lt;&gt;0,#REF!&gt;=AP$2),1,0)</f>
        <v>#REF!</v>
      </c>
      <c r="AQ49" s="270" t="e">
        <f t="array" ref="AQ49">IF(AND(AQ$2&lt;&gt;0,#REF!&gt;=AQ$2),1,0)</f>
        <v>#REF!</v>
      </c>
      <c r="AR49" s="270" t="e">
        <f t="array" ref="AR49">IF(AND(AR$2&lt;&gt;0,#REF!&gt;=AR$2),1,0)</f>
        <v>#REF!</v>
      </c>
      <c r="AS49" s="270" t="e">
        <f t="array" ref="AS49">IF(AND(AS$2&lt;&gt;0,#REF!&gt;=AS$2),1,0)</f>
        <v>#REF!</v>
      </c>
      <c r="AT49" s="270" t="e">
        <f t="array" ref="AT49">IF(AND(AT$2&lt;&gt;0,#REF!&gt;=AT$2),1,0)</f>
        <v>#REF!</v>
      </c>
      <c r="AU49" s="270" t="e">
        <f t="array" ref="AU49">IF(AND(AU$2&lt;&gt;0,#REF!&gt;=AU$2),1,0)</f>
        <v>#REF!</v>
      </c>
      <c r="AV49" s="270" t="e">
        <f t="array" ref="AV49">IF(AND(AV$2&lt;&gt;0,#REF!&gt;=AV$2),1,0)</f>
        <v>#REF!</v>
      </c>
      <c r="AW49" s="270" t="e">
        <f t="array" ref="AW49">IF(AND(AW$2&lt;&gt;0,#REF!&gt;=AW$2),1,0)</f>
        <v>#REF!</v>
      </c>
      <c r="AX49" s="270" t="e">
        <f t="array" ref="AX49">IF(AND(AX$2&lt;&gt;0,#REF!&gt;=AX$2),1,0)</f>
        <v>#REF!</v>
      </c>
      <c r="AY49" s="270" t="e">
        <f t="array" ref="AY49">IF(AND(AY$2&lt;&gt;0,#REF!&gt;=AY$2),1,0)</f>
        <v>#REF!</v>
      </c>
      <c r="AZ49" s="270" t="e">
        <f t="array" ref="AZ49">IF(AND(AZ$2&lt;&gt;0,#REF!&gt;=AZ$2),1,0)</f>
        <v>#REF!</v>
      </c>
      <c r="BA49" s="270" t="e">
        <f t="array" ref="BA49">IF(AND(BA$2&lt;&gt;0,#REF!&gt;=BA$2),1,0)</f>
        <v>#REF!</v>
      </c>
      <c r="BB49" s="270" t="e">
        <f t="array" ref="BB49">IF(AND(BB$2&lt;&gt;0,#REF!&gt;=BB$2),1,0)</f>
        <v>#REF!</v>
      </c>
      <c r="BC49" s="270" t="e">
        <f t="array" ref="BC49">IF(AND(BC$2&lt;&gt;0,#REF!&gt;=BC$2),1,0)</f>
        <v>#REF!</v>
      </c>
      <c r="BD49" s="270" t="e">
        <f t="array" ref="BD49">IF(AND(BD$2&lt;&gt;0,#REF!&gt;=BD$2),1,0)</f>
        <v>#REF!</v>
      </c>
      <c r="BE49" s="270" t="e">
        <f t="array" ref="BE49">IF(AND(BE$2&lt;&gt;0,#REF!&gt;=BE$2),1,0)</f>
        <v>#REF!</v>
      </c>
      <c r="BF49" s="270" t="e">
        <f t="array" ref="BF49">IF(AND(BF$2&lt;&gt;0,#REF!&gt;=BF$2),1,0)</f>
        <v>#REF!</v>
      </c>
      <c r="BG49" s="270" t="e">
        <f t="array" ref="BG49">IF(AND(BG$2&lt;&gt;0,#REF!&gt;=BG$2),1,0)</f>
        <v>#REF!</v>
      </c>
      <c r="BH49" s="270" t="e">
        <f t="array" ref="BH49">IF(AND(BH$2&lt;&gt;0,#REF!&gt;=BH$2),1,0)</f>
        <v>#REF!</v>
      </c>
      <c r="BI49" s="270" t="e">
        <f t="array" ref="BI49">IF(AND(BI$2&lt;&gt;0,#REF!&gt;=BI$2),1,0)</f>
        <v>#REF!</v>
      </c>
      <c r="BJ49" s="270" t="e">
        <f t="array" ref="BJ49">IF(AND(BJ$2&lt;&gt;0,#REF!&gt;=BJ$2),1,0)</f>
        <v>#REF!</v>
      </c>
      <c r="BK49" s="270" t="e">
        <f t="array" ref="BK49">IF(AND(BK$2&lt;&gt;0,#REF!&gt;=BK$2),1,0)</f>
        <v>#REF!</v>
      </c>
      <c r="BL49" s="270" t="e">
        <f t="array" ref="BL49">IF(AND(BL$2&lt;&gt;0,#REF!&gt;=BL$2),1,0)</f>
        <v>#REF!</v>
      </c>
      <c r="BM49" s="270" t="e">
        <f t="array" ref="BM49">IF(AND(BM$2&lt;&gt;0,#REF!&gt;=BM$2),1,0)</f>
        <v>#REF!</v>
      </c>
      <c r="BN49" s="270" t="e">
        <f t="array" ref="BN49">IF(AND(BN$2&lt;&gt;0,#REF!&gt;=BN$2),1,0)</f>
        <v>#REF!</v>
      </c>
      <c r="BO49" s="270" t="e">
        <f t="array" ref="BO49">IF(AND(BO$2&lt;&gt;0,#REF!&gt;=BO$2),1,0)</f>
        <v>#REF!</v>
      </c>
      <c r="BP49" s="270" t="e">
        <f t="array" ref="BP49">IF(AND(BP$2&lt;&gt;0,#REF!&gt;=BP$2),1,0)</f>
        <v>#REF!</v>
      </c>
      <c r="BQ49" s="270" t="e">
        <f t="array" ref="BQ49">IF(AND(BQ$2&lt;&gt;0,#REF!&gt;=BQ$2),1,0)</f>
        <v>#REF!</v>
      </c>
      <c r="BR49" s="270" t="e">
        <f t="array" ref="BR49">IF(AND(BR$2&lt;&gt;0,#REF!&gt;=BR$2),1,0)</f>
        <v>#REF!</v>
      </c>
      <c r="BS49" s="270" t="e">
        <f t="array" ref="BS49">IF(AND(BS$2&lt;&gt;0,#REF!&gt;=BS$2),1,0)</f>
        <v>#REF!</v>
      </c>
      <c r="BT49" s="270" t="e">
        <f t="array" ref="BT49">IF(AND(BT$2&lt;&gt;0,#REF!&gt;=BT$2),1,0)</f>
        <v>#REF!</v>
      </c>
      <c r="BU49" s="270" t="e">
        <f t="array" ref="BU49">IF(AND(BU$2&lt;&gt;0,#REF!&gt;=BU$2),1,0)</f>
        <v>#REF!</v>
      </c>
      <c r="BV49" s="270" t="e">
        <f t="array" ref="BV49">IF(AND(BV$2&lt;&gt;0,#REF!&gt;=BV$2),1,0)</f>
        <v>#REF!</v>
      </c>
      <c r="BW49" s="270" t="e">
        <f t="array" ref="BW49">IF(AND(BW$2&lt;&gt;0,#REF!&gt;=BW$2),1,0)</f>
        <v>#REF!</v>
      </c>
      <c r="BX49" s="270" t="e">
        <f t="array" ref="BX49">IF(AND(BX$2&lt;&gt;0,#REF!&gt;=BX$2),1,0)</f>
        <v>#REF!</v>
      </c>
      <c r="BY49" s="270" t="e">
        <f t="array" ref="BY49">IF(AND(BY$2&lt;&gt;0,#REF!&gt;=BY$2),1,0)</f>
        <v>#REF!</v>
      </c>
      <c r="BZ49" s="270" t="e">
        <f t="array" ref="BZ49">IF(AND(BZ$2&lt;&gt;0,#REF!&gt;=BZ$2),1,0)</f>
        <v>#REF!</v>
      </c>
      <c r="CA49" s="359">
        <f>IFERROR(INDEX($H$4:$H$79,MATCH(INDEX(#REF!,1,MATCH(#REF!,$M$2:$BZ$2,0)),$G$4:$G$79,0)),)</f>
        <v>0</v>
      </c>
    </row>
    <row r="50" spans="1:79" x14ac:dyDescent="0.25">
      <c r="A50" s="262" t="e">
        <f>#REF!</f>
        <v>#REF!</v>
      </c>
      <c r="B50" s="263" t="e">
        <f>#REF!</f>
        <v>#REF!</v>
      </c>
      <c r="C50" s="264" t="e">
        <f>#REF!</f>
        <v>#REF!</v>
      </c>
      <c r="D50" s="264" t="e">
        <f>#REF!</f>
        <v>#REF!</v>
      </c>
      <c r="E50" s="265"/>
      <c r="F50" s="266"/>
      <c r="G50" s="267" t="s">
        <v>593</v>
      </c>
      <c r="H50" s="268" t="s">
        <v>719</v>
      </c>
      <c r="I50" s="267" t="s">
        <v>1056</v>
      </c>
      <c r="J50" s="263"/>
      <c r="K50" s="89" t="e">
        <f ca="1">IF(#REF!&lt;&gt;OFFSET(#REF!,-1,0),1,0)</f>
        <v>#REF!</v>
      </c>
      <c r="L50" s="269" t="e">
        <f>COUNTIF(#REF!,1)</f>
        <v>#REF!</v>
      </c>
      <c r="M50" s="270" t="e">
        <f t="array" ref="M50">IF(AND(M$2&lt;&gt;0,#REF!&gt;=M$2),1,0)</f>
        <v>#REF!</v>
      </c>
      <c r="N50" s="270" t="e">
        <f t="array" ref="N50">IF(AND(N$2&lt;&gt;0,#REF!&gt;=N$2),1,0)</f>
        <v>#REF!</v>
      </c>
      <c r="O50" s="270" t="e">
        <f t="array" ref="O50">IF(AND(O$2&lt;&gt;0,#REF!&gt;=O$2),1,0)</f>
        <v>#REF!</v>
      </c>
      <c r="P50" s="270" t="e">
        <f t="array" ref="P50">IF(AND(P$2&lt;&gt;0,#REF!&gt;=P$2),1,0)</f>
        <v>#REF!</v>
      </c>
      <c r="Q50" s="270" t="e">
        <f t="array" ref="Q50">IF(AND(Q$2&lt;&gt;0,#REF!&gt;=Q$2),1,0)</f>
        <v>#REF!</v>
      </c>
      <c r="R50" s="270" t="e">
        <f t="array" ref="R50">IF(AND(R$2&lt;&gt;0,#REF!&gt;=R$2),1,0)</f>
        <v>#REF!</v>
      </c>
      <c r="S50" s="270" t="e">
        <f t="array" ref="S50">IF(AND(S$2&lt;&gt;0,#REF!&gt;=S$2),1,0)</f>
        <v>#REF!</v>
      </c>
      <c r="T50" s="270" t="e">
        <f t="array" ref="T50">IF(AND(T$2&lt;&gt;0,#REF!&gt;=T$2),1,0)</f>
        <v>#REF!</v>
      </c>
      <c r="U50" s="270" t="e">
        <f t="array" ref="U50">IF(AND(U$2&lt;&gt;0,#REF!&gt;=U$2),1,0)</f>
        <v>#REF!</v>
      </c>
      <c r="V50" s="270" t="e">
        <f t="array" ref="V50">IF(AND(V$2&lt;&gt;0,#REF!&gt;=V$2),1,0)</f>
        <v>#REF!</v>
      </c>
      <c r="W50" s="270" t="e">
        <f t="array" ref="W50">IF(AND(W$2&lt;&gt;0,#REF!&gt;=W$2),1,0)</f>
        <v>#REF!</v>
      </c>
      <c r="X50" s="270" t="e">
        <f t="array" ref="X50">IF(AND(X$2&lt;&gt;0,#REF!&gt;=X$2),1,0)</f>
        <v>#REF!</v>
      </c>
      <c r="Y50" s="270" t="e">
        <f t="array" ref="Y50">IF(AND(Y$2&lt;&gt;0,#REF!&gt;=Y$2),1,0)</f>
        <v>#REF!</v>
      </c>
      <c r="Z50" s="270" t="e">
        <f t="array" ref="Z50">IF(AND(Z$2&lt;&gt;0,#REF!&gt;=Z$2),1,0)</f>
        <v>#REF!</v>
      </c>
      <c r="AA50" s="270" t="e">
        <f t="array" ref="AA50">IF(AND(AA$2&lt;&gt;0,#REF!&gt;=AA$2),1,0)</f>
        <v>#REF!</v>
      </c>
      <c r="AB50" s="270" t="e">
        <f t="array" ref="AB50">IF(AND(AB$2&lt;&gt;0,#REF!&gt;=AB$2),1,0)</f>
        <v>#REF!</v>
      </c>
      <c r="AC50" s="270" t="e">
        <f t="array" ref="AC50">IF(AND(AC$2&lt;&gt;0,#REF!&gt;=AC$2),1,0)</f>
        <v>#REF!</v>
      </c>
      <c r="AD50" s="270" t="e">
        <f t="array" ref="AD50">IF(AND(AD$2&lt;&gt;0,#REF!&gt;=AD$2),1,0)</f>
        <v>#REF!</v>
      </c>
      <c r="AE50" s="270" t="e">
        <f t="array" ref="AE50">IF(AND(AE$2&lt;&gt;0,#REF!&gt;=AE$2),1,0)</f>
        <v>#REF!</v>
      </c>
      <c r="AF50" s="270" t="e">
        <f t="array" ref="AF50">IF(AND(AF$2&lt;&gt;0,#REF!&gt;=AF$2),1,0)</f>
        <v>#REF!</v>
      </c>
      <c r="AG50" s="270" t="e">
        <f t="array" ref="AG50">IF(AND(AG$2&lt;&gt;0,#REF!&gt;=AG$2),1,0)</f>
        <v>#REF!</v>
      </c>
      <c r="AH50" s="270" t="e">
        <f t="array" ref="AH50">IF(AND(AH$2&lt;&gt;0,#REF!&gt;=AH$2),1,0)</f>
        <v>#REF!</v>
      </c>
      <c r="AI50" s="270" t="e">
        <f t="array" ref="AI50">IF(AND(AI$2&lt;&gt;0,#REF!&gt;=AI$2),1,0)</f>
        <v>#REF!</v>
      </c>
      <c r="AJ50" s="270" t="e">
        <f t="array" ref="AJ50">IF(AND(AJ$2&lt;&gt;0,#REF!&gt;=AJ$2),1,0)</f>
        <v>#REF!</v>
      </c>
      <c r="AK50" s="270" t="e">
        <f t="array" ref="AK50">IF(AND(AK$2&lt;&gt;0,#REF!&gt;=AK$2),1,0)</f>
        <v>#REF!</v>
      </c>
      <c r="AL50" s="270" t="e">
        <f t="array" ref="AL50">IF(AND(AL$2&lt;&gt;0,#REF!&gt;=AL$2),1,0)</f>
        <v>#REF!</v>
      </c>
      <c r="AM50" s="270" t="e">
        <f t="array" ref="AM50">IF(AND(AM$2&lt;&gt;0,#REF!&gt;=AM$2),1,0)</f>
        <v>#REF!</v>
      </c>
      <c r="AN50" s="270" t="e">
        <f t="array" ref="AN50">IF(AND(AN$2&lt;&gt;0,#REF!&gt;=AN$2),1,0)</f>
        <v>#REF!</v>
      </c>
      <c r="AO50" s="270" t="e">
        <f t="array" ref="AO50">IF(AND(AO$2&lt;&gt;0,#REF!&gt;=AO$2),1,0)</f>
        <v>#REF!</v>
      </c>
      <c r="AP50" s="270" t="e">
        <f t="array" ref="AP50">IF(AND(AP$2&lt;&gt;0,#REF!&gt;=AP$2),1,0)</f>
        <v>#REF!</v>
      </c>
      <c r="AQ50" s="270" t="e">
        <f t="array" ref="AQ50">IF(AND(AQ$2&lt;&gt;0,#REF!&gt;=AQ$2),1,0)</f>
        <v>#REF!</v>
      </c>
      <c r="AR50" s="270" t="e">
        <f t="array" ref="AR50">IF(AND(AR$2&lt;&gt;0,#REF!&gt;=AR$2),1,0)</f>
        <v>#REF!</v>
      </c>
      <c r="AS50" s="270" t="e">
        <f t="array" ref="AS50">IF(AND(AS$2&lt;&gt;0,#REF!&gt;=AS$2),1,0)</f>
        <v>#REF!</v>
      </c>
      <c r="AT50" s="270" t="e">
        <f t="array" ref="AT50">IF(AND(AT$2&lt;&gt;0,#REF!&gt;=AT$2),1,0)</f>
        <v>#REF!</v>
      </c>
      <c r="AU50" s="270" t="e">
        <f t="array" ref="AU50">IF(AND(AU$2&lt;&gt;0,#REF!&gt;=AU$2),1,0)</f>
        <v>#REF!</v>
      </c>
      <c r="AV50" s="270" t="e">
        <f t="array" ref="AV50">IF(AND(AV$2&lt;&gt;0,#REF!&gt;=AV$2),1,0)</f>
        <v>#REF!</v>
      </c>
      <c r="AW50" s="270" t="e">
        <f t="array" ref="AW50">IF(AND(AW$2&lt;&gt;0,#REF!&gt;=AW$2),1,0)</f>
        <v>#REF!</v>
      </c>
      <c r="AX50" s="270" t="e">
        <f t="array" ref="AX50">IF(AND(AX$2&lt;&gt;0,#REF!&gt;=AX$2),1,0)</f>
        <v>#REF!</v>
      </c>
      <c r="AY50" s="270" t="e">
        <f t="array" ref="AY50">IF(AND(AY$2&lt;&gt;0,#REF!&gt;=AY$2),1,0)</f>
        <v>#REF!</v>
      </c>
      <c r="AZ50" s="270" t="e">
        <f t="array" ref="AZ50">IF(AND(AZ$2&lt;&gt;0,#REF!&gt;=AZ$2),1,0)</f>
        <v>#REF!</v>
      </c>
      <c r="BA50" s="270" t="e">
        <f t="array" ref="BA50">IF(AND(BA$2&lt;&gt;0,#REF!&gt;=BA$2),1,0)</f>
        <v>#REF!</v>
      </c>
      <c r="BB50" s="270" t="e">
        <f t="array" ref="BB50">IF(AND(BB$2&lt;&gt;0,#REF!&gt;=BB$2),1,0)</f>
        <v>#REF!</v>
      </c>
      <c r="BC50" s="270" t="e">
        <f t="array" ref="BC50">IF(AND(BC$2&lt;&gt;0,#REF!&gt;=BC$2),1,0)</f>
        <v>#REF!</v>
      </c>
      <c r="BD50" s="270" t="e">
        <f t="array" ref="BD50">IF(AND(BD$2&lt;&gt;0,#REF!&gt;=BD$2),1,0)</f>
        <v>#REF!</v>
      </c>
      <c r="BE50" s="270" t="e">
        <f t="array" ref="BE50">IF(AND(BE$2&lt;&gt;0,#REF!&gt;=BE$2),1,0)</f>
        <v>#REF!</v>
      </c>
      <c r="BF50" s="270" t="e">
        <f t="array" ref="BF50">IF(AND(BF$2&lt;&gt;0,#REF!&gt;=BF$2),1,0)</f>
        <v>#REF!</v>
      </c>
      <c r="BG50" s="270" t="e">
        <f t="array" ref="BG50">IF(AND(BG$2&lt;&gt;0,#REF!&gt;=BG$2),1,0)</f>
        <v>#REF!</v>
      </c>
      <c r="BH50" s="270" t="e">
        <f t="array" ref="BH50">IF(AND(BH$2&lt;&gt;0,#REF!&gt;=BH$2),1,0)</f>
        <v>#REF!</v>
      </c>
      <c r="BI50" s="270" t="e">
        <f t="array" ref="BI50">IF(AND(BI$2&lt;&gt;0,#REF!&gt;=BI$2),1,0)</f>
        <v>#REF!</v>
      </c>
      <c r="BJ50" s="270" t="e">
        <f t="array" ref="BJ50">IF(AND(BJ$2&lt;&gt;0,#REF!&gt;=BJ$2),1,0)</f>
        <v>#REF!</v>
      </c>
      <c r="BK50" s="270" t="e">
        <f t="array" ref="BK50">IF(AND(BK$2&lt;&gt;0,#REF!&gt;=BK$2),1,0)</f>
        <v>#REF!</v>
      </c>
      <c r="BL50" s="270" t="e">
        <f t="array" ref="BL50">IF(AND(BL$2&lt;&gt;0,#REF!&gt;=BL$2),1,0)</f>
        <v>#REF!</v>
      </c>
      <c r="BM50" s="270" t="e">
        <f t="array" ref="BM50">IF(AND(BM$2&lt;&gt;0,#REF!&gt;=BM$2),1,0)</f>
        <v>#REF!</v>
      </c>
      <c r="BN50" s="270" t="e">
        <f t="array" ref="BN50">IF(AND(BN$2&lt;&gt;0,#REF!&gt;=BN$2),1,0)</f>
        <v>#REF!</v>
      </c>
      <c r="BO50" s="270" t="e">
        <f t="array" ref="BO50">IF(AND(BO$2&lt;&gt;0,#REF!&gt;=BO$2),1,0)</f>
        <v>#REF!</v>
      </c>
      <c r="BP50" s="270" t="e">
        <f t="array" ref="BP50">IF(AND(BP$2&lt;&gt;0,#REF!&gt;=BP$2),1,0)</f>
        <v>#REF!</v>
      </c>
      <c r="BQ50" s="270" t="e">
        <f t="array" ref="BQ50">IF(AND(BQ$2&lt;&gt;0,#REF!&gt;=BQ$2),1,0)</f>
        <v>#REF!</v>
      </c>
      <c r="BR50" s="270" t="e">
        <f t="array" ref="BR50">IF(AND(BR$2&lt;&gt;0,#REF!&gt;=BR$2),1,0)</f>
        <v>#REF!</v>
      </c>
      <c r="BS50" s="270" t="e">
        <f t="array" ref="BS50">IF(AND(BS$2&lt;&gt;0,#REF!&gt;=BS$2),1,0)</f>
        <v>#REF!</v>
      </c>
      <c r="BT50" s="270" t="e">
        <f t="array" ref="BT50">IF(AND(BT$2&lt;&gt;0,#REF!&gt;=BT$2),1,0)</f>
        <v>#REF!</v>
      </c>
      <c r="BU50" s="270" t="e">
        <f t="array" ref="BU50">IF(AND(BU$2&lt;&gt;0,#REF!&gt;=BU$2),1,0)</f>
        <v>#REF!</v>
      </c>
      <c r="BV50" s="270" t="e">
        <f t="array" ref="BV50">IF(AND(BV$2&lt;&gt;0,#REF!&gt;=BV$2),1,0)</f>
        <v>#REF!</v>
      </c>
      <c r="BW50" s="270" t="e">
        <f t="array" ref="BW50">IF(AND(BW$2&lt;&gt;0,#REF!&gt;=BW$2),1,0)</f>
        <v>#REF!</v>
      </c>
      <c r="BX50" s="270" t="e">
        <f t="array" ref="BX50">IF(AND(BX$2&lt;&gt;0,#REF!&gt;=BX$2),1,0)</f>
        <v>#REF!</v>
      </c>
      <c r="BY50" s="270" t="e">
        <f t="array" ref="BY50">IF(AND(BY$2&lt;&gt;0,#REF!&gt;=BY$2),1,0)</f>
        <v>#REF!</v>
      </c>
      <c r="BZ50" s="270" t="e">
        <f t="array" ref="BZ50">IF(AND(BZ$2&lt;&gt;0,#REF!&gt;=BZ$2),1,0)</f>
        <v>#REF!</v>
      </c>
      <c r="CA50" s="359">
        <f>IFERROR(INDEX($H$4:$H$79,MATCH(INDEX(#REF!,1,MATCH(#REF!,$M$2:$BZ$2,0)),$G$4:$G$79,0)),)</f>
        <v>0</v>
      </c>
    </row>
    <row r="51" spans="1:79" x14ac:dyDescent="0.25">
      <c r="A51" s="262" t="e">
        <f>#REF!</f>
        <v>#REF!</v>
      </c>
      <c r="B51" s="263" t="e">
        <f>#REF!</f>
        <v>#REF!</v>
      </c>
      <c r="C51" s="264" t="e">
        <f>#REF!</f>
        <v>#REF!</v>
      </c>
      <c r="D51" s="264" t="e">
        <f>#REF!</f>
        <v>#REF!</v>
      </c>
      <c r="E51" s="265"/>
      <c r="F51" s="266"/>
      <c r="G51" s="267" t="s">
        <v>594</v>
      </c>
      <c r="H51" s="268" t="s">
        <v>394</v>
      </c>
      <c r="I51" s="267" t="s">
        <v>1060</v>
      </c>
      <c r="J51" s="263"/>
      <c r="K51" s="89" t="e">
        <f ca="1">IF(#REF!&lt;&gt;OFFSET(#REF!,-1,0),1,0)</f>
        <v>#REF!</v>
      </c>
      <c r="L51" s="269" t="e">
        <f>COUNTIF(#REF!,1)</f>
        <v>#REF!</v>
      </c>
      <c r="M51" s="270" t="e">
        <f t="array" ref="M51">IF(AND(M$2&lt;&gt;0,#REF!&gt;=M$2),1,0)</f>
        <v>#REF!</v>
      </c>
      <c r="N51" s="270" t="e">
        <f t="array" ref="N51">IF(AND(N$2&lt;&gt;0,#REF!&gt;=N$2),1,0)</f>
        <v>#REF!</v>
      </c>
      <c r="O51" s="270" t="e">
        <f t="array" ref="O51">IF(AND(O$2&lt;&gt;0,#REF!&gt;=O$2),1,0)</f>
        <v>#REF!</v>
      </c>
      <c r="P51" s="270" t="e">
        <f t="array" ref="P51">IF(AND(P$2&lt;&gt;0,#REF!&gt;=P$2),1,0)</f>
        <v>#REF!</v>
      </c>
      <c r="Q51" s="270" t="e">
        <f t="array" ref="Q51">IF(AND(Q$2&lt;&gt;0,#REF!&gt;=Q$2),1,0)</f>
        <v>#REF!</v>
      </c>
      <c r="R51" s="270" t="e">
        <f t="array" ref="R51">IF(AND(R$2&lt;&gt;0,#REF!&gt;=R$2),1,0)</f>
        <v>#REF!</v>
      </c>
      <c r="S51" s="270" t="e">
        <f t="array" ref="S51">IF(AND(S$2&lt;&gt;0,#REF!&gt;=S$2),1,0)</f>
        <v>#REF!</v>
      </c>
      <c r="T51" s="270" t="e">
        <f t="array" ref="T51">IF(AND(T$2&lt;&gt;0,#REF!&gt;=T$2),1,0)</f>
        <v>#REF!</v>
      </c>
      <c r="U51" s="270" t="e">
        <f t="array" ref="U51">IF(AND(U$2&lt;&gt;0,#REF!&gt;=U$2),1,0)</f>
        <v>#REF!</v>
      </c>
      <c r="V51" s="270" t="e">
        <f t="array" ref="V51">IF(AND(V$2&lt;&gt;0,#REF!&gt;=V$2),1,0)</f>
        <v>#REF!</v>
      </c>
      <c r="W51" s="270" t="e">
        <f t="array" ref="W51">IF(AND(W$2&lt;&gt;0,#REF!&gt;=W$2),1,0)</f>
        <v>#REF!</v>
      </c>
      <c r="X51" s="270" t="e">
        <f t="array" ref="X51">IF(AND(X$2&lt;&gt;0,#REF!&gt;=X$2),1,0)</f>
        <v>#REF!</v>
      </c>
      <c r="Y51" s="270" t="e">
        <f t="array" ref="Y51">IF(AND(Y$2&lt;&gt;0,#REF!&gt;=Y$2),1,0)</f>
        <v>#REF!</v>
      </c>
      <c r="Z51" s="270" t="e">
        <f t="array" ref="Z51">IF(AND(Z$2&lt;&gt;0,#REF!&gt;=Z$2),1,0)</f>
        <v>#REF!</v>
      </c>
      <c r="AA51" s="270" t="e">
        <f t="array" ref="AA51">IF(AND(AA$2&lt;&gt;0,#REF!&gt;=AA$2),1,0)</f>
        <v>#REF!</v>
      </c>
      <c r="AB51" s="270" t="e">
        <f t="array" ref="AB51">IF(AND(AB$2&lt;&gt;0,#REF!&gt;=AB$2),1,0)</f>
        <v>#REF!</v>
      </c>
      <c r="AC51" s="270" t="e">
        <f t="array" ref="AC51">IF(AND(AC$2&lt;&gt;0,#REF!&gt;=AC$2),1,0)</f>
        <v>#REF!</v>
      </c>
      <c r="AD51" s="270" t="e">
        <f t="array" ref="AD51">IF(AND(AD$2&lt;&gt;0,#REF!&gt;=AD$2),1,0)</f>
        <v>#REF!</v>
      </c>
      <c r="AE51" s="270" t="e">
        <f t="array" ref="AE51">IF(AND(AE$2&lt;&gt;0,#REF!&gt;=AE$2),1,0)</f>
        <v>#REF!</v>
      </c>
      <c r="AF51" s="270" t="e">
        <f t="array" ref="AF51">IF(AND(AF$2&lt;&gt;0,#REF!&gt;=AF$2),1,0)</f>
        <v>#REF!</v>
      </c>
      <c r="AG51" s="270" t="e">
        <f t="array" ref="AG51">IF(AND(AG$2&lt;&gt;0,#REF!&gt;=AG$2),1,0)</f>
        <v>#REF!</v>
      </c>
      <c r="AH51" s="270" t="e">
        <f t="array" ref="AH51">IF(AND(AH$2&lt;&gt;0,#REF!&gt;=AH$2),1,0)</f>
        <v>#REF!</v>
      </c>
      <c r="AI51" s="270" t="e">
        <f t="array" ref="AI51">IF(AND(AI$2&lt;&gt;0,#REF!&gt;=AI$2),1,0)</f>
        <v>#REF!</v>
      </c>
      <c r="AJ51" s="270" t="e">
        <f t="array" ref="AJ51">IF(AND(AJ$2&lt;&gt;0,#REF!&gt;=AJ$2),1,0)</f>
        <v>#REF!</v>
      </c>
      <c r="AK51" s="270" t="e">
        <f t="array" ref="AK51">IF(AND(AK$2&lt;&gt;0,#REF!&gt;=AK$2),1,0)</f>
        <v>#REF!</v>
      </c>
      <c r="AL51" s="270" t="e">
        <f t="array" ref="AL51">IF(AND(AL$2&lt;&gt;0,#REF!&gt;=AL$2),1,0)</f>
        <v>#REF!</v>
      </c>
      <c r="AM51" s="270" t="e">
        <f t="array" ref="AM51">IF(AND(AM$2&lt;&gt;0,#REF!&gt;=AM$2),1,0)</f>
        <v>#REF!</v>
      </c>
      <c r="AN51" s="270" t="e">
        <f t="array" ref="AN51">IF(AND(AN$2&lt;&gt;0,#REF!&gt;=AN$2),1,0)</f>
        <v>#REF!</v>
      </c>
      <c r="AO51" s="270" t="e">
        <f t="array" ref="AO51">IF(AND(AO$2&lt;&gt;0,#REF!&gt;=AO$2),1,0)</f>
        <v>#REF!</v>
      </c>
      <c r="AP51" s="270" t="e">
        <f t="array" ref="AP51">IF(AND(AP$2&lt;&gt;0,#REF!&gt;=AP$2),1,0)</f>
        <v>#REF!</v>
      </c>
      <c r="AQ51" s="270" t="e">
        <f t="array" ref="AQ51">IF(AND(AQ$2&lt;&gt;0,#REF!&gt;=AQ$2),1,0)</f>
        <v>#REF!</v>
      </c>
      <c r="AR51" s="270" t="e">
        <f t="array" ref="AR51">IF(AND(AR$2&lt;&gt;0,#REF!&gt;=AR$2),1,0)</f>
        <v>#REF!</v>
      </c>
      <c r="AS51" s="270" t="e">
        <f t="array" ref="AS51">IF(AND(AS$2&lt;&gt;0,#REF!&gt;=AS$2),1,0)</f>
        <v>#REF!</v>
      </c>
      <c r="AT51" s="270" t="e">
        <f t="array" ref="AT51">IF(AND(AT$2&lt;&gt;0,#REF!&gt;=AT$2),1,0)</f>
        <v>#REF!</v>
      </c>
      <c r="AU51" s="270" t="e">
        <f t="array" ref="AU51">IF(AND(AU$2&lt;&gt;0,#REF!&gt;=AU$2),1,0)</f>
        <v>#REF!</v>
      </c>
      <c r="AV51" s="270" t="e">
        <f t="array" ref="AV51">IF(AND(AV$2&lt;&gt;0,#REF!&gt;=AV$2),1,0)</f>
        <v>#REF!</v>
      </c>
      <c r="AW51" s="270" t="e">
        <f t="array" ref="AW51">IF(AND(AW$2&lt;&gt;0,#REF!&gt;=AW$2),1,0)</f>
        <v>#REF!</v>
      </c>
      <c r="AX51" s="270" t="e">
        <f t="array" ref="AX51">IF(AND(AX$2&lt;&gt;0,#REF!&gt;=AX$2),1,0)</f>
        <v>#REF!</v>
      </c>
      <c r="AY51" s="270" t="e">
        <f t="array" ref="AY51">IF(AND(AY$2&lt;&gt;0,#REF!&gt;=AY$2),1,0)</f>
        <v>#REF!</v>
      </c>
      <c r="AZ51" s="270" t="e">
        <f t="array" ref="AZ51">IF(AND(AZ$2&lt;&gt;0,#REF!&gt;=AZ$2),1,0)</f>
        <v>#REF!</v>
      </c>
      <c r="BA51" s="270" t="e">
        <f t="array" ref="BA51">IF(AND(BA$2&lt;&gt;0,#REF!&gt;=BA$2),1,0)</f>
        <v>#REF!</v>
      </c>
      <c r="BB51" s="270" t="e">
        <f t="array" ref="BB51">IF(AND(BB$2&lt;&gt;0,#REF!&gt;=BB$2),1,0)</f>
        <v>#REF!</v>
      </c>
      <c r="BC51" s="270" t="e">
        <f t="array" ref="BC51">IF(AND(BC$2&lt;&gt;0,#REF!&gt;=BC$2),1,0)</f>
        <v>#REF!</v>
      </c>
      <c r="BD51" s="270" t="e">
        <f t="array" ref="BD51">IF(AND(BD$2&lt;&gt;0,#REF!&gt;=BD$2),1,0)</f>
        <v>#REF!</v>
      </c>
      <c r="BE51" s="270" t="e">
        <f t="array" ref="BE51">IF(AND(BE$2&lt;&gt;0,#REF!&gt;=BE$2),1,0)</f>
        <v>#REF!</v>
      </c>
      <c r="BF51" s="270" t="e">
        <f t="array" ref="BF51">IF(AND(BF$2&lt;&gt;0,#REF!&gt;=BF$2),1,0)</f>
        <v>#REF!</v>
      </c>
      <c r="BG51" s="270" t="e">
        <f t="array" ref="BG51">IF(AND(BG$2&lt;&gt;0,#REF!&gt;=BG$2),1,0)</f>
        <v>#REF!</v>
      </c>
      <c r="BH51" s="270" t="e">
        <f t="array" ref="BH51">IF(AND(BH$2&lt;&gt;0,#REF!&gt;=BH$2),1,0)</f>
        <v>#REF!</v>
      </c>
      <c r="BI51" s="270" t="e">
        <f t="array" ref="BI51">IF(AND(BI$2&lt;&gt;0,#REF!&gt;=BI$2),1,0)</f>
        <v>#REF!</v>
      </c>
      <c r="BJ51" s="270" t="e">
        <f t="array" ref="BJ51">IF(AND(BJ$2&lt;&gt;0,#REF!&gt;=BJ$2),1,0)</f>
        <v>#REF!</v>
      </c>
      <c r="BK51" s="270" t="e">
        <f t="array" ref="BK51">IF(AND(BK$2&lt;&gt;0,#REF!&gt;=BK$2),1,0)</f>
        <v>#REF!</v>
      </c>
      <c r="BL51" s="270" t="e">
        <f t="array" ref="BL51">IF(AND(BL$2&lt;&gt;0,#REF!&gt;=BL$2),1,0)</f>
        <v>#REF!</v>
      </c>
      <c r="BM51" s="270" t="e">
        <f t="array" ref="BM51">IF(AND(BM$2&lt;&gt;0,#REF!&gt;=BM$2),1,0)</f>
        <v>#REF!</v>
      </c>
      <c r="BN51" s="270" t="e">
        <f t="array" ref="BN51">IF(AND(BN$2&lt;&gt;0,#REF!&gt;=BN$2),1,0)</f>
        <v>#REF!</v>
      </c>
      <c r="BO51" s="270" t="e">
        <f t="array" ref="BO51">IF(AND(BO$2&lt;&gt;0,#REF!&gt;=BO$2),1,0)</f>
        <v>#REF!</v>
      </c>
      <c r="BP51" s="270" t="e">
        <f t="array" ref="BP51">IF(AND(BP$2&lt;&gt;0,#REF!&gt;=BP$2),1,0)</f>
        <v>#REF!</v>
      </c>
      <c r="BQ51" s="270" t="e">
        <f t="array" ref="BQ51">IF(AND(BQ$2&lt;&gt;0,#REF!&gt;=BQ$2),1,0)</f>
        <v>#REF!</v>
      </c>
      <c r="BR51" s="270" t="e">
        <f t="array" ref="BR51">IF(AND(BR$2&lt;&gt;0,#REF!&gt;=BR$2),1,0)</f>
        <v>#REF!</v>
      </c>
      <c r="BS51" s="270" t="e">
        <f t="array" ref="BS51">IF(AND(BS$2&lt;&gt;0,#REF!&gt;=BS$2),1,0)</f>
        <v>#REF!</v>
      </c>
      <c r="BT51" s="270" t="e">
        <f t="array" ref="BT51">IF(AND(BT$2&lt;&gt;0,#REF!&gt;=BT$2),1,0)</f>
        <v>#REF!</v>
      </c>
      <c r="BU51" s="270" t="e">
        <f t="array" ref="BU51">IF(AND(BU$2&lt;&gt;0,#REF!&gt;=BU$2),1,0)</f>
        <v>#REF!</v>
      </c>
      <c r="BV51" s="270" t="e">
        <f t="array" ref="BV51">IF(AND(BV$2&lt;&gt;0,#REF!&gt;=BV$2),1,0)</f>
        <v>#REF!</v>
      </c>
      <c r="BW51" s="270" t="e">
        <f t="array" ref="BW51">IF(AND(BW$2&lt;&gt;0,#REF!&gt;=BW$2),1,0)</f>
        <v>#REF!</v>
      </c>
      <c r="BX51" s="270" t="e">
        <f t="array" ref="BX51">IF(AND(BX$2&lt;&gt;0,#REF!&gt;=BX$2),1,0)</f>
        <v>#REF!</v>
      </c>
      <c r="BY51" s="270" t="e">
        <f t="array" ref="BY51">IF(AND(BY$2&lt;&gt;0,#REF!&gt;=BY$2),1,0)</f>
        <v>#REF!</v>
      </c>
      <c r="BZ51" s="270" t="e">
        <f t="array" ref="BZ51">IF(AND(BZ$2&lt;&gt;0,#REF!&gt;=BZ$2),1,0)</f>
        <v>#REF!</v>
      </c>
      <c r="CA51" s="359">
        <f>IFERROR(INDEX($H$4:$H$79,MATCH(INDEX(#REF!,1,MATCH(#REF!,$M$2:$BZ$2,0)),$G$4:$G$79,0)),)</f>
        <v>0</v>
      </c>
    </row>
    <row r="52" spans="1:79" x14ac:dyDescent="0.25">
      <c r="A52" s="262" t="e">
        <f>#REF!</f>
        <v>#REF!</v>
      </c>
      <c r="B52" s="263" t="e">
        <f>#REF!</f>
        <v>#REF!</v>
      </c>
      <c r="C52" s="264" t="e">
        <f>#REF!</f>
        <v>#REF!</v>
      </c>
      <c r="D52" s="264" t="e">
        <f>#REF!</f>
        <v>#REF!</v>
      </c>
      <c r="E52" s="265"/>
      <c r="F52" s="266"/>
      <c r="G52" s="267" t="s">
        <v>595</v>
      </c>
      <c r="H52" s="268" t="s">
        <v>721</v>
      </c>
      <c r="I52" s="267" t="s">
        <v>630</v>
      </c>
      <c r="J52" s="263"/>
      <c r="K52" s="89" t="e">
        <f ca="1">IF(#REF!&lt;&gt;OFFSET(#REF!,-1,0),1,0)</f>
        <v>#REF!</v>
      </c>
      <c r="L52" s="269" t="e">
        <f>COUNTIF(#REF!,1)</f>
        <v>#REF!</v>
      </c>
      <c r="M52" s="270" t="e">
        <f t="array" ref="M52">IF(AND(M$2&lt;&gt;0,#REF!&gt;=M$2),1,0)</f>
        <v>#REF!</v>
      </c>
      <c r="N52" s="270" t="e">
        <f t="array" ref="N52">IF(AND(N$2&lt;&gt;0,#REF!&gt;=N$2),1,0)</f>
        <v>#REF!</v>
      </c>
      <c r="O52" s="270" t="e">
        <f t="array" ref="O52">IF(AND(O$2&lt;&gt;0,#REF!&gt;=O$2),1,0)</f>
        <v>#REF!</v>
      </c>
      <c r="P52" s="270" t="e">
        <f t="array" ref="P52">IF(AND(P$2&lt;&gt;0,#REF!&gt;=P$2),1,0)</f>
        <v>#REF!</v>
      </c>
      <c r="Q52" s="270" t="e">
        <f t="array" ref="Q52">IF(AND(Q$2&lt;&gt;0,#REF!&gt;=Q$2),1,0)</f>
        <v>#REF!</v>
      </c>
      <c r="R52" s="270" t="e">
        <f t="array" ref="R52">IF(AND(R$2&lt;&gt;0,#REF!&gt;=R$2),1,0)</f>
        <v>#REF!</v>
      </c>
      <c r="S52" s="270" t="e">
        <f t="array" ref="S52">IF(AND(S$2&lt;&gt;0,#REF!&gt;=S$2),1,0)</f>
        <v>#REF!</v>
      </c>
      <c r="T52" s="270" t="e">
        <f t="array" ref="T52">IF(AND(T$2&lt;&gt;0,#REF!&gt;=T$2),1,0)</f>
        <v>#REF!</v>
      </c>
      <c r="U52" s="270" t="e">
        <f t="array" ref="U52">IF(AND(U$2&lt;&gt;0,#REF!&gt;=U$2),1,0)</f>
        <v>#REF!</v>
      </c>
      <c r="V52" s="270" t="e">
        <f t="array" ref="V52">IF(AND(V$2&lt;&gt;0,#REF!&gt;=V$2),1,0)</f>
        <v>#REF!</v>
      </c>
      <c r="W52" s="270" t="e">
        <f t="array" ref="W52">IF(AND(W$2&lt;&gt;0,#REF!&gt;=W$2),1,0)</f>
        <v>#REF!</v>
      </c>
      <c r="X52" s="270" t="e">
        <f t="array" ref="X52">IF(AND(X$2&lt;&gt;0,#REF!&gt;=X$2),1,0)</f>
        <v>#REF!</v>
      </c>
      <c r="Y52" s="270" t="e">
        <f t="array" ref="Y52">IF(AND(Y$2&lt;&gt;0,#REF!&gt;=Y$2),1,0)</f>
        <v>#REF!</v>
      </c>
      <c r="Z52" s="270" t="e">
        <f t="array" ref="Z52">IF(AND(Z$2&lt;&gt;0,#REF!&gt;=Z$2),1,0)</f>
        <v>#REF!</v>
      </c>
      <c r="AA52" s="270" t="e">
        <f t="array" ref="AA52">IF(AND(AA$2&lt;&gt;0,#REF!&gt;=AA$2),1,0)</f>
        <v>#REF!</v>
      </c>
      <c r="AB52" s="270" t="e">
        <f t="array" ref="AB52">IF(AND(AB$2&lt;&gt;0,#REF!&gt;=AB$2),1,0)</f>
        <v>#REF!</v>
      </c>
      <c r="AC52" s="270" t="e">
        <f t="array" ref="AC52">IF(AND(AC$2&lt;&gt;0,#REF!&gt;=AC$2),1,0)</f>
        <v>#REF!</v>
      </c>
      <c r="AD52" s="270" t="e">
        <f t="array" ref="AD52">IF(AND(AD$2&lt;&gt;0,#REF!&gt;=AD$2),1,0)</f>
        <v>#REF!</v>
      </c>
      <c r="AE52" s="270" t="e">
        <f t="array" ref="AE52">IF(AND(AE$2&lt;&gt;0,#REF!&gt;=AE$2),1,0)</f>
        <v>#REF!</v>
      </c>
      <c r="AF52" s="270" t="e">
        <f t="array" ref="AF52">IF(AND(AF$2&lt;&gt;0,#REF!&gt;=AF$2),1,0)</f>
        <v>#REF!</v>
      </c>
      <c r="AG52" s="270" t="e">
        <f t="array" ref="AG52">IF(AND(AG$2&lt;&gt;0,#REF!&gt;=AG$2),1,0)</f>
        <v>#REF!</v>
      </c>
      <c r="AH52" s="270" t="e">
        <f t="array" ref="AH52">IF(AND(AH$2&lt;&gt;0,#REF!&gt;=AH$2),1,0)</f>
        <v>#REF!</v>
      </c>
      <c r="AI52" s="270" t="e">
        <f t="array" ref="AI52">IF(AND(AI$2&lt;&gt;0,#REF!&gt;=AI$2),1,0)</f>
        <v>#REF!</v>
      </c>
      <c r="AJ52" s="270" t="e">
        <f t="array" ref="AJ52">IF(AND(AJ$2&lt;&gt;0,#REF!&gt;=AJ$2),1,0)</f>
        <v>#REF!</v>
      </c>
      <c r="AK52" s="270" t="e">
        <f t="array" ref="AK52">IF(AND(AK$2&lt;&gt;0,#REF!&gt;=AK$2),1,0)</f>
        <v>#REF!</v>
      </c>
      <c r="AL52" s="270" t="e">
        <f t="array" ref="AL52">IF(AND(AL$2&lt;&gt;0,#REF!&gt;=AL$2),1,0)</f>
        <v>#REF!</v>
      </c>
      <c r="AM52" s="270" t="e">
        <f t="array" ref="AM52">IF(AND(AM$2&lt;&gt;0,#REF!&gt;=AM$2),1,0)</f>
        <v>#REF!</v>
      </c>
      <c r="AN52" s="270" t="e">
        <f t="array" ref="AN52">IF(AND(AN$2&lt;&gt;0,#REF!&gt;=AN$2),1,0)</f>
        <v>#REF!</v>
      </c>
      <c r="AO52" s="270" t="e">
        <f t="array" ref="AO52">IF(AND(AO$2&lt;&gt;0,#REF!&gt;=AO$2),1,0)</f>
        <v>#REF!</v>
      </c>
      <c r="AP52" s="270" t="e">
        <f t="array" ref="AP52">IF(AND(AP$2&lt;&gt;0,#REF!&gt;=AP$2),1,0)</f>
        <v>#REF!</v>
      </c>
      <c r="AQ52" s="270" t="e">
        <f t="array" ref="AQ52">IF(AND(AQ$2&lt;&gt;0,#REF!&gt;=AQ$2),1,0)</f>
        <v>#REF!</v>
      </c>
      <c r="AR52" s="270" t="e">
        <f t="array" ref="AR52">IF(AND(AR$2&lt;&gt;0,#REF!&gt;=AR$2),1,0)</f>
        <v>#REF!</v>
      </c>
      <c r="AS52" s="270" t="e">
        <f t="array" ref="AS52">IF(AND(AS$2&lt;&gt;0,#REF!&gt;=AS$2),1,0)</f>
        <v>#REF!</v>
      </c>
      <c r="AT52" s="270" t="e">
        <f t="array" ref="AT52">IF(AND(AT$2&lt;&gt;0,#REF!&gt;=AT$2),1,0)</f>
        <v>#REF!</v>
      </c>
      <c r="AU52" s="270" t="e">
        <f t="array" ref="AU52">IF(AND(AU$2&lt;&gt;0,#REF!&gt;=AU$2),1,0)</f>
        <v>#REF!</v>
      </c>
      <c r="AV52" s="270" t="e">
        <f t="array" ref="AV52">IF(AND(AV$2&lt;&gt;0,#REF!&gt;=AV$2),1,0)</f>
        <v>#REF!</v>
      </c>
      <c r="AW52" s="270" t="e">
        <f t="array" ref="AW52">IF(AND(AW$2&lt;&gt;0,#REF!&gt;=AW$2),1,0)</f>
        <v>#REF!</v>
      </c>
      <c r="AX52" s="270" t="e">
        <f t="array" ref="AX52">IF(AND(AX$2&lt;&gt;0,#REF!&gt;=AX$2),1,0)</f>
        <v>#REF!</v>
      </c>
      <c r="AY52" s="270" t="e">
        <f t="array" ref="AY52">IF(AND(AY$2&lt;&gt;0,#REF!&gt;=AY$2),1,0)</f>
        <v>#REF!</v>
      </c>
      <c r="AZ52" s="270" t="e">
        <f t="array" ref="AZ52">IF(AND(AZ$2&lt;&gt;0,#REF!&gt;=AZ$2),1,0)</f>
        <v>#REF!</v>
      </c>
      <c r="BA52" s="270" t="e">
        <f t="array" ref="BA52">IF(AND(BA$2&lt;&gt;0,#REF!&gt;=BA$2),1,0)</f>
        <v>#REF!</v>
      </c>
      <c r="BB52" s="270" t="e">
        <f t="array" ref="BB52">IF(AND(BB$2&lt;&gt;0,#REF!&gt;=BB$2),1,0)</f>
        <v>#REF!</v>
      </c>
      <c r="BC52" s="270" t="e">
        <f t="array" ref="BC52">IF(AND(BC$2&lt;&gt;0,#REF!&gt;=BC$2),1,0)</f>
        <v>#REF!</v>
      </c>
      <c r="BD52" s="270" t="e">
        <f t="array" ref="BD52">IF(AND(BD$2&lt;&gt;0,#REF!&gt;=BD$2),1,0)</f>
        <v>#REF!</v>
      </c>
      <c r="BE52" s="270" t="e">
        <f t="array" ref="BE52">IF(AND(BE$2&lt;&gt;0,#REF!&gt;=BE$2),1,0)</f>
        <v>#REF!</v>
      </c>
      <c r="BF52" s="270" t="e">
        <f t="array" ref="BF52">IF(AND(BF$2&lt;&gt;0,#REF!&gt;=BF$2),1,0)</f>
        <v>#REF!</v>
      </c>
      <c r="BG52" s="270" t="e">
        <f t="array" ref="BG52">IF(AND(BG$2&lt;&gt;0,#REF!&gt;=BG$2),1,0)</f>
        <v>#REF!</v>
      </c>
      <c r="BH52" s="270" t="e">
        <f t="array" ref="BH52">IF(AND(BH$2&lt;&gt;0,#REF!&gt;=BH$2),1,0)</f>
        <v>#REF!</v>
      </c>
      <c r="BI52" s="270" t="e">
        <f t="array" ref="BI52">IF(AND(BI$2&lt;&gt;0,#REF!&gt;=BI$2),1,0)</f>
        <v>#REF!</v>
      </c>
      <c r="BJ52" s="270" t="e">
        <f t="array" ref="BJ52">IF(AND(BJ$2&lt;&gt;0,#REF!&gt;=BJ$2),1,0)</f>
        <v>#REF!</v>
      </c>
      <c r="BK52" s="270" t="e">
        <f t="array" ref="BK52">IF(AND(BK$2&lt;&gt;0,#REF!&gt;=BK$2),1,0)</f>
        <v>#REF!</v>
      </c>
      <c r="BL52" s="270" t="e">
        <f t="array" ref="BL52">IF(AND(BL$2&lt;&gt;0,#REF!&gt;=BL$2),1,0)</f>
        <v>#REF!</v>
      </c>
      <c r="BM52" s="270" t="e">
        <f t="array" ref="BM52">IF(AND(BM$2&lt;&gt;0,#REF!&gt;=BM$2),1,0)</f>
        <v>#REF!</v>
      </c>
      <c r="BN52" s="270" t="e">
        <f t="array" ref="BN52">IF(AND(BN$2&lt;&gt;0,#REF!&gt;=BN$2),1,0)</f>
        <v>#REF!</v>
      </c>
      <c r="BO52" s="270" t="e">
        <f t="array" ref="BO52">IF(AND(BO$2&lt;&gt;0,#REF!&gt;=BO$2),1,0)</f>
        <v>#REF!</v>
      </c>
      <c r="BP52" s="270" t="e">
        <f t="array" ref="BP52">IF(AND(BP$2&lt;&gt;0,#REF!&gt;=BP$2),1,0)</f>
        <v>#REF!</v>
      </c>
      <c r="BQ52" s="270" t="e">
        <f t="array" ref="BQ52">IF(AND(BQ$2&lt;&gt;0,#REF!&gt;=BQ$2),1,0)</f>
        <v>#REF!</v>
      </c>
      <c r="BR52" s="270" t="e">
        <f t="array" ref="BR52">IF(AND(BR$2&lt;&gt;0,#REF!&gt;=BR$2),1,0)</f>
        <v>#REF!</v>
      </c>
      <c r="BS52" s="270" t="e">
        <f t="array" ref="BS52">IF(AND(BS$2&lt;&gt;0,#REF!&gt;=BS$2),1,0)</f>
        <v>#REF!</v>
      </c>
      <c r="BT52" s="270" t="e">
        <f t="array" ref="BT52">IF(AND(BT$2&lt;&gt;0,#REF!&gt;=BT$2),1,0)</f>
        <v>#REF!</v>
      </c>
      <c r="BU52" s="270" t="e">
        <f t="array" ref="BU52">IF(AND(BU$2&lt;&gt;0,#REF!&gt;=BU$2),1,0)</f>
        <v>#REF!</v>
      </c>
      <c r="BV52" s="270" t="e">
        <f t="array" ref="BV52">IF(AND(BV$2&lt;&gt;0,#REF!&gt;=BV$2),1,0)</f>
        <v>#REF!</v>
      </c>
      <c r="BW52" s="270" t="e">
        <f t="array" ref="BW52">IF(AND(BW$2&lt;&gt;0,#REF!&gt;=BW$2),1,0)</f>
        <v>#REF!</v>
      </c>
      <c r="BX52" s="270" t="e">
        <f t="array" ref="BX52">IF(AND(BX$2&lt;&gt;0,#REF!&gt;=BX$2),1,0)</f>
        <v>#REF!</v>
      </c>
      <c r="BY52" s="270" t="e">
        <f t="array" ref="BY52">IF(AND(BY$2&lt;&gt;0,#REF!&gt;=BY$2),1,0)</f>
        <v>#REF!</v>
      </c>
      <c r="BZ52" s="270" t="e">
        <f t="array" ref="BZ52">IF(AND(BZ$2&lt;&gt;0,#REF!&gt;=BZ$2),1,0)</f>
        <v>#REF!</v>
      </c>
      <c r="CA52" s="359">
        <f>IFERROR(INDEX($H$4:$H$79,MATCH(INDEX(#REF!,1,MATCH(#REF!,$M$2:$BZ$2,0)),$G$4:$G$79,0)),)</f>
        <v>0</v>
      </c>
    </row>
    <row r="53" spans="1:79" x14ac:dyDescent="0.25">
      <c r="A53" s="262" t="e">
        <f>#REF!</f>
        <v>#REF!</v>
      </c>
      <c r="B53" s="263" t="e">
        <f>#REF!</f>
        <v>#REF!</v>
      </c>
      <c r="C53" s="264" t="e">
        <f>#REF!</f>
        <v>#REF!</v>
      </c>
      <c r="D53" s="264" t="e">
        <f>#REF!</f>
        <v>#REF!</v>
      </c>
      <c r="E53" s="265"/>
      <c r="F53" s="266"/>
      <c r="G53" s="267"/>
      <c r="H53" s="268"/>
      <c r="I53" s="267"/>
      <c r="J53" s="263"/>
      <c r="K53" s="89" t="e">
        <f ca="1">IF(#REF!&lt;&gt;OFFSET(#REF!,-1,0),1,0)</f>
        <v>#REF!</v>
      </c>
      <c r="L53" s="269" t="e">
        <f>COUNTIF(#REF!,1)</f>
        <v>#REF!</v>
      </c>
      <c r="M53" s="270" t="e">
        <f t="array" ref="M53">IF(AND(M$2&lt;&gt;0,#REF!&gt;=M$2),1,0)</f>
        <v>#REF!</v>
      </c>
      <c r="N53" s="270" t="e">
        <f t="array" ref="N53">IF(AND(N$2&lt;&gt;0,#REF!&gt;=N$2),1,0)</f>
        <v>#REF!</v>
      </c>
      <c r="O53" s="270" t="e">
        <f t="array" ref="O53">IF(AND(O$2&lt;&gt;0,#REF!&gt;=O$2),1,0)</f>
        <v>#REF!</v>
      </c>
      <c r="P53" s="270" t="e">
        <f t="array" ref="P53">IF(AND(P$2&lt;&gt;0,#REF!&gt;=P$2),1,0)</f>
        <v>#REF!</v>
      </c>
      <c r="Q53" s="270" t="e">
        <f t="array" ref="Q53">IF(AND(Q$2&lt;&gt;0,#REF!&gt;=Q$2),1,0)</f>
        <v>#REF!</v>
      </c>
      <c r="R53" s="270" t="e">
        <f t="array" ref="R53">IF(AND(R$2&lt;&gt;0,#REF!&gt;=R$2),1,0)</f>
        <v>#REF!</v>
      </c>
      <c r="S53" s="270" t="e">
        <f t="array" ref="S53">IF(AND(S$2&lt;&gt;0,#REF!&gt;=S$2),1,0)</f>
        <v>#REF!</v>
      </c>
      <c r="T53" s="270" t="e">
        <f t="array" ref="T53">IF(AND(T$2&lt;&gt;0,#REF!&gt;=T$2),1,0)</f>
        <v>#REF!</v>
      </c>
      <c r="U53" s="270" t="e">
        <f t="array" ref="U53">IF(AND(U$2&lt;&gt;0,#REF!&gt;=U$2),1,0)</f>
        <v>#REF!</v>
      </c>
      <c r="V53" s="270" t="e">
        <f t="array" ref="V53">IF(AND(V$2&lt;&gt;0,#REF!&gt;=V$2),1,0)</f>
        <v>#REF!</v>
      </c>
      <c r="W53" s="270" t="e">
        <f t="array" ref="W53">IF(AND(W$2&lt;&gt;0,#REF!&gt;=W$2),1,0)</f>
        <v>#REF!</v>
      </c>
      <c r="X53" s="270" t="e">
        <f t="array" ref="X53">IF(AND(X$2&lt;&gt;0,#REF!&gt;=X$2),1,0)</f>
        <v>#REF!</v>
      </c>
      <c r="Y53" s="270" t="e">
        <f t="array" ref="Y53">IF(AND(Y$2&lt;&gt;0,#REF!&gt;=Y$2),1,0)</f>
        <v>#REF!</v>
      </c>
      <c r="Z53" s="270" t="e">
        <f t="array" ref="Z53">IF(AND(Z$2&lt;&gt;0,#REF!&gt;=Z$2),1,0)</f>
        <v>#REF!</v>
      </c>
      <c r="AA53" s="270" t="e">
        <f t="array" ref="AA53">IF(AND(AA$2&lt;&gt;0,#REF!&gt;=AA$2),1,0)</f>
        <v>#REF!</v>
      </c>
      <c r="AB53" s="270" t="e">
        <f t="array" ref="AB53">IF(AND(AB$2&lt;&gt;0,#REF!&gt;=AB$2),1,0)</f>
        <v>#REF!</v>
      </c>
      <c r="AC53" s="270" t="e">
        <f t="array" ref="AC53">IF(AND(AC$2&lt;&gt;0,#REF!&gt;=AC$2),1,0)</f>
        <v>#REF!</v>
      </c>
      <c r="AD53" s="270" t="e">
        <f t="array" ref="AD53">IF(AND(AD$2&lt;&gt;0,#REF!&gt;=AD$2),1,0)</f>
        <v>#REF!</v>
      </c>
      <c r="AE53" s="270" t="e">
        <f t="array" ref="AE53">IF(AND(AE$2&lt;&gt;0,#REF!&gt;=AE$2),1,0)</f>
        <v>#REF!</v>
      </c>
      <c r="AF53" s="270" t="e">
        <f t="array" ref="AF53">IF(AND(AF$2&lt;&gt;0,#REF!&gt;=AF$2),1,0)</f>
        <v>#REF!</v>
      </c>
      <c r="AG53" s="270" t="e">
        <f t="array" ref="AG53">IF(AND(AG$2&lt;&gt;0,#REF!&gt;=AG$2),1,0)</f>
        <v>#REF!</v>
      </c>
      <c r="AH53" s="270" t="e">
        <f t="array" ref="AH53">IF(AND(AH$2&lt;&gt;0,#REF!&gt;=AH$2),1,0)</f>
        <v>#REF!</v>
      </c>
      <c r="AI53" s="270" t="e">
        <f t="array" ref="AI53">IF(AND(AI$2&lt;&gt;0,#REF!&gt;=AI$2),1,0)</f>
        <v>#REF!</v>
      </c>
      <c r="AJ53" s="270" t="e">
        <f t="array" ref="AJ53">IF(AND(AJ$2&lt;&gt;0,#REF!&gt;=AJ$2),1,0)</f>
        <v>#REF!</v>
      </c>
      <c r="AK53" s="270" t="e">
        <f t="array" ref="AK53">IF(AND(AK$2&lt;&gt;0,#REF!&gt;=AK$2),1,0)</f>
        <v>#REF!</v>
      </c>
      <c r="AL53" s="270" t="e">
        <f t="array" ref="AL53">IF(AND(AL$2&lt;&gt;0,#REF!&gt;=AL$2),1,0)</f>
        <v>#REF!</v>
      </c>
      <c r="AM53" s="270" t="e">
        <f t="array" ref="AM53">IF(AND(AM$2&lt;&gt;0,#REF!&gt;=AM$2),1,0)</f>
        <v>#REF!</v>
      </c>
      <c r="AN53" s="270" t="e">
        <f t="array" ref="AN53">IF(AND(AN$2&lt;&gt;0,#REF!&gt;=AN$2),1,0)</f>
        <v>#REF!</v>
      </c>
      <c r="AO53" s="270" t="e">
        <f t="array" ref="AO53">IF(AND(AO$2&lt;&gt;0,#REF!&gt;=AO$2),1,0)</f>
        <v>#REF!</v>
      </c>
      <c r="AP53" s="270" t="e">
        <f t="array" ref="AP53">IF(AND(AP$2&lt;&gt;0,#REF!&gt;=AP$2),1,0)</f>
        <v>#REF!</v>
      </c>
      <c r="AQ53" s="270" t="e">
        <f t="array" ref="AQ53">IF(AND(AQ$2&lt;&gt;0,#REF!&gt;=AQ$2),1,0)</f>
        <v>#REF!</v>
      </c>
      <c r="AR53" s="270" t="e">
        <f t="array" ref="AR53">IF(AND(AR$2&lt;&gt;0,#REF!&gt;=AR$2),1,0)</f>
        <v>#REF!</v>
      </c>
      <c r="AS53" s="270" t="e">
        <f t="array" ref="AS53">IF(AND(AS$2&lt;&gt;0,#REF!&gt;=AS$2),1,0)</f>
        <v>#REF!</v>
      </c>
      <c r="AT53" s="270" t="e">
        <f t="array" ref="AT53">IF(AND(AT$2&lt;&gt;0,#REF!&gt;=AT$2),1,0)</f>
        <v>#REF!</v>
      </c>
      <c r="AU53" s="270" t="e">
        <f t="array" ref="AU53">IF(AND(AU$2&lt;&gt;0,#REF!&gt;=AU$2),1,0)</f>
        <v>#REF!</v>
      </c>
      <c r="AV53" s="270" t="e">
        <f t="array" ref="AV53">IF(AND(AV$2&lt;&gt;0,#REF!&gt;=AV$2),1,0)</f>
        <v>#REF!</v>
      </c>
      <c r="AW53" s="270" t="e">
        <f t="array" ref="AW53">IF(AND(AW$2&lt;&gt;0,#REF!&gt;=AW$2),1,0)</f>
        <v>#REF!</v>
      </c>
      <c r="AX53" s="270" t="e">
        <f t="array" ref="AX53">IF(AND(AX$2&lt;&gt;0,#REF!&gt;=AX$2),1,0)</f>
        <v>#REF!</v>
      </c>
      <c r="AY53" s="270" t="e">
        <f t="array" ref="AY53">IF(AND(AY$2&lt;&gt;0,#REF!&gt;=AY$2),1,0)</f>
        <v>#REF!</v>
      </c>
      <c r="AZ53" s="270" t="e">
        <f t="array" ref="AZ53">IF(AND(AZ$2&lt;&gt;0,#REF!&gt;=AZ$2),1,0)</f>
        <v>#REF!</v>
      </c>
      <c r="BA53" s="270" t="e">
        <f t="array" ref="BA53">IF(AND(BA$2&lt;&gt;0,#REF!&gt;=BA$2),1,0)</f>
        <v>#REF!</v>
      </c>
      <c r="BB53" s="270" t="e">
        <f t="array" ref="BB53">IF(AND(BB$2&lt;&gt;0,#REF!&gt;=BB$2),1,0)</f>
        <v>#REF!</v>
      </c>
      <c r="BC53" s="270" t="e">
        <f t="array" ref="BC53">IF(AND(BC$2&lt;&gt;0,#REF!&gt;=BC$2),1,0)</f>
        <v>#REF!</v>
      </c>
      <c r="BD53" s="270" t="e">
        <f t="array" ref="BD53">IF(AND(BD$2&lt;&gt;0,#REF!&gt;=BD$2),1,0)</f>
        <v>#REF!</v>
      </c>
      <c r="BE53" s="270" t="e">
        <f t="array" ref="BE53">IF(AND(BE$2&lt;&gt;0,#REF!&gt;=BE$2),1,0)</f>
        <v>#REF!</v>
      </c>
      <c r="BF53" s="270" t="e">
        <f t="array" ref="BF53">IF(AND(BF$2&lt;&gt;0,#REF!&gt;=BF$2),1,0)</f>
        <v>#REF!</v>
      </c>
      <c r="BG53" s="270" t="e">
        <f t="array" ref="BG53">IF(AND(BG$2&lt;&gt;0,#REF!&gt;=BG$2),1,0)</f>
        <v>#REF!</v>
      </c>
      <c r="BH53" s="270" t="e">
        <f t="array" ref="BH53">IF(AND(BH$2&lt;&gt;0,#REF!&gt;=BH$2),1,0)</f>
        <v>#REF!</v>
      </c>
      <c r="BI53" s="270" t="e">
        <f t="array" ref="BI53">IF(AND(BI$2&lt;&gt;0,#REF!&gt;=BI$2),1,0)</f>
        <v>#REF!</v>
      </c>
      <c r="BJ53" s="270" t="e">
        <f t="array" ref="BJ53">IF(AND(BJ$2&lt;&gt;0,#REF!&gt;=BJ$2),1,0)</f>
        <v>#REF!</v>
      </c>
      <c r="BK53" s="270" t="e">
        <f t="array" ref="BK53">IF(AND(BK$2&lt;&gt;0,#REF!&gt;=BK$2),1,0)</f>
        <v>#REF!</v>
      </c>
      <c r="BL53" s="270" t="e">
        <f t="array" ref="BL53">IF(AND(BL$2&lt;&gt;0,#REF!&gt;=BL$2),1,0)</f>
        <v>#REF!</v>
      </c>
      <c r="BM53" s="270" t="e">
        <f t="array" ref="BM53">IF(AND(BM$2&lt;&gt;0,#REF!&gt;=BM$2),1,0)</f>
        <v>#REF!</v>
      </c>
      <c r="BN53" s="270" t="e">
        <f t="array" ref="BN53">IF(AND(BN$2&lt;&gt;0,#REF!&gt;=BN$2),1,0)</f>
        <v>#REF!</v>
      </c>
      <c r="BO53" s="270" t="e">
        <f t="array" ref="BO53">IF(AND(BO$2&lt;&gt;0,#REF!&gt;=BO$2),1,0)</f>
        <v>#REF!</v>
      </c>
      <c r="BP53" s="270" t="e">
        <f t="array" ref="BP53">IF(AND(BP$2&lt;&gt;0,#REF!&gt;=BP$2),1,0)</f>
        <v>#REF!</v>
      </c>
      <c r="BQ53" s="270" t="e">
        <f t="array" ref="BQ53">IF(AND(BQ$2&lt;&gt;0,#REF!&gt;=BQ$2),1,0)</f>
        <v>#REF!</v>
      </c>
      <c r="BR53" s="270" t="e">
        <f t="array" ref="BR53">IF(AND(BR$2&lt;&gt;0,#REF!&gt;=BR$2),1,0)</f>
        <v>#REF!</v>
      </c>
      <c r="BS53" s="270" t="e">
        <f t="array" ref="BS53">IF(AND(BS$2&lt;&gt;0,#REF!&gt;=BS$2),1,0)</f>
        <v>#REF!</v>
      </c>
      <c r="BT53" s="270" t="e">
        <f t="array" ref="BT53">IF(AND(BT$2&lt;&gt;0,#REF!&gt;=BT$2),1,0)</f>
        <v>#REF!</v>
      </c>
      <c r="BU53" s="270" t="e">
        <f t="array" ref="BU53">IF(AND(BU$2&lt;&gt;0,#REF!&gt;=BU$2),1,0)</f>
        <v>#REF!</v>
      </c>
      <c r="BV53" s="270" t="e">
        <f t="array" ref="BV53">IF(AND(BV$2&lt;&gt;0,#REF!&gt;=BV$2),1,0)</f>
        <v>#REF!</v>
      </c>
      <c r="BW53" s="270" t="e">
        <f t="array" ref="BW53">IF(AND(BW$2&lt;&gt;0,#REF!&gt;=BW$2),1,0)</f>
        <v>#REF!</v>
      </c>
      <c r="BX53" s="270" t="e">
        <f t="array" ref="BX53">IF(AND(BX$2&lt;&gt;0,#REF!&gt;=BX$2),1,0)</f>
        <v>#REF!</v>
      </c>
      <c r="BY53" s="270" t="e">
        <f t="array" ref="BY53">IF(AND(BY$2&lt;&gt;0,#REF!&gt;=BY$2),1,0)</f>
        <v>#REF!</v>
      </c>
      <c r="BZ53" s="270" t="e">
        <f t="array" ref="BZ53">IF(AND(BZ$2&lt;&gt;0,#REF!&gt;=BZ$2),1,0)</f>
        <v>#REF!</v>
      </c>
      <c r="CA53" s="359">
        <f>IFERROR(INDEX($H$4:$H$79,MATCH(INDEX(#REF!,1,MATCH(#REF!,$M$2:$BZ$2,0)),$G$4:$G$79,0)),)</f>
        <v>0</v>
      </c>
    </row>
    <row r="54" spans="1:79" x14ac:dyDescent="0.25">
      <c r="A54" s="262" t="e">
        <f>#REF!</f>
        <v>#REF!</v>
      </c>
      <c r="B54" s="263" t="e">
        <f>#REF!</f>
        <v>#REF!</v>
      </c>
      <c r="C54" s="264" t="e">
        <f>#REF!</f>
        <v>#REF!</v>
      </c>
      <c r="D54" s="264" t="e">
        <f>#REF!</f>
        <v>#REF!</v>
      </c>
      <c r="E54" s="265"/>
      <c r="F54" s="266"/>
      <c r="G54" s="267" t="s">
        <v>596</v>
      </c>
      <c r="H54" s="268" t="s">
        <v>722</v>
      </c>
      <c r="I54" s="267" t="s">
        <v>562</v>
      </c>
      <c r="J54" s="263"/>
      <c r="K54" s="89" t="e">
        <f ca="1">IF(#REF!&lt;&gt;OFFSET(#REF!,-1,0),1,0)</f>
        <v>#REF!</v>
      </c>
      <c r="L54" s="269" t="e">
        <f>COUNTIF(#REF!,1)</f>
        <v>#REF!</v>
      </c>
      <c r="M54" s="270" t="e">
        <f t="array" ref="M54">IF(AND(M$2&lt;&gt;0,#REF!&gt;=M$2),1,0)</f>
        <v>#REF!</v>
      </c>
      <c r="N54" s="270" t="e">
        <f t="array" ref="N54">IF(AND(N$2&lt;&gt;0,#REF!&gt;=N$2),1,0)</f>
        <v>#REF!</v>
      </c>
      <c r="O54" s="270" t="e">
        <f t="array" ref="O54">IF(AND(O$2&lt;&gt;0,#REF!&gt;=O$2),1,0)</f>
        <v>#REF!</v>
      </c>
      <c r="P54" s="270" t="e">
        <f t="array" ref="P54">IF(AND(P$2&lt;&gt;0,#REF!&gt;=P$2),1,0)</f>
        <v>#REF!</v>
      </c>
      <c r="Q54" s="270" t="e">
        <f t="array" ref="Q54">IF(AND(Q$2&lt;&gt;0,#REF!&gt;=Q$2),1,0)</f>
        <v>#REF!</v>
      </c>
      <c r="R54" s="270" t="e">
        <f t="array" ref="R54">IF(AND(R$2&lt;&gt;0,#REF!&gt;=R$2),1,0)</f>
        <v>#REF!</v>
      </c>
      <c r="S54" s="270" t="e">
        <f t="array" ref="S54">IF(AND(S$2&lt;&gt;0,#REF!&gt;=S$2),1,0)</f>
        <v>#REF!</v>
      </c>
      <c r="T54" s="270" t="e">
        <f t="array" ref="T54">IF(AND(T$2&lt;&gt;0,#REF!&gt;=T$2),1,0)</f>
        <v>#REF!</v>
      </c>
      <c r="U54" s="270" t="e">
        <f t="array" ref="U54">IF(AND(U$2&lt;&gt;0,#REF!&gt;=U$2),1,0)</f>
        <v>#REF!</v>
      </c>
      <c r="V54" s="270" t="e">
        <f t="array" ref="V54">IF(AND(V$2&lt;&gt;0,#REF!&gt;=V$2),1,0)</f>
        <v>#REF!</v>
      </c>
      <c r="W54" s="270" t="e">
        <f t="array" ref="W54">IF(AND(W$2&lt;&gt;0,#REF!&gt;=W$2),1,0)</f>
        <v>#REF!</v>
      </c>
      <c r="X54" s="270" t="e">
        <f t="array" ref="X54">IF(AND(X$2&lt;&gt;0,#REF!&gt;=X$2),1,0)</f>
        <v>#REF!</v>
      </c>
      <c r="Y54" s="270" t="e">
        <f t="array" ref="Y54">IF(AND(Y$2&lt;&gt;0,#REF!&gt;=Y$2),1,0)</f>
        <v>#REF!</v>
      </c>
      <c r="Z54" s="270" t="e">
        <f t="array" ref="Z54">IF(AND(Z$2&lt;&gt;0,#REF!&gt;=Z$2),1,0)</f>
        <v>#REF!</v>
      </c>
      <c r="AA54" s="270" t="e">
        <f t="array" ref="AA54">IF(AND(AA$2&lt;&gt;0,#REF!&gt;=AA$2),1,0)</f>
        <v>#REF!</v>
      </c>
      <c r="AB54" s="270" t="e">
        <f t="array" ref="AB54">IF(AND(AB$2&lt;&gt;0,#REF!&gt;=AB$2),1,0)</f>
        <v>#REF!</v>
      </c>
      <c r="AC54" s="270" t="e">
        <f t="array" ref="AC54">IF(AND(AC$2&lt;&gt;0,#REF!&gt;=AC$2),1,0)</f>
        <v>#REF!</v>
      </c>
      <c r="AD54" s="270" t="e">
        <f t="array" ref="AD54">IF(AND(AD$2&lt;&gt;0,#REF!&gt;=AD$2),1,0)</f>
        <v>#REF!</v>
      </c>
      <c r="AE54" s="270" t="e">
        <f t="array" ref="AE54">IF(AND(AE$2&lt;&gt;0,#REF!&gt;=AE$2),1,0)</f>
        <v>#REF!</v>
      </c>
      <c r="AF54" s="270" t="e">
        <f t="array" ref="AF54">IF(AND(AF$2&lt;&gt;0,#REF!&gt;=AF$2),1,0)</f>
        <v>#REF!</v>
      </c>
      <c r="AG54" s="270" t="e">
        <f t="array" ref="AG54">IF(AND(AG$2&lt;&gt;0,#REF!&gt;=AG$2),1,0)</f>
        <v>#REF!</v>
      </c>
      <c r="AH54" s="270" t="e">
        <f t="array" ref="AH54">IF(AND(AH$2&lt;&gt;0,#REF!&gt;=AH$2),1,0)</f>
        <v>#REF!</v>
      </c>
      <c r="AI54" s="270" t="e">
        <f t="array" ref="AI54">IF(AND(AI$2&lt;&gt;0,#REF!&gt;=AI$2),1,0)</f>
        <v>#REF!</v>
      </c>
      <c r="AJ54" s="270" t="e">
        <f t="array" ref="AJ54">IF(AND(AJ$2&lt;&gt;0,#REF!&gt;=AJ$2),1,0)</f>
        <v>#REF!</v>
      </c>
      <c r="AK54" s="270" t="e">
        <f t="array" ref="AK54">IF(AND(AK$2&lt;&gt;0,#REF!&gt;=AK$2),1,0)</f>
        <v>#REF!</v>
      </c>
      <c r="AL54" s="270" t="e">
        <f t="array" ref="AL54">IF(AND(AL$2&lt;&gt;0,#REF!&gt;=AL$2),1,0)</f>
        <v>#REF!</v>
      </c>
      <c r="AM54" s="270" t="e">
        <f t="array" ref="AM54">IF(AND(AM$2&lt;&gt;0,#REF!&gt;=AM$2),1,0)</f>
        <v>#REF!</v>
      </c>
      <c r="AN54" s="270" t="e">
        <f t="array" ref="AN54">IF(AND(AN$2&lt;&gt;0,#REF!&gt;=AN$2),1,0)</f>
        <v>#REF!</v>
      </c>
      <c r="AO54" s="270" t="e">
        <f t="array" ref="AO54">IF(AND(AO$2&lt;&gt;0,#REF!&gt;=AO$2),1,0)</f>
        <v>#REF!</v>
      </c>
      <c r="AP54" s="270" t="e">
        <f t="array" ref="AP54">IF(AND(AP$2&lt;&gt;0,#REF!&gt;=AP$2),1,0)</f>
        <v>#REF!</v>
      </c>
      <c r="AQ54" s="270" t="e">
        <f t="array" ref="AQ54">IF(AND(AQ$2&lt;&gt;0,#REF!&gt;=AQ$2),1,0)</f>
        <v>#REF!</v>
      </c>
      <c r="AR54" s="270" t="e">
        <f t="array" ref="AR54">IF(AND(AR$2&lt;&gt;0,#REF!&gt;=AR$2),1,0)</f>
        <v>#REF!</v>
      </c>
      <c r="AS54" s="270" t="e">
        <f t="array" ref="AS54">IF(AND(AS$2&lt;&gt;0,#REF!&gt;=AS$2),1,0)</f>
        <v>#REF!</v>
      </c>
      <c r="AT54" s="270" t="e">
        <f t="array" ref="AT54">IF(AND(AT$2&lt;&gt;0,#REF!&gt;=AT$2),1,0)</f>
        <v>#REF!</v>
      </c>
      <c r="AU54" s="270" t="e">
        <f t="array" ref="AU54">IF(AND(AU$2&lt;&gt;0,#REF!&gt;=AU$2),1,0)</f>
        <v>#REF!</v>
      </c>
      <c r="AV54" s="270" t="e">
        <f t="array" ref="AV54">IF(AND(AV$2&lt;&gt;0,#REF!&gt;=AV$2),1,0)</f>
        <v>#REF!</v>
      </c>
      <c r="AW54" s="270" t="e">
        <f t="array" ref="AW54">IF(AND(AW$2&lt;&gt;0,#REF!&gt;=AW$2),1,0)</f>
        <v>#REF!</v>
      </c>
      <c r="AX54" s="270" t="e">
        <f t="array" ref="AX54">IF(AND(AX$2&lt;&gt;0,#REF!&gt;=AX$2),1,0)</f>
        <v>#REF!</v>
      </c>
      <c r="AY54" s="270" t="e">
        <f t="array" ref="AY54">IF(AND(AY$2&lt;&gt;0,#REF!&gt;=AY$2),1,0)</f>
        <v>#REF!</v>
      </c>
      <c r="AZ54" s="270" t="e">
        <f t="array" ref="AZ54">IF(AND(AZ$2&lt;&gt;0,#REF!&gt;=AZ$2),1,0)</f>
        <v>#REF!</v>
      </c>
      <c r="BA54" s="270" t="e">
        <f t="array" ref="BA54">IF(AND(BA$2&lt;&gt;0,#REF!&gt;=BA$2),1,0)</f>
        <v>#REF!</v>
      </c>
      <c r="BB54" s="270" t="e">
        <f t="array" ref="BB54">IF(AND(BB$2&lt;&gt;0,#REF!&gt;=BB$2),1,0)</f>
        <v>#REF!</v>
      </c>
      <c r="BC54" s="270" t="e">
        <f t="array" ref="BC54">IF(AND(BC$2&lt;&gt;0,#REF!&gt;=BC$2),1,0)</f>
        <v>#REF!</v>
      </c>
      <c r="BD54" s="270" t="e">
        <f t="array" ref="BD54">IF(AND(BD$2&lt;&gt;0,#REF!&gt;=BD$2),1,0)</f>
        <v>#REF!</v>
      </c>
      <c r="BE54" s="270" t="e">
        <f t="array" ref="BE54">IF(AND(BE$2&lt;&gt;0,#REF!&gt;=BE$2),1,0)</f>
        <v>#REF!</v>
      </c>
      <c r="BF54" s="270" t="e">
        <f t="array" ref="BF54">IF(AND(BF$2&lt;&gt;0,#REF!&gt;=BF$2),1,0)</f>
        <v>#REF!</v>
      </c>
      <c r="BG54" s="270" t="e">
        <f t="array" ref="BG54">IF(AND(BG$2&lt;&gt;0,#REF!&gt;=BG$2),1,0)</f>
        <v>#REF!</v>
      </c>
      <c r="BH54" s="270" t="e">
        <f t="array" ref="BH54">IF(AND(BH$2&lt;&gt;0,#REF!&gt;=BH$2),1,0)</f>
        <v>#REF!</v>
      </c>
      <c r="BI54" s="270" t="e">
        <f t="array" ref="BI54">IF(AND(BI$2&lt;&gt;0,#REF!&gt;=BI$2),1,0)</f>
        <v>#REF!</v>
      </c>
      <c r="BJ54" s="270" t="e">
        <f t="array" ref="BJ54">IF(AND(BJ$2&lt;&gt;0,#REF!&gt;=BJ$2),1,0)</f>
        <v>#REF!</v>
      </c>
      <c r="BK54" s="270" t="e">
        <f t="array" ref="BK54">IF(AND(BK$2&lt;&gt;0,#REF!&gt;=BK$2),1,0)</f>
        <v>#REF!</v>
      </c>
      <c r="BL54" s="270" t="e">
        <f t="array" ref="BL54">IF(AND(BL$2&lt;&gt;0,#REF!&gt;=BL$2),1,0)</f>
        <v>#REF!</v>
      </c>
      <c r="BM54" s="270" t="e">
        <f t="array" ref="BM54">IF(AND(BM$2&lt;&gt;0,#REF!&gt;=BM$2),1,0)</f>
        <v>#REF!</v>
      </c>
      <c r="BN54" s="270" t="e">
        <f t="array" ref="BN54">IF(AND(BN$2&lt;&gt;0,#REF!&gt;=BN$2),1,0)</f>
        <v>#REF!</v>
      </c>
      <c r="BO54" s="270" t="e">
        <f t="array" ref="BO54">IF(AND(BO$2&lt;&gt;0,#REF!&gt;=BO$2),1,0)</f>
        <v>#REF!</v>
      </c>
      <c r="BP54" s="270" t="e">
        <f t="array" ref="BP54">IF(AND(BP$2&lt;&gt;0,#REF!&gt;=BP$2),1,0)</f>
        <v>#REF!</v>
      </c>
      <c r="BQ54" s="270" t="e">
        <f t="array" ref="BQ54">IF(AND(BQ$2&lt;&gt;0,#REF!&gt;=BQ$2),1,0)</f>
        <v>#REF!</v>
      </c>
      <c r="BR54" s="270" t="e">
        <f t="array" ref="BR54">IF(AND(BR$2&lt;&gt;0,#REF!&gt;=BR$2),1,0)</f>
        <v>#REF!</v>
      </c>
      <c r="BS54" s="270" t="e">
        <f t="array" ref="BS54">IF(AND(BS$2&lt;&gt;0,#REF!&gt;=BS$2),1,0)</f>
        <v>#REF!</v>
      </c>
      <c r="BT54" s="270" t="e">
        <f t="array" ref="BT54">IF(AND(BT$2&lt;&gt;0,#REF!&gt;=BT$2),1,0)</f>
        <v>#REF!</v>
      </c>
      <c r="BU54" s="270" t="e">
        <f t="array" ref="BU54">IF(AND(BU$2&lt;&gt;0,#REF!&gt;=BU$2),1,0)</f>
        <v>#REF!</v>
      </c>
      <c r="BV54" s="270" t="e">
        <f t="array" ref="BV54">IF(AND(BV$2&lt;&gt;0,#REF!&gt;=BV$2),1,0)</f>
        <v>#REF!</v>
      </c>
      <c r="BW54" s="270" t="e">
        <f t="array" ref="BW54">IF(AND(BW$2&lt;&gt;0,#REF!&gt;=BW$2),1,0)</f>
        <v>#REF!</v>
      </c>
      <c r="BX54" s="270" t="e">
        <f t="array" ref="BX54">IF(AND(BX$2&lt;&gt;0,#REF!&gt;=BX$2),1,0)</f>
        <v>#REF!</v>
      </c>
      <c r="BY54" s="270" t="e">
        <f t="array" ref="BY54">IF(AND(BY$2&lt;&gt;0,#REF!&gt;=BY$2),1,0)</f>
        <v>#REF!</v>
      </c>
      <c r="BZ54" s="270" t="e">
        <f t="array" ref="BZ54">IF(AND(BZ$2&lt;&gt;0,#REF!&gt;=BZ$2),1,0)</f>
        <v>#REF!</v>
      </c>
      <c r="CA54" s="359">
        <f>IFERROR(INDEX($H$4:$H$79,MATCH(INDEX(#REF!,1,MATCH(#REF!,$M$2:$BZ$2,0)),$G$4:$G$79,0)),)</f>
        <v>0</v>
      </c>
    </row>
    <row r="55" spans="1:79" x14ac:dyDescent="0.25">
      <c r="A55" s="262" t="e">
        <f>#REF!</f>
        <v>#REF!</v>
      </c>
      <c r="B55" s="263" t="e">
        <f>#REF!</f>
        <v>#REF!</v>
      </c>
      <c r="C55" s="264" t="e">
        <f>#REF!</f>
        <v>#REF!</v>
      </c>
      <c r="D55" s="264" t="e">
        <f>#REF!</f>
        <v>#REF!</v>
      </c>
      <c r="E55" s="265"/>
      <c r="F55" s="266"/>
      <c r="G55" s="267" t="s">
        <v>597</v>
      </c>
      <c r="H55" s="268" t="s">
        <v>723</v>
      </c>
      <c r="I55" s="267" t="s">
        <v>598</v>
      </c>
      <c r="J55" s="263"/>
      <c r="K55" s="89" t="e">
        <f ca="1">IF(#REF!&lt;&gt;OFFSET(#REF!,-1,0),1,0)</f>
        <v>#REF!</v>
      </c>
      <c r="L55" s="269" t="e">
        <f>COUNTIF(#REF!,1)</f>
        <v>#REF!</v>
      </c>
      <c r="M55" s="270" t="e">
        <f t="array" ref="M55">IF(AND(M$2&lt;&gt;0,#REF!&gt;=M$2),1,0)</f>
        <v>#REF!</v>
      </c>
      <c r="N55" s="270" t="e">
        <f t="array" ref="N55">IF(AND(N$2&lt;&gt;0,#REF!&gt;=N$2),1,0)</f>
        <v>#REF!</v>
      </c>
      <c r="O55" s="270" t="e">
        <f t="array" ref="O55">IF(AND(O$2&lt;&gt;0,#REF!&gt;=O$2),1,0)</f>
        <v>#REF!</v>
      </c>
      <c r="P55" s="270" t="e">
        <f t="array" ref="P55">IF(AND(P$2&lt;&gt;0,#REF!&gt;=P$2),1,0)</f>
        <v>#REF!</v>
      </c>
      <c r="Q55" s="270" t="e">
        <f t="array" ref="Q55">IF(AND(Q$2&lt;&gt;0,#REF!&gt;=Q$2),1,0)</f>
        <v>#REF!</v>
      </c>
      <c r="R55" s="270" t="e">
        <f t="array" ref="R55">IF(AND(R$2&lt;&gt;0,#REF!&gt;=R$2),1,0)</f>
        <v>#REF!</v>
      </c>
      <c r="S55" s="270" t="e">
        <f t="array" ref="S55">IF(AND(S$2&lt;&gt;0,#REF!&gt;=S$2),1,0)</f>
        <v>#REF!</v>
      </c>
      <c r="T55" s="270" t="e">
        <f t="array" ref="T55">IF(AND(T$2&lt;&gt;0,#REF!&gt;=T$2),1,0)</f>
        <v>#REF!</v>
      </c>
      <c r="U55" s="270" t="e">
        <f t="array" ref="U55">IF(AND(U$2&lt;&gt;0,#REF!&gt;=U$2),1,0)</f>
        <v>#REF!</v>
      </c>
      <c r="V55" s="270" t="e">
        <f t="array" ref="V55">IF(AND(V$2&lt;&gt;0,#REF!&gt;=V$2),1,0)</f>
        <v>#REF!</v>
      </c>
      <c r="W55" s="270" t="e">
        <f t="array" ref="W55">IF(AND(W$2&lt;&gt;0,#REF!&gt;=W$2),1,0)</f>
        <v>#REF!</v>
      </c>
      <c r="X55" s="270" t="e">
        <f t="array" ref="X55">IF(AND(X$2&lt;&gt;0,#REF!&gt;=X$2),1,0)</f>
        <v>#REF!</v>
      </c>
      <c r="Y55" s="270" t="e">
        <f t="array" ref="Y55">IF(AND(Y$2&lt;&gt;0,#REF!&gt;=Y$2),1,0)</f>
        <v>#REF!</v>
      </c>
      <c r="Z55" s="270" t="e">
        <f t="array" ref="Z55">IF(AND(Z$2&lt;&gt;0,#REF!&gt;=Z$2),1,0)</f>
        <v>#REF!</v>
      </c>
      <c r="AA55" s="270" t="e">
        <f t="array" ref="AA55">IF(AND(AA$2&lt;&gt;0,#REF!&gt;=AA$2),1,0)</f>
        <v>#REF!</v>
      </c>
      <c r="AB55" s="270" t="e">
        <f t="array" ref="AB55">IF(AND(AB$2&lt;&gt;0,#REF!&gt;=AB$2),1,0)</f>
        <v>#REF!</v>
      </c>
      <c r="AC55" s="270" t="e">
        <f t="array" ref="AC55">IF(AND(AC$2&lt;&gt;0,#REF!&gt;=AC$2),1,0)</f>
        <v>#REF!</v>
      </c>
      <c r="AD55" s="270" t="e">
        <f t="array" ref="AD55">IF(AND(AD$2&lt;&gt;0,#REF!&gt;=AD$2),1,0)</f>
        <v>#REF!</v>
      </c>
      <c r="AE55" s="270" t="e">
        <f t="array" ref="AE55">IF(AND(AE$2&lt;&gt;0,#REF!&gt;=AE$2),1,0)</f>
        <v>#REF!</v>
      </c>
      <c r="AF55" s="270" t="e">
        <f t="array" ref="AF55">IF(AND(AF$2&lt;&gt;0,#REF!&gt;=AF$2),1,0)</f>
        <v>#REF!</v>
      </c>
      <c r="AG55" s="270" t="e">
        <f t="array" ref="AG55">IF(AND(AG$2&lt;&gt;0,#REF!&gt;=AG$2),1,0)</f>
        <v>#REF!</v>
      </c>
      <c r="AH55" s="270" t="e">
        <f t="array" ref="AH55">IF(AND(AH$2&lt;&gt;0,#REF!&gt;=AH$2),1,0)</f>
        <v>#REF!</v>
      </c>
      <c r="AI55" s="270" t="e">
        <f t="array" ref="AI55">IF(AND(AI$2&lt;&gt;0,#REF!&gt;=AI$2),1,0)</f>
        <v>#REF!</v>
      </c>
      <c r="AJ55" s="270" t="e">
        <f t="array" ref="AJ55">IF(AND(AJ$2&lt;&gt;0,#REF!&gt;=AJ$2),1,0)</f>
        <v>#REF!</v>
      </c>
      <c r="AK55" s="270" t="e">
        <f t="array" ref="AK55">IF(AND(AK$2&lt;&gt;0,#REF!&gt;=AK$2),1,0)</f>
        <v>#REF!</v>
      </c>
      <c r="AL55" s="270" t="e">
        <f t="array" ref="AL55">IF(AND(AL$2&lt;&gt;0,#REF!&gt;=AL$2),1,0)</f>
        <v>#REF!</v>
      </c>
      <c r="AM55" s="270" t="e">
        <f t="array" ref="AM55">IF(AND(AM$2&lt;&gt;0,#REF!&gt;=AM$2),1,0)</f>
        <v>#REF!</v>
      </c>
      <c r="AN55" s="270" t="e">
        <f t="array" ref="AN55">IF(AND(AN$2&lt;&gt;0,#REF!&gt;=AN$2),1,0)</f>
        <v>#REF!</v>
      </c>
      <c r="AO55" s="270" t="e">
        <f t="array" ref="AO55">IF(AND(AO$2&lt;&gt;0,#REF!&gt;=AO$2),1,0)</f>
        <v>#REF!</v>
      </c>
      <c r="AP55" s="270" t="e">
        <f t="array" ref="AP55">IF(AND(AP$2&lt;&gt;0,#REF!&gt;=AP$2),1,0)</f>
        <v>#REF!</v>
      </c>
      <c r="AQ55" s="270" t="e">
        <f t="array" ref="AQ55">IF(AND(AQ$2&lt;&gt;0,#REF!&gt;=AQ$2),1,0)</f>
        <v>#REF!</v>
      </c>
      <c r="AR55" s="270" t="e">
        <f t="array" ref="AR55">IF(AND(AR$2&lt;&gt;0,#REF!&gt;=AR$2),1,0)</f>
        <v>#REF!</v>
      </c>
      <c r="AS55" s="270" t="e">
        <f t="array" ref="AS55">IF(AND(AS$2&lt;&gt;0,#REF!&gt;=AS$2),1,0)</f>
        <v>#REF!</v>
      </c>
      <c r="AT55" s="270" t="e">
        <f t="array" ref="AT55">IF(AND(AT$2&lt;&gt;0,#REF!&gt;=AT$2),1,0)</f>
        <v>#REF!</v>
      </c>
      <c r="AU55" s="270" t="e">
        <f t="array" ref="AU55">IF(AND(AU$2&lt;&gt;0,#REF!&gt;=AU$2),1,0)</f>
        <v>#REF!</v>
      </c>
      <c r="AV55" s="270" t="e">
        <f t="array" ref="AV55">IF(AND(AV$2&lt;&gt;0,#REF!&gt;=AV$2),1,0)</f>
        <v>#REF!</v>
      </c>
      <c r="AW55" s="270" t="e">
        <f t="array" ref="AW55">IF(AND(AW$2&lt;&gt;0,#REF!&gt;=AW$2),1,0)</f>
        <v>#REF!</v>
      </c>
      <c r="AX55" s="270" t="e">
        <f t="array" ref="AX55">IF(AND(AX$2&lt;&gt;0,#REF!&gt;=AX$2),1,0)</f>
        <v>#REF!</v>
      </c>
      <c r="AY55" s="270" t="e">
        <f t="array" ref="AY55">IF(AND(AY$2&lt;&gt;0,#REF!&gt;=AY$2),1,0)</f>
        <v>#REF!</v>
      </c>
      <c r="AZ55" s="270" t="e">
        <f t="array" ref="AZ55">IF(AND(AZ$2&lt;&gt;0,#REF!&gt;=AZ$2),1,0)</f>
        <v>#REF!</v>
      </c>
      <c r="BA55" s="270" t="e">
        <f t="array" ref="BA55">IF(AND(BA$2&lt;&gt;0,#REF!&gt;=BA$2),1,0)</f>
        <v>#REF!</v>
      </c>
      <c r="BB55" s="270" t="e">
        <f t="array" ref="BB55">IF(AND(BB$2&lt;&gt;0,#REF!&gt;=BB$2),1,0)</f>
        <v>#REF!</v>
      </c>
      <c r="BC55" s="270" t="e">
        <f t="array" ref="BC55">IF(AND(BC$2&lt;&gt;0,#REF!&gt;=BC$2),1,0)</f>
        <v>#REF!</v>
      </c>
      <c r="BD55" s="270" t="e">
        <f t="array" ref="BD55">IF(AND(BD$2&lt;&gt;0,#REF!&gt;=BD$2),1,0)</f>
        <v>#REF!</v>
      </c>
      <c r="BE55" s="270" t="e">
        <f t="array" ref="BE55">IF(AND(BE$2&lt;&gt;0,#REF!&gt;=BE$2),1,0)</f>
        <v>#REF!</v>
      </c>
      <c r="BF55" s="270" t="e">
        <f t="array" ref="BF55">IF(AND(BF$2&lt;&gt;0,#REF!&gt;=BF$2),1,0)</f>
        <v>#REF!</v>
      </c>
      <c r="BG55" s="270" t="e">
        <f t="array" ref="BG55">IF(AND(BG$2&lt;&gt;0,#REF!&gt;=BG$2),1,0)</f>
        <v>#REF!</v>
      </c>
      <c r="BH55" s="270" t="e">
        <f t="array" ref="BH55">IF(AND(BH$2&lt;&gt;0,#REF!&gt;=BH$2),1,0)</f>
        <v>#REF!</v>
      </c>
      <c r="BI55" s="270" t="e">
        <f t="array" ref="BI55">IF(AND(BI$2&lt;&gt;0,#REF!&gt;=BI$2),1,0)</f>
        <v>#REF!</v>
      </c>
      <c r="BJ55" s="270" t="e">
        <f t="array" ref="BJ55">IF(AND(BJ$2&lt;&gt;0,#REF!&gt;=BJ$2),1,0)</f>
        <v>#REF!</v>
      </c>
      <c r="BK55" s="270" t="e">
        <f t="array" ref="BK55">IF(AND(BK$2&lt;&gt;0,#REF!&gt;=BK$2),1,0)</f>
        <v>#REF!</v>
      </c>
      <c r="BL55" s="270" t="e">
        <f t="array" ref="BL55">IF(AND(BL$2&lt;&gt;0,#REF!&gt;=BL$2),1,0)</f>
        <v>#REF!</v>
      </c>
      <c r="BM55" s="270" t="e">
        <f t="array" ref="BM55">IF(AND(BM$2&lt;&gt;0,#REF!&gt;=BM$2),1,0)</f>
        <v>#REF!</v>
      </c>
      <c r="BN55" s="270" t="e">
        <f t="array" ref="BN55">IF(AND(BN$2&lt;&gt;0,#REF!&gt;=BN$2),1,0)</f>
        <v>#REF!</v>
      </c>
      <c r="BO55" s="270" t="e">
        <f t="array" ref="BO55">IF(AND(BO$2&lt;&gt;0,#REF!&gt;=BO$2),1,0)</f>
        <v>#REF!</v>
      </c>
      <c r="BP55" s="270" t="e">
        <f t="array" ref="BP55">IF(AND(BP$2&lt;&gt;0,#REF!&gt;=BP$2),1,0)</f>
        <v>#REF!</v>
      </c>
      <c r="BQ55" s="270" t="e">
        <f t="array" ref="BQ55">IF(AND(BQ$2&lt;&gt;0,#REF!&gt;=BQ$2),1,0)</f>
        <v>#REF!</v>
      </c>
      <c r="BR55" s="270" t="e">
        <f t="array" ref="BR55">IF(AND(BR$2&lt;&gt;0,#REF!&gt;=BR$2),1,0)</f>
        <v>#REF!</v>
      </c>
      <c r="BS55" s="270" t="e">
        <f t="array" ref="BS55">IF(AND(BS$2&lt;&gt;0,#REF!&gt;=BS$2),1,0)</f>
        <v>#REF!</v>
      </c>
      <c r="BT55" s="270" t="e">
        <f t="array" ref="BT55">IF(AND(BT$2&lt;&gt;0,#REF!&gt;=BT$2),1,0)</f>
        <v>#REF!</v>
      </c>
      <c r="BU55" s="270" t="e">
        <f t="array" ref="BU55">IF(AND(BU$2&lt;&gt;0,#REF!&gt;=BU$2),1,0)</f>
        <v>#REF!</v>
      </c>
      <c r="BV55" s="270" t="e">
        <f t="array" ref="BV55">IF(AND(BV$2&lt;&gt;0,#REF!&gt;=BV$2),1,0)</f>
        <v>#REF!</v>
      </c>
      <c r="BW55" s="270" t="e">
        <f t="array" ref="BW55">IF(AND(BW$2&lt;&gt;0,#REF!&gt;=BW$2),1,0)</f>
        <v>#REF!</v>
      </c>
      <c r="BX55" s="270" t="e">
        <f t="array" ref="BX55">IF(AND(BX$2&lt;&gt;0,#REF!&gt;=BX$2),1,0)</f>
        <v>#REF!</v>
      </c>
      <c r="BY55" s="270" t="e">
        <f t="array" ref="BY55">IF(AND(BY$2&lt;&gt;0,#REF!&gt;=BY$2),1,0)</f>
        <v>#REF!</v>
      </c>
      <c r="BZ55" s="270" t="e">
        <f t="array" ref="BZ55">IF(AND(BZ$2&lt;&gt;0,#REF!&gt;=BZ$2),1,0)</f>
        <v>#REF!</v>
      </c>
      <c r="CA55" s="359">
        <f>IFERROR(INDEX($H$4:$H$79,MATCH(INDEX(#REF!,1,MATCH(#REF!,$M$2:$BZ$2,0)),$G$4:$G$79,0)),)</f>
        <v>0</v>
      </c>
    </row>
    <row r="56" spans="1:79" x14ac:dyDescent="0.25">
      <c r="A56" s="262" t="e">
        <f>#REF!</f>
        <v>#REF!</v>
      </c>
      <c r="B56" s="263" t="e">
        <f>#REF!</f>
        <v>#REF!</v>
      </c>
      <c r="C56" s="264" t="e">
        <f>#REF!</f>
        <v>#REF!</v>
      </c>
      <c r="D56" s="264" t="e">
        <f>#REF!</f>
        <v>#REF!</v>
      </c>
      <c r="E56" s="265"/>
      <c r="F56" s="266"/>
      <c r="G56" s="267" t="s">
        <v>599</v>
      </c>
      <c r="H56" s="268" t="s">
        <v>1065</v>
      </c>
      <c r="I56" s="267" t="s">
        <v>1109</v>
      </c>
      <c r="J56" s="263"/>
      <c r="K56" s="89" t="e">
        <f ca="1">IF(#REF!&lt;&gt;OFFSET(#REF!,-1,0),1,0)</f>
        <v>#REF!</v>
      </c>
      <c r="L56" s="269" t="e">
        <f>COUNTIF(#REF!,1)</f>
        <v>#REF!</v>
      </c>
      <c r="M56" s="270" t="e">
        <f t="array" ref="M56">IF(AND(M$2&lt;&gt;0,#REF!&gt;=M$2),1,0)</f>
        <v>#REF!</v>
      </c>
      <c r="N56" s="270" t="e">
        <f t="array" ref="N56">IF(AND(N$2&lt;&gt;0,#REF!&gt;=N$2),1,0)</f>
        <v>#REF!</v>
      </c>
      <c r="O56" s="270" t="e">
        <f t="array" ref="O56">IF(AND(O$2&lt;&gt;0,#REF!&gt;=O$2),1,0)</f>
        <v>#REF!</v>
      </c>
      <c r="P56" s="270" t="e">
        <f t="array" ref="P56">IF(AND(P$2&lt;&gt;0,#REF!&gt;=P$2),1,0)</f>
        <v>#REF!</v>
      </c>
      <c r="Q56" s="270" t="e">
        <f t="array" ref="Q56">IF(AND(Q$2&lt;&gt;0,#REF!&gt;=Q$2),1,0)</f>
        <v>#REF!</v>
      </c>
      <c r="R56" s="270" t="e">
        <f t="array" ref="R56">IF(AND(R$2&lt;&gt;0,#REF!&gt;=R$2),1,0)</f>
        <v>#REF!</v>
      </c>
      <c r="S56" s="270" t="e">
        <f t="array" ref="S56">IF(AND(S$2&lt;&gt;0,#REF!&gt;=S$2),1,0)</f>
        <v>#REF!</v>
      </c>
      <c r="T56" s="270" t="e">
        <f t="array" ref="T56">IF(AND(T$2&lt;&gt;0,#REF!&gt;=T$2),1,0)</f>
        <v>#REF!</v>
      </c>
      <c r="U56" s="270" t="e">
        <f t="array" ref="U56">IF(AND(U$2&lt;&gt;0,#REF!&gt;=U$2),1,0)</f>
        <v>#REF!</v>
      </c>
      <c r="V56" s="270" t="e">
        <f t="array" ref="V56">IF(AND(V$2&lt;&gt;0,#REF!&gt;=V$2),1,0)</f>
        <v>#REF!</v>
      </c>
      <c r="W56" s="270" t="e">
        <f t="array" ref="W56">IF(AND(W$2&lt;&gt;0,#REF!&gt;=W$2),1,0)</f>
        <v>#REF!</v>
      </c>
      <c r="X56" s="270" t="e">
        <f t="array" ref="X56">IF(AND(X$2&lt;&gt;0,#REF!&gt;=X$2),1,0)</f>
        <v>#REF!</v>
      </c>
      <c r="Y56" s="270" t="e">
        <f t="array" ref="Y56">IF(AND(Y$2&lt;&gt;0,#REF!&gt;=Y$2),1,0)</f>
        <v>#REF!</v>
      </c>
      <c r="Z56" s="270" t="e">
        <f t="array" ref="Z56">IF(AND(Z$2&lt;&gt;0,#REF!&gt;=Z$2),1,0)</f>
        <v>#REF!</v>
      </c>
      <c r="AA56" s="270" t="e">
        <f t="array" ref="AA56">IF(AND(AA$2&lt;&gt;0,#REF!&gt;=AA$2),1,0)</f>
        <v>#REF!</v>
      </c>
      <c r="AB56" s="270" t="e">
        <f t="array" ref="AB56">IF(AND(AB$2&lt;&gt;0,#REF!&gt;=AB$2),1,0)</f>
        <v>#REF!</v>
      </c>
      <c r="AC56" s="270" t="e">
        <f t="array" ref="AC56">IF(AND(AC$2&lt;&gt;0,#REF!&gt;=AC$2),1,0)</f>
        <v>#REF!</v>
      </c>
      <c r="AD56" s="270" t="e">
        <f t="array" ref="AD56">IF(AND(AD$2&lt;&gt;0,#REF!&gt;=AD$2),1,0)</f>
        <v>#REF!</v>
      </c>
      <c r="AE56" s="270" t="e">
        <f t="array" ref="AE56">IF(AND(AE$2&lt;&gt;0,#REF!&gt;=AE$2),1,0)</f>
        <v>#REF!</v>
      </c>
      <c r="AF56" s="270" t="e">
        <f t="array" ref="AF56">IF(AND(AF$2&lt;&gt;0,#REF!&gt;=AF$2),1,0)</f>
        <v>#REF!</v>
      </c>
      <c r="AG56" s="270" t="e">
        <f t="array" ref="AG56">IF(AND(AG$2&lt;&gt;0,#REF!&gt;=AG$2),1,0)</f>
        <v>#REF!</v>
      </c>
      <c r="AH56" s="270" t="e">
        <f t="array" ref="AH56">IF(AND(AH$2&lt;&gt;0,#REF!&gt;=AH$2),1,0)</f>
        <v>#REF!</v>
      </c>
      <c r="AI56" s="270" t="e">
        <f t="array" ref="AI56">IF(AND(AI$2&lt;&gt;0,#REF!&gt;=AI$2),1,0)</f>
        <v>#REF!</v>
      </c>
      <c r="AJ56" s="270" t="e">
        <f t="array" ref="AJ56">IF(AND(AJ$2&lt;&gt;0,#REF!&gt;=AJ$2),1,0)</f>
        <v>#REF!</v>
      </c>
      <c r="AK56" s="270" t="e">
        <f t="array" ref="AK56">IF(AND(AK$2&lt;&gt;0,#REF!&gt;=AK$2),1,0)</f>
        <v>#REF!</v>
      </c>
      <c r="AL56" s="270" t="e">
        <f t="array" ref="AL56">IF(AND(AL$2&lt;&gt;0,#REF!&gt;=AL$2),1,0)</f>
        <v>#REF!</v>
      </c>
      <c r="AM56" s="270" t="e">
        <f t="array" ref="AM56">IF(AND(AM$2&lt;&gt;0,#REF!&gt;=AM$2),1,0)</f>
        <v>#REF!</v>
      </c>
      <c r="AN56" s="270" t="e">
        <f t="array" ref="AN56">IF(AND(AN$2&lt;&gt;0,#REF!&gt;=AN$2),1,0)</f>
        <v>#REF!</v>
      </c>
      <c r="AO56" s="270" t="e">
        <f t="array" ref="AO56">IF(AND(AO$2&lt;&gt;0,#REF!&gt;=AO$2),1,0)</f>
        <v>#REF!</v>
      </c>
      <c r="AP56" s="270" t="e">
        <f t="array" ref="AP56">IF(AND(AP$2&lt;&gt;0,#REF!&gt;=AP$2),1,0)</f>
        <v>#REF!</v>
      </c>
      <c r="AQ56" s="270" t="e">
        <f t="array" ref="AQ56">IF(AND(AQ$2&lt;&gt;0,#REF!&gt;=AQ$2),1,0)</f>
        <v>#REF!</v>
      </c>
      <c r="AR56" s="270" t="e">
        <f t="array" ref="AR56">IF(AND(AR$2&lt;&gt;0,#REF!&gt;=AR$2),1,0)</f>
        <v>#REF!</v>
      </c>
      <c r="AS56" s="270" t="e">
        <f t="array" ref="AS56">IF(AND(AS$2&lt;&gt;0,#REF!&gt;=AS$2),1,0)</f>
        <v>#REF!</v>
      </c>
      <c r="AT56" s="270" t="e">
        <f t="array" ref="AT56">IF(AND(AT$2&lt;&gt;0,#REF!&gt;=AT$2),1,0)</f>
        <v>#REF!</v>
      </c>
      <c r="AU56" s="270" t="e">
        <f t="array" ref="AU56">IF(AND(AU$2&lt;&gt;0,#REF!&gt;=AU$2),1,0)</f>
        <v>#REF!</v>
      </c>
      <c r="AV56" s="270" t="e">
        <f t="array" ref="AV56">IF(AND(AV$2&lt;&gt;0,#REF!&gt;=AV$2),1,0)</f>
        <v>#REF!</v>
      </c>
      <c r="AW56" s="270" t="e">
        <f t="array" ref="AW56">IF(AND(AW$2&lt;&gt;0,#REF!&gt;=AW$2),1,0)</f>
        <v>#REF!</v>
      </c>
      <c r="AX56" s="270" t="e">
        <f t="array" ref="AX56">IF(AND(AX$2&lt;&gt;0,#REF!&gt;=AX$2),1,0)</f>
        <v>#REF!</v>
      </c>
      <c r="AY56" s="270" t="e">
        <f t="array" ref="AY56">IF(AND(AY$2&lt;&gt;0,#REF!&gt;=AY$2),1,0)</f>
        <v>#REF!</v>
      </c>
      <c r="AZ56" s="270" t="e">
        <f t="array" ref="AZ56">IF(AND(AZ$2&lt;&gt;0,#REF!&gt;=AZ$2),1,0)</f>
        <v>#REF!</v>
      </c>
      <c r="BA56" s="270" t="e">
        <f t="array" ref="BA56">IF(AND(BA$2&lt;&gt;0,#REF!&gt;=BA$2),1,0)</f>
        <v>#REF!</v>
      </c>
      <c r="BB56" s="270" t="e">
        <f t="array" ref="BB56">IF(AND(BB$2&lt;&gt;0,#REF!&gt;=BB$2),1,0)</f>
        <v>#REF!</v>
      </c>
      <c r="BC56" s="270" t="e">
        <f t="array" ref="BC56">IF(AND(BC$2&lt;&gt;0,#REF!&gt;=BC$2),1,0)</f>
        <v>#REF!</v>
      </c>
      <c r="BD56" s="270" t="e">
        <f t="array" ref="BD56">IF(AND(BD$2&lt;&gt;0,#REF!&gt;=BD$2),1,0)</f>
        <v>#REF!</v>
      </c>
      <c r="BE56" s="270" t="e">
        <f t="array" ref="BE56">IF(AND(BE$2&lt;&gt;0,#REF!&gt;=BE$2),1,0)</f>
        <v>#REF!</v>
      </c>
      <c r="BF56" s="270" t="e">
        <f t="array" ref="BF56">IF(AND(BF$2&lt;&gt;0,#REF!&gt;=BF$2),1,0)</f>
        <v>#REF!</v>
      </c>
      <c r="BG56" s="270" t="e">
        <f t="array" ref="BG56">IF(AND(BG$2&lt;&gt;0,#REF!&gt;=BG$2),1,0)</f>
        <v>#REF!</v>
      </c>
      <c r="BH56" s="270" t="e">
        <f t="array" ref="BH56">IF(AND(BH$2&lt;&gt;0,#REF!&gt;=BH$2),1,0)</f>
        <v>#REF!</v>
      </c>
      <c r="BI56" s="270" t="e">
        <f t="array" ref="BI56">IF(AND(BI$2&lt;&gt;0,#REF!&gt;=BI$2),1,0)</f>
        <v>#REF!</v>
      </c>
      <c r="BJ56" s="270" t="e">
        <f t="array" ref="BJ56">IF(AND(BJ$2&lt;&gt;0,#REF!&gt;=BJ$2),1,0)</f>
        <v>#REF!</v>
      </c>
      <c r="BK56" s="270" t="e">
        <f t="array" ref="BK56">IF(AND(BK$2&lt;&gt;0,#REF!&gt;=BK$2),1,0)</f>
        <v>#REF!</v>
      </c>
      <c r="BL56" s="270" t="e">
        <f t="array" ref="BL56">IF(AND(BL$2&lt;&gt;0,#REF!&gt;=BL$2),1,0)</f>
        <v>#REF!</v>
      </c>
      <c r="BM56" s="270" t="e">
        <f t="array" ref="BM56">IF(AND(BM$2&lt;&gt;0,#REF!&gt;=BM$2),1,0)</f>
        <v>#REF!</v>
      </c>
      <c r="BN56" s="270" t="e">
        <f t="array" ref="BN56">IF(AND(BN$2&lt;&gt;0,#REF!&gt;=BN$2),1,0)</f>
        <v>#REF!</v>
      </c>
      <c r="BO56" s="270" t="e">
        <f t="array" ref="BO56">IF(AND(BO$2&lt;&gt;0,#REF!&gt;=BO$2),1,0)</f>
        <v>#REF!</v>
      </c>
      <c r="BP56" s="270" t="e">
        <f t="array" ref="BP56">IF(AND(BP$2&lt;&gt;0,#REF!&gt;=BP$2),1,0)</f>
        <v>#REF!</v>
      </c>
      <c r="BQ56" s="270" t="e">
        <f t="array" ref="BQ56">IF(AND(BQ$2&lt;&gt;0,#REF!&gt;=BQ$2),1,0)</f>
        <v>#REF!</v>
      </c>
      <c r="BR56" s="270" t="e">
        <f t="array" ref="BR56">IF(AND(BR$2&lt;&gt;0,#REF!&gt;=BR$2),1,0)</f>
        <v>#REF!</v>
      </c>
      <c r="BS56" s="270" t="e">
        <f t="array" ref="BS56">IF(AND(BS$2&lt;&gt;0,#REF!&gt;=BS$2),1,0)</f>
        <v>#REF!</v>
      </c>
      <c r="BT56" s="270" t="e">
        <f t="array" ref="BT56">IF(AND(BT$2&lt;&gt;0,#REF!&gt;=BT$2),1,0)</f>
        <v>#REF!</v>
      </c>
      <c r="BU56" s="270" t="e">
        <f t="array" ref="BU56">IF(AND(BU$2&lt;&gt;0,#REF!&gt;=BU$2),1,0)</f>
        <v>#REF!</v>
      </c>
      <c r="BV56" s="270" t="e">
        <f t="array" ref="BV56">IF(AND(BV$2&lt;&gt;0,#REF!&gt;=BV$2),1,0)</f>
        <v>#REF!</v>
      </c>
      <c r="BW56" s="270" t="e">
        <f t="array" ref="BW56">IF(AND(BW$2&lt;&gt;0,#REF!&gt;=BW$2),1,0)</f>
        <v>#REF!</v>
      </c>
      <c r="BX56" s="270" t="e">
        <f t="array" ref="BX56">IF(AND(BX$2&lt;&gt;0,#REF!&gt;=BX$2),1,0)</f>
        <v>#REF!</v>
      </c>
      <c r="BY56" s="270" t="e">
        <f t="array" ref="BY56">IF(AND(BY$2&lt;&gt;0,#REF!&gt;=BY$2),1,0)</f>
        <v>#REF!</v>
      </c>
      <c r="BZ56" s="270" t="e">
        <f t="array" ref="BZ56">IF(AND(BZ$2&lt;&gt;0,#REF!&gt;=BZ$2),1,0)</f>
        <v>#REF!</v>
      </c>
      <c r="CA56" s="359">
        <f>IFERROR(INDEX($H$4:$H$79,MATCH(INDEX(#REF!,1,MATCH(#REF!,$M$2:$BZ$2,0)),$G$4:$G$79,0)),)</f>
        <v>0</v>
      </c>
    </row>
    <row r="57" spans="1:79" x14ac:dyDescent="0.25">
      <c r="A57" s="262" t="e">
        <f>#REF!</f>
        <v>#REF!</v>
      </c>
      <c r="B57" s="263" t="e">
        <f>#REF!</f>
        <v>#REF!</v>
      </c>
      <c r="C57" s="264" t="e">
        <f>#REF!</f>
        <v>#REF!</v>
      </c>
      <c r="D57" s="264" t="e">
        <f>#REF!</f>
        <v>#REF!</v>
      </c>
      <c r="E57" s="265"/>
      <c r="F57" s="266"/>
      <c r="G57" s="267" t="s">
        <v>600</v>
      </c>
      <c r="H57" s="268" t="s">
        <v>724</v>
      </c>
      <c r="I57" s="267" t="s">
        <v>601</v>
      </c>
      <c r="J57" s="263"/>
      <c r="K57" s="89" t="e">
        <f ca="1">IF(#REF!&lt;&gt;OFFSET(#REF!,-1,0),1,0)</f>
        <v>#REF!</v>
      </c>
      <c r="L57" s="269" t="e">
        <f>COUNTIF(#REF!,1)</f>
        <v>#REF!</v>
      </c>
      <c r="M57" s="270" t="e">
        <f t="array" ref="M57">IF(AND(M$2&lt;&gt;0,#REF!&gt;=M$2),1,0)</f>
        <v>#REF!</v>
      </c>
      <c r="N57" s="270" t="e">
        <f t="array" ref="N57">IF(AND(N$2&lt;&gt;0,#REF!&gt;=N$2),1,0)</f>
        <v>#REF!</v>
      </c>
      <c r="O57" s="270" t="e">
        <f t="array" ref="O57">IF(AND(O$2&lt;&gt;0,#REF!&gt;=O$2),1,0)</f>
        <v>#REF!</v>
      </c>
      <c r="P57" s="270" t="e">
        <f t="array" ref="P57">IF(AND(P$2&lt;&gt;0,#REF!&gt;=P$2),1,0)</f>
        <v>#REF!</v>
      </c>
      <c r="Q57" s="270" t="e">
        <f t="array" ref="Q57">IF(AND(Q$2&lt;&gt;0,#REF!&gt;=Q$2),1,0)</f>
        <v>#REF!</v>
      </c>
      <c r="R57" s="270" t="e">
        <f t="array" ref="R57">IF(AND(R$2&lt;&gt;0,#REF!&gt;=R$2),1,0)</f>
        <v>#REF!</v>
      </c>
      <c r="S57" s="270" t="e">
        <f t="array" ref="S57">IF(AND(S$2&lt;&gt;0,#REF!&gt;=S$2),1,0)</f>
        <v>#REF!</v>
      </c>
      <c r="T57" s="270" t="e">
        <f t="array" ref="T57">IF(AND(T$2&lt;&gt;0,#REF!&gt;=T$2),1,0)</f>
        <v>#REF!</v>
      </c>
      <c r="U57" s="270" t="e">
        <f t="array" ref="U57">IF(AND(U$2&lt;&gt;0,#REF!&gt;=U$2),1,0)</f>
        <v>#REF!</v>
      </c>
      <c r="V57" s="270" t="e">
        <f t="array" ref="V57">IF(AND(V$2&lt;&gt;0,#REF!&gt;=V$2),1,0)</f>
        <v>#REF!</v>
      </c>
      <c r="W57" s="270" t="e">
        <f t="array" ref="W57">IF(AND(W$2&lt;&gt;0,#REF!&gt;=W$2),1,0)</f>
        <v>#REF!</v>
      </c>
      <c r="X57" s="270" t="e">
        <f t="array" ref="X57">IF(AND(X$2&lt;&gt;0,#REF!&gt;=X$2),1,0)</f>
        <v>#REF!</v>
      </c>
      <c r="Y57" s="270" t="e">
        <f t="array" ref="Y57">IF(AND(Y$2&lt;&gt;0,#REF!&gt;=Y$2),1,0)</f>
        <v>#REF!</v>
      </c>
      <c r="Z57" s="270" t="e">
        <f t="array" ref="Z57">IF(AND(Z$2&lt;&gt;0,#REF!&gt;=Z$2),1,0)</f>
        <v>#REF!</v>
      </c>
      <c r="AA57" s="270" t="e">
        <f t="array" ref="AA57">IF(AND(AA$2&lt;&gt;0,#REF!&gt;=AA$2),1,0)</f>
        <v>#REF!</v>
      </c>
      <c r="AB57" s="270" t="e">
        <f t="array" ref="AB57">IF(AND(AB$2&lt;&gt;0,#REF!&gt;=AB$2),1,0)</f>
        <v>#REF!</v>
      </c>
      <c r="AC57" s="270" t="e">
        <f t="array" ref="AC57">IF(AND(AC$2&lt;&gt;0,#REF!&gt;=AC$2),1,0)</f>
        <v>#REF!</v>
      </c>
      <c r="AD57" s="270" t="e">
        <f t="array" ref="AD57">IF(AND(AD$2&lt;&gt;0,#REF!&gt;=AD$2),1,0)</f>
        <v>#REF!</v>
      </c>
      <c r="AE57" s="270" t="e">
        <f t="array" ref="AE57">IF(AND(AE$2&lt;&gt;0,#REF!&gt;=AE$2),1,0)</f>
        <v>#REF!</v>
      </c>
      <c r="AF57" s="270" t="e">
        <f t="array" ref="AF57">IF(AND(AF$2&lt;&gt;0,#REF!&gt;=AF$2),1,0)</f>
        <v>#REF!</v>
      </c>
      <c r="AG57" s="270" t="e">
        <f t="array" ref="AG57">IF(AND(AG$2&lt;&gt;0,#REF!&gt;=AG$2),1,0)</f>
        <v>#REF!</v>
      </c>
      <c r="AH57" s="270" t="e">
        <f t="array" ref="AH57">IF(AND(AH$2&lt;&gt;0,#REF!&gt;=AH$2),1,0)</f>
        <v>#REF!</v>
      </c>
      <c r="AI57" s="270" t="e">
        <f t="array" ref="AI57">IF(AND(AI$2&lt;&gt;0,#REF!&gt;=AI$2),1,0)</f>
        <v>#REF!</v>
      </c>
      <c r="AJ57" s="270" t="e">
        <f t="array" ref="AJ57">IF(AND(AJ$2&lt;&gt;0,#REF!&gt;=AJ$2),1,0)</f>
        <v>#REF!</v>
      </c>
      <c r="AK57" s="270" t="e">
        <f t="array" ref="AK57">IF(AND(AK$2&lt;&gt;0,#REF!&gt;=AK$2),1,0)</f>
        <v>#REF!</v>
      </c>
      <c r="AL57" s="270" t="e">
        <f t="array" ref="AL57">IF(AND(AL$2&lt;&gt;0,#REF!&gt;=AL$2),1,0)</f>
        <v>#REF!</v>
      </c>
      <c r="AM57" s="270" t="e">
        <f t="array" ref="AM57">IF(AND(AM$2&lt;&gt;0,#REF!&gt;=AM$2),1,0)</f>
        <v>#REF!</v>
      </c>
      <c r="AN57" s="270" t="e">
        <f t="array" ref="AN57">IF(AND(AN$2&lt;&gt;0,#REF!&gt;=AN$2),1,0)</f>
        <v>#REF!</v>
      </c>
      <c r="AO57" s="270" t="e">
        <f t="array" ref="AO57">IF(AND(AO$2&lt;&gt;0,#REF!&gt;=AO$2),1,0)</f>
        <v>#REF!</v>
      </c>
      <c r="AP57" s="270" t="e">
        <f t="array" ref="AP57">IF(AND(AP$2&lt;&gt;0,#REF!&gt;=AP$2),1,0)</f>
        <v>#REF!</v>
      </c>
      <c r="AQ57" s="270" t="e">
        <f t="array" ref="AQ57">IF(AND(AQ$2&lt;&gt;0,#REF!&gt;=AQ$2),1,0)</f>
        <v>#REF!</v>
      </c>
      <c r="AR57" s="270" t="e">
        <f t="array" ref="AR57">IF(AND(AR$2&lt;&gt;0,#REF!&gt;=AR$2),1,0)</f>
        <v>#REF!</v>
      </c>
      <c r="AS57" s="270" t="e">
        <f t="array" ref="AS57">IF(AND(AS$2&lt;&gt;0,#REF!&gt;=AS$2),1,0)</f>
        <v>#REF!</v>
      </c>
      <c r="AT57" s="270" t="e">
        <f t="array" ref="AT57">IF(AND(AT$2&lt;&gt;0,#REF!&gt;=AT$2),1,0)</f>
        <v>#REF!</v>
      </c>
      <c r="AU57" s="270" t="e">
        <f t="array" ref="AU57">IF(AND(AU$2&lt;&gt;0,#REF!&gt;=AU$2),1,0)</f>
        <v>#REF!</v>
      </c>
      <c r="AV57" s="270" t="e">
        <f t="array" ref="AV57">IF(AND(AV$2&lt;&gt;0,#REF!&gt;=AV$2),1,0)</f>
        <v>#REF!</v>
      </c>
      <c r="AW57" s="270" t="e">
        <f t="array" ref="AW57">IF(AND(AW$2&lt;&gt;0,#REF!&gt;=AW$2),1,0)</f>
        <v>#REF!</v>
      </c>
      <c r="AX57" s="270" t="e">
        <f t="array" ref="AX57">IF(AND(AX$2&lt;&gt;0,#REF!&gt;=AX$2),1,0)</f>
        <v>#REF!</v>
      </c>
      <c r="AY57" s="270" t="e">
        <f t="array" ref="AY57">IF(AND(AY$2&lt;&gt;0,#REF!&gt;=AY$2),1,0)</f>
        <v>#REF!</v>
      </c>
      <c r="AZ57" s="270" t="e">
        <f t="array" ref="AZ57">IF(AND(AZ$2&lt;&gt;0,#REF!&gt;=AZ$2),1,0)</f>
        <v>#REF!</v>
      </c>
      <c r="BA57" s="270" t="e">
        <f t="array" ref="BA57">IF(AND(BA$2&lt;&gt;0,#REF!&gt;=BA$2),1,0)</f>
        <v>#REF!</v>
      </c>
      <c r="BB57" s="270" t="e">
        <f t="array" ref="BB57">IF(AND(BB$2&lt;&gt;0,#REF!&gt;=BB$2),1,0)</f>
        <v>#REF!</v>
      </c>
      <c r="BC57" s="270" t="e">
        <f t="array" ref="BC57">IF(AND(BC$2&lt;&gt;0,#REF!&gt;=BC$2),1,0)</f>
        <v>#REF!</v>
      </c>
      <c r="BD57" s="270" t="e">
        <f t="array" ref="BD57">IF(AND(BD$2&lt;&gt;0,#REF!&gt;=BD$2),1,0)</f>
        <v>#REF!</v>
      </c>
      <c r="BE57" s="270" t="e">
        <f t="array" ref="BE57">IF(AND(BE$2&lt;&gt;0,#REF!&gt;=BE$2),1,0)</f>
        <v>#REF!</v>
      </c>
      <c r="BF57" s="270" t="e">
        <f t="array" ref="BF57">IF(AND(BF$2&lt;&gt;0,#REF!&gt;=BF$2),1,0)</f>
        <v>#REF!</v>
      </c>
      <c r="BG57" s="270" t="e">
        <f t="array" ref="BG57">IF(AND(BG$2&lt;&gt;0,#REF!&gt;=BG$2),1,0)</f>
        <v>#REF!</v>
      </c>
      <c r="BH57" s="270" t="e">
        <f t="array" ref="BH57">IF(AND(BH$2&lt;&gt;0,#REF!&gt;=BH$2),1,0)</f>
        <v>#REF!</v>
      </c>
      <c r="BI57" s="270" t="e">
        <f t="array" ref="BI57">IF(AND(BI$2&lt;&gt;0,#REF!&gt;=BI$2),1,0)</f>
        <v>#REF!</v>
      </c>
      <c r="BJ57" s="270" t="e">
        <f t="array" ref="BJ57">IF(AND(BJ$2&lt;&gt;0,#REF!&gt;=BJ$2),1,0)</f>
        <v>#REF!</v>
      </c>
      <c r="BK57" s="270" t="e">
        <f t="array" ref="BK57">IF(AND(BK$2&lt;&gt;0,#REF!&gt;=BK$2),1,0)</f>
        <v>#REF!</v>
      </c>
      <c r="BL57" s="270" t="e">
        <f t="array" ref="BL57">IF(AND(BL$2&lt;&gt;0,#REF!&gt;=BL$2),1,0)</f>
        <v>#REF!</v>
      </c>
      <c r="BM57" s="270" t="e">
        <f t="array" ref="BM57">IF(AND(BM$2&lt;&gt;0,#REF!&gt;=BM$2),1,0)</f>
        <v>#REF!</v>
      </c>
      <c r="BN57" s="270" t="e">
        <f t="array" ref="BN57">IF(AND(BN$2&lt;&gt;0,#REF!&gt;=BN$2),1,0)</f>
        <v>#REF!</v>
      </c>
      <c r="BO57" s="270" t="e">
        <f t="array" ref="BO57">IF(AND(BO$2&lt;&gt;0,#REF!&gt;=BO$2),1,0)</f>
        <v>#REF!</v>
      </c>
      <c r="BP57" s="270" t="e">
        <f t="array" ref="BP57">IF(AND(BP$2&lt;&gt;0,#REF!&gt;=BP$2),1,0)</f>
        <v>#REF!</v>
      </c>
      <c r="BQ57" s="270" t="e">
        <f t="array" ref="BQ57">IF(AND(BQ$2&lt;&gt;0,#REF!&gt;=BQ$2),1,0)</f>
        <v>#REF!</v>
      </c>
      <c r="BR57" s="270" t="e">
        <f t="array" ref="BR57">IF(AND(BR$2&lt;&gt;0,#REF!&gt;=BR$2),1,0)</f>
        <v>#REF!</v>
      </c>
      <c r="BS57" s="270" t="e">
        <f t="array" ref="BS57">IF(AND(BS$2&lt;&gt;0,#REF!&gt;=BS$2),1,0)</f>
        <v>#REF!</v>
      </c>
      <c r="BT57" s="270" t="e">
        <f t="array" ref="BT57">IF(AND(BT$2&lt;&gt;0,#REF!&gt;=BT$2),1,0)</f>
        <v>#REF!</v>
      </c>
      <c r="BU57" s="270" t="e">
        <f t="array" ref="BU57">IF(AND(BU$2&lt;&gt;0,#REF!&gt;=BU$2),1,0)</f>
        <v>#REF!</v>
      </c>
      <c r="BV57" s="270" t="e">
        <f t="array" ref="BV57">IF(AND(BV$2&lt;&gt;0,#REF!&gt;=BV$2),1,0)</f>
        <v>#REF!</v>
      </c>
      <c r="BW57" s="270" t="e">
        <f t="array" ref="BW57">IF(AND(BW$2&lt;&gt;0,#REF!&gt;=BW$2),1,0)</f>
        <v>#REF!</v>
      </c>
      <c r="BX57" s="270" t="e">
        <f t="array" ref="BX57">IF(AND(BX$2&lt;&gt;0,#REF!&gt;=BX$2),1,0)</f>
        <v>#REF!</v>
      </c>
      <c r="BY57" s="270" t="e">
        <f t="array" ref="BY57">IF(AND(BY$2&lt;&gt;0,#REF!&gt;=BY$2),1,0)</f>
        <v>#REF!</v>
      </c>
      <c r="BZ57" s="270" t="e">
        <f t="array" ref="BZ57">IF(AND(BZ$2&lt;&gt;0,#REF!&gt;=BZ$2),1,0)</f>
        <v>#REF!</v>
      </c>
      <c r="CA57" s="359">
        <f>IFERROR(INDEX($H$4:$H$79,MATCH(INDEX(#REF!,1,MATCH(#REF!,$M$2:$BZ$2,0)),$G$4:$G$79,0)),)</f>
        <v>0</v>
      </c>
    </row>
    <row r="58" spans="1:79" x14ac:dyDescent="0.25">
      <c r="A58" s="262" t="e">
        <f>#REF!</f>
        <v>#REF!</v>
      </c>
      <c r="B58" s="263" t="e">
        <f>#REF!</f>
        <v>#REF!</v>
      </c>
      <c r="C58" s="264" t="e">
        <f>#REF!</f>
        <v>#REF!</v>
      </c>
      <c r="D58" s="264" t="e">
        <f>#REF!</f>
        <v>#REF!</v>
      </c>
      <c r="E58" s="265"/>
      <c r="F58" s="266"/>
      <c r="G58" s="267" t="s">
        <v>602</v>
      </c>
      <c r="H58" s="268" t="s">
        <v>720</v>
      </c>
      <c r="I58" s="267" t="s">
        <v>1118</v>
      </c>
      <c r="J58" s="263"/>
      <c r="K58" s="89" t="e">
        <f ca="1">IF(#REF!&lt;&gt;OFFSET(#REF!,-1,0),1,0)</f>
        <v>#REF!</v>
      </c>
      <c r="L58" s="269" t="e">
        <f>COUNTIF(#REF!,1)</f>
        <v>#REF!</v>
      </c>
      <c r="M58" s="270" t="e">
        <f t="array" ref="M58">IF(AND(M$2&lt;&gt;0,#REF!&gt;=M$2),1,0)</f>
        <v>#REF!</v>
      </c>
      <c r="N58" s="270" t="e">
        <f t="array" ref="N58">IF(AND(N$2&lt;&gt;0,#REF!&gt;=N$2),1,0)</f>
        <v>#REF!</v>
      </c>
      <c r="O58" s="270" t="e">
        <f t="array" ref="O58">IF(AND(O$2&lt;&gt;0,#REF!&gt;=O$2),1,0)</f>
        <v>#REF!</v>
      </c>
      <c r="P58" s="270" t="e">
        <f t="array" ref="P58">IF(AND(P$2&lt;&gt;0,#REF!&gt;=P$2),1,0)</f>
        <v>#REF!</v>
      </c>
      <c r="Q58" s="270" t="e">
        <f t="array" ref="Q58">IF(AND(Q$2&lt;&gt;0,#REF!&gt;=Q$2),1,0)</f>
        <v>#REF!</v>
      </c>
      <c r="R58" s="270" t="e">
        <f t="array" ref="R58">IF(AND(R$2&lt;&gt;0,#REF!&gt;=R$2),1,0)</f>
        <v>#REF!</v>
      </c>
      <c r="S58" s="270" t="e">
        <f t="array" ref="S58">IF(AND(S$2&lt;&gt;0,#REF!&gt;=S$2),1,0)</f>
        <v>#REF!</v>
      </c>
      <c r="T58" s="270" t="e">
        <f t="array" ref="T58">IF(AND(T$2&lt;&gt;0,#REF!&gt;=T$2),1,0)</f>
        <v>#REF!</v>
      </c>
      <c r="U58" s="270" t="e">
        <f t="array" ref="U58">IF(AND(U$2&lt;&gt;0,#REF!&gt;=U$2),1,0)</f>
        <v>#REF!</v>
      </c>
      <c r="V58" s="270" t="e">
        <f t="array" ref="V58">IF(AND(V$2&lt;&gt;0,#REF!&gt;=V$2),1,0)</f>
        <v>#REF!</v>
      </c>
      <c r="W58" s="270" t="e">
        <f t="array" ref="W58">IF(AND(W$2&lt;&gt;0,#REF!&gt;=W$2),1,0)</f>
        <v>#REF!</v>
      </c>
      <c r="X58" s="270" t="e">
        <f t="array" ref="X58">IF(AND(X$2&lt;&gt;0,#REF!&gt;=X$2),1,0)</f>
        <v>#REF!</v>
      </c>
      <c r="Y58" s="270" t="e">
        <f t="array" ref="Y58">IF(AND(Y$2&lt;&gt;0,#REF!&gt;=Y$2),1,0)</f>
        <v>#REF!</v>
      </c>
      <c r="Z58" s="270" t="e">
        <f t="array" ref="Z58">IF(AND(Z$2&lt;&gt;0,#REF!&gt;=Z$2),1,0)</f>
        <v>#REF!</v>
      </c>
      <c r="AA58" s="270" t="e">
        <f t="array" ref="AA58">IF(AND(AA$2&lt;&gt;0,#REF!&gt;=AA$2),1,0)</f>
        <v>#REF!</v>
      </c>
      <c r="AB58" s="270" t="e">
        <f t="array" ref="AB58">IF(AND(AB$2&lt;&gt;0,#REF!&gt;=AB$2),1,0)</f>
        <v>#REF!</v>
      </c>
      <c r="AC58" s="270" t="e">
        <f t="array" ref="AC58">IF(AND(AC$2&lt;&gt;0,#REF!&gt;=AC$2),1,0)</f>
        <v>#REF!</v>
      </c>
      <c r="AD58" s="270" t="e">
        <f t="array" ref="AD58">IF(AND(AD$2&lt;&gt;0,#REF!&gt;=AD$2),1,0)</f>
        <v>#REF!</v>
      </c>
      <c r="AE58" s="270" t="e">
        <f t="array" ref="AE58">IF(AND(AE$2&lt;&gt;0,#REF!&gt;=AE$2),1,0)</f>
        <v>#REF!</v>
      </c>
      <c r="AF58" s="270" t="e">
        <f t="array" ref="AF58">IF(AND(AF$2&lt;&gt;0,#REF!&gt;=AF$2),1,0)</f>
        <v>#REF!</v>
      </c>
      <c r="AG58" s="270" t="e">
        <f t="array" ref="AG58">IF(AND(AG$2&lt;&gt;0,#REF!&gt;=AG$2),1,0)</f>
        <v>#REF!</v>
      </c>
      <c r="AH58" s="270" t="e">
        <f t="array" ref="AH58">IF(AND(AH$2&lt;&gt;0,#REF!&gt;=AH$2),1,0)</f>
        <v>#REF!</v>
      </c>
      <c r="AI58" s="270" t="e">
        <f t="array" ref="AI58">IF(AND(AI$2&lt;&gt;0,#REF!&gt;=AI$2),1,0)</f>
        <v>#REF!</v>
      </c>
      <c r="AJ58" s="270" t="e">
        <f t="array" ref="AJ58">IF(AND(AJ$2&lt;&gt;0,#REF!&gt;=AJ$2),1,0)</f>
        <v>#REF!</v>
      </c>
      <c r="AK58" s="270" t="e">
        <f t="array" ref="AK58">IF(AND(AK$2&lt;&gt;0,#REF!&gt;=AK$2),1,0)</f>
        <v>#REF!</v>
      </c>
      <c r="AL58" s="270" t="e">
        <f t="array" ref="AL58">IF(AND(AL$2&lt;&gt;0,#REF!&gt;=AL$2),1,0)</f>
        <v>#REF!</v>
      </c>
      <c r="AM58" s="270" t="e">
        <f t="array" ref="AM58">IF(AND(AM$2&lt;&gt;0,#REF!&gt;=AM$2),1,0)</f>
        <v>#REF!</v>
      </c>
      <c r="AN58" s="270" t="e">
        <f t="array" ref="AN58">IF(AND(AN$2&lt;&gt;0,#REF!&gt;=AN$2),1,0)</f>
        <v>#REF!</v>
      </c>
      <c r="AO58" s="270" t="e">
        <f t="array" ref="AO58">IF(AND(AO$2&lt;&gt;0,#REF!&gt;=AO$2),1,0)</f>
        <v>#REF!</v>
      </c>
      <c r="AP58" s="270" t="e">
        <f t="array" ref="AP58">IF(AND(AP$2&lt;&gt;0,#REF!&gt;=AP$2),1,0)</f>
        <v>#REF!</v>
      </c>
      <c r="AQ58" s="270" t="e">
        <f t="array" ref="AQ58">IF(AND(AQ$2&lt;&gt;0,#REF!&gt;=AQ$2),1,0)</f>
        <v>#REF!</v>
      </c>
      <c r="AR58" s="270" t="e">
        <f t="array" ref="AR58">IF(AND(AR$2&lt;&gt;0,#REF!&gt;=AR$2),1,0)</f>
        <v>#REF!</v>
      </c>
      <c r="AS58" s="270" t="e">
        <f t="array" ref="AS58">IF(AND(AS$2&lt;&gt;0,#REF!&gt;=AS$2),1,0)</f>
        <v>#REF!</v>
      </c>
      <c r="AT58" s="270" t="e">
        <f t="array" ref="AT58">IF(AND(AT$2&lt;&gt;0,#REF!&gt;=AT$2),1,0)</f>
        <v>#REF!</v>
      </c>
      <c r="AU58" s="270" t="e">
        <f t="array" ref="AU58">IF(AND(AU$2&lt;&gt;0,#REF!&gt;=AU$2),1,0)</f>
        <v>#REF!</v>
      </c>
      <c r="AV58" s="270" t="e">
        <f t="array" ref="AV58">IF(AND(AV$2&lt;&gt;0,#REF!&gt;=AV$2),1,0)</f>
        <v>#REF!</v>
      </c>
      <c r="AW58" s="270" t="e">
        <f t="array" ref="AW58">IF(AND(AW$2&lt;&gt;0,#REF!&gt;=AW$2),1,0)</f>
        <v>#REF!</v>
      </c>
      <c r="AX58" s="270" t="e">
        <f t="array" ref="AX58">IF(AND(AX$2&lt;&gt;0,#REF!&gt;=AX$2),1,0)</f>
        <v>#REF!</v>
      </c>
      <c r="AY58" s="270" t="e">
        <f t="array" ref="AY58">IF(AND(AY$2&lt;&gt;0,#REF!&gt;=AY$2),1,0)</f>
        <v>#REF!</v>
      </c>
      <c r="AZ58" s="270" t="e">
        <f t="array" ref="AZ58">IF(AND(AZ$2&lt;&gt;0,#REF!&gt;=AZ$2),1,0)</f>
        <v>#REF!</v>
      </c>
      <c r="BA58" s="270" t="e">
        <f t="array" ref="BA58">IF(AND(BA$2&lt;&gt;0,#REF!&gt;=BA$2),1,0)</f>
        <v>#REF!</v>
      </c>
      <c r="BB58" s="270" t="e">
        <f t="array" ref="BB58">IF(AND(BB$2&lt;&gt;0,#REF!&gt;=BB$2),1,0)</f>
        <v>#REF!</v>
      </c>
      <c r="BC58" s="270" t="e">
        <f t="array" ref="BC58">IF(AND(BC$2&lt;&gt;0,#REF!&gt;=BC$2),1,0)</f>
        <v>#REF!</v>
      </c>
      <c r="BD58" s="270" t="e">
        <f t="array" ref="BD58">IF(AND(BD$2&lt;&gt;0,#REF!&gt;=BD$2),1,0)</f>
        <v>#REF!</v>
      </c>
      <c r="BE58" s="270" t="e">
        <f t="array" ref="BE58">IF(AND(BE$2&lt;&gt;0,#REF!&gt;=BE$2),1,0)</f>
        <v>#REF!</v>
      </c>
      <c r="BF58" s="270" t="e">
        <f t="array" ref="BF58">IF(AND(BF$2&lt;&gt;0,#REF!&gt;=BF$2),1,0)</f>
        <v>#REF!</v>
      </c>
      <c r="BG58" s="270" t="e">
        <f t="array" ref="BG58">IF(AND(BG$2&lt;&gt;0,#REF!&gt;=BG$2),1,0)</f>
        <v>#REF!</v>
      </c>
      <c r="BH58" s="270" t="e">
        <f t="array" ref="BH58">IF(AND(BH$2&lt;&gt;0,#REF!&gt;=BH$2),1,0)</f>
        <v>#REF!</v>
      </c>
      <c r="BI58" s="270" t="e">
        <f t="array" ref="BI58">IF(AND(BI$2&lt;&gt;0,#REF!&gt;=BI$2),1,0)</f>
        <v>#REF!</v>
      </c>
      <c r="BJ58" s="270" t="e">
        <f t="array" ref="BJ58">IF(AND(BJ$2&lt;&gt;0,#REF!&gt;=BJ$2),1,0)</f>
        <v>#REF!</v>
      </c>
      <c r="BK58" s="270" t="e">
        <f t="array" ref="BK58">IF(AND(BK$2&lt;&gt;0,#REF!&gt;=BK$2),1,0)</f>
        <v>#REF!</v>
      </c>
      <c r="BL58" s="270" t="e">
        <f t="array" ref="BL58">IF(AND(BL$2&lt;&gt;0,#REF!&gt;=BL$2),1,0)</f>
        <v>#REF!</v>
      </c>
      <c r="BM58" s="270" t="e">
        <f t="array" ref="BM58">IF(AND(BM$2&lt;&gt;0,#REF!&gt;=BM$2),1,0)</f>
        <v>#REF!</v>
      </c>
      <c r="BN58" s="270" t="e">
        <f t="array" ref="BN58">IF(AND(BN$2&lt;&gt;0,#REF!&gt;=BN$2),1,0)</f>
        <v>#REF!</v>
      </c>
      <c r="BO58" s="270" t="e">
        <f t="array" ref="BO58">IF(AND(BO$2&lt;&gt;0,#REF!&gt;=BO$2),1,0)</f>
        <v>#REF!</v>
      </c>
      <c r="BP58" s="270" t="e">
        <f t="array" ref="BP58">IF(AND(BP$2&lt;&gt;0,#REF!&gt;=BP$2),1,0)</f>
        <v>#REF!</v>
      </c>
      <c r="BQ58" s="270" t="e">
        <f t="array" ref="BQ58">IF(AND(BQ$2&lt;&gt;0,#REF!&gt;=BQ$2),1,0)</f>
        <v>#REF!</v>
      </c>
      <c r="BR58" s="270" t="e">
        <f t="array" ref="BR58">IF(AND(BR$2&lt;&gt;0,#REF!&gt;=BR$2),1,0)</f>
        <v>#REF!</v>
      </c>
      <c r="BS58" s="270" t="e">
        <f t="array" ref="BS58">IF(AND(BS$2&lt;&gt;0,#REF!&gt;=BS$2),1,0)</f>
        <v>#REF!</v>
      </c>
      <c r="BT58" s="270" t="e">
        <f t="array" ref="BT58">IF(AND(BT$2&lt;&gt;0,#REF!&gt;=BT$2),1,0)</f>
        <v>#REF!</v>
      </c>
      <c r="BU58" s="270" t="e">
        <f t="array" ref="BU58">IF(AND(BU$2&lt;&gt;0,#REF!&gt;=BU$2),1,0)</f>
        <v>#REF!</v>
      </c>
      <c r="BV58" s="270" t="e">
        <f t="array" ref="BV58">IF(AND(BV$2&lt;&gt;0,#REF!&gt;=BV$2),1,0)</f>
        <v>#REF!</v>
      </c>
      <c r="BW58" s="270" t="e">
        <f t="array" ref="BW58">IF(AND(BW$2&lt;&gt;0,#REF!&gt;=BW$2),1,0)</f>
        <v>#REF!</v>
      </c>
      <c r="BX58" s="270" t="e">
        <f t="array" ref="BX58">IF(AND(BX$2&lt;&gt;0,#REF!&gt;=BX$2),1,0)</f>
        <v>#REF!</v>
      </c>
      <c r="BY58" s="270" t="e">
        <f t="array" ref="BY58">IF(AND(BY$2&lt;&gt;0,#REF!&gt;=BY$2),1,0)</f>
        <v>#REF!</v>
      </c>
      <c r="BZ58" s="270" t="e">
        <f t="array" ref="BZ58">IF(AND(BZ$2&lt;&gt;0,#REF!&gt;=BZ$2),1,0)</f>
        <v>#REF!</v>
      </c>
      <c r="CA58" s="359">
        <f>IFERROR(INDEX($H$4:$H$79,MATCH(INDEX(#REF!,1,MATCH(#REF!,$M$2:$BZ$2,0)),$G$4:$G$79,0)),)</f>
        <v>0</v>
      </c>
    </row>
    <row r="59" spans="1:79" x14ac:dyDescent="0.25">
      <c r="A59" s="262" t="e">
        <f>#REF!</f>
        <v>#REF!</v>
      </c>
      <c r="B59" s="263" t="e">
        <f>#REF!</f>
        <v>#REF!</v>
      </c>
      <c r="C59" s="264" t="e">
        <f>#REF!</f>
        <v>#REF!</v>
      </c>
      <c r="D59" s="264" t="e">
        <f>#REF!</f>
        <v>#REF!</v>
      </c>
      <c r="E59" s="265"/>
      <c r="F59" s="266"/>
      <c r="G59" s="267" t="s">
        <v>603</v>
      </c>
      <c r="H59" s="268" t="s">
        <v>726</v>
      </c>
      <c r="I59" s="267" t="s">
        <v>746</v>
      </c>
      <c r="J59" s="263"/>
      <c r="K59" s="89" t="e">
        <f ca="1">IF(#REF!&lt;&gt;OFFSET(#REF!,-1,0),1,0)</f>
        <v>#REF!</v>
      </c>
      <c r="L59" s="269" t="e">
        <f>COUNTIF(#REF!,1)</f>
        <v>#REF!</v>
      </c>
      <c r="M59" s="270" t="e">
        <f t="array" ref="M59">IF(AND(M$2&lt;&gt;0,#REF!&gt;=M$2),1,0)</f>
        <v>#REF!</v>
      </c>
      <c r="N59" s="270" t="e">
        <f t="array" ref="N59">IF(AND(N$2&lt;&gt;0,#REF!&gt;=N$2),1,0)</f>
        <v>#REF!</v>
      </c>
      <c r="O59" s="270" t="e">
        <f t="array" ref="O59">IF(AND(O$2&lt;&gt;0,#REF!&gt;=O$2),1,0)</f>
        <v>#REF!</v>
      </c>
      <c r="P59" s="270" t="e">
        <f t="array" ref="P59">IF(AND(P$2&lt;&gt;0,#REF!&gt;=P$2),1,0)</f>
        <v>#REF!</v>
      </c>
      <c r="Q59" s="270" t="e">
        <f t="array" ref="Q59">IF(AND(Q$2&lt;&gt;0,#REF!&gt;=Q$2),1,0)</f>
        <v>#REF!</v>
      </c>
      <c r="R59" s="270" t="e">
        <f t="array" ref="R59">IF(AND(R$2&lt;&gt;0,#REF!&gt;=R$2),1,0)</f>
        <v>#REF!</v>
      </c>
      <c r="S59" s="270" t="e">
        <f t="array" ref="S59">IF(AND(S$2&lt;&gt;0,#REF!&gt;=S$2),1,0)</f>
        <v>#REF!</v>
      </c>
      <c r="T59" s="270" t="e">
        <f t="array" ref="T59">IF(AND(T$2&lt;&gt;0,#REF!&gt;=T$2),1,0)</f>
        <v>#REF!</v>
      </c>
      <c r="U59" s="270" t="e">
        <f t="array" ref="U59">IF(AND(U$2&lt;&gt;0,#REF!&gt;=U$2),1,0)</f>
        <v>#REF!</v>
      </c>
      <c r="V59" s="270" t="e">
        <f t="array" ref="V59">IF(AND(V$2&lt;&gt;0,#REF!&gt;=V$2),1,0)</f>
        <v>#REF!</v>
      </c>
      <c r="W59" s="270" t="e">
        <f t="array" ref="W59">IF(AND(W$2&lt;&gt;0,#REF!&gt;=W$2),1,0)</f>
        <v>#REF!</v>
      </c>
      <c r="X59" s="270" t="e">
        <f t="array" ref="X59">IF(AND(X$2&lt;&gt;0,#REF!&gt;=X$2),1,0)</f>
        <v>#REF!</v>
      </c>
      <c r="Y59" s="270" t="e">
        <f t="array" ref="Y59">IF(AND(Y$2&lt;&gt;0,#REF!&gt;=Y$2),1,0)</f>
        <v>#REF!</v>
      </c>
      <c r="Z59" s="270" t="e">
        <f t="array" ref="Z59">IF(AND(Z$2&lt;&gt;0,#REF!&gt;=Z$2),1,0)</f>
        <v>#REF!</v>
      </c>
      <c r="AA59" s="270" t="e">
        <f t="array" ref="AA59">IF(AND(AA$2&lt;&gt;0,#REF!&gt;=AA$2),1,0)</f>
        <v>#REF!</v>
      </c>
      <c r="AB59" s="270" t="e">
        <f t="array" ref="AB59">IF(AND(AB$2&lt;&gt;0,#REF!&gt;=AB$2),1,0)</f>
        <v>#REF!</v>
      </c>
      <c r="AC59" s="270" t="e">
        <f t="array" ref="AC59">IF(AND(AC$2&lt;&gt;0,#REF!&gt;=AC$2),1,0)</f>
        <v>#REF!</v>
      </c>
      <c r="AD59" s="270" t="e">
        <f t="array" ref="AD59">IF(AND(AD$2&lt;&gt;0,#REF!&gt;=AD$2),1,0)</f>
        <v>#REF!</v>
      </c>
      <c r="AE59" s="270" t="e">
        <f t="array" ref="AE59">IF(AND(AE$2&lt;&gt;0,#REF!&gt;=AE$2),1,0)</f>
        <v>#REF!</v>
      </c>
      <c r="AF59" s="270" t="e">
        <f t="array" ref="AF59">IF(AND(AF$2&lt;&gt;0,#REF!&gt;=AF$2),1,0)</f>
        <v>#REF!</v>
      </c>
      <c r="AG59" s="270" t="e">
        <f t="array" ref="AG59">IF(AND(AG$2&lt;&gt;0,#REF!&gt;=AG$2),1,0)</f>
        <v>#REF!</v>
      </c>
      <c r="AH59" s="270" t="e">
        <f t="array" ref="AH59">IF(AND(AH$2&lt;&gt;0,#REF!&gt;=AH$2),1,0)</f>
        <v>#REF!</v>
      </c>
      <c r="AI59" s="270" t="e">
        <f t="array" ref="AI59">IF(AND(AI$2&lt;&gt;0,#REF!&gt;=AI$2),1,0)</f>
        <v>#REF!</v>
      </c>
      <c r="AJ59" s="270" t="e">
        <f t="array" ref="AJ59">IF(AND(AJ$2&lt;&gt;0,#REF!&gt;=AJ$2),1,0)</f>
        <v>#REF!</v>
      </c>
      <c r="AK59" s="270" t="e">
        <f t="array" ref="AK59">IF(AND(AK$2&lt;&gt;0,#REF!&gt;=AK$2),1,0)</f>
        <v>#REF!</v>
      </c>
      <c r="AL59" s="270" t="e">
        <f t="array" ref="AL59">IF(AND(AL$2&lt;&gt;0,#REF!&gt;=AL$2),1,0)</f>
        <v>#REF!</v>
      </c>
      <c r="AM59" s="270" t="e">
        <f t="array" ref="AM59">IF(AND(AM$2&lt;&gt;0,#REF!&gt;=AM$2),1,0)</f>
        <v>#REF!</v>
      </c>
      <c r="AN59" s="270" t="e">
        <f t="array" ref="AN59">IF(AND(AN$2&lt;&gt;0,#REF!&gt;=AN$2),1,0)</f>
        <v>#REF!</v>
      </c>
      <c r="AO59" s="270" t="e">
        <f t="array" ref="AO59">IF(AND(AO$2&lt;&gt;0,#REF!&gt;=AO$2),1,0)</f>
        <v>#REF!</v>
      </c>
      <c r="AP59" s="270" t="e">
        <f t="array" ref="AP59">IF(AND(AP$2&lt;&gt;0,#REF!&gt;=AP$2),1,0)</f>
        <v>#REF!</v>
      </c>
      <c r="AQ59" s="270" t="e">
        <f t="array" ref="AQ59">IF(AND(AQ$2&lt;&gt;0,#REF!&gt;=AQ$2),1,0)</f>
        <v>#REF!</v>
      </c>
      <c r="AR59" s="270" t="e">
        <f t="array" ref="AR59">IF(AND(AR$2&lt;&gt;0,#REF!&gt;=AR$2),1,0)</f>
        <v>#REF!</v>
      </c>
      <c r="AS59" s="270" t="e">
        <f t="array" ref="AS59">IF(AND(AS$2&lt;&gt;0,#REF!&gt;=AS$2),1,0)</f>
        <v>#REF!</v>
      </c>
      <c r="AT59" s="270" t="e">
        <f t="array" ref="AT59">IF(AND(AT$2&lt;&gt;0,#REF!&gt;=AT$2),1,0)</f>
        <v>#REF!</v>
      </c>
      <c r="AU59" s="270" t="e">
        <f t="array" ref="AU59">IF(AND(AU$2&lt;&gt;0,#REF!&gt;=AU$2),1,0)</f>
        <v>#REF!</v>
      </c>
      <c r="AV59" s="270" t="e">
        <f t="array" ref="AV59">IF(AND(AV$2&lt;&gt;0,#REF!&gt;=AV$2),1,0)</f>
        <v>#REF!</v>
      </c>
      <c r="AW59" s="270" t="e">
        <f t="array" ref="AW59">IF(AND(AW$2&lt;&gt;0,#REF!&gt;=AW$2),1,0)</f>
        <v>#REF!</v>
      </c>
      <c r="AX59" s="270" t="e">
        <f t="array" ref="AX59">IF(AND(AX$2&lt;&gt;0,#REF!&gt;=AX$2),1,0)</f>
        <v>#REF!</v>
      </c>
      <c r="AY59" s="270" t="e">
        <f t="array" ref="AY59">IF(AND(AY$2&lt;&gt;0,#REF!&gt;=AY$2),1,0)</f>
        <v>#REF!</v>
      </c>
      <c r="AZ59" s="270" t="e">
        <f t="array" ref="AZ59">IF(AND(AZ$2&lt;&gt;0,#REF!&gt;=AZ$2),1,0)</f>
        <v>#REF!</v>
      </c>
      <c r="BA59" s="270" t="e">
        <f t="array" ref="BA59">IF(AND(BA$2&lt;&gt;0,#REF!&gt;=BA$2),1,0)</f>
        <v>#REF!</v>
      </c>
      <c r="BB59" s="270" t="e">
        <f t="array" ref="BB59">IF(AND(BB$2&lt;&gt;0,#REF!&gt;=BB$2),1,0)</f>
        <v>#REF!</v>
      </c>
      <c r="BC59" s="270" t="e">
        <f t="array" ref="BC59">IF(AND(BC$2&lt;&gt;0,#REF!&gt;=BC$2),1,0)</f>
        <v>#REF!</v>
      </c>
      <c r="BD59" s="270" t="e">
        <f t="array" ref="BD59">IF(AND(BD$2&lt;&gt;0,#REF!&gt;=BD$2),1,0)</f>
        <v>#REF!</v>
      </c>
      <c r="BE59" s="270" t="e">
        <f t="array" ref="BE59">IF(AND(BE$2&lt;&gt;0,#REF!&gt;=BE$2),1,0)</f>
        <v>#REF!</v>
      </c>
      <c r="BF59" s="270" t="e">
        <f t="array" ref="BF59">IF(AND(BF$2&lt;&gt;0,#REF!&gt;=BF$2),1,0)</f>
        <v>#REF!</v>
      </c>
      <c r="BG59" s="270" t="e">
        <f t="array" ref="BG59">IF(AND(BG$2&lt;&gt;0,#REF!&gt;=BG$2),1,0)</f>
        <v>#REF!</v>
      </c>
      <c r="BH59" s="270" t="e">
        <f t="array" ref="BH59">IF(AND(BH$2&lt;&gt;0,#REF!&gt;=BH$2),1,0)</f>
        <v>#REF!</v>
      </c>
      <c r="BI59" s="270" t="e">
        <f t="array" ref="BI59">IF(AND(BI$2&lt;&gt;0,#REF!&gt;=BI$2),1,0)</f>
        <v>#REF!</v>
      </c>
      <c r="BJ59" s="270" t="e">
        <f t="array" ref="BJ59">IF(AND(BJ$2&lt;&gt;0,#REF!&gt;=BJ$2),1,0)</f>
        <v>#REF!</v>
      </c>
      <c r="BK59" s="270" t="e">
        <f t="array" ref="BK59">IF(AND(BK$2&lt;&gt;0,#REF!&gt;=BK$2),1,0)</f>
        <v>#REF!</v>
      </c>
      <c r="BL59" s="270" t="e">
        <f t="array" ref="BL59">IF(AND(BL$2&lt;&gt;0,#REF!&gt;=BL$2),1,0)</f>
        <v>#REF!</v>
      </c>
      <c r="BM59" s="270" t="e">
        <f t="array" ref="BM59">IF(AND(BM$2&lt;&gt;0,#REF!&gt;=BM$2),1,0)</f>
        <v>#REF!</v>
      </c>
      <c r="BN59" s="270" t="e">
        <f t="array" ref="BN59">IF(AND(BN$2&lt;&gt;0,#REF!&gt;=BN$2),1,0)</f>
        <v>#REF!</v>
      </c>
      <c r="BO59" s="270" t="e">
        <f t="array" ref="BO59">IF(AND(BO$2&lt;&gt;0,#REF!&gt;=BO$2),1,0)</f>
        <v>#REF!</v>
      </c>
      <c r="BP59" s="270" t="e">
        <f t="array" ref="BP59">IF(AND(BP$2&lt;&gt;0,#REF!&gt;=BP$2),1,0)</f>
        <v>#REF!</v>
      </c>
      <c r="BQ59" s="270" t="e">
        <f t="array" ref="BQ59">IF(AND(BQ$2&lt;&gt;0,#REF!&gt;=BQ$2),1,0)</f>
        <v>#REF!</v>
      </c>
      <c r="BR59" s="270" t="e">
        <f t="array" ref="BR59">IF(AND(BR$2&lt;&gt;0,#REF!&gt;=BR$2),1,0)</f>
        <v>#REF!</v>
      </c>
      <c r="BS59" s="270" t="e">
        <f t="array" ref="BS59">IF(AND(BS$2&lt;&gt;0,#REF!&gt;=BS$2),1,0)</f>
        <v>#REF!</v>
      </c>
      <c r="BT59" s="270" t="e">
        <f t="array" ref="BT59">IF(AND(BT$2&lt;&gt;0,#REF!&gt;=BT$2),1,0)</f>
        <v>#REF!</v>
      </c>
      <c r="BU59" s="270" t="e">
        <f t="array" ref="BU59">IF(AND(BU$2&lt;&gt;0,#REF!&gt;=BU$2),1,0)</f>
        <v>#REF!</v>
      </c>
      <c r="BV59" s="270" t="e">
        <f t="array" ref="BV59">IF(AND(BV$2&lt;&gt;0,#REF!&gt;=BV$2),1,0)</f>
        <v>#REF!</v>
      </c>
      <c r="BW59" s="270" t="e">
        <f t="array" ref="BW59">IF(AND(BW$2&lt;&gt;0,#REF!&gt;=BW$2),1,0)</f>
        <v>#REF!</v>
      </c>
      <c r="BX59" s="270" t="e">
        <f t="array" ref="BX59">IF(AND(BX$2&lt;&gt;0,#REF!&gt;=BX$2),1,0)</f>
        <v>#REF!</v>
      </c>
      <c r="BY59" s="270" t="e">
        <f t="array" ref="BY59">IF(AND(BY$2&lt;&gt;0,#REF!&gt;=BY$2),1,0)</f>
        <v>#REF!</v>
      </c>
      <c r="BZ59" s="270" t="e">
        <f t="array" ref="BZ59">IF(AND(BZ$2&lt;&gt;0,#REF!&gt;=BZ$2),1,0)</f>
        <v>#REF!</v>
      </c>
      <c r="CA59" s="359">
        <f>IFERROR(INDEX($H$4:$H$79,MATCH(INDEX(#REF!,1,MATCH(#REF!,$M$2:$BZ$2,0)),$G$4:$G$79,0)),)</f>
        <v>0</v>
      </c>
    </row>
    <row r="60" spans="1:79" x14ac:dyDescent="0.25">
      <c r="A60" s="262" t="e">
        <f>#REF!</f>
        <v>#REF!</v>
      </c>
      <c r="B60" s="263" t="e">
        <f>#REF!</f>
        <v>#REF!</v>
      </c>
      <c r="C60" s="264" t="e">
        <f>#REF!</f>
        <v>#REF!</v>
      </c>
      <c r="D60" s="264" t="e">
        <f>#REF!</f>
        <v>#REF!</v>
      </c>
      <c r="E60" s="265"/>
      <c r="F60" s="266"/>
      <c r="G60" s="267"/>
      <c r="H60" s="268"/>
      <c r="I60" s="267"/>
      <c r="J60" s="263"/>
      <c r="K60" s="89" t="e">
        <f ca="1">IF(#REF!&lt;&gt;OFFSET(#REF!,-1,0),1,0)</f>
        <v>#REF!</v>
      </c>
      <c r="L60" s="269" t="e">
        <f>COUNTIF(#REF!,1)</f>
        <v>#REF!</v>
      </c>
      <c r="M60" s="270" t="e">
        <f t="array" ref="M60">IF(AND(M$2&lt;&gt;0,#REF!&gt;=M$2),1,0)</f>
        <v>#REF!</v>
      </c>
      <c r="N60" s="270" t="e">
        <f t="array" ref="N60">IF(AND(N$2&lt;&gt;0,#REF!&gt;=N$2),1,0)</f>
        <v>#REF!</v>
      </c>
      <c r="O60" s="270" t="e">
        <f t="array" ref="O60">IF(AND(O$2&lt;&gt;0,#REF!&gt;=O$2),1,0)</f>
        <v>#REF!</v>
      </c>
      <c r="P60" s="270" t="e">
        <f t="array" ref="P60">IF(AND(P$2&lt;&gt;0,#REF!&gt;=P$2),1,0)</f>
        <v>#REF!</v>
      </c>
      <c r="Q60" s="270" t="e">
        <f t="array" ref="Q60">IF(AND(Q$2&lt;&gt;0,#REF!&gt;=Q$2),1,0)</f>
        <v>#REF!</v>
      </c>
      <c r="R60" s="270" t="e">
        <f t="array" ref="R60">IF(AND(R$2&lt;&gt;0,#REF!&gt;=R$2),1,0)</f>
        <v>#REF!</v>
      </c>
      <c r="S60" s="270" t="e">
        <f t="array" ref="S60">IF(AND(S$2&lt;&gt;0,#REF!&gt;=S$2),1,0)</f>
        <v>#REF!</v>
      </c>
      <c r="T60" s="270" t="e">
        <f t="array" ref="T60">IF(AND(T$2&lt;&gt;0,#REF!&gt;=T$2),1,0)</f>
        <v>#REF!</v>
      </c>
      <c r="U60" s="270" t="e">
        <f t="array" ref="U60">IF(AND(U$2&lt;&gt;0,#REF!&gt;=U$2),1,0)</f>
        <v>#REF!</v>
      </c>
      <c r="V60" s="270" t="e">
        <f t="array" ref="V60">IF(AND(V$2&lt;&gt;0,#REF!&gt;=V$2),1,0)</f>
        <v>#REF!</v>
      </c>
      <c r="W60" s="270" t="e">
        <f t="array" ref="W60">IF(AND(W$2&lt;&gt;0,#REF!&gt;=W$2),1,0)</f>
        <v>#REF!</v>
      </c>
      <c r="X60" s="270" t="e">
        <f t="array" ref="X60">IF(AND(X$2&lt;&gt;0,#REF!&gt;=X$2),1,0)</f>
        <v>#REF!</v>
      </c>
      <c r="Y60" s="270" t="e">
        <f t="array" ref="Y60">IF(AND(Y$2&lt;&gt;0,#REF!&gt;=Y$2),1,0)</f>
        <v>#REF!</v>
      </c>
      <c r="Z60" s="270" t="e">
        <f t="array" ref="Z60">IF(AND(Z$2&lt;&gt;0,#REF!&gt;=Z$2),1,0)</f>
        <v>#REF!</v>
      </c>
      <c r="AA60" s="270" t="e">
        <f t="array" ref="AA60">IF(AND(AA$2&lt;&gt;0,#REF!&gt;=AA$2),1,0)</f>
        <v>#REF!</v>
      </c>
      <c r="AB60" s="270" t="e">
        <f t="array" ref="AB60">IF(AND(AB$2&lt;&gt;0,#REF!&gt;=AB$2),1,0)</f>
        <v>#REF!</v>
      </c>
      <c r="AC60" s="270" t="e">
        <f t="array" ref="AC60">IF(AND(AC$2&lt;&gt;0,#REF!&gt;=AC$2),1,0)</f>
        <v>#REF!</v>
      </c>
      <c r="AD60" s="270" t="e">
        <f t="array" ref="AD60">IF(AND(AD$2&lt;&gt;0,#REF!&gt;=AD$2),1,0)</f>
        <v>#REF!</v>
      </c>
      <c r="AE60" s="270" t="e">
        <f t="array" ref="AE60">IF(AND(AE$2&lt;&gt;0,#REF!&gt;=AE$2),1,0)</f>
        <v>#REF!</v>
      </c>
      <c r="AF60" s="270" t="e">
        <f t="array" ref="AF60">IF(AND(AF$2&lt;&gt;0,#REF!&gt;=AF$2),1,0)</f>
        <v>#REF!</v>
      </c>
      <c r="AG60" s="270" t="e">
        <f t="array" ref="AG60">IF(AND(AG$2&lt;&gt;0,#REF!&gt;=AG$2),1,0)</f>
        <v>#REF!</v>
      </c>
      <c r="AH60" s="270" t="e">
        <f t="array" ref="AH60">IF(AND(AH$2&lt;&gt;0,#REF!&gt;=AH$2),1,0)</f>
        <v>#REF!</v>
      </c>
      <c r="AI60" s="270" t="e">
        <f t="array" ref="AI60">IF(AND(AI$2&lt;&gt;0,#REF!&gt;=AI$2),1,0)</f>
        <v>#REF!</v>
      </c>
      <c r="AJ60" s="270" t="e">
        <f t="array" ref="AJ60">IF(AND(AJ$2&lt;&gt;0,#REF!&gt;=AJ$2),1,0)</f>
        <v>#REF!</v>
      </c>
      <c r="AK60" s="270" t="e">
        <f t="array" ref="AK60">IF(AND(AK$2&lt;&gt;0,#REF!&gt;=AK$2),1,0)</f>
        <v>#REF!</v>
      </c>
      <c r="AL60" s="270" t="e">
        <f t="array" ref="AL60">IF(AND(AL$2&lt;&gt;0,#REF!&gt;=AL$2),1,0)</f>
        <v>#REF!</v>
      </c>
      <c r="AM60" s="270" t="e">
        <f t="array" ref="AM60">IF(AND(AM$2&lt;&gt;0,#REF!&gt;=AM$2),1,0)</f>
        <v>#REF!</v>
      </c>
      <c r="AN60" s="270" t="e">
        <f t="array" ref="AN60">IF(AND(AN$2&lt;&gt;0,#REF!&gt;=AN$2),1,0)</f>
        <v>#REF!</v>
      </c>
      <c r="AO60" s="270" t="e">
        <f t="array" ref="AO60">IF(AND(AO$2&lt;&gt;0,#REF!&gt;=AO$2),1,0)</f>
        <v>#REF!</v>
      </c>
      <c r="AP60" s="270" t="e">
        <f t="array" ref="AP60">IF(AND(AP$2&lt;&gt;0,#REF!&gt;=AP$2),1,0)</f>
        <v>#REF!</v>
      </c>
      <c r="AQ60" s="270" t="e">
        <f t="array" ref="AQ60">IF(AND(AQ$2&lt;&gt;0,#REF!&gt;=AQ$2),1,0)</f>
        <v>#REF!</v>
      </c>
      <c r="AR60" s="270" t="e">
        <f t="array" ref="AR60">IF(AND(AR$2&lt;&gt;0,#REF!&gt;=AR$2),1,0)</f>
        <v>#REF!</v>
      </c>
      <c r="AS60" s="270" t="e">
        <f t="array" ref="AS60">IF(AND(AS$2&lt;&gt;0,#REF!&gt;=AS$2),1,0)</f>
        <v>#REF!</v>
      </c>
      <c r="AT60" s="270" t="e">
        <f t="array" ref="AT60">IF(AND(AT$2&lt;&gt;0,#REF!&gt;=AT$2),1,0)</f>
        <v>#REF!</v>
      </c>
      <c r="AU60" s="270" t="e">
        <f t="array" ref="AU60">IF(AND(AU$2&lt;&gt;0,#REF!&gt;=AU$2),1,0)</f>
        <v>#REF!</v>
      </c>
      <c r="AV60" s="270" t="e">
        <f t="array" ref="AV60">IF(AND(AV$2&lt;&gt;0,#REF!&gt;=AV$2),1,0)</f>
        <v>#REF!</v>
      </c>
      <c r="AW60" s="270" t="e">
        <f t="array" ref="AW60">IF(AND(AW$2&lt;&gt;0,#REF!&gt;=AW$2),1,0)</f>
        <v>#REF!</v>
      </c>
      <c r="AX60" s="270" t="e">
        <f t="array" ref="AX60">IF(AND(AX$2&lt;&gt;0,#REF!&gt;=AX$2),1,0)</f>
        <v>#REF!</v>
      </c>
      <c r="AY60" s="270" t="e">
        <f t="array" ref="AY60">IF(AND(AY$2&lt;&gt;0,#REF!&gt;=AY$2),1,0)</f>
        <v>#REF!</v>
      </c>
      <c r="AZ60" s="270" t="e">
        <f t="array" ref="AZ60">IF(AND(AZ$2&lt;&gt;0,#REF!&gt;=AZ$2),1,0)</f>
        <v>#REF!</v>
      </c>
      <c r="BA60" s="270" t="e">
        <f t="array" ref="BA60">IF(AND(BA$2&lt;&gt;0,#REF!&gt;=BA$2),1,0)</f>
        <v>#REF!</v>
      </c>
      <c r="BB60" s="270" t="e">
        <f t="array" ref="BB60">IF(AND(BB$2&lt;&gt;0,#REF!&gt;=BB$2),1,0)</f>
        <v>#REF!</v>
      </c>
      <c r="BC60" s="270" t="e">
        <f t="array" ref="BC60">IF(AND(BC$2&lt;&gt;0,#REF!&gt;=BC$2),1,0)</f>
        <v>#REF!</v>
      </c>
      <c r="BD60" s="270" t="e">
        <f t="array" ref="BD60">IF(AND(BD$2&lt;&gt;0,#REF!&gt;=BD$2),1,0)</f>
        <v>#REF!</v>
      </c>
      <c r="BE60" s="270" t="e">
        <f t="array" ref="BE60">IF(AND(BE$2&lt;&gt;0,#REF!&gt;=BE$2),1,0)</f>
        <v>#REF!</v>
      </c>
      <c r="BF60" s="270" t="e">
        <f t="array" ref="BF60">IF(AND(BF$2&lt;&gt;0,#REF!&gt;=BF$2),1,0)</f>
        <v>#REF!</v>
      </c>
      <c r="BG60" s="270" t="e">
        <f t="array" ref="BG60">IF(AND(BG$2&lt;&gt;0,#REF!&gt;=BG$2),1,0)</f>
        <v>#REF!</v>
      </c>
      <c r="BH60" s="270" t="e">
        <f t="array" ref="BH60">IF(AND(BH$2&lt;&gt;0,#REF!&gt;=BH$2),1,0)</f>
        <v>#REF!</v>
      </c>
      <c r="BI60" s="270" t="e">
        <f t="array" ref="BI60">IF(AND(BI$2&lt;&gt;0,#REF!&gt;=BI$2),1,0)</f>
        <v>#REF!</v>
      </c>
      <c r="BJ60" s="270" t="e">
        <f t="array" ref="BJ60">IF(AND(BJ$2&lt;&gt;0,#REF!&gt;=BJ$2),1,0)</f>
        <v>#REF!</v>
      </c>
      <c r="BK60" s="270" t="e">
        <f t="array" ref="BK60">IF(AND(BK$2&lt;&gt;0,#REF!&gt;=BK$2),1,0)</f>
        <v>#REF!</v>
      </c>
      <c r="BL60" s="270" t="e">
        <f t="array" ref="BL60">IF(AND(BL$2&lt;&gt;0,#REF!&gt;=BL$2),1,0)</f>
        <v>#REF!</v>
      </c>
      <c r="BM60" s="270" t="e">
        <f t="array" ref="BM60">IF(AND(BM$2&lt;&gt;0,#REF!&gt;=BM$2),1,0)</f>
        <v>#REF!</v>
      </c>
      <c r="BN60" s="270" t="e">
        <f t="array" ref="BN60">IF(AND(BN$2&lt;&gt;0,#REF!&gt;=BN$2),1,0)</f>
        <v>#REF!</v>
      </c>
      <c r="BO60" s="270" t="e">
        <f t="array" ref="BO60">IF(AND(BO$2&lt;&gt;0,#REF!&gt;=BO$2),1,0)</f>
        <v>#REF!</v>
      </c>
      <c r="BP60" s="270" t="e">
        <f t="array" ref="BP60">IF(AND(BP$2&lt;&gt;0,#REF!&gt;=BP$2),1,0)</f>
        <v>#REF!</v>
      </c>
      <c r="BQ60" s="270" t="e">
        <f t="array" ref="BQ60">IF(AND(BQ$2&lt;&gt;0,#REF!&gt;=BQ$2),1,0)</f>
        <v>#REF!</v>
      </c>
      <c r="BR60" s="270" t="e">
        <f t="array" ref="BR60">IF(AND(BR$2&lt;&gt;0,#REF!&gt;=BR$2),1,0)</f>
        <v>#REF!</v>
      </c>
      <c r="BS60" s="270" t="e">
        <f t="array" ref="BS60">IF(AND(BS$2&lt;&gt;0,#REF!&gt;=BS$2),1,0)</f>
        <v>#REF!</v>
      </c>
      <c r="BT60" s="270" t="e">
        <f t="array" ref="BT60">IF(AND(BT$2&lt;&gt;0,#REF!&gt;=BT$2),1,0)</f>
        <v>#REF!</v>
      </c>
      <c r="BU60" s="270" t="e">
        <f t="array" ref="BU60">IF(AND(BU$2&lt;&gt;0,#REF!&gt;=BU$2),1,0)</f>
        <v>#REF!</v>
      </c>
      <c r="BV60" s="270" t="e">
        <f t="array" ref="BV60">IF(AND(BV$2&lt;&gt;0,#REF!&gt;=BV$2),1,0)</f>
        <v>#REF!</v>
      </c>
      <c r="BW60" s="270" t="e">
        <f t="array" ref="BW60">IF(AND(BW$2&lt;&gt;0,#REF!&gt;=BW$2),1,0)</f>
        <v>#REF!</v>
      </c>
      <c r="BX60" s="270" t="e">
        <f t="array" ref="BX60">IF(AND(BX$2&lt;&gt;0,#REF!&gt;=BX$2),1,0)</f>
        <v>#REF!</v>
      </c>
      <c r="BY60" s="270" t="e">
        <f t="array" ref="BY60">IF(AND(BY$2&lt;&gt;0,#REF!&gt;=BY$2),1,0)</f>
        <v>#REF!</v>
      </c>
      <c r="BZ60" s="270" t="e">
        <f t="array" ref="BZ60">IF(AND(BZ$2&lt;&gt;0,#REF!&gt;=BZ$2),1,0)</f>
        <v>#REF!</v>
      </c>
      <c r="CA60" s="359">
        <f>IFERROR(INDEX($H$4:$H$79,MATCH(INDEX(#REF!,1,MATCH(#REF!,$M$2:$BZ$2,0)),$G$4:$G$79,0)),)</f>
        <v>0</v>
      </c>
    </row>
    <row r="61" spans="1:79" x14ac:dyDescent="0.25">
      <c r="A61" s="262" t="e">
        <f>#REF!</f>
        <v>#REF!</v>
      </c>
      <c r="B61" s="263" t="e">
        <f>#REF!</f>
        <v>#REF!</v>
      </c>
      <c r="C61" s="264" t="e">
        <f>#REF!</f>
        <v>#REF!</v>
      </c>
      <c r="D61" s="264" t="e">
        <f>#REF!</f>
        <v>#REF!</v>
      </c>
      <c r="E61" s="265"/>
      <c r="F61" s="266"/>
      <c r="G61" s="267" t="s">
        <v>604</v>
      </c>
      <c r="H61" s="268" t="s">
        <v>727</v>
      </c>
      <c r="I61" s="267" t="s">
        <v>605</v>
      </c>
      <c r="J61" s="263"/>
      <c r="K61" s="89" t="e">
        <f ca="1">IF(#REF!&lt;&gt;OFFSET(#REF!,-1,0),1,0)</f>
        <v>#REF!</v>
      </c>
      <c r="L61" s="269" t="e">
        <f>COUNTIF(#REF!,1)</f>
        <v>#REF!</v>
      </c>
      <c r="M61" s="270" t="e">
        <f t="array" ref="M61">IF(AND(M$2&lt;&gt;0,#REF!&gt;=M$2),1,0)</f>
        <v>#REF!</v>
      </c>
      <c r="N61" s="270" t="e">
        <f t="array" ref="N61">IF(AND(N$2&lt;&gt;0,#REF!&gt;=N$2),1,0)</f>
        <v>#REF!</v>
      </c>
      <c r="O61" s="270" t="e">
        <f t="array" ref="O61">IF(AND(O$2&lt;&gt;0,#REF!&gt;=O$2),1,0)</f>
        <v>#REF!</v>
      </c>
      <c r="P61" s="270" t="e">
        <f t="array" ref="P61">IF(AND(P$2&lt;&gt;0,#REF!&gt;=P$2),1,0)</f>
        <v>#REF!</v>
      </c>
      <c r="Q61" s="270" t="e">
        <f t="array" ref="Q61">IF(AND(Q$2&lt;&gt;0,#REF!&gt;=Q$2),1,0)</f>
        <v>#REF!</v>
      </c>
      <c r="R61" s="270" t="e">
        <f t="array" ref="R61">IF(AND(R$2&lt;&gt;0,#REF!&gt;=R$2),1,0)</f>
        <v>#REF!</v>
      </c>
      <c r="S61" s="270" t="e">
        <f t="array" ref="S61">IF(AND(S$2&lt;&gt;0,#REF!&gt;=S$2),1,0)</f>
        <v>#REF!</v>
      </c>
      <c r="T61" s="270" t="e">
        <f t="array" ref="T61">IF(AND(T$2&lt;&gt;0,#REF!&gt;=T$2),1,0)</f>
        <v>#REF!</v>
      </c>
      <c r="U61" s="270" t="e">
        <f t="array" ref="U61">IF(AND(U$2&lt;&gt;0,#REF!&gt;=U$2),1,0)</f>
        <v>#REF!</v>
      </c>
      <c r="V61" s="270" t="e">
        <f t="array" ref="V61">IF(AND(V$2&lt;&gt;0,#REF!&gt;=V$2),1,0)</f>
        <v>#REF!</v>
      </c>
      <c r="W61" s="270" t="e">
        <f t="array" ref="W61">IF(AND(W$2&lt;&gt;0,#REF!&gt;=W$2),1,0)</f>
        <v>#REF!</v>
      </c>
      <c r="X61" s="270" t="e">
        <f t="array" ref="X61">IF(AND(X$2&lt;&gt;0,#REF!&gt;=X$2),1,0)</f>
        <v>#REF!</v>
      </c>
      <c r="Y61" s="270" t="e">
        <f t="array" ref="Y61">IF(AND(Y$2&lt;&gt;0,#REF!&gt;=Y$2),1,0)</f>
        <v>#REF!</v>
      </c>
      <c r="Z61" s="270" t="e">
        <f t="array" ref="Z61">IF(AND(Z$2&lt;&gt;0,#REF!&gt;=Z$2),1,0)</f>
        <v>#REF!</v>
      </c>
      <c r="AA61" s="270" t="e">
        <f t="array" ref="AA61">IF(AND(AA$2&lt;&gt;0,#REF!&gt;=AA$2),1,0)</f>
        <v>#REF!</v>
      </c>
      <c r="AB61" s="270" t="e">
        <f t="array" ref="AB61">IF(AND(AB$2&lt;&gt;0,#REF!&gt;=AB$2),1,0)</f>
        <v>#REF!</v>
      </c>
      <c r="AC61" s="270" t="e">
        <f t="array" ref="AC61">IF(AND(AC$2&lt;&gt;0,#REF!&gt;=AC$2),1,0)</f>
        <v>#REF!</v>
      </c>
      <c r="AD61" s="270" t="e">
        <f t="array" ref="AD61">IF(AND(AD$2&lt;&gt;0,#REF!&gt;=AD$2),1,0)</f>
        <v>#REF!</v>
      </c>
      <c r="AE61" s="270" t="e">
        <f t="array" ref="AE61">IF(AND(AE$2&lt;&gt;0,#REF!&gt;=AE$2),1,0)</f>
        <v>#REF!</v>
      </c>
      <c r="AF61" s="270" t="e">
        <f t="array" ref="AF61">IF(AND(AF$2&lt;&gt;0,#REF!&gt;=AF$2),1,0)</f>
        <v>#REF!</v>
      </c>
      <c r="AG61" s="270" t="e">
        <f t="array" ref="AG61">IF(AND(AG$2&lt;&gt;0,#REF!&gt;=AG$2),1,0)</f>
        <v>#REF!</v>
      </c>
      <c r="AH61" s="270" t="e">
        <f t="array" ref="AH61">IF(AND(AH$2&lt;&gt;0,#REF!&gt;=AH$2),1,0)</f>
        <v>#REF!</v>
      </c>
      <c r="AI61" s="270" t="e">
        <f t="array" ref="AI61">IF(AND(AI$2&lt;&gt;0,#REF!&gt;=AI$2),1,0)</f>
        <v>#REF!</v>
      </c>
      <c r="AJ61" s="270" t="e">
        <f t="array" ref="AJ61">IF(AND(AJ$2&lt;&gt;0,#REF!&gt;=AJ$2),1,0)</f>
        <v>#REF!</v>
      </c>
      <c r="AK61" s="270" t="e">
        <f t="array" ref="AK61">IF(AND(AK$2&lt;&gt;0,#REF!&gt;=AK$2),1,0)</f>
        <v>#REF!</v>
      </c>
      <c r="AL61" s="270" t="e">
        <f t="array" ref="AL61">IF(AND(AL$2&lt;&gt;0,#REF!&gt;=AL$2),1,0)</f>
        <v>#REF!</v>
      </c>
      <c r="AM61" s="270" t="e">
        <f t="array" ref="AM61">IF(AND(AM$2&lt;&gt;0,#REF!&gt;=AM$2),1,0)</f>
        <v>#REF!</v>
      </c>
      <c r="AN61" s="270" t="e">
        <f t="array" ref="AN61">IF(AND(AN$2&lt;&gt;0,#REF!&gt;=AN$2),1,0)</f>
        <v>#REF!</v>
      </c>
      <c r="AO61" s="270" t="e">
        <f t="array" ref="AO61">IF(AND(AO$2&lt;&gt;0,#REF!&gt;=AO$2),1,0)</f>
        <v>#REF!</v>
      </c>
      <c r="AP61" s="270" t="e">
        <f t="array" ref="AP61">IF(AND(AP$2&lt;&gt;0,#REF!&gt;=AP$2),1,0)</f>
        <v>#REF!</v>
      </c>
      <c r="AQ61" s="270" t="e">
        <f t="array" ref="AQ61">IF(AND(AQ$2&lt;&gt;0,#REF!&gt;=AQ$2),1,0)</f>
        <v>#REF!</v>
      </c>
      <c r="AR61" s="270" t="e">
        <f t="array" ref="AR61">IF(AND(AR$2&lt;&gt;0,#REF!&gt;=AR$2),1,0)</f>
        <v>#REF!</v>
      </c>
      <c r="AS61" s="270" t="e">
        <f t="array" ref="AS61">IF(AND(AS$2&lt;&gt;0,#REF!&gt;=AS$2),1,0)</f>
        <v>#REF!</v>
      </c>
      <c r="AT61" s="270" t="e">
        <f t="array" ref="AT61">IF(AND(AT$2&lt;&gt;0,#REF!&gt;=AT$2),1,0)</f>
        <v>#REF!</v>
      </c>
      <c r="AU61" s="270" t="e">
        <f t="array" ref="AU61">IF(AND(AU$2&lt;&gt;0,#REF!&gt;=AU$2),1,0)</f>
        <v>#REF!</v>
      </c>
      <c r="AV61" s="270" t="e">
        <f t="array" ref="AV61">IF(AND(AV$2&lt;&gt;0,#REF!&gt;=AV$2),1,0)</f>
        <v>#REF!</v>
      </c>
      <c r="AW61" s="270" t="e">
        <f t="array" ref="AW61">IF(AND(AW$2&lt;&gt;0,#REF!&gt;=AW$2),1,0)</f>
        <v>#REF!</v>
      </c>
      <c r="AX61" s="270" t="e">
        <f t="array" ref="AX61">IF(AND(AX$2&lt;&gt;0,#REF!&gt;=AX$2),1,0)</f>
        <v>#REF!</v>
      </c>
      <c r="AY61" s="270" t="e">
        <f t="array" ref="AY61">IF(AND(AY$2&lt;&gt;0,#REF!&gt;=AY$2),1,0)</f>
        <v>#REF!</v>
      </c>
      <c r="AZ61" s="270" t="e">
        <f t="array" ref="AZ61">IF(AND(AZ$2&lt;&gt;0,#REF!&gt;=AZ$2),1,0)</f>
        <v>#REF!</v>
      </c>
      <c r="BA61" s="270" t="e">
        <f t="array" ref="BA61">IF(AND(BA$2&lt;&gt;0,#REF!&gt;=BA$2),1,0)</f>
        <v>#REF!</v>
      </c>
      <c r="BB61" s="270" t="e">
        <f t="array" ref="BB61">IF(AND(BB$2&lt;&gt;0,#REF!&gt;=BB$2),1,0)</f>
        <v>#REF!</v>
      </c>
      <c r="BC61" s="270" t="e">
        <f t="array" ref="BC61">IF(AND(BC$2&lt;&gt;0,#REF!&gt;=BC$2),1,0)</f>
        <v>#REF!</v>
      </c>
      <c r="BD61" s="270" t="e">
        <f t="array" ref="BD61">IF(AND(BD$2&lt;&gt;0,#REF!&gt;=BD$2),1,0)</f>
        <v>#REF!</v>
      </c>
      <c r="BE61" s="270" t="e">
        <f t="array" ref="BE61">IF(AND(BE$2&lt;&gt;0,#REF!&gt;=BE$2),1,0)</f>
        <v>#REF!</v>
      </c>
      <c r="BF61" s="270" t="e">
        <f t="array" ref="BF61">IF(AND(BF$2&lt;&gt;0,#REF!&gt;=BF$2),1,0)</f>
        <v>#REF!</v>
      </c>
      <c r="BG61" s="270" t="e">
        <f t="array" ref="BG61">IF(AND(BG$2&lt;&gt;0,#REF!&gt;=BG$2),1,0)</f>
        <v>#REF!</v>
      </c>
      <c r="BH61" s="270" t="e">
        <f t="array" ref="BH61">IF(AND(BH$2&lt;&gt;0,#REF!&gt;=BH$2),1,0)</f>
        <v>#REF!</v>
      </c>
      <c r="BI61" s="270" t="e">
        <f t="array" ref="BI61">IF(AND(BI$2&lt;&gt;0,#REF!&gt;=BI$2),1,0)</f>
        <v>#REF!</v>
      </c>
      <c r="BJ61" s="270" t="e">
        <f t="array" ref="BJ61">IF(AND(BJ$2&lt;&gt;0,#REF!&gt;=BJ$2),1,0)</f>
        <v>#REF!</v>
      </c>
      <c r="BK61" s="270" t="e">
        <f t="array" ref="BK61">IF(AND(BK$2&lt;&gt;0,#REF!&gt;=BK$2),1,0)</f>
        <v>#REF!</v>
      </c>
      <c r="BL61" s="270" t="e">
        <f t="array" ref="BL61">IF(AND(BL$2&lt;&gt;0,#REF!&gt;=BL$2),1,0)</f>
        <v>#REF!</v>
      </c>
      <c r="BM61" s="270" t="e">
        <f t="array" ref="BM61">IF(AND(BM$2&lt;&gt;0,#REF!&gt;=BM$2),1,0)</f>
        <v>#REF!</v>
      </c>
      <c r="BN61" s="270" t="e">
        <f t="array" ref="BN61">IF(AND(BN$2&lt;&gt;0,#REF!&gt;=BN$2),1,0)</f>
        <v>#REF!</v>
      </c>
      <c r="BO61" s="270" t="e">
        <f t="array" ref="BO61">IF(AND(BO$2&lt;&gt;0,#REF!&gt;=BO$2),1,0)</f>
        <v>#REF!</v>
      </c>
      <c r="BP61" s="270" t="e">
        <f t="array" ref="BP61">IF(AND(BP$2&lt;&gt;0,#REF!&gt;=BP$2),1,0)</f>
        <v>#REF!</v>
      </c>
      <c r="BQ61" s="270" t="e">
        <f t="array" ref="BQ61">IF(AND(BQ$2&lt;&gt;0,#REF!&gt;=BQ$2),1,0)</f>
        <v>#REF!</v>
      </c>
      <c r="BR61" s="270" t="e">
        <f t="array" ref="BR61">IF(AND(BR$2&lt;&gt;0,#REF!&gt;=BR$2),1,0)</f>
        <v>#REF!</v>
      </c>
      <c r="BS61" s="270" t="e">
        <f t="array" ref="BS61">IF(AND(BS$2&lt;&gt;0,#REF!&gt;=BS$2),1,0)</f>
        <v>#REF!</v>
      </c>
      <c r="BT61" s="270" t="e">
        <f t="array" ref="BT61">IF(AND(BT$2&lt;&gt;0,#REF!&gt;=BT$2),1,0)</f>
        <v>#REF!</v>
      </c>
      <c r="BU61" s="270" t="e">
        <f t="array" ref="BU61">IF(AND(BU$2&lt;&gt;0,#REF!&gt;=BU$2),1,0)</f>
        <v>#REF!</v>
      </c>
      <c r="BV61" s="270" t="e">
        <f t="array" ref="BV61">IF(AND(BV$2&lt;&gt;0,#REF!&gt;=BV$2),1,0)</f>
        <v>#REF!</v>
      </c>
      <c r="BW61" s="270" t="e">
        <f t="array" ref="BW61">IF(AND(BW$2&lt;&gt;0,#REF!&gt;=BW$2),1,0)</f>
        <v>#REF!</v>
      </c>
      <c r="BX61" s="270" t="e">
        <f t="array" ref="BX61">IF(AND(BX$2&lt;&gt;0,#REF!&gt;=BX$2),1,0)</f>
        <v>#REF!</v>
      </c>
      <c r="BY61" s="270" t="e">
        <f t="array" ref="BY61">IF(AND(BY$2&lt;&gt;0,#REF!&gt;=BY$2),1,0)</f>
        <v>#REF!</v>
      </c>
      <c r="BZ61" s="270" t="e">
        <f t="array" ref="BZ61">IF(AND(BZ$2&lt;&gt;0,#REF!&gt;=BZ$2),1,0)</f>
        <v>#REF!</v>
      </c>
      <c r="CA61" s="359">
        <f>IFERROR(INDEX($H$4:$H$79,MATCH(INDEX(#REF!,1,MATCH(#REF!,$M$2:$BZ$2,0)),$G$4:$G$79,0)),)</f>
        <v>0</v>
      </c>
    </row>
    <row r="62" spans="1:79" x14ac:dyDescent="0.25">
      <c r="A62" s="262" t="e">
        <f>#REF!</f>
        <v>#REF!</v>
      </c>
      <c r="B62" s="263" t="e">
        <f>#REF!</f>
        <v>#REF!</v>
      </c>
      <c r="C62" s="264" t="e">
        <f>#REF!</f>
        <v>#REF!</v>
      </c>
      <c r="D62" s="264" t="e">
        <f>#REF!</f>
        <v>#REF!</v>
      </c>
      <c r="E62" s="265"/>
      <c r="F62" s="266"/>
      <c r="G62" s="267" t="s">
        <v>606</v>
      </c>
      <c r="H62" s="268" t="s">
        <v>731</v>
      </c>
      <c r="I62" s="267" t="s">
        <v>1061</v>
      </c>
      <c r="J62" s="263"/>
      <c r="K62" s="89" t="e">
        <f ca="1">IF(#REF!&lt;&gt;OFFSET(#REF!,-1,0),1,0)</f>
        <v>#REF!</v>
      </c>
      <c r="L62" s="269" t="e">
        <f>COUNTIF(#REF!,1)</f>
        <v>#REF!</v>
      </c>
      <c r="M62" s="270" t="e">
        <f t="array" ref="M62">IF(AND(M$2&lt;&gt;0,#REF!&gt;=M$2),1,0)</f>
        <v>#REF!</v>
      </c>
      <c r="N62" s="270" t="e">
        <f t="array" ref="N62">IF(AND(N$2&lt;&gt;0,#REF!&gt;=N$2),1,0)</f>
        <v>#REF!</v>
      </c>
      <c r="O62" s="270" t="e">
        <f t="array" ref="O62">IF(AND(O$2&lt;&gt;0,#REF!&gt;=O$2),1,0)</f>
        <v>#REF!</v>
      </c>
      <c r="P62" s="270" t="e">
        <f t="array" ref="P62">IF(AND(P$2&lt;&gt;0,#REF!&gt;=P$2),1,0)</f>
        <v>#REF!</v>
      </c>
      <c r="Q62" s="270" t="e">
        <f t="array" ref="Q62">IF(AND(Q$2&lt;&gt;0,#REF!&gt;=Q$2),1,0)</f>
        <v>#REF!</v>
      </c>
      <c r="R62" s="270" t="e">
        <f t="array" ref="R62">IF(AND(R$2&lt;&gt;0,#REF!&gt;=R$2),1,0)</f>
        <v>#REF!</v>
      </c>
      <c r="S62" s="270" t="e">
        <f t="array" ref="S62">IF(AND(S$2&lt;&gt;0,#REF!&gt;=S$2),1,0)</f>
        <v>#REF!</v>
      </c>
      <c r="T62" s="270" t="e">
        <f t="array" ref="T62">IF(AND(T$2&lt;&gt;0,#REF!&gt;=T$2),1,0)</f>
        <v>#REF!</v>
      </c>
      <c r="U62" s="270" t="e">
        <f t="array" ref="U62">IF(AND(U$2&lt;&gt;0,#REF!&gt;=U$2),1,0)</f>
        <v>#REF!</v>
      </c>
      <c r="V62" s="270" t="e">
        <f t="array" ref="V62">IF(AND(V$2&lt;&gt;0,#REF!&gt;=V$2),1,0)</f>
        <v>#REF!</v>
      </c>
      <c r="W62" s="270" t="e">
        <f t="array" ref="W62">IF(AND(W$2&lt;&gt;0,#REF!&gt;=W$2),1,0)</f>
        <v>#REF!</v>
      </c>
      <c r="X62" s="270" t="e">
        <f t="array" ref="X62">IF(AND(X$2&lt;&gt;0,#REF!&gt;=X$2),1,0)</f>
        <v>#REF!</v>
      </c>
      <c r="Y62" s="270" t="e">
        <f t="array" ref="Y62">IF(AND(Y$2&lt;&gt;0,#REF!&gt;=Y$2),1,0)</f>
        <v>#REF!</v>
      </c>
      <c r="Z62" s="270" t="e">
        <f t="array" ref="Z62">IF(AND(Z$2&lt;&gt;0,#REF!&gt;=Z$2),1,0)</f>
        <v>#REF!</v>
      </c>
      <c r="AA62" s="270" t="e">
        <f t="array" ref="AA62">IF(AND(AA$2&lt;&gt;0,#REF!&gt;=AA$2),1,0)</f>
        <v>#REF!</v>
      </c>
      <c r="AB62" s="270" t="e">
        <f t="array" ref="AB62">IF(AND(AB$2&lt;&gt;0,#REF!&gt;=AB$2),1,0)</f>
        <v>#REF!</v>
      </c>
      <c r="AC62" s="270" t="e">
        <f t="array" ref="AC62">IF(AND(AC$2&lt;&gt;0,#REF!&gt;=AC$2),1,0)</f>
        <v>#REF!</v>
      </c>
      <c r="AD62" s="270" t="e">
        <f t="array" ref="AD62">IF(AND(AD$2&lt;&gt;0,#REF!&gt;=AD$2),1,0)</f>
        <v>#REF!</v>
      </c>
      <c r="AE62" s="270" t="e">
        <f t="array" ref="AE62">IF(AND(AE$2&lt;&gt;0,#REF!&gt;=AE$2),1,0)</f>
        <v>#REF!</v>
      </c>
      <c r="AF62" s="270" t="e">
        <f t="array" ref="AF62">IF(AND(AF$2&lt;&gt;0,#REF!&gt;=AF$2),1,0)</f>
        <v>#REF!</v>
      </c>
      <c r="AG62" s="270" t="e">
        <f t="array" ref="AG62">IF(AND(AG$2&lt;&gt;0,#REF!&gt;=AG$2),1,0)</f>
        <v>#REF!</v>
      </c>
      <c r="AH62" s="270" t="e">
        <f t="array" ref="AH62">IF(AND(AH$2&lt;&gt;0,#REF!&gt;=AH$2),1,0)</f>
        <v>#REF!</v>
      </c>
      <c r="AI62" s="270" t="e">
        <f t="array" ref="AI62">IF(AND(AI$2&lt;&gt;0,#REF!&gt;=AI$2),1,0)</f>
        <v>#REF!</v>
      </c>
      <c r="AJ62" s="270" t="e">
        <f t="array" ref="AJ62">IF(AND(AJ$2&lt;&gt;0,#REF!&gt;=AJ$2),1,0)</f>
        <v>#REF!</v>
      </c>
      <c r="AK62" s="270" t="e">
        <f t="array" ref="AK62">IF(AND(AK$2&lt;&gt;0,#REF!&gt;=AK$2),1,0)</f>
        <v>#REF!</v>
      </c>
      <c r="AL62" s="270" t="e">
        <f t="array" ref="AL62">IF(AND(AL$2&lt;&gt;0,#REF!&gt;=AL$2),1,0)</f>
        <v>#REF!</v>
      </c>
      <c r="AM62" s="270" t="e">
        <f t="array" ref="AM62">IF(AND(AM$2&lt;&gt;0,#REF!&gt;=AM$2),1,0)</f>
        <v>#REF!</v>
      </c>
      <c r="AN62" s="270" t="e">
        <f t="array" ref="AN62">IF(AND(AN$2&lt;&gt;0,#REF!&gt;=AN$2),1,0)</f>
        <v>#REF!</v>
      </c>
      <c r="AO62" s="270" t="e">
        <f t="array" ref="AO62">IF(AND(AO$2&lt;&gt;0,#REF!&gt;=AO$2),1,0)</f>
        <v>#REF!</v>
      </c>
      <c r="AP62" s="270" t="e">
        <f t="array" ref="AP62">IF(AND(AP$2&lt;&gt;0,#REF!&gt;=AP$2),1,0)</f>
        <v>#REF!</v>
      </c>
      <c r="AQ62" s="270" t="e">
        <f t="array" ref="AQ62">IF(AND(AQ$2&lt;&gt;0,#REF!&gt;=AQ$2),1,0)</f>
        <v>#REF!</v>
      </c>
      <c r="AR62" s="270" t="e">
        <f t="array" ref="AR62">IF(AND(AR$2&lt;&gt;0,#REF!&gt;=AR$2),1,0)</f>
        <v>#REF!</v>
      </c>
      <c r="AS62" s="270" t="e">
        <f t="array" ref="AS62">IF(AND(AS$2&lt;&gt;0,#REF!&gt;=AS$2),1,0)</f>
        <v>#REF!</v>
      </c>
      <c r="AT62" s="270" t="e">
        <f t="array" ref="AT62">IF(AND(AT$2&lt;&gt;0,#REF!&gt;=AT$2),1,0)</f>
        <v>#REF!</v>
      </c>
      <c r="AU62" s="270" t="e">
        <f t="array" ref="AU62">IF(AND(AU$2&lt;&gt;0,#REF!&gt;=AU$2),1,0)</f>
        <v>#REF!</v>
      </c>
      <c r="AV62" s="270" t="e">
        <f t="array" ref="AV62">IF(AND(AV$2&lt;&gt;0,#REF!&gt;=AV$2),1,0)</f>
        <v>#REF!</v>
      </c>
      <c r="AW62" s="270" t="e">
        <f t="array" ref="AW62">IF(AND(AW$2&lt;&gt;0,#REF!&gt;=AW$2),1,0)</f>
        <v>#REF!</v>
      </c>
      <c r="AX62" s="270" t="e">
        <f t="array" ref="AX62">IF(AND(AX$2&lt;&gt;0,#REF!&gt;=AX$2),1,0)</f>
        <v>#REF!</v>
      </c>
      <c r="AY62" s="270" t="e">
        <f t="array" ref="AY62">IF(AND(AY$2&lt;&gt;0,#REF!&gt;=AY$2),1,0)</f>
        <v>#REF!</v>
      </c>
      <c r="AZ62" s="270" t="e">
        <f t="array" ref="AZ62">IF(AND(AZ$2&lt;&gt;0,#REF!&gt;=AZ$2),1,0)</f>
        <v>#REF!</v>
      </c>
      <c r="BA62" s="270" t="e">
        <f t="array" ref="BA62">IF(AND(BA$2&lt;&gt;0,#REF!&gt;=BA$2),1,0)</f>
        <v>#REF!</v>
      </c>
      <c r="BB62" s="270" t="e">
        <f t="array" ref="BB62">IF(AND(BB$2&lt;&gt;0,#REF!&gt;=BB$2),1,0)</f>
        <v>#REF!</v>
      </c>
      <c r="BC62" s="270" t="e">
        <f t="array" ref="BC62">IF(AND(BC$2&lt;&gt;0,#REF!&gt;=BC$2),1,0)</f>
        <v>#REF!</v>
      </c>
      <c r="BD62" s="270" t="e">
        <f t="array" ref="BD62">IF(AND(BD$2&lt;&gt;0,#REF!&gt;=BD$2),1,0)</f>
        <v>#REF!</v>
      </c>
      <c r="BE62" s="270" t="e">
        <f t="array" ref="BE62">IF(AND(BE$2&lt;&gt;0,#REF!&gt;=BE$2),1,0)</f>
        <v>#REF!</v>
      </c>
      <c r="BF62" s="270" t="e">
        <f t="array" ref="BF62">IF(AND(BF$2&lt;&gt;0,#REF!&gt;=BF$2),1,0)</f>
        <v>#REF!</v>
      </c>
      <c r="BG62" s="270" t="e">
        <f t="array" ref="BG62">IF(AND(BG$2&lt;&gt;0,#REF!&gt;=BG$2),1,0)</f>
        <v>#REF!</v>
      </c>
      <c r="BH62" s="270" t="e">
        <f t="array" ref="BH62">IF(AND(BH$2&lt;&gt;0,#REF!&gt;=BH$2),1,0)</f>
        <v>#REF!</v>
      </c>
      <c r="BI62" s="270" t="e">
        <f t="array" ref="BI62">IF(AND(BI$2&lt;&gt;0,#REF!&gt;=BI$2),1,0)</f>
        <v>#REF!</v>
      </c>
      <c r="BJ62" s="270" t="e">
        <f t="array" ref="BJ62">IF(AND(BJ$2&lt;&gt;0,#REF!&gt;=BJ$2),1,0)</f>
        <v>#REF!</v>
      </c>
      <c r="BK62" s="270" t="e">
        <f t="array" ref="BK62">IF(AND(BK$2&lt;&gt;0,#REF!&gt;=BK$2),1,0)</f>
        <v>#REF!</v>
      </c>
      <c r="BL62" s="270" t="e">
        <f t="array" ref="BL62">IF(AND(BL$2&lt;&gt;0,#REF!&gt;=BL$2),1,0)</f>
        <v>#REF!</v>
      </c>
      <c r="BM62" s="270" t="e">
        <f t="array" ref="BM62">IF(AND(BM$2&lt;&gt;0,#REF!&gt;=BM$2),1,0)</f>
        <v>#REF!</v>
      </c>
      <c r="BN62" s="270" t="e">
        <f t="array" ref="BN62">IF(AND(BN$2&lt;&gt;0,#REF!&gt;=BN$2),1,0)</f>
        <v>#REF!</v>
      </c>
      <c r="BO62" s="270" t="e">
        <f t="array" ref="BO62">IF(AND(BO$2&lt;&gt;0,#REF!&gt;=BO$2),1,0)</f>
        <v>#REF!</v>
      </c>
      <c r="BP62" s="270" t="e">
        <f t="array" ref="BP62">IF(AND(BP$2&lt;&gt;0,#REF!&gt;=BP$2),1,0)</f>
        <v>#REF!</v>
      </c>
      <c r="BQ62" s="270" t="e">
        <f t="array" ref="BQ62">IF(AND(BQ$2&lt;&gt;0,#REF!&gt;=BQ$2),1,0)</f>
        <v>#REF!</v>
      </c>
      <c r="BR62" s="270" t="e">
        <f t="array" ref="BR62">IF(AND(BR$2&lt;&gt;0,#REF!&gt;=BR$2),1,0)</f>
        <v>#REF!</v>
      </c>
      <c r="BS62" s="270" t="e">
        <f t="array" ref="BS62">IF(AND(BS$2&lt;&gt;0,#REF!&gt;=BS$2),1,0)</f>
        <v>#REF!</v>
      </c>
      <c r="BT62" s="270" t="e">
        <f t="array" ref="BT62">IF(AND(BT$2&lt;&gt;0,#REF!&gt;=BT$2),1,0)</f>
        <v>#REF!</v>
      </c>
      <c r="BU62" s="270" t="e">
        <f t="array" ref="BU62">IF(AND(BU$2&lt;&gt;0,#REF!&gt;=BU$2),1,0)</f>
        <v>#REF!</v>
      </c>
      <c r="BV62" s="270" t="e">
        <f t="array" ref="BV62">IF(AND(BV$2&lt;&gt;0,#REF!&gt;=BV$2),1,0)</f>
        <v>#REF!</v>
      </c>
      <c r="BW62" s="270" t="e">
        <f t="array" ref="BW62">IF(AND(BW$2&lt;&gt;0,#REF!&gt;=BW$2),1,0)</f>
        <v>#REF!</v>
      </c>
      <c r="BX62" s="270" t="e">
        <f t="array" ref="BX62">IF(AND(BX$2&lt;&gt;0,#REF!&gt;=BX$2),1,0)</f>
        <v>#REF!</v>
      </c>
      <c r="BY62" s="270" t="e">
        <f t="array" ref="BY62">IF(AND(BY$2&lt;&gt;0,#REF!&gt;=BY$2),1,0)</f>
        <v>#REF!</v>
      </c>
      <c r="BZ62" s="270" t="e">
        <f t="array" ref="BZ62">IF(AND(BZ$2&lt;&gt;0,#REF!&gt;=BZ$2),1,0)</f>
        <v>#REF!</v>
      </c>
      <c r="CA62" s="359">
        <f>IFERROR(INDEX($H$4:$H$79,MATCH(INDEX(#REF!,1,MATCH(#REF!,$M$2:$BZ$2,0)),$G$4:$G$79,0)),)</f>
        <v>0</v>
      </c>
    </row>
    <row r="63" spans="1:79" x14ac:dyDescent="0.25">
      <c r="A63" s="262" t="e">
        <f>#REF!</f>
        <v>#REF!</v>
      </c>
      <c r="B63" s="263" t="e">
        <f>#REF!</f>
        <v>#REF!</v>
      </c>
      <c r="C63" s="264" t="e">
        <f>#REF!</f>
        <v>#REF!</v>
      </c>
      <c r="D63" s="264" t="e">
        <f>#REF!</f>
        <v>#REF!</v>
      </c>
      <c r="E63" s="265"/>
      <c r="F63" s="266"/>
      <c r="G63" s="267" t="s">
        <v>608</v>
      </c>
      <c r="H63" s="268" t="s">
        <v>1066</v>
      </c>
      <c r="I63" s="267" t="s">
        <v>747</v>
      </c>
      <c r="J63" s="263"/>
      <c r="K63" s="89" t="e">
        <f ca="1">IF(#REF!&lt;&gt;OFFSET(#REF!,-1,0),1,0)</f>
        <v>#REF!</v>
      </c>
      <c r="L63" s="269" t="e">
        <f>COUNTIF(#REF!,1)</f>
        <v>#REF!</v>
      </c>
      <c r="M63" s="270" t="e">
        <f t="array" ref="M63">IF(AND(M$2&lt;&gt;0,#REF!&gt;=M$2),1,0)</f>
        <v>#REF!</v>
      </c>
      <c r="N63" s="270" t="e">
        <f t="array" ref="N63">IF(AND(N$2&lt;&gt;0,#REF!&gt;=N$2),1,0)</f>
        <v>#REF!</v>
      </c>
      <c r="O63" s="270" t="e">
        <f t="array" ref="O63">IF(AND(O$2&lt;&gt;0,#REF!&gt;=O$2),1,0)</f>
        <v>#REF!</v>
      </c>
      <c r="P63" s="270" t="e">
        <f t="array" ref="P63">IF(AND(P$2&lt;&gt;0,#REF!&gt;=P$2),1,0)</f>
        <v>#REF!</v>
      </c>
      <c r="Q63" s="270" t="e">
        <f t="array" ref="Q63">IF(AND(Q$2&lt;&gt;0,#REF!&gt;=Q$2),1,0)</f>
        <v>#REF!</v>
      </c>
      <c r="R63" s="270" t="e">
        <f t="array" ref="R63">IF(AND(R$2&lt;&gt;0,#REF!&gt;=R$2),1,0)</f>
        <v>#REF!</v>
      </c>
      <c r="S63" s="270" t="e">
        <f t="array" ref="S63">IF(AND(S$2&lt;&gt;0,#REF!&gt;=S$2),1,0)</f>
        <v>#REF!</v>
      </c>
      <c r="T63" s="270" t="e">
        <f t="array" ref="T63">IF(AND(T$2&lt;&gt;0,#REF!&gt;=T$2),1,0)</f>
        <v>#REF!</v>
      </c>
      <c r="U63" s="270" t="e">
        <f t="array" ref="U63">IF(AND(U$2&lt;&gt;0,#REF!&gt;=U$2),1,0)</f>
        <v>#REF!</v>
      </c>
      <c r="V63" s="270" t="e">
        <f t="array" ref="V63">IF(AND(V$2&lt;&gt;0,#REF!&gt;=V$2),1,0)</f>
        <v>#REF!</v>
      </c>
      <c r="W63" s="270" t="e">
        <f t="array" ref="W63">IF(AND(W$2&lt;&gt;0,#REF!&gt;=W$2),1,0)</f>
        <v>#REF!</v>
      </c>
      <c r="X63" s="270" t="e">
        <f t="array" ref="X63">IF(AND(X$2&lt;&gt;0,#REF!&gt;=X$2),1,0)</f>
        <v>#REF!</v>
      </c>
      <c r="Y63" s="270" t="e">
        <f t="array" ref="Y63">IF(AND(Y$2&lt;&gt;0,#REF!&gt;=Y$2),1,0)</f>
        <v>#REF!</v>
      </c>
      <c r="Z63" s="270" t="e">
        <f t="array" ref="Z63">IF(AND(Z$2&lt;&gt;0,#REF!&gt;=Z$2),1,0)</f>
        <v>#REF!</v>
      </c>
      <c r="AA63" s="270" t="e">
        <f t="array" ref="AA63">IF(AND(AA$2&lt;&gt;0,#REF!&gt;=AA$2),1,0)</f>
        <v>#REF!</v>
      </c>
      <c r="AB63" s="270" t="e">
        <f t="array" ref="AB63">IF(AND(AB$2&lt;&gt;0,#REF!&gt;=AB$2),1,0)</f>
        <v>#REF!</v>
      </c>
      <c r="AC63" s="270" t="e">
        <f t="array" ref="AC63">IF(AND(AC$2&lt;&gt;0,#REF!&gt;=AC$2),1,0)</f>
        <v>#REF!</v>
      </c>
      <c r="AD63" s="270" t="e">
        <f t="array" ref="AD63">IF(AND(AD$2&lt;&gt;0,#REF!&gt;=AD$2),1,0)</f>
        <v>#REF!</v>
      </c>
      <c r="AE63" s="270" t="e">
        <f t="array" ref="AE63">IF(AND(AE$2&lt;&gt;0,#REF!&gt;=AE$2),1,0)</f>
        <v>#REF!</v>
      </c>
      <c r="AF63" s="270" t="e">
        <f t="array" ref="AF63">IF(AND(AF$2&lt;&gt;0,#REF!&gt;=AF$2),1,0)</f>
        <v>#REF!</v>
      </c>
      <c r="AG63" s="270" t="e">
        <f t="array" ref="AG63">IF(AND(AG$2&lt;&gt;0,#REF!&gt;=AG$2),1,0)</f>
        <v>#REF!</v>
      </c>
      <c r="AH63" s="270" t="e">
        <f t="array" ref="AH63">IF(AND(AH$2&lt;&gt;0,#REF!&gt;=AH$2),1,0)</f>
        <v>#REF!</v>
      </c>
      <c r="AI63" s="270" t="e">
        <f t="array" ref="AI63">IF(AND(AI$2&lt;&gt;0,#REF!&gt;=AI$2),1,0)</f>
        <v>#REF!</v>
      </c>
      <c r="AJ63" s="270" t="e">
        <f t="array" ref="AJ63">IF(AND(AJ$2&lt;&gt;0,#REF!&gt;=AJ$2),1,0)</f>
        <v>#REF!</v>
      </c>
      <c r="AK63" s="270" t="e">
        <f t="array" ref="AK63">IF(AND(AK$2&lt;&gt;0,#REF!&gt;=AK$2),1,0)</f>
        <v>#REF!</v>
      </c>
      <c r="AL63" s="270" t="e">
        <f t="array" ref="AL63">IF(AND(AL$2&lt;&gt;0,#REF!&gt;=AL$2),1,0)</f>
        <v>#REF!</v>
      </c>
      <c r="AM63" s="270" t="e">
        <f t="array" ref="AM63">IF(AND(AM$2&lt;&gt;0,#REF!&gt;=AM$2),1,0)</f>
        <v>#REF!</v>
      </c>
      <c r="AN63" s="270" t="e">
        <f t="array" ref="AN63">IF(AND(AN$2&lt;&gt;0,#REF!&gt;=AN$2),1,0)</f>
        <v>#REF!</v>
      </c>
      <c r="AO63" s="270" t="e">
        <f t="array" ref="AO63">IF(AND(AO$2&lt;&gt;0,#REF!&gt;=AO$2),1,0)</f>
        <v>#REF!</v>
      </c>
      <c r="AP63" s="270" t="e">
        <f t="array" ref="AP63">IF(AND(AP$2&lt;&gt;0,#REF!&gt;=AP$2),1,0)</f>
        <v>#REF!</v>
      </c>
      <c r="AQ63" s="270" t="e">
        <f t="array" ref="AQ63">IF(AND(AQ$2&lt;&gt;0,#REF!&gt;=AQ$2),1,0)</f>
        <v>#REF!</v>
      </c>
      <c r="AR63" s="270" t="e">
        <f t="array" ref="AR63">IF(AND(AR$2&lt;&gt;0,#REF!&gt;=AR$2),1,0)</f>
        <v>#REF!</v>
      </c>
      <c r="AS63" s="270" t="e">
        <f t="array" ref="AS63">IF(AND(AS$2&lt;&gt;0,#REF!&gt;=AS$2),1,0)</f>
        <v>#REF!</v>
      </c>
      <c r="AT63" s="270" t="e">
        <f t="array" ref="AT63">IF(AND(AT$2&lt;&gt;0,#REF!&gt;=AT$2),1,0)</f>
        <v>#REF!</v>
      </c>
      <c r="AU63" s="270" t="e">
        <f t="array" ref="AU63">IF(AND(AU$2&lt;&gt;0,#REF!&gt;=AU$2),1,0)</f>
        <v>#REF!</v>
      </c>
      <c r="AV63" s="270" t="e">
        <f t="array" ref="AV63">IF(AND(AV$2&lt;&gt;0,#REF!&gt;=AV$2),1,0)</f>
        <v>#REF!</v>
      </c>
      <c r="AW63" s="270" t="e">
        <f t="array" ref="AW63">IF(AND(AW$2&lt;&gt;0,#REF!&gt;=AW$2),1,0)</f>
        <v>#REF!</v>
      </c>
      <c r="AX63" s="270" t="e">
        <f t="array" ref="AX63">IF(AND(AX$2&lt;&gt;0,#REF!&gt;=AX$2),1,0)</f>
        <v>#REF!</v>
      </c>
      <c r="AY63" s="270" t="e">
        <f t="array" ref="AY63">IF(AND(AY$2&lt;&gt;0,#REF!&gt;=AY$2),1,0)</f>
        <v>#REF!</v>
      </c>
      <c r="AZ63" s="270" t="e">
        <f t="array" ref="AZ63">IF(AND(AZ$2&lt;&gt;0,#REF!&gt;=AZ$2),1,0)</f>
        <v>#REF!</v>
      </c>
      <c r="BA63" s="270" t="e">
        <f t="array" ref="BA63">IF(AND(BA$2&lt;&gt;0,#REF!&gt;=BA$2),1,0)</f>
        <v>#REF!</v>
      </c>
      <c r="BB63" s="270" t="e">
        <f t="array" ref="BB63">IF(AND(BB$2&lt;&gt;0,#REF!&gt;=BB$2),1,0)</f>
        <v>#REF!</v>
      </c>
      <c r="BC63" s="270" t="e">
        <f t="array" ref="BC63">IF(AND(BC$2&lt;&gt;0,#REF!&gt;=BC$2),1,0)</f>
        <v>#REF!</v>
      </c>
      <c r="BD63" s="270" t="e">
        <f t="array" ref="BD63">IF(AND(BD$2&lt;&gt;0,#REF!&gt;=BD$2),1,0)</f>
        <v>#REF!</v>
      </c>
      <c r="BE63" s="270" t="e">
        <f t="array" ref="BE63">IF(AND(BE$2&lt;&gt;0,#REF!&gt;=BE$2),1,0)</f>
        <v>#REF!</v>
      </c>
      <c r="BF63" s="270" t="e">
        <f t="array" ref="BF63">IF(AND(BF$2&lt;&gt;0,#REF!&gt;=BF$2),1,0)</f>
        <v>#REF!</v>
      </c>
      <c r="BG63" s="270" t="e">
        <f t="array" ref="BG63">IF(AND(BG$2&lt;&gt;0,#REF!&gt;=BG$2),1,0)</f>
        <v>#REF!</v>
      </c>
      <c r="BH63" s="270" t="e">
        <f t="array" ref="BH63">IF(AND(BH$2&lt;&gt;0,#REF!&gt;=BH$2),1,0)</f>
        <v>#REF!</v>
      </c>
      <c r="BI63" s="270" t="e">
        <f t="array" ref="BI63">IF(AND(BI$2&lt;&gt;0,#REF!&gt;=BI$2),1,0)</f>
        <v>#REF!</v>
      </c>
      <c r="BJ63" s="270" t="e">
        <f t="array" ref="BJ63">IF(AND(BJ$2&lt;&gt;0,#REF!&gt;=BJ$2),1,0)</f>
        <v>#REF!</v>
      </c>
      <c r="BK63" s="270" t="e">
        <f t="array" ref="BK63">IF(AND(BK$2&lt;&gt;0,#REF!&gt;=BK$2),1,0)</f>
        <v>#REF!</v>
      </c>
      <c r="BL63" s="270" t="e">
        <f t="array" ref="BL63">IF(AND(BL$2&lt;&gt;0,#REF!&gt;=BL$2),1,0)</f>
        <v>#REF!</v>
      </c>
      <c r="BM63" s="270" t="e">
        <f t="array" ref="BM63">IF(AND(BM$2&lt;&gt;0,#REF!&gt;=BM$2),1,0)</f>
        <v>#REF!</v>
      </c>
      <c r="BN63" s="270" t="e">
        <f t="array" ref="BN63">IF(AND(BN$2&lt;&gt;0,#REF!&gt;=BN$2),1,0)</f>
        <v>#REF!</v>
      </c>
      <c r="BO63" s="270" t="e">
        <f t="array" ref="BO63">IF(AND(BO$2&lt;&gt;0,#REF!&gt;=BO$2),1,0)</f>
        <v>#REF!</v>
      </c>
      <c r="BP63" s="270" t="e">
        <f t="array" ref="BP63">IF(AND(BP$2&lt;&gt;0,#REF!&gt;=BP$2),1,0)</f>
        <v>#REF!</v>
      </c>
      <c r="BQ63" s="270" t="e">
        <f t="array" ref="BQ63">IF(AND(BQ$2&lt;&gt;0,#REF!&gt;=BQ$2),1,0)</f>
        <v>#REF!</v>
      </c>
      <c r="BR63" s="270" t="e">
        <f t="array" ref="BR63">IF(AND(BR$2&lt;&gt;0,#REF!&gt;=BR$2),1,0)</f>
        <v>#REF!</v>
      </c>
      <c r="BS63" s="270" t="e">
        <f t="array" ref="BS63">IF(AND(BS$2&lt;&gt;0,#REF!&gt;=BS$2),1,0)</f>
        <v>#REF!</v>
      </c>
      <c r="BT63" s="270" t="e">
        <f t="array" ref="BT63">IF(AND(BT$2&lt;&gt;0,#REF!&gt;=BT$2),1,0)</f>
        <v>#REF!</v>
      </c>
      <c r="BU63" s="270" t="e">
        <f t="array" ref="BU63">IF(AND(BU$2&lt;&gt;0,#REF!&gt;=BU$2),1,0)</f>
        <v>#REF!</v>
      </c>
      <c r="BV63" s="270" t="e">
        <f t="array" ref="BV63">IF(AND(BV$2&lt;&gt;0,#REF!&gt;=BV$2),1,0)</f>
        <v>#REF!</v>
      </c>
      <c r="BW63" s="270" t="e">
        <f t="array" ref="BW63">IF(AND(BW$2&lt;&gt;0,#REF!&gt;=BW$2),1,0)</f>
        <v>#REF!</v>
      </c>
      <c r="BX63" s="270" t="e">
        <f t="array" ref="BX63">IF(AND(BX$2&lt;&gt;0,#REF!&gt;=BX$2),1,0)</f>
        <v>#REF!</v>
      </c>
      <c r="BY63" s="270" t="e">
        <f t="array" ref="BY63">IF(AND(BY$2&lt;&gt;0,#REF!&gt;=BY$2),1,0)</f>
        <v>#REF!</v>
      </c>
      <c r="BZ63" s="270" t="e">
        <f t="array" ref="BZ63">IF(AND(BZ$2&lt;&gt;0,#REF!&gt;=BZ$2),1,0)</f>
        <v>#REF!</v>
      </c>
      <c r="CA63" s="359">
        <f>IFERROR(INDEX($H$4:$H$79,MATCH(INDEX(#REF!,1,MATCH(#REF!,$M$2:$BZ$2,0)),$G$4:$G$79,0)),)</f>
        <v>0</v>
      </c>
    </row>
    <row r="64" spans="1:79" x14ac:dyDescent="0.25">
      <c r="A64" s="262" t="e">
        <f>#REF!</f>
        <v>#REF!</v>
      </c>
      <c r="B64" s="263" t="e">
        <f>#REF!</f>
        <v>#REF!</v>
      </c>
      <c r="C64" s="264" t="e">
        <f>#REF!</f>
        <v>#REF!</v>
      </c>
      <c r="D64" s="264" t="e">
        <f>#REF!</f>
        <v>#REF!</v>
      </c>
      <c r="E64" s="265"/>
      <c r="F64" s="266"/>
      <c r="G64" s="267" t="s">
        <v>609</v>
      </c>
      <c r="H64" s="268" t="s">
        <v>729</v>
      </c>
      <c r="I64" s="267" t="s">
        <v>631</v>
      </c>
      <c r="J64" s="263"/>
      <c r="K64" s="89" t="e">
        <f ca="1">IF(#REF!&lt;&gt;OFFSET(#REF!,-1,0),1,0)</f>
        <v>#REF!</v>
      </c>
      <c r="L64" s="269" t="e">
        <f>COUNTIF(#REF!,1)</f>
        <v>#REF!</v>
      </c>
      <c r="M64" s="270" t="e">
        <f t="array" ref="M64">IF(AND(M$2&lt;&gt;0,#REF!&gt;=M$2),1,0)</f>
        <v>#REF!</v>
      </c>
      <c r="N64" s="270" t="e">
        <f t="array" ref="N64">IF(AND(N$2&lt;&gt;0,#REF!&gt;=N$2),1,0)</f>
        <v>#REF!</v>
      </c>
      <c r="O64" s="270" t="e">
        <f t="array" ref="O64">IF(AND(O$2&lt;&gt;0,#REF!&gt;=O$2),1,0)</f>
        <v>#REF!</v>
      </c>
      <c r="P64" s="270" t="e">
        <f t="array" ref="P64">IF(AND(P$2&lt;&gt;0,#REF!&gt;=P$2),1,0)</f>
        <v>#REF!</v>
      </c>
      <c r="Q64" s="270" t="e">
        <f t="array" ref="Q64">IF(AND(Q$2&lt;&gt;0,#REF!&gt;=Q$2),1,0)</f>
        <v>#REF!</v>
      </c>
      <c r="R64" s="270" t="e">
        <f t="array" ref="R64">IF(AND(R$2&lt;&gt;0,#REF!&gt;=R$2),1,0)</f>
        <v>#REF!</v>
      </c>
      <c r="S64" s="270" t="e">
        <f t="array" ref="S64">IF(AND(S$2&lt;&gt;0,#REF!&gt;=S$2),1,0)</f>
        <v>#REF!</v>
      </c>
      <c r="T64" s="270" t="e">
        <f t="array" ref="T64">IF(AND(T$2&lt;&gt;0,#REF!&gt;=T$2),1,0)</f>
        <v>#REF!</v>
      </c>
      <c r="U64" s="270" t="e">
        <f t="array" ref="U64">IF(AND(U$2&lt;&gt;0,#REF!&gt;=U$2),1,0)</f>
        <v>#REF!</v>
      </c>
      <c r="V64" s="270" t="e">
        <f t="array" ref="V64">IF(AND(V$2&lt;&gt;0,#REF!&gt;=V$2),1,0)</f>
        <v>#REF!</v>
      </c>
      <c r="W64" s="270" t="e">
        <f t="array" ref="W64">IF(AND(W$2&lt;&gt;0,#REF!&gt;=W$2),1,0)</f>
        <v>#REF!</v>
      </c>
      <c r="X64" s="270" t="e">
        <f t="array" ref="X64">IF(AND(X$2&lt;&gt;0,#REF!&gt;=X$2),1,0)</f>
        <v>#REF!</v>
      </c>
      <c r="Y64" s="270" t="e">
        <f t="array" ref="Y64">IF(AND(Y$2&lt;&gt;0,#REF!&gt;=Y$2),1,0)</f>
        <v>#REF!</v>
      </c>
      <c r="Z64" s="270" t="e">
        <f t="array" ref="Z64">IF(AND(Z$2&lt;&gt;0,#REF!&gt;=Z$2),1,0)</f>
        <v>#REF!</v>
      </c>
      <c r="AA64" s="270" t="e">
        <f t="array" ref="AA64">IF(AND(AA$2&lt;&gt;0,#REF!&gt;=AA$2),1,0)</f>
        <v>#REF!</v>
      </c>
      <c r="AB64" s="270" t="e">
        <f t="array" ref="AB64">IF(AND(AB$2&lt;&gt;0,#REF!&gt;=AB$2),1,0)</f>
        <v>#REF!</v>
      </c>
      <c r="AC64" s="270" t="e">
        <f t="array" ref="AC64">IF(AND(AC$2&lt;&gt;0,#REF!&gt;=AC$2),1,0)</f>
        <v>#REF!</v>
      </c>
      <c r="AD64" s="270" t="e">
        <f t="array" ref="AD64">IF(AND(AD$2&lt;&gt;0,#REF!&gt;=AD$2),1,0)</f>
        <v>#REF!</v>
      </c>
      <c r="AE64" s="270" t="e">
        <f t="array" ref="AE64">IF(AND(AE$2&lt;&gt;0,#REF!&gt;=AE$2),1,0)</f>
        <v>#REF!</v>
      </c>
      <c r="AF64" s="270" t="e">
        <f t="array" ref="AF64">IF(AND(AF$2&lt;&gt;0,#REF!&gt;=AF$2),1,0)</f>
        <v>#REF!</v>
      </c>
      <c r="AG64" s="270" t="e">
        <f t="array" ref="AG64">IF(AND(AG$2&lt;&gt;0,#REF!&gt;=AG$2),1,0)</f>
        <v>#REF!</v>
      </c>
      <c r="AH64" s="270" t="e">
        <f t="array" ref="AH64">IF(AND(AH$2&lt;&gt;0,#REF!&gt;=AH$2),1,0)</f>
        <v>#REF!</v>
      </c>
      <c r="AI64" s="270" t="e">
        <f t="array" ref="AI64">IF(AND(AI$2&lt;&gt;0,#REF!&gt;=AI$2),1,0)</f>
        <v>#REF!</v>
      </c>
      <c r="AJ64" s="270" t="e">
        <f t="array" ref="AJ64">IF(AND(AJ$2&lt;&gt;0,#REF!&gt;=AJ$2),1,0)</f>
        <v>#REF!</v>
      </c>
      <c r="AK64" s="270" t="e">
        <f t="array" ref="AK64">IF(AND(AK$2&lt;&gt;0,#REF!&gt;=AK$2),1,0)</f>
        <v>#REF!</v>
      </c>
      <c r="AL64" s="270" t="e">
        <f t="array" ref="AL64">IF(AND(AL$2&lt;&gt;0,#REF!&gt;=AL$2),1,0)</f>
        <v>#REF!</v>
      </c>
      <c r="AM64" s="270" t="e">
        <f t="array" ref="AM64">IF(AND(AM$2&lt;&gt;0,#REF!&gt;=AM$2),1,0)</f>
        <v>#REF!</v>
      </c>
      <c r="AN64" s="270" t="e">
        <f t="array" ref="AN64">IF(AND(AN$2&lt;&gt;0,#REF!&gt;=AN$2),1,0)</f>
        <v>#REF!</v>
      </c>
      <c r="AO64" s="270" t="e">
        <f t="array" ref="AO64">IF(AND(AO$2&lt;&gt;0,#REF!&gt;=AO$2),1,0)</f>
        <v>#REF!</v>
      </c>
      <c r="AP64" s="270" t="e">
        <f t="array" ref="AP64">IF(AND(AP$2&lt;&gt;0,#REF!&gt;=AP$2),1,0)</f>
        <v>#REF!</v>
      </c>
      <c r="AQ64" s="270" t="e">
        <f t="array" ref="AQ64">IF(AND(AQ$2&lt;&gt;0,#REF!&gt;=AQ$2),1,0)</f>
        <v>#REF!</v>
      </c>
      <c r="AR64" s="270" t="e">
        <f t="array" ref="AR64">IF(AND(AR$2&lt;&gt;0,#REF!&gt;=AR$2),1,0)</f>
        <v>#REF!</v>
      </c>
      <c r="AS64" s="270" t="e">
        <f t="array" ref="AS64">IF(AND(AS$2&lt;&gt;0,#REF!&gt;=AS$2),1,0)</f>
        <v>#REF!</v>
      </c>
      <c r="AT64" s="270" t="e">
        <f t="array" ref="AT64">IF(AND(AT$2&lt;&gt;0,#REF!&gt;=AT$2),1,0)</f>
        <v>#REF!</v>
      </c>
      <c r="AU64" s="270" t="e">
        <f t="array" ref="AU64">IF(AND(AU$2&lt;&gt;0,#REF!&gt;=AU$2),1,0)</f>
        <v>#REF!</v>
      </c>
      <c r="AV64" s="270" t="e">
        <f t="array" ref="AV64">IF(AND(AV$2&lt;&gt;0,#REF!&gt;=AV$2),1,0)</f>
        <v>#REF!</v>
      </c>
      <c r="AW64" s="270" t="e">
        <f t="array" ref="AW64">IF(AND(AW$2&lt;&gt;0,#REF!&gt;=AW$2),1,0)</f>
        <v>#REF!</v>
      </c>
      <c r="AX64" s="270" t="e">
        <f t="array" ref="AX64">IF(AND(AX$2&lt;&gt;0,#REF!&gt;=AX$2),1,0)</f>
        <v>#REF!</v>
      </c>
      <c r="AY64" s="270" t="e">
        <f t="array" ref="AY64">IF(AND(AY$2&lt;&gt;0,#REF!&gt;=AY$2),1,0)</f>
        <v>#REF!</v>
      </c>
      <c r="AZ64" s="270" t="e">
        <f t="array" ref="AZ64">IF(AND(AZ$2&lt;&gt;0,#REF!&gt;=AZ$2),1,0)</f>
        <v>#REF!</v>
      </c>
      <c r="BA64" s="270" t="e">
        <f t="array" ref="BA64">IF(AND(BA$2&lt;&gt;0,#REF!&gt;=BA$2),1,0)</f>
        <v>#REF!</v>
      </c>
      <c r="BB64" s="270" t="e">
        <f t="array" ref="BB64">IF(AND(BB$2&lt;&gt;0,#REF!&gt;=BB$2),1,0)</f>
        <v>#REF!</v>
      </c>
      <c r="BC64" s="270" t="e">
        <f t="array" ref="BC64">IF(AND(BC$2&lt;&gt;0,#REF!&gt;=BC$2),1,0)</f>
        <v>#REF!</v>
      </c>
      <c r="BD64" s="270" t="e">
        <f t="array" ref="BD64">IF(AND(BD$2&lt;&gt;0,#REF!&gt;=BD$2),1,0)</f>
        <v>#REF!</v>
      </c>
      <c r="BE64" s="270" t="e">
        <f t="array" ref="BE64">IF(AND(BE$2&lt;&gt;0,#REF!&gt;=BE$2),1,0)</f>
        <v>#REF!</v>
      </c>
      <c r="BF64" s="270" t="e">
        <f t="array" ref="BF64">IF(AND(BF$2&lt;&gt;0,#REF!&gt;=BF$2),1,0)</f>
        <v>#REF!</v>
      </c>
      <c r="BG64" s="270" t="e">
        <f t="array" ref="BG64">IF(AND(BG$2&lt;&gt;0,#REF!&gt;=BG$2),1,0)</f>
        <v>#REF!</v>
      </c>
      <c r="BH64" s="270" t="e">
        <f t="array" ref="BH64">IF(AND(BH$2&lt;&gt;0,#REF!&gt;=BH$2),1,0)</f>
        <v>#REF!</v>
      </c>
      <c r="BI64" s="270" t="e">
        <f t="array" ref="BI64">IF(AND(BI$2&lt;&gt;0,#REF!&gt;=BI$2),1,0)</f>
        <v>#REF!</v>
      </c>
      <c r="BJ64" s="270" t="e">
        <f t="array" ref="BJ64">IF(AND(BJ$2&lt;&gt;0,#REF!&gt;=BJ$2),1,0)</f>
        <v>#REF!</v>
      </c>
      <c r="BK64" s="270" t="e">
        <f t="array" ref="BK64">IF(AND(BK$2&lt;&gt;0,#REF!&gt;=BK$2),1,0)</f>
        <v>#REF!</v>
      </c>
      <c r="BL64" s="270" t="e">
        <f t="array" ref="BL64">IF(AND(BL$2&lt;&gt;0,#REF!&gt;=BL$2),1,0)</f>
        <v>#REF!</v>
      </c>
      <c r="BM64" s="270" t="e">
        <f t="array" ref="BM64">IF(AND(BM$2&lt;&gt;0,#REF!&gt;=BM$2),1,0)</f>
        <v>#REF!</v>
      </c>
      <c r="BN64" s="270" t="e">
        <f t="array" ref="BN64">IF(AND(BN$2&lt;&gt;0,#REF!&gt;=BN$2),1,0)</f>
        <v>#REF!</v>
      </c>
      <c r="BO64" s="270" t="e">
        <f t="array" ref="BO64">IF(AND(BO$2&lt;&gt;0,#REF!&gt;=BO$2),1,0)</f>
        <v>#REF!</v>
      </c>
      <c r="BP64" s="270" t="e">
        <f t="array" ref="BP64">IF(AND(BP$2&lt;&gt;0,#REF!&gt;=BP$2),1,0)</f>
        <v>#REF!</v>
      </c>
      <c r="BQ64" s="270" t="e">
        <f t="array" ref="BQ64">IF(AND(BQ$2&lt;&gt;0,#REF!&gt;=BQ$2),1,0)</f>
        <v>#REF!</v>
      </c>
      <c r="BR64" s="270" t="e">
        <f t="array" ref="BR64">IF(AND(BR$2&lt;&gt;0,#REF!&gt;=BR$2),1,0)</f>
        <v>#REF!</v>
      </c>
      <c r="BS64" s="270" t="e">
        <f t="array" ref="BS64">IF(AND(BS$2&lt;&gt;0,#REF!&gt;=BS$2),1,0)</f>
        <v>#REF!</v>
      </c>
      <c r="BT64" s="270" t="e">
        <f t="array" ref="BT64">IF(AND(BT$2&lt;&gt;0,#REF!&gt;=BT$2),1,0)</f>
        <v>#REF!</v>
      </c>
      <c r="BU64" s="270" t="e">
        <f t="array" ref="BU64">IF(AND(BU$2&lt;&gt;0,#REF!&gt;=BU$2),1,0)</f>
        <v>#REF!</v>
      </c>
      <c r="BV64" s="270" t="e">
        <f t="array" ref="BV64">IF(AND(BV$2&lt;&gt;0,#REF!&gt;=BV$2),1,0)</f>
        <v>#REF!</v>
      </c>
      <c r="BW64" s="270" t="e">
        <f t="array" ref="BW64">IF(AND(BW$2&lt;&gt;0,#REF!&gt;=BW$2),1,0)</f>
        <v>#REF!</v>
      </c>
      <c r="BX64" s="270" t="e">
        <f t="array" ref="BX64">IF(AND(BX$2&lt;&gt;0,#REF!&gt;=BX$2),1,0)</f>
        <v>#REF!</v>
      </c>
      <c r="BY64" s="270" t="e">
        <f t="array" ref="BY64">IF(AND(BY$2&lt;&gt;0,#REF!&gt;=BY$2),1,0)</f>
        <v>#REF!</v>
      </c>
      <c r="BZ64" s="270" t="e">
        <f t="array" ref="BZ64">IF(AND(BZ$2&lt;&gt;0,#REF!&gt;=BZ$2),1,0)</f>
        <v>#REF!</v>
      </c>
      <c r="CA64" s="359">
        <f>IFERROR(INDEX($H$4:$H$79,MATCH(INDEX(#REF!,1,MATCH(#REF!,$M$2:$BZ$2,0)),$G$4:$G$79,0)),)</f>
        <v>0</v>
      </c>
    </row>
    <row r="65" spans="1:79" x14ac:dyDescent="0.25">
      <c r="A65" s="262" t="e">
        <f>#REF!</f>
        <v>#REF!</v>
      </c>
      <c r="B65" s="263" t="e">
        <f>#REF!</f>
        <v>#REF!</v>
      </c>
      <c r="C65" s="264" t="e">
        <f>#REF!</f>
        <v>#REF!</v>
      </c>
      <c r="D65" s="264" t="e">
        <f>#REF!</f>
        <v>#REF!</v>
      </c>
      <c r="E65" s="265"/>
      <c r="F65" s="266"/>
      <c r="G65" s="267" t="s">
        <v>610</v>
      </c>
      <c r="H65" s="268" t="s">
        <v>730</v>
      </c>
      <c r="I65" s="267" t="s">
        <v>611</v>
      </c>
      <c r="J65" s="263"/>
      <c r="K65" s="89" t="e">
        <f ca="1">IF(#REF!&lt;&gt;OFFSET(#REF!,-1,0),1,0)</f>
        <v>#REF!</v>
      </c>
      <c r="L65" s="269" t="e">
        <f>COUNTIF(#REF!,1)</f>
        <v>#REF!</v>
      </c>
      <c r="M65" s="270" t="e">
        <f t="array" ref="M65">IF(AND(M$2&lt;&gt;0,#REF!&gt;=M$2),1,0)</f>
        <v>#REF!</v>
      </c>
      <c r="N65" s="270" t="e">
        <f t="array" ref="N65">IF(AND(N$2&lt;&gt;0,#REF!&gt;=N$2),1,0)</f>
        <v>#REF!</v>
      </c>
      <c r="O65" s="270" t="e">
        <f t="array" ref="O65">IF(AND(O$2&lt;&gt;0,#REF!&gt;=O$2),1,0)</f>
        <v>#REF!</v>
      </c>
      <c r="P65" s="270" t="e">
        <f t="array" ref="P65">IF(AND(P$2&lt;&gt;0,#REF!&gt;=P$2),1,0)</f>
        <v>#REF!</v>
      </c>
      <c r="Q65" s="270" t="e">
        <f t="array" ref="Q65">IF(AND(Q$2&lt;&gt;0,#REF!&gt;=Q$2),1,0)</f>
        <v>#REF!</v>
      </c>
      <c r="R65" s="270" t="e">
        <f t="array" ref="R65">IF(AND(R$2&lt;&gt;0,#REF!&gt;=R$2),1,0)</f>
        <v>#REF!</v>
      </c>
      <c r="S65" s="270" t="e">
        <f t="array" ref="S65">IF(AND(S$2&lt;&gt;0,#REF!&gt;=S$2),1,0)</f>
        <v>#REF!</v>
      </c>
      <c r="T65" s="270" t="e">
        <f t="array" ref="T65">IF(AND(T$2&lt;&gt;0,#REF!&gt;=T$2),1,0)</f>
        <v>#REF!</v>
      </c>
      <c r="U65" s="270" t="e">
        <f t="array" ref="U65">IF(AND(U$2&lt;&gt;0,#REF!&gt;=U$2),1,0)</f>
        <v>#REF!</v>
      </c>
      <c r="V65" s="270" t="e">
        <f t="array" ref="V65">IF(AND(V$2&lt;&gt;0,#REF!&gt;=V$2),1,0)</f>
        <v>#REF!</v>
      </c>
      <c r="W65" s="270" t="e">
        <f t="array" ref="W65">IF(AND(W$2&lt;&gt;0,#REF!&gt;=W$2),1,0)</f>
        <v>#REF!</v>
      </c>
      <c r="X65" s="270" t="e">
        <f t="array" ref="X65">IF(AND(X$2&lt;&gt;0,#REF!&gt;=X$2),1,0)</f>
        <v>#REF!</v>
      </c>
      <c r="Y65" s="270" t="e">
        <f t="array" ref="Y65">IF(AND(Y$2&lt;&gt;0,#REF!&gt;=Y$2),1,0)</f>
        <v>#REF!</v>
      </c>
      <c r="Z65" s="270" t="e">
        <f t="array" ref="Z65">IF(AND(Z$2&lt;&gt;0,#REF!&gt;=Z$2),1,0)</f>
        <v>#REF!</v>
      </c>
      <c r="AA65" s="270" t="e">
        <f t="array" ref="AA65">IF(AND(AA$2&lt;&gt;0,#REF!&gt;=AA$2),1,0)</f>
        <v>#REF!</v>
      </c>
      <c r="AB65" s="270" t="e">
        <f t="array" ref="AB65">IF(AND(AB$2&lt;&gt;0,#REF!&gt;=AB$2),1,0)</f>
        <v>#REF!</v>
      </c>
      <c r="AC65" s="270" t="e">
        <f t="array" ref="AC65">IF(AND(AC$2&lt;&gt;0,#REF!&gt;=AC$2),1,0)</f>
        <v>#REF!</v>
      </c>
      <c r="AD65" s="270" t="e">
        <f t="array" ref="AD65">IF(AND(AD$2&lt;&gt;0,#REF!&gt;=AD$2),1,0)</f>
        <v>#REF!</v>
      </c>
      <c r="AE65" s="270" t="e">
        <f t="array" ref="AE65">IF(AND(AE$2&lt;&gt;0,#REF!&gt;=AE$2),1,0)</f>
        <v>#REF!</v>
      </c>
      <c r="AF65" s="270" t="e">
        <f t="array" ref="AF65">IF(AND(AF$2&lt;&gt;0,#REF!&gt;=AF$2),1,0)</f>
        <v>#REF!</v>
      </c>
      <c r="AG65" s="270" t="e">
        <f t="array" ref="AG65">IF(AND(AG$2&lt;&gt;0,#REF!&gt;=AG$2),1,0)</f>
        <v>#REF!</v>
      </c>
      <c r="AH65" s="270" t="e">
        <f t="array" ref="AH65">IF(AND(AH$2&lt;&gt;0,#REF!&gt;=AH$2),1,0)</f>
        <v>#REF!</v>
      </c>
      <c r="AI65" s="270" t="e">
        <f t="array" ref="AI65">IF(AND(AI$2&lt;&gt;0,#REF!&gt;=AI$2),1,0)</f>
        <v>#REF!</v>
      </c>
      <c r="AJ65" s="270" t="e">
        <f t="array" ref="AJ65">IF(AND(AJ$2&lt;&gt;0,#REF!&gt;=AJ$2),1,0)</f>
        <v>#REF!</v>
      </c>
      <c r="AK65" s="270" t="e">
        <f t="array" ref="AK65">IF(AND(AK$2&lt;&gt;0,#REF!&gt;=AK$2),1,0)</f>
        <v>#REF!</v>
      </c>
      <c r="AL65" s="270" t="e">
        <f t="array" ref="AL65">IF(AND(AL$2&lt;&gt;0,#REF!&gt;=AL$2),1,0)</f>
        <v>#REF!</v>
      </c>
      <c r="AM65" s="270" t="e">
        <f t="array" ref="AM65">IF(AND(AM$2&lt;&gt;0,#REF!&gt;=AM$2),1,0)</f>
        <v>#REF!</v>
      </c>
      <c r="AN65" s="270" t="e">
        <f t="array" ref="AN65">IF(AND(AN$2&lt;&gt;0,#REF!&gt;=AN$2),1,0)</f>
        <v>#REF!</v>
      </c>
      <c r="AO65" s="270" t="e">
        <f t="array" ref="AO65">IF(AND(AO$2&lt;&gt;0,#REF!&gt;=AO$2),1,0)</f>
        <v>#REF!</v>
      </c>
      <c r="AP65" s="270" t="e">
        <f t="array" ref="AP65">IF(AND(AP$2&lt;&gt;0,#REF!&gt;=AP$2),1,0)</f>
        <v>#REF!</v>
      </c>
      <c r="AQ65" s="270" t="e">
        <f t="array" ref="AQ65">IF(AND(AQ$2&lt;&gt;0,#REF!&gt;=AQ$2),1,0)</f>
        <v>#REF!</v>
      </c>
      <c r="AR65" s="270" t="e">
        <f t="array" ref="AR65">IF(AND(AR$2&lt;&gt;0,#REF!&gt;=AR$2),1,0)</f>
        <v>#REF!</v>
      </c>
      <c r="AS65" s="270" t="e">
        <f t="array" ref="AS65">IF(AND(AS$2&lt;&gt;0,#REF!&gt;=AS$2),1,0)</f>
        <v>#REF!</v>
      </c>
      <c r="AT65" s="270" t="e">
        <f t="array" ref="AT65">IF(AND(AT$2&lt;&gt;0,#REF!&gt;=AT$2),1,0)</f>
        <v>#REF!</v>
      </c>
      <c r="AU65" s="270" t="e">
        <f t="array" ref="AU65">IF(AND(AU$2&lt;&gt;0,#REF!&gt;=AU$2),1,0)</f>
        <v>#REF!</v>
      </c>
      <c r="AV65" s="270" t="e">
        <f t="array" ref="AV65">IF(AND(AV$2&lt;&gt;0,#REF!&gt;=AV$2),1,0)</f>
        <v>#REF!</v>
      </c>
      <c r="AW65" s="270" t="e">
        <f t="array" ref="AW65">IF(AND(AW$2&lt;&gt;0,#REF!&gt;=AW$2),1,0)</f>
        <v>#REF!</v>
      </c>
      <c r="AX65" s="270" t="e">
        <f t="array" ref="AX65">IF(AND(AX$2&lt;&gt;0,#REF!&gt;=AX$2),1,0)</f>
        <v>#REF!</v>
      </c>
      <c r="AY65" s="270" t="e">
        <f t="array" ref="AY65">IF(AND(AY$2&lt;&gt;0,#REF!&gt;=AY$2),1,0)</f>
        <v>#REF!</v>
      </c>
      <c r="AZ65" s="270" t="e">
        <f t="array" ref="AZ65">IF(AND(AZ$2&lt;&gt;0,#REF!&gt;=AZ$2),1,0)</f>
        <v>#REF!</v>
      </c>
      <c r="BA65" s="270" t="e">
        <f t="array" ref="BA65">IF(AND(BA$2&lt;&gt;0,#REF!&gt;=BA$2),1,0)</f>
        <v>#REF!</v>
      </c>
      <c r="BB65" s="270" t="e">
        <f t="array" ref="BB65">IF(AND(BB$2&lt;&gt;0,#REF!&gt;=BB$2),1,0)</f>
        <v>#REF!</v>
      </c>
      <c r="BC65" s="270" t="e">
        <f t="array" ref="BC65">IF(AND(BC$2&lt;&gt;0,#REF!&gt;=BC$2),1,0)</f>
        <v>#REF!</v>
      </c>
      <c r="BD65" s="270" t="e">
        <f t="array" ref="BD65">IF(AND(BD$2&lt;&gt;0,#REF!&gt;=BD$2),1,0)</f>
        <v>#REF!</v>
      </c>
      <c r="BE65" s="270" t="e">
        <f t="array" ref="BE65">IF(AND(BE$2&lt;&gt;0,#REF!&gt;=BE$2),1,0)</f>
        <v>#REF!</v>
      </c>
      <c r="BF65" s="270" t="e">
        <f t="array" ref="BF65">IF(AND(BF$2&lt;&gt;0,#REF!&gt;=BF$2),1,0)</f>
        <v>#REF!</v>
      </c>
      <c r="BG65" s="270" t="e">
        <f t="array" ref="BG65">IF(AND(BG$2&lt;&gt;0,#REF!&gt;=BG$2),1,0)</f>
        <v>#REF!</v>
      </c>
      <c r="BH65" s="270" t="e">
        <f t="array" ref="BH65">IF(AND(BH$2&lt;&gt;0,#REF!&gt;=BH$2),1,0)</f>
        <v>#REF!</v>
      </c>
      <c r="BI65" s="270" t="e">
        <f t="array" ref="BI65">IF(AND(BI$2&lt;&gt;0,#REF!&gt;=BI$2),1,0)</f>
        <v>#REF!</v>
      </c>
      <c r="BJ65" s="270" t="e">
        <f t="array" ref="BJ65">IF(AND(BJ$2&lt;&gt;0,#REF!&gt;=BJ$2),1,0)</f>
        <v>#REF!</v>
      </c>
      <c r="BK65" s="270" t="e">
        <f t="array" ref="BK65">IF(AND(BK$2&lt;&gt;0,#REF!&gt;=BK$2),1,0)</f>
        <v>#REF!</v>
      </c>
      <c r="BL65" s="270" t="e">
        <f t="array" ref="BL65">IF(AND(BL$2&lt;&gt;0,#REF!&gt;=BL$2),1,0)</f>
        <v>#REF!</v>
      </c>
      <c r="BM65" s="270" t="e">
        <f t="array" ref="BM65">IF(AND(BM$2&lt;&gt;0,#REF!&gt;=BM$2),1,0)</f>
        <v>#REF!</v>
      </c>
      <c r="BN65" s="270" t="e">
        <f t="array" ref="BN65">IF(AND(BN$2&lt;&gt;0,#REF!&gt;=BN$2),1,0)</f>
        <v>#REF!</v>
      </c>
      <c r="BO65" s="270" t="e">
        <f t="array" ref="BO65">IF(AND(BO$2&lt;&gt;0,#REF!&gt;=BO$2),1,0)</f>
        <v>#REF!</v>
      </c>
      <c r="BP65" s="270" t="e">
        <f t="array" ref="BP65">IF(AND(BP$2&lt;&gt;0,#REF!&gt;=BP$2),1,0)</f>
        <v>#REF!</v>
      </c>
      <c r="BQ65" s="270" t="e">
        <f t="array" ref="BQ65">IF(AND(BQ$2&lt;&gt;0,#REF!&gt;=BQ$2),1,0)</f>
        <v>#REF!</v>
      </c>
      <c r="BR65" s="270" t="e">
        <f t="array" ref="BR65">IF(AND(BR$2&lt;&gt;0,#REF!&gt;=BR$2),1,0)</f>
        <v>#REF!</v>
      </c>
      <c r="BS65" s="270" t="e">
        <f t="array" ref="BS65">IF(AND(BS$2&lt;&gt;0,#REF!&gt;=BS$2),1,0)</f>
        <v>#REF!</v>
      </c>
      <c r="BT65" s="270" t="e">
        <f t="array" ref="BT65">IF(AND(BT$2&lt;&gt;0,#REF!&gt;=BT$2),1,0)</f>
        <v>#REF!</v>
      </c>
      <c r="BU65" s="270" t="e">
        <f t="array" ref="BU65">IF(AND(BU$2&lt;&gt;0,#REF!&gt;=BU$2),1,0)</f>
        <v>#REF!</v>
      </c>
      <c r="BV65" s="270" t="e">
        <f t="array" ref="BV65">IF(AND(BV$2&lt;&gt;0,#REF!&gt;=BV$2),1,0)</f>
        <v>#REF!</v>
      </c>
      <c r="BW65" s="270" t="e">
        <f t="array" ref="BW65">IF(AND(BW$2&lt;&gt;0,#REF!&gt;=BW$2),1,0)</f>
        <v>#REF!</v>
      </c>
      <c r="BX65" s="270" t="e">
        <f t="array" ref="BX65">IF(AND(BX$2&lt;&gt;0,#REF!&gt;=BX$2),1,0)</f>
        <v>#REF!</v>
      </c>
      <c r="BY65" s="270" t="e">
        <f t="array" ref="BY65">IF(AND(BY$2&lt;&gt;0,#REF!&gt;=BY$2),1,0)</f>
        <v>#REF!</v>
      </c>
      <c r="BZ65" s="270" t="e">
        <f t="array" ref="BZ65">IF(AND(BZ$2&lt;&gt;0,#REF!&gt;=BZ$2),1,0)</f>
        <v>#REF!</v>
      </c>
      <c r="CA65" s="359">
        <f>IFERROR(INDEX($H$4:$H$79,MATCH(INDEX(#REF!,1,MATCH(#REF!,$M$2:$BZ$2,0)),$G$4:$G$79,0)),)</f>
        <v>0</v>
      </c>
    </row>
    <row r="66" spans="1:79" x14ac:dyDescent="0.25">
      <c r="A66" s="262" t="e">
        <f>#REF!</f>
        <v>#REF!</v>
      </c>
      <c r="B66" s="263" t="e">
        <f>#REF!</f>
        <v>#REF!</v>
      </c>
      <c r="C66" s="264" t="e">
        <f>#REF!</f>
        <v>#REF!</v>
      </c>
      <c r="D66" s="264" t="e">
        <f>#REF!</f>
        <v>#REF!</v>
      </c>
      <c r="E66" s="265"/>
      <c r="F66" s="266"/>
      <c r="G66" s="267"/>
      <c r="H66" s="268"/>
      <c r="I66" s="267"/>
      <c r="J66" s="263"/>
      <c r="K66" s="89" t="e">
        <f ca="1">IF(#REF!&lt;&gt;OFFSET(#REF!,-1,0),1,0)</f>
        <v>#REF!</v>
      </c>
      <c r="L66" s="269" t="e">
        <f>COUNTIF(#REF!,1)</f>
        <v>#REF!</v>
      </c>
      <c r="M66" s="270" t="e">
        <f t="array" ref="M66">IF(AND(M$2&lt;&gt;0,#REF!&gt;=M$2),1,0)</f>
        <v>#REF!</v>
      </c>
      <c r="N66" s="270" t="e">
        <f t="array" ref="N66">IF(AND(N$2&lt;&gt;0,#REF!&gt;=N$2),1,0)</f>
        <v>#REF!</v>
      </c>
      <c r="O66" s="270" t="e">
        <f t="array" ref="O66">IF(AND(O$2&lt;&gt;0,#REF!&gt;=O$2),1,0)</f>
        <v>#REF!</v>
      </c>
      <c r="P66" s="270" t="e">
        <f t="array" ref="P66">IF(AND(P$2&lt;&gt;0,#REF!&gt;=P$2),1,0)</f>
        <v>#REF!</v>
      </c>
      <c r="Q66" s="270" t="e">
        <f t="array" ref="Q66">IF(AND(Q$2&lt;&gt;0,#REF!&gt;=Q$2),1,0)</f>
        <v>#REF!</v>
      </c>
      <c r="R66" s="270" t="e">
        <f t="array" ref="R66">IF(AND(R$2&lt;&gt;0,#REF!&gt;=R$2),1,0)</f>
        <v>#REF!</v>
      </c>
      <c r="S66" s="270" t="e">
        <f t="array" ref="S66">IF(AND(S$2&lt;&gt;0,#REF!&gt;=S$2),1,0)</f>
        <v>#REF!</v>
      </c>
      <c r="T66" s="270" t="e">
        <f t="array" ref="T66">IF(AND(T$2&lt;&gt;0,#REF!&gt;=T$2),1,0)</f>
        <v>#REF!</v>
      </c>
      <c r="U66" s="270" t="e">
        <f t="array" ref="U66">IF(AND(U$2&lt;&gt;0,#REF!&gt;=U$2),1,0)</f>
        <v>#REF!</v>
      </c>
      <c r="V66" s="270" t="e">
        <f t="array" ref="V66">IF(AND(V$2&lt;&gt;0,#REF!&gt;=V$2),1,0)</f>
        <v>#REF!</v>
      </c>
      <c r="W66" s="270" t="e">
        <f t="array" ref="W66">IF(AND(W$2&lt;&gt;0,#REF!&gt;=W$2),1,0)</f>
        <v>#REF!</v>
      </c>
      <c r="X66" s="270" t="e">
        <f t="array" ref="X66">IF(AND(X$2&lt;&gt;0,#REF!&gt;=X$2),1,0)</f>
        <v>#REF!</v>
      </c>
      <c r="Y66" s="270" t="e">
        <f t="array" ref="Y66">IF(AND(Y$2&lt;&gt;0,#REF!&gt;=Y$2),1,0)</f>
        <v>#REF!</v>
      </c>
      <c r="Z66" s="270" t="e">
        <f t="array" ref="Z66">IF(AND(Z$2&lt;&gt;0,#REF!&gt;=Z$2),1,0)</f>
        <v>#REF!</v>
      </c>
      <c r="AA66" s="270" t="e">
        <f t="array" ref="AA66">IF(AND(AA$2&lt;&gt;0,#REF!&gt;=AA$2),1,0)</f>
        <v>#REF!</v>
      </c>
      <c r="AB66" s="270" t="e">
        <f t="array" ref="AB66">IF(AND(AB$2&lt;&gt;0,#REF!&gt;=AB$2),1,0)</f>
        <v>#REF!</v>
      </c>
      <c r="AC66" s="270" t="e">
        <f t="array" ref="AC66">IF(AND(AC$2&lt;&gt;0,#REF!&gt;=AC$2),1,0)</f>
        <v>#REF!</v>
      </c>
      <c r="AD66" s="270" t="e">
        <f t="array" ref="AD66">IF(AND(AD$2&lt;&gt;0,#REF!&gt;=AD$2),1,0)</f>
        <v>#REF!</v>
      </c>
      <c r="AE66" s="270" t="e">
        <f t="array" ref="AE66">IF(AND(AE$2&lt;&gt;0,#REF!&gt;=AE$2),1,0)</f>
        <v>#REF!</v>
      </c>
      <c r="AF66" s="270" t="e">
        <f t="array" ref="AF66">IF(AND(AF$2&lt;&gt;0,#REF!&gt;=AF$2),1,0)</f>
        <v>#REF!</v>
      </c>
      <c r="AG66" s="270" t="e">
        <f t="array" ref="AG66">IF(AND(AG$2&lt;&gt;0,#REF!&gt;=AG$2),1,0)</f>
        <v>#REF!</v>
      </c>
      <c r="AH66" s="270" t="e">
        <f t="array" ref="AH66">IF(AND(AH$2&lt;&gt;0,#REF!&gt;=AH$2),1,0)</f>
        <v>#REF!</v>
      </c>
      <c r="AI66" s="270" t="e">
        <f t="array" ref="AI66">IF(AND(AI$2&lt;&gt;0,#REF!&gt;=AI$2),1,0)</f>
        <v>#REF!</v>
      </c>
      <c r="AJ66" s="270" t="e">
        <f t="array" ref="AJ66">IF(AND(AJ$2&lt;&gt;0,#REF!&gt;=AJ$2),1,0)</f>
        <v>#REF!</v>
      </c>
      <c r="AK66" s="270" t="e">
        <f t="array" ref="AK66">IF(AND(AK$2&lt;&gt;0,#REF!&gt;=AK$2),1,0)</f>
        <v>#REF!</v>
      </c>
      <c r="AL66" s="270" t="e">
        <f t="array" ref="AL66">IF(AND(AL$2&lt;&gt;0,#REF!&gt;=AL$2),1,0)</f>
        <v>#REF!</v>
      </c>
      <c r="AM66" s="270" t="e">
        <f t="array" ref="AM66">IF(AND(AM$2&lt;&gt;0,#REF!&gt;=AM$2),1,0)</f>
        <v>#REF!</v>
      </c>
      <c r="AN66" s="270" t="e">
        <f t="array" ref="AN66">IF(AND(AN$2&lt;&gt;0,#REF!&gt;=AN$2),1,0)</f>
        <v>#REF!</v>
      </c>
      <c r="AO66" s="270" t="e">
        <f t="array" ref="AO66">IF(AND(AO$2&lt;&gt;0,#REF!&gt;=AO$2),1,0)</f>
        <v>#REF!</v>
      </c>
      <c r="AP66" s="270" t="e">
        <f t="array" ref="AP66">IF(AND(AP$2&lt;&gt;0,#REF!&gt;=AP$2),1,0)</f>
        <v>#REF!</v>
      </c>
      <c r="AQ66" s="270" t="e">
        <f t="array" ref="AQ66">IF(AND(AQ$2&lt;&gt;0,#REF!&gt;=AQ$2),1,0)</f>
        <v>#REF!</v>
      </c>
      <c r="AR66" s="270" t="e">
        <f t="array" ref="AR66">IF(AND(AR$2&lt;&gt;0,#REF!&gt;=AR$2),1,0)</f>
        <v>#REF!</v>
      </c>
      <c r="AS66" s="270" t="e">
        <f t="array" ref="AS66">IF(AND(AS$2&lt;&gt;0,#REF!&gt;=AS$2),1,0)</f>
        <v>#REF!</v>
      </c>
      <c r="AT66" s="270" t="e">
        <f t="array" ref="AT66">IF(AND(AT$2&lt;&gt;0,#REF!&gt;=AT$2),1,0)</f>
        <v>#REF!</v>
      </c>
      <c r="AU66" s="270" t="e">
        <f t="array" ref="AU66">IF(AND(AU$2&lt;&gt;0,#REF!&gt;=AU$2),1,0)</f>
        <v>#REF!</v>
      </c>
      <c r="AV66" s="270" t="e">
        <f t="array" ref="AV66">IF(AND(AV$2&lt;&gt;0,#REF!&gt;=AV$2),1,0)</f>
        <v>#REF!</v>
      </c>
      <c r="AW66" s="270" t="e">
        <f t="array" ref="AW66">IF(AND(AW$2&lt;&gt;0,#REF!&gt;=AW$2),1,0)</f>
        <v>#REF!</v>
      </c>
      <c r="AX66" s="270" t="e">
        <f t="array" ref="AX66">IF(AND(AX$2&lt;&gt;0,#REF!&gt;=AX$2),1,0)</f>
        <v>#REF!</v>
      </c>
      <c r="AY66" s="270" t="e">
        <f t="array" ref="AY66">IF(AND(AY$2&lt;&gt;0,#REF!&gt;=AY$2),1,0)</f>
        <v>#REF!</v>
      </c>
      <c r="AZ66" s="270" t="e">
        <f t="array" ref="AZ66">IF(AND(AZ$2&lt;&gt;0,#REF!&gt;=AZ$2),1,0)</f>
        <v>#REF!</v>
      </c>
      <c r="BA66" s="270" t="e">
        <f t="array" ref="BA66">IF(AND(BA$2&lt;&gt;0,#REF!&gt;=BA$2),1,0)</f>
        <v>#REF!</v>
      </c>
      <c r="BB66" s="270" t="e">
        <f t="array" ref="BB66">IF(AND(BB$2&lt;&gt;0,#REF!&gt;=BB$2),1,0)</f>
        <v>#REF!</v>
      </c>
      <c r="BC66" s="270" t="e">
        <f t="array" ref="BC66">IF(AND(BC$2&lt;&gt;0,#REF!&gt;=BC$2),1,0)</f>
        <v>#REF!</v>
      </c>
      <c r="BD66" s="270" t="e">
        <f t="array" ref="BD66">IF(AND(BD$2&lt;&gt;0,#REF!&gt;=BD$2),1,0)</f>
        <v>#REF!</v>
      </c>
      <c r="BE66" s="270" t="e">
        <f t="array" ref="BE66">IF(AND(BE$2&lt;&gt;0,#REF!&gt;=BE$2),1,0)</f>
        <v>#REF!</v>
      </c>
      <c r="BF66" s="270" t="e">
        <f t="array" ref="BF66">IF(AND(BF$2&lt;&gt;0,#REF!&gt;=BF$2),1,0)</f>
        <v>#REF!</v>
      </c>
      <c r="BG66" s="270" t="e">
        <f t="array" ref="BG66">IF(AND(BG$2&lt;&gt;0,#REF!&gt;=BG$2),1,0)</f>
        <v>#REF!</v>
      </c>
      <c r="BH66" s="270" t="e">
        <f t="array" ref="BH66">IF(AND(BH$2&lt;&gt;0,#REF!&gt;=BH$2),1,0)</f>
        <v>#REF!</v>
      </c>
      <c r="BI66" s="270" t="e">
        <f t="array" ref="BI66">IF(AND(BI$2&lt;&gt;0,#REF!&gt;=BI$2),1,0)</f>
        <v>#REF!</v>
      </c>
      <c r="BJ66" s="270" t="e">
        <f t="array" ref="BJ66">IF(AND(BJ$2&lt;&gt;0,#REF!&gt;=BJ$2),1,0)</f>
        <v>#REF!</v>
      </c>
      <c r="BK66" s="270" t="e">
        <f t="array" ref="BK66">IF(AND(BK$2&lt;&gt;0,#REF!&gt;=BK$2),1,0)</f>
        <v>#REF!</v>
      </c>
      <c r="BL66" s="270" t="e">
        <f t="array" ref="BL66">IF(AND(BL$2&lt;&gt;0,#REF!&gt;=BL$2),1,0)</f>
        <v>#REF!</v>
      </c>
      <c r="BM66" s="270" t="e">
        <f t="array" ref="BM66">IF(AND(BM$2&lt;&gt;0,#REF!&gt;=BM$2),1,0)</f>
        <v>#REF!</v>
      </c>
      <c r="BN66" s="270" t="e">
        <f t="array" ref="BN66">IF(AND(BN$2&lt;&gt;0,#REF!&gt;=BN$2),1,0)</f>
        <v>#REF!</v>
      </c>
      <c r="BO66" s="270" t="e">
        <f t="array" ref="BO66">IF(AND(BO$2&lt;&gt;0,#REF!&gt;=BO$2),1,0)</f>
        <v>#REF!</v>
      </c>
      <c r="BP66" s="270" t="e">
        <f t="array" ref="BP66">IF(AND(BP$2&lt;&gt;0,#REF!&gt;=BP$2),1,0)</f>
        <v>#REF!</v>
      </c>
      <c r="BQ66" s="270" t="e">
        <f t="array" ref="BQ66">IF(AND(BQ$2&lt;&gt;0,#REF!&gt;=BQ$2),1,0)</f>
        <v>#REF!</v>
      </c>
      <c r="BR66" s="270" t="e">
        <f t="array" ref="BR66">IF(AND(BR$2&lt;&gt;0,#REF!&gt;=BR$2),1,0)</f>
        <v>#REF!</v>
      </c>
      <c r="BS66" s="270" t="e">
        <f t="array" ref="BS66">IF(AND(BS$2&lt;&gt;0,#REF!&gt;=BS$2),1,0)</f>
        <v>#REF!</v>
      </c>
      <c r="BT66" s="270" t="e">
        <f t="array" ref="BT66">IF(AND(BT$2&lt;&gt;0,#REF!&gt;=BT$2),1,0)</f>
        <v>#REF!</v>
      </c>
      <c r="BU66" s="270" t="e">
        <f t="array" ref="BU66">IF(AND(BU$2&lt;&gt;0,#REF!&gt;=BU$2),1,0)</f>
        <v>#REF!</v>
      </c>
      <c r="BV66" s="270" t="e">
        <f t="array" ref="BV66">IF(AND(BV$2&lt;&gt;0,#REF!&gt;=BV$2),1,0)</f>
        <v>#REF!</v>
      </c>
      <c r="BW66" s="270" t="e">
        <f t="array" ref="BW66">IF(AND(BW$2&lt;&gt;0,#REF!&gt;=BW$2),1,0)</f>
        <v>#REF!</v>
      </c>
      <c r="BX66" s="270" t="e">
        <f t="array" ref="BX66">IF(AND(BX$2&lt;&gt;0,#REF!&gt;=BX$2),1,0)</f>
        <v>#REF!</v>
      </c>
      <c r="BY66" s="270" t="e">
        <f t="array" ref="BY66">IF(AND(BY$2&lt;&gt;0,#REF!&gt;=BY$2),1,0)</f>
        <v>#REF!</v>
      </c>
      <c r="BZ66" s="270" t="e">
        <f t="array" ref="BZ66">IF(AND(BZ$2&lt;&gt;0,#REF!&gt;=BZ$2),1,0)</f>
        <v>#REF!</v>
      </c>
      <c r="CA66" s="359">
        <f>IFERROR(INDEX($H$4:$H$79,MATCH(INDEX(#REF!,1,MATCH(#REF!,$M$2:$BZ$2,0)),$G$4:$G$79,0)),)</f>
        <v>0</v>
      </c>
    </row>
    <row r="67" spans="1:79" x14ac:dyDescent="0.25">
      <c r="A67" s="262" t="e">
        <f>#REF!</f>
        <v>#REF!</v>
      </c>
      <c r="B67" s="263" t="e">
        <f>#REF!</f>
        <v>#REF!</v>
      </c>
      <c r="C67" s="264" t="e">
        <f>#REF!</f>
        <v>#REF!</v>
      </c>
      <c r="D67" s="264" t="e">
        <f>#REF!</f>
        <v>#REF!</v>
      </c>
      <c r="E67" s="265"/>
      <c r="F67" s="266"/>
      <c r="G67" s="267" t="s">
        <v>612</v>
      </c>
      <c r="H67" s="268" t="s">
        <v>1067</v>
      </c>
      <c r="I67" s="267" t="s">
        <v>748</v>
      </c>
      <c r="J67" s="263"/>
      <c r="K67" s="89" t="e">
        <f ca="1">IF(#REF!&lt;&gt;OFFSET(#REF!,-1,0),1,0)</f>
        <v>#REF!</v>
      </c>
      <c r="L67" s="269" t="e">
        <f>COUNTIF(#REF!,1)</f>
        <v>#REF!</v>
      </c>
      <c r="M67" s="270" t="e">
        <f t="array" ref="M67">IF(AND(M$2&lt;&gt;0,#REF!&gt;=M$2),1,0)</f>
        <v>#REF!</v>
      </c>
      <c r="N67" s="270" t="e">
        <f t="array" ref="N67">IF(AND(N$2&lt;&gt;0,#REF!&gt;=N$2),1,0)</f>
        <v>#REF!</v>
      </c>
      <c r="O67" s="270" t="e">
        <f t="array" ref="O67">IF(AND(O$2&lt;&gt;0,#REF!&gt;=O$2),1,0)</f>
        <v>#REF!</v>
      </c>
      <c r="P67" s="270" t="e">
        <f t="array" ref="P67">IF(AND(P$2&lt;&gt;0,#REF!&gt;=P$2),1,0)</f>
        <v>#REF!</v>
      </c>
      <c r="Q67" s="270" t="e">
        <f t="array" ref="Q67">IF(AND(Q$2&lt;&gt;0,#REF!&gt;=Q$2),1,0)</f>
        <v>#REF!</v>
      </c>
      <c r="R67" s="270" t="e">
        <f t="array" ref="R67">IF(AND(R$2&lt;&gt;0,#REF!&gt;=R$2),1,0)</f>
        <v>#REF!</v>
      </c>
      <c r="S67" s="270" t="e">
        <f t="array" ref="S67">IF(AND(S$2&lt;&gt;0,#REF!&gt;=S$2),1,0)</f>
        <v>#REF!</v>
      </c>
      <c r="T67" s="270" t="e">
        <f t="array" ref="T67">IF(AND(T$2&lt;&gt;0,#REF!&gt;=T$2),1,0)</f>
        <v>#REF!</v>
      </c>
      <c r="U67" s="270" t="e">
        <f t="array" ref="U67">IF(AND(U$2&lt;&gt;0,#REF!&gt;=U$2),1,0)</f>
        <v>#REF!</v>
      </c>
      <c r="V67" s="270" t="e">
        <f t="array" ref="V67">IF(AND(V$2&lt;&gt;0,#REF!&gt;=V$2),1,0)</f>
        <v>#REF!</v>
      </c>
      <c r="W67" s="270" t="e">
        <f t="array" ref="W67">IF(AND(W$2&lt;&gt;0,#REF!&gt;=W$2),1,0)</f>
        <v>#REF!</v>
      </c>
      <c r="X67" s="270" t="e">
        <f t="array" ref="X67">IF(AND(X$2&lt;&gt;0,#REF!&gt;=X$2),1,0)</f>
        <v>#REF!</v>
      </c>
      <c r="Y67" s="270" t="e">
        <f t="array" ref="Y67">IF(AND(Y$2&lt;&gt;0,#REF!&gt;=Y$2),1,0)</f>
        <v>#REF!</v>
      </c>
      <c r="Z67" s="270" t="e">
        <f t="array" ref="Z67">IF(AND(Z$2&lt;&gt;0,#REF!&gt;=Z$2),1,0)</f>
        <v>#REF!</v>
      </c>
      <c r="AA67" s="270" t="e">
        <f t="array" ref="AA67">IF(AND(AA$2&lt;&gt;0,#REF!&gt;=AA$2),1,0)</f>
        <v>#REF!</v>
      </c>
      <c r="AB67" s="270" t="e">
        <f t="array" ref="AB67">IF(AND(AB$2&lt;&gt;0,#REF!&gt;=AB$2),1,0)</f>
        <v>#REF!</v>
      </c>
      <c r="AC67" s="270" t="e">
        <f t="array" ref="AC67">IF(AND(AC$2&lt;&gt;0,#REF!&gt;=AC$2),1,0)</f>
        <v>#REF!</v>
      </c>
      <c r="AD67" s="270" t="e">
        <f t="array" ref="AD67">IF(AND(AD$2&lt;&gt;0,#REF!&gt;=AD$2),1,0)</f>
        <v>#REF!</v>
      </c>
      <c r="AE67" s="270" t="e">
        <f t="array" ref="AE67">IF(AND(AE$2&lt;&gt;0,#REF!&gt;=AE$2),1,0)</f>
        <v>#REF!</v>
      </c>
      <c r="AF67" s="270" t="e">
        <f t="array" ref="AF67">IF(AND(AF$2&lt;&gt;0,#REF!&gt;=AF$2),1,0)</f>
        <v>#REF!</v>
      </c>
      <c r="AG67" s="270" t="e">
        <f t="array" ref="AG67">IF(AND(AG$2&lt;&gt;0,#REF!&gt;=AG$2),1,0)</f>
        <v>#REF!</v>
      </c>
      <c r="AH67" s="270" t="e">
        <f t="array" ref="AH67">IF(AND(AH$2&lt;&gt;0,#REF!&gt;=AH$2),1,0)</f>
        <v>#REF!</v>
      </c>
      <c r="AI67" s="270" t="e">
        <f t="array" ref="AI67">IF(AND(AI$2&lt;&gt;0,#REF!&gt;=AI$2),1,0)</f>
        <v>#REF!</v>
      </c>
      <c r="AJ67" s="270" t="e">
        <f t="array" ref="AJ67">IF(AND(AJ$2&lt;&gt;0,#REF!&gt;=AJ$2),1,0)</f>
        <v>#REF!</v>
      </c>
      <c r="AK67" s="270" t="e">
        <f t="array" ref="AK67">IF(AND(AK$2&lt;&gt;0,#REF!&gt;=AK$2),1,0)</f>
        <v>#REF!</v>
      </c>
      <c r="AL67" s="270" t="e">
        <f t="array" ref="AL67">IF(AND(AL$2&lt;&gt;0,#REF!&gt;=AL$2),1,0)</f>
        <v>#REF!</v>
      </c>
      <c r="AM67" s="270" t="e">
        <f t="array" ref="AM67">IF(AND(AM$2&lt;&gt;0,#REF!&gt;=AM$2),1,0)</f>
        <v>#REF!</v>
      </c>
      <c r="AN67" s="270" t="e">
        <f t="array" ref="AN67">IF(AND(AN$2&lt;&gt;0,#REF!&gt;=AN$2),1,0)</f>
        <v>#REF!</v>
      </c>
      <c r="AO67" s="270" t="e">
        <f t="array" ref="AO67">IF(AND(AO$2&lt;&gt;0,#REF!&gt;=AO$2),1,0)</f>
        <v>#REF!</v>
      </c>
      <c r="AP67" s="270" t="e">
        <f t="array" ref="AP67">IF(AND(AP$2&lt;&gt;0,#REF!&gt;=AP$2),1,0)</f>
        <v>#REF!</v>
      </c>
      <c r="AQ67" s="270" t="e">
        <f t="array" ref="AQ67">IF(AND(AQ$2&lt;&gt;0,#REF!&gt;=AQ$2),1,0)</f>
        <v>#REF!</v>
      </c>
      <c r="AR67" s="270" t="e">
        <f t="array" ref="AR67">IF(AND(AR$2&lt;&gt;0,#REF!&gt;=AR$2),1,0)</f>
        <v>#REF!</v>
      </c>
      <c r="AS67" s="270" t="e">
        <f t="array" ref="AS67">IF(AND(AS$2&lt;&gt;0,#REF!&gt;=AS$2),1,0)</f>
        <v>#REF!</v>
      </c>
      <c r="AT67" s="270" t="e">
        <f t="array" ref="AT67">IF(AND(AT$2&lt;&gt;0,#REF!&gt;=AT$2),1,0)</f>
        <v>#REF!</v>
      </c>
      <c r="AU67" s="270" t="e">
        <f t="array" ref="AU67">IF(AND(AU$2&lt;&gt;0,#REF!&gt;=AU$2),1,0)</f>
        <v>#REF!</v>
      </c>
      <c r="AV67" s="270" t="e">
        <f t="array" ref="AV67">IF(AND(AV$2&lt;&gt;0,#REF!&gt;=AV$2),1,0)</f>
        <v>#REF!</v>
      </c>
      <c r="AW67" s="270" t="e">
        <f t="array" ref="AW67">IF(AND(AW$2&lt;&gt;0,#REF!&gt;=AW$2),1,0)</f>
        <v>#REF!</v>
      </c>
      <c r="AX67" s="270" t="e">
        <f t="array" ref="AX67">IF(AND(AX$2&lt;&gt;0,#REF!&gt;=AX$2),1,0)</f>
        <v>#REF!</v>
      </c>
      <c r="AY67" s="270" t="e">
        <f t="array" ref="AY67">IF(AND(AY$2&lt;&gt;0,#REF!&gt;=AY$2),1,0)</f>
        <v>#REF!</v>
      </c>
      <c r="AZ67" s="270" t="e">
        <f t="array" ref="AZ67">IF(AND(AZ$2&lt;&gt;0,#REF!&gt;=AZ$2),1,0)</f>
        <v>#REF!</v>
      </c>
      <c r="BA67" s="270" t="e">
        <f t="array" ref="BA67">IF(AND(BA$2&lt;&gt;0,#REF!&gt;=BA$2),1,0)</f>
        <v>#REF!</v>
      </c>
      <c r="BB67" s="270" t="e">
        <f t="array" ref="BB67">IF(AND(BB$2&lt;&gt;0,#REF!&gt;=BB$2),1,0)</f>
        <v>#REF!</v>
      </c>
      <c r="BC67" s="270" t="e">
        <f t="array" ref="BC67">IF(AND(BC$2&lt;&gt;0,#REF!&gt;=BC$2),1,0)</f>
        <v>#REF!</v>
      </c>
      <c r="BD67" s="270" t="e">
        <f t="array" ref="BD67">IF(AND(BD$2&lt;&gt;0,#REF!&gt;=BD$2),1,0)</f>
        <v>#REF!</v>
      </c>
      <c r="BE67" s="270" t="e">
        <f t="array" ref="BE67">IF(AND(BE$2&lt;&gt;0,#REF!&gt;=BE$2),1,0)</f>
        <v>#REF!</v>
      </c>
      <c r="BF67" s="270" t="e">
        <f t="array" ref="BF67">IF(AND(BF$2&lt;&gt;0,#REF!&gt;=BF$2),1,0)</f>
        <v>#REF!</v>
      </c>
      <c r="BG67" s="270" t="e">
        <f t="array" ref="BG67">IF(AND(BG$2&lt;&gt;0,#REF!&gt;=BG$2),1,0)</f>
        <v>#REF!</v>
      </c>
      <c r="BH67" s="270" t="e">
        <f t="array" ref="BH67">IF(AND(BH$2&lt;&gt;0,#REF!&gt;=BH$2),1,0)</f>
        <v>#REF!</v>
      </c>
      <c r="BI67" s="270" t="e">
        <f t="array" ref="BI67">IF(AND(BI$2&lt;&gt;0,#REF!&gt;=BI$2),1,0)</f>
        <v>#REF!</v>
      </c>
      <c r="BJ67" s="270" t="e">
        <f t="array" ref="BJ67">IF(AND(BJ$2&lt;&gt;0,#REF!&gt;=BJ$2),1,0)</f>
        <v>#REF!</v>
      </c>
      <c r="BK67" s="270" t="e">
        <f t="array" ref="BK67">IF(AND(BK$2&lt;&gt;0,#REF!&gt;=BK$2),1,0)</f>
        <v>#REF!</v>
      </c>
      <c r="BL67" s="270" t="e">
        <f t="array" ref="BL67">IF(AND(BL$2&lt;&gt;0,#REF!&gt;=BL$2),1,0)</f>
        <v>#REF!</v>
      </c>
      <c r="BM67" s="270" t="e">
        <f t="array" ref="BM67">IF(AND(BM$2&lt;&gt;0,#REF!&gt;=BM$2),1,0)</f>
        <v>#REF!</v>
      </c>
      <c r="BN67" s="270" t="e">
        <f t="array" ref="BN67">IF(AND(BN$2&lt;&gt;0,#REF!&gt;=BN$2),1,0)</f>
        <v>#REF!</v>
      </c>
      <c r="BO67" s="270" t="e">
        <f t="array" ref="BO67">IF(AND(BO$2&lt;&gt;0,#REF!&gt;=BO$2),1,0)</f>
        <v>#REF!</v>
      </c>
      <c r="BP67" s="270" t="e">
        <f t="array" ref="BP67">IF(AND(BP$2&lt;&gt;0,#REF!&gt;=BP$2),1,0)</f>
        <v>#REF!</v>
      </c>
      <c r="BQ67" s="270" t="e">
        <f t="array" ref="BQ67">IF(AND(BQ$2&lt;&gt;0,#REF!&gt;=BQ$2),1,0)</f>
        <v>#REF!</v>
      </c>
      <c r="BR67" s="270" t="e">
        <f t="array" ref="BR67">IF(AND(BR$2&lt;&gt;0,#REF!&gt;=BR$2),1,0)</f>
        <v>#REF!</v>
      </c>
      <c r="BS67" s="270" t="e">
        <f t="array" ref="BS67">IF(AND(BS$2&lt;&gt;0,#REF!&gt;=BS$2),1,0)</f>
        <v>#REF!</v>
      </c>
      <c r="BT67" s="270" t="e">
        <f t="array" ref="BT67">IF(AND(BT$2&lt;&gt;0,#REF!&gt;=BT$2),1,0)</f>
        <v>#REF!</v>
      </c>
      <c r="BU67" s="270" t="e">
        <f t="array" ref="BU67">IF(AND(BU$2&lt;&gt;0,#REF!&gt;=BU$2),1,0)</f>
        <v>#REF!</v>
      </c>
      <c r="BV67" s="270" t="e">
        <f t="array" ref="BV67">IF(AND(BV$2&lt;&gt;0,#REF!&gt;=BV$2),1,0)</f>
        <v>#REF!</v>
      </c>
      <c r="BW67" s="270" t="e">
        <f t="array" ref="BW67">IF(AND(BW$2&lt;&gt;0,#REF!&gt;=BW$2),1,0)</f>
        <v>#REF!</v>
      </c>
      <c r="BX67" s="270" t="e">
        <f t="array" ref="BX67">IF(AND(BX$2&lt;&gt;0,#REF!&gt;=BX$2),1,0)</f>
        <v>#REF!</v>
      </c>
      <c r="BY67" s="270" t="e">
        <f t="array" ref="BY67">IF(AND(BY$2&lt;&gt;0,#REF!&gt;=BY$2),1,0)</f>
        <v>#REF!</v>
      </c>
      <c r="BZ67" s="270" t="e">
        <f t="array" ref="BZ67">IF(AND(BZ$2&lt;&gt;0,#REF!&gt;=BZ$2),1,0)</f>
        <v>#REF!</v>
      </c>
      <c r="CA67" s="359">
        <f>IFERROR(INDEX($H$4:$H$79,MATCH(INDEX(#REF!,1,MATCH(#REF!,$M$2:$BZ$2,0)),$G$4:$G$79,0)),)</f>
        <v>0</v>
      </c>
    </row>
    <row r="68" spans="1:79" x14ac:dyDescent="0.25">
      <c r="A68" s="262" t="e">
        <f>#REF!</f>
        <v>#REF!</v>
      </c>
      <c r="B68" s="263" t="e">
        <f>#REF!</f>
        <v>#REF!</v>
      </c>
      <c r="C68" s="264" t="e">
        <f>#REF!</f>
        <v>#REF!</v>
      </c>
      <c r="D68" s="264" t="e">
        <f>#REF!</f>
        <v>#REF!</v>
      </c>
      <c r="E68" s="265"/>
      <c r="F68" s="266"/>
      <c r="G68" s="267" t="s">
        <v>613</v>
      </c>
      <c r="H68" s="268" t="s">
        <v>732</v>
      </c>
      <c r="I68" s="267" t="s">
        <v>614</v>
      </c>
      <c r="J68" s="263"/>
      <c r="K68" s="89" t="e">
        <f ca="1">IF(#REF!&lt;&gt;OFFSET(#REF!,-1,0),1,0)</f>
        <v>#REF!</v>
      </c>
      <c r="L68" s="269" t="e">
        <f>COUNTIF(#REF!,1)</f>
        <v>#REF!</v>
      </c>
      <c r="M68" s="270" t="e">
        <f t="array" ref="M68">IF(AND(M$2&lt;&gt;0,#REF!&gt;=M$2),1,0)</f>
        <v>#REF!</v>
      </c>
      <c r="N68" s="270" t="e">
        <f t="array" ref="N68">IF(AND(N$2&lt;&gt;0,#REF!&gt;=N$2),1,0)</f>
        <v>#REF!</v>
      </c>
      <c r="O68" s="270" t="e">
        <f t="array" ref="O68">IF(AND(O$2&lt;&gt;0,#REF!&gt;=O$2),1,0)</f>
        <v>#REF!</v>
      </c>
      <c r="P68" s="270" t="e">
        <f t="array" ref="P68">IF(AND(P$2&lt;&gt;0,#REF!&gt;=P$2),1,0)</f>
        <v>#REF!</v>
      </c>
      <c r="Q68" s="270" t="e">
        <f t="array" ref="Q68">IF(AND(Q$2&lt;&gt;0,#REF!&gt;=Q$2),1,0)</f>
        <v>#REF!</v>
      </c>
      <c r="R68" s="270" t="e">
        <f t="array" ref="R68">IF(AND(R$2&lt;&gt;0,#REF!&gt;=R$2),1,0)</f>
        <v>#REF!</v>
      </c>
      <c r="S68" s="270" t="e">
        <f t="array" ref="S68">IF(AND(S$2&lt;&gt;0,#REF!&gt;=S$2),1,0)</f>
        <v>#REF!</v>
      </c>
      <c r="T68" s="270" t="e">
        <f t="array" ref="T68">IF(AND(T$2&lt;&gt;0,#REF!&gt;=T$2),1,0)</f>
        <v>#REF!</v>
      </c>
      <c r="U68" s="270" t="e">
        <f t="array" ref="U68">IF(AND(U$2&lt;&gt;0,#REF!&gt;=U$2),1,0)</f>
        <v>#REF!</v>
      </c>
      <c r="V68" s="270" t="e">
        <f t="array" ref="V68">IF(AND(V$2&lt;&gt;0,#REF!&gt;=V$2),1,0)</f>
        <v>#REF!</v>
      </c>
      <c r="W68" s="270" t="e">
        <f t="array" ref="W68">IF(AND(W$2&lt;&gt;0,#REF!&gt;=W$2),1,0)</f>
        <v>#REF!</v>
      </c>
      <c r="X68" s="270" t="e">
        <f t="array" ref="X68">IF(AND(X$2&lt;&gt;0,#REF!&gt;=X$2),1,0)</f>
        <v>#REF!</v>
      </c>
      <c r="Y68" s="270" t="e">
        <f t="array" ref="Y68">IF(AND(Y$2&lt;&gt;0,#REF!&gt;=Y$2),1,0)</f>
        <v>#REF!</v>
      </c>
      <c r="Z68" s="270" t="e">
        <f t="array" ref="Z68">IF(AND(Z$2&lt;&gt;0,#REF!&gt;=Z$2),1,0)</f>
        <v>#REF!</v>
      </c>
      <c r="AA68" s="270" t="e">
        <f t="array" ref="AA68">IF(AND(AA$2&lt;&gt;0,#REF!&gt;=AA$2),1,0)</f>
        <v>#REF!</v>
      </c>
      <c r="AB68" s="270" t="e">
        <f t="array" ref="AB68">IF(AND(AB$2&lt;&gt;0,#REF!&gt;=AB$2),1,0)</f>
        <v>#REF!</v>
      </c>
      <c r="AC68" s="270" t="e">
        <f t="array" ref="AC68">IF(AND(AC$2&lt;&gt;0,#REF!&gt;=AC$2),1,0)</f>
        <v>#REF!</v>
      </c>
      <c r="AD68" s="270" t="e">
        <f t="array" ref="AD68">IF(AND(AD$2&lt;&gt;0,#REF!&gt;=AD$2),1,0)</f>
        <v>#REF!</v>
      </c>
      <c r="AE68" s="270" t="e">
        <f t="array" ref="AE68">IF(AND(AE$2&lt;&gt;0,#REF!&gt;=AE$2),1,0)</f>
        <v>#REF!</v>
      </c>
      <c r="AF68" s="270" t="e">
        <f t="array" ref="AF68">IF(AND(AF$2&lt;&gt;0,#REF!&gt;=AF$2),1,0)</f>
        <v>#REF!</v>
      </c>
      <c r="AG68" s="270" t="e">
        <f t="array" ref="AG68">IF(AND(AG$2&lt;&gt;0,#REF!&gt;=AG$2),1,0)</f>
        <v>#REF!</v>
      </c>
      <c r="AH68" s="270" t="e">
        <f t="array" ref="AH68">IF(AND(AH$2&lt;&gt;0,#REF!&gt;=AH$2),1,0)</f>
        <v>#REF!</v>
      </c>
      <c r="AI68" s="270" t="e">
        <f t="array" ref="AI68">IF(AND(AI$2&lt;&gt;0,#REF!&gt;=AI$2),1,0)</f>
        <v>#REF!</v>
      </c>
      <c r="AJ68" s="270" t="e">
        <f t="array" ref="AJ68">IF(AND(AJ$2&lt;&gt;0,#REF!&gt;=AJ$2),1,0)</f>
        <v>#REF!</v>
      </c>
      <c r="AK68" s="270" t="e">
        <f t="array" ref="AK68">IF(AND(AK$2&lt;&gt;0,#REF!&gt;=AK$2),1,0)</f>
        <v>#REF!</v>
      </c>
      <c r="AL68" s="270" t="e">
        <f t="array" ref="AL68">IF(AND(AL$2&lt;&gt;0,#REF!&gt;=AL$2),1,0)</f>
        <v>#REF!</v>
      </c>
      <c r="AM68" s="270" t="e">
        <f t="array" ref="AM68">IF(AND(AM$2&lt;&gt;0,#REF!&gt;=AM$2),1,0)</f>
        <v>#REF!</v>
      </c>
      <c r="AN68" s="270" t="e">
        <f t="array" ref="AN68">IF(AND(AN$2&lt;&gt;0,#REF!&gt;=AN$2),1,0)</f>
        <v>#REF!</v>
      </c>
      <c r="AO68" s="270" t="e">
        <f t="array" ref="AO68">IF(AND(AO$2&lt;&gt;0,#REF!&gt;=AO$2),1,0)</f>
        <v>#REF!</v>
      </c>
      <c r="AP68" s="270" t="e">
        <f t="array" ref="AP68">IF(AND(AP$2&lt;&gt;0,#REF!&gt;=AP$2),1,0)</f>
        <v>#REF!</v>
      </c>
      <c r="AQ68" s="270" t="e">
        <f t="array" ref="AQ68">IF(AND(AQ$2&lt;&gt;0,#REF!&gt;=AQ$2),1,0)</f>
        <v>#REF!</v>
      </c>
      <c r="AR68" s="270" t="e">
        <f t="array" ref="AR68">IF(AND(AR$2&lt;&gt;0,#REF!&gt;=AR$2),1,0)</f>
        <v>#REF!</v>
      </c>
      <c r="AS68" s="270" t="e">
        <f t="array" ref="AS68">IF(AND(AS$2&lt;&gt;0,#REF!&gt;=AS$2),1,0)</f>
        <v>#REF!</v>
      </c>
      <c r="AT68" s="270" t="e">
        <f t="array" ref="AT68">IF(AND(AT$2&lt;&gt;0,#REF!&gt;=AT$2),1,0)</f>
        <v>#REF!</v>
      </c>
      <c r="AU68" s="270" t="e">
        <f t="array" ref="AU68">IF(AND(AU$2&lt;&gt;0,#REF!&gt;=AU$2),1,0)</f>
        <v>#REF!</v>
      </c>
      <c r="AV68" s="270" t="e">
        <f t="array" ref="AV68">IF(AND(AV$2&lt;&gt;0,#REF!&gt;=AV$2),1,0)</f>
        <v>#REF!</v>
      </c>
      <c r="AW68" s="270" t="e">
        <f t="array" ref="AW68">IF(AND(AW$2&lt;&gt;0,#REF!&gt;=AW$2),1,0)</f>
        <v>#REF!</v>
      </c>
      <c r="AX68" s="270" t="e">
        <f t="array" ref="AX68">IF(AND(AX$2&lt;&gt;0,#REF!&gt;=AX$2),1,0)</f>
        <v>#REF!</v>
      </c>
      <c r="AY68" s="270" t="e">
        <f t="array" ref="AY68">IF(AND(AY$2&lt;&gt;0,#REF!&gt;=AY$2),1,0)</f>
        <v>#REF!</v>
      </c>
      <c r="AZ68" s="270" t="e">
        <f t="array" ref="AZ68">IF(AND(AZ$2&lt;&gt;0,#REF!&gt;=AZ$2),1,0)</f>
        <v>#REF!</v>
      </c>
      <c r="BA68" s="270" t="e">
        <f t="array" ref="BA68">IF(AND(BA$2&lt;&gt;0,#REF!&gt;=BA$2),1,0)</f>
        <v>#REF!</v>
      </c>
      <c r="BB68" s="270" t="e">
        <f t="array" ref="BB68">IF(AND(BB$2&lt;&gt;0,#REF!&gt;=BB$2),1,0)</f>
        <v>#REF!</v>
      </c>
      <c r="BC68" s="270" t="e">
        <f t="array" ref="BC68">IF(AND(BC$2&lt;&gt;0,#REF!&gt;=BC$2),1,0)</f>
        <v>#REF!</v>
      </c>
      <c r="BD68" s="270" t="e">
        <f t="array" ref="BD68">IF(AND(BD$2&lt;&gt;0,#REF!&gt;=BD$2),1,0)</f>
        <v>#REF!</v>
      </c>
      <c r="BE68" s="270" t="e">
        <f t="array" ref="BE68">IF(AND(BE$2&lt;&gt;0,#REF!&gt;=BE$2),1,0)</f>
        <v>#REF!</v>
      </c>
      <c r="BF68" s="270" t="e">
        <f t="array" ref="BF68">IF(AND(BF$2&lt;&gt;0,#REF!&gt;=BF$2),1,0)</f>
        <v>#REF!</v>
      </c>
      <c r="BG68" s="270" t="e">
        <f t="array" ref="BG68">IF(AND(BG$2&lt;&gt;0,#REF!&gt;=BG$2),1,0)</f>
        <v>#REF!</v>
      </c>
      <c r="BH68" s="270" t="e">
        <f t="array" ref="BH68">IF(AND(BH$2&lt;&gt;0,#REF!&gt;=BH$2),1,0)</f>
        <v>#REF!</v>
      </c>
      <c r="BI68" s="270" t="e">
        <f t="array" ref="BI68">IF(AND(BI$2&lt;&gt;0,#REF!&gt;=BI$2),1,0)</f>
        <v>#REF!</v>
      </c>
      <c r="BJ68" s="270" t="e">
        <f t="array" ref="BJ68">IF(AND(BJ$2&lt;&gt;0,#REF!&gt;=BJ$2),1,0)</f>
        <v>#REF!</v>
      </c>
      <c r="BK68" s="270" t="e">
        <f t="array" ref="BK68">IF(AND(BK$2&lt;&gt;0,#REF!&gt;=BK$2),1,0)</f>
        <v>#REF!</v>
      </c>
      <c r="BL68" s="270" t="e">
        <f t="array" ref="BL68">IF(AND(BL$2&lt;&gt;0,#REF!&gt;=BL$2),1,0)</f>
        <v>#REF!</v>
      </c>
      <c r="BM68" s="270" t="e">
        <f t="array" ref="BM68">IF(AND(BM$2&lt;&gt;0,#REF!&gt;=BM$2),1,0)</f>
        <v>#REF!</v>
      </c>
      <c r="BN68" s="270" t="e">
        <f t="array" ref="BN68">IF(AND(BN$2&lt;&gt;0,#REF!&gt;=BN$2),1,0)</f>
        <v>#REF!</v>
      </c>
      <c r="BO68" s="270" t="e">
        <f t="array" ref="BO68">IF(AND(BO$2&lt;&gt;0,#REF!&gt;=BO$2),1,0)</f>
        <v>#REF!</v>
      </c>
      <c r="BP68" s="270" t="e">
        <f t="array" ref="BP68">IF(AND(BP$2&lt;&gt;0,#REF!&gt;=BP$2),1,0)</f>
        <v>#REF!</v>
      </c>
      <c r="BQ68" s="270" t="e">
        <f t="array" ref="BQ68">IF(AND(BQ$2&lt;&gt;0,#REF!&gt;=BQ$2),1,0)</f>
        <v>#REF!</v>
      </c>
      <c r="BR68" s="270" t="e">
        <f t="array" ref="BR68">IF(AND(BR$2&lt;&gt;0,#REF!&gt;=BR$2),1,0)</f>
        <v>#REF!</v>
      </c>
      <c r="BS68" s="270" t="e">
        <f t="array" ref="BS68">IF(AND(BS$2&lt;&gt;0,#REF!&gt;=BS$2),1,0)</f>
        <v>#REF!</v>
      </c>
      <c r="BT68" s="270" t="e">
        <f t="array" ref="BT68">IF(AND(BT$2&lt;&gt;0,#REF!&gt;=BT$2),1,0)</f>
        <v>#REF!</v>
      </c>
      <c r="BU68" s="270" t="e">
        <f t="array" ref="BU68">IF(AND(BU$2&lt;&gt;0,#REF!&gt;=BU$2),1,0)</f>
        <v>#REF!</v>
      </c>
      <c r="BV68" s="270" t="e">
        <f t="array" ref="BV68">IF(AND(BV$2&lt;&gt;0,#REF!&gt;=BV$2),1,0)</f>
        <v>#REF!</v>
      </c>
      <c r="BW68" s="270" t="e">
        <f t="array" ref="BW68">IF(AND(BW$2&lt;&gt;0,#REF!&gt;=BW$2),1,0)</f>
        <v>#REF!</v>
      </c>
      <c r="BX68" s="270" t="e">
        <f t="array" ref="BX68">IF(AND(BX$2&lt;&gt;0,#REF!&gt;=BX$2),1,0)</f>
        <v>#REF!</v>
      </c>
      <c r="BY68" s="270" t="e">
        <f t="array" ref="BY68">IF(AND(BY$2&lt;&gt;0,#REF!&gt;=BY$2),1,0)</f>
        <v>#REF!</v>
      </c>
      <c r="BZ68" s="270" t="e">
        <f t="array" ref="BZ68">IF(AND(BZ$2&lt;&gt;0,#REF!&gt;=BZ$2),1,0)</f>
        <v>#REF!</v>
      </c>
      <c r="CA68" s="359">
        <f>IFERROR(INDEX($H$4:$H$79,MATCH(INDEX(#REF!,1,MATCH(#REF!,$M$2:$BZ$2,0)),$G$4:$G$79,0)),)</f>
        <v>0</v>
      </c>
    </row>
    <row r="69" spans="1:79" x14ac:dyDescent="0.25">
      <c r="A69" s="262" t="e">
        <f>#REF!</f>
        <v>#REF!</v>
      </c>
      <c r="B69" s="263" t="e">
        <f>#REF!</f>
        <v>#REF!</v>
      </c>
      <c r="C69" s="264" t="e">
        <f>#REF!</f>
        <v>#REF!</v>
      </c>
      <c r="D69" s="264" t="e">
        <f>#REF!</f>
        <v>#REF!</v>
      </c>
      <c r="E69" s="265"/>
      <c r="F69" s="266"/>
      <c r="G69" s="267" t="s">
        <v>615</v>
      </c>
      <c r="H69" s="268" t="s">
        <v>733</v>
      </c>
      <c r="I69" s="267" t="s">
        <v>616</v>
      </c>
      <c r="J69" s="263"/>
      <c r="K69" s="89" t="e">
        <f ca="1">IF(#REF!&lt;&gt;OFFSET(#REF!,-1,0),1,0)</f>
        <v>#REF!</v>
      </c>
      <c r="L69" s="269" t="e">
        <f>COUNTIF(#REF!,1)</f>
        <v>#REF!</v>
      </c>
      <c r="M69" s="270" t="e">
        <f t="array" ref="M69">IF(AND(M$2&lt;&gt;0,#REF!&gt;=M$2),1,0)</f>
        <v>#REF!</v>
      </c>
      <c r="N69" s="270" t="e">
        <f t="array" ref="N69">IF(AND(N$2&lt;&gt;0,#REF!&gt;=N$2),1,0)</f>
        <v>#REF!</v>
      </c>
      <c r="O69" s="270" t="e">
        <f t="array" ref="O69">IF(AND(O$2&lt;&gt;0,#REF!&gt;=O$2),1,0)</f>
        <v>#REF!</v>
      </c>
      <c r="P69" s="270" t="e">
        <f t="array" ref="P69">IF(AND(P$2&lt;&gt;0,#REF!&gt;=P$2),1,0)</f>
        <v>#REF!</v>
      </c>
      <c r="Q69" s="270" t="e">
        <f t="array" ref="Q69">IF(AND(Q$2&lt;&gt;0,#REF!&gt;=Q$2),1,0)</f>
        <v>#REF!</v>
      </c>
      <c r="R69" s="270" t="e">
        <f t="array" ref="R69">IF(AND(R$2&lt;&gt;0,#REF!&gt;=R$2),1,0)</f>
        <v>#REF!</v>
      </c>
      <c r="S69" s="270" t="e">
        <f t="array" ref="S69">IF(AND(S$2&lt;&gt;0,#REF!&gt;=S$2),1,0)</f>
        <v>#REF!</v>
      </c>
      <c r="T69" s="270" t="e">
        <f t="array" ref="T69">IF(AND(T$2&lt;&gt;0,#REF!&gt;=T$2),1,0)</f>
        <v>#REF!</v>
      </c>
      <c r="U69" s="270" t="e">
        <f t="array" ref="U69">IF(AND(U$2&lt;&gt;0,#REF!&gt;=U$2),1,0)</f>
        <v>#REF!</v>
      </c>
      <c r="V69" s="270" t="e">
        <f t="array" ref="V69">IF(AND(V$2&lt;&gt;0,#REF!&gt;=V$2),1,0)</f>
        <v>#REF!</v>
      </c>
      <c r="W69" s="270" t="e">
        <f t="array" ref="W69">IF(AND(W$2&lt;&gt;0,#REF!&gt;=W$2),1,0)</f>
        <v>#REF!</v>
      </c>
      <c r="X69" s="270" t="e">
        <f t="array" ref="X69">IF(AND(X$2&lt;&gt;0,#REF!&gt;=X$2),1,0)</f>
        <v>#REF!</v>
      </c>
      <c r="Y69" s="270" t="e">
        <f t="array" ref="Y69">IF(AND(Y$2&lt;&gt;0,#REF!&gt;=Y$2),1,0)</f>
        <v>#REF!</v>
      </c>
      <c r="Z69" s="270" t="e">
        <f t="array" ref="Z69">IF(AND(Z$2&lt;&gt;0,#REF!&gt;=Z$2),1,0)</f>
        <v>#REF!</v>
      </c>
      <c r="AA69" s="270" t="e">
        <f t="array" ref="AA69">IF(AND(AA$2&lt;&gt;0,#REF!&gt;=AA$2),1,0)</f>
        <v>#REF!</v>
      </c>
      <c r="AB69" s="270" t="e">
        <f t="array" ref="AB69">IF(AND(AB$2&lt;&gt;0,#REF!&gt;=AB$2),1,0)</f>
        <v>#REF!</v>
      </c>
      <c r="AC69" s="270" t="e">
        <f t="array" ref="AC69">IF(AND(AC$2&lt;&gt;0,#REF!&gt;=AC$2),1,0)</f>
        <v>#REF!</v>
      </c>
      <c r="AD69" s="270" t="e">
        <f t="array" ref="AD69">IF(AND(AD$2&lt;&gt;0,#REF!&gt;=AD$2),1,0)</f>
        <v>#REF!</v>
      </c>
      <c r="AE69" s="270" t="e">
        <f t="array" ref="AE69">IF(AND(AE$2&lt;&gt;0,#REF!&gt;=AE$2),1,0)</f>
        <v>#REF!</v>
      </c>
      <c r="AF69" s="270" t="e">
        <f t="array" ref="AF69">IF(AND(AF$2&lt;&gt;0,#REF!&gt;=AF$2),1,0)</f>
        <v>#REF!</v>
      </c>
      <c r="AG69" s="270" t="e">
        <f t="array" ref="AG69">IF(AND(AG$2&lt;&gt;0,#REF!&gt;=AG$2),1,0)</f>
        <v>#REF!</v>
      </c>
      <c r="AH69" s="270" t="e">
        <f t="array" ref="AH69">IF(AND(AH$2&lt;&gt;0,#REF!&gt;=AH$2),1,0)</f>
        <v>#REF!</v>
      </c>
      <c r="AI69" s="270" t="e">
        <f t="array" ref="AI69">IF(AND(AI$2&lt;&gt;0,#REF!&gt;=AI$2),1,0)</f>
        <v>#REF!</v>
      </c>
      <c r="AJ69" s="270" t="e">
        <f t="array" ref="AJ69">IF(AND(AJ$2&lt;&gt;0,#REF!&gt;=AJ$2),1,0)</f>
        <v>#REF!</v>
      </c>
      <c r="AK69" s="270" t="e">
        <f t="array" ref="AK69">IF(AND(AK$2&lt;&gt;0,#REF!&gt;=AK$2),1,0)</f>
        <v>#REF!</v>
      </c>
      <c r="AL69" s="270" t="e">
        <f t="array" ref="AL69">IF(AND(AL$2&lt;&gt;0,#REF!&gt;=AL$2),1,0)</f>
        <v>#REF!</v>
      </c>
      <c r="AM69" s="270" t="e">
        <f t="array" ref="AM69">IF(AND(AM$2&lt;&gt;0,#REF!&gt;=AM$2),1,0)</f>
        <v>#REF!</v>
      </c>
      <c r="AN69" s="270" t="e">
        <f t="array" ref="AN69">IF(AND(AN$2&lt;&gt;0,#REF!&gt;=AN$2),1,0)</f>
        <v>#REF!</v>
      </c>
      <c r="AO69" s="270" t="e">
        <f t="array" ref="AO69">IF(AND(AO$2&lt;&gt;0,#REF!&gt;=AO$2),1,0)</f>
        <v>#REF!</v>
      </c>
      <c r="AP69" s="270" t="e">
        <f t="array" ref="AP69">IF(AND(AP$2&lt;&gt;0,#REF!&gt;=AP$2),1,0)</f>
        <v>#REF!</v>
      </c>
      <c r="AQ69" s="270" t="e">
        <f t="array" ref="AQ69">IF(AND(AQ$2&lt;&gt;0,#REF!&gt;=AQ$2),1,0)</f>
        <v>#REF!</v>
      </c>
      <c r="AR69" s="270" t="e">
        <f t="array" ref="AR69">IF(AND(AR$2&lt;&gt;0,#REF!&gt;=AR$2),1,0)</f>
        <v>#REF!</v>
      </c>
      <c r="AS69" s="270" t="e">
        <f t="array" ref="AS69">IF(AND(AS$2&lt;&gt;0,#REF!&gt;=AS$2),1,0)</f>
        <v>#REF!</v>
      </c>
      <c r="AT69" s="270" t="e">
        <f t="array" ref="AT69">IF(AND(AT$2&lt;&gt;0,#REF!&gt;=AT$2),1,0)</f>
        <v>#REF!</v>
      </c>
      <c r="AU69" s="270" t="e">
        <f t="array" ref="AU69">IF(AND(AU$2&lt;&gt;0,#REF!&gt;=AU$2),1,0)</f>
        <v>#REF!</v>
      </c>
      <c r="AV69" s="270" t="e">
        <f t="array" ref="AV69">IF(AND(AV$2&lt;&gt;0,#REF!&gt;=AV$2),1,0)</f>
        <v>#REF!</v>
      </c>
      <c r="AW69" s="270" t="e">
        <f t="array" ref="AW69">IF(AND(AW$2&lt;&gt;0,#REF!&gt;=AW$2),1,0)</f>
        <v>#REF!</v>
      </c>
      <c r="AX69" s="270" t="e">
        <f t="array" ref="AX69">IF(AND(AX$2&lt;&gt;0,#REF!&gt;=AX$2),1,0)</f>
        <v>#REF!</v>
      </c>
      <c r="AY69" s="270" t="e">
        <f t="array" ref="AY69">IF(AND(AY$2&lt;&gt;0,#REF!&gt;=AY$2),1,0)</f>
        <v>#REF!</v>
      </c>
      <c r="AZ69" s="270" t="e">
        <f t="array" ref="AZ69">IF(AND(AZ$2&lt;&gt;0,#REF!&gt;=AZ$2),1,0)</f>
        <v>#REF!</v>
      </c>
      <c r="BA69" s="270" t="e">
        <f t="array" ref="BA69">IF(AND(BA$2&lt;&gt;0,#REF!&gt;=BA$2),1,0)</f>
        <v>#REF!</v>
      </c>
      <c r="BB69" s="270" t="e">
        <f t="array" ref="BB69">IF(AND(BB$2&lt;&gt;0,#REF!&gt;=BB$2),1,0)</f>
        <v>#REF!</v>
      </c>
      <c r="BC69" s="270" t="e">
        <f t="array" ref="BC69">IF(AND(BC$2&lt;&gt;0,#REF!&gt;=BC$2),1,0)</f>
        <v>#REF!</v>
      </c>
      <c r="BD69" s="270" t="e">
        <f t="array" ref="BD69">IF(AND(BD$2&lt;&gt;0,#REF!&gt;=BD$2),1,0)</f>
        <v>#REF!</v>
      </c>
      <c r="BE69" s="270" t="e">
        <f t="array" ref="BE69">IF(AND(BE$2&lt;&gt;0,#REF!&gt;=BE$2),1,0)</f>
        <v>#REF!</v>
      </c>
      <c r="BF69" s="270" t="e">
        <f t="array" ref="BF69">IF(AND(BF$2&lt;&gt;0,#REF!&gt;=BF$2),1,0)</f>
        <v>#REF!</v>
      </c>
      <c r="BG69" s="270" t="e">
        <f t="array" ref="BG69">IF(AND(BG$2&lt;&gt;0,#REF!&gt;=BG$2),1,0)</f>
        <v>#REF!</v>
      </c>
      <c r="BH69" s="270" t="e">
        <f t="array" ref="BH69">IF(AND(BH$2&lt;&gt;0,#REF!&gt;=BH$2),1,0)</f>
        <v>#REF!</v>
      </c>
      <c r="BI69" s="270" t="e">
        <f t="array" ref="BI69">IF(AND(BI$2&lt;&gt;0,#REF!&gt;=BI$2),1,0)</f>
        <v>#REF!</v>
      </c>
      <c r="BJ69" s="270" t="e">
        <f t="array" ref="BJ69">IF(AND(BJ$2&lt;&gt;0,#REF!&gt;=BJ$2),1,0)</f>
        <v>#REF!</v>
      </c>
      <c r="BK69" s="270" t="e">
        <f t="array" ref="BK69">IF(AND(BK$2&lt;&gt;0,#REF!&gt;=BK$2),1,0)</f>
        <v>#REF!</v>
      </c>
      <c r="BL69" s="270" t="e">
        <f t="array" ref="BL69">IF(AND(BL$2&lt;&gt;0,#REF!&gt;=BL$2),1,0)</f>
        <v>#REF!</v>
      </c>
      <c r="BM69" s="270" t="e">
        <f t="array" ref="BM69">IF(AND(BM$2&lt;&gt;0,#REF!&gt;=BM$2),1,0)</f>
        <v>#REF!</v>
      </c>
      <c r="BN69" s="270" t="e">
        <f t="array" ref="BN69">IF(AND(BN$2&lt;&gt;0,#REF!&gt;=BN$2),1,0)</f>
        <v>#REF!</v>
      </c>
      <c r="BO69" s="270" t="e">
        <f t="array" ref="BO69">IF(AND(BO$2&lt;&gt;0,#REF!&gt;=BO$2),1,0)</f>
        <v>#REF!</v>
      </c>
      <c r="BP69" s="270" t="e">
        <f t="array" ref="BP69">IF(AND(BP$2&lt;&gt;0,#REF!&gt;=BP$2),1,0)</f>
        <v>#REF!</v>
      </c>
      <c r="BQ69" s="270" t="e">
        <f t="array" ref="BQ69">IF(AND(BQ$2&lt;&gt;0,#REF!&gt;=BQ$2),1,0)</f>
        <v>#REF!</v>
      </c>
      <c r="BR69" s="270" t="e">
        <f t="array" ref="BR69">IF(AND(BR$2&lt;&gt;0,#REF!&gt;=BR$2),1,0)</f>
        <v>#REF!</v>
      </c>
      <c r="BS69" s="270" t="e">
        <f t="array" ref="BS69">IF(AND(BS$2&lt;&gt;0,#REF!&gt;=BS$2),1,0)</f>
        <v>#REF!</v>
      </c>
      <c r="BT69" s="270" t="e">
        <f t="array" ref="BT69">IF(AND(BT$2&lt;&gt;0,#REF!&gt;=BT$2),1,0)</f>
        <v>#REF!</v>
      </c>
      <c r="BU69" s="270" t="e">
        <f t="array" ref="BU69">IF(AND(BU$2&lt;&gt;0,#REF!&gt;=BU$2),1,0)</f>
        <v>#REF!</v>
      </c>
      <c r="BV69" s="270" t="e">
        <f t="array" ref="BV69">IF(AND(BV$2&lt;&gt;0,#REF!&gt;=BV$2),1,0)</f>
        <v>#REF!</v>
      </c>
      <c r="BW69" s="270" t="e">
        <f t="array" ref="BW69">IF(AND(BW$2&lt;&gt;0,#REF!&gt;=BW$2),1,0)</f>
        <v>#REF!</v>
      </c>
      <c r="BX69" s="270" t="e">
        <f t="array" ref="BX69">IF(AND(BX$2&lt;&gt;0,#REF!&gt;=BX$2),1,0)</f>
        <v>#REF!</v>
      </c>
      <c r="BY69" s="270" t="e">
        <f t="array" ref="BY69">IF(AND(BY$2&lt;&gt;0,#REF!&gt;=BY$2),1,0)</f>
        <v>#REF!</v>
      </c>
      <c r="BZ69" s="270" t="e">
        <f t="array" ref="BZ69">IF(AND(BZ$2&lt;&gt;0,#REF!&gt;=BZ$2),1,0)</f>
        <v>#REF!</v>
      </c>
      <c r="CA69" s="359">
        <f>IFERROR(INDEX($H$4:$H$79,MATCH(INDEX(#REF!,1,MATCH(#REF!,$M$2:$BZ$2,0)),$G$4:$G$79,0)),)</f>
        <v>0</v>
      </c>
    </row>
    <row r="70" spans="1:79" x14ac:dyDescent="0.25">
      <c r="A70" s="262" t="e">
        <f>#REF!</f>
        <v>#REF!</v>
      </c>
      <c r="B70" s="263" t="e">
        <f>#REF!</f>
        <v>#REF!</v>
      </c>
      <c r="C70" s="264" t="e">
        <f>#REF!</f>
        <v>#REF!</v>
      </c>
      <c r="D70" s="264" t="e">
        <f>#REF!</f>
        <v>#REF!</v>
      </c>
      <c r="E70" s="265"/>
      <c r="F70" s="266"/>
      <c r="G70" s="267" t="s">
        <v>617</v>
      </c>
      <c r="H70" s="268" t="s">
        <v>734</v>
      </c>
      <c r="I70" s="267" t="s">
        <v>759</v>
      </c>
      <c r="J70" s="263"/>
      <c r="K70" s="89" t="e">
        <f ca="1">IF(#REF!&lt;&gt;OFFSET(#REF!,-1,0),1,0)</f>
        <v>#REF!</v>
      </c>
      <c r="L70" s="269" t="e">
        <f>COUNTIF(#REF!,1)</f>
        <v>#REF!</v>
      </c>
      <c r="M70" s="270" t="e">
        <f t="array" ref="M70">IF(AND(M$2&lt;&gt;0,#REF!&gt;=M$2),1,0)</f>
        <v>#REF!</v>
      </c>
      <c r="N70" s="270" t="e">
        <f t="array" ref="N70">IF(AND(N$2&lt;&gt;0,#REF!&gt;=N$2),1,0)</f>
        <v>#REF!</v>
      </c>
      <c r="O70" s="270" t="e">
        <f t="array" ref="O70">IF(AND(O$2&lt;&gt;0,#REF!&gt;=O$2),1,0)</f>
        <v>#REF!</v>
      </c>
      <c r="P70" s="270" t="e">
        <f t="array" ref="P70">IF(AND(P$2&lt;&gt;0,#REF!&gt;=P$2),1,0)</f>
        <v>#REF!</v>
      </c>
      <c r="Q70" s="270" t="e">
        <f t="array" ref="Q70">IF(AND(Q$2&lt;&gt;0,#REF!&gt;=Q$2),1,0)</f>
        <v>#REF!</v>
      </c>
      <c r="R70" s="270" t="e">
        <f t="array" ref="R70">IF(AND(R$2&lt;&gt;0,#REF!&gt;=R$2),1,0)</f>
        <v>#REF!</v>
      </c>
      <c r="S70" s="270" t="e">
        <f t="array" ref="S70">IF(AND(S$2&lt;&gt;0,#REF!&gt;=S$2),1,0)</f>
        <v>#REF!</v>
      </c>
      <c r="T70" s="270" t="e">
        <f t="array" ref="T70">IF(AND(T$2&lt;&gt;0,#REF!&gt;=T$2),1,0)</f>
        <v>#REF!</v>
      </c>
      <c r="U70" s="270" t="e">
        <f t="array" ref="U70">IF(AND(U$2&lt;&gt;0,#REF!&gt;=U$2),1,0)</f>
        <v>#REF!</v>
      </c>
      <c r="V70" s="270" t="e">
        <f t="array" ref="V70">IF(AND(V$2&lt;&gt;0,#REF!&gt;=V$2),1,0)</f>
        <v>#REF!</v>
      </c>
      <c r="W70" s="270" t="e">
        <f t="array" ref="W70">IF(AND(W$2&lt;&gt;0,#REF!&gt;=W$2),1,0)</f>
        <v>#REF!</v>
      </c>
      <c r="X70" s="270" t="e">
        <f t="array" ref="X70">IF(AND(X$2&lt;&gt;0,#REF!&gt;=X$2),1,0)</f>
        <v>#REF!</v>
      </c>
      <c r="Y70" s="270" t="e">
        <f t="array" ref="Y70">IF(AND(Y$2&lt;&gt;0,#REF!&gt;=Y$2),1,0)</f>
        <v>#REF!</v>
      </c>
      <c r="Z70" s="270" t="e">
        <f t="array" ref="Z70">IF(AND(Z$2&lt;&gt;0,#REF!&gt;=Z$2),1,0)</f>
        <v>#REF!</v>
      </c>
      <c r="AA70" s="270" t="e">
        <f t="array" ref="AA70">IF(AND(AA$2&lt;&gt;0,#REF!&gt;=AA$2),1,0)</f>
        <v>#REF!</v>
      </c>
      <c r="AB70" s="270" t="e">
        <f t="array" ref="AB70">IF(AND(AB$2&lt;&gt;0,#REF!&gt;=AB$2),1,0)</f>
        <v>#REF!</v>
      </c>
      <c r="AC70" s="270" t="e">
        <f t="array" ref="AC70">IF(AND(AC$2&lt;&gt;0,#REF!&gt;=AC$2),1,0)</f>
        <v>#REF!</v>
      </c>
      <c r="AD70" s="270" t="e">
        <f t="array" ref="AD70">IF(AND(AD$2&lt;&gt;0,#REF!&gt;=AD$2),1,0)</f>
        <v>#REF!</v>
      </c>
      <c r="AE70" s="270" t="e">
        <f t="array" ref="AE70">IF(AND(AE$2&lt;&gt;0,#REF!&gt;=AE$2),1,0)</f>
        <v>#REF!</v>
      </c>
      <c r="AF70" s="270" t="e">
        <f t="array" ref="AF70">IF(AND(AF$2&lt;&gt;0,#REF!&gt;=AF$2),1,0)</f>
        <v>#REF!</v>
      </c>
      <c r="AG70" s="270" t="e">
        <f t="array" ref="AG70">IF(AND(AG$2&lt;&gt;0,#REF!&gt;=AG$2),1,0)</f>
        <v>#REF!</v>
      </c>
      <c r="AH70" s="270" t="e">
        <f t="array" ref="AH70">IF(AND(AH$2&lt;&gt;0,#REF!&gt;=AH$2),1,0)</f>
        <v>#REF!</v>
      </c>
      <c r="AI70" s="270" t="e">
        <f t="array" ref="AI70">IF(AND(AI$2&lt;&gt;0,#REF!&gt;=AI$2),1,0)</f>
        <v>#REF!</v>
      </c>
      <c r="AJ70" s="270" t="e">
        <f t="array" ref="AJ70">IF(AND(AJ$2&lt;&gt;0,#REF!&gt;=AJ$2),1,0)</f>
        <v>#REF!</v>
      </c>
      <c r="AK70" s="270" t="e">
        <f t="array" ref="AK70">IF(AND(AK$2&lt;&gt;0,#REF!&gt;=AK$2),1,0)</f>
        <v>#REF!</v>
      </c>
      <c r="AL70" s="270" t="e">
        <f t="array" ref="AL70">IF(AND(AL$2&lt;&gt;0,#REF!&gt;=AL$2),1,0)</f>
        <v>#REF!</v>
      </c>
      <c r="AM70" s="270" t="e">
        <f t="array" ref="AM70">IF(AND(AM$2&lt;&gt;0,#REF!&gt;=AM$2),1,0)</f>
        <v>#REF!</v>
      </c>
      <c r="AN70" s="270" t="e">
        <f t="array" ref="AN70">IF(AND(AN$2&lt;&gt;0,#REF!&gt;=AN$2),1,0)</f>
        <v>#REF!</v>
      </c>
      <c r="AO70" s="270" t="e">
        <f t="array" ref="AO70">IF(AND(AO$2&lt;&gt;0,#REF!&gt;=AO$2),1,0)</f>
        <v>#REF!</v>
      </c>
      <c r="AP70" s="270" t="e">
        <f t="array" ref="AP70">IF(AND(AP$2&lt;&gt;0,#REF!&gt;=AP$2),1,0)</f>
        <v>#REF!</v>
      </c>
      <c r="AQ70" s="270" t="e">
        <f t="array" ref="AQ70">IF(AND(AQ$2&lt;&gt;0,#REF!&gt;=AQ$2),1,0)</f>
        <v>#REF!</v>
      </c>
      <c r="AR70" s="270" t="e">
        <f t="array" ref="AR70">IF(AND(AR$2&lt;&gt;0,#REF!&gt;=AR$2),1,0)</f>
        <v>#REF!</v>
      </c>
      <c r="AS70" s="270" t="e">
        <f t="array" ref="AS70">IF(AND(AS$2&lt;&gt;0,#REF!&gt;=AS$2),1,0)</f>
        <v>#REF!</v>
      </c>
      <c r="AT70" s="270" t="e">
        <f t="array" ref="AT70">IF(AND(AT$2&lt;&gt;0,#REF!&gt;=AT$2),1,0)</f>
        <v>#REF!</v>
      </c>
      <c r="AU70" s="270" t="e">
        <f t="array" ref="AU70">IF(AND(AU$2&lt;&gt;0,#REF!&gt;=AU$2),1,0)</f>
        <v>#REF!</v>
      </c>
      <c r="AV70" s="270" t="e">
        <f t="array" ref="AV70">IF(AND(AV$2&lt;&gt;0,#REF!&gt;=AV$2),1,0)</f>
        <v>#REF!</v>
      </c>
      <c r="AW70" s="270" t="e">
        <f t="array" ref="AW70">IF(AND(AW$2&lt;&gt;0,#REF!&gt;=AW$2),1,0)</f>
        <v>#REF!</v>
      </c>
      <c r="AX70" s="270" t="e">
        <f t="array" ref="AX70">IF(AND(AX$2&lt;&gt;0,#REF!&gt;=AX$2),1,0)</f>
        <v>#REF!</v>
      </c>
      <c r="AY70" s="270" t="e">
        <f t="array" ref="AY70">IF(AND(AY$2&lt;&gt;0,#REF!&gt;=AY$2),1,0)</f>
        <v>#REF!</v>
      </c>
      <c r="AZ70" s="270" t="e">
        <f t="array" ref="AZ70">IF(AND(AZ$2&lt;&gt;0,#REF!&gt;=AZ$2),1,0)</f>
        <v>#REF!</v>
      </c>
      <c r="BA70" s="270" t="e">
        <f t="array" ref="BA70">IF(AND(BA$2&lt;&gt;0,#REF!&gt;=BA$2),1,0)</f>
        <v>#REF!</v>
      </c>
      <c r="BB70" s="270" t="e">
        <f t="array" ref="BB70">IF(AND(BB$2&lt;&gt;0,#REF!&gt;=BB$2),1,0)</f>
        <v>#REF!</v>
      </c>
      <c r="BC70" s="270" t="e">
        <f t="array" ref="BC70">IF(AND(BC$2&lt;&gt;0,#REF!&gt;=BC$2),1,0)</f>
        <v>#REF!</v>
      </c>
      <c r="BD70" s="270" t="e">
        <f t="array" ref="BD70">IF(AND(BD$2&lt;&gt;0,#REF!&gt;=BD$2),1,0)</f>
        <v>#REF!</v>
      </c>
      <c r="BE70" s="270" t="e">
        <f t="array" ref="BE70">IF(AND(BE$2&lt;&gt;0,#REF!&gt;=BE$2),1,0)</f>
        <v>#REF!</v>
      </c>
      <c r="BF70" s="270" t="e">
        <f t="array" ref="BF70">IF(AND(BF$2&lt;&gt;0,#REF!&gt;=BF$2),1,0)</f>
        <v>#REF!</v>
      </c>
      <c r="BG70" s="270" t="e">
        <f t="array" ref="BG70">IF(AND(BG$2&lt;&gt;0,#REF!&gt;=BG$2),1,0)</f>
        <v>#REF!</v>
      </c>
      <c r="BH70" s="270" t="e">
        <f t="array" ref="BH70">IF(AND(BH$2&lt;&gt;0,#REF!&gt;=BH$2),1,0)</f>
        <v>#REF!</v>
      </c>
      <c r="BI70" s="270" t="e">
        <f t="array" ref="BI70">IF(AND(BI$2&lt;&gt;0,#REF!&gt;=BI$2),1,0)</f>
        <v>#REF!</v>
      </c>
      <c r="BJ70" s="270" t="e">
        <f t="array" ref="BJ70">IF(AND(BJ$2&lt;&gt;0,#REF!&gt;=BJ$2),1,0)</f>
        <v>#REF!</v>
      </c>
      <c r="BK70" s="270" t="e">
        <f t="array" ref="BK70">IF(AND(BK$2&lt;&gt;0,#REF!&gt;=BK$2),1,0)</f>
        <v>#REF!</v>
      </c>
      <c r="BL70" s="270" t="e">
        <f t="array" ref="BL70">IF(AND(BL$2&lt;&gt;0,#REF!&gt;=BL$2),1,0)</f>
        <v>#REF!</v>
      </c>
      <c r="BM70" s="270" t="e">
        <f t="array" ref="BM70">IF(AND(BM$2&lt;&gt;0,#REF!&gt;=BM$2),1,0)</f>
        <v>#REF!</v>
      </c>
      <c r="BN70" s="270" t="e">
        <f t="array" ref="BN70">IF(AND(BN$2&lt;&gt;0,#REF!&gt;=BN$2),1,0)</f>
        <v>#REF!</v>
      </c>
      <c r="BO70" s="270" t="e">
        <f t="array" ref="BO70">IF(AND(BO$2&lt;&gt;0,#REF!&gt;=BO$2),1,0)</f>
        <v>#REF!</v>
      </c>
      <c r="BP70" s="270" t="e">
        <f t="array" ref="BP70">IF(AND(BP$2&lt;&gt;0,#REF!&gt;=BP$2),1,0)</f>
        <v>#REF!</v>
      </c>
      <c r="BQ70" s="270" t="e">
        <f t="array" ref="BQ70">IF(AND(BQ$2&lt;&gt;0,#REF!&gt;=BQ$2),1,0)</f>
        <v>#REF!</v>
      </c>
      <c r="BR70" s="270" t="e">
        <f t="array" ref="BR70">IF(AND(BR$2&lt;&gt;0,#REF!&gt;=BR$2),1,0)</f>
        <v>#REF!</v>
      </c>
      <c r="BS70" s="270" t="e">
        <f t="array" ref="BS70">IF(AND(BS$2&lt;&gt;0,#REF!&gt;=BS$2),1,0)</f>
        <v>#REF!</v>
      </c>
      <c r="BT70" s="270" t="e">
        <f t="array" ref="BT70">IF(AND(BT$2&lt;&gt;0,#REF!&gt;=BT$2),1,0)</f>
        <v>#REF!</v>
      </c>
      <c r="BU70" s="270" t="e">
        <f t="array" ref="BU70">IF(AND(BU$2&lt;&gt;0,#REF!&gt;=BU$2),1,0)</f>
        <v>#REF!</v>
      </c>
      <c r="BV70" s="270" t="e">
        <f t="array" ref="BV70">IF(AND(BV$2&lt;&gt;0,#REF!&gt;=BV$2),1,0)</f>
        <v>#REF!</v>
      </c>
      <c r="BW70" s="270" t="e">
        <f t="array" ref="BW70">IF(AND(BW$2&lt;&gt;0,#REF!&gt;=BW$2),1,0)</f>
        <v>#REF!</v>
      </c>
      <c r="BX70" s="270" t="e">
        <f t="array" ref="BX70">IF(AND(BX$2&lt;&gt;0,#REF!&gt;=BX$2),1,0)</f>
        <v>#REF!</v>
      </c>
      <c r="BY70" s="270" t="e">
        <f t="array" ref="BY70">IF(AND(BY$2&lt;&gt;0,#REF!&gt;=BY$2),1,0)</f>
        <v>#REF!</v>
      </c>
      <c r="BZ70" s="270" t="e">
        <f t="array" ref="BZ70">IF(AND(BZ$2&lt;&gt;0,#REF!&gt;=BZ$2),1,0)</f>
        <v>#REF!</v>
      </c>
      <c r="CA70" s="359">
        <f>IFERROR(INDEX($H$4:$H$79,MATCH(INDEX(#REF!,1,MATCH(#REF!,$M$2:$BZ$2,0)),$G$4:$G$79,0)),)</f>
        <v>0</v>
      </c>
    </row>
    <row r="71" spans="1:79" x14ac:dyDescent="0.25">
      <c r="A71" s="262" t="e">
        <f>#REF!</f>
        <v>#REF!</v>
      </c>
      <c r="B71" s="263" t="e">
        <f>#REF!</f>
        <v>#REF!</v>
      </c>
      <c r="C71" s="264" t="e">
        <f>#REF!</f>
        <v>#REF!</v>
      </c>
      <c r="D71" s="264" t="e">
        <f>#REF!</f>
        <v>#REF!</v>
      </c>
      <c r="E71" s="265"/>
      <c r="F71" s="266"/>
      <c r="G71" s="267"/>
      <c r="H71" s="268"/>
      <c r="I71" s="267"/>
      <c r="J71" s="263"/>
      <c r="K71" s="89" t="e">
        <f ca="1">IF(#REF!&lt;&gt;OFFSET(#REF!,-1,0),1,0)</f>
        <v>#REF!</v>
      </c>
      <c r="L71" s="269" t="e">
        <f>COUNTIF(#REF!,1)</f>
        <v>#REF!</v>
      </c>
      <c r="M71" s="270" t="e">
        <f t="array" ref="M71">IF(AND(M$2&lt;&gt;0,#REF!&gt;=M$2),1,0)</f>
        <v>#REF!</v>
      </c>
      <c r="N71" s="270" t="e">
        <f t="array" ref="N71">IF(AND(N$2&lt;&gt;0,#REF!&gt;=N$2),1,0)</f>
        <v>#REF!</v>
      </c>
      <c r="O71" s="270" t="e">
        <f t="array" ref="O71">IF(AND(O$2&lt;&gt;0,#REF!&gt;=O$2),1,0)</f>
        <v>#REF!</v>
      </c>
      <c r="P71" s="270" t="e">
        <f t="array" ref="P71">IF(AND(P$2&lt;&gt;0,#REF!&gt;=P$2),1,0)</f>
        <v>#REF!</v>
      </c>
      <c r="Q71" s="270" t="e">
        <f t="array" ref="Q71">IF(AND(Q$2&lt;&gt;0,#REF!&gt;=Q$2),1,0)</f>
        <v>#REF!</v>
      </c>
      <c r="R71" s="270" t="e">
        <f t="array" ref="R71">IF(AND(R$2&lt;&gt;0,#REF!&gt;=R$2),1,0)</f>
        <v>#REF!</v>
      </c>
      <c r="S71" s="270" t="e">
        <f t="array" ref="S71">IF(AND(S$2&lt;&gt;0,#REF!&gt;=S$2),1,0)</f>
        <v>#REF!</v>
      </c>
      <c r="T71" s="270" t="e">
        <f t="array" ref="T71">IF(AND(T$2&lt;&gt;0,#REF!&gt;=T$2),1,0)</f>
        <v>#REF!</v>
      </c>
      <c r="U71" s="270" t="e">
        <f t="array" ref="U71">IF(AND(U$2&lt;&gt;0,#REF!&gt;=U$2),1,0)</f>
        <v>#REF!</v>
      </c>
      <c r="V71" s="270" t="e">
        <f t="array" ref="V71">IF(AND(V$2&lt;&gt;0,#REF!&gt;=V$2),1,0)</f>
        <v>#REF!</v>
      </c>
      <c r="W71" s="270" t="e">
        <f t="array" ref="W71">IF(AND(W$2&lt;&gt;0,#REF!&gt;=W$2),1,0)</f>
        <v>#REF!</v>
      </c>
      <c r="X71" s="270" t="e">
        <f t="array" ref="X71">IF(AND(X$2&lt;&gt;0,#REF!&gt;=X$2),1,0)</f>
        <v>#REF!</v>
      </c>
      <c r="Y71" s="270" t="e">
        <f t="array" ref="Y71">IF(AND(Y$2&lt;&gt;0,#REF!&gt;=Y$2),1,0)</f>
        <v>#REF!</v>
      </c>
      <c r="Z71" s="270" t="e">
        <f t="array" ref="Z71">IF(AND(Z$2&lt;&gt;0,#REF!&gt;=Z$2),1,0)</f>
        <v>#REF!</v>
      </c>
      <c r="AA71" s="270" t="e">
        <f t="array" ref="AA71">IF(AND(AA$2&lt;&gt;0,#REF!&gt;=AA$2),1,0)</f>
        <v>#REF!</v>
      </c>
      <c r="AB71" s="270" t="e">
        <f t="array" ref="AB71">IF(AND(AB$2&lt;&gt;0,#REF!&gt;=AB$2),1,0)</f>
        <v>#REF!</v>
      </c>
      <c r="AC71" s="270" t="e">
        <f t="array" ref="AC71">IF(AND(AC$2&lt;&gt;0,#REF!&gt;=AC$2),1,0)</f>
        <v>#REF!</v>
      </c>
      <c r="AD71" s="270" t="e">
        <f t="array" ref="AD71">IF(AND(AD$2&lt;&gt;0,#REF!&gt;=AD$2),1,0)</f>
        <v>#REF!</v>
      </c>
      <c r="AE71" s="270" t="e">
        <f t="array" ref="AE71">IF(AND(AE$2&lt;&gt;0,#REF!&gt;=AE$2),1,0)</f>
        <v>#REF!</v>
      </c>
      <c r="AF71" s="270" t="e">
        <f t="array" ref="AF71">IF(AND(AF$2&lt;&gt;0,#REF!&gt;=AF$2),1,0)</f>
        <v>#REF!</v>
      </c>
      <c r="AG71" s="270" t="e">
        <f t="array" ref="AG71">IF(AND(AG$2&lt;&gt;0,#REF!&gt;=AG$2),1,0)</f>
        <v>#REF!</v>
      </c>
      <c r="AH71" s="270" t="e">
        <f t="array" ref="AH71">IF(AND(AH$2&lt;&gt;0,#REF!&gt;=AH$2),1,0)</f>
        <v>#REF!</v>
      </c>
      <c r="AI71" s="270" t="e">
        <f t="array" ref="AI71">IF(AND(AI$2&lt;&gt;0,#REF!&gt;=AI$2),1,0)</f>
        <v>#REF!</v>
      </c>
      <c r="AJ71" s="270" t="e">
        <f t="array" ref="AJ71">IF(AND(AJ$2&lt;&gt;0,#REF!&gt;=AJ$2),1,0)</f>
        <v>#REF!</v>
      </c>
      <c r="AK71" s="270" t="e">
        <f t="array" ref="AK71">IF(AND(AK$2&lt;&gt;0,#REF!&gt;=AK$2),1,0)</f>
        <v>#REF!</v>
      </c>
      <c r="AL71" s="270" t="e">
        <f t="array" ref="AL71">IF(AND(AL$2&lt;&gt;0,#REF!&gt;=AL$2),1,0)</f>
        <v>#REF!</v>
      </c>
      <c r="AM71" s="270" t="e">
        <f t="array" ref="AM71">IF(AND(AM$2&lt;&gt;0,#REF!&gt;=AM$2),1,0)</f>
        <v>#REF!</v>
      </c>
      <c r="AN71" s="270" t="e">
        <f t="array" ref="AN71">IF(AND(AN$2&lt;&gt;0,#REF!&gt;=AN$2),1,0)</f>
        <v>#REF!</v>
      </c>
      <c r="AO71" s="270" t="e">
        <f t="array" ref="AO71">IF(AND(AO$2&lt;&gt;0,#REF!&gt;=AO$2),1,0)</f>
        <v>#REF!</v>
      </c>
      <c r="AP71" s="270" t="e">
        <f t="array" ref="AP71">IF(AND(AP$2&lt;&gt;0,#REF!&gt;=AP$2),1,0)</f>
        <v>#REF!</v>
      </c>
      <c r="AQ71" s="270" t="e">
        <f t="array" ref="AQ71">IF(AND(AQ$2&lt;&gt;0,#REF!&gt;=AQ$2),1,0)</f>
        <v>#REF!</v>
      </c>
      <c r="AR71" s="270" t="e">
        <f t="array" ref="AR71">IF(AND(AR$2&lt;&gt;0,#REF!&gt;=AR$2),1,0)</f>
        <v>#REF!</v>
      </c>
      <c r="AS71" s="270" t="e">
        <f t="array" ref="AS71">IF(AND(AS$2&lt;&gt;0,#REF!&gt;=AS$2),1,0)</f>
        <v>#REF!</v>
      </c>
      <c r="AT71" s="270" t="e">
        <f t="array" ref="AT71">IF(AND(AT$2&lt;&gt;0,#REF!&gt;=AT$2),1,0)</f>
        <v>#REF!</v>
      </c>
      <c r="AU71" s="270" t="e">
        <f t="array" ref="AU71">IF(AND(AU$2&lt;&gt;0,#REF!&gt;=AU$2),1,0)</f>
        <v>#REF!</v>
      </c>
      <c r="AV71" s="270" t="e">
        <f t="array" ref="AV71">IF(AND(AV$2&lt;&gt;0,#REF!&gt;=AV$2),1,0)</f>
        <v>#REF!</v>
      </c>
      <c r="AW71" s="270" t="e">
        <f t="array" ref="AW71">IF(AND(AW$2&lt;&gt;0,#REF!&gt;=AW$2),1,0)</f>
        <v>#REF!</v>
      </c>
      <c r="AX71" s="270" t="e">
        <f t="array" ref="AX71">IF(AND(AX$2&lt;&gt;0,#REF!&gt;=AX$2),1,0)</f>
        <v>#REF!</v>
      </c>
      <c r="AY71" s="270" t="e">
        <f t="array" ref="AY71">IF(AND(AY$2&lt;&gt;0,#REF!&gt;=AY$2),1,0)</f>
        <v>#REF!</v>
      </c>
      <c r="AZ71" s="270" t="e">
        <f t="array" ref="AZ71">IF(AND(AZ$2&lt;&gt;0,#REF!&gt;=AZ$2),1,0)</f>
        <v>#REF!</v>
      </c>
      <c r="BA71" s="270" t="e">
        <f t="array" ref="BA71">IF(AND(BA$2&lt;&gt;0,#REF!&gt;=BA$2),1,0)</f>
        <v>#REF!</v>
      </c>
      <c r="BB71" s="270" t="e">
        <f t="array" ref="BB71">IF(AND(BB$2&lt;&gt;0,#REF!&gt;=BB$2),1,0)</f>
        <v>#REF!</v>
      </c>
      <c r="BC71" s="270" t="e">
        <f t="array" ref="BC71">IF(AND(BC$2&lt;&gt;0,#REF!&gt;=BC$2),1,0)</f>
        <v>#REF!</v>
      </c>
      <c r="BD71" s="270" t="e">
        <f t="array" ref="BD71">IF(AND(BD$2&lt;&gt;0,#REF!&gt;=BD$2),1,0)</f>
        <v>#REF!</v>
      </c>
      <c r="BE71" s="270" t="e">
        <f t="array" ref="BE71">IF(AND(BE$2&lt;&gt;0,#REF!&gt;=BE$2),1,0)</f>
        <v>#REF!</v>
      </c>
      <c r="BF71" s="270" t="e">
        <f t="array" ref="BF71">IF(AND(BF$2&lt;&gt;0,#REF!&gt;=BF$2),1,0)</f>
        <v>#REF!</v>
      </c>
      <c r="BG71" s="270" t="e">
        <f t="array" ref="BG71">IF(AND(BG$2&lt;&gt;0,#REF!&gt;=BG$2),1,0)</f>
        <v>#REF!</v>
      </c>
      <c r="BH71" s="270" t="e">
        <f t="array" ref="BH71">IF(AND(BH$2&lt;&gt;0,#REF!&gt;=BH$2),1,0)</f>
        <v>#REF!</v>
      </c>
      <c r="BI71" s="270" t="e">
        <f t="array" ref="BI71">IF(AND(BI$2&lt;&gt;0,#REF!&gt;=BI$2),1,0)</f>
        <v>#REF!</v>
      </c>
      <c r="BJ71" s="270" t="e">
        <f t="array" ref="BJ71">IF(AND(BJ$2&lt;&gt;0,#REF!&gt;=BJ$2),1,0)</f>
        <v>#REF!</v>
      </c>
      <c r="BK71" s="270" t="e">
        <f t="array" ref="BK71">IF(AND(BK$2&lt;&gt;0,#REF!&gt;=BK$2),1,0)</f>
        <v>#REF!</v>
      </c>
      <c r="BL71" s="270" t="e">
        <f t="array" ref="BL71">IF(AND(BL$2&lt;&gt;0,#REF!&gt;=BL$2),1,0)</f>
        <v>#REF!</v>
      </c>
      <c r="BM71" s="270" t="e">
        <f t="array" ref="BM71">IF(AND(BM$2&lt;&gt;0,#REF!&gt;=BM$2),1,0)</f>
        <v>#REF!</v>
      </c>
      <c r="BN71" s="270" t="e">
        <f t="array" ref="BN71">IF(AND(BN$2&lt;&gt;0,#REF!&gt;=BN$2),1,0)</f>
        <v>#REF!</v>
      </c>
      <c r="BO71" s="270" t="e">
        <f t="array" ref="BO71">IF(AND(BO$2&lt;&gt;0,#REF!&gt;=BO$2),1,0)</f>
        <v>#REF!</v>
      </c>
      <c r="BP71" s="270" t="e">
        <f t="array" ref="BP71">IF(AND(BP$2&lt;&gt;0,#REF!&gt;=BP$2),1,0)</f>
        <v>#REF!</v>
      </c>
      <c r="BQ71" s="270" t="e">
        <f t="array" ref="BQ71">IF(AND(BQ$2&lt;&gt;0,#REF!&gt;=BQ$2),1,0)</f>
        <v>#REF!</v>
      </c>
      <c r="BR71" s="270" t="e">
        <f t="array" ref="BR71">IF(AND(BR$2&lt;&gt;0,#REF!&gt;=BR$2),1,0)</f>
        <v>#REF!</v>
      </c>
      <c r="BS71" s="270" t="e">
        <f t="array" ref="BS71">IF(AND(BS$2&lt;&gt;0,#REF!&gt;=BS$2),1,0)</f>
        <v>#REF!</v>
      </c>
      <c r="BT71" s="270" t="e">
        <f t="array" ref="BT71">IF(AND(BT$2&lt;&gt;0,#REF!&gt;=BT$2),1,0)</f>
        <v>#REF!</v>
      </c>
      <c r="BU71" s="270" t="e">
        <f t="array" ref="BU71">IF(AND(BU$2&lt;&gt;0,#REF!&gt;=BU$2),1,0)</f>
        <v>#REF!</v>
      </c>
      <c r="BV71" s="270" t="e">
        <f t="array" ref="BV71">IF(AND(BV$2&lt;&gt;0,#REF!&gt;=BV$2),1,0)</f>
        <v>#REF!</v>
      </c>
      <c r="BW71" s="270" t="e">
        <f t="array" ref="BW71">IF(AND(BW$2&lt;&gt;0,#REF!&gt;=BW$2),1,0)</f>
        <v>#REF!</v>
      </c>
      <c r="BX71" s="270" t="e">
        <f t="array" ref="BX71">IF(AND(BX$2&lt;&gt;0,#REF!&gt;=BX$2),1,0)</f>
        <v>#REF!</v>
      </c>
      <c r="BY71" s="270" t="e">
        <f t="array" ref="BY71">IF(AND(BY$2&lt;&gt;0,#REF!&gt;=BY$2),1,0)</f>
        <v>#REF!</v>
      </c>
      <c r="BZ71" s="270" t="e">
        <f t="array" ref="BZ71">IF(AND(BZ$2&lt;&gt;0,#REF!&gt;=BZ$2),1,0)</f>
        <v>#REF!</v>
      </c>
      <c r="CA71" s="359">
        <f>IFERROR(INDEX($H$4:$H$79,MATCH(INDEX(#REF!,1,MATCH(#REF!,$M$2:$BZ$2,0)),$G$4:$G$79,0)),)</f>
        <v>0</v>
      </c>
    </row>
    <row r="72" spans="1:79" x14ac:dyDescent="0.25">
      <c r="A72" s="262" t="e">
        <f>#REF!</f>
        <v>#REF!</v>
      </c>
      <c r="B72" s="263" t="e">
        <f>#REF!</f>
        <v>#REF!</v>
      </c>
      <c r="C72" s="264" t="e">
        <f>#REF!</f>
        <v>#REF!</v>
      </c>
      <c r="D72" s="264" t="e">
        <f>#REF!</f>
        <v>#REF!</v>
      </c>
      <c r="E72" s="265"/>
      <c r="F72" s="266"/>
      <c r="G72" s="267" t="s">
        <v>618</v>
      </c>
      <c r="H72" s="268" t="s">
        <v>735</v>
      </c>
      <c r="I72" s="267" t="s">
        <v>619</v>
      </c>
      <c r="J72" s="263"/>
      <c r="K72" s="89" t="e">
        <f ca="1">IF(#REF!&lt;&gt;OFFSET(#REF!,-1,0),1,0)</f>
        <v>#REF!</v>
      </c>
      <c r="L72" s="269" t="e">
        <f>COUNTIF(#REF!,1)</f>
        <v>#REF!</v>
      </c>
      <c r="M72" s="270" t="e">
        <f t="array" ref="M72">IF(AND(M$2&lt;&gt;0,#REF!&gt;=M$2),1,0)</f>
        <v>#REF!</v>
      </c>
      <c r="N72" s="270" t="e">
        <f t="array" ref="N72">IF(AND(N$2&lt;&gt;0,#REF!&gt;=N$2),1,0)</f>
        <v>#REF!</v>
      </c>
      <c r="O72" s="270" t="e">
        <f t="array" ref="O72">IF(AND(O$2&lt;&gt;0,#REF!&gt;=O$2),1,0)</f>
        <v>#REF!</v>
      </c>
      <c r="P72" s="270" t="e">
        <f t="array" ref="P72">IF(AND(P$2&lt;&gt;0,#REF!&gt;=P$2),1,0)</f>
        <v>#REF!</v>
      </c>
      <c r="Q72" s="270" t="e">
        <f t="array" ref="Q72">IF(AND(Q$2&lt;&gt;0,#REF!&gt;=Q$2),1,0)</f>
        <v>#REF!</v>
      </c>
      <c r="R72" s="270" t="e">
        <f t="array" ref="R72">IF(AND(R$2&lt;&gt;0,#REF!&gt;=R$2),1,0)</f>
        <v>#REF!</v>
      </c>
      <c r="S72" s="270" t="e">
        <f t="array" ref="S72">IF(AND(S$2&lt;&gt;0,#REF!&gt;=S$2),1,0)</f>
        <v>#REF!</v>
      </c>
      <c r="T72" s="270" t="e">
        <f t="array" ref="T72">IF(AND(T$2&lt;&gt;0,#REF!&gt;=T$2),1,0)</f>
        <v>#REF!</v>
      </c>
      <c r="U72" s="270" t="e">
        <f t="array" ref="U72">IF(AND(U$2&lt;&gt;0,#REF!&gt;=U$2),1,0)</f>
        <v>#REF!</v>
      </c>
      <c r="V72" s="270" t="e">
        <f t="array" ref="V72">IF(AND(V$2&lt;&gt;0,#REF!&gt;=V$2),1,0)</f>
        <v>#REF!</v>
      </c>
      <c r="W72" s="270" t="e">
        <f t="array" ref="W72">IF(AND(W$2&lt;&gt;0,#REF!&gt;=W$2),1,0)</f>
        <v>#REF!</v>
      </c>
      <c r="X72" s="270" t="e">
        <f t="array" ref="X72">IF(AND(X$2&lt;&gt;0,#REF!&gt;=X$2),1,0)</f>
        <v>#REF!</v>
      </c>
      <c r="Y72" s="270" t="e">
        <f t="array" ref="Y72">IF(AND(Y$2&lt;&gt;0,#REF!&gt;=Y$2),1,0)</f>
        <v>#REF!</v>
      </c>
      <c r="Z72" s="270" t="e">
        <f t="array" ref="Z72">IF(AND(Z$2&lt;&gt;0,#REF!&gt;=Z$2),1,0)</f>
        <v>#REF!</v>
      </c>
      <c r="AA72" s="270" t="e">
        <f t="array" ref="AA72">IF(AND(AA$2&lt;&gt;0,#REF!&gt;=AA$2),1,0)</f>
        <v>#REF!</v>
      </c>
      <c r="AB72" s="270" t="e">
        <f t="array" ref="AB72">IF(AND(AB$2&lt;&gt;0,#REF!&gt;=AB$2),1,0)</f>
        <v>#REF!</v>
      </c>
      <c r="AC72" s="270" t="e">
        <f t="array" ref="AC72">IF(AND(AC$2&lt;&gt;0,#REF!&gt;=AC$2),1,0)</f>
        <v>#REF!</v>
      </c>
      <c r="AD72" s="270" t="e">
        <f t="array" ref="AD72">IF(AND(AD$2&lt;&gt;0,#REF!&gt;=AD$2),1,0)</f>
        <v>#REF!</v>
      </c>
      <c r="AE72" s="270" t="e">
        <f t="array" ref="AE72">IF(AND(AE$2&lt;&gt;0,#REF!&gt;=AE$2),1,0)</f>
        <v>#REF!</v>
      </c>
      <c r="AF72" s="270" t="e">
        <f t="array" ref="AF72">IF(AND(AF$2&lt;&gt;0,#REF!&gt;=AF$2),1,0)</f>
        <v>#REF!</v>
      </c>
      <c r="AG72" s="270" t="e">
        <f t="array" ref="AG72">IF(AND(AG$2&lt;&gt;0,#REF!&gt;=AG$2),1,0)</f>
        <v>#REF!</v>
      </c>
      <c r="AH72" s="270" t="e">
        <f t="array" ref="AH72">IF(AND(AH$2&lt;&gt;0,#REF!&gt;=AH$2),1,0)</f>
        <v>#REF!</v>
      </c>
      <c r="AI72" s="270" t="e">
        <f t="array" ref="AI72">IF(AND(AI$2&lt;&gt;0,#REF!&gt;=AI$2),1,0)</f>
        <v>#REF!</v>
      </c>
      <c r="AJ72" s="270" t="e">
        <f t="array" ref="AJ72">IF(AND(AJ$2&lt;&gt;0,#REF!&gt;=AJ$2),1,0)</f>
        <v>#REF!</v>
      </c>
      <c r="AK72" s="270" t="e">
        <f t="array" ref="AK72">IF(AND(AK$2&lt;&gt;0,#REF!&gt;=AK$2),1,0)</f>
        <v>#REF!</v>
      </c>
      <c r="AL72" s="270" t="e">
        <f t="array" ref="AL72">IF(AND(AL$2&lt;&gt;0,#REF!&gt;=AL$2),1,0)</f>
        <v>#REF!</v>
      </c>
      <c r="AM72" s="270" t="e">
        <f t="array" ref="AM72">IF(AND(AM$2&lt;&gt;0,#REF!&gt;=AM$2),1,0)</f>
        <v>#REF!</v>
      </c>
      <c r="AN72" s="270" t="e">
        <f t="array" ref="AN72">IF(AND(AN$2&lt;&gt;0,#REF!&gt;=AN$2),1,0)</f>
        <v>#REF!</v>
      </c>
      <c r="AO72" s="270" t="e">
        <f t="array" ref="AO72">IF(AND(AO$2&lt;&gt;0,#REF!&gt;=AO$2),1,0)</f>
        <v>#REF!</v>
      </c>
      <c r="AP72" s="270" t="e">
        <f t="array" ref="AP72">IF(AND(AP$2&lt;&gt;0,#REF!&gt;=AP$2),1,0)</f>
        <v>#REF!</v>
      </c>
      <c r="AQ72" s="270" t="e">
        <f t="array" ref="AQ72">IF(AND(AQ$2&lt;&gt;0,#REF!&gt;=AQ$2),1,0)</f>
        <v>#REF!</v>
      </c>
      <c r="AR72" s="270" t="e">
        <f t="array" ref="AR72">IF(AND(AR$2&lt;&gt;0,#REF!&gt;=AR$2),1,0)</f>
        <v>#REF!</v>
      </c>
      <c r="AS72" s="270" t="e">
        <f t="array" ref="AS72">IF(AND(AS$2&lt;&gt;0,#REF!&gt;=AS$2),1,0)</f>
        <v>#REF!</v>
      </c>
      <c r="AT72" s="270" t="e">
        <f t="array" ref="AT72">IF(AND(AT$2&lt;&gt;0,#REF!&gt;=AT$2),1,0)</f>
        <v>#REF!</v>
      </c>
      <c r="AU72" s="270" t="e">
        <f t="array" ref="AU72">IF(AND(AU$2&lt;&gt;0,#REF!&gt;=AU$2),1,0)</f>
        <v>#REF!</v>
      </c>
      <c r="AV72" s="270" t="e">
        <f t="array" ref="AV72">IF(AND(AV$2&lt;&gt;0,#REF!&gt;=AV$2),1,0)</f>
        <v>#REF!</v>
      </c>
      <c r="AW72" s="270" t="e">
        <f t="array" ref="AW72">IF(AND(AW$2&lt;&gt;0,#REF!&gt;=AW$2),1,0)</f>
        <v>#REF!</v>
      </c>
      <c r="AX72" s="270" t="e">
        <f t="array" ref="AX72">IF(AND(AX$2&lt;&gt;0,#REF!&gt;=AX$2),1,0)</f>
        <v>#REF!</v>
      </c>
      <c r="AY72" s="270" t="e">
        <f t="array" ref="AY72">IF(AND(AY$2&lt;&gt;0,#REF!&gt;=AY$2),1,0)</f>
        <v>#REF!</v>
      </c>
      <c r="AZ72" s="270" t="e">
        <f t="array" ref="AZ72">IF(AND(AZ$2&lt;&gt;0,#REF!&gt;=AZ$2),1,0)</f>
        <v>#REF!</v>
      </c>
      <c r="BA72" s="270" t="e">
        <f t="array" ref="BA72">IF(AND(BA$2&lt;&gt;0,#REF!&gt;=BA$2),1,0)</f>
        <v>#REF!</v>
      </c>
      <c r="BB72" s="270" t="e">
        <f t="array" ref="BB72">IF(AND(BB$2&lt;&gt;0,#REF!&gt;=BB$2),1,0)</f>
        <v>#REF!</v>
      </c>
      <c r="BC72" s="270" t="e">
        <f t="array" ref="BC72">IF(AND(BC$2&lt;&gt;0,#REF!&gt;=BC$2),1,0)</f>
        <v>#REF!</v>
      </c>
      <c r="BD72" s="270" t="e">
        <f t="array" ref="BD72">IF(AND(BD$2&lt;&gt;0,#REF!&gt;=BD$2),1,0)</f>
        <v>#REF!</v>
      </c>
      <c r="BE72" s="270" t="e">
        <f t="array" ref="BE72">IF(AND(BE$2&lt;&gt;0,#REF!&gt;=BE$2),1,0)</f>
        <v>#REF!</v>
      </c>
      <c r="BF72" s="270" t="e">
        <f t="array" ref="BF72">IF(AND(BF$2&lt;&gt;0,#REF!&gt;=BF$2),1,0)</f>
        <v>#REF!</v>
      </c>
      <c r="BG72" s="270" t="e">
        <f t="array" ref="BG72">IF(AND(BG$2&lt;&gt;0,#REF!&gt;=BG$2),1,0)</f>
        <v>#REF!</v>
      </c>
      <c r="BH72" s="270" t="e">
        <f t="array" ref="BH72">IF(AND(BH$2&lt;&gt;0,#REF!&gt;=BH$2),1,0)</f>
        <v>#REF!</v>
      </c>
      <c r="BI72" s="270" t="e">
        <f t="array" ref="BI72">IF(AND(BI$2&lt;&gt;0,#REF!&gt;=BI$2),1,0)</f>
        <v>#REF!</v>
      </c>
      <c r="BJ72" s="270" t="e">
        <f t="array" ref="BJ72">IF(AND(BJ$2&lt;&gt;0,#REF!&gt;=BJ$2),1,0)</f>
        <v>#REF!</v>
      </c>
      <c r="BK72" s="270" t="e">
        <f t="array" ref="BK72">IF(AND(BK$2&lt;&gt;0,#REF!&gt;=BK$2),1,0)</f>
        <v>#REF!</v>
      </c>
      <c r="BL72" s="270" t="e">
        <f t="array" ref="BL72">IF(AND(BL$2&lt;&gt;0,#REF!&gt;=BL$2),1,0)</f>
        <v>#REF!</v>
      </c>
      <c r="BM72" s="270" t="e">
        <f t="array" ref="BM72">IF(AND(BM$2&lt;&gt;0,#REF!&gt;=BM$2),1,0)</f>
        <v>#REF!</v>
      </c>
      <c r="BN72" s="270" t="e">
        <f t="array" ref="BN72">IF(AND(BN$2&lt;&gt;0,#REF!&gt;=BN$2),1,0)</f>
        <v>#REF!</v>
      </c>
      <c r="BO72" s="270" t="e">
        <f t="array" ref="BO72">IF(AND(BO$2&lt;&gt;0,#REF!&gt;=BO$2),1,0)</f>
        <v>#REF!</v>
      </c>
      <c r="BP72" s="270" t="e">
        <f t="array" ref="BP72">IF(AND(BP$2&lt;&gt;0,#REF!&gt;=BP$2),1,0)</f>
        <v>#REF!</v>
      </c>
      <c r="BQ72" s="270" t="e">
        <f t="array" ref="BQ72">IF(AND(BQ$2&lt;&gt;0,#REF!&gt;=BQ$2),1,0)</f>
        <v>#REF!</v>
      </c>
      <c r="BR72" s="270" t="e">
        <f t="array" ref="BR72">IF(AND(BR$2&lt;&gt;0,#REF!&gt;=BR$2),1,0)</f>
        <v>#REF!</v>
      </c>
      <c r="BS72" s="270" t="e">
        <f t="array" ref="BS72">IF(AND(BS$2&lt;&gt;0,#REF!&gt;=BS$2),1,0)</f>
        <v>#REF!</v>
      </c>
      <c r="BT72" s="270" t="e">
        <f t="array" ref="BT72">IF(AND(BT$2&lt;&gt;0,#REF!&gt;=BT$2),1,0)</f>
        <v>#REF!</v>
      </c>
      <c r="BU72" s="270" t="e">
        <f t="array" ref="BU72">IF(AND(BU$2&lt;&gt;0,#REF!&gt;=BU$2),1,0)</f>
        <v>#REF!</v>
      </c>
      <c r="BV72" s="270" t="e">
        <f t="array" ref="BV72">IF(AND(BV$2&lt;&gt;0,#REF!&gt;=BV$2),1,0)</f>
        <v>#REF!</v>
      </c>
      <c r="BW72" s="270" t="e">
        <f t="array" ref="BW72">IF(AND(BW$2&lt;&gt;0,#REF!&gt;=BW$2),1,0)</f>
        <v>#REF!</v>
      </c>
      <c r="BX72" s="270" t="e">
        <f t="array" ref="BX72">IF(AND(BX$2&lt;&gt;0,#REF!&gt;=BX$2),1,0)</f>
        <v>#REF!</v>
      </c>
      <c r="BY72" s="270" t="e">
        <f t="array" ref="BY72">IF(AND(BY$2&lt;&gt;0,#REF!&gt;=BY$2),1,0)</f>
        <v>#REF!</v>
      </c>
      <c r="BZ72" s="270" t="e">
        <f t="array" ref="BZ72">IF(AND(BZ$2&lt;&gt;0,#REF!&gt;=BZ$2),1,0)</f>
        <v>#REF!</v>
      </c>
      <c r="CA72" s="359">
        <f>IFERROR(INDEX($H$4:$H$79,MATCH(INDEX(#REF!,1,MATCH(#REF!,$M$2:$BZ$2,0)),$G$4:$G$79,0)),)</f>
        <v>0</v>
      </c>
    </row>
    <row r="73" spans="1:79" x14ac:dyDescent="0.25">
      <c r="A73" s="262" t="e">
        <f>#REF!</f>
        <v>#REF!</v>
      </c>
      <c r="B73" s="263" t="e">
        <f>#REF!</f>
        <v>#REF!</v>
      </c>
      <c r="C73" s="264" t="e">
        <f>#REF!</f>
        <v>#REF!</v>
      </c>
      <c r="D73" s="264" t="e">
        <f>#REF!</f>
        <v>#REF!</v>
      </c>
      <c r="E73" s="265"/>
      <c r="F73" s="266"/>
      <c r="G73" s="267" t="s">
        <v>620</v>
      </c>
      <c r="H73" s="268" t="s">
        <v>736</v>
      </c>
      <c r="I73" s="267" t="s">
        <v>556</v>
      </c>
      <c r="J73" s="263"/>
      <c r="K73" s="89" t="e">
        <f ca="1">IF(#REF!&lt;&gt;OFFSET(#REF!,-1,0),1,0)</f>
        <v>#REF!</v>
      </c>
      <c r="L73" s="269" t="e">
        <f>COUNTIF(#REF!,1)</f>
        <v>#REF!</v>
      </c>
      <c r="M73" s="270" t="e">
        <f t="array" ref="M73">IF(AND(M$2&lt;&gt;0,#REF!&gt;=M$2),1,0)</f>
        <v>#REF!</v>
      </c>
      <c r="N73" s="270" t="e">
        <f t="array" ref="N73">IF(AND(N$2&lt;&gt;0,#REF!&gt;=N$2),1,0)</f>
        <v>#REF!</v>
      </c>
      <c r="O73" s="270" t="e">
        <f t="array" ref="O73">IF(AND(O$2&lt;&gt;0,#REF!&gt;=O$2),1,0)</f>
        <v>#REF!</v>
      </c>
      <c r="P73" s="270" t="e">
        <f t="array" ref="P73">IF(AND(P$2&lt;&gt;0,#REF!&gt;=P$2),1,0)</f>
        <v>#REF!</v>
      </c>
      <c r="Q73" s="270" t="e">
        <f t="array" ref="Q73">IF(AND(Q$2&lt;&gt;0,#REF!&gt;=Q$2),1,0)</f>
        <v>#REF!</v>
      </c>
      <c r="R73" s="270" t="e">
        <f t="array" ref="R73">IF(AND(R$2&lt;&gt;0,#REF!&gt;=R$2),1,0)</f>
        <v>#REF!</v>
      </c>
      <c r="S73" s="270" t="e">
        <f t="array" ref="S73">IF(AND(S$2&lt;&gt;0,#REF!&gt;=S$2),1,0)</f>
        <v>#REF!</v>
      </c>
      <c r="T73" s="270" t="e">
        <f t="array" ref="T73">IF(AND(T$2&lt;&gt;0,#REF!&gt;=T$2),1,0)</f>
        <v>#REF!</v>
      </c>
      <c r="U73" s="270" t="e">
        <f t="array" ref="U73">IF(AND(U$2&lt;&gt;0,#REF!&gt;=U$2),1,0)</f>
        <v>#REF!</v>
      </c>
      <c r="V73" s="270" t="e">
        <f t="array" ref="V73">IF(AND(V$2&lt;&gt;0,#REF!&gt;=V$2),1,0)</f>
        <v>#REF!</v>
      </c>
      <c r="W73" s="270" t="e">
        <f t="array" ref="W73">IF(AND(W$2&lt;&gt;0,#REF!&gt;=W$2),1,0)</f>
        <v>#REF!</v>
      </c>
      <c r="X73" s="270" t="e">
        <f t="array" ref="X73">IF(AND(X$2&lt;&gt;0,#REF!&gt;=X$2),1,0)</f>
        <v>#REF!</v>
      </c>
      <c r="Y73" s="270" t="e">
        <f t="array" ref="Y73">IF(AND(Y$2&lt;&gt;0,#REF!&gt;=Y$2),1,0)</f>
        <v>#REF!</v>
      </c>
      <c r="Z73" s="270" t="e">
        <f t="array" ref="Z73">IF(AND(Z$2&lt;&gt;0,#REF!&gt;=Z$2),1,0)</f>
        <v>#REF!</v>
      </c>
      <c r="AA73" s="270" t="e">
        <f t="array" ref="AA73">IF(AND(AA$2&lt;&gt;0,#REF!&gt;=AA$2),1,0)</f>
        <v>#REF!</v>
      </c>
      <c r="AB73" s="270" t="e">
        <f t="array" ref="AB73">IF(AND(AB$2&lt;&gt;0,#REF!&gt;=AB$2),1,0)</f>
        <v>#REF!</v>
      </c>
      <c r="AC73" s="270" t="e">
        <f t="array" ref="AC73">IF(AND(AC$2&lt;&gt;0,#REF!&gt;=AC$2),1,0)</f>
        <v>#REF!</v>
      </c>
      <c r="AD73" s="270" t="e">
        <f t="array" ref="AD73">IF(AND(AD$2&lt;&gt;0,#REF!&gt;=AD$2),1,0)</f>
        <v>#REF!</v>
      </c>
      <c r="AE73" s="270" t="e">
        <f t="array" ref="AE73">IF(AND(AE$2&lt;&gt;0,#REF!&gt;=AE$2),1,0)</f>
        <v>#REF!</v>
      </c>
      <c r="AF73" s="270" t="e">
        <f t="array" ref="AF73">IF(AND(AF$2&lt;&gt;0,#REF!&gt;=AF$2),1,0)</f>
        <v>#REF!</v>
      </c>
      <c r="AG73" s="270" t="e">
        <f t="array" ref="AG73">IF(AND(AG$2&lt;&gt;0,#REF!&gt;=AG$2),1,0)</f>
        <v>#REF!</v>
      </c>
      <c r="AH73" s="270" t="e">
        <f t="array" ref="AH73">IF(AND(AH$2&lt;&gt;0,#REF!&gt;=AH$2),1,0)</f>
        <v>#REF!</v>
      </c>
      <c r="AI73" s="270" t="e">
        <f t="array" ref="AI73">IF(AND(AI$2&lt;&gt;0,#REF!&gt;=AI$2),1,0)</f>
        <v>#REF!</v>
      </c>
      <c r="AJ73" s="270" t="e">
        <f t="array" ref="AJ73">IF(AND(AJ$2&lt;&gt;0,#REF!&gt;=AJ$2),1,0)</f>
        <v>#REF!</v>
      </c>
      <c r="AK73" s="270" t="e">
        <f t="array" ref="AK73">IF(AND(AK$2&lt;&gt;0,#REF!&gt;=AK$2),1,0)</f>
        <v>#REF!</v>
      </c>
      <c r="AL73" s="270" t="e">
        <f t="array" ref="AL73">IF(AND(AL$2&lt;&gt;0,#REF!&gt;=AL$2),1,0)</f>
        <v>#REF!</v>
      </c>
      <c r="AM73" s="270" t="e">
        <f t="array" ref="AM73">IF(AND(AM$2&lt;&gt;0,#REF!&gt;=AM$2),1,0)</f>
        <v>#REF!</v>
      </c>
      <c r="AN73" s="270" t="e">
        <f t="array" ref="AN73">IF(AND(AN$2&lt;&gt;0,#REF!&gt;=AN$2),1,0)</f>
        <v>#REF!</v>
      </c>
      <c r="AO73" s="270" t="e">
        <f t="array" ref="AO73">IF(AND(AO$2&lt;&gt;0,#REF!&gt;=AO$2),1,0)</f>
        <v>#REF!</v>
      </c>
      <c r="AP73" s="270" t="e">
        <f t="array" ref="AP73">IF(AND(AP$2&lt;&gt;0,#REF!&gt;=AP$2),1,0)</f>
        <v>#REF!</v>
      </c>
      <c r="AQ73" s="270" t="e">
        <f t="array" ref="AQ73">IF(AND(AQ$2&lt;&gt;0,#REF!&gt;=AQ$2),1,0)</f>
        <v>#REF!</v>
      </c>
      <c r="AR73" s="270" t="e">
        <f t="array" ref="AR73">IF(AND(AR$2&lt;&gt;0,#REF!&gt;=AR$2),1,0)</f>
        <v>#REF!</v>
      </c>
      <c r="AS73" s="270" t="e">
        <f t="array" ref="AS73">IF(AND(AS$2&lt;&gt;0,#REF!&gt;=AS$2),1,0)</f>
        <v>#REF!</v>
      </c>
      <c r="AT73" s="270" t="e">
        <f t="array" ref="AT73">IF(AND(AT$2&lt;&gt;0,#REF!&gt;=AT$2),1,0)</f>
        <v>#REF!</v>
      </c>
      <c r="AU73" s="270" t="e">
        <f t="array" ref="AU73">IF(AND(AU$2&lt;&gt;0,#REF!&gt;=AU$2),1,0)</f>
        <v>#REF!</v>
      </c>
      <c r="AV73" s="270" t="e">
        <f t="array" ref="AV73">IF(AND(AV$2&lt;&gt;0,#REF!&gt;=AV$2),1,0)</f>
        <v>#REF!</v>
      </c>
      <c r="AW73" s="270" t="e">
        <f t="array" ref="AW73">IF(AND(AW$2&lt;&gt;0,#REF!&gt;=AW$2),1,0)</f>
        <v>#REF!</v>
      </c>
      <c r="AX73" s="270" t="e">
        <f t="array" ref="AX73">IF(AND(AX$2&lt;&gt;0,#REF!&gt;=AX$2),1,0)</f>
        <v>#REF!</v>
      </c>
      <c r="AY73" s="270" t="e">
        <f t="array" ref="AY73">IF(AND(AY$2&lt;&gt;0,#REF!&gt;=AY$2),1,0)</f>
        <v>#REF!</v>
      </c>
      <c r="AZ73" s="270" t="e">
        <f t="array" ref="AZ73">IF(AND(AZ$2&lt;&gt;0,#REF!&gt;=AZ$2),1,0)</f>
        <v>#REF!</v>
      </c>
      <c r="BA73" s="270" t="e">
        <f t="array" ref="BA73">IF(AND(BA$2&lt;&gt;0,#REF!&gt;=BA$2),1,0)</f>
        <v>#REF!</v>
      </c>
      <c r="BB73" s="270" t="e">
        <f t="array" ref="BB73">IF(AND(BB$2&lt;&gt;0,#REF!&gt;=BB$2),1,0)</f>
        <v>#REF!</v>
      </c>
      <c r="BC73" s="270" t="e">
        <f t="array" ref="BC73">IF(AND(BC$2&lt;&gt;0,#REF!&gt;=BC$2),1,0)</f>
        <v>#REF!</v>
      </c>
      <c r="BD73" s="270" t="e">
        <f t="array" ref="BD73">IF(AND(BD$2&lt;&gt;0,#REF!&gt;=BD$2),1,0)</f>
        <v>#REF!</v>
      </c>
      <c r="BE73" s="270" t="e">
        <f t="array" ref="BE73">IF(AND(BE$2&lt;&gt;0,#REF!&gt;=BE$2),1,0)</f>
        <v>#REF!</v>
      </c>
      <c r="BF73" s="270" t="e">
        <f t="array" ref="BF73">IF(AND(BF$2&lt;&gt;0,#REF!&gt;=BF$2),1,0)</f>
        <v>#REF!</v>
      </c>
      <c r="BG73" s="270" t="e">
        <f t="array" ref="BG73">IF(AND(BG$2&lt;&gt;0,#REF!&gt;=BG$2),1,0)</f>
        <v>#REF!</v>
      </c>
      <c r="BH73" s="270" t="e">
        <f t="array" ref="BH73">IF(AND(BH$2&lt;&gt;0,#REF!&gt;=BH$2),1,0)</f>
        <v>#REF!</v>
      </c>
      <c r="BI73" s="270" t="e">
        <f t="array" ref="BI73">IF(AND(BI$2&lt;&gt;0,#REF!&gt;=BI$2),1,0)</f>
        <v>#REF!</v>
      </c>
      <c r="BJ73" s="270" t="e">
        <f t="array" ref="BJ73">IF(AND(BJ$2&lt;&gt;0,#REF!&gt;=BJ$2),1,0)</f>
        <v>#REF!</v>
      </c>
      <c r="BK73" s="270" t="e">
        <f t="array" ref="BK73">IF(AND(BK$2&lt;&gt;0,#REF!&gt;=BK$2),1,0)</f>
        <v>#REF!</v>
      </c>
      <c r="BL73" s="270" t="e">
        <f t="array" ref="BL73">IF(AND(BL$2&lt;&gt;0,#REF!&gt;=BL$2),1,0)</f>
        <v>#REF!</v>
      </c>
      <c r="BM73" s="270" t="e">
        <f t="array" ref="BM73">IF(AND(BM$2&lt;&gt;0,#REF!&gt;=BM$2),1,0)</f>
        <v>#REF!</v>
      </c>
      <c r="BN73" s="270" t="e">
        <f t="array" ref="BN73">IF(AND(BN$2&lt;&gt;0,#REF!&gt;=BN$2),1,0)</f>
        <v>#REF!</v>
      </c>
      <c r="BO73" s="270" t="e">
        <f t="array" ref="BO73">IF(AND(BO$2&lt;&gt;0,#REF!&gt;=BO$2),1,0)</f>
        <v>#REF!</v>
      </c>
      <c r="BP73" s="270" t="e">
        <f t="array" ref="BP73">IF(AND(BP$2&lt;&gt;0,#REF!&gt;=BP$2),1,0)</f>
        <v>#REF!</v>
      </c>
      <c r="BQ73" s="270" t="e">
        <f t="array" ref="BQ73">IF(AND(BQ$2&lt;&gt;0,#REF!&gt;=BQ$2),1,0)</f>
        <v>#REF!</v>
      </c>
      <c r="BR73" s="270" t="e">
        <f t="array" ref="BR73">IF(AND(BR$2&lt;&gt;0,#REF!&gt;=BR$2),1,0)</f>
        <v>#REF!</v>
      </c>
      <c r="BS73" s="270" t="e">
        <f t="array" ref="BS73">IF(AND(BS$2&lt;&gt;0,#REF!&gt;=BS$2),1,0)</f>
        <v>#REF!</v>
      </c>
      <c r="BT73" s="270" t="e">
        <f t="array" ref="BT73">IF(AND(BT$2&lt;&gt;0,#REF!&gt;=BT$2),1,0)</f>
        <v>#REF!</v>
      </c>
      <c r="BU73" s="270" t="e">
        <f t="array" ref="BU73">IF(AND(BU$2&lt;&gt;0,#REF!&gt;=BU$2),1,0)</f>
        <v>#REF!</v>
      </c>
      <c r="BV73" s="270" t="e">
        <f t="array" ref="BV73">IF(AND(BV$2&lt;&gt;0,#REF!&gt;=BV$2),1,0)</f>
        <v>#REF!</v>
      </c>
      <c r="BW73" s="270" t="e">
        <f t="array" ref="BW73">IF(AND(BW$2&lt;&gt;0,#REF!&gt;=BW$2),1,0)</f>
        <v>#REF!</v>
      </c>
      <c r="BX73" s="270" t="e">
        <f t="array" ref="BX73">IF(AND(BX$2&lt;&gt;0,#REF!&gt;=BX$2),1,0)</f>
        <v>#REF!</v>
      </c>
      <c r="BY73" s="270" t="e">
        <f t="array" ref="BY73">IF(AND(BY$2&lt;&gt;0,#REF!&gt;=BY$2),1,0)</f>
        <v>#REF!</v>
      </c>
      <c r="BZ73" s="270" t="e">
        <f t="array" ref="BZ73">IF(AND(BZ$2&lt;&gt;0,#REF!&gt;=BZ$2),1,0)</f>
        <v>#REF!</v>
      </c>
      <c r="CA73" s="359">
        <f>IFERROR(INDEX($H$4:$H$79,MATCH(INDEX(#REF!,1,MATCH(#REF!,$M$2:$BZ$2,0)),$G$4:$G$79,0)),)</f>
        <v>0</v>
      </c>
    </row>
    <row r="74" spans="1:79" x14ac:dyDescent="0.25">
      <c r="A74" s="262" t="e">
        <f>#REF!</f>
        <v>#REF!</v>
      </c>
      <c r="B74" s="263" t="e">
        <f>#REF!</f>
        <v>#REF!</v>
      </c>
      <c r="C74" s="264" t="e">
        <f>#REF!</f>
        <v>#REF!</v>
      </c>
      <c r="D74" s="264" t="e">
        <f>#REF!</f>
        <v>#REF!</v>
      </c>
      <c r="E74" s="265"/>
      <c r="F74" s="266"/>
      <c r="G74" s="267" t="s">
        <v>621</v>
      </c>
      <c r="H74" s="268" t="s">
        <v>737</v>
      </c>
      <c r="I74" s="267" t="s">
        <v>760</v>
      </c>
      <c r="J74" s="263"/>
      <c r="K74" s="89" t="e">
        <f ca="1">IF(#REF!&lt;&gt;OFFSET(#REF!,-1,0),1,0)</f>
        <v>#REF!</v>
      </c>
      <c r="L74" s="269" t="e">
        <f>COUNTIF(#REF!,1)</f>
        <v>#REF!</v>
      </c>
      <c r="M74" s="270" t="e">
        <f t="array" ref="M74">IF(AND(M$2&lt;&gt;0,#REF!&gt;=M$2),1,0)</f>
        <v>#REF!</v>
      </c>
      <c r="N74" s="270" t="e">
        <f t="array" ref="N74">IF(AND(N$2&lt;&gt;0,#REF!&gt;=N$2),1,0)</f>
        <v>#REF!</v>
      </c>
      <c r="O74" s="270" t="e">
        <f t="array" ref="O74">IF(AND(O$2&lt;&gt;0,#REF!&gt;=O$2),1,0)</f>
        <v>#REF!</v>
      </c>
      <c r="P74" s="270" t="e">
        <f t="array" ref="P74">IF(AND(P$2&lt;&gt;0,#REF!&gt;=P$2),1,0)</f>
        <v>#REF!</v>
      </c>
      <c r="Q74" s="270" t="e">
        <f t="array" ref="Q74">IF(AND(Q$2&lt;&gt;0,#REF!&gt;=Q$2),1,0)</f>
        <v>#REF!</v>
      </c>
      <c r="R74" s="270" t="e">
        <f t="array" ref="R74">IF(AND(R$2&lt;&gt;0,#REF!&gt;=R$2),1,0)</f>
        <v>#REF!</v>
      </c>
      <c r="S74" s="270" t="e">
        <f t="array" ref="S74">IF(AND(S$2&lt;&gt;0,#REF!&gt;=S$2),1,0)</f>
        <v>#REF!</v>
      </c>
      <c r="T74" s="270" t="e">
        <f t="array" ref="T74">IF(AND(T$2&lt;&gt;0,#REF!&gt;=T$2),1,0)</f>
        <v>#REF!</v>
      </c>
      <c r="U74" s="270" t="e">
        <f t="array" ref="U74">IF(AND(U$2&lt;&gt;0,#REF!&gt;=U$2),1,0)</f>
        <v>#REF!</v>
      </c>
      <c r="V74" s="270" t="e">
        <f t="array" ref="V74">IF(AND(V$2&lt;&gt;0,#REF!&gt;=V$2),1,0)</f>
        <v>#REF!</v>
      </c>
      <c r="W74" s="270" t="e">
        <f t="array" ref="W74">IF(AND(W$2&lt;&gt;0,#REF!&gt;=W$2),1,0)</f>
        <v>#REF!</v>
      </c>
      <c r="X74" s="270" t="e">
        <f t="array" ref="X74">IF(AND(X$2&lt;&gt;0,#REF!&gt;=X$2),1,0)</f>
        <v>#REF!</v>
      </c>
      <c r="Y74" s="270" t="e">
        <f t="array" ref="Y74">IF(AND(Y$2&lt;&gt;0,#REF!&gt;=Y$2),1,0)</f>
        <v>#REF!</v>
      </c>
      <c r="Z74" s="270" t="e">
        <f t="array" ref="Z74">IF(AND(Z$2&lt;&gt;0,#REF!&gt;=Z$2),1,0)</f>
        <v>#REF!</v>
      </c>
      <c r="AA74" s="270" t="e">
        <f t="array" ref="AA74">IF(AND(AA$2&lt;&gt;0,#REF!&gt;=AA$2),1,0)</f>
        <v>#REF!</v>
      </c>
      <c r="AB74" s="270" t="e">
        <f t="array" ref="AB74">IF(AND(AB$2&lt;&gt;0,#REF!&gt;=AB$2),1,0)</f>
        <v>#REF!</v>
      </c>
      <c r="AC74" s="270" t="e">
        <f t="array" ref="AC74">IF(AND(AC$2&lt;&gt;0,#REF!&gt;=AC$2),1,0)</f>
        <v>#REF!</v>
      </c>
      <c r="AD74" s="270" t="e">
        <f t="array" ref="AD74">IF(AND(AD$2&lt;&gt;0,#REF!&gt;=AD$2),1,0)</f>
        <v>#REF!</v>
      </c>
      <c r="AE74" s="270" t="e">
        <f t="array" ref="AE74">IF(AND(AE$2&lt;&gt;0,#REF!&gt;=AE$2),1,0)</f>
        <v>#REF!</v>
      </c>
      <c r="AF74" s="270" t="e">
        <f t="array" ref="AF74">IF(AND(AF$2&lt;&gt;0,#REF!&gt;=AF$2),1,0)</f>
        <v>#REF!</v>
      </c>
      <c r="AG74" s="270" t="e">
        <f t="array" ref="AG74">IF(AND(AG$2&lt;&gt;0,#REF!&gt;=AG$2),1,0)</f>
        <v>#REF!</v>
      </c>
      <c r="AH74" s="270" t="e">
        <f t="array" ref="AH74">IF(AND(AH$2&lt;&gt;0,#REF!&gt;=AH$2),1,0)</f>
        <v>#REF!</v>
      </c>
      <c r="AI74" s="270" t="e">
        <f t="array" ref="AI74">IF(AND(AI$2&lt;&gt;0,#REF!&gt;=AI$2),1,0)</f>
        <v>#REF!</v>
      </c>
      <c r="AJ74" s="270" t="e">
        <f t="array" ref="AJ74">IF(AND(AJ$2&lt;&gt;0,#REF!&gt;=AJ$2),1,0)</f>
        <v>#REF!</v>
      </c>
      <c r="AK74" s="270" t="e">
        <f t="array" ref="AK74">IF(AND(AK$2&lt;&gt;0,#REF!&gt;=AK$2),1,0)</f>
        <v>#REF!</v>
      </c>
      <c r="AL74" s="270" t="e">
        <f t="array" ref="AL74">IF(AND(AL$2&lt;&gt;0,#REF!&gt;=AL$2),1,0)</f>
        <v>#REF!</v>
      </c>
      <c r="AM74" s="270" t="e">
        <f t="array" ref="AM74">IF(AND(AM$2&lt;&gt;0,#REF!&gt;=AM$2),1,0)</f>
        <v>#REF!</v>
      </c>
      <c r="AN74" s="270" t="e">
        <f t="array" ref="AN74">IF(AND(AN$2&lt;&gt;0,#REF!&gt;=AN$2),1,0)</f>
        <v>#REF!</v>
      </c>
      <c r="AO74" s="270" t="e">
        <f t="array" ref="AO74">IF(AND(AO$2&lt;&gt;0,#REF!&gt;=AO$2),1,0)</f>
        <v>#REF!</v>
      </c>
      <c r="AP74" s="270" t="e">
        <f t="array" ref="AP74">IF(AND(AP$2&lt;&gt;0,#REF!&gt;=AP$2),1,0)</f>
        <v>#REF!</v>
      </c>
      <c r="AQ74" s="270" t="e">
        <f t="array" ref="AQ74">IF(AND(AQ$2&lt;&gt;0,#REF!&gt;=AQ$2),1,0)</f>
        <v>#REF!</v>
      </c>
      <c r="AR74" s="270" t="e">
        <f t="array" ref="AR74">IF(AND(AR$2&lt;&gt;0,#REF!&gt;=AR$2),1,0)</f>
        <v>#REF!</v>
      </c>
      <c r="AS74" s="270" t="e">
        <f t="array" ref="AS74">IF(AND(AS$2&lt;&gt;0,#REF!&gt;=AS$2),1,0)</f>
        <v>#REF!</v>
      </c>
      <c r="AT74" s="270" t="e">
        <f t="array" ref="AT74">IF(AND(AT$2&lt;&gt;0,#REF!&gt;=AT$2),1,0)</f>
        <v>#REF!</v>
      </c>
      <c r="AU74" s="270" t="e">
        <f t="array" ref="AU74">IF(AND(AU$2&lt;&gt;0,#REF!&gt;=AU$2),1,0)</f>
        <v>#REF!</v>
      </c>
      <c r="AV74" s="270" t="e">
        <f t="array" ref="AV74">IF(AND(AV$2&lt;&gt;0,#REF!&gt;=AV$2),1,0)</f>
        <v>#REF!</v>
      </c>
      <c r="AW74" s="270" t="e">
        <f t="array" ref="AW74">IF(AND(AW$2&lt;&gt;0,#REF!&gt;=AW$2),1,0)</f>
        <v>#REF!</v>
      </c>
      <c r="AX74" s="270" t="e">
        <f t="array" ref="AX74">IF(AND(AX$2&lt;&gt;0,#REF!&gt;=AX$2),1,0)</f>
        <v>#REF!</v>
      </c>
      <c r="AY74" s="270" t="e">
        <f t="array" ref="AY74">IF(AND(AY$2&lt;&gt;0,#REF!&gt;=AY$2),1,0)</f>
        <v>#REF!</v>
      </c>
      <c r="AZ74" s="270" t="e">
        <f t="array" ref="AZ74">IF(AND(AZ$2&lt;&gt;0,#REF!&gt;=AZ$2),1,0)</f>
        <v>#REF!</v>
      </c>
      <c r="BA74" s="270" t="e">
        <f t="array" ref="BA74">IF(AND(BA$2&lt;&gt;0,#REF!&gt;=BA$2),1,0)</f>
        <v>#REF!</v>
      </c>
      <c r="BB74" s="270" t="e">
        <f t="array" ref="BB74">IF(AND(BB$2&lt;&gt;0,#REF!&gt;=BB$2),1,0)</f>
        <v>#REF!</v>
      </c>
      <c r="BC74" s="270" t="e">
        <f t="array" ref="BC74">IF(AND(BC$2&lt;&gt;0,#REF!&gt;=BC$2),1,0)</f>
        <v>#REF!</v>
      </c>
      <c r="BD74" s="270" t="e">
        <f t="array" ref="BD74">IF(AND(BD$2&lt;&gt;0,#REF!&gt;=BD$2),1,0)</f>
        <v>#REF!</v>
      </c>
      <c r="BE74" s="270" t="e">
        <f t="array" ref="BE74">IF(AND(BE$2&lt;&gt;0,#REF!&gt;=BE$2),1,0)</f>
        <v>#REF!</v>
      </c>
      <c r="BF74" s="270" t="e">
        <f t="array" ref="BF74">IF(AND(BF$2&lt;&gt;0,#REF!&gt;=BF$2),1,0)</f>
        <v>#REF!</v>
      </c>
      <c r="BG74" s="270" t="e">
        <f t="array" ref="BG74">IF(AND(BG$2&lt;&gt;0,#REF!&gt;=BG$2),1,0)</f>
        <v>#REF!</v>
      </c>
      <c r="BH74" s="270" t="e">
        <f t="array" ref="BH74">IF(AND(BH$2&lt;&gt;0,#REF!&gt;=BH$2),1,0)</f>
        <v>#REF!</v>
      </c>
      <c r="BI74" s="270" t="e">
        <f t="array" ref="BI74">IF(AND(BI$2&lt;&gt;0,#REF!&gt;=BI$2),1,0)</f>
        <v>#REF!</v>
      </c>
      <c r="BJ74" s="270" t="e">
        <f t="array" ref="BJ74">IF(AND(BJ$2&lt;&gt;0,#REF!&gt;=BJ$2),1,0)</f>
        <v>#REF!</v>
      </c>
      <c r="BK74" s="270" t="e">
        <f t="array" ref="BK74">IF(AND(BK$2&lt;&gt;0,#REF!&gt;=BK$2),1,0)</f>
        <v>#REF!</v>
      </c>
      <c r="BL74" s="270" t="e">
        <f t="array" ref="BL74">IF(AND(BL$2&lt;&gt;0,#REF!&gt;=BL$2),1,0)</f>
        <v>#REF!</v>
      </c>
      <c r="BM74" s="270" t="e">
        <f t="array" ref="BM74">IF(AND(BM$2&lt;&gt;0,#REF!&gt;=BM$2),1,0)</f>
        <v>#REF!</v>
      </c>
      <c r="BN74" s="270" t="e">
        <f t="array" ref="BN74">IF(AND(BN$2&lt;&gt;0,#REF!&gt;=BN$2),1,0)</f>
        <v>#REF!</v>
      </c>
      <c r="BO74" s="270" t="e">
        <f t="array" ref="BO74">IF(AND(BO$2&lt;&gt;0,#REF!&gt;=BO$2),1,0)</f>
        <v>#REF!</v>
      </c>
      <c r="BP74" s="270" t="e">
        <f t="array" ref="BP74">IF(AND(BP$2&lt;&gt;0,#REF!&gt;=BP$2),1,0)</f>
        <v>#REF!</v>
      </c>
      <c r="BQ74" s="270" t="e">
        <f t="array" ref="BQ74">IF(AND(BQ$2&lt;&gt;0,#REF!&gt;=BQ$2),1,0)</f>
        <v>#REF!</v>
      </c>
      <c r="BR74" s="270" t="e">
        <f t="array" ref="BR74">IF(AND(BR$2&lt;&gt;0,#REF!&gt;=BR$2),1,0)</f>
        <v>#REF!</v>
      </c>
      <c r="BS74" s="270" t="e">
        <f t="array" ref="BS74">IF(AND(BS$2&lt;&gt;0,#REF!&gt;=BS$2),1,0)</f>
        <v>#REF!</v>
      </c>
      <c r="BT74" s="270" t="e">
        <f t="array" ref="BT74">IF(AND(BT$2&lt;&gt;0,#REF!&gt;=BT$2),1,0)</f>
        <v>#REF!</v>
      </c>
      <c r="BU74" s="270" t="e">
        <f t="array" ref="BU74">IF(AND(BU$2&lt;&gt;0,#REF!&gt;=BU$2),1,0)</f>
        <v>#REF!</v>
      </c>
      <c r="BV74" s="270" t="e">
        <f t="array" ref="BV74">IF(AND(BV$2&lt;&gt;0,#REF!&gt;=BV$2),1,0)</f>
        <v>#REF!</v>
      </c>
      <c r="BW74" s="270" t="e">
        <f t="array" ref="BW74">IF(AND(BW$2&lt;&gt;0,#REF!&gt;=BW$2),1,0)</f>
        <v>#REF!</v>
      </c>
      <c r="BX74" s="270" t="e">
        <f t="array" ref="BX74">IF(AND(BX$2&lt;&gt;0,#REF!&gt;=BX$2),1,0)</f>
        <v>#REF!</v>
      </c>
      <c r="BY74" s="270" t="e">
        <f t="array" ref="BY74">IF(AND(BY$2&lt;&gt;0,#REF!&gt;=BY$2),1,0)</f>
        <v>#REF!</v>
      </c>
      <c r="BZ74" s="270" t="e">
        <f t="array" ref="BZ74">IF(AND(BZ$2&lt;&gt;0,#REF!&gt;=BZ$2),1,0)</f>
        <v>#REF!</v>
      </c>
      <c r="CA74" s="359">
        <f>IFERROR(INDEX($H$4:$H$79,MATCH(INDEX(#REF!,1,MATCH(#REF!,$M$2:$BZ$2,0)),$G$4:$G$79,0)),)</f>
        <v>0</v>
      </c>
    </row>
    <row r="75" spans="1:79" x14ac:dyDescent="0.25">
      <c r="A75" s="262" t="e">
        <f>#REF!</f>
        <v>#REF!</v>
      </c>
      <c r="B75" s="263" t="e">
        <f>#REF!</f>
        <v>#REF!</v>
      </c>
      <c r="C75" s="264" t="e">
        <f>#REF!</f>
        <v>#REF!</v>
      </c>
      <c r="D75" s="264" t="e">
        <f>#REF!</f>
        <v>#REF!</v>
      </c>
      <c r="E75" s="265"/>
      <c r="F75" s="266"/>
      <c r="G75" s="267"/>
      <c r="H75" s="268"/>
      <c r="I75" s="267"/>
      <c r="J75" s="263"/>
      <c r="K75" s="89" t="e">
        <f ca="1">IF(#REF!&lt;&gt;OFFSET(#REF!,-1,0),1,0)</f>
        <v>#REF!</v>
      </c>
      <c r="L75" s="269" t="e">
        <f>COUNTIF(#REF!,1)</f>
        <v>#REF!</v>
      </c>
      <c r="M75" s="270" t="e">
        <f t="array" ref="M75">IF(AND(M$2&lt;&gt;0,#REF!&gt;=M$2),1,0)</f>
        <v>#REF!</v>
      </c>
      <c r="N75" s="270" t="e">
        <f t="array" ref="N75">IF(AND(N$2&lt;&gt;0,#REF!&gt;=N$2),1,0)</f>
        <v>#REF!</v>
      </c>
      <c r="O75" s="270" t="e">
        <f t="array" ref="O75">IF(AND(O$2&lt;&gt;0,#REF!&gt;=O$2),1,0)</f>
        <v>#REF!</v>
      </c>
      <c r="P75" s="270" t="e">
        <f t="array" ref="P75">IF(AND(P$2&lt;&gt;0,#REF!&gt;=P$2),1,0)</f>
        <v>#REF!</v>
      </c>
      <c r="Q75" s="270" t="e">
        <f t="array" ref="Q75">IF(AND(Q$2&lt;&gt;0,#REF!&gt;=Q$2),1,0)</f>
        <v>#REF!</v>
      </c>
      <c r="R75" s="270" t="e">
        <f t="array" ref="R75">IF(AND(R$2&lt;&gt;0,#REF!&gt;=R$2),1,0)</f>
        <v>#REF!</v>
      </c>
      <c r="S75" s="270" t="e">
        <f t="array" ref="S75">IF(AND(S$2&lt;&gt;0,#REF!&gt;=S$2),1,0)</f>
        <v>#REF!</v>
      </c>
      <c r="T75" s="270" t="e">
        <f t="array" ref="T75">IF(AND(T$2&lt;&gt;0,#REF!&gt;=T$2),1,0)</f>
        <v>#REF!</v>
      </c>
      <c r="U75" s="270" t="e">
        <f t="array" ref="U75">IF(AND(U$2&lt;&gt;0,#REF!&gt;=U$2),1,0)</f>
        <v>#REF!</v>
      </c>
      <c r="V75" s="270" t="e">
        <f t="array" ref="V75">IF(AND(V$2&lt;&gt;0,#REF!&gt;=V$2),1,0)</f>
        <v>#REF!</v>
      </c>
      <c r="W75" s="270" t="e">
        <f t="array" ref="W75">IF(AND(W$2&lt;&gt;0,#REF!&gt;=W$2),1,0)</f>
        <v>#REF!</v>
      </c>
      <c r="X75" s="270" t="e">
        <f t="array" ref="X75">IF(AND(X$2&lt;&gt;0,#REF!&gt;=X$2),1,0)</f>
        <v>#REF!</v>
      </c>
      <c r="Y75" s="270" t="e">
        <f t="array" ref="Y75">IF(AND(Y$2&lt;&gt;0,#REF!&gt;=Y$2),1,0)</f>
        <v>#REF!</v>
      </c>
      <c r="Z75" s="270" t="e">
        <f t="array" ref="Z75">IF(AND(Z$2&lt;&gt;0,#REF!&gt;=Z$2),1,0)</f>
        <v>#REF!</v>
      </c>
      <c r="AA75" s="270" t="e">
        <f t="array" ref="AA75">IF(AND(AA$2&lt;&gt;0,#REF!&gt;=AA$2),1,0)</f>
        <v>#REF!</v>
      </c>
      <c r="AB75" s="270" t="e">
        <f t="array" ref="AB75">IF(AND(AB$2&lt;&gt;0,#REF!&gt;=AB$2),1,0)</f>
        <v>#REF!</v>
      </c>
      <c r="AC75" s="270" t="e">
        <f t="array" ref="AC75">IF(AND(AC$2&lt;&gt;0,#REF!&gt;=AC$2),1,0)</f>
        <v>#REF!</v>
      </c>
      <c r="AD75" s="270" t="e">
        <f t="array" ref="AD75">IF(AND(AD$2&lt;&gt;0,#REF!&gt;=AD$2),1,0)</f>
        <v>#REF!</v>
      </c>
      <c r="AE75" s="270" t="e">
        <f t="array" ref="AE75">IF(AND(AE$2&lt;&gt;0,#REF!&gt;=AE$2),1,0)</f>
        <v>#REF!</v>
      </c>
      <c r="AF75" s="270" t="e">
        <f t="array" ref="AF75">IF(AND(AF$2&lt;&gt;0,#REF!&gt;=AF$2),1,0)</f>
        <v>#REF!</v>
      </c>
      <c r="AG75" s="270" t="e">
        <f t="array" ref="AG75">IF(AND(AG$2&lt;&gt;0,#REF!&gt;=AG$2),1,0)</f>
        <v>#REF!</v>
      </c>
      <c r="AH75" s="270" t="e">
        <f t="array" ref="AH75">IF(AND(AH$2&lt;&gt;0,#REF!&gt;=AH$2),1,0)</f>
        <v>#REF!</v>
      </c>
      <c r="AI75" s="270" t="e">
        <f t="array" ref="AI75">IF(AND(AI$2&lt;&gt;0,#REF!&gt;=AI$2),1,0)</f>
        <v>#REF!</v>
      </c>
      <c r="AJ75" s="270" t="e">
        <f t="array" ref="AJ75">IF(AND(AJ$2&lt;&gt;0,#REF!&gt;=AJ$2),1,0)</f>
        <v>#REF!</v>
      </c>
      <c r="AK75" s="270" t="e">
        <f t="array" ref="AK75">IF(AND(AK$2&lt;&gt;0,#REF!&gt;=AK$2),1,0)</f>
        <v>#REF!</v>
      </c>
      <c r="AL75" s="270" t="e">
        <f t="array" ref="AL75">IF(AND(AL$2&lt;&gt;0,#REF!&gt;=AL$2),1,0)</f>
        <v>#REF!</v>
      </c>
      <c r="AM75" s="270" t="e">
        <f t="array" ref="AM75">IF(AND(AM$2&lt;&gt;0,#REF!&gt;=AM$2),1,0)</f>
        <v>#REF!</v>
      </c>
      <c r="AN75" s="270" t="e">
        <f t="array" ref="AN75">IF(AND(AN$2&lt;&gt;0,#REF!&gt;=AN$2),1,0)</f>
        <v>#REF!</v>
      </c>
      <c r="AO75" s="270" t="e">
        <f t="array" ref="AO75">IF(AND(AO$2&lt;&gt;0,#REF!&gt;=AO$2),1,0)</f>
        <v>#REF!</v>
      </c>
      <c r="AP75" s="270" t="e">
        <f t="array" ref="AP75">IF(AND(AP$2&lt;&gt;0,#REF!&gt;=AP$2),1,0)</f>
        <v>#REF!</v>
      </c>
      <c r="AQ75" s="270" t="e">
        <f t="array" ref="AQ75">IF(AND(AQ$2&lt;&gt;0,#REF!&gt;=AQ$2),1,0)</f>
        <v>#REF!</v>
      </c>
      <c r="AR75" s="270" t="e">
        <f t="array" ref="AR75">IF(AND(AR$2&lt;&gt;0,#REF!&gt;=AR$2),1,0)</f>
        <v>#REF!</v>
      </c>
      <c r="AS75" s="270" t="e">
        <f t="array" ref="AS75">IF(AND(AS$2&lt;&gt;0,#REF!&gt;=AS$2),1,0)</f>
        <v>#REF!</v>
      </c>
      <c r="AT75" s="270" t="e">
        <f t="array" ref="AT75">IF(AND(AT$2&lt;&gt;0,#REF!&gt;=AT$2),1,0)</f>
        <v>#REF!</v>
      </c>
      <c r="AU75" s="270" t="e">
        <f t="array" ref="AU75">IF(AND(AU$2&lt;&gt;0,#REF!&gt;=AU$2),1,0)</f>
        <v>#REF!</v>
      </c>
      <c r="AV75" s="270" t="e">
        <f t="array" ref="AV75">IF(AND(AV$2&lt;&gt;0,#REF!&gt;=AV$2),1,0)</f>
        <v>#REF!</v>
      </c>
      <c r="AW75" s="270" t="e">
        <f t="array" ref="AW75">IF(AND(AW$2&lt;&gt;0,#REF!&gt;=AW$2),1,0)</f>
        <v>#REF!</v>
      </c>
      <c r="AX75" s="270" t="e">
        <f t="array" ref="AX75">IF(AND(AX$2&lt;&gt;0,#REF!&gt;=AX$2),1,0)</f>
        <v>#REF!</v>
      </c>
      <c r="AY75" s="270" t="e">
        <f t="array" ref="AY75">IF(AND(AY$2&lt;&gt;0,#REF!&gt;=AY$2),1,0)</f>
        <v>#REF!</v>
      </c>
      <c r="AZ75" s="270" t="e">
        <f t="array" ref="AZ75">IF(AND(AZ$2&lt;&gt;0,#REF!&gt;=AZ$2),1,0)</f>
        <v>#REF!</v>
      </c>
      <c r="BA75" s="270" t="e">
        <f t="array" ref="BA75">IF(AND(BA$2&lt;&gt;0,#REF!&gt;=BA$2),1,0)</f>
        <v>#REF!</v>
      </c>
      <c r="BB75" s="270" t="e">
        <f t="array" ref="BB75">IF(AND(BB$2&lt;&gt;0,#REF!&gt;=BB$2),1,0)</f>
        <v>#REF!</v>
      </c>
      <c r="BC75" s="270" t="e">
        <f t="array" ref="BC75">IF(AND(BC$2&lt;&gt;0,#REF!&gt;=BC$2),1,0)</f>
        <v>#REF!</v>
      </c>
      <c r="BD75" s="270" t="e">
        <f t="array" ref="BD75">IF(AND(BD$2&lt;&gt;0,#REF!&gt;=BD$2),1,0)</f>
        <v>#REF!</v>
      </c>
      <c r="BE75" s="270" t="e">
        <f t="array" ref="BE75">IF(AND(BE$2&lt;&gt;0,#REF!&gt;=BE$2),1,0)</f>
        <v>#REF!</v>
      </c>
      <c r="BF75" s="270" t="e">
        <f t="array" ref="BF75">IF(AND(BF$2&lt;&gt;0,#REF!&gt;=BF$2),1,0)</f>
        <v>#REF!</v>
      </c>
      <c r="BG75" s="270" t="e">
        <f t="array" ref="BG75">IF(AND(BG$2&lt;&gt;0,#REF!&gt;=BG$2),1,0)</f>
        <v>#REF!</v>
      </c>
      <c r="BH75" s="270" t="e">
        <f t="array" ref="BH75">IF(AND(BH$2&lt;&gt;0,#REF!&gt;=BH$2),1,0)</f>
        <v>#REF!</v>
      </c>
      <c r="BI75" s="270" t="e">
        <f t="array" ref="BI75">IF(AND(BI$2&lt;&gt;0,#REF!&gt;=BI$2),1,0)</f>
        <v>#REF!</v>
      </c>
      <c r="BJ75" s="270" t="e">
        <f t="array" ref="BJ75">IF(AND(BJ$2&lt;&gt;0,#REF!&gt;=BJ$2),1,0)</f>
        <v>#REF!</v>
      </c>
      <c r="BK75" s="270" t="e">
        <f t="array" ref="BK75">IF(AND(BK$2&lt;&gt;0,#REF!&gt;=BK$2),1,0)</f>
        <v>#REF!</v>
      </c>
      <c r="BL75" s="270" t="e">
        <f t="array" ref="BL75">IF(AND(BL$2&lt;&gt;0,#REF!&gt;=BL$2),1,0)</f>
        <v>#REF!</v>
      </c>
      <c r="BM75" s="270" t="e">
        <f t="array" ref="BM75">IF(AND(BM$2&lt;&gt;0,#REF!&gt;=BM$2),1,0)</f>
        <v>#REF!</v>
      </c>
      <c r="BN75" s="270" t="e">
        <f t="array" ref="BN75">IF(AND(BN$2&lt;&gt;0,#REF!&gt;=BN$2),1,0)</f>
        <v>#REF!</v>
      </c>
      <c r="BO75" s="270" t="e">
        <f t="array" ref="BO75">IF(AND(BO$2&lt;&gt;0,#REF!&gt;=BO$2),1,0)</f>
        <v>#REF!</v>
      </c>
      <c r="BP75" s="270" t="e">
        <f t="array" ref="BP75">IF(AND(BP$2&lt;&gt;0,#REF!&gt;=BP$2),1,0)</f>
        <v>#REF!</v>
      </c>
      <c r="BQ75" s="270" t="e">
        <f t="array" ref="BQ75">IF(AND(BQ$2&lt;&gt;0,#REF!&gt;=BQ$2),1,0)</f>
        <v>#REF!</v>
      </c>
      <c r="BR75" s="270" t="e">
        <f t="array" ref="BR75">IF(AND(BR$2&lt;&gt;0,#REF!&gt;=BR$2),1,0)</f>
        <v>#REF!</v>
      </c>
      <c r="BS75" s="270" t="e">
        <f t="array" ref="BS75">IF(AND(BS$2&lt;&gt;0,#REF!&gt;=BS$2),1,0)</f>
        <v>#REF!</v>
      </c>
      <c r="BT75" s="270" t="e">
        <f t="array" ref="BT75">IF(AND(BT$2&lt;&gt;0,#REF!&gt;=BT$2),1,0)</f>
        <v>#REF!</v>
      </c>
      <c r="BU75" s="270" t="e">
        <f t="array" ref="BU75">IF(AND(BU$2&lt;&gt;0,#REF!&gt;=BU$2),1,0)</f>
        <v>#REF!</v>
      </c>
      <c r="BV75" s="270" t="e">
        <f t="array" ref="BV75">IF(AND(BV$2&lt;&gt;0,#REF!&gt;=BV$2),1,0)</f>
        <v>#REF!</v>
      </c>
      <c r="BW75" s="270" t="e">
        <f t="array" ref="BW75">IF(AND(BW$2&lt;&gt;0,#REF!&gt;=BW$2),1,0)</f>
        <v>#REF!</v>
      </c>
      <c r="BX75" s="270" t="e">
        <f t="array" ref="BX75">IF(AND(BX$2&lt;&gt;0,#REF!&gt;=BX$2),1,0)</f>
        <v>#REF!</v>
      </c>
      <c r="BY75" s="270" t="e">
        <f t="array" ref="BY75">IF(AND(BY$2&lt;&gt;0,#REF!&gt;=BY$2),1,0)</f>
        <v>#REF!</v>
      </c>
      <c r="BZ75" s="270" t="e">
        <f t="array" ref="BZ75">IF(AND(BZ$2&lt;&gt;0,#REF!&gt;=BZ$2),1,0)</f>
        <v>#REF!</v>
      </c>
      <c r="CA75" s="359">
        <f>IFERROR(INDEX($H$4:$H$79,MATCH(INDEX(#REF!,1,MATCH(#REF!,$M$2:$BZ$2,0)),$G$4:$G$79,0)),)</f>
        <v>0</v>
      </c>
    </row>
    <row r="76" spans="1:79" x14ac:dyDescent="0.25">
      <c r="A76" s="262" t="e">
        <f>#REF!</f>
        <v>#REF!</v>
      </c>
      <c r="B76" s="263" t="e">
        <f>#REF!</f>
        <v>#REF!</v>
      </c>
      <c r="C76" s="264" t="e">
        <f>#REF!</f>
        <v>#REF!</v>
      </c>
      <c r="D76" s="264" t="e">
        <f>#REF!</f>
        <v>#REF!</v>
      </c>
      <c r="E76" s="265"/>
      <c r="F76" s="266"/>
      <c r="G76" s="267" t="s">
        <v>622</v>
      </c>
      <c r="H76" s="268" t="s">
        <v>728</v>
      </c>
      <c r="I76" s="267" t="s">
        <v>607</v>
      </c>
      <c r="J76" s="263"/>
      <c r="K76" s="89" t="e">
        <f ca="1">IF(#REF!&lt;&gt;OFFSET(#REF!,-1,0),1,0)</f>
        <v>#REF!</v>
      </c>
      <c r="L76" s="269" t="e">
        <f>COUNTIF(#REF!,1)</f>
        <v>#REF!</v>
      </c>
      <c r="M76" s="270" t="e">
        <f t="array" ref="M76">IF(AND(M$2&lt;&gt;0,#REF!&gt;=M$2),1,0)</f>
        <v>#REF!</v>
      </c>
      <c r="N76" s="270" t="e">
        <f t="array" ref="N76">IF(AND(N$2&lt;&gt;0,#REF!&gt;=N$2),1,0)</f>
        <v>#REF!</v>
      </c>
      <c r="O76" s="270" t="e">
        <f t="array" ref="O76">IF(AND(O$2&lt;&gt;0,#REF!&gt;=O$2),1,0)</f>
        <v>#REF!</v>
      </c>
      <c r="P76" s="270" t="e">
        <f t="array" ref="P76">IF(AND(P$2&lt;&gt;0,#REF!&gt;=P$2),1,0)</f>
        <v>#REF!</v>
      </c>
      <c r="Q76" s="270" t="e">
        <f t="array" ref="Q76">IF(AND(Q$2&lt;&gt;0,#REF!&gt;=Q$2),1,0)</f>
        <v>#REF!</v>
      </c>
      <c r="R76" s="270" t="e">
        <f t="array" ref="R76">IF(AND(R$2&lt;&gt;0,#REF!&gt;=R$2),1,0)</f>
        <v>#REF!</v>
      </c>
      <c r="S76" s="270" t="e">
        <f t="array" ref="S76">IF(AND(S$2&lt;&gt;0,#REF!&gt;=S$2),1,0)</f>
        <v>#REF!</v>
      </c>
      <c r="T76" s="270" t="e">
        <f t="array" ref="T76">IF(AND(T$2&lt;&gt;0,#REF!&gt;=T$2),1,0)</f>
        <v>#REF!</v>
      </c>
      <c r="U76" s="270" t="e">
        <f t="array" ref="U76">IF(AND(U$2&lt;&gt;0,#REF!&gt;=U$2),1,0)</f>
        <v>#REF!</v>
      </c>
      <c r="V76" s="270" t="e">
        <f t="array" ref="V76">IF(AND(V$2&lt;&gt;0,#REF!&gt;=V$2),1,0)</f>
        <v>#REF!</v>
      </c>
      <c r="W76" s="270" t="e">
        <f t="array" ref="W76">IF(AND(W$2&lt;&gt;0,#REF!&gt;=W$2),1,0)</f>
        <v>#REF!</v>
      </c>
      <c r="X76" s="270" t="e">
        <f t="array" ref="X76">IF(AND(X$2&lt;&gt;0,#REF!&gt;=X$2),1,0)</f>
        <v>#REF!</v>
      </c>
      <c r="Y76" s="270" t="e">
        <f t="array" ref="Y76">IF(AND(Y$2&lt;&gt;0,#REF!&gt;=Y$2),1,0)</f>
        <v>#REF!</v>
      </c>
      <c r="Z76" s="270" t="e">
        <f t="array" ref="Z76">IF(AND(Z$2&lt;&gt;0,#REF!&gt;=Z$2),1,0)</f>
        <v>#REF!</v>
      </c>
      <c r="AA76" s="270" t="e">
        <f t="array" ref="AA76">IF(AND(AA$2&lt;&gt;0,#REF!&gt;=AA$2),1,0)</f>
        <v>#REF!</v>
      </c>
      <c r="AB76" s="270" t="e">
        <f t="array" ref="AB76">IF(AND(AB$2&lt;&gt;0,#REF!&gt;=AB$2),1,0)</f>
        <v>#REF!</v>
      </c>
      <c r="AC76" s="270" t="e">
        <f t="array" ref="AC76">IF(AND(AC$2&lt;&gt;0,#REF!&gt;=AC$2),1,0)</f>
        <v>#REF!</v>
      </c>
      <c r="AD76" s="270" t="e">
        <f t="array" ref="AD76">IF(AND(AD$2&lt;&gt;0,#REF!&gt;=AD$2),1,0)</f>
        <v>#REF!</v>
      </c>
      <c r="AE76" s="270" t="e">
        <f t="array" ref="AE76">IF(AND(AE$2&lt;&gt;0,#REF!&gt;=AE$2),1,0)</f>
        <v>#REF!</v>
      </c>
      <c r="AF76" s="270" t="e">
        <f t="array" ref="AF76">IF(AND(AF$2&lt;&gt;0,#REF!&gt;=AF$2),1,0)</f>
        <v>#REF!</v>
      </c>
      <c r="AG76" s="270" t="e">
        <f t="array" ref="AG76">IF(AND(AG$2&lt;&gt;0,#REF!&gt;=AG$2),1,0)</f>
        <v>#REF!</v>
      </c>
      <c r="AH76" s="270" t="e">
        <f t="array" ref="AH76">IF(AND(AH$2&lt;&gt;0,#REF!&gt;=AH$2),1,0)</f>
        <v>#REF!</v>
      </c>
      <c r="AI76" s="270" t="e">
        <f t="array" ref="AI76">IF(AND(AI$2&lt;&gt;0,#REF!&gt;=AI$2),1,0)</f>
        <v>#REF!</v>
      </c>
      <c r="AJ76" s="270" t="e">
        <f t="array" ref="AJ76">IF(AND(AJ$2&lt;&gt;0,#REF!&gt;=AJ$2),1,0)</f>
        <v>#REF!</v>
      </c>
      <c r="AK76" s="270" t="e">
        <f t="array" ref="AK76">IF(AND(AK$2&lt;&gt;0,#REF!&gt;=AK$2),1,0)</f>
        <v>#REF!</v>
      </c>
      <c r="AL76" s="270" t="e">
        <f t="array" ref="AL76">IF(AND(AL$2&lt;&gt;0,#REF!&gt;=AL$2),1,0)</f>
        <v>#REF!</v>
      </c>
      <c r="AM76" s="270" t="e">
        <f t="array" ref="AM76">IF(AND(AM$2&lt;&gt;0,#REF!&gt;=AM$2),1,0)</f>
        <v>#REF!</v>
      </c>
      <c r="AN76" s="270" t="e">
        <f t="array" ref="AN76">IF(AND(AN$2&lt;&gt;0,#REF!&gt;=AN$2),1,0)</f>
        <v>#REF!</v>
      </c>
      <c r="AO76" s="270" t="e">
        <f t="array" ref="AO76">IF(AND(AO$2&lt;&gt;0,#REF!&gt;=AO$2),1,0)</f>
        <v>#REF!</v>
      </c>
      <c r="AP76" s="270" t="e">
        <f t="array" ref="AP76">IF(AND(AP$2&lt;&gt;0,#REF!&gt;=AP$2),1,0)</f>
        <v>#REF!</v>
      </c>
      <c r="AQ76" s="270" t="e">
        <f t="array" ref="AQ76">IF(AND(AQ$2&lt;&gt;0,#REF!&gt;=AQ$2),1,0)</f>
        <v>#REF!</v>
      </c>
      <c r="AR76" s="270" t="e">
        <f t="array" ref="AR76">IF(AND(AR$2&lt;&gt;0,#REF!&gt;=AR$2),1,0)</f>
        <v>#REF!</v>
      </c>
      <c r="AS76" s="270" t="e">
        <f t="array" ref="AS76">IF(AND(AS$2&lt;&gt;0,#REF!&gt;=AS$2),1,0)</f>
        <v>#REF!</v>
      </c>
      <c r="AT76" s="270" t="e">
        <f t="array" ref="AT76">IF(AND(AT$2&lt;&gt;0,#REF!&gt;=AT$2),1,0)</f>
        <v>#REF!</v>
      </c>
      <c r="AU76" s="270" t="e">
        <f t="array" ref="AU76">IF(AND(AU$2&lt;&gt;0,#REF!&gt;=AU$2),1,0)</f>
        <v>#REF!</v>
      </c>
      <c r="AV76" s="270" t="e">
        <f t="array" ref="AV76">IF(AND(AV$2&lt;&gt;0,#REF!&gt;=AV$2),1,0)</f>
        <v>#REF!</v>
      </c>
      <c r="AW76" s="270" t="e">
        <f t="array" ref="AW76">IF(AND(AW$2&lt;&gt;0,#REF!&gt;=AW$2),1,0)</f>
        <v>#REF!</v>
      </c>
      <c r="AX76" s="270" t="e">
        <f t="array" ref="AX76">IF(AND(AX$2&lt;&gt;0,#REF!&gt;=AX$2),1,0)</f>
        <v>#REF!</v>
      </c>
      <c r="AY76" s="270" t="e">
        <f t="array" ref="AY76">IF(AND(AY$2&lt;&gt;0,#REF!&gt;=AY$2),1,0)</f>
        <v>#REF!</v>
      </c>
      <c r="AZ76" s="270" t="e">
        <f t="array" ref="AZ76">IF(AND(AZ$2&lt;&gt;0,#REF!&gt;=AZ$2),1,0)</f>
        <v>#REF!</v>
      </c>
      <c r="BA76" s="270" t="e">
        <f t="array" ref="BA76">IF(AND(BA$2&lt;&gt;0,#REF!&gt;=BA$2),1,0)</f>
        <v>#REF!</v>
      </c>
      <c r="BB76" s="270" t="e">
        <f t="array" ref="BB76">IF(AND(BB$2&lt;&gt;0,#REF!&gt;=BB$2),1,0)</f>
        <v>#REF!</v>
      </c>
      <c r="BC76" s="270" t="e">
        <f t="array" ref="BC76">IF(AND(BC$2&lt;&gt;0,#REF!&gt;=BC$2),1,0)</f>
        <v>#REF!</v>
      </c>
      <c r="BD76" s="270" t="e">
        <f t="array" ref="BD76">IF(AND(BD$2&lt;&gt;0,#REF!&gt;=BD$2),1,0)</f>
        <v>#REF!</v>
      </c>
      <c r="BE76" s="270" t="e">
        <f t="array" ref="BE76">IF(AND(BE$2&lt;&gt;0,#REF!&gt;=BE$2),1,0)</f>
        <v>#REF!</v>
      </c>
      <c r="BF76" s="270" t="e">
        <f t="array" ref="BF76">IF(AND(BF$2&lt;&gt;0,#REF!&gt;=BF$2),1,0)</f>
        <v>#REF!</v>
      </c>
      <c r="BG76" s="270" t="e">
        <f t="array" ref="BG76">IF(AND(BG$2&lt;&gt;0,#REF!&gt;=BG$2),1,0)</f>
        <v>#REF!</v>
      </c>
      <c r="BH76" s="270" t="e">
        <f t="array" ref="BH76">IF(AND(BH$2&lt;&gt;0,#REF!&gt;=BH$2),1,0)</f>
        <v>#REF!</v>
      </c>
      <c r="BI76" s="270" t="e">
        <f t="array" ref="BI76">IF(AND(BI$2&lt;&gt;0,#REF!&gt;=BI$2),1,0)</f>
        <v>#REF!</v>
      </c>
      <c r="BJ76" s="270" t="e">
        <f t="array" ref="BJ76">IF(AND(BJ$2&lt;&gt;0,#REF!&gt;=BJ$2),1,0)</f>
        <v>#REF!</v>
      </c>
      <c r="BK76" s="270" t="e">
        <f t="array" ref="BK76">IF(AND(BK$2&lt;&gt;0,#REF!&gt;=BK$2),1,0)</f>
        <v>#REF!</v>
      </c>
      <c r="BL76" s="270" t="e">
        <f t="array" ref="BL76">IF(AND(BL$2&lt;&gt;0,#REF!&gt;=BL$2),1,0)</f>
        <v>#REF!</v>
      </c>
      <c r="BM76" s="270" t="e">
        <f t="array" ref="BM76">IF(AND(BM$2&lt;&gt;0,#REF!&gt;=BM$2),1,0)</f>
        <v>#REF!</v>
      </c>
      <c r="BN76" s="270" t="e">
        <f t="array" ref="BN76">IF(AND(BN$2&lt;&gt;0,#REF!&gt;=BN$2),1,0)</f>
        <v>#REF!</v>
      </c>
      <c r="BO76" s="270" t="e">
        <f t="array" ref="BO76">IF(AND(BO$2&lt;&gt;0,#REF!&gt;=BO$2),1,0)</f>
        <v>#REF!</v>
      </c>
      <c r="BP76" s="270" t="e">
        <f t="array" ref="BP76">IF(AND(BP$2&lt;&gt;0,#REF!&gt;=BP$2),1,0)</f>
        <v>#REF!</v>
      </c>
      <c r="BQ76" s="270" t="e">
        <f t="array" ref="BQ76">IF(AND(BQ$2&lt;&gt;0,#REF!&gt;=BQ$2),1,0)</f>
        <v>#REF!</v>
      </c>
      <c r="BR76" s="270" t="e">
        <f t="array" ref="BR76">IF(AND(BR$2&lt;&gt;0,#REF!&gt;=BR$2),1,0)</f>
        <v>#REF!</v>
      </c>
      <c r="BS76" s="270" t="e">
        <f t="array" ref="BS76">IF(AND(BS$2&lt;&gt;0,#REF!&gt;=BS$2),1,0)</f>
        <v>#REF!</v>
      </c>
      <c r="BT76" s="270" t="e">
        <f t="array" ref="BT76">IF(AND(BT$2&lt;&gt;0,#REF!&gt;=BT$2),1,0)</f>
        <v>#REF!</v>
      </c>
      <c r="BU76" s="270" t="e">
        <f t="array" ref="BU76">IF(AND(BU$2&lt;&gt;0,#REF!&gt;=BU$2),1,0)</f>
        <v>#REF!</v>
      </c>
      <c r="BV76" s="270" t="e">
        <f t="array" ref="BV76">IF(AND(BV$2&lt;&gt;0,#REF!&gt;=BV$2),1,0)</f>
        <v>#REF!</v>
      </c>
      <c r="BW76" s="270" t="e">
        <f t="array" ref="BW76">IF(AND(BW$2&lt;&gt;0,#REF!&gt;=BW$2),1,0)</f>
        <v>#REF!</v>
      </c>
      <c r="BX76" s="270" t="e">
        <f t="array" ref="BX76">IF(AND(BX$2&lt;&gt;0,#REF!&gt;=BX$2),1,0)</f>
        <v>#REF!</v>
      </c>
      <c r="BY76" s="270" t="e">
        <f t="array" ref="BY76">IF(AND(BY$2&lt;&gt;0,#REF!&gt;=BY$2),1,0)</f>
        <v>#REF!</v>
      </c>
      <c r="BZ76" s="270" t="e">
        <f t="array" ref="BZ76">IF(AND(BZ$2&lt;&gt;0,#REF!&gt;=BZ$2),1,0)</f>
        <v>#REF!</v>
      </c>
      <c r="CA76" s="359">
        <f>IFERROR(INDEX($H$4:$H$79,MATCH(INDEX(#REF!,1,MATCH(#REF!,$M$2:$BZ$2,0)),$G$4:$G$79,0)),)</f>
        <v>0</v>
      </c>
    </row>
    <row r="77" spans="1:79" x14ac:dyDescent="0.25">
      <c r="A77" s="262" t="e">
        <f>#REF!</f>
        <v>#REF!</v>
      </c>
      <c r="B77" s="263" t="e">
        <f>#REF!</f>
        <v>#REF!</v>
      </c>
      <c r="C77" s="264" t="e">
        <f>#REF!</f>
        <v>#REF!</v>
      </c>
      <c r="D77" s="264" t="e">
        <f>#REF!</f>
        <v>#REF!</v>
      </c>
      <c r="E77" s="265"/>
      <c r="F77" s="266"/>
      <c r="G77" s="267" t="s">
        <v>624</v>
      </c>
      <c r="H77" s="268" t="s">
        <v>738</v>
      </c>
      <c r="I77" s="267" t="s">
        <v>623</v>
      </c>
      <c r="J77" s="263"/>
      <c r="K77" s="89" t="e">
        <f ca="1">IF(#REF!&lt;&gt;OFFSET(#REF!,-1,0),1,0)</f>
        <v>#REF!</v>
      </c>
      <c r="L77" s="269" t="e">
        <f>COUNTIF(#REF!,1)</f>
        <v>#REF!</v>
      </c>
      <c r="M77" s="270" t="e">
        <f t="array" ref="M77">IF(AND(M$2&lt;&gt;0,#REF!&gt;=M$2),1,0)</f>
        <v>#REF!</v>
      </c>
      <c r="N77" s="270" t="e">
        <f t="array" ref="N77">IF(AND(N$2&lt;&gt;0,#REF!&gt;=N$2),1,0)</f>
        <v>#REF!</v>
      </c>
      <c r="O77" s="270" t="e">
        <f t="array" ref="O77">IF(AND(O$2&lt;&gt;0,#REF!&gt;=O$2),1,0)</f>
        <v>#REF!</v>
      </c>
      <c r="P77" s="270" t="e">
        <f t="array" ref="P77">IF(AND(P$2&lt;&gt;0,#REF!&gt;=P$2),1,0)</f>
        <v>#REF!</v>
      </c>
      <c r="Q77" s="270" t="e">
        <f t="array" ref="Q77">IF(AND(Q$2&lt;&gt;0,#REF!&gt;=Q$2),1,0)</f>
        <v>#REF!</v>
      </c>
      <c r="R77" s="270" t="e">
        <f t="array" ref="R77">IF(AND(R$2&lt;&gt;0,#REF!&gt;=R$2),1,0)</f>
        <v>#REF!</v>
      </c>
      <c r="S77" s="270" t="e">
        <f t="array" ref="S77">IF(AND(S$2&lt;&gt;0,#REF!&gt;=S$2),1,0)</f>
        <v>#REF!</v>
      </c>
      <c r="T77" s="270" t="e">
        <f t="array" ref="T77">IF(AND(T$2&lt;&gt;0,#REF!&gt;=T$2),1,0)</f>
        <v>#REF!</v>
      </c>
      <c r="U77" s="270" t="e">
        <f t="array" ref="U77">IF(AND(U$2&lt;&gt;0,#REF!&gt;=U$2),1,0)</f>
        <v>#REF!</v>
      </c>
      <c r="V77" s="270" t="e">
        <f t="array" ref="V77">IF(AND(V$2&lt;&gt;0,#REF!&gt;=V$2),1,0)</f>
        <v>#REF!</v>
      </c>
      <c r="W77" s="270" t="e">
        <f t="array" ref="W77">IF(AND(W$2&lt;&gt;0,#REF!&gt;=W$2),1,0)</f>
        <v>#REF!</v>
      </c>
      <c r="X77" s="270" t="e">
        <f t="array" ref="X77">IF(AND(X$2&lt;&gt;0,#REF!&gt;=X$2),1,0)</f>
        <v>#REF!</v>
      </c>
      <c r="Y77" s="270" t="e">
        <f t="array" ref="Y77">IF(AND(Y$2&lt;&gt;0,#REF!&gt;=Y$2),1,0)</f>
        <v>#REF!</v>
      </c>
      <c r="Z77" s="270" t="e">
        <f t="array" ref="Z77">IF(AND(Z$2&lt;&gt;0,#REF!&gt;=Z$2),1,0)</f>
        <v>#REF!</v>
      </c>
      <c r="AA77" s="270" t="e">
        <f t="array" ref="AA77">IF(AND(AA$2&lt;&gt;0,#REF!&gt;=AA$2),1,0)</f>
        <v>#REF!</v>
      </c>
      <c r="AB77" s="270" t="e">
        <f t="array" ref="AB77">IF(AND(AB$2&lt;&gt;0,#REF!&gt;=AB$2),1,0)</f>
        <v>#REF!</v>
      </c>
      <c r="AC77" s="270" t="e">
        <f t="array" ref="AC77">IF(AND(AC$2&lt;&gt;0,#REF!&gt;=AC$2),1,0)</f>
        <v>#REF!</v>
      </c>
      <c r="AD77" s="270" t="e">
        <f t="array" ref="AD77">IF(AND(AD$2&lt;&gt;0,#REF!&gt;=AD$2),1,0)</f>
        <v>#REF!</v>
      </c>
      <c r="AE77" s="270" t="e">
        <f t="array" ref="AE77">IF(AND(AE$2&lt;&gt;0,#REF!&gt;=AE$2),1,0)</f>
        <v>#REF!</v>
      </c>
      <c r="AF77" s="270" t="e">
        <f t="array" ref="AF77">IF(AND(AF$2&lt;&gt;0,#REF!&gt;=AF$2),1,0)</f>
        <v>#REF!</v>
      </c>
      <c r="AG77" s="270" t="e">
        <f t="array" ref="AG77">IF(AND(AG$2&lt;&gt;0,#REF!&gt;=AG$2),1,0)</f>
        <v>#REF!</v>
      </c>
      <c r="AH77" s="270" t="e">
        <f t="array" ref="AH77">IF(AND(AH$2&lt;&gt;0,#REF!&gt;=AH$2),1,0)</f>
        <v>#REF!</v>
      </c>
      <c r="AI77" s="270" t="e">
        <f t="array" ref="AI77">IF(AND(AI$2&lt;&gt;0,#REF!&gt;=AI$2),1,0)</f>
        <v>#REF!</v>
      </c>
      <c r="AJ77" s="270" t="e">
        <f t="array" ref="AJ77">IF(AND(AJ$2&lt;&gt;0,#REF!&gt;=AJ$2),1,0)</f>
        <v>#REF!</v>
      </c>
      <c r="AK77" s="270" t="e">
        <f t="array" ref="AK77">IF(AND(AK$2&lt;&gt;0,#REF!&gt;=AK$2),1,0)</f>
        <v>#REF!</v>
      </c>
      <c r="AL77" s="270" t="e">
        <f t="array" ref="AL77">IF(AND(AL$2&lt;&gt;0,#REF!&gt;=AL$2),1,0)</f>
        <v>#REF!</v>
      </c>
      <c r="AM77" s="270" t="e">
        <f t="array" ref="AM77">IF(AND(AM$2&lt;&gt;0,#REF!&gt;=AM$2),1,0)</f>
        <v>#REF!</v>
      </c>
      <c r="AN77" s="270" t="e">
        <f t="array" ref="AN77">IF(AND(AN$2&lt;&gt;0,#REF!&gt;=AN$2),1,0)</f>
        <v>#REF!</v>
      </c>
      <c r="AO77" s="270" t="e">
        <f t="array" ref="AO77">IF(AND(AO$2&lt;&gt;0,#REF!&gt;=AO$2),1,0)</f>
        <v>#REF!</v>
      </c>
      <c r="AP77" s="270" t="e">
        <f t="array" ref="AP77">IF(AND(AP$2&lt;&gt;0,#REF!&gt;=AP$2),1,0)</f>
        <v>#REF!</v>
      </c>
      <c r="AQ77" s="270" t="e">
        <f t="array" ref="AQ77">IF(AND(AQ$2&lt;&gt;0,#REF!&gt;=AQ$2),1,0)</f>
        <v>#REF!</v>
      </c>
      <c r="AR77" s="270" t="e">
        <f t="array" ref="AR77">IF(AND(AR$2&lt;&gt;0,#REF!&gt;=AR$2),1,0)</f>
        <v>#REF!</v>
      </c>
      <c r="AS77" s="270" t="e">
        <f t="array" ref="AS77">IF(AND(AS$2&lt;&gt;0,#REF!&gt;=AS$2),1,0)</f>
        <v>#REF!</v>
      </c>
      <c r="AT77" s="270" t="e">
        <f t="array" ref="AT77">IF(AND(AT$2&lt;&gt;0,#REF!&gt;=AT$2),1,0)</f>
        <v>#REF!</v>
      </c>
      <c r="AU77" s="270" t="e">
        <f t="array" ref="AU77">IF(AND(AU$2&lt;&gt;0,#REF!&gt;=AU$2),1,0)</f>
        <v>#REF!</v>
      </c>
      <c r="AV77" s="270" t="e">
        <f t="array" ref="AV77">IF(AND(AV$2&lt;&gt;0,#REF!&gt;=AV$2),1,0)</f>
        <v>#REF!</v>
      </c>
      <c r="AW77" s="270" t="e">
        <f t="array" ref="AW77">IF(AND(AW$2&lt;&gt;0,#REF!&gt;=AW$2),1,0)</f>
        <v>#REF!</v>
      </c>
      <c r="AX77" s="270" t="e">
        <f t="array" ref="AX77">IF(AND(AX$2&lt;&gt;0,#REF!&gt;=AX$2),1,0)</f>
        <v>#REF!</v>
      </c>
      <c r="AY77" s="270" t="e">
        <f t="array" ref="AY77">IF(AND(AY$2&lt;&gt;0,#REF!&gt;=AY$2),1,0)</f>
        <v>#REF!</v>
      </c>
      <c r="AZ77" s="270" t="e">
        <f t="array" ref="AZ77">IF(AND(AZ$2&lt;&gt;0,#REF!&gt;=AZ$2),1,0)</f>
        <v>#REF!</v>
      </c>
      <c r="BA77" s="270" t="e">
        <f t="array" ref="BA77">IF(AND(BA$2&lt;&gt;0,#REF!&gt;=BA$2),1,0)</f>
        <v>#REF!</v>
      </c>
      <c r="BB77" s="270" t="e">
        <f t="array" ref="BB77">IF(AND(BB$2&lt;&gt;0,#REF!&gt;=BB$2),1,0)</f>
        <v>#REF!</v>
      </c>
      <c r="BC77" s="270" t="e">
        <f t="array" ref="BC77">IF(AND(BC$2&lt;&gt;0,#REF!&gt;=BC$2),1,0)</f>
        <v>#REF!</v>
      </c>
      <c r="BD77" s="270" t="e">
        <f t="array" ref="BD77">IF(AND(BD$2&lt;&gt;0,#REF!&gt;=BD$2),1,0)</f>
        <v>#REF!</v>
      </c>
      <c r="BE77" s="270" t="e">
        <f t="array" ref="BE77">IF(AND(BE$2&lt;&gt;0,#REF!&gt;=BE$2),1,0)</f>
        <v>#REF!</v>
      </c>
      <c r="BF77" s="270" t="e">
        <f t="array" ref="BF77">IF(AND(BF$2&lt;&gt;0,#REF!&gt;=BF$2),1,0)</f>
        <v>#REF!</v>
      </c>
      <c r="BG77" s="270" t="e">
        <f t="array" ref="BG77">IF(AND(BG$2&lt;&gt;0,#REF!&gt;=BG$2),1,0)</f>
        <v>#REF!</v>
      </c>
      <c r="BH77" s="270" t="e">
        <f t="array" ref="BH77">IF(AND(BH$2&lt;&gt;0,#REF!&gt;=BH$2),1,0)</f>
        <v>#REF!</v>
      </c>
      <c r="BI77" s="270" t="e">
        <f t="array" ref="BI77">IF(AND(BI$2&lt;&gt;0,#REF!&gt;=BI$2),1,0)</f>
        <v>#REF!</v>
      </c>
      <c r="BJ77" s="270" t="e">
        <f t="array" ref="BJ77">IF(AND(BJ$2&lt;&gt;0,#REF!&gt;=BJ$2),1,0)</f>
        <v>#REF!</v>
      </c>
      <c r="BK77" s="270" t="e">
        <f t="array" ref="BK77">IF(AND(BK$2&lt;&gt;0,#REF!&gt;=BK$2),1,0)</f>
        <v>#REF!</v>
      </c>
      <c r="BL77" s="270" t="e">
        <f t="array" ref="BL77">IF(AND(BL$2&lt;&gt;0,#REF!&gt;=BL$2),1,0)</f>
        <v>#REF!</v>
      </c>
      <c r="BM77" s="270" t="e">
        <f t="array" ref="BM77">IF(AND(BM$2&lt;&gt;0,#REF!&gt;=BM$2),1,0)</f>
        <v>#REF!</v>
      </c>
      <c r="BN77" s="270" t="e">
        <f t="array" ref="BN77">IF(AND(BN$2&lt;&gt;0,#REF!&gt;=BN$2),1,0)</f>
        <v>#REF!</v>
      </c>
      <c r="BO77" s="270" t="e">
        <f t="array" ref="BO77">IF(AND(BO$2&lt;&gt;0,#REF!&gt;=BO$2),1,0)</f>
        <v>#REF!</v>
      </c>
      <c r="BP77" s="270" t="e">
        <f t="array" ref="BP77">IF(AND(BP$2&lt;&gt;0,#REF!&gt;=BP$2),1,0)</f>
        <v>#REF!</v>
      </c>
      <c r="BQ77" s="270" t="e">
        <f t="array" ref="BQ77">IF(AND(BQ$2&lt;&gt;0,#REF!&gt;=BQ$2),1,0)</f>
        <v>#REF!</v>
      </c>
      <c r="BR77" s="270" t="e">
        <f t="array" ref="BR77">IF(AND(BR$2&lt;&gt;0,#REF!&gt;=BR$2),1,0)</f>
        <v>#REF!</v>
      </c>
      <c r="BS77" s="270" t="e">
        <f t="array" ref="BS77">IF(AND(BS$2&lt;&gt;0,#REF!&gt;=BS$2),1,0)</f>
        <v>#REF!</v>
      </c>
      <c r="BT77" s="270" t="e">
        <f t="array" ref="BT77">IF(AND(BT$2&lt;&gt;0,#REF!&gt;=BT$2),1,0)</f>
        <v>#REF!</v>
      </c>
      <c r="BU77" s="270" t="e">
        <f t="array" ref="BU77">IF(AND(BU$2&lt;&gt;0,#REF!&gt;=BU$2),1,0)</f>
        <v>#REF!</v>
      </c>
      <c r="BV77" s="270" t="e">
        <f t="array" ref="BV77">IF(AND(BV$2&lt;&gt;0,#REF!&gt;=BV$2),1,0)</f>
        <v>#REF!</v>
      </c>
      <c r="BW77" s="270" t="e">
        <f t="array" ref="BW77">IF(AND(BW$2&lt;&gt;0,#REF!&gt;=BW$2),1,0)</f>
        <v>#REF!</v>
      </c>
      <c r="BX77" s="270" t="e">
        <f t="array" ref="BX77">IF(AND(BX$2&lt;&gt;0,#REF!&gt;=BX$2),1,0)</f>
        <v>#REF!</v>
      </c>
      <c r="BY77" s="270" t="e">
        <f t="array" ref="BY77">IF(AND(BY$2&lt;&gt;0,#REF!&gt;=BY$2),1,0)</f>
        <v>#REF!</v>
      </c>
      <c r="BZ77" s="270" t="e">
        <f t="array" ref="BZ77">IF(AND(BZ$2&lt;&gt;0,#REF!&gt;=BZ$2),1,0)</f>
        <v>#REF!</v>
      </c>
      <c r="CA77" s="359">
        <f>IFERROR(INDEX($H$4:$H$79,MATCH(INDEX(#REF!,1,MATCH(#REF!,$M$2:$BZ$2,0)),$G$4:$G$79,0)),)</f>
        <v>0</v>
      </c>
    </row>
    <row r="78" spans="1:79" x14ac:dyDescent="0.25">
      <c r="A78" s="262" t="e">
        <f>#REF!</f>
        <v>#REF!</v>
      </c>
      <c r="B78" s="263" t="e">
        <f>#REF!</f>
        <v>#REF!</v>
      </c>
      <c r="C78" s="264" t="e">
        <f>#REF!</f>
        <v>#REF!</v>
      </c>
      <c r="D78" s="264" t="e">
        <f>#REF!</f>
        <v>#REF!</v>
      </c>
      <c r="E78" s="265"/>
      <c r="F78" s="266"/>
      <c r="G78" s="267"/>
      <c r="H78" s="268"/>
      <c r="I78" s="267"/>
      <c r="J78" s="263"/>
      <c r="K78" s="89" t="e">
        <f ca="1">IF(#REF!&lt;&gt;OFFSET(#REF!,-1,0),1,0)</f>
        <v>#REF!</v>
      </c>
      <c r="L78" s="269" t="e">
        <f>COUNTIF(#REF!,1)</f>
        <v>#REF!</v>
      </c>
      <c r="M78" s="270" t="e">
        <f t="array" ref="M78">IF(AND(M$2&lt;&gt;0,#REF!&gt;=M$2),1,0)</f>
        <v>#REF!</v>
      </c>
      <c r="N78" s="270" t="e">
        <f t="array" ref="N78">IF(AND(N$2&lt;&gt;0,#REF!&gt;=N$2),1,0)</f>
        <v>#REF!</v>
      </c>
      <c r="O78" s="270" t="e">
        <f t="array" ref="O78">IF(AND(O$2&lt;&gt;0,#REF!&gt;=O$2),1,0)</f>
        <v>#REF!</v>
      </c>
      <c r="P78" s="270" t="e">
        <f t="array" ref="P78">IF(AND(P$2&lt;&gt;0,#REF!&gt;=P$2),1,0)</f>
        <v>#REF!</v>
      </c>
      <c r="Q78" s="270" t="e">
        <f t="array" ref="Q78">IF(AND(Q$2&lt;&gt;0,#REF!&gt;=Q$2),1,0)</f>
        <v>#REF!</v>
      </c>
      <c r="R78" s="270" t="e">
        <f t="array" ref="R78">IF(AND(R$2&lt;&gt;0,#REF!&gt;=R$2),1,0)</f>
        <v>#REF!</v>
      </c>
      <c r="S78" s="270" t="e">
        <f t="array" ref="S78">IF(AND(S$2&lt;&gt;0,#REF!&gt;=S$2),1,0)</f>
        <v>#REF!</v>
      </c>
      <c r="T78" s="270" t="e">
        <f t="array" ref="T78">IF(AND(T$2&lt;&gt;0,#REF!&gt;=T$2),1,0)</f>
        <v>#REF!</v>
      </c>
      <c r="U78" s="270" t="e">
        <f t="array" ref="U78">IF(AND(U$2&lt;&gt;0,#REF!&gt;=U$2),1,0)</f>
        <v>#REF!</v>
      </c>
      <c r="V78" s="270" t="e">
        <f t="array" ref="V78">IF(AND(V$2&lt;&gt;0,#REF!&gt;=V$2),1,0)</f>
        <v>#REF!</v>
      </c>
      <c r="W78" s="270" t="e">
        <f t="array" ref="W78">IF(AND(W$2&lt;&gt;0,#REF!&gt;=W$2),1,0)</f>
        <v>#REF!</v>
      </c>
      <c r="X78" s="270" t="e">
        <f t="array" ref="X78">IF(AND(X$2&lt;&gt;0,#REF!&gt;=X$2),1,0)</f>
        <v>#REF!</v>
      </c>
      <c r="Y78" s="270" t="e">
        <f t="array" ref="Y78">IF(AND(Y$2&lt;&gt;0,#REF!&gt;=Y$2),1,0)</f>
        <v>#REF!</v>
      </c>
      <c r="Z78" s="270" t="e">
        <f t="array" ref="Z78">IF(AND(Z$2&lt;&gt;0,#REF!&gt;=Z$2),1,0)</f>
        <v>#REF!</v>
      </c>
      <c r="AA78" s="270" t="e">
        <f t="array" ref="AA78">IF(AND(AA$2&lt;&gt;0,#REF!&gt;=AA$2),1,0)</f>
        <v>#REF!</v>
      </c>
      <c r="AB78" s="270" t="e">
        <f t="array" ref="AB78">IF(AND(AB$2&lt;&gt;0,#REF!&gt;=AB$2),1,0)</f>
        <v>#REF!</v>
      </c>
      <c r="AC78" s="270" t="e">
        <f t="array" ref="AC78">IF(AND(AC$2&lt;&gt;0,#REF!&gt;=AC$2),1,0)</f>
        <v>#REF!</v>
      </c>
      <c r="AD78" s="270" t="e">
        <f t="array" ref="AD78">IF(AND(AD$2&lt;&gt;0,#REF!&gt;=AD$2),1,0)</f>
        <v>#REF!</v>
      </c>
      <c r="AE78" s="270" t="e">
        <f t="array" ref="AE78">IF(AND(AE$2&lt;&gt;0,#REF!&gt;=AE$2),1,0)</f>
        <v>#REF!</v>
      </c>
      <c r="AF78" s="270" t="e">
        <f t="array" ref="AF78">IF(AND(AF$2&lt;&gt;0,#REF!&gt;=AF$2),1,0)</f>
        <v>#REF!</v>
      </c>
      <c r="AG78" s="270" t="e">
        <f t="array" ref="AG78">IF(AND(AG$2&lt;&gt;0,#REF!&gt;=AG$2),1,0)</f>
        <v>#REF!</v>
      </c>
      <c r="AH78" s="270" t="e">
        <f t="array" ref="AH78">IF(AND(AH$2&lt;&gt;0,#REF!&gt;=AH$2),1,0)</f>
        <v>#REF!</v>
      </c>
      <c r="AI78" s="270" t="e">
        <f t="array" ref="AI78">IF(AND(AI$2&lt;&gt;0,#REF!&gt;=AI$2),1,0)</f>
        <v>#REF!</v>
      </c>
      <c r="AJ78" s="270" t="e">
        <f t="array" ref="AJ78">IF(AND(AJ$2&lt;&gt;0,#REF!&gt;=AJ$2),1,0)</f>
        <v>#REF!</v>
      </c>
      <c r="AK78" s="270" t="e">
        <f t="array" ref="AK78">IF(AND(AK$2&lt;&gt;0,#REF!&gt;=AK$2),1,0)</f>
        <v>#REF!</v>
      </c>
      <c r="AL78" s="270" t="e">
        <f t="array" ref="AL78">IF(AND(AL$2&lt;&gt;0,#REF!&gt;=AL$2),1,0)</f>
        <v>#REF!</v>
      </c>
      <c r="AM78" s="270" t="e">
        <f t="array" ref="AM78">IF(AND(AM$2&lt;&gt;0,#REF!&gt;=AM$2),1,0)</f>
        <v>#REF!</v>
      </c>
      <c r="AN78" s="270" t="e">
        <f t="array" ref="AN78">IF(AND(AN$2&lt;&gt;0,#REF!&gt;=AN$2),1,0)</f>
        <v>#REF!</v>
      </c>
      <c r="AO78" s="270" t="e">
        <f t="array" ref="AO78">IF(AND(AO$2&lt;&gt;0,#REF!&gt;=AO$2),1,0)</f>
        <v>#REF!</v>
      </c>
      <c r="AP78" s="270" t="e">
        <f t="array" ref="AP78">IF(AND(AP$2&lt;&gt;0,#REF!&gt;=AP$2),1,0)</f>
        <v>#REF!</v>
      </c>
      <c r="AQ78" s="270" t="e">
        <f t="array" ref="AQ78">IF(AND(AQ$2&lt;&gt;0,#REF!&gt;=AQ$2),1,0)</f>
        <v>#REF!</v>
      </c>
      <c r="AR78" s="270" t="e">
        <f t="array" ref="AR78">IF(AND(AR$2&lt;&gt;0,#REF!&gt;=AR$2),1,0)</f>
        <v>#REF!</v>
      </c>
      <c r="AS78" s="270" t="e">
        <f t="array" ref="AS78">IF(AND(AS$2&lt;&gt;0,#REF!&gt;=AS$2),1,0)</f>
        <v>#REF!</v>
      </c>
      <c r="AT78" s="270" t="e">
        <f t="array" ref="AT78">IF(AND(AT$2&lt;&gt;0,#REF!&gt;=AT$2),1,0)</f>
        <v>#REF!</v>
      </c>
      <c r="AU78" s="270" t="e">
        <f t="array" ref="AU78">IF(AND(AU$2&lt;&gt;0,#REF!&gt;=AU$2),1,0)</f>
        <v>#REF!</v>
      </c>
      <c r="AV78" s="270" t="e">
        <f t="array" ref="AV78">IF(AND(AV$2&lt;&gt;0,#REF!&gt;=AV$2),1,0)</f>
        <v>#REF!</v>
      </c>
      <c r="AW78" s="270" t="e">
        <f t="array" ref="AW78">IF(AND(AW$2&lt;&gt;0,#REF!&gt;=AW$2),1,0)</f>
        <v>#REF!</v>
      </c>
      <c r="AX78" s="270" t="e">
        <f t="array" ref="AX78">IF(AND(AX$2&lt;&gt;0,#REF!&gt;=AX$2),1,0)</f>
        <v>#REF!</v>
      </c>
      <c r="AY78" s="270" t="e">
        <f t="array" ref="AY78">IF(AND(AY$2&lt;&gt;0,#REF!&gt;=AY$2),1,0)</f>
        <v>#REF!</v>
      </c>
      <c r="AZ78" s="270" t="e">
        <f t="array" ref="AZ78">IF(AND(AZ$2&lt;&gt;0,#REF!&gt;=AZ$2),1,0)</f>
        <v>#REF!</v>
      </c>
      <c r="BA78" s="270" t="e">
        <f t="array" ref="BA78">IF(AND(BA$2&lt;&gt;0,#REF!&gt;=BA$2),1,0)</f>
        <v>#REF!</v>
      </c>
      <c r="BB78" s="270" t="e">
        <f t="array" ref="BB78">IF(AND(BB$2&lt;&gt;0,#REF!&gt;=BB$2),1,0)</f>
        <v>#REF!</v>
      </c>
      <c r="BC78" s="270" t="e">
        <f t="array" ref="BC78">IF(AND(BC$2&lt;&gt;0,#REF!&gt;=BC$2),1,0)</f>
        <v>#REF!</v>
      </c>
      <c r="BD78" s="270" t="e">
        <f t="array" ref="BD78">IF(AND(BD$2&lt;&gt;0,#REF!&gt;=BD$2),1,0)</f>
        <v>#REF!</v>
      </c>
      <c r="BE78" s="270" t="e">
        <f t="array" ref="BE78">IF(AND(BE$2&lt;&gt;0,#REF!&gt;=BE$2),1,0)</f>
        <v>#REF!</v>
      </c>
      <c r="BF78" s="270" t="e">
        <f t="array" ref="BF78">IF(AND(BF$2&lt;&gt;0,#REF!&gt;=BF$2),1,0)</f>
        <v>#REF!</v>
      </c>
      <c r="BG78" s="270" t="e">
        <f t="array" ref="BG78">IF(AND(BG$2&lt;&gt;0,#REF!&gt;=BG$2),1,0)</f>
        <v>#REF!</v>
      </c>
      <c r="BH78" s="270" t="e">
        <f t="array" ref="BH78">IF(AND(BH$2&lt;&gt;0,#REF!&gt;=BH$2),1,0)</f>
        <v>#REF!</v>
      </c>
      <c r="BI78" s="270" t="e">
        <f t="array" ref="BI78">IF(AND(BI$2&lt;&gt;0,#REF!&gt;=BI$2),1,0)</f>
        <v>#REF!</v>
      </c>
      <c r="BJ78" s="270" t="e">
        <f t="array" ref="BJ78">IF(AND(BJ$2&lt;&gt;0,#REF!&gt;=BJ$2),1,0)</f>
        <v>#REF!</v>
      </c>
      <c r="BK78" s="270" t="e">
        <f t="array" ref="BK78">IF(AND(BK$2&lt;&gt;0,#REF!&gt;=BK$2),1,0)</f>
        <v>#REF!</v>
      </c>
      <c r="BL78" s="270" t="e">
        <f t="array" ref="BL78">IF(AND(BL$2&lt;&gt;0,#REF!&gt;=BL$2),1,0)</f>
        <v>#REF!</v>
      </c>
      <c r="BM78" s="270" t="e">
        <f t="array" ref="BM78">IF(AND(BM$2&lt;&gt;0,#REF!&gt;=BM$2),1,0)</f>
        <v>#REF!</v>
      </c>
      <c r="BN78" s="270" t="e">
        <f t="array" ref="BN78">IF(AND(BN$2&lt;&gt;0,#REF!&gt;=BN$2),1,0)</f>
        <v>#REF!</v>
      </c>
      <c r="BO78" s="270" t="e">
        <f t="array" ref="BO78">IF(AND(BO$2&lt;&gt;0,#REF!&gt;=BO$2),1,0)</f>
        <v>#REF!</v>
      </c>
      <c r="BP78" s="270" t="e">
        <f t="array" ref="BP78">IF(AND(BP$2&lt;&gt;0,#REF!&gt;=BP$2),1,0)</f>
        <v>#REF!</v>
      </c>
      <c r="BQ78" s="270" t="e">
        <f t="array" ref="BQ78">IF(AND(BQ$2&lt;&gt;0,#REF!&gt;=BQ$2),1,0)</f>
        <v>#REF!</v>
      </c>
      <c r="BR78" s="270" t="e">
        <f t="array" ref="BR78">IF(AND(BR$2&lt;&gt;0,#REF!&gt;=BR$2),1,0)</f>
        <v>#REF!</v>
      </c>
      <c r="BS78" s="270" t="e">
        <f t="array" ref="BS78">IF(AND(BS$2&lt;&gt;0,#REF!&gt;=BS$2),1,0)</f>
        <v>#REF!</v>
      </c>
      <c r="BT78" s="270" t="e">
        <f t="array" ref="BT78">IF(AND(BT$2&lt;&gt;0,#REF!&gt;=BT$2),1,0)</f>
        <v>#REF!</v>
      </c>
      <c r="BU78" s="270" t="e">
        <f t="array" ref="BU78">IF(AND(BU$2&lt;&gt;0,#REF!&gt;=BU$2),1,0)</f>
        <v>#REF!</v>
      </c>
      <c r="BV78" s="270" t="e">
        <f t="array" ref="BV78">IF(AND(BV$2&lt;&gt;0,#REF!&gt;=BV$2),1,0)</f>
        <v>#REF!</v>
      </c>
      <c r="BW78" s="270" t="e">
        <f t="array" ref="BW78">IF(AND(BW$2&lt;&gt;0,#REF!&gt;=BW$2),1,0)</f>
        <v>#REF!</v>
      </c>
      <c r="BX78" s="270" t="e">
        <f t="array" ref="BX78">IF(AND(BX$2&lt;&gt;0,#REF!&gt;=BX$2),1,0)</f>
        <v>#REF!</v>
      </c>
      <c r="BY78" s="270" t="e">
        <f t="array" ref="BY78">IF(AND(BY$2&lt;&gt;0,#REF!&gt;=BY$2),1,0)</f>
        <v>#REF!</v>
      </c>
      <c r="BZ78" s="270" t="e">
        <f t="array" ref="BZ78">IF(AND(BZ$2&lt;&gt;0,#REF!&gt;=BZ$2),1,0)</f>
        <v>#REF!</v>
      </c>
      <c r="CA78" s="359">
        <f>IFERROR(INDEX($H$4:$H$79,MATCH(INDEX(#REF!,1,MATCH(#REF!,$M$2:$BZ$2,0)),$G$4:$G$79,0)),)</f>
        <v>0</v>
      </c>
    </row>
    <row r="79" spans="1:79" x14ac:dyDescent="0.25">
      <c r="A79" s="262" t="e">
        <f>#REF!</f>
        <v>#REF!</v>
      </c>
      <c r="B79" s="263" t="e">
        <f>#REF!</f>
        <v>#REF!</v>
      </c>
      <c r="C79" s="264" t="e">
        <f>#REF!</f>
        <v>#REF!</v>
      </c>
      <c r="D79" s="264" t="e">
        <f>#REF!</f>
        <v>#REF!</v>
      </c>
      <c r="E79" s="265"/>
      <c r="F79" s="266"/>
      <c r="G79" s="267" t="s">
        <v>625</v>
      </c>
      <c r="H79" s="268" t="s">
        <v>739</v>
      </c>
      <c r="I79" s="267" t="s">
        <v>626</v>
      </c>
      <c r="J79" s="263"/>
      <c r="K79" s="89" t="e">
        <f ca="1">IF(#REF!&lt;&gt;OFFSET(#REF!,-1,0),1,0)</f>
        <v>#REF!</v>
      </c>
      <c r="L79" s="269" t="e">
        <f>COUNTIF(#REF!,1)</f>
        <v>#REF!</v>
      </c>
      <c r="M79" s="270" t="e">
        <f t="array" ref="M79">IF(AND(M$2&lt;&gt;0,#REF!&gt;=M$2),1,0)</f>
        <v>#REF!</v>
      </c>
      <c r="N79" s="270" t="e">
        <f t="array" ref="N79">IF(AND(N$2&lt;&gt;0,#REF!&gt;=N$2),1,0)</f>
        <v>#REF!</v>
      </c>
      <c r="O79" s="270" t="e">
        <f t="array" ref="O79">IF(AND(O$2&lt;&gt;0,#REF!&gt;=O$2),1,0)</f>
        <v>#REF!</v>
      </c>
      <c r="P79" s="270" t="e">
        <f t="array" ref="P79">IF(AND(P$2&lt;&gt;0,#REF!&gt;=P$2),1,0)</f>
        <v>#REF!</v>
      </c>
      <c r="Q79" s="270" t="e">
        <f t="array" ref="Q79">IF(AND(Q$2&lt;&gt;0,#REF!&gt;=Q$2),1,0)</f>
        <v>#REF!</v>
      </c>
      <c r="R79" s="270" t="e">
        <f t="array" ref="R79">IF(AND(R$2&lt;&gt;0,#REF!&gt;=R$2),1,0)</f>
        <v>#REF!</v>
      </c>
      <c r="S79" s="270" t="e">
        <f t="array" ref="S79">IF(AND(S$2&lt;&gt;0,#REF!&gt;=S$2),1,0)</f>
        <v>#REF!</v>
      </c>
      <c r="T79" s="270" t="e">
        <f t="array" ref="T79">IF(AND(T$2&lt;&gt;0,#REF!&gt;=T$2),1,0)</f>
        <v>#REF!</v>
      </c>
      <c r="U79" s="270" t="e">
        <f t="array" ref="U79">IF(AND(U$2&lt;&gt;0,#REF!&gt;=U$2),1,0)</f>
        <v>#REF!</v>
      </c>
      <c r="V79" s="270" t="e">
        <f t="array" ref="V79">IF(AND(V$2&lt;&gt;0,#REF!&gt;=V$2),1,0)</f>
        <v>#REF!</v>
      </c>
      <c r="W79" s="270" t="e">
        <f t="array" ref="W79">IF(AND(W$2&lt;&gt;0,#REF!&gt;=W$2),1,0)</f>
        <v>#REF!</v>
      </c>
      <c r="X79" s="270" t="e">
        <f t="array" ref="X79">IF(AND(X$2&lt;&gt;0,#REF!&gt;=X$2),1,0)</f>
        <v>#REF!</v>
      </c>
      <c r="Y79" s="270" t="e">
        <f t="array" ref="Y79">IF(AND(Y$2&lt;&gt;0,#REF!&gt;=Y$2),1,0)</f>
        <v>#REF!</v>
      </c>
      <c r="Z79" s="270" t="e">
        <f t="array" ref="Z79">IF(AND(Z$2&lt;&gt;0,#REF!&gt;=Z$2),1,0)</f>
        <v>#REF!</v>
      </c>
      <c r="AA79" s="270" t="e">
        <f t="array" ref="AA79">IF(AND(AA$2&lt;&gt;0,#REF!&gt;=AA$2),1,0)</f>
        <v>#REF!</v>
      </c>
      <c r="AB79" s="270" t="e">
        <f t="array" ref="AB79">IF(AND(AB$2&lt;&gt;0,#REF!&gt;=AB$2),1,0)</f>
        <v>#REF!</v>
      </c>
      <c r="AC79" s="270" t="e">
        <f t="array" ref="AC79">IF(AND(AC$2&lt;&gt;0,#REF!&gt;=AC$2),1,0)</f>
        <v>#REF!</v>
      </c>
      <c r="AD79" s="270" t="e">
        <f t="array" ref="AD79">IF(AND(AD$2&lt;&gt;0,#REF!&gt;=AD$2),1,0)</f>
        <v>#REF!</v>
      </c>
      <c r="AE79" s="270" t="e">
        <f t="array" ref="AE79">IF(AND(AE$2&lt;&gt;0,#REF!&gt;=AE$2),1,0)</f>
        <v>#REF!</v>
      </c>
      <c r="AF79" s="270" t="e">
        <f t="array" ref="AF79">IF(AND(AF$2&lt;&gt;0,#REF!&gt;=AF$2),1,0)</f>
        <v>#REF!</v>
      </c>
      <c r="AG79" s="270" t="e">
        <f t="array" ref="AG79">IF(AND(AG$2&lt;&gt;0,#REF!&gt;=AG$2),1,0)</f>
        <v>#REF!</v>
      </c>
      <c r="AH79" s="270" t="e">
        <f t="array" ref="AH79">IF(AND(AH$2&lt;&gt;0,#REF!&gt;=AH$2),1,0)</f>
        <v>#REF!</v>
      </c>
      <c r="AI79" s="270" t="e">
        <f t="array" ref="AI79">IF(AND(AI$2&lt;&gt;0,#REF!&gt;=AI$2),1,0)</f>
        <v>#REF!</v>
      </c>
      <c r="AJ79" s="270" t="e">
        <f t="array" ref="AJ79">IF(AND(AJ$2&lt;&gt;0,#REF!&gt;=AJ$2),1,0)</f>
        <v>#REF!</v>
      </c>
      <c r="AK79" s="270" t="e">
        <f t="array" ref="AK79">IF(AND(AK$2&lt;&gt;0,#REF!&gt;=AK$2),1,0)</f>
        <v>#REF!</v>
      </c>
      <c r="AL79" s="270" t="e">
        <f t="array" ref="AL79">IF(AND(AL$2&lt;&gt;0,#REF!&gt;=AL$2),1,0)</f>
        <v>#REF!</v>
      </c>
      <c r="AM79" s="270" t="e">
        <f t="array" ref="AM79">IF(AND(AM$2&lt;&gt;0,#REF!&gt;=AM$2),1,0)</f>
        <v>#REF!</v>
      </c>
      <c r="AN79" s="270" t="e">
        <f t="array" ref="AN79">IF(AND(AN$2&lt;&gt;0,#REF!&gt;=AN$2),1,0)</f>
        <v>#REF!</v>
      </c>
      <c r="AO79" s="270" t="e">
        <f t="array" ref="AO79">IF(AND(AO$2&lt;&gt;0,#REF!&gt;=AO$2),1,0)</f>
        <v>#REF!</v>
      </c>
      <c r="AP79" s="270" t="e">
        <f t="array" ref="AP79">IF(AND(AP$2&lt;&gt;0,#REF!&gt;=AP$2),1,0)</f>
        <v>#REF!</v>
      </c>
      <c r="AQ79" s="270" t="e">
        <f t="array" ref="AQ79">IF(AND(AQ$2&lt;&gt;0,#REF!&gt;=AQ$2),1,0)</f>
        <v>#REF!</v>
      </c>
      <c r="AR79" s="270" t="e">
        <f t="array" ref="AR79">IF(AND(AR$2&lt;&gt;0,#REF!&gt;=AR$2),1,0)</f>
        <v>#REF!</v>
      </c>
      <c r="AS79" s="270" t="e">
        <f t="array" ref="AS79">IF(AND(AS$2&lt;&gt;0,#REF!&gt;=AS$2),1,0)</f>
        <v>#REF!</v>
      </c>
      <c r="AT79" s="270" t="e">
        <f t="array" ref="AT79">IF(AND(AT$2&lt;&gt;0,#REF!&gt;=AT$2),1,0)</f>
        <v>#REF!</v>
      </c>
      <c r="AU79" s="270" t="e">
        <f t="array" ref="AU79">IF(AND(AU$2&lt;&gt;0,#REF!&gt;=AU$2),1,0)</f>
        <v>#REF!</v>
      </c>
      <c r="AV79" s="270" t="e">
        <f t="array" ref="AV79">IF(AND(AV$2&lt;&gt;0,#REF!&gt;=AV$2),1,0)</f>
        <v>#REF!</v>
      </c>
      <c r="AW79" s="270" t="e">
        <f t="array" ref="AW79">IF(AND(AW$2&lt;&gt;0,#REF!&gt;=AW$2),1,0)</f>
        <v>#REF!</v>
      </c>
      <c r="AX79" s="270" t="e">
        <f t="array" ref="AX79">IF(AND(AX$2&lt;&gt;0,#REF!&gt;=AX$2),1,0)</f>
        <v>#REF!</v>
      </c>
      <c r="AY79" s="270" t="e">
        <f t="array" ref="AY79">IF(AND(AY$2&lt;&gt;0,#REF!&gt;=AY$2),1,0)</f>
        <v>#REF!</v>
      </c>
      <c r="AZ79" s="270" t="e">
        <f t="array" ref="AZ79">IF(AND(AZ$2&lt;&gt;0,#REF!&gt;=AZ$2),1,0)</f>
        <v>#REF!</v>
      </c>
      <c r="BA79" s="270" t="e">
        <f t="array" ref="BA79">IF(AND(BA$2&lt;&gt;0,#REF!&gt;=BA$2),1,0)</f>
        <v>#REF!</v>
      </c>
      <c r="BB79" s="270" t="e">
        <f t="array" ref="BB79">IF(AND(BB$2&lt;&gt;0,#REF!&gt;=BB$2),1,0)</f>
        <v>#REF!</v>
      </c>
      <c r="BC79" s="270" t="e">
        <f t="array" ref="BC79">IF(AND(BC$2&lt;&gt;0,#REF!&gt;=BC$2),1,0)</f>
        <v>#REF!</v>
      </c>
      <c r="BD79" s="270" t="e">
        <f t="array" ref="BD79">IF(AND(BD$2&lt;&gt;0,#REF!&gt;=BD$2),1,0)</f>
        <v>#REF!</v>
      </c>
      <c r="BE79" s="270" t="e">
        <f t="array" ref="BE79">IF(AND(BE$2&lt;&gt;0,#REF!&gt;=BE$2),1,0)</f>
        <v>#REF!</v>
      </c>
      <c r="BF79" s="270" t="e">
        <f t="array" ref="BF79">IF(AND(BF$2&lt;&gt;0,#REF!&gt;=BF$2),1,0)</f>
        <v>#REF!</v>
      </c>
      <c r="BG79" s="270" t="e">
        <f t="array" ref="BG79">IF(AND(BG$2&lt;&gt;0,#REF!&gt;=BG$2),1,0)</f>
        <v>#REF!</v>
      </c>
      <c r="BH79" s="270" t="e">
        <f t="array" ref="BH79">IF(AND(BH$2&lt;&gt;0,#REF!&gt;=BH$2),1,0)</f>
        <v>#REF!</v>
      </c>
      <c r="BI79" s="270" t="e">
        <f t="array" ref="BI79">IF(AND(BI$2&lt;&gt;0,#REF!&gt;=BI$2),1,0)</f>
        <v>#REF!</v>
      </c>
      <c r="BJ79" s="270" t="e">
        <f t="array" ref="BJ79">IF(AND(BJ$2&lt;&gt;0,#REF!&gt;=BJ$2),1,0)</f>
        <v>#REF!</v>
      </c>
      <c r="BK79" s="270" t="e">
        <f t="array" ref="BK79">IF(AND(BK$2&lt;&gt;0,#REF!&gt;=BK$2),1,0)</f>
        <v>#REF!</v>
      </c>
      <c r="BL79" s="270" t="e">
        <f t="array" ref="BL79">IF(AND(BL$2&lt;&gt;0,#REF!&gt;=BL$2),1,0)</f>
        <v>#REF!</v>
      </c>
      <c r="BM79" s="270" t="e">
        <f t="array" ref="BM79">IF(AND(BM$2&lt;&gt;0,#REF!&gt;=BM$2),1,0)</f>
        <v>#REF!</v>
      </c>
      <c r="BN79" s="270" t="e">
        <f t="array" ref="BN79">IF(AND(BN$2&lt;&gt;0,#REF!&gt;=BN$2),1,0)</f>
        <v>#REF!</v>
      </c>
      <c r="BO79" s="270" t="e">
        <f t="array" ref="BO79">IF(AND(BO$2&lt;&gt;0,#REF!&gt;=BO$2),1,0)</f>
        <v>#REF!</v>
      </c>
      <c r="BP79" s="270" t="e">
        <f t="array" ref="BP79">IF(AND(BP$2&lt;&gt;0,#REF!&gt;=BP$2),1,0)</f>
        <v>#REF!</v>
      </c>
      <c r="BQ79" s="270" t="e">
        <f t="array" ref="BQ79">IF(AND(BQ$2&lt;&gt;0,#REF!&gt;=BQ$2),1,0)</f>
        <v>#REF!</v>
      </c>
      <c r="BR79" s="270" t="e">
        <f t="array" ref="BR79">IF(AND(BR$2&lt;&gt;0,#REF!&gt;=BR$2),1,0)</f>
        <v>#REF!</v>
      </c>
      <c r="BS79" s="270" t="e">
        <f t="array" ref="BS79">IF(AND(BS$2&lt;&gt;0,#REF!&gt;=BS$2),1,0)</f>
        <v>#REF!</v>
      </c>
      <c r="BT79" s="270" t="e">
        <f t="array" ref="BT79">IF(AND(BT$2&lt;&gt;0,#REF!&gt;=BT$2),1,0)</f>
        <v>#REF!</v>
      </c>
      <c r="BU79" s="270" t="e">
        <f t="array" ref="BU79">IF(AND(BU$2&lt;&gt;0,#REF!&gt;=BU$2),1,0)</f>
        <v>#REF!</v>
      </c>
      <c r="BV79" s="270" t="e">
        <f t="array" ref="BV79">IF(AND(BV$2&lt;&gt;0,#REF!&gt;=BV$2),1,0)</f>
        <v>#REF!</v>
      </c>
      <c r="BW79" s="270" t="e">
        <f t="array" ref="BW79">IF(AND(BW$2&lt;&gt;0,#REF!&gt;=BW$2),1,0)</f>
        <v>#REF!</v>
      </c>
      <c r="BX79" s="270" t="e">
        <f t="array" ref="BX79">IF(AND(BX$2&lt;&gt;0,#REF!&gt;=BX$2),1,0)</f>
        <v>#REF!</v>
      </c>
      <c r="BY79" s="270" t="e">
        <f t="array" ref="BY79">IF(AND(BY$2&lt;&gt;0,#REF!&gt;=BY$2),1,0)</f>
        <v>#REF!</v>
      </c>
      <c r="BZ79" s="270" t="e">
        <f t="array" ref="BZ79">IF(AND(BZ$2&lt;&gt;0,#REF!&gt;=BZ$2),1,0)</f>
        <v>#REF!</v>
      </c>
      <c r="CA79" s="359">
        <f>IFERROR(INDEX($H$4:$H$79,MATCH(INDEX(#REF!,1,MATCH(#REF!,$M$2:$BZ$2,0)),$G$4:$G$79,0)),)</f>
        <v>0</v>
      </c>
    </row>
    <row r="80" spans="1:79" x14ac:dyDescent="0.25">
      <c r="A80" s="262" t="e">
        <f>#REF!</f>
        <v>#REF!</v>
      </c>
      <c r="B80" s="263" t="e">
        <f>#REF!</f>
        <v>#REF!</v>
      </c>
      <c r="C80" s="264" t="e">
        <f>#REF!</f>
        <v>#REF!</v>
      </c>
      <c r="D80" s="264" t="e">
        <f>#REF!</f>
        <v>#REF!</v>
      </c>
      <c r="E80" s="265"/>
      <c r="F80" s="271"/>
      <c r="G80" s="272"/>
      <c r="H80" s="263"/>
      <c r="I80" s="263"/>
      <c r="J80" s="263"/>
      <c r="K80" s="89" t="e">
        <f ca="1">IF(#REF!&lt;&gt;OFFSET(#REF!,-1,0),1,0)</f>
        <v>#REF!</v>
      </c>
      <c r="L80" s="269" t="e">
        <f>COUNTIF(#REF!,1)</f>
        <v>#REF!</v>
      </c>
      <c r="M80" s="270" t="e">
        <f t="array" ref="M80">IF(AND(M$2&lt;&gt;0,#REF!&gt;=M$2),1,0)</f>
        <v>#REF!</v>
      </c>
      <c r="N80" s="270" t="e">
        <f t="array" ref="N80">IF(AND(N$2&lt;&gt;0,#REF!&gt;=N$2),1,0)</f>
        <v>#REF!</v>
      </c>
      <c r="O80" s="270" t="e">
        <f t="array" ref="O80">IF(AND(O$2&lt;&gt;0,#REF!&gt;=O$2),1,0)</f>
        <v>#REF!</v>
      </c>
      <c r="P80" s="270" t="e">
        <f t="array" ref="P80">IF(AND(P$2&lt;&gt;0,#REF!&gt;=P$2),1,0)</f>
        <v>#REF!</v>
      </c>
      <c r="Q80" s="270" t="e">
        <f t="array" ref="Q80">IF(AND(Q$2&lt;&gt;0,#REF!&gt;=Q$2),1,0)</f>
        <v>#REF!</v>
      </c>
      <c r="R80" s="270" t="e">
        <f t="array" ref="R80">IF(AND(R$2&lt;&gt;0,#REF!&gt;=R$2),1,0)</f>
        <v>#REF!</v>
      </c>
      <c r="S80" s="270" t="e">
        <f t="array" ref="S80">IF(AND(S$2&lt;&gt;0,#REF!&gt;=S$2),1,0)</f>
        <v>#REF!</v>
      </c>
      <c r="T80" s="270" t="e">
        <f t="array" ref="T80">IF(AND(T$2&lt;&gt;0,#REF!&gt;=T$2),1,0)</f>
        <v>#REF!</v>
      </c>
      <c r="U80" s="270" t="e">
        <f t="array" ref="U80">IF(AND(U$2&lt;&gt;0,#REF!&gt;=U$2),1,0)</f>
        <v>#REF!</v>
      </c>
      <c r="V80" s="270" t="e">
        <f t="array" ref="V80">IF(AND(V$2&lt;&gt;0,#REF!&gt;=V$2),1,0)</f>
        <v>#REF!</v>
      </c>
      <c r="W80" s="270" t="e">
        <f t="array" ref="W80">IF(AND(W$2&lt;&gt;0,#REF!&gt;=W$2),1,0)</f>
        <v>#REF!</v>
      </c>
      <c r="X80" s="270" t="e">
        <f t="array" ref="X80">IF(AND(X$2&lt;&gt;0,#REF!&gt;=X$2),1,0)</f>
        <v>#REF!</v>
      </c>
      <c r="Y80" s="270" t="e">
        <f t="array" ref="Y80">IF(AND(Y$2&lt;&gt;0,#REF!&gt;=Y$2),1,0)</f>
        <v>#REF!</v>
      </c>
      <c r="Z80" s="270" t="e">
        <f t="array" ref="Z80">IF(AND(Z$2&lt;&gt;0,#REF!&gt;=Z$2),1,0)</f>
        <v>#REF!</v>
      </c>
      <c r="AA80" s="270" t="e">
        <f t="array" ref="AA80">IF(AND(AA$2&lt;&gt;0,#REF!&gt;=AA$2),1,0)</f>
        <v>#REF!</v>
      </c>
      <c r="AB80" s="270" t="e">
        <f t="array" ref="AB80">IF(AND(AB$2&lt;&gt;0,#REF!&gt;=AB$2),1,0)</f>
        <v>#REF!</v>
      </c>
      <c r="AC80" s="270" t="e">
        <f t="array" ref="AC80">IF(AND(AC$2&lt;&gt;0,#REF!&gt;=AC$2),1,0)</f>
        <v>#REF!</v>
      </c>
      <c r="AD80" s="270" t="e">
        <f t="array" ref="AD80">IF(AND(AD$2&lt;&gt;0,#REF!&gt;=AD$2),1,0)</f>
        <v>#REF!</v>
      </c>
      <c r="AE80" s="270" t="e">
        <f t="array" ref="AE80">IF(AND(AE$2&lt;&gt;0,#REF!&gt;=AE$2),1,0)</f>
        <v>#REF!</v>
      </c>
      <c r="AF80" s="270" t="e">
        <f t="array" ref="AF80">IF(AND(AF$2&lt;&gt;0,#REF!&gt;=AF$2),1,0)</f>
        <v>#REF!</v>
      </c>
      <c r="AG80" s="270" t="e">
        <f t="array" ref="AG80">IF(AND(AG$2&lt;&gt;0,#REF!&gt;=AG$2),1,0)</f>
        <v>#REF!</v>
      </c>
      <c r="AH80" s="270" t="e">
        <f t="array" ref="AH80">IF(AND(AH$2&lt;&gt;0,#REF!&gt;=AH$2),1,0)</f>
        <v>#REF!</v>
      </c>
      <c r="AI80" s="270" t="e">
        <f t="array" ref="AI80">IF(AND(AI$2&lt;&gt;0,#REF!&gt;=AI$2),1,0)</f>
        <v>#REF!</v>
      </c>
      <c r="AJ80" s="270" t="e">
        <f t="array" ref="AJ80">IF(AND(AJ$2&lt;&gt;0,#REF!&gt;=AJ$2),1,0)</f>
        <v>#REF!</v>
      </c>
      <c r="AK80" s="270" t="e">
        <f t="array" ref="AK80">IF(AND(AK$2&lt;&gt;0,#REF!&gt;=AK$2),1,0)</f>
        <v>#REF!</v>
      </c>
      <c r="AL80" s="270" t="e">
        <f t="array" ref="AL80">IF(AND(AL$2&lt;&gt;0,#REF!&gt;=AL$2),1,0)</f>
        <v>#REF!</v>
      </c>
      <c r="AM80" s="270" t="e">
        <f t="array" ref="AM80">IF(AND(AM$2&lt;&gt;0,#REF!&gt;=AM$2),1,0)</f>
        <v>#REF!</v>
      </c>
      <c r="AN80" s="270" t="e">
        <f t="array" ref="AN80">IF(AND(AN$2&lt;&gt;0,#REF!&gt;=AN$2),1,0)</f>
        <v>#REF!</v>
      </c>
      <c r="AO80" s="270" t="e">
        <f t="array" ref="AO80">IF(AND(AO$2&lt;&gt;0,#REF!&gt;=AO$2),1,0)</f>
        <v>#REF!</v>
      </c>
      <c r="AP80" s="270" t="e">
        <f t="array" ref="AP80">IF(AND(AP$2&lt;&gt;0,#REF!&gt;=AP$2),1,0)</f>
        <v>#REF!</v>
      </c>
      <c r="AQ80" s="270" t="e">
        <f t="array" ref="AQ80">IF(AND(AQ$2&lt;&gt;0,#REF!&gt;=AQ$2),1,0)</f>
        <v>#REF!</v>
      </c>
      <c r="AR80" s="270" t="e">
        <f t="array" ref="AR80">IF(AND(AR$2&lt;&gt;0,#REF!&gt;=AR$2),1,0)</f>
        <v>#REF!</v>
      </c>
      <c r="AS80" s="270" t="e">
        <f t="array" ref="AS80">IF(AND(AS$2&lt;&gt;0,#REF!&gt;=AS$2),1,0)</f>
        <v>#REF!</v>
      </c>
      <c r="AT80" s="270" t="e">
        <f t="array" ref="AT80">IF(AND(AT$2&lt;&gt;0,#REF!&gt;=AT$2),1,0)</f>
        <v>#REF!</v>
      </c>
      <c r="AU80" s="270" t="e">
        <f t="array" ref="AU80">IF(AND(AU$2&lt;&gt;0,#REF!&gt;=AU$2),1,0)</f>
        <v>#REF!</v>
      </c>
      <c r="AV80" s="270" t="e">
        <f t="array" ref="AV80">IF(AND(AV$2&lt;&gt;0,#REF!&gt;=AV$2),1,0)</f>
        <v>#REF!</v>
      </c>
      <c r="AW80" s="270" t="e">
        <f t="array" ref="AW80">IF(AND(AW$2&lt;&gt;0,#REF!&gt;=AW$2),1,0)</f>
        <v>#REF!</v>
      </c>
      <c r="AX80" s="270" t="e">
        <f t="array" ref="AX80">IF(AND(AX$2&lt;&gt;0,#REF!&gt;=AX$2),1,0)</f>
        <v>#REF!</v>
      </c>
      <c r="AY80" s="270" t="e">
        <f t="array" ref="AY80">IF(AND(AY$2&lt;&gt;0,#REF!&gt;=AY$2),1,0)</f>
        <v>#REF!</v>
      </c>
      <c r="AZ80" s="270" t="e">
        <f t="array" ref="AZ80">IF(AND(AZ$2&lt;&gt;0,#REF!&gt;=AZ$2),1,0)</f>
        <v>#REF!</v>
      </c>
      <c r="BA80" s="270" t="e">
        <f t="array" ref="BA80">IF(AND(BA$2&lt;&gt;0,#REF!&gt;=BA$2),1,0)</f>
        <v>#REF!</v>
      </c>
      <c r="BB80" s="270" t="e">
        <f t="array" ref="BB80">IF(AND(BB$2&lt;&gt;0,#REF!&gt;=BB$2),1,0)</f>
        <v>#REF!</v>
      </c>
      <c r="BC80" s="270" t="e">
        <f t="array" ref="BC80">IF(AND(BC$2&lt;&gt;0,#REF!&gt;=BC$2),1,0)</f>
        <v>#REF!</v>
      </c>
      <c r="BD80" s="270" t="e">
        <f t="array" ref="BD80">IF(AND(BD$2&lt;&gt;0,#REF!&gt;=BD$2),1,0)</f>
        <v>#REF!</v>
      </c>
      <c r="BE80" s="270" t="e">
        <f t="array" ref="BE80">IF(AND(BE$2&lt;&gt;0,#REF!&gt;=BE$2),1,0)</f>
        <v>#REF!</v>
      </c>
      <c r="BF80" s="270" t="e">
        <f t="array" ref="BF80">IF(AND(BF$2&lt;&gt;0,#REF!&gt;=BF$2),1,0)</f>
        <v>#REF!</v>
      </c>
      <c r="BG80" s="270" t="e">
        <f t="array" ref="BG80">IF(AND(BG$2&lt;&gt;0,#REF!&gt;=BG$2),1,0)</f>
        <v>#REF!</v>
      </c>
      <c r="BH80" s="270" t="e">
        <f t="array" ref="BH80">IF(AND(BH$2&lt;&gt;0,#REF!&gt;=BH$2),1,0)</f>
        <v>#REF!</v>
      </c>
      <c r="BI80" s="270" t="e">
        <f t="array" ref="BI80">IF(AND(BI$2&lt;&gt;0,#REF!&gt;=BI$2),1,0)</f>
        <v>#REF!</v>
      </c>
      <c r="BJ80" s="270" t="e">
        <f t="array" ref="BJ80">IF(AND(BJ$2&lt;&gt;0,#REF!&gt;=BJ$2),1,0)</f>
        <v>#REF!</v>
      </c>
      <c r="BK80" s="270" t="e">
        <f t="array" ref="BK80">IF(AND(BK$2&lt;&gt;0,#REF!&gt;=BK$2),1,0)</f>
        <v>#REF!</v>
      </c>
      <c r="BL80" s="270" t="e">
        <f t="array" ref="BL80">IF(AND(BL$2&lt;&gt;0,#REF!&gt;=BL$2),1,0)</f>
        <v>#REF!</v>
      </c>
      <c r="BM80" s="270" t="e">
        <f t="array" ref="BM80">IF(AND(BM$2&lt;&gt;0,#REF!&gt;=BM$2),1,0)</f>
        <v>#REF!</v>
      </c>
      <c r="BN80" s="270" t="e">
        <f t="array" ref="BN80">IF(AND(BN$2&lt;&gt;0,#REF!&gt;=BN$2),1,0)</f>
        <v>#REF!</v>
      </c>
      <c r="BO80" s="270" t="e">
        <f t="array" ref="BO80">IF(AND(BO$2&lt;&gt;0,#REF!&gt;=BO$2),1,0)</f>
        <v>#REF!</v>
      </c>
      <c r="BP80" s="270" t="e">
        <f t="array" ref="BP80">IF(AND(BP$2&lt;&gt;0,#REF!&gt;=BP$2),1,0)</f>
        <v>#REF!</v>
      </c>
      <c r="BQ80" s="270" t="e">
        <f t="array" ref="BQ80">IF(AND(BQ$2&lt;&gt;0,#REF!&gt;=BQ$2),1,0)</f>
        <v>#REF!</v>
      </c>
      <c r="BR80" s="270" t="e">
        <f t="array" ref="BR80">IF(AND(BR$2&lt;&gt;0,#REF!&gt;=BR$2),1,0)</f>
        <v>#REF!</v>
      </c>
      <c r="BS80" s="270" t="e">
        <f t="array" ref="BS80">IF(AND(BS$2&lt;&gt;0,#REF!&gt;=BS$2),1,0)</f>
        <v>#REF!</v>
      </c>
      <c r="BT80" s="270" t="e">
        <f t="array" ref="BT80">IF(AND(BT$2&lt;&gt;0,#REF!&gt;=BT$2),1,0)</f>
        <v>#REF!</v>
      </c>
      <c r="BU80" s="270" t="e">
        <f t="array" ref="BU80">IF(AND(BU$2&lt;&gt;0,#REF!&gt;=BU$2),1,0)</f>
        <v>#REF!</v>
      </c>
      <c r="BV80" s="270" t="e">
        <f t="array" ref="BV80">IF(AND(BV$2&lt;&gt;0,#REF!&gt;=BV$2),1,0)</f>
        <v>#REF!</v>
      </c>
      <c r="BW80" s="270" t="e">
        <f t="array" ref="BW80">IF(AND(BW$2&lt;&gt;0,#REF!&gt;=BW$2),1,0)</f>
        <v>#REF!</v>
      </c>
      <c r="BX80" s="270" t="e">
        <f t="array" ref="BX80">IF(AND(BX$2&lt;&gt;0,#REF!&gt;=BX$2),1,0)</f>
        <v>#REF!</v>
      </c>
      <c r="BY80" s="270" t="e">
        <f t="array" ref="BY80">IF(AND(BY$2&lt;&gt;0,#REF!&gt;=BY$2),1,0)</f>
        <v>#REF!</v>
      </c>
      <c r="BZ80" s="270" t="e">
        <f t="array" ref="BZ80">IF(AND(BZ$2&lt;&gt;0,#REF!&gt;=BZ$2),1,0)</f>
        <v>#REF!</v>
      </c>
      <c r="CA80" s="359">
        <f>IFERROR(INDEX($H$4:$H$79,MATCH(INDEX(#REF!,1,MATCH(#REF!,$M$2:$BZ$2,0)),$G$4:$G$79,0)),)</f>
        <v>0</v>
      </c>
    </row>
    <row r="81" spans="1:79" x14ac:dyDescent="0.25">
      <c r="A81" s="262" t="e">
        <f>#REF!</f>
        <v>#REF!</v>
      </c>
      <c r="B81" s="263" t="e">
        <f>#REF!</f>
        <v>#REF!</v>
      </c>
      <c r="C81" s="264" t="e">
        <f>#REF!</f>
        <v>#REF!</v>
      </c>
      <c r="D81" s="264" t="e">
        <f>#REF!</f>
        <v>#REF!</v>
      </c>
      <c r="E81" s="273"/>
      <c r="F81" s="274"/>
      <c r="G81" s="267"/>
      <c r="H81" s="268"/>
      <c r="I81" s="268"/>
      <c r="J81" s="268"/>
      <c r="K81" s="89" t="e">
        <f ca="1">IF(#REF!&lt;&gt;OFFSET(#REF!,-1,0),1,0)</f>
        <v>#REF!</v>
      </c>
      <c r="L81" s="269" t="e">
        <f>COUNTIF(#REF!,1)</f>
        <v>#REF!</v>
      </c>
      <c r="M81" s="270" t="e">
        <f t="array" ref="M81">IF(AND(M$2&lt;&gt;0,#REF!&gt;=M$2),1,0)</f>
        <v>#REF!</v>
      </c>
      <c r="N81" s="270" t="e">
        <f t="array" ref="N81">IF(AND(N$2&lt;&gt;0,#REF!&gt;=N$2),1,0)</f>
        <v>#REF!</v>
      </c>
      <c r="O81" s="270" t="e">
        <f t="array" ref="O81">IF(AND(O$2&lt;&gt;0,#REF!&gt;=O$2),1,0)</f>
        <v>#REF!</v>
      </c>
      <c r="P81" s="270" t="e">
        <f t="array" ref="P81">IF(AND(P$2&lt;&gt;0,#REF!&gt;=P$2),1,0)</f>
        <v>#REF!</v>
      </c>
      <c r="Q81" s="270" t="e">
        <f t="array" ref="Q81">IF(AND(Q$2&lt;&gt;0,#REF!&gt;=Q$2),1,0)</f>
        <v>#REF!</v>
      </c>
      <c r="R81" s="270" t="e">
        <f t="array" ref="R81">IF(AND(R$2&lt;&gt;0,#REF!&gt;=R$2),1,0)</f>
        <v>#REF!</v>
      </c>
      <c r="S81" s="270" t="e">
        <f t="array" ref="S81">IF(AND(S$2&lt;&gt;0,#REF!&gt;=S$2),1,0)</f>
        <v>#REF!</v>
      </c>
      <c r="T81" s="270" t="e">
        <f t="array" ref="T81">IF(AND(T$2&lt;&gt;0,#REF!&gt;=T$2),1,0)</f>
        <v>#REF!</v>
      </c>
      <c r="U81" s="270" t="e">
        <f t="array" ref="U81">IF(AND(U$2&lt;&gt;0,#REF!&gt;=U$2),1,0)</f>
        <v>#REF!</v>
      </c>
      <c r="V81" s="270" t="e">
        <f t="array" ref="V81">IF(AND(V$2&lt;&gt;0,#REF!&gt;=V$2),1,0)</f>
        <v>#REF!</v>
      </c>
      <c r="W81" s="270" t="e">
        <f t="array" ref="W81">IF(AND(W$2&lt;&gt;0,#REF!&gt;=W$2),1,0)</f>
        <v>#REF!</v>
      </c>
      <c r="X81" s="270" t="e">
        <f t="array" ref="X81">IF(AND(X$2&lt;&gt;0,#REF!&gt;=X$2),1,0)</f>
        <v>#REF!</v>
      </c>
      <c r="Y81" s="270" t="e">
        <f t="array" ref="Y81">IF(AND(Y$2&lt;&gt;0,#REF!&gt;=Y$2),1,0)</f>
        <v>#REF!</v>
      </c>
      <c r="Z81" s="270" t="e">
        <f t="array" ref="Z81">IF(AND(Z$2&lt;&gt;0,#REF!&gt;=Z$2),1,0)</f>
        <v>#REF!</v>
      </c>
      <c r="AA81" s="270" t="e">
        <f t="array" ref="AA81">IF(AND(AA$2&lt;&gt;0,#REF!&gt;=AA$2),1,0)</f>
        <v>#REF!</v>
      </c>
      <c r="AB81" s="270" t="e">
        <f t="array" ref="AB81">IF(AND(AB$2&lt;&gt;0,#REF!&gt;=AB$2),1,0)</f>
        <v>#REF!</v>
      </c>
      <c r="AC81" s="270" t="e">
        <f t="array" ref="AC81">IF(AND(AC$2&lt;&gt;0,#REF!&gt;=AC$2),1,0)</f>
        <v>#REF!</v>
      </c>
      <c r="AD81" s="270" t="e">
        <f t="array" ref="AD81">IF(AND(AD$2&lt;&gt;0,#REF!&gt;=AD$2),1,0)</f>
        <v>#REF!</v>
      </c>
      <c r="AE81" s="270" t="e">
        <f t="array" ref="AE81">IF(AND(AE$2&lt;&gt;0,#REF!&gt;=AE$2),1,0)</f>
        <v>#REF!</v>
      </c>
      <c r="AF81" s="270" t="e">
        <f t="array" ref="AF81">IF(AND(AF$2&lt;&gt;0,#REF!&gt;=AF$2),1,0)</f>
        <v>#REF!</v>
      </c>
      <c r="AG81" s="270" t="e">
        <f t="array" ref="AG81">IF(AND(AG$2&lt;&gt;0,#REF!&gt;=AG$2),1,0)</f>
        <v>#REF!</v>
      </c>
      <c r="AH81" s="270" t="e">
        <f t="array" ref="AH81">IF(AND(AH$2&lt;&gt;0,#REF!&gt;=AH$2),1,0)</f>
        <v>#REF!</v>
      </c>
      <c r="AI81" s="270" t="e">
        <f t="array" ref="AI81">IF(AND(AI$2&lt;&gt;0,#REF!&gt;=AI$2),1,0)</f>
        <v>#REF!</v>
      </c>
      <c r="AJ81" s="270" t="e">
        <f t="array" ref="AJ81">IF(AND(AJ$2&lt;&gt;0,#REF!&gt;=AJ$2),1,0)</f>
        <v>#REF!</v>
      </c>
      <c r="AK81" s="270" t="e">
        <f t="array" ref="AK81">IF(AND(AK$2&lt;&gt;0,#REF!&gt;=AK$2),1,0)</f>
        <v>#REF!</v>
      </c>
      <c r="AL81" s="270" t="e">
        <f t="array" ref="AL81">IF(AND(AL$2&lt;&gt;0,#REF!&gt;=AL$2),1,0)</f>
        <v>#REF!</v>
      </c>
      <c r="AM81" s="270" t="e">
        <f t="array" ref="AM81">IF(AND(AM$2&lt;&gt;0,#REF!&gt;=AM$2),1,0)</f>
        <v>#REF!</v>
      </c>
      <c r="AN81" s="270" t="e">
        <f t="array" ref="AN81">IF(AND(AN$2&lt;&gt;0,#REF!&gt;=AN$2),1,0)</f>
        <v>#REF!</v>
      </c>
      <c r="AO81" s="270" t="e">
        <f t="array" ref="AO81">IF(AND(AO$2&lt;&gt;0,#REF!&gt;=AO$2),1,0)</f>
        <v>#REF!</v>
      </c>
      <c r="AP81" s="270" t="e">
        <f t="array" ref="AP81">IF(AND(AP$2&lt;&gt;0,#REF!&gt;=AP$2),1,0)</f>
        <v>#REF!</v>
      </c>
      <c r="AQ81" s="270" t="e">
        <f t="array" ref="AQ81">IF(AND(AQ$2&lt;&gt;0,#REF!&gt;=AQ$2),1,0)</f>
        <v>#REF!</v>
      </c>
      <c r="AR81" s="270" t="e">
        <f t="array" ref="AR81">IF(AND(AR$2&lt;&gt;0,#REF!&gt;=AR$2),1,0)</f>
        <v>#REF!</v>
      </c>
      <c r="AS81" s="270" t="e">
        <f t="array" ref="AS81">IF(AND(AS$2&lt;&gt;0,#REF!&gt;=AS$2),1,0)</f>
        <v>#REF!</v>
      </c>
      <c r="AT81" s="270" t="e">
        <f t="array" ref="AT81">IF(AND(AT$2&lt;&gt;0,#REF!&gt;=AT$2),1,0)</f>
        <v>#REF!</v>
      </c>
      <c r="AU81" s="270" t="e">
        <f t="array" ref="AU81">IF(AND(AU$2&lt;&gt;0,#REF!&gt;=AU$2),1,0)</f>
        <v>#REF!</v>
      </c>
      <c r="AV81" s="270" t="e">
        <f t="array" ref="AV81">IF(AND(AV$2&lt;&gt;0,#REF!&gt;=AV$2),1,0)</f>
        <v>#REF!</v>
      </c>
      <c r="AW81" s="270" t="e">
        <f t="array" ref="AW81">IF(AND(AW$2&lt;&gt;0,#REF!&gt;=AW$2),1,0)</f>
        <v>#REF!</v>
      </c>
      <c r="AX81" s="270" t="e">
        <f t="array" ref="AX81">IF(AND(AX$2&lt;&gt;0,#REF!&gt;=AX$2),1,0)</f>
        <v>#REF!</v>
      </c>
      <c r="AY81" s="270" t="e">
        <f t="array" ref="AY81">IF(AND(AY$2&lt;&gt;0,#REF!&gt;=AY$2),1,0)</f>
        <v>#REF!</v>
      </c>
      <c r="AZ81" s="270" t="e">
        <f t="array" ref="AZ81">IF(AND(AZ$2&lt;&gt;0,#REF!&gt;=AZ$2),1,0)</f>
        <v>#REF!</v>
      </c>
      <c r="BA81" s="270" t="e">
        <f t="array" ref="BA81">IF(AND(BA$2&lt;&gt;0,#REF!&gt;=BA$2),1,0)</f>
        <v>#REF!</v>
      </c>
      <c r="BB81" s="270" t="e">
        <f t="array" ref="BB81">IF(AND(BB$2&lt;&gt;0,#REF!&gt;=BB$2),1,0)</f>
        <v>#REF!</v>
      </c>
      <c r="BC81" s="270" t="e">
        <f t="array" ref="BC81">IF(AND(BC$2&lt;&gt;0,#REF!&gt;=BC$2),1,0)</f>
        <v>#REF!</v>
      </c>
      <c r="BD81" s="270" t="e">
        <f t="array" ref="BD81">IF(AND(BD$2&lt;&gt;0,#REF!&gt;=BD$2),1,0)</f>
        <v>#REF!</v>
      </c>
      <c r="BE81" s="270" t="e">
        <f t="array" ref="BE81">IF(AND(BE$2&lt;&gt;0,#REF!&gt;=BE$2),1,0)</f>
        <v>#REF!</v>
      </c>
      <c r="BF81" s="270" t="e">
        <f t="array" ref="BF81">IF(AND(BF$2&lt;&gt;0,#REF!&gt;=BF$2),1,0)</f>
        <v>#REF!</v>
      </c>
      <c r="BG81" s="270" t="e">
        <f t="array" ref="BG81">IF(AND(BG$2&lt;&gt;0,#REF!&gt;=BG$2),1,0)</f>
        <v>#REF!</v>
      </c>
      <c r="BH81" s="270" t="e">
        <f t="array" ref="BH81">IF(AND(BH$2&lt;&gt;0,#REF!&gt;=BH$2),1,0)</f>
        <v>#REF!</v>
      </c>
      <c r="BI81" s="270" t="e">
        <f t="array" ref="BI81">IF(AND(BI$2&lt;&gt;0,#REF!&gt;=BI$2),1,0)</f>
        <v>#REF!</v>
      </c>
      <c r="BJ81" s="270" t="e">
        <f t="array" ref="BJ81">IF(AND(BJ$2&lt;&gt;0,#REF!&gt;=BJ$2),1,0)</f>
        <v>#REF!</v>
      </c>
      <c r="BK81" s="270" t="e">
        <f t="array" ref="BK81">IF(AND(BK$2&lt;&gt;0,#REF!&gt;=BK$2),1,0)</f>
        <v>#REF!</v>
      </c>
      <c r="BL81" s="270" t="e">
        <f t="array" ref="BL81">IF(AND(BL$2&lt;&gt;0,#REF!&gt;=BL$2),1,0)</f>
        <v>#REF!</v>
      </c>
      <c r="BM81" s="270" t="e">
        <f t="array" ref="BM81">IF(AND(BM$2&lt;&gt;0,#REF!&gt;=BM$2),1,0)</f>
        <v>#REF!</v>
      </c>
      <c r="BN81" s="270" t="e">
        <f t="array" ref="BN81">IF(AND(BN$2&lt;&gt;0,#REF!&gt;=BN$2),1,0)</f>
        <v>#REF!</v>
      </c>
      <c r="BO81" s="270" t="e">
        <f t="array" ref="BO81">IF(AND(BO$2&lt;&gt;0,#REF!&gt;=BO$2),1,0)</f>
        <v>#REF!</v>
      </c>
      <c r="BP81" s="270" t="e">
        <f t="array" ref="BP81">IF(AND(BP$2&lt;&gt;0,#REF!&gt;=BP$2),1,0)</f>
        <v>#REF!</v>
      </c>
      <c r="BQ81" s="270" t="e">
        <f t="array" ref="BQ81">IF(AND(BQ$2&lt;&gt;0,#REF!&gt;=BQ$2),1,0)</f>
        <v>#REF!</v>
      </c>
      <c r="BR81" s="270" t="e">
        <f t="array" ref="BR81">IF(AND(BR$2&lt;&gt;0,#REF!&gt;=BR$2),1,0)</f>
        <v>#REF!</v>
      </c>
      <c r="BS81" s="270" t="e">
        <f t="array" ref="BS81">IF(AND(BS$2&lt;&gt;0,#REF!&gt;=BS$2),1,0)</f>
        <v>#REF!</v>
      </c>
      <c r="BT81" s="270" t="e">
        <f t="array" ref="BT81">IF(AND(BT$2&lt;&gt;0,#REF!&gt;=BT$2),1,0)</f>
        <v>#REF!</v>
      </c>
      <c r="BU81" s="270" t="e">
        <f t="array" ref="BU81">IF(AND(BU$2&lt;&gt;0,#REF!&gt;=BU$2),1,0)</f>
        <v>#REF!</v>
      </c>
      <c r="BV81" s="270" t="e">
        <f t="array" ref="BV81">IF(AND(BV$2&lt;&gt;0,#REF!&gt;=BV$2),1,0)</f>
        <v>#REF!</v>
      </c>
      <c r="BW81" s="270" t="e">
        <f t="array" ref="BW81">IF(AND(BW$2&lt;&gt;0,#REF!&gt;=BW$2),1,0)</f>
        <v>#REF!</v>
      </c>
      <c r="BX81" s="270" t="e">
        <f t="array" ref="BX81">IF(AND(BX$2&lt;&gt;0,#REF!&gt;=BX$2),1,0)</f>
        <v>#REF!</v>
      </c>
      <c r="BY81" s="270" t="e">
        <f t="array" ref="BY81">IF(AND(BY$2&lt;&gt;0,#REF!&gt;=BY$2),1,0)</f>
        <v>#REF!</v>
      </c>
      <c r="BZ81" s="270" t="e">
        <f t="array" ref="BZ81">IF(AND(BZ$2&lt;&gt;0,#REF!&gt;=BZ$2),1,0)</f>
        <v>#REF!</v>
      </c>
      <c r="CA81" s="359">
        <f>IFERROR(INDEX($H$4:$H$79,MATCH(INDEX(#REF!,1,MATCH(#REF!,$M$2:$BZ$2,0)),$G$4:$G$79,0)),)</f>
        <v>0</v>
      </c>
    </row>
    <row r="82" spans="1:79" x14ac:dyDescent="0.25">
      <c r="A82" s="262" t="e">
        <f>#REF!</f>
        <v>#REF!</v>
      </c>
      <c r="B82" s="263" t="e">
        <f>#REF!</f>
        <v>#REF!</v>
      </c>
      <c r="C82" s="264" t="e">
        <f>#REF!</f>
        <v>#REF!</v>
      </c>
      <c r="D82" s="264" t="e">
        <f>#REF!</f>
        <v>#REF!</v>
      </c>
      <c r="E82" s="273"/>
      <c r="F82" s="274"/>
      <c r="G82" s="267" t="s">
        <v>980</v>
      </c>
      <c r="H82" s="268"/>
      <c r="I82" s="268"/>
      <c r="J82" s="268"/>
      <c r="K82" s="89" t="e">
        <f ca="1">IF(#REF!&lt;&gt;OFFSET(#REF!,-1,0),1,0)</f>
        <v>#REF!</v>
      </c>
      <c r="L82" s="269" t="e">
        <f>COUNTIF(#REF!,1)</f>
        <v>#REF!</v>
      </c>
      <c r="M82" s="270" t="e">
        <f t="array" ref="M82">IF(AND(M$2&lt;&gt;0,#REF!&gt;=M$2),1,0)</f>
        <v>#REF!</v>
      </c>
      <c r="N82" s="270" t="e">
        <f t="array" ref="N82">IF(AND(N$2&lt;&gt;0,#REF!&gt;=N$2),1,0)</f>
        <v>#REF!</v>
      </c>
      <c r="O82" s="270" t="e">
        <f t="array" ref="O82">IF(AND(O$2&lt;&gt;0,#REF!&gt;=O$2),1,0)</f>
        <v>#REF!</v>
      </c>
      <c r="P82" s="270" t="e">
        <f t="array" ref="P82">IF(AND(P$2&lt;&gt;0,#REF!&gt;=P$2),1,0)</f>
        <v>#REF!</v>
      </c>
      <c r="Q82" s="270" t="e">
        <f t="array" ref="Q82">IF(AND(Q$2&lt;&gt;0,#REF!&gt;=Q$2),1,0)</f>
        <v>#REF!</v>
      </c>
      <c r="R82" s="270" t="e">
        <f t="array" ref="R82">IF(AND(R$2&lt;&gt;0,#REF!&gt;=R$2),1,0)</f>
        <v>#REF!</v>
      </c>
      <c r="S82" s="270" t="e">
        <f t="array" ref="S82">IF(AND(S$2&lt;&gt;0,#REF!&gt;=S$2),1,0)</f>
        <v>#REF!</v>
      </c>
      <c r="T82" s="270" t="e">
        <f t="array" ref="T82">IF(AND(T$2&lt;&gt;0,#REF!&gt;=T$2),1,0)</f>
        <v>#REF!</v>
      </c>
      <c r="U82" s="270" t="e">
        <f t="array" ref="U82">IF(AND(U$2&lt;&gt;0,#REF!&gt;=U$2),1,0)</f>
        <v>#REF!</v>
      </c>
      <c r="V82" s="270" t="e">
        <f t="array" ref="V82">IF(AND(V$2&lt;&gt;0,#REF!&gt;=V$2),1,0)</f>
        <v>#REF!</v>
      </c>
      <c r="W82" s="270" t="e">
        <f t="array" ref="W82">IF(AND(W$2&lt;&gt;0,#REF!&gt;=W$2),1,0)</f>
        <v>#REF!</v>
      </c>
      <c r="X82" s="270" t="e">
        <f t="array" ref="X82">IF(AND(X$2&lt;&gt;0,#REF!&gt;=X$2),1,0)</f>
        <v>#REF!</v>
      </c>
      <c r="Y82" s="270" t="e">
        <f t="array" ref="Y82">IF(AND(Y$2&lt;&gt;0,#REF!&gt;=Y$2),1,0)</f>
        <v>#REF!</v>
      </c>
      <c r="Z82" s="270" t="e">
        <f t="array" ref="Z82">IF(AND(Z$2&lt;&gt;0,#REF!&gt;=Z$2),1,0)</f>
        <v>#REF!</v>
      </c>
      <c r="AA82" s="270" t="e">
        <f t="array" ref="AA82">IF(AND(AA$2&lt;&gt;0,#REF!&gt;=AA$2),1,0)</f>
        <v>#REF!</v>
      </c>
      <c r="AB82" s="270" t="e">
        <f t="array" ref="AB82">IF(AND(AB$2&lt;&gt;0,#REF!&gt;=AB$2),1,0)</f>
        <v>#REF!</v>
      </c>
      <c r="AC82" s="270" t="e">
        <f t="array" ref="AC82">IF(AND(AC$2&lt;&gt;0,#REF!&gt;=AC$2),1,0)</f>
        <v>#REF!</v>
      </c>
      <c r="AD82" s="270" t="e">
        <f t="array" ref="AD82">IF(AND(AD$2&lt;&gt;0,#REF!&gt;=AD$2),1,0)</f>
        <v>#REF!</v>
      </c>
      <c r="AE82" s="270" t="e">
        <f t="array" ref="AE82">IF(AND(AE$2&lt;&gt;0,#REF!&gt;=AE$2),1,0)</f>
        <v>#REF!</v>
      </c>
      <c r="AF82" s="270" t="e">
        <f t="array" ref="AF82">IF(AND(AF$2&lt;&gt;0,#REF!&gt;=AF$2),1,0)</f>
        <v>#REF!</v>
      </c>
      <c r="AG82" s="270" t="e">
        <f t="array" ref="AG82">IF(AND(AG$2&lt;&gt;0,#REF!&gt;=AG$2),1,0)</f>
        <v>#REF!</v>
      </c>
      <c r="AH82" s="270" t="e">
        <f t="array" ref="AH82">IF(AND(AH$2&lt;&gt;0,#REF!&gt;=AH$2),1,0)</f>
        <v>#REF!</v>
      </c>
      <c r="AI82" s="270" t="e">
        <f t="array" ref="AI82">IF(AND(AI$2&lt;&gt;0,#REF!&gt;=AI$2),1,0)</f>
        <v>#REF!</v>
      </c>
      <c r="AJ82" s="270" t="e">
        <f t="array" ref="AJ82">IF(AND(AJ$2&lt;&gt;0,#REF!&gt;=AJ$2),1,0)</f>
        <v>#REF!</v>
      </c>
      <c r="AK82" s="270" t="e">
        <f t="array" ref="AK82">IF(AND(AK$2&lt;&gt;0,#REF!&gt;=AK$2),1,0)</f>
        <v>#REF!</v>
      </c>
      <c r="AL82" s="270" t="e">
        <f t="array" ref="AL82">IF(AND(AL$2&lt;&gt;0,#REF!&gt;=AL$2),1,0)</f>
        <v>#REF!</v>
      </c>
      <c r="AM82" s="270" t="e">
        <f t="array" ref="AM82">IF(AND(AM$2&lt;&gt;0,#REF!&gt;=AM$2),1,0)</f>
        <v>#REF!</v>
      </c>
      <c r="AN82" s="270" t="e">
        <f t="array" ref="AN82">IF(AND(AN$2&lt;&gt;0,#REF!&gt;=AN$2),1,0)</f>
        <v>#REF!</v>
      </c>
      <c r="AO82" s="270" t="e">
        <f t="array" ref="AO82">IF(AND(AO$2&lt;&gt;0,#REF!&gt;=AO$2),1,0)</f>
        <v>#REF!</v>
      </c>
      <c r="AP82" s="270" t="e">
        <f t="array" ref="AP82">IF(AND(AP$2&lt;&gt;0,#REF!&gt;=AP$2),1,0)</f>
        <v>#REF!</v>
      </c>
      <c r="AQ82" s="270" t="e">
        <f t="array" ref="AQ82">IF(AND(AQ$2&lt;&gt;0,#REF!&gt;=AQ$2),1,0)</f>
        <v>#REF!</v>
      </c>
      <c r="AR82" s="270" t="e">
        <f t="array" ref="AR82">IF(AND(AR$2&lt;&gt;0,#REF!&gt;=AR$2),1,0)</f>
        <v>#REF!</v>
      </c>
      <c r="AS82" s="270" t="e">
        <f t="array" ref="AS82">IF(AND(AS$2&lt;&gt;0,#REF!&gt;=AS$2),1,0)</f>
        <v>#REF!</v>
      </c>
      <c r="AT82" s="270" t="e">
        <f t="array" ref="AT82">IF(AND(AT$2&lt;&gt;0,#REF!&gt;=AT$2),1,0)</f>
        <v>#REF!</v>
      </c>
      <c r="AU82" s="270" t="e">
        <f t="array" ref="AU82">IF(AND(AU$2&lt;&gt;0,#REF!&gt;=AU$2),1,0)</f>
        <v>#REF!</v>
      </c>
      <c r="AV82" s="270" t="e">
        <f t="array" ref="AV82">IF(AND(AV$2&lt;&gt;0,#REF!&gt;=AV$2),1,0)</f>
        <v>#REF!</v>
      </c>
      <c r="AW82" s="270" t="e">
        <f t="array" ref="AW82">IF(AND(AW$2&lt;&gt;0,#REF!&gt;=AW$2),1,0)</f>
        <v>#REF!</v>
      </c>
      <c r="AX82" s="270" t="e">
        <f t="array" ref="AX82">IF(AND(AX$2&lt;&gt;0,#REF!&gt;=AX$2),1,0)</f>
        <v>#REF!</v>
      </c>
      <c r="AY82" s="270" t="e">
        <f t="array" ref="AY82">IF(AND(AY$2&lt;&gt;0,#REF!&gt;=AY$2),1,0)</f>
        <v>#REF!</v>
      </c>
      <c r="AZ82" s="270" t="e">
        <f t="array" ref="AZ82">IF(AND(AZ$2&lt;&gt;0,#REF!&gt;=AZ$2),1,0)</f>
        <v>#REF!</v>
      </c>
      <c r="BA82" s="270" t="e">
        <f t="array" ref="BA82">IF(AND(BA$2&lt;&gt;0,#REF!&gt;=BA$2),1,0)</f>
        <v>#REF!</v>
      </c>
      <c r="BB82" s="270" t="e">
        <f t="array" ref="BB82">IF(AND(BB$2&lt;&gt;0,#REF!&gt;=BB$2),1,0)</f>
        <v>#REF!</v>
      </c>
      <c r="BC82" s="270" t="e">
        <f t="array" ref="BC82">IF(AND(BC$2&lt;&gt;0,#REF!&gt;=BC$2),1,0)</f>
        <v>#REF!</v>
      </c>
      <c r="BD82" s="270" t="e">
        <f t="array" ref="BD82">IF(AND(BD$2&lt;&gt;0,#REF!&gt;=BD$2),1,0)</f>
        <v>#REF!</v>
      </c>
      <c r="BE82" s="270" t="e">
        <f t="array" ref="BE82">IF(AND(BE$2&lt;&gt;0,#REF!&gt;=BE$2),1,0)</f>
        <v>#REF!</v>
      </c>
      <c r="BF82" s="270" t="e">
        <f t="array" ref="BF82">IF(AND(BF$2&lt;&gt;0,#REF!&gt;=BF$2),1,0)</f>
        <v>#REF!</v>
      </c>
      <c r="BG82" s="270" t="e">
        <f t="array" ref="BG82">IF(AND(BG$2&lt;&gt;0,#REF!&gt;=BG$2),1,0)</f>
        <v>#REF!</v>
      </c>
      <c r="BH82" s="270" t="e">
        <f t="array" ref="BH82">IF(AND(BH$2&lt;&gt;0,#REF!&gt;=BH$2),1,0)</f>
        <v>#REF!</v>
      </c>
      <c r="BI82" s="270" t="e">
        <f t="array" ref="BI82">IF(AND(BI$2&lt;&gt;0,#REF!&gt;=BI$2),1,0)</f>
        <v>#REF!</v>
      </c>
      <c r="BJ82" s="270" t="e">
        <f t="array" ref="BJ82">IF(AND(BJ$2&lt;&gt;0,#REF!&gt;=BJ$2),1,0)</f>
        <v>#REF!</v>
      </c>
      <c r="BK82" s="270" t="e">
        <f t="array" ref="BK82">IF(AND(BK$2&lt;&gt;0,#REF!&gt;=BK$2),1,0)</f>
        <v>#REF!</v>
      </c>
      <c r="BL82" s="270" t="e">
        <f t="array" ref="BL82">IF(AND(BL$2&lt;&gt;0,#REF!&gt;=BL$2),1,0)</f>
        <v>#REF!</v>
      </c>
      <c r="BM82" s="270" t="e">
        <f t="array" ref="BM82">IF(AND(BM$2&lt;&gt;0,#REF!&gt;=BM$2),1,0)</f>
        <v>#REF!</v>
      </c>
      <c r="BN82" s="270" t="e">
        <f t="array" ref="BN82">IF(AND(BN$2&lt;&gt;0,#REF!&gt;=BN$2),1,0)</f>
        <v>#REF!</v>
      </c>
      <c r="BO82" s="270" t="e">
        <f t="array" ref="BO82">IF(AND(BO$2&lt;&gt;0,#REF!&gt;=BO$2),1,0)</f>
        <v>#REF!</v>
      </c>
      <c r="BP82" s="270" t="e">
        <f t="array" ref="BP82">IF(AND(BP$2&lt;&gt;0,#REF!&gt;=BP$2),1,0)</f>
        <v>#REF!</v>
      </c>
      <c r="BQ82" s="270" t="e">
        <f t="array" ref="BQ82">IF(AND(BQ$2&lt;&gt;0,#REF!&gt;=BQ$2),1,0)</f>
        <v>#REF!</v>
      </c>
      <c r="BR82" s="270" t="e">
        <f t="array" ref="BR82">IF(AND(BR$2&lt;&gt;0,#REF!&gt;=BR$2),1,0)</f>
        <v>#REF!</v>
      </c>
      <c r="BS82" s="270" t="e">
        <f t="array" ref="BS82">IF(AND(BS$2&lt;&gt;0,#REF!&gt;=BS$2),1,0)</f>
        <v>#REF!</v>
      </c>
      <c r="BT82" s="270" t="e">
        <f t="array" ref="BT82">IF(AND(BT$2&lt;&gt;0,#REF!&gt;=BT$2),1,0)</f>
        <v>#REF!</v>
      </c>
      <c r="BU82" s="270" t="e">
        <f t="array" ref="BU82">IF(AND(BU$2&lt;&gt;0,#REF!&gt;=BU$2),1,0)</f>
        <v>#REF!</v>
      </c>
      <c r="BV82" s="270" t="e">
        <f t="array" ref="BV82">IF(AND(BV$2&lt;&gt;0,#REF!&gt;=BV$2),1,0)</f>
        <v>#REF!</v>
      </c>
      <c r="BW82" s="270" t="e">
        <f t="array" ref="BW82">IF(AND(BW$2&lt;&gt;0,#REF!&gt;=BW$2),1,0)</f>
        <v>#REF!</v>
      </c>
      <c r="BX82" s="270" t="e">
        <f t="array" ref="BX82">IF(AND(BX$2&lt;&gt;0,#REF!&gt;=BX$2),1,0)</f>
        <v>#REF!</v>
      </c>
      <c r="BY82" s="270" t="e">
        <f t="array" ref="BY82">IF(AND(BY$2&lt;&gt;0,#REF!&gt;=BY$2),1,0)</f>
        <v>#REF!</v>
      </c>
      <c r="BZ82" s="270" t="e">
        <f t="array" ref="BZ82">IF(AND(BZ$2&lt;&gt;0,#REF!&gt;=BZ$2),1,0)</f>
        <v>#REF!</v>
      </c>
      <c r="CA82" s="359">
        <f>IFERROR(INDEX($H$4:$H$79,MATCH(INDEX(#REF!,1,MATCH(#REF!,$M$2:$BZ$2,0)),$G$4:$G$79,0)),)</f>
        <v>0</v>
      </c>
    </row>
    <row r="83" spans="1:79" x14ac:dyDescent="0.25">
      <c r="A83" s="262" t="e">
        <f>#REF!</f>
        <v>#REF!</v>
      </c>
      <c r="B83" s="263" t="e">
        <f>#REF!</f>
        <v>#REF!</v>
      </c>
      <c r="C83" s="264" t="e">
        <f>#REF!</f>
        <v>#REF!</v>
      </c>
      <c r="D83" s="264" t="e">
        <f>#REF!</f>
        <v>#REF!</v>
      </c>
      <c r="E83" s="273"/>
      <c r="F83" s="274"/>
      <c r="G83" s="267"/>
      <c r="H83" s="268"/>
      <c r="I83" s="268"/>
      <c r="J83" s="268"/>
      <c r="K83" s="89" t="e">
        <f ca="1">IF(#REF!&lt;&gt;OFFSET(#REF!,-1,0),1,0)</f>
        <v>#REF!</v>
      </c>
      <c r="L83" s="269" t="e">
        <f>COUNTIF(#REF!,1)</f>
        <v>#REF!</v>
      </c>
      <c r="M83" s="270" t="e">
        <f t="array" ref="M83">IF(AND(M$2&lt;&gt;0,#REF!&gt;=M$2),1,0)</f>
        <v>#REF!</v>
      </c>
      <c r="N83" s="270" t="e">
        <f t="array" ref="N83">IF(AND(N$2&lt;&gt;0,#REF!&gt;=N$2),1,0)</f>
        <v>#REF!</v>
      </c>
      <c r="O83" s="270" t="e">
        <f t="array" ref="O83">IF(AND(O$2&lt;&gt;0,#REF!&gt;=O$2),1,0)</f>
        <v>#REF!</v>
      </c>
      <c r="P83" s="270" t="e">
        <f t="array" ref="P83">IF(AND(P$2&lt;&gt;0,#REF!&gt;=P$2),1,0)</f>
        <v>#REF!</v>
      </c>
      <c r="Q83" s="270" t="e">
        <f t="array" ref="Q83">IF(AND(Q$2&lt;&gt;0,#REF!&gt;=Q$2),1,0)</f>
        <v>#REF!</v>
      </c>
      <c r="R83" s="270" t="e">
        <f t="array" ref="R83">IF(AND(R$2&lt;&gt;0,#REF!&gt;=R$2),1,0)</f>
        <v>#REF!</v>
      </c>
      <c r="S83" s="270" t="e">
        <f t="array" ref="S83">IF(AND(S$2&lt;&gt;0,#REF!&gt;=S$2),1,0)</f>
        <v>#REF!</v>
      </c>
      <c r="T83" s="270" t="e">
        <f t="array" ref="T83">IF(AND(T$2&lt;&gt;0,#REF!&gt;=T$2),1,0)</f>
        <v>#REF!</v>
      </c>
      <c r="U83" s="270" t="e">
        <f t="array" ref="U83">IF(AND(U$2&lt;&gt;0,#REF!&gt;=U$2),1,0)</f>
        <v>#REF!</v>
      </c>
      <c r="V83" s="270" t="e">
        <f t="array" ref="V83">IF(AND(V$2&lt;&gt;0,#REF!&gt;=V$2),1,0)</f>
        <v>#REF!</v>
      </c>
      <c r="W83" s="270" t="e">
        <f t="array" ref="W83">IF(AND(W$2&lt;&gt;0,#REF!&gt;=W$2),1,0)</f>
        <v>#REF!</v>
      </c>
      <c r="X83" s="270" t="e">
        <f t="array" ref="X83">IF(AND(X$2&lt;&gt;0,#REF!&gt;=X$2),1,0)</f>
        <v>#REF!</v>
      </c>
      <c r="Y83" s="270" t="e">
        <f t="array" ref="Y83">IF(AND(Y$2&lt;&gt;0,#REF!&gt;=Y$2),1,0)</f>
        <v>#REF!</v>
      </c>
      <c r="Z83" s="270" t="e">
        <f t="array" ref="Z83">IF(AND(Z$2&lt;&gt;0,#REF!&gt;=Z$2),1,0)</f>
        <v>#REF!</v>
      </c>
      <c r="AA83" s="270" t="e">
        <f t="array" ref="AA83">IF(AND(AA$2&lt;&gt;0,#REF!&gt;=AA$2),1,0)</f>
        <v>#REF!</v>
      </c>
      <c r="AB83" s="270" t="e">
        <f t="array" ref="AB83">IF(AND(AB$2&lt;&gt;0,#REF!&gt;=AB$2),1,0)</f>
        <v>#REF!</v>
      </c>
      <c r="AC83" s="270" t="e">
        <f t="array" ref="AC83">IF(AND(AC$2&lt;&gt;0,#REF!&gt;=AC$2),1,0)</f>
        <v>#REF!</v>
      </c>
      <c r="AD83" s="270" t="e">
        <f t="array" ref="AD83">IF(AND(AD$2&lt;&gt;0,#REF!&gt;=AD$2),1,0)</f>
        <v>#REF!</v>
      </c>
      <c r="AE83" s="270" t="e">
        <f t="array" ref="AE83">IF(AND(AE$2&lt;&gt;0,#REF!&gt;=AE$2),1,0)</f>
        <v>#REF!</v>
      </c>
      <c r="AF83" s="270" t="e">
        <f t="array" ref="AF83">IF(AND(AF$2&lt;&gt;0,#REF!&gt;=AF$2),1,0)</f>
        <v>#REF!</v>
      </c>
      <c r="AG83" s="270" t="e">
        <f t="array" ref="AG83">IF(AND(AG$2&lt;&gt;0,#REF!&gt;=AG$2),1,0)</f>
        <v>#REF!</v>
      </c>
      <c r="AH83" s="270" t="e">
        <f t="array" ref="AH83">IF(AND(AH$2&lt;&gt;0,#REF!&gt;=AH$2),1,0)</f>
        <v>#REF!</v>
      </c>
      <c r="AI83" s="270" t="e">
        <f t="array" ref="AI83">IF(AND(AI$2&lt;&gt;0,#REF!&gt;=AI$2),1,0)</f>
        <v>#REF!</v>
      </c>
      <c r="AJ83" s="270" t="e">
        <f t="array" ref="AJ83">IF(AND(AJ$2&lt;&gt;0,#REF!&gt;=AJ$2),1,0)</f>
        <v>#REF!</v>
      </c>
      <c r="AK83" s="270" t="e">
        <f t="array" ref="AK83">IF(AND(AK$2&lt;&gt;0,#REF!&gt;=AK$2),1,0)</f>
        <v>#REF!</v>
      </c>
      <c r="AL83" s="270" t="e">
        <f t="array" ref="AL83">IF(AND(AL$2&lt;&gt;0,#REF!&gt;=AL$2),1,0)</f>
        <v>#REF!</v>
      </c>
      <c r="AM83" s="270" t="e">
        <f t="array" ref="AM83">IF(AND(AM$2&lt;&gt;0,#REF!&gt;=AM$2),1,0)</f>
        <v>#REF!</v>
      </c>
      <c r="AN83" s="270" t="e">
        <f t="array" ref="AN83">IF(AND(AN$2&lt;&gt;0,#REF!&gt;=AN$2),1,0)</f>
        <v>#REF!</v>
      </c>
      <c r="AO83" s="270" t="e">
        <f t="array" ref="AO83">IF(AND(AO$2&lt;&gt;0,#REF!&gt;=AO$2),1,0)</f>
        <v>#REF!</v>
      </c>
      <c r="AP83" s="270" t="e">
        <f t="array" ref="AP83">IF(AND(AP$2&lt;&gt;0,#REF!&gt;=AP$2),1,0)</f>
        <v>#REF!</v>
      </c>
      <c r="AQ83" s="270" t="e">
        <f t="array" ref="AQ83">IF(AND(AQ$2&lt;&gt;0,#REF!&gt;=AQ$2),1,0)</f>
        <v>#REF!</v>
      </c>
      <c r="AR83" s="270" t="e">
        <f t="array" ref="AR83">IF(AND(AR$2&lt;&gt;0,#REF!&gt;=AR$2),1,0)</f>
        <v>#REF!</v>
      </c>
      <c r="AS83" s="270" t="e">
        <f t="array" ref="AS83">IF(AND(AS$2&lt;&gt;0,#REF!&gt;=AS$2),1,0)</f>
        <v>#REF!</v>
      </c>
      <c r="AT83" s="270" t="e">
        <f t="array" ref="AT83">IF(AND(AT$2&lt;&gt;0,#REF!&gt;=AT$2),1,0)</f>
        <v>#REF!</v>
      </c>
      <c r="AU83" s="270" t="e">
        <f t="array" ref="AU83">IF(AND(AU$2&lt;&gt;0,#REF!&gt;=AU$2),1,0)</f>
        <v>#REF!</v>
      </c>
      <c r="AV83" s="270" t="e">
        <f t="array" ref="AV83">IF(AND(AV$2&lt;&gt;0,#REF!&gt;=AV$2),1,0)</f>
        <v>#REF!</v>
      </c>
      <c r="AW83" s="270" t="e">
        <f t="array" ref="AW83">IF(AND(AW$2&lt;&gt;0,#REF!&gt;=AW$2),1,0)</f>
        <v>#REF!</v>
      </c>
      <c r="AX83" s="270" t="e">
        <f t="array" ref="AX83">IF(AND(AX$2&lt;&gt;0,#REF!&gt;=AX$2),1,0)</f>
        <v>#REF!</v>
      </c>
      <c r="AY83" s="270" t="e">
        <f t="array" ref="AY83">IF(AND(AY$2&lt;&gt;0,#REF!&gt;=AY$2),1,0)</f>
        <v>#REF!</v>
      </c>
      <c r="AZ83" s="270" t="e">
        <f t="array" ref="AZ83">IF(AND(AZ$2&lt;&gt;0,#REF!&gt;=AZ$2),1,0)</f>
        <v>#REF!</v>
      </c>
      <c r="BA83" s="270" t="e">
        <f t="array" ref="BA83">IF(AND(BA$2&lt;&gt;0,#REF!&gt;=BA$2),1,0)</f>
        <v>#REF!</v>
      </c>
      <c r="BB83" s="270" t="e">
        <f t="array" ref="BB83">IF(AND(BB$2&lt;&gt;0,#REF!&gt;=BB$2),1,0)</f>
        <v>#REF!</v>
      </c>
      <c r="BC83" s="270" t="e">
        <f t="array" ref="BC83">IF(AND(BC$2&lt;&gt;0,#REF!&gt;=BC$2),1,0)</f>
        <v>#REF!</v>
      </c>
      <c r="BD83" s="270" t="e">
        <f t="array" ref="BD83">IF(AND(BD$2&lt;&gt;0,#REF!&gt;=BD$2),1,0)</f>
        <v>#REF!</v>
      </c>
      <c r="BE83" s="270" t="e">
        <f t="array" ref="BE83">IF(AND(BE$2&lt;&gt;0,#REF!&gt;=BE$2),1,0)</f>
        <v>#REF!</v>
      </c>
      <c r="BF83" s="270" t="e">
        <f t="array" ref="BF83">IF(AND(BF$2&lt;&gt;0,#REF!&gt;=BF$2),1,0)</f>
        <v>#REF!</v>
      </c>
      <c r="BG83" s="270" t="e">
        <f t="array" ref="BG83">IF(AND(BG$2&lt;&gt;0,#REF!&gt;=BG$2),1,0)</f>
        <v>#REF!</v>
      </c>
      <c r="BH83" s="270" t="e">
        <f t="array" ref="BH83">IF(AND(BH$2&lt;&gt;0,#REF!&gt;=BH$2),1,0)</f>
        <v>#REF!</v>
      </c>
      <c r="BI83" s="270" t="e">
        <f t="array" ref="BI83">IF(AND(BI$2&lt;&gt;0,#REF!&gt;=BI$2),1,0)</f>
        <v>#REF!</v>
      </c>
      <c r="BJ83" s="270" t="e">
        <f t="array" ref="BJ83">IF(AND(BJ$2&lt;&gt;0,#REF!&gt;=BJ$2),1,0)</f>
        <v>#REF!</v>
      </c>
      <c r="BK83" s="270" t="e">
        <f t="array" ref="BK83">IF(AND(BK$2&lt;&gt;0,#REF!&gt;=BK$2),1,0)</f>
        <v>#REF!</v>
      </c>
      <c r="BL83" s="270" t="e">
        <f t="array" ref="BL83">IF(AND(BL$2&lt;&gt;0,#REF!&gt;=BL$2),1,0)</f>
        <v>#REF!</v>
      </c>
      <c r="BM83" s="270" t="e">
        <f t="array" ref="BM83">IF(AND(BM$2&lt;&gt;0,#REF!&gt;=BM$2),1,0)</f>
        <v>#REF!</v>
      </c>
      <c r="BN83" s="270" t="e">
        <f t="array" ref="BN83">IF(AND(BN$2&lt;&gt;0,#REF!&gt;=BN$2),1,0)</f>
        <v>#REF!</v>
      </c>
      <c r="BO83" s="270" t="e">
        <f t="array" ref="BO83">IF(AND(BO$2&lt;&gt;0,#REF!&gt;=BO$2),1,0)</f>
        <v>#REF!</v>
      </c>
      <c r="BP83" s="270" t="e">
        <f t="array" ref="BP83">IF(AND(BP$2&lt;&gt;0,#REF!&gt;=BP$2),1,0)</f>
        <v>#REF!</v>
      </c>
      <c r="BQ83" s="270" t="e">
        <f t="array" ref="BQ83">IF(AND(BQ$2&lt;&gt;0,#REF!&gt;=BQ$2),1,0)</f>
        <v>#REF!</v>
      </c>
      <c r="BR83" s="270" t="e">
        <f t="array" ref="BR83">IF(AND(BR$2&lt;&gt;0,#REF!&gt;=BR$2),1,0)</f>
        <v>#REF!</v>
      </c>
      <c r="BS83" s="270" t="e">
        <f t="array" ref="BS83">IF(AND(BS$2&lt;&gt;0,#REF!&gt;=BS$2),1,0)</f>
        <v>#REF!</v>
      </c>
      <c r="BT83" s="270" t="e">
        <f t="array" ref="BT83">IF(AND(BT$2&lt;&gt;0,#REF!&gt;=BT$2),1,0)</f>
        <v>#REF!</v>
      </c>
      <c r="BU83" s="270" t="e">
        <f t="array" ref="BU83">IF(AND(BU$2&lt;&gt;0,#REF!&gt;=BU$2),1,0)</f>
        <v>#REF!</v>
      </c>
      <c r="BV83" s="270" t="e">
        <f t="array" ref="BV83">IF(AND(BV$2&lt;&gt;0,#REF!&gt;=BV$2),1,0)</f>
        <v>#REF!</v>
      </c>
      <c r="BW83" s="270" t="e">
        <f t="array" ref="BW83">IF(AND(BW$2&lt;&gt;0,#REF!&gt;=BW$2),1,0)</f>
        <v>#REF!</v>
      </c>
      <c r="BX83" s="270" t="e">
        <f t="array" ref="BX83">IF(AND(BX$2&lt;&gt;0,#REF!&gt;=BX$2),1,0)</f>
        <v>#REF!</v>
      </c>
      <c r="BY83" s="270" t="e">
        <f t="array" ref="BY83">IF(AND(BY$2&lt;&gt;0,#REF!&gt;=BY$2),1,0)</f>
        <v>#REF!</v>
      </c>
      <c r="BZ83" s="270" t="e">
        <f t="array" ref="BZ83">IF(AND(BZ$2&lt;&gt;0,#REF!&gt;=BZ$2),1,0)</f>
        <v>#REF!</v>
      </c>
      <c r="CA83" s="359">
        <f>IFERROR(INDEX($H$4:$H$79,MATCH(INDEX(#REF!,1,MATCH(#REF!,$M$2:$BZ$2,0)),$G$4:$G$79,0)),)</f>
        <v>0</v>
      </c>
    </row>
    <row r="84" spans="1:79" x14ac:dyDescent="0.25">
      <c r="A84" s="262" t="e">
        <f>#REF!</f>
        <v>#REF!</v>
      </c>
      <c r="B84" s="263" t="e">
        <f>#REF!</f>
        <v>#REF!</v>
      </c>
      <c r="C84" s="264" t="e">
        <f>#REF!</f>
        <v>#REF!</v>
      </c>
      <c r="D84" s="264" t="e">
        <f>#REF!</f>
        <v>#REF!</v>
      </c>
      <c r="E84" s="273"/>
      <c r="F84" s="274"/>
      <c r="G84" s="267"/>
      <c r="H84" s="268"/>
      <c r="I84" s="268"/>
      <c r="J84" s="268"/>
      <c r="K84" s="89" t="e">
        <f ca="1">IF(#REF!&lt;&gt;OFFSET(#REF!,-1,0),1,0)</f>
        <v>#REF!</v>
      </c>
      <c r="L84" s="269" t="e">
        <f>COUNTIF(#REF!,1)</f>
        <v>#REF!</v>
      </c>
      <c r="M84" s="270" t="e">
        <f t="array" ref="M84">IF(AND(M$2&lt;&gt;0,#REF!&gt;=M$2),1,0)</f>
        <v>#REF!</v>
      </c>
      <c r="N84" s="270" t="e">
        <f t="array" ref="N84">IF(AND(N$2&lt;&gt;0,#REF!&gt;=N$2),1,0)</f>
        <v>#REF!</v>
      </c>
      <c r="O84" s="270" t="e">
        <f t="array" ref="O84">IF(AND(O$2&lt;&gt;0,#REF!&gt;=O$2),1,0)</f>
        <v>#REF!</v>
      </c>
      <c r="P84" s="270" t="e">
        <f t="array" ref="P84">IF(AND(P$2&lt;&gt;0,#REF!&gt;=P$2),1,0)</f>
        <v>#REF!</v>
      </c>
      <c r="Q84" s="270" t="e">
        <f t="array" ref="Q84">IF(AND(Q$2&lt;&gt;0,#REF!&gt;=Q$2),1,0)</f>
        <v>#REF!</v>
      </c>
      <c r="R84" s="270" t="e">
        <f t="array" ref="R84">IF(AND(R$2&lt;&gt;0,#REF!&gt;=R$2),1,0)</f>
        <v>#REF!</v>
      </c>
      <c r="S84" s="270" t="e">
        <f t="array" ref="S84">IF(AND(S$2&lt;&gt;0,#REF!&gt;=S$2),1,0)</f>
        <v>#REF!</v>
      </c>
      <c r="T84" s="270" t="e">
        <f t="array" ref="T84">IF(AND(T$2&lt;&gt;0,#REF!&gt;=T$2),1,0)</f>
        <v>#REF!</v>
      </c>
      <c r="U84" s="270" t="e">
        <f t="array" ref="U84">IF(AND(U$2&lt;&gt;0,#REF!&gt;=U$2),1,0)</f>
        <v>#REF!</v>
      </c>
      <c r="V84" s="270" t="e">
        <f t="array" ref="V84">IF(AND(V$2&lt;&gt;0,#REF!&gt;=V$2),1,0)</f>
        <v>#REF!</v>
      </c>
      <c r="W84" s="270" t="e">
        <f t="array" ref="W84">IF(AND(W$2&lt;&gt;0,#REF!&gt;=W$2),1,0)</f>
        <v>#REF!</v>
      </c>
      <c r="X84" s="270" t="e">
        <f t="array" ref="X84">IF(AND(X$2&lt;&gt;0,#REF!&gt;=X$2),1,0)</f>
        <v>#REF!</v>
      </c>
      <c r="Y84" s="270" t="e">
        <f t="array" ref="Y84">IF(AND(Y$2&lt;&gt;0,#REF!&gt;=Y$2),1,0)</f>
        <v>#REF!</v>
      </c>
      <c r="Z84" s="270" t="e">
        <f t="array" ref="Z84">IF(AND(Z$2&lt;&gt;0,#REF!&gt;=Z$2),1,0)</f>
        <v>#REF!</v>
      </c>
      <c r="AA84" s="270" t="e">
        <f t="array" ref="AA84">IF(AND(AA$2&lt;&gt;0,#REF!&gt;=AA$2),1,0)</f>
        <v>#REF!</v>
      </c>
      <c r="AB84" s="270" t="e">
        <f t="array" ref="AB84">IF(AND(AB$2&lt;&gt;0,#REF!&gt;=AB$2),1,0)</f>
        <v>#REF!</v>
      </c>
      <c r="AC84" s="270" t="e">
        <f t="array" ref="AC84">IF(AND(AC$2&lt;&gt;0,#REF!&gt;=AC$2),1,0)</f>
        <v>#REF!</v>
      </c>
      <c r="AD84" s="270" t="e">
        <f t="array" ref="AD84">IF(AND(AD$2&lt;&gt;0,#REF!&gt;=AD$2),1,0)</f>
        <v>#REF!</v>
      </c>
      <c r="AE84" s="270" t="e">
        <f t="array" ref="AE84">IF(AND(AE$2&lt;&gt;0,#REF!&gt;=AE$2),1,0)</f>
        <v>#REF!</v>
      </c>
      <c r="AF84" s="270" t="e">
        <f t="array" ref="AF84">IF(AND(AF$2&lt;&gt;0,#REF!&gt;=AF$2),1,0)</f>
        <v>#REF!</v>
      </c>
      <c r="AG84" s="270" t="e">
        <f t="array" ref="AG84">IF(AND(AG$2&lt;&gt;0,#REF!&gt;=AG$2),1,0)</f>
        <v>#REF!</v>
      </c>
      <c r="AH84" s="270" t="e">
        <f t="array" ref="AH84">IF(AND(AH$2&lt;&gt;0,#REF!&gt;=AH$2),1,0)</f>
        <v>#REF!</v>
      </c>
      <c r="AI84" s="270" t="e">
        <f t="array" ref="AI84">IF(AND(AI$2&lt;&gt;0,#REF!&gt;=AI$2),1,0)</f>
        <v>#REF!</v>
      </c>
      <c r="AJ84" s="270" t="e">
        <f t="array" ref="AJ84">IF(AND(AJ$2&lt;&gt;0,#REF!&gt;=AJ$2),1,0)</f>
        <v>#REF!</v>
      </c>
      <c r="AK84" s="270" t="e">
        <f t="array" ref="AK84">IF(AND(AK$2&lt;&gt;0,#REF!&gt;=AK$2),1,0)</f>
        <v>#REF!</v>
      </c>
      <c r="AL84" s="270" t="e">
        <f t="array" ref="AL84">IF(AND(AL$2&lt;&gt;0,#REF!&gt;=AL$2),1,0)</f>
        <v>#REF!</v>
      </c>
      <c r="AM84" s="270" t="e">
        <f t="array" ref="AM84">IF(AND(AM$2&lt;&gt;0,#REF!&gt;=AM$2),1,0)</f>
        <v>#REF!</v>
      </c>
      <c r="AN84" s="270" t="e">
        <f t="array" ref="AN84">IF(AND(AN$2&lt;&gt;0,#REF!&gt;=AN$2),1,0)</f>
        <v>#REF!</v>
      </c>
      <c r="AO84" s="270" t="e">
        <f t="array" ref="AO84">IF(AND(AO$2&lt;&gt;0,#REF!&gt;=AO$2),1,0)</f>
        <v>#REF!</v>
      </c>
      <c r="AP84" s="270" t="e">
        <f t="array" ref="AP84">IF(AND(AP$2&lt;&gt;0,#REF!&gt;=AP$2),1,0)</f>
        <v>#REF!</v>
      </c>
      <c r="AQ84" s="270" t="e">
        <f t="array" ref="AQ84">IF(AND(AQ$2&lt;&gt;0,#REF!&gt;=AQ$2),1,0)</f>
        <v>#REF!</v>
      </c>
      <c r="AR84" s="270" t="e">
        <f t="array" ref="AR84">IF(AND(AR$2&lt;&gt;0,#REF!&gt;=AR$2),1,0)</f>
        <v>#REF!</v>
      </c>
      <c r="AS84" s="270" t="e">
        <f t="array" ref="AS84">IF(AND(AS$2&lt;&gt;0,#REF!&gt;=AS$2),1,0)</f>
        <v>#REF!</v>
      </c>
      <c r="AT84" s="270" t="e">
        <f t="array" ref="AT84">IF(AND(AT$2&lt;&gt;0,#REF!&gt;=AT$2),1,0)</f>
        <v>#REF!</v>
      </c>
      <c r="AU84" s="270" t="e">
        <f t="array" ref="AU84">IF(AND(AU$2&lt;&gt;0,#REF!&gt;=AU$2),1,0)</f>
        <v>#REF!</v>
      </c>
      <c r="AV84" s="270" t="e">
        <f t="array" ref="AV84">IF(AND(AV$2&lt;&gt;0,#REF!&gt;=AV$2),1,0)</f>
        <v>#REF!</v>
      </c>
      <c r="AW84" s="270" t="e">
        <f t="array" ref="AW84">IF(AND(AW$2&lt;&gt;0,#REF!&gt;=AW$2),1,0)</f>
        <v>#REF!</v>
      </c>
      <c r="AX84" s="270" t="e">
        <f t="array" ref="AX84">IF(AND(AX$2&lt;&gt;0,#REF!&gt;=AX$2),1,0)</f>
        <v>#REF!</v>
      </c>
      <c r="AY84" s="270" t="e">
        <f t="array" ref="AY84">IF(AND(AY$2&lt;&gt;0,#REF!&gt;=AY$2),1,0)</f>
        <v>#REF!</v>
      </c>
      <c r="AZ84" s="270" t="e">
        <f t="array" ref="AZ84">IF(AND(AZ$2&lt;&gt;0,#REF!&gt;=AZ$2),1,0)</f>
        <v>#REF!</v>
      </c>
      <c r="BA84" s="270" t="e">
        <f t="array" ref="BA84">IF(AND(BA$2&lt;&gt;0,#REF!&gt;=BA$2),1,0)</f>
        <v>#REF!</v>
      </c>
      <c r="BB84" s="270" t="e">
        <f t="array" ref="BB84">IF(AND(BB$2&lt;&gt;0,#REF!&gt;=BB$2),1,0)</f>
        <v>#REF!</v>
      </c>
      <c r="BC84" s="270" t="e">
        <f t="array" ref="BC84">IF(AND(BC$2&lt;&gt;0,#REF!&gt;=BC$2),1,0)</f>
        <v>#REF!</v>
      </c>
      <c r="BD84" s="270" t="e">
        <f t="array" ref="BD84">IF(AND(BD$2&lt;&gt;0,#REF!&gt;=BD$2),1,0)</f>
        <v>#REF!</v>
      </c>
      <c r="BE84" s="270" t="e">
        <f t="array" ref="BE84">IF(AND(BE$2&lt;&gt;0,#REF!&gt;=BE$2),1,0)</f>
        <v>#REF!</v>
      </c>
      <c r="BF84" s="270" t="e">
        <f t="array" ref="BF84">IF(AND(BF$2&lt;&gt;0,#REF!&gt;=BF$2),1,0)</f>
        <v>#REF!</v>
      </c>
      <c r="BG84" s="270" t="e">
        <f t="array" ref="BG84">IF(AND(BG$2&lt;&gt;0,#REF!&gt;=BG$2),1,0)</f>
        <v>#REF!</v>
      </c>
      <c r="BH84" s="270" t="e">
        <f t="array" ref="BH84">IF(AND(BH$2&lt;&gt;0,#REF!&gt;=BH$2),1,0)</f>
        <v>#REF!</v>
      </c>
      <c r="BI84" s="270" t="e">
        <f t="array" ref="BI84">IF(AND(BI$2&lt;&gt;0,#REF!&gt;=BI$2),1,0)</f>
        <v>#REF!</v>
      </c>
      <c r="BJ84" s="270" t="e">
        <f t="array" ref="BJ84">IF(AND(BJ$2&lt;&gt;0,#REF!&gt;=BJ$2),1,0)</f>
        <v>#REF!</v>
      </c>
      <c r="BK84" s="270" t="e">
        <f t="array" ref="BK84">IF(AND(BK$2&lt;&gt;0,#REF!&gt;=BK$2),1,0)</f>
        <v>#REF!</v>
      </c>
      <c r="BL84" s="270" t="e">
        <f t="array" ref="BL84">IF(AND(BL$2&lt;&gt;0,#REF!&gt;=BL$2),1,0)</f>
        <v>#REF!</v>
      </c>
      <c r="BM84" s="270" t="e">
        <f t="array" ref="BM84">IF(AND(BM$2&lt;&gt;0,#REF!&gt;=BM$2),1,0)</f>
        <v>#REF!</v>
      </c>
      <c r="BN84" s="270" t="e">
        <f t="array" ref="BN84">IF(AND(BN$2&lt;&gt;0,#REF!&gt;=BN$2),1,0)</f>
        <v>#REF!</v>
      </c>
      <c r="BO84" s="270" t="e">
        <f t="array" ref="BO84">IF(AND(BO$2&lt;&gt;0,#REF!&gt;=BO$2),1,0)</f>
        <v>#REF!</v>
      </c>
      <c r="BP84" s="270" t="e">
        <f t="array" ref="BP84">IF(AND(BP$2&lt;&gt;0,#REF!&gt;=BP$2),1,0)</f>
        <v>#REF!</v>
      </c>
      <c r="BQ84" s="270" t="e">
        <f t="array" ref="BQ84">IF(AND(BQ$2&lt;&gt;0,#REF!&gt;=BQ$2),1,0)</f>
        <v>#REF!</v>
      </c>
      <c r="BR84" s="270" t="e">
        <f t="array" ref="BR84">IF(AND(BR$2&lt;&gt;0,#REF!&gt;=BR$2),1,0)</f>
        <v>#REF!</v>
      </c>
      <c r="BS84" s="270" t="e">
        <f t="array" ref="BS84">IF(AND(BS$2&lt;&gt;0,#REF!&gt;=BS$2),1,0)</f>
        <v>#REF!</v>
      </c>
      <c r="BT84" s="270" t="e">
        <f t="array" ref="BT84">IF(AND(BT$2&lt;&gt;0,#REF!&gt;=BT$2),1,0)</f>
        <v>#REF!</v>
      </c>
      <c r="BU84" s="270" t="e">
        <f t="array" ref="BU84">IF(AND(BU$2&lt;&gt;0,#REF!&gt;=BU$2),1,0)</f>
        <v>#REF!</v>
      </c>
      <c r="BV84" s="270" t="e">
        <f t="array" ref="BV84">IF(AND(BV$2&lt;&gt;0,#REF!&gt;=BV$2),1,0)</f>
        <v>#REF!</v>
      </c>
      <c r="BW84" s="270" t="e">
        <f t="array" ref="BW84">IF(AND(BW$2&lt;&gt;0,#REF!&gt;=BW$2),1,0)</f>
        <v>#REF!</v>
      </c>
      <c r="BX84" s="270" t="e">
        <f t="array" ref="BX84">IF(AND(BX$2&lt;&gt;0,#REF!&gt;=BX$2),1,0)</f>
        <v>#REF!</v>
      </c>
      <c r="BY84" s="270" t="e">
        <f t="array" ref="BY84">IF(AND(BY$2&lt;&gt;0,#REF!&gt;=BY$2),1,0)</f>
        <v>#REF!</v>
      </c>
      <c r="BZ84" s="270" t="e">
        <f t="array" ref="BZ84">IF(AND(BZ$2&lt;&gt;0,#REF!&gt;=BZ$2),1,0)</f>
        <v>#REF!</v>
      </c>
      <c r="CA84" s="359">
        <f>IFERROR(INDEX($H$4:$H$79,MATCH(INDEX(#REF!,1,MATCH(#REF!,$M$2:$BZ$2,0)),$G$4:$G$79,0)),)</f>
        <v>0</v>
      </c>
    </row>
    <row r="85" spans="1:79" x14ac:dyDescent="0.25">
      <c r="A85" s="262" t="e">
        <f>#REF!</f>
        <v>#REF!</v>
      </c>
      <c r="B85" s="263" t="e">
        <f>#REF!</f>
        <v>#REF!</v>
      </c>
      <c r="C85" s="264" t="e">
        <f>#REF!</f>
        <v>#REF!</v>
      </c>
      <c r="D85" s="264" t="e">
        <f>#REF!</f>
        <v>#REF!</v>
      </c>
      <c r="E85" s="273"/>
      <c r="F85" s="274"/>
      <c r="G85" s="267"/>
      <c r="H85" s="268"/>
      <c r="I85" s="268"/>
      <c r="J85" s="268"/>
      <c r="K85" s="89" t="e">
        <f ca="1">IF(#REF!&lt;&gt;OFFSET(#REF!,-1,0),1,0)</f>
        <v>#REF!</v>
      </c>
      <c r="L85" s="269" t="e">
        <f>COUNTIF(#REF!,1)</f>
        <v>#REF!</v>
      </c>
      <c r="M85" s="270" t="e">
        <f t="array" ref="M85">IF(AND(M$2&lt;&gt;0,#REF!&gt;=M$2),1,0)</f>
        <v>#REF!</v>
      </c>
      <c r="N85" s="270" t="e">
        <f t="array" ref="N85">IF(AND(N$2&lt;&gt;0,#REF!&gt;=N$2),1,0)</f>
        <v>#REF!</v>
      </c>
      <c r="O85" s="270" t="e">
        <f t="array" ref="O85">IF(AND(O$2&lt;&gt;0,#REF!&gt;=O$2),1,0)</f>
        <v>#REF!</v>
      </c>
      <c r="P85" s="270" t="e">
        <f t="array" ref="P85">IF(AND(P$2&lt;&gt;0,#REF!&gt;=P$2),1,0)</f>
        <v>#REF!</v>
      </c>
      <c r="Q85" s="270" t="e">
        <f t="array" ref="Q85">IF(AND(Q$2&lt;&gt;0,#REF!&gt;=Q$2),1,0)</f>
        <v>#REF!</v>
      </c>
      <c r="R85" s="270" t="e">
        <f t="array" ref="R85">IF(AND(R$2&lt;&gt;0,#REF!&gt;=R$2),1,0)</f>
        <v>#REF!</v>
      </c>
      <c r="S85" s="270" t="e">
        <f t="array" ref="S85">IF(AND(S$2&lt;&gt;0,#REF!&gt;=S$2),1,0)</f>
        <v>#REF!</v>
      </c>
      <c r="T85" s="270" t="e">
        <f t="array" ref="T85">IF(AND(T$2&lt;&gt;0,#REF!&gt;=T$2),1,0)</f>
        <v>#REF!</v>
      </c>
      <c r="U85" s="270" t="e">
        <f t="array" ref="U85">IF(AND(U$2&lt;&gt;0,#REF!&gt;=U$2),1,0)</f>
        <v>#REF!</v>
      </c>
      <c r="V85" s="270" t="e">
        <f t="array" ref="V85">IF(AND(V$2&lt;&gt;0,#REF!&gt;=V$2),1,0)</f>
        <v>#REF!</v>
      </c>
      <c r="W85" s="270" t="e">
        <f t="array" ref="W85">IF(AND(W$2&lt;&gt;0,#REF!&gt;=W$2),1,0)</f>
        <v>#REF!</v>
      </c>
      <c r="X85" s="270" t="e">
        <f t="array" ref="X85">IF(AND(X$2&lt;&gt;0,#REF!&gt;=X$2),1,0)</f>
        <v>#REF!</v>
      </c>
      <c r="Y85" s="270" t="e">
        <f t="array" ref="Y85">IF(AND(Y$2&lt;&gt;0,#REF!&gt;=Y$2),1,0)</f>
        <v>#REF!</v>
      </c>
      <c r="Z85" s="270" t="e">
        <f t="array" ref="Z85">IF(AND(Z$2&lt;&gt;0,#REF!&gt;=Z$2),1,0)</f>
        <v>#REF!</v>
      </c>
      <c r="AA85" s="270" t="e">
        <f t="array" ref="AA85">IF(AND(AA$2&lt;&gt;0,#REF!&gt;=AA$2),1,0)</f>
        <v>#REF!</v>
      </c>
      <c r="AB85" s="270" t="e">
        <f t="array" ref="AB85">IF(AND(AB$2&lt;&gt;0,#REF!&gt;=AB$2),1,0)</f>
        <v>#REF!</v>
      </c>
      <c r="AC85" s="270" t="e">
        <f t="array" ref="AC85">IF(AND(AC$2&lt;&gt;0,#REF!&gt;=AC$2),1,0)</f>
        <v>#REF!</v>
      </c>
      <c r="AD85" s="270" t="e">
        <f t="array" ref="AD85">IF(AND(AD$2&lt;&gt;0,#REF!&gt;=AD$2),1,0)</f>
        <v>#REF!</v>
      </c>
      <c r="AE85" s="270" t="e">
        <f t="array" ref="AE85">IF(AND(AE$2&lt;&gt;0,#REF!&gt;=AE$2),1,0)</f>
        <v>#REF!</v>
      </c>
      <c r="AF85" s="270" t="e">
        <f t="array" ref="AF85">IF(AND(AF$2&lt;&gt;0,#REF!&gt;=AF$2),1,0)</f>
        <v>#REF!</v>
      </c>
      <c r="AG85" s="270" t="e">
        <f t="array" ref="AG85">IF(AND(AG$2&lt;&gt;0,#REF!&gt;=AG$2),1,0)</f>
        <v>#REF!</v>
      </c>
      <c r="AH85" s="270" t="e">
        <f t="array" ref="AH85">IF(AND(AH$2&lt;&gt;0,#REF!&gt;=AH$2),1,0)</f>
        <v>#REF!</v>
      </c>
      <c r="AI85" s="270" t="e">
        <f t="array" ref="AI85">IF(AND(AI$2&lt;&gt;0,#REF!&gt;=AI$2),1,0)</f>
        <v>#REF!</v>
      </c>
      <c r="AJ85" s="270" t="e">
        <f t="array" ref="AJ85">IF(AND(AJ$2&lt;&gt;0,#REF!&gt;=AJ$2),1,0)</f>
        <v>#REF!</v>
      </c>
      <c r="AK85" s="270" t="e">
        <f t="array" ref="AK85">IF(AND(AK$2&lt;&gt;0,#REF!&gt;=AK$2),1,0)</f>
        <v>#REF!</v>
      </c>
      <c r="AL85" s="270" t="e">
        <f t="array" ref="AL85">IF(AND(AL$2&lt;&gt;0,#REF!&gt;=AL$2),1,0)</f>
        <v>#REF!</v>
      </c>
      <c r="AM85" s="270" t="e">
        <f t="array" ref="AM85">IF(AND(AM$2&lt;&gt;0,#REF!&gt;=AM$2),1,0)</f>
        <v>#REF!</v>
      </c>
      <c r="AN85" s="270" t="e">
        <f t="array" ref="AN85">IF(AND(AN$2&lt;&gt;0,#REF!&gt;=AN$2),1,0)</f>
        <v>#REF!</v>
      </c>
      <c r="AO85" s="270" t="e">
        <f t="array" ref="AO85">IF(AND(AO$2&lt;&gt;0,#REF!&gt;=AO$2),1,0)</f>
        <v>#REF!</v>
      </c>
      <c r="AP85" s="270" t="e">
        <f t="array" ref="AP85">IF(AND(AP$2&lt;&gt;0,#REF!&gt;=AP$2),1,0)</f>
        <v>#REF!</v>
      </c>
      <c r="AQ85" s="270" t="e">
        <f t="array" ref="AQ85">IF(AND(AQ$2&lt;&gt;0,#REF!&gt;=AQ$2),1,0)</f>
        <v>#REF!</v>
      </c>
      <c r="AR85" s="270" t="e">
        <f t="array" ref="AR85">IF(AND(AR$2&lt;&gt;0,#REF!&gt;=AR$2),1,0)</f>
        <v>#REF!</v>
      </c>
      <c r="AS85" s="270" t="e">
        <f t="array" ref="AS85">IF(AND(AS$2&lt;&gt;0,#REF!&gt;=AS$2),1,0)</f>
        <v>#REF!</v>
      </c>
      <c r="AT85" s="270" t="e">
        <f t="array" ref="AT85">IF(AND(AT$2&lt;&gt;0,#REF!&gt;=AT$2),1,0)</f>
        <v>#REF!</v>
      </c>
      <c r="AU85" s="270" t="e">
        <f t="array" ref="AU85">IF(AND(AU$2&lt;&gt;0,#REF!&gt;=AU$2),1,0)</f>
        <v>#REF!</v>
      </c>
      <c r="AV85" s="270" t="e">
        <f t="array" ref="AV85">IF(AND(AV$2&lt;&gt;0,#REF!&gt;=AV$2),1,0)</f>
        <v>#REF!</v>
      </c>
      <c r="AW85" s="270" t="e">
        <f t="array" ref="AW85">IF(AND(AW$2&lt;&gt;0,#REF!&gt;=AW$2),1,0)</f>
        <v>#REF!</v>
      </c>
      <c r="AX85" s="270" t="e">
        <f t="array" ref="AX85">IF(AND(AX$2&lt;&gt;0,#REF!&gt;=AX$2),1,0)</f>
        <v>#REF!</v>
      </c>
      <c r="AY85" s="270" t="e">
        <f t="array" ref="AY85">IF(AND(AY$2&lt;&gt;0,#REF!&gt;=AY$2),1,0)</f>
        <v>#REF!</v>
      </c>
      <c r="AZ85" s="270" t="e">
        <f t="array" ref="AZ85">IF(AND(AZ$2&lt;&gt;0,#REF!&gt;=AZ$2),1,0)</f>
        <v>#REF!</v>
      </c>
      <c r="BA85" s="270" t="e">
        <f t="array" ref="BA85">IF(AND(BA$2&lt;&gt;0,#REF!&gt;=BA$2),1,0)</f>
        <v>#REF!</v>
      </c>
      <c r="BB85" s="270" t="e">
        <f t="array" ref="BB85">IF(AND(BB$2&lt;&gt;0,#REF!&gt;=BB$2),1,0)</f>
        <v>#REF!</v>
      </c>
      <c r="BC85" s="270" t="e">
        <f t="array" ref="BC85">IF(AND(BC$2&lt;&gt;0,#REF!&gt;=BC$2),1,0)</f>
        <v>#REF!</v>
      </c>
      <c r="BD85" s="270" t="e">
        <f t="array" ref="BD85">IF(AND(BD$2&lt;&gt;0,#REF!&gt;=BD$2),1,0)</f>
        <v>#REF!</v>
      </c>
      <c r="BE85" s="270" t="e">
        <f t="array" ref="BE85">IF(AND(BE$2&lt;&gt;0,#REF!&gt;=BE$2),1,0)</f>
        <v>#REF!</v>
      </c>
      <c r="BF85" s="270" t="e">
        <f t="array" ref="BF85">IF(AND(BF$2&lt;&gt;0,#REF!&gt;=BF$2),1,0)</f>
        <v>#REF!</v>
      </c>
      <c r="BG85" s="270" t="e">
        <f t="array" ref="BG85">IF(AND(BG$2&lt;&gt;0,#REF!&gt;=BG$2),1,0)</f>
        <v>#REF!</v>
      </c>
      <c r="BH85" s="270" t="e">
        <f t="array" ref="BH85">IF(AND(BH$2&lt;&gt;0,#REF!&gt;=BH$2),1,0)</f>
        <v>#REF!</v>
      </c>
      <c r="BI85" s="270" t="e">
        <f t="array" ref="BI85">IF(AND(BI$2&lt;&gt;0,#REF!&gt;=BI$2),1,0)</f>
        <v>#REF!</v>
      </c>
      <c r="BJ85" s="270" t="e">
        <f t="array" ref="BJ85">IF(AND(BJ$2&lt;&gt;0,#REF!&gt;=BJ$2),1,0)</f>
        <v>#REF!</v>
      </c>
      <c r="BK85" s="270" t="e">
        <f t="array" ref="BK85">IF(AND(BK$2&lt;&gt;0,#REF!&gt;=BK$2),1,0)</f>
        <v>#REF!</v>
      </c>
      <c r="BL85" s="270" t="e">
        <f t="array" ref="BL85">IF(AND(BL$2&lt;&gt;0,#REF!&gt;=BL$2),1,0)</f>
        <v>#REF!</v>
      </c>
      <c r="BM85" s="270" t="e">
        <f t="array" ref="BM85">IF(AND(BM$2&lt;&gt;0,#REF!&gt;=BM$2),1,0)</f>
        <v>#REF!</v>
      </c>
      <c r="BN85" s="270" t="e">
        <f t="array" ref="BN85">IF(AND(BN$2&lt;&gt;0,#REF!&gt;=BN$2),1,0)</f>
        <v>#REF!</v>
      </c>
      <c r="BO85" s="270" t="e">
        <f t="array" ref="BO85">IF(AND(BO$2&lt;&gt;0,#REF!&gt;=BO$2),1,0)</f>
        <v>#REF!</v>
      </c>
      <c r="BP85" s="270" t="e">
        <f t="array" ref="BP85">IF(AND(BP$2&lt;&gt;0,#REF!&gt;=BP$2),1,0)</f>
        <v>#REF!</v>
      </c>
      <c r="BQ85" s="270" t="e">
        <f t="array" ref="BQ85">IF(AND(BQ$2&lt;&gt;0,#REF!&gt;=BQ$2),1,0)</f>
        <v>#REF!</v>
      </c>
      <c r="BR85" s="270" t="e">
        <f t="array" ref="BR85">IF(AND(BR$2&lt;&gt;0,#REF!&gt;=BR$2),1,0)</f>
        <v>#REF!</v>
      </c>
      <c r="BS85" s="270" t="e">
        <f t="array" ref="BS85">IF(AND(BS$2&lt;&gt;0,#REF!&gt;=BS$2),1,0)</f>
        <v>#REF!</v>
      </c>
      <c r="BT85" s="270" t="e">
        <f t="array" ref="BT85">IF(AND(BT$2&lt;&gt;0,#REF!&gt;=BT$2),1,0)</f>
        <v>#REF!</v>
      </c>
      <c r="BU85" s="270" t="e">
        <f t="array" ref="BU85">IF(AND(BU$2&lt;&gt;0,#REF!&gt;=BU$2),1,0)</f>
        <v>#REF!</v>
      </c>
      <c r="BV85" s="270" t="e">
        <f t="array" ref="BV85">IF(AND(BV$2&lt;&gt;0,#REF!&gt;=BV$2),1,0)</f>
        <v>#REF!</v>
      </c>
      <c r="BW85" s="270" t="e">
        <f t="array" ref="BW85">IF(AND(BW$2&lt;&gt;0,#REF!&gt;=BW$2),1,0)</f>
        <v>#REF!</v>
      </c>
      <c r="BX85" s="270" t="e">
        <f t="array" ref="BX85">IF(AND(BX$2&lt;&gt;0,#REF!&gt;=BX$2),1,0)</f>
        <v>#REF!</v>
      </c>
      <c r="BY85" s="270" t="e">
        <f t="array" ref="BY85">IF(AND(BY$2&lt;&gt;0,#REF!&gt;=BY$2),1,0)</f>
        <v>#REF!</v>
      </c>
      <c r="BZ85" s="270" t="e">
        <f t="array" ref="BZ85">IF(AND(BZ$2&lt;&gt;0,#REF!&gt;=BZ$2),1,0)</f>
        <v>#REF!</v>
      </c>
      <c r="CA85" s="359">
        <f>IFERROR(INDEX($H$4:$H$79,MATCH(INDEX(#REF!,1,MATCH(#REF!,$M$2:$BZ$2,0)),$G$4:$G$79,0)),)</f>
        <v>0</v>
      </c>
    </row>
    <row r="86" spans="1:79" x14ac:dyDescent="0.25">
      <c r="A86" s="262" t="e">
        <f>#REF!</f>
        <v>#REF!</v>
      </c>
      <c r="B86" s="263" t="e">
        <f>#REF!</f>
        <v>#REF!</v>
      </c>
      <c r="C86" s="264" t="e">
        <f>#REF!</f>
        <v>#REF!</v>
      </c>
      <c r="D86" s="264" t="e">
        <f>#REF!</f>
        <v>#REF!</v>
      </c>
      <c r="E86" s="273"/>
      <c r="F86" s="274"/>
      <c r="G86" s="267"/>
      <c r="H86" s="268"/>
      <c r="I86" s="268"/>
      <c r="J86" s="268"/>
      <c r="K86" s="89" t="e">
        <f ca="1">IF(#REF!&lt;&gt;OFFSET(#REF!,-1,0),1,0)</f>
        <v>#REF!</v>
      </c>
      <c r="L86" s="269" t="e">
        <f>COUNTIF(#REF!,1)</f>
        <v>#REF!</v>
      </c>
      <c r="M86" s="270" t="e">
        <f t="array" ref="M86">IF(AND(M$2&lt;&gt;0,#REF!&gt;=M$2),1,0)</f>
        <v>#REF!</v>
      </c>
      <c r="N86" s="270" t="e">
        <f t="array" ref="N86">IF(AND(N$2&lt;&gt;0,#REF!&gt;=N$2),1,0)</f>
        <v>#REF!</v>
      </c>
      <c r="O86" s="270" t="e">
        <f t="array" ref="O86">IF(AND(O$2&lt;&gt;0,#REF!&gt;=O$2),1,0)</f>
        <v>#REF!</v>
      </c>
      <c r="P86" s="270" t="e">
        <f t="array" ref="P86">IF(AND(P$2&lt;&gt;0,#REF!&gt;=P$2),1,0)</f>
        <v>#REF!</v>
      </c>
      <c r="Q86" s="270" t="e">
        <f t="array" ref="Q86">IF(AND(Q$2&lt;&gt;0,#REF!&gt;=Q$2),1,0)</f>
        <v>#REF!</v>
      </c>
      <c r="R86" s="270" t="e">
        <f t="array" ref="R86">IF(AND(R$2&lt;&gt;0,#REF!&gt;=R$2),1,0)</f>
        <v>#REF!</v>
      </c>
      <c r="S86" s="270" t="e">
        <f t="array" ref="S86">IF(AND(S$2&lt;&gt;0,#REF!&gt;=S$2),1,0)</f>
        <v>#REF!</v>
      </c>
      <c r="T86" s="270" t="e">
        <f t="array" ref="T86">IF(AND(T$2&lt;&gt;0,#REF!&gt;=T$2),1,0)</f>
        <v>#REF!</v>
      </c>
      <c r="U86" s="270" t="e">
        <f t="array" ref="U86">IF(AND(U$2&lt;&gt;0,#REF!&gt;=U$2),1,0)</f>
        <v>#REF!</v>
      </c>
      <c r="V86" s="270" t="e">
        <f t="array" ref="V86">IF(AND(V$2&lt;&gt;0,#REF!&gt;=V$2),1,0)</f>
        <v>#REF!</v>
      </c>
      <c r="W86" s="270" t="e">
        <f t="array" ref="W86">IF(AND(W$2&lt;&gt;0,#REF!&gt;=W$2),1,0)</f>
        <v>#REF!</v>
      </c>
      <c r="X86" s="270" t="e">
        <f t="array" ref="X86">IF(AND(X$2&lt;&gt;0,#REF!&gt;=X$2),1,0)</f>
        <v>#REF!</v>
      </c>
      <c r="Y86" s="270" t="e">
        <f t="array" ref="Y86">IF(AND(Y$2&lt;&gt;0,#REF!&gt;=Y$2),1,0)</f>
        <v>#REF!</v>
      </c>
      <c r="Z86" s="270" t="e">
        <f t="array" ref="Z86">IF(AND(Z$2&lt;&gt;0,#REF!&gt;=Z$2),1,0)</f>
        <v>#REF!</v>
      </c>
      <c r="AA86" s="270" t="e">
        <f t="array" ref="AA86">IF(AND(AA$2&lt;&gt;0,#REF!&gt;=AA$2),1,0)</f>
        <v>#REF!</v>
      </c>
      <c r="AB86" s="270" t="e">
        <f t="array" ref="AB86">IF(AND(AB$2&lt;&gt;0,#REF!&gt;=AB$2),1,0)</f>
        <v>#REF!</v>
      </c>
      <c r="AC86" s="270" t="e">
        <f t="array" ref="AC86">IF(AND(AC$2&lt;&gt;0,#REF!&gt;=AC$2),1,0)</f>
        <v>#REF!</v>
      </c>
      <c r="AD86" s="270" t="e">
        <f t="array" ref="AD86">IF(AND(AD$2&lt;&gt;0,#REF!&gt;=AD$2),1,0)</f>
        <v>#REF!</v>
      </c>
      <c r="AE86" s="270" t="e">
        <f t="array" ref="AE86">IF(AND(AE$2&lt;&gt;0,#REF!&gt;=AE$2),1,0)</f>
        <v>#REF!</v>
      </c>
      <c r="AF86" s="270" t="e">
        <f t="array" ref="AF86">IF(AND(AF$2&lt;&gt;0,#REF!&gt;=AF$2),1,0)</f>
        <v>#REF!</v>
      </c>
      <c r="AG86" s="270" t="e">
        <f t="array" ref="AG86">IF(AND(AG$2&lt;&gt;0,#REF!&gt;=AG$2),1,0)</f>
        <v>#REF!</v>
      </c>
      <c r="AH86" s="270" t="e">
        <f t="array" ref="AH86">IF(AND(AH$2&lt;&gt;0,#REF!&gt;=AH$2),1,0)</f>
        <v>#REF!</v>
      </c>
      <c r="AI86" s="270" t="e">
        <f t="array" ref="AI86">IF(AND(AI$2&lt;&gt;0,#REF!&gt;=AI$2),1,0)</f>
        <v>#REF!</v>
      </c>
      <c r="AJ86" s="270" t="e">
        <f t="array" ref="AJ86">IF(AND(AJ$2&lt;&gt;0,#REF!&gt;=AJ$2),1,0)</f>
        <v>#REF!</v>
      </c>
      <c r="AK86" s="270" t="e">
        <f t="array" ref="AK86">IF(AND(AK$2&lt;&gt;0,#REF!&gt;=AK$2),1,0)</f>
        <v>#REF!</v>
      </c>
      <c r="AL86" s="270" t="e">
        <f t="array" ref="AL86">IF(AND(AL$2&lt;&gt;0,#REF!&gt;=AL$2),1,0)</f>
        <v>#REF!</v>
      </c>
      <c r="AM86" s="270" t="e">
        <f t="array" ref="AM86">IF(AND(AM$2&lt;&gt;0,#REF!&gt;=AM$2),1,0)</f>
        <v>#REF!</v>
      </c>
      <c r="AN86" s="270" t="e">
        <f t="array" ref="AN86">IF(AND(AN$2&lt;&gt;0,#REF!&gt;=AN$2),1,0)</f>
        <v>#REF!</v>
      </c>
      <c r="AO86" s="270" t="e">
        <f t="array" ref="AO86">IF(AND(AO$2&lt;&gt;0,#REF!&gt;=AO$2),1,0)</f>
        <v>#REF!</v>
      </c>
      <c r="AP86" s="270" t="e">
        <f t="array" ref="AP86">IF(AND(AP$2&lt;&gt;0,#REF!&gt;=AP$2),1,0)</f>
        <v>#REF!</v>
      </c>
      <c r="AQ86" s="270" t="e">
        <f t="array" ref="AQ86">IF(AND(AQ$2&lt;&gt;0,#REF!&gt;=AQ$2),1,0)</f>
        <v>#REF!</v>
      </c>
      <c r="AR86" s="270" t="e">
        <f t="array" ref="AR86">IF(AND(AR$2&lt;&gt;0,#REF!&gt;=AR$2),1,0)</f>
        <v>#REF!</v>
      </c>
      <c r="AS86" s="270" t="e">
        <f t="array" ref="AS86">IF(AND(AS$2&lt;&gt;0,#REF!&gt;=AS$2),1,0)</f>
        <v>#REF!</v>
      </c>
      <c r="AT86" s="270" t="e">
        <f t="array" ref="AT86">IF(AND(AT$2&lt;&gt;0,#REF!&gt;=AT$2),1,0)</f>
        <v>#REF!</v>
      </c>
      <c r="AU86" s="270" t="e">
        <f t="array" ref="AU86">IF(AND(AU$2&lt;&gt;0,#REF!&gt;=AU$2),1,0)</f>
        <v>#REF!</v>
      </c>
      <c r="AV86" s="270" t="e">
        <f t="array" ref="AV86">IF(AND(AV$2&lt;&gt;0,#REF!&gt;=AV$2),1,0)</f>
        <v>#REF!</v>
      </c>
      <c r="AW86" s="270" t="e">
        <f t="array" ref="AW86">IF(AND(AW$2&lt;&gt;0,#REF!&gt;=AW$2),1,0)</f>
        <v>#REF!</v>
      </c>
      <c r="AX86" s="270" t="e">
        <f t="array" ref="AX86">IF(AND(AX$2&lt;&gt;0,#REF!&gt;=AX$2),1,0)</f>
        <v>#REF!</v>
      </c>
      <c r="AY86" s="270" t="e">
        <f t="array" ref="AY86">IF(AND(AY$2&lt;&gt;0,#REF!&gt;=AY$2),1,0)</f>
        <v>#REF!</v>
      </c>
      <c r="AZ86" s="270" t="e">
        <f t="array" ref="AZ86">IF(AND(AZ$2&lt;&gt;0,#REF!&gt;=AZ$2),1,0)</f>
        <v>#REF!</v>
      </c>
      <c r="BA86" s="270" t="e">
        <f t="array" ref="BA86">IF(AND(BA$2&lt;&gt;0,#REF!&gt;=BA$2),1,0)</f>
        <v>#REF!</v>
      </c>
      <c r="BB86" s="270" t="e">
        <f t="array" ref="BB86">IF(AND(BB$2&lt;&gt;0,#REF!&gt;=BB$2),1,0)</f>
        <v>#REF!</v>
      </c>
      <c r="BC86" s="270" t="e">
        <f t="array" ref="BC86">IF(AND(BC$2&lt;&gt;0,#REF!&gt;=BC$2),1,0)</f>
        <v>#REF!</v>
      </c>
      <c r="BD86" s="270" t="e">
        <f t="array" ref="BD86">IF(AND(BD$2&lt;&gt;0,#REF!&gt;=BD$2),1,0)</f>
        <v>#REF!</v>
      </c>
      <c r="BE86" s="270" t="e">
        <f t="array" ref="BE86">IF(AND(BE$2&lt;&gt;0,#REF!&gt;=BE$2),1,0)</f>
        <v>#REF!</v>
      </c>
      <c r="BF86" s="270" t="e">
        <f t="array" ref="BF86">IF(AND(BF$2&lt;&gt;0,#REF!&gt;=BF$2),1,0)</f>
        <v>#REF!</v>
      </c>
      <c r="BG86" s="270" t="e">
        <f t="array" ref="BG86">IF(AND(BG$2&lt;&gt;0,#REF!&gt;=BG$2),1,0)</f>
        <v>#REF!</v>
      </c>
      <c r="BH86" s="270" t="e">
        <f t="array" ref="BH86">IF(AND(BH$2&lt;&gt;0,#REF!&gt;=BH$2),1,0)</f>
        <v>#REF!</v>
      </c>
      <c r="BI86" s="270" t="e">
        <f t="array" ref="BI86">IF(AND(BI$2&lt;&gt;0,#REF!&gt;=BI$2),1,0)</f>
        <v>#REF!</v>
      </c>
      <c r="BJ86" s="270" t="e">
        <f t="array" ref="BJ86">IF(AND(BJ$2&lt;&gt;0,#REF!&gt;=BJ$2),1,0)</f>
        <v>#REF!</v>
      </c>
      <c r="BK86" s="270" t="e">
        <f t="array" ref="BK86">IF(AND(BK$2&lt;&gt;0,#REF!&gt;=BK$2),1,0)</f>
        <v>#REF!</v>
      </c>
      <c r="BL86" s="270" t="e">
        <f t="array" ref="BL86">IF(AND(BL$2&lt;&gt;0,#REF!&gt;=BL$2),1,0)</f>
        <v>#REF!</v>
      </c>
      <c r="BM86" s="270" t="e">
        <f t="array" ref="BM86">IF(AND(BM$2&lt;&gt;0,#REF!&gt;=BM$2),1,0)</f>
        <v>#REF!</v>
      </c>
      <c r="BN86" s="270" t="e">
        <f t="array" ref="BN86">IF(AND(BN$2&lt;&gt;0,#REF!&gt;=BN$2),1,0)</f>
        <v>#REF!</v>
      </c>
      <c r="BO86" s="270" t="e">
        <f t="array" ref="BO86">IF(AND(BO$2&lt;&gt;0,#REF!&gt;=BO$2),1,0)</f>
        <v>#REF!</v>
      </c>
      <c r="BP86" s="270" t="e">
        <f t="array" ref="BP86">IF(AND(BP$2&lt;&gt;0,#REF!&gt;=BP$2),1,0)</f>
        <v>#REF!</v>
      </c>
      <c r="BQ86" s="270" t="e">
        <f t="array" ref="BQ86">IF(AND(BQ$2&lt;&gt;0,#REF!&gt;=BQ$2),1,0)</f>
        <v>#REF!</v>
      </c>
      <c r="BR86" s="270" t="e">
        <f t="array" ref="BR86">IF(AND(BR$2&lt;&gt;0,#REF!&gt;=BR$2),1,0)</f>
        <v>#REF!</v>
      </c>
      <c r="BS86" s="270" t="e">
        <f t="array" ref="BS86">IF(AND(BS$2&lt;&gt;0,#REF!&gt;=BS$2),1,0)</f>
        <v>#REF!</v>
      </c>
      <c r="BT86" s="270" t="e">
        <f t="array" ref="BT86">IF(AND(BT$2&lt;&gt;0,#REF!&gt;=BT$2),1,0)</f>
        <v>#REF!</v>
      </c>
      <c r="BU86" s="270" t="e">
        <f t="array" ref="BU86">IF(AND(BU$2&lt;&gt;0,#REF!&gt;=BU$2),1,0)</f>
        <v>#REF!</v>
      </c>
      <c r="BV86" s="270" t="e">
        <f t="array" ref="BV86">IF(AND(BV$2&lt;&gt;0,#REF!&gt;=BV$2),1,0)</f>
        <v>#REF!</v>
      </c>
      <c r="BW86" s="270" t="e">
        <f t="array" ref="BW86">IF(AND(BW$2&lt;&gt;0,#REF!&gt;=BW$2),1,0)</f>
        <v>#REF!</v>
      </c>
      <c r="BX86" s="270" t="e">
        <f t="array" ref="BX86">IF(AND(BX$2&lt;&gt;0,#REF!&gt;=BX$2),1,0)</f>
        <v>#REF!</v>
      </c>
      <c r="BY86" s="270" t="e">
        <f t="array" ref="BY86">IF(AND(BY$2&lt;&gt;0,#REF!&gt;=BY$2),1,0)</f>
        <v>#REF!</v>
      </c>
      <c r="BZ86" s="270" t="e">
        <f t="array" ref="BZ86">IF(AND(BZ$2&lt;&gt;0,#REF!&gt;=BZ$2),1,0)</f>
        <v>#REF!</v>
      </c>
      <c r="CA86" s="359">
        <f>IFERROR(INDEX($H$4:$H$79,MATCH(INDEX(#REF!,1,MATCH(#REF!,$M$2:$BZ$2,0)),$G$4:$G$79,0)),)</f>
        <v>0</v>
      </c>
    </row>
    <row r="87" spans="1:79" x14ac:dyDescent="0.25">
      <c r="A87" s="262" t="e">
        <f>#REF!</f>
        <v>#REF!</v>
      </c>
      <c r="B87" s="263" t="e">
        <f>#REF!</f>
        <v>#REF!</v>
      </c>
      <c r="C87" s="264" t="e">
        <f>#REF!</f>
        <v>#REF!</v>
      </c>
      <c r="D87" s="264" t="e">
        <f>#REF!</f>
        <v>#REF!</v>
      </c>
      <c r="E87" s="273"/>
      <c r="F87" s="274"/>
      <c r="G87" s="267"/>
      <c r="H87" s="268"/>
      <c r="I87" s="268"/>
      <c r="J87" s="268"/>
      <c r="K87" s="89" t="e">
        <f ca="1">IF(#REF!&lt;&gt;OFFSET(#REF!,-1,0),1,0)</f>
        <v>#REF!</v>
      </c>
      <c r="L87" s="269" t="e">
        <f>COUNTIF(#REF!,1)</f>
        <v>#REF!</v>
      </c>
      <c r="M87" s="270" t="e">
        <f t="array" ref="M87">IF(AND(M$2&lt;&gt;0,#REF!&gt;=M$2),1,0)</f>
        <v>#REF!</v>
      </c>
      <c r="N87" s="270" t="e">
        <f t="array" ref="N87">IF(AND(N$2&lt;&gt;0,#REF!&gt;=N$2),1,0)</f>
        <v>#REF!</v>
      </c>
      <c r="O87" s="270" t="e">
        <f t="array" ref="O87">IF(AND(O$2&lt;&gt;0,#REF!&gt;=O$2),1,0)</f>
        <v>#REF!</v>
      </c>
      <c r="P87" s="270" t="e">
        <f t="array" ref="P87">IF(AND(P$2&lt;&gt;0,#REF!&gt;=P$2),1,0)</f>
        <v>#REF!</v>
      </c>
      <c r="Q87" s="270" t="e">
        <f t="array" ref="Q87">IF(AND(Q$2&lt;&gt;0,#REF!&gt;=Q$2),1,0)</f>
        <v>#REF!</v>
      </c>
      <c r="R87" s="270" t="e">
        <f t="array" ref="R87">IF(AND(R$2&lt;&gt;0,#REF!&gt;=R$2),1,0)</f>
        <v>#REF!</v>
      </c>
      <c r="S87" s="270" t="e">
        <f t="array" ref="S87">IF(AND(S$2&lt;&gt;0,#REF!&gt;=S$2),1,0)</f>
        <v>#REF!</v>
      </c>
      <c r="T87" s="270" t="e">
        <f t="array" ref="T87">IF(AND(T$2&lt;&gt;0,#REF!&gt;=T$2),1,0)</f>
        <v>#REF!</v>
      </c>
      <c r="U87" s="270" t="e">
        <f t="array" ref="U87">IF(AND(U$2&lt;&gt;0,#REF!&gt;=U$2),1,0)</f>
        <v>#REF!</v>
      </c>
      <c r="V87" s="270" t="e">
        <f t="array" ref="V87">IF(AND(V$2&lt;&gt;0,#REF!&gt;=V$2),1,0)</f>
        <v>#REF!</v>
      </c>
      <c r="W87" s="270" t="e">
        <f t="array" ref="W87">IF(AND(W$2&lt;&gt;0,#REF!&gt;=W$2),1,0)</f>
        <v>#REF!</v>
      </c>
      <c r="X87" s="270" t="e">
        <f t="array" ref="X87">IF(AND(X$2&lt;&gt;0,#REF!&gt;=X$2),1,0)</f>
        <v>#REF!</v>
      </c>
      <c r="Y87" s="270" t="e">
        <f t="array" ref="Y87">IF(AND(Y$2&lt;&gt;0,#REF!&gt;=Y$2),1,0)</f>
        <v>#REF!</v>
      </c>
      <c r="Z87" s="270" t="e">
        <f t="array" ref="Z87">IF(AND(Z$2&lt;&gt;0,#REF!&gt;=Z$2),1,0)</f>
        <v>#REF!</v>
      </c>
      <c r="AA87" s="270" t="e">
        <f t="array" ref="AA87">IF(AND(AA$2&lt;&gt;0,#REF!&gt;=AA$2),1,0)</f>
        <v>#REF!</v>
      </c>
      <c r="AB87" s="270" t="e">
        <f t="array" ref="AB87">IF(AND(AB$2&lt;&gt;0,#REF!&gt;=AB$2),1,0)</f>
        <v>#REF!</v>
      </c>
      <c r="AC87" s="270" t="e">
        <f t="array" ref="AC87">IF(AND(AC$2&lt;&gt;0,#REF!&gt;=AC$2),1,0)</f>
        <v>#REF!</v>
      </c>
      <c r="AD87" s="270" t="e">
        <f t="array" ref="AD87">IF(AND(AD$2&lt;&gt;0,#REF!&gt;=AD$2),1,0)</f>
        <v>#REF!</v>
      </c>
      <c r="AE87" s="270" t="e">
        <f t="array" ref="AE87">IF(AND(AE$2&lt;&gt;0,#REF!&gt;=AE$2),1,0)</f>
        <v>#REF!</v>
      </c>
      <c r="AF87" s="270" t="e">
        <f t="array" ref="AF87">IF(AND(AF$2&lt;&gt;0,#REF!&gt;=AF$2),1,0)</f>
        <v>#REF!</v>
      </c>
      <c r="AG87" s="270" t="e">
        <f t="array" ref="AG87">IF(AND(AG$2&lt;&gt;0,#REF!&gt;=AG$2),1,0)</f>
        <v>#REF!</v>
      </c>
      <c r="AH87" s="270" t="e">
        <f t="array" ref="AH87">IF(AND(AH$2&lt;&gt;0,#REF!&gt;=AH$2),1,0)</f>
        <v>#REF!</v>
      </c>
      <c r="AI87" s="270" t="e">
        <f t="array" ref="AI87">IF(AND(AI$2&lt;&gt;0,#REF!&gt;=AI$2),1,0)</f>
        <v>#REF!</v>
      </c>
      <c r="AJ87" s="270" t="e">
        <f t="array" ref="AJ87">IF(AND(AJ$2&lt;&gt;0,#REF!&gt;=AJ$2),1,0)</f>
        <v>#REF!</v>
      </c>
      <c r="AK87" s="270" t="e">
        <f t="array" ref="AK87">IF(AND(AK$2&lt;&gt;0,#REF!&gt;=AK$2),1,0)</f>
        <v>#REF!</v>
      </c>
      <c r="AL87" s="270" t="e">
        <f t="array" ref="AL87">IF(AND(AL$2&lt;&gt;0,#REF!&gt;=AL$2),1,0)</f>
        <v>#REF!</v>
      </c>
      <c r="AM87" s="270" t="e">
        <f t="array" ref="AM87">IF(AND(AM$2&lt;&gt;0,#REF!&gt;=AM$2),1,0)</f>
        <v>#REF!</v>
      </c>
      <c r="AN87" s="270" t="e">
        <f t="array" ref="AN87">IF(AND(AN$2&lt;&gt;0,#REF!&gt;=AN$2),1,0)</f>
        <v>#REF!</v>
      </c>
      <c r="AO87" s="270" t="e">
        <f t="array" ref="AO87">IF(AND(AO$2&lt;&gt;0,#REF!&gt;=AO$2),1,0)</f>
        <v>#REF!</v>
      </c>
      <c r="AP87" s="270" t="e">
        <f t="array" ref="AP87">IF(AND(AP$2&lt;&gt;0,#REF!&gt;=AP$2),1,0)</f>
        <v>#REF!</v>
      </c>
      <c r="AQ87" s="270" t="e">
        <f t="array" ref="AQ87">IF(AND(AQ$2&lt;&gt;0,#REF!&gt;=AQ$2),1,0)</f>
        <v>#REF!</v>
      </c>
      <c r="AR87" s="270" t="e">
        <f t="array" ref="AR87">IF(AND(AR$2&lt;&gt;0,#REF!&gt;=AR$2),1,0)</f>
        <v>#REF!</v>
      </c>
      <c r="AS87" s="270" t="e">
        <f t="array" ref="AS87">IF(AND(AS$2&lt;&gt;0,#REF!&gt;=AS$2),1,0)</f>
        <v>#REF!</v>
      </c>
      <c r="AT87" s="270" t="e">
        <f t="array" ref="AT87">IF(AND(AT$2&lt;&gt;0,#REF!&gt;=AT$2),1,0)</f>
        <v>#REF!</v>
      </c>
      <c r="AU87" s="270" t="e">
        <f t="array" ref="AU87">IF(AND(AU$2&lt;&gt;0,#REF!&gt;=AU$2),1,0)</f>
        <v>#REF!</v>
      </c>
      <c r="AV87" s="270" t="e">
        <f t="array" ref="AV87">IF(AND(AV$2&lt;&gt;0,#REF!&gt;=AV$2),1,0)</f>
        <v>#REF!</v>
      </c>
      <c r="AW87" s="270" t="e">
        <f t="array" ref="AW87">IF(AND(AW$2&lt;&gt;0,#REF!&gt;=AW$2),1,0)</f>
        <v>#REF!</v>
      </c>
      <c r="AX87" s="270" t="e">
        <f t="array" ref="AX87">IF(AND(AX$2&lt;&gt;0,#REF!&gt;=AX$2),1,0)</f>
        <v>#REF!</v>
      </c>
      <c r="AY87" s="270" t="e">
        <f t="array" ref="AY87">IF(AND(AY$2&lt;&gt;0,#REF!&gt;=AY$2),1,0)</f>
        <v>#REF!</v>
      </c>
      <c r="AZ87" s="270" t="e">
        <f t="array" ref="AZ87">IF(AND(AZ$2&lt;&gt;0,#REF!&gt;=AZ$2),1,0)</f>
        <v>#REF!</v>
      </c>
      <c r="BA87" s="270" t="e">
        <f t="array" ref="BA87">IF(AND(BA$2&lt;&gt;0,#REF!&gt;=BA$2),1,0)</f>
        <v>#REF!</v>
      </c>
      <c r="BB87" s="270" t="e">
        <f t="array" ref="BB87">IF(AND(BB$2&lt;&gt;0,#REF!&gt;=BB$2),1,0)</f>
        <v>#REF!</v>
      </c>
      <c r="BC87" s="270" t="e">
        <f t="array" ref="BC87">IF(AND(BC$2&lt;&gt;0,#REF!&gt;=BC$2),1,0)</f>
        <v>#REF!</v>
      </c>
      <c r="BD87" s="270" t="e">
        <f t="array" ref="BD87">IF(AND(BD$2&lt;&gt;0,#REF!&gt;=BD$2),1,0)</f>
        <v>#REF!</v>
      </c>
      <c r="BE87" s="270" t="e">
        <f t="array" ref="BE87">IF(AND(BE$2&lt;&gt;0,#REF!&gt;=BE$2),1,0)</f>
        <v>#REF!</v>
      </c>
      <c r="BF87" s="270" t="e">
        <f t="array" ref="BF87">IF(AND(BF$2&lt;&gt;0,#REF!&gt;=BF$2),1,0)</f>
        <v>#REF!</v>
      </c>
      <c r="BG87" s="270" t="e">
        <f t="array" ref="BG87">IF(AND(BG$2&lt;&gt;0,#REF!&gt;=BG$2),1,0)</f>
        <v>#REF!</v>
      </c>
      <c r="BH87" s="270" t="e">
        <f t="array" ref="BH87">IF(AND(BH$2&lt;&gt;0,#REF!&gt;=BH$2),1,0)</f>
        <v>#REF!</v>
      </c>
      <c r="BI87" s="270" t="e">
        <f t="array" ref="BI87">IF(AND(BI$2&lt;&gt;0,#REF!&gt;=BI$2),1,0)</f>
        <v>#REF!</v>
      </c>
      <c r="BJ87" s="270" t="e">
        <f t="array" ref="BJ87">IF(AND(BJ$2&lt;&gt;0,#REF!&gt;=BJ$2),1,0)</f>
        <v>#REF!</v>
      </c>
      <c r="BK87" s="270" t="e">
        <f t="array" ref="BK87">IF(AND(BK$2&lt;&gt;0,#REF!&gt;=BK$2),1,0)</f>
        <v>#REF!</v>
      </c>
      <c r="BL87" s="270" t="e">
        <f t="array" ref="BL87">IF(AND(BL$2&lt;&gt;0,#REF!&gt;=BL$2),1,0)</f>
        <v>#REF!</v>
      </c>
      <c r="BM87" s="270" t="e">
        <f t="array" ref="BM87">IF(AND(BM$2&lt;&gt;0,#REF!&gt;=BM$2),1,0)</f>
        <v>#REF!</v>
      </c>
      <c r="BN87" s="270" t="e">
        <f t="array" ref="BN87">IF(AND(BN$2&lt;&gt;0,#REF!&gt;=BN$2),1,0)</f>
        <v>#REF!</v>
      </c>
      <c r="BO87" s="270" t="e">
        <f t="array" ref="BO87">IF(AND(BO$2&lt;&gt;0,#REF!&gt;=BO$2),1,0)</f>
        <v>#REF!</v>
      </c>
      <c r="BP87" s="270" t="e">
        <f t="array" ref="BP87">IF(AND(BP$2&lt;&gt;0,#REF!&gt;=BP$2),1,0)</f>
        <v>#REF!</v>
      </c>
      <c r="BQ87" s="270" t="e">
        <f t="array" ref="BQ87">IF(AND(BQ$2&lt;&gt;0,#REF!&gt;=BQ$2),1,0)</f>
        <v>#REF!</v>
      </c>
      <c r="BR87" s="270" t="e">
        <f t="array" ref="BR87">IF(AND(BR$2&lt;&gt;0,#REF!&gt;=BR$2),1,0)</f>
        <v>#REF!</v>
      </c>
      <c r="BS87" s="270" t="e">
        <f t="array" ref="BS87">IF(AND(BS$2&lt;&gt;0,#REF!&gt;=BS$2),1,0)</f>
        <v>#REF!</v>
      </c>
      <c r="BT87" s="270" t="e">
        <f t="array" ref="BT87">IF(AND(BT$2&lt;&gt;0,#REF!&gt;=BT$2),1,0)</f>
        <v>#REF!</v>
      </c>
      <c r="BU87" s="270" t="e">
        <f t="array" ref="BU87">IF(AND(BU$2&lt;&gt;0,#REF!&gt;=BU$2),1,0)</f>
        <v>#REF!</v>
      </c>
      <c r="BV87" s="270" t="e">
        <f t="array" ref="BV87">IF(AND(BV$2&lt;&gt;0,#REF!&gt;=BV$2),1,0)</f>
        <v>#REF!</v>
      </c>
      <c r="BW87" s="270" t="e">
        <f t="array" ref="BW87">IF(AND(BW$2&lt;&gt;0,#REF!&gt;=BW$2),1,0)</f>
        <v>#REF!</v>
      </c>
      <c r="BX87" s="270" t="e">
        <f t="array" ref="BX87">IF(AND(BX$2&lt;&gt;0,#REF!&gt;=BX$2),1,0)</f>
        <v>#REF!</v>
      </c>
      <c r="BY87" s="270" t="e">
        <f t="array" ref="BY87">IF(AND(BY$2&lt;&gt;0,#REF!&gt;=BY$2),1,0)</f>
        <v>#REF!</v>
      </c>
      <c r="BZ87" s="270" t="e">
        <f t="array" ref="BZ87">IF(AND(BZ$2&lt;&gt;0,#REF!&gt;=BZ$2),1,0)</f>
        <v>#REF!</v>
      </c>
      <c r="CA87" s="359">
        <f>IFERROR(INDEX($H$4:$H$79,MATCH(INDEX(#REF!,1,MATCH(#REF!,$M$2:$BZ$2,0)),$G$4:$G$79,0)),)</f>
        <v>0</v>
      </c>
    </row>
    <row r="88" spans="1:79" x14ac:dyDescent="0.25">
      <c r="A88" s="262" t="e">
        <f>#REF!</f>
        <v>#REF!</v>
      </c>
      <c r="B88" s="263" t="e">
        <f>#REF!</f>
        <v>#REF!</v>
      </c>
      <c r="C88" s="264" t="e">
        <f>#REF!</f>
        <v>#REF!</v>
      </c>
      <c r="D88" s="264" t="e">
        <f>#REF!</f>
        <v>#REF!</v>
      </c>
      <c r="E88" s="273"/>
      <c r="F88" s="274"/>
      <c r="G88" s="267"/>
      <c r="H88" s="268"/>
      <c r="I88" s="268"/>
      <c r="J88" s="268"/>
      <c r="K88" s="89" t="e">
        <f ca="1">IF(#REF!&lt;&gt;OFFSET(#REF!,-1,0),1,0)</f>
        <v>#REF!</v>
      </c>
      <c r="L88" s="269" t="e">
        <f>COUNTIF(#REF!,1)</f>
        <v>#REF!</v>
      </c>
      <c r="M88" s="270" t="e">
        <f t="array" ref="M88">IF(AND(M$2&lt;&gt;0,#REF!&gt;=M$2),1,0)</f>
        <v>#REF!</v>
      </c>
      <c r="N88" s="270" t="e">
        <f t="array" ref="N88">IF(AND(N$2&lt;&gt;0,#REF!&gt;=N$2),1,0)</f>
        <v>#REF!</v>
      </c>
      <c r="O88" s="270" t="e">
        <f t="array" ref="O88">IF(AND(O$2&lt;&gt;0,#REF!&gt;=O$2),1,0)</f>
        <v>#REF!</v>
      </c>
      <c r="P88" s="270" t="e">
        <f t="array" ref="P88">IF(AND(P$2&lt;&gt;0,#REF!&gt;=P$2),1,0)</f>
        <v>#REF!</v>
      </c>
      <c r="Q88" s="270" t="e">
        <f t="array" ref="Q88">IF(AND(Q$2&lt;&gt;0,#REF!&gt;=Q$2),1,0)</f>
        <v>#REF!</v>
      </c>
      <c r="R88" s="270" t="e">
        <f t="array" ref="R88">IF(AND(R$2&lt;&gt;0,#REF!&gt;=R$2),1,0)</f>
        <v>#REF!</v>
      </c>
      <c r="S88" s="270" t="e">
        <f t="array" ref="S88">IF(AND(S$2&lt;&gt;0,#REF!&gt;=S$2),1,0)</f>
        <v>#REF!</v>
      </c>
      <c r="T88" s="270" t="e">
        <f t="array" ref="T88">IF(AND(T$2&lt;&gt;0,#REF!&gt;=T$2),1,0)</f>
        <v>#REF!</v>
      </c>
      <c r="U88" s="270" t="e">
        <f t="array" ref="U88">IF(AND(U$2&lt;&gt;0,#REF!&gt;=U$2),1,0)</f>
        <v>#REF!</v>
      </c>
      <c r="V88" s="270" t="e">
        <f t="array" ref="V88">IF(AND(V$2&lt;&gt;0,#REF!&gt;=V$2),1,0)</f>
        <v>#REF!</v>
      </c>
      <c r="W88" s="270" t="e">
        <f t="array" ref="W88">IF(AND(W$2&lt;&gt;0,#REF!&gt;=W$2),1,0)</f>
        <v>#REF!</v>
      </c>
      <c r="X88" s="270" t="e">
        <f t="array" ref="X88">IF(AND(X$2&lt;&gt;0,#REF!&gt;=X$2),1,0)</f>
        <v>#REF!</v>
      </c>
      <c r="Y88" s="270" t="e">
        <f t="array" ref="Y88">IF(AND(Y$2&lt;&gt;0,#REF!&gt;=Y$2),1,0)</f>
        <v>#REF!</v>
      </c>
      <c r="Z88" s="270" t="e">
        <f t="array" ref="Z88">IF(AND(Z$2&lt;&gt;0,#REF!&gt;=Z$2),1,0)</f>
        <v>#REF!</v>
      </c>
      <c r="AA88" s="270" t="e">
        <f t="array" ref="AA88">IF(AND(AA$2&lt;&gt;0,#REF!&gt;=AA$2),1,0)</f>
        <v>#REF!</v>
      </c>
      <c r="AB88" s="270" t="e">
        <f t="array" ref="AB88">IF(AND(AB$2&lt;&gt;0,#REF!&gt;=AB$2),1,0)</f>
        <v>#REF!</v>
      </c>
      <c r="AC88" s="270" t="e">
        <f t="array" ref="AC88">IF(AND(AC$2&lt;&gt;0,#REF!&gt;=AC$2),1,0)</f>
        <v>#REF!</v>
      </c>
      <c r="AD88" s="270" t="e">
        <f t="array" ref="AD88">IF(AND(AD$2&lt;&gt;0,#REF!&gt;=AD$2),1,0)</f>
        <v>#REF!</v>
      </c>
      <c r="AE88" s="270" t="e">
        <f t="array" ref="AE88">IF(AND(AE$2&lt;&gt;0,#REF!&gt;=AE$2),1,0)</f>
        <v>#REF!</v>
      </c>
      <c r="AF88" s="270" t="e">
        <f t="array" ref="AF88">IF(AND(AF$2&lt;&gt;0,#REF!&gt;=AF$2),1,0)</f>
        <v>#REF!</v>
      </c>
      <c r="AG88" s="270" t="e">
        <f t="array" ref="AG88">IF(AND(AG$2&lt;&gt;0,#REF!&gt;=AG$2),1,0)</f>
        <v>#REF!</v>
      </c>
      <c r="AH88" s="270" t="e">
        <f t="array" ref="AH88">IF(AND(AH$2&lt;&gt;0,#REF!&gt;=AH$2),1,0)</f>
        <v>#REF!</v>
      </c>
      <c r="AI88" s="270" t="e">
        <f t="array" ref="AI88">IF(AND(AI$2&lt;&gt;0,#REF!&gt;=AI$2),1,0)</f>
        <v>#REF!</v>
      </c>
      <c r="AJ88" s="270" t="e">
        <f t="array" ref="AJ88">IF(AND(AJ$2&lt;&gt;0,#REF!&gt;=AJ$2),1,0)</f>
        <v>#REF!</v>
      </c>
      <c r="AK88" s="270" t="e">
        <f t="array" ref="AK88">IF(AND(AK$2&lt;&gt;0,#REF!&gt;=AK$2),1,0)</f>
        <v>#REF!</v>
      </c>
      <c r="AL88" s="270" t="e">
        <f t="array" ref="AL88">IF(AND(AL$2&lt;&gt;0,#REF!&gt;=AL$2),1,0)</f>
        <v>#REF!</v>
      </c>
      <c r="AM88" s="270" t="e">
        <f t="array" ref="AM88">IF(AND(AM$2&lt;&gt;0,#REF!&gt;=AM$2),1,0)</f>
        <v>#REF!</v>
      </c>
      <c r="AN88" s="270" t="e">
        <f t="array" ref="AN88">IF(AND(AN$2&lt;&gt;0,#REF!&gt;=AN$2),1,0)</f>
        <v>#REF!</v>
      </c>
      <c r="AO88" s="270" t="e">
        <f t="array" ref="AO88">IF(AND(AO$2&lt;&gt;0,#REF!&gt;=AO$2),1,0)</f>
        <v>#REF!</v>
      </c>
      <c r="AP88" s="270" t="e">
        <f t="array" ref="AP88">IF(AND(AP$2&lt;&gt;0,#REF!&gt;=AP$2),1,0)</f>
        <v>#REF!</v>
      </c>
      <c r="AQ88" s="270" t="e">
        <f t="array" ref="AQ88">IF(AND(AQ$2&lt;&gt;0,#REF!&gt;=AQ$2),1,0)</f>
        <v>#REF!</v>
      </c>
      <c r="AR88" s="270" t="e">
        <f t="array" ref="AR88">IF(AND(AR$2&lt;&gt;0,#REF!&gt;=AR$2),1,0)</f>
        <v>#REF!</v>
      </c>
      <c r="AS88" s="270" t="e">
        <f t="array" ref="AS88">IF(AND(AS$2&lt;&gt;0,#REF!&gt;=AS$2),1,0)</f>
        <v>#REF!</v>
      </c>
      <c r="AT88" s="270" t="e">
        <f t="array" ref="AT88">IF(AND(AT$2&lt;&gt;0,#REF!&gt;=AT$2),1,0)</f>
        <v>#REF!</v>
      </c>
      <c r="AU88" s="270" t="e">
        <f t="array" ref="AU88">IF(AND(AU$2&lt;&gt;0,#REF!&gt;=AU$2),1,0)</f>
        <v>#REF!</v>
      </c>
      <c r="AV88" s="270" t="e">
        <f t="array" ref="AV88">IF(AND(AV$2&lt;&gt;0,#REF!&gt;=AV$2),1,0)</f>
        <v>#REF!</v>
      </c>
      <c r="AW88" s="270" t="e">
        <f t="array" ref="AW88">IF(AND(AW$2&lt;&gt;0,#REF!&gt;=AW$2),1,0)</f>
        <v>#REF!</v>
      </c>
      <c r="AX88" s="270" t="e">
        <f t="array" ref="AX88">IF(AND(AX$2&lt;&gt;0,#REF!&gt;=AX$2),1,0)</f>
        <v>#REF!</v>
      </c>
      <c r="AY88" s="270" t="e">
        <f t="array" ref="AY88">IF(AND(AY$2&lt;&gt;0,#REF!&gt;=AY$2),1,0)</f>
        <v>#REF!</v>
      </c>
      <c r="AZ88" s="270" t="e">
        <f t="array" ref="AZ88">IF(AND(AZ$2&lt;&gt;0,#REF!&gt;=AZ$2),1,0)</f>
        <v>#REF!</v>
      </c>
      <c r="BA88" s="270" t="e">
        <f t="array" ref="BA88">IF(AND(BA$2&lt;&gt;0,#REF!&gt;=BA$2),1,0)</f>
        <v>#REF!</v>
      </c>
      <c r="BB88" s="270" t="e">
        <f t="array" ref="BB88">IF(AND(BB$2&lt;&gt;0,#REF!&gt;=BB$2),1,0)</f>
        <v>#REF!</v>
      </c>
      <c r="BC88" s="270" t="e">
        <f t="array" ref="BC88">IF(AND(BC$2&lt;&gt;0,#REF!&gt;=BC$2),1,0)</f>
        <v>#REF!</v>
      </c>
      <c r="BD88" s="270" t="e">
        <f t="array" ref="BD88">IF(AND(BD$2&lt;&gt;0,#REF!&gt;=BD$2),1,0)</f>
        <v>#REF!</v>
      </c>
      <c r="BE88" s="270" t="e">
        <f t="array" ref="BE88">IF(AND(BE$2&lt;&gt;0,#REF!&gt;=BE$2),1,0)</f>
        <v>#REF!</v>
      </c>
      <c r="BF88" s="270" t="e">
        <f t="array" ref="BF88">IF(AND(BF$2&lt;&gt;0,#REF!&gt;=BF$2),1,0)</f>
        <v>#REF!</v>
      </c>
      <c r="BG88" s="270" t="e">
        <f t="array" ref="BG88">IF(AND(BG$2&lt;&gt;0,#REF!&gt;=BG$2),1,0)</f>
        <v>#REF!</v>
      </c>
      <c r="BH88" s="270" t="e">
        <f t="array" ref="BH88">IF(AND(BH$2&lt;&gt;0,#REF!&gt;=BH$2),1,0)</f>
        <v>#REF!</v>
      </c>
      <c r="BI88" s="270" t="e">
        <f t="array" ref="BI88">IF(AND(BI$2&lt;&gt;0,#REF!&gt;=BI$2),1,0)</f>
        <v>#REF!</v>
      </c>
      <c r="BJ88" s="270" t="e">
        <f t="array" ref="BJ88">IF(AND(BJ$2&lt;&gt;0,#REF!&gt;=BJ$2),1,0)</f>
        <v>#REF!</v>
      </c>
      <c r="BK88" s="270" t="e">
        <f t="array" ref="BK88">IF(AND(BK$2&lt;&gt;0,#REF!&gt;=BK$2),1,0)</f>
        <v>#REF!</v>
      </c>
      <c r="BL88" s="270" t="e">
        <f t="array" ref="BL88">IF(AND(BL$2&lt;&gt;0,#REF!&gt;=BL$2),1,0)</f>
        <v>#REF!</v>
      </c>
      <c r="BM88" s="270" t="e">
        <f t="array" ref="BM88">IF(AND(BM$2&lt;&gt;0,#REF!&gt;=BM$2),1,0)</f>
        <v>#REF!</v>
      </c>
      <c r="BN88" s="270" t="e">
        <f t="array" ref="BN88">IF(AND(BN$2&lt;&gt;0,#REF!&gt;=BN$2),1,0)</f>
        <v>#REF!</v>
      </c>
      <c r="BO88" s="270" t="e">
        <f t="array" ref="BO88">IF(AND(BO$2&lt;&gt;0,#REF!&gt;=BO$2),1,0)</f>
        <v>#REF!</v>
      </c>
      <c r="BP88" s="270" t="e">
        <f t="array" ref="BP88">IF(AND(BP$2&lt;&gt;0,#REF!&gt;=BP$2),1,0)</f>
        <v>#REF!</v>
      </c>
      <c r="BQ88" s="270" t="e">
        <f t="array" ref="BQ88">IF(AND(BQ$2&lt;&gt;0,#REF!&gt;=BQ$2),1,0)</f>
        <v>#REF!</v>
      </c>
      <c r="BR88" s="270" t="e">
        <f t="array" ref="BR88">IF(AND(BR$2&lt;&gt;0,#REF!&gt;=BR$2),1,0)</f>
        <v>#REF!</v>
      </c>
      <c r="BS88" s="270" t="e">
        <f t="array" ref="BS88">IF(AND(BS$2&lt;&gt;0,#REF!&gt;=BS$2),1,0)</f>
        <v>#REF!</v>
      </c>
      <c r="BT88" s="270" t="e">
        <f t="array" ref="BT88">IF(AND(BT$2&lt;&gt;0,#REF!&gt;=BT$2),1,0)</f>
        <v>#REF!</v>
      </c>
      <c r="BU88" s="270" t="e">
        <f t="array" ref="BU88">IF(AND(BU$2&lt;&gt;0,#REF!&gt;=BU$2),1,0)</f>
        <v>#REF!</v>
      </c>
      <c r="BV88" s="270" t="e">
        <f t="array" ref="BV88">IF(AND(BV$2&lt;&gt;0,#REF!&gt;=BV$2),1,0)</f>
        <v>#REF!</v>
      </c>
      <c r="BW88" s="270" t="e">
        <f t="array" ref="BW88">IF(AND(BW$2&lt;&gt;0,#REF!&gt;=BW$2),1,0)</f>
        <v>#REF!</v>
      </c>
      <c r="BX88" s="270" t="e">
        <f t="array" ref="BX88">IF(AND(BX$2&lt;&gt;0,#REF!&gt;=BX$2),1,0)</f>
        <v>#REF!</v>
      </c>
      <c r="BY88" s="270" t="e">
        <f t="array" ref="BY88">IF(AND(BY$2&lt;&gt;0,#REF!&gt;=BY$2),1,0)</f>
        <v>#REF!</v>
      </c>
      <c r="BZ88" s="270" t="e">
        <f t="array" ref="BZ88">IF(AND(BZ$2&lt;&gt;0,#REF!&gt;=BZ$2),1,0)</f>
        <v>#REF!</v>
      </c>
      <c r="CA88" s="359">
        <f>IFERROR(INDEX($H$4:$H$79,MATCH(INDEX(#REF!,1,MATCH(#REF!,$M$2:$BZ$2,0)),$G$4:$G$79,0)),)</f>
        <v>0</v>
      </c>
    </row>
    <row r="89" spans="1:79" x14ac:dyDescent="0.25">
      <c r="A89" s="262" t="e">
        <f>#REF!</f>
        <v>#REF!</v>
      </c>
      <c r="B89" s="263" t="e">
        <f>#REF!</f>
        <v>#REF!</v>
      </c>
      <c r="C89" s="264" t="e">
        <f>#REF!</f>
        <v>#REF!</v>
      </c>
      <c r="D89" s="264" t="e">
        <f>#REF!</f>
        <v>#REF!</v>
      </c>
      <c r="E89" s="273"/>
      <c r="F89" s="274"/>
      <c r="G89" s="267"/>
      <c r="H89" s="268"/>
      <c r="I89" s="268"/>
      <c r="J89" s="268"/>
      <c r="K89" s="89" t="e">
        <f ca="1">IF(#REF!&lt;&gt;OFFSET(#REF!,-1,0),1,0)</f>
        <v>#REF!</v>
      </c>
      <c r="L89" s="269" t="e">
        <f>COUNTIF(#REF!,1)</f>
        <v>#REF!</v>
      </c>
      <c r="M89" s="270" t="e">
        <f t="array" ref="M89">IF(AND(M$2&lt;&gt;0,#REF!&gt;=M$2),1,0)</f>
        <v>#REF!</v>
      </c>
      <c r="N89" s="270" t="e">
        <f t="array" ref="N89">IF(AND(N$2&lt;&gt;0,#REF!&gt;=N$2),1,0)</f>
        <v>#REF!</v>
      </c>
      <c r="O89" s="270" t="e">
        <f t="array" ref="O89">IF(AND(O$2&lt;&gt;0,#REF!&gt;=O$2),1,0)</f>
        <v>#REF!</v>
      </c>
      <c r="P89" s="270" t="e">
        <f t="array" ref="P89">IF(AND(P$2&lt;&gt;0,#REF!&gt;=P$2),1,0)</f>
        <v>#REF!</v>
      </c>
      <c r="Q89" s="270" t="e">
        <f t="array" ref="Q89">IF(AND(Q$2&lt;&gt;0,#REF!&gt;=Q$2),1,0)</f>
        <v>#REF!</v>
      </c>
      <c r="R89" s="270" t="e">
        <f t="array" ref="R89">IF(AND(R$2&lt;&gt;0,#REF!&gt;=R$2),1,0)</f>
        <v>#REF!</v>
      </c>
      <c r="S89" s="270" t="e">
        <f t="array" ref="S89">IF(AND(S$2&lt;&gt;0,#REF!&gt;=S$2),1,0)</f>
        <v>#REF!</v>
      </c>
      <c r="T89" s="270" t="e">
        <f t="array" ref="T89">IF(AND(T$2&lt;&gt;0,#REF!&gt;=T$2),1,0)</f>
        <v>#REF!</v>
      </c>
      <c r="U89" s="270" t="e">
        <f t="array" ref="U89">IF(AND(U$2&lt;&gt;0,#REF!&gt;=U$2),1,0)</f>
        <v>#REF!</v>
      </c>
      <c r="V89" s="270" t="e">
        <f t="array" ref="V89">IF(AND(V$2&lt;&gt;0,#REF!&gt;=V$2),1,0)</f>
        <v>#REF!</v>
      </c>
      <c r="W89" s="270" t="e">
        <f t="array" ref="W89">IF(AND(W$2&lt;&gt;0,#REF!&gt;=W$2),1,0)</f>
        <v>#REF!</v>
      </c>
      <c r="X89" s="270" t="e">
        <f t="array" ref="X89">IF(AND(X$2&lt;&gt;0,#REF!&gt;=X$2),1,0)</f>
        <v>#REF!</v>
      </c>
      <c r="Y89" s="270" t="e">
        <f t="array" ref="Y89">IF(AND(Y$2&lt;&gt;0,#REF!&gt;=Y$2),1,0)</f>
        <v>#REF!</v>
      </c>
      <c r="Z89" s="270" t="e">
        <f t="array" ref="Z89">IF(AND(Z$2&lt;&gt;0,#REF!&gt;=Z$2),1,0)</f>
        <v>#REF!</v>
      </c>
      <c r="AA89" s="270" t="e">
        <f t="array" ref="AA89">IF(AND(AA$2&lt;&gt;0,#REF!&gt;=AA$2),1,0)</f>
        <v>#REF!</v>
      </c>
      <c r="AB89" s="270" t="e">
        <f t="array" ref="AB89">IF(AND(AB$2&lt;&gt;0,#REF!&gt;=AB$2),1,0)</f>
        <v>#REF!</v>
      </c>
      <c r="AC89" s="270" t="e">
        <f t="array" ref="AC89">IF(AND(AC$2&lt;&gt;0,#REF!&gt;=AC$2),1,0)</f>
        <v>#REF!</v>
      </c>
      <c r="AD89" s="270" t="e">
        <f t="array" ref="AD89">IF(AND(AD$2&lt;&gt;0,#REF!&gt;=AD$2),1,0)</f>
        <v>#REF!</v>
      </c>
      <c r="AE89" s="270" t="e">
        <f t="array" ref="AE89">IF(AND(AE$2&lt;&gt;0,#REF!&gt;=AE$2),1,0)</f>
        <v>#REF!</v>
      </c>
      <c r="AF89" s="270" t="e">
        <f t="array" ref="AF89">IF(AND(AF$2&lt;&gt;0,#REF!&gt;=AF$2),1,0)</f>
        <v>#REF!</v>
      </c>
      <c r="AG89" s="270" t="e">
        <f t="array" ref="AG89">IF(AND(AG$2&lt;&gt;0,#REF!&gt;=AG$2),1,0)</f>
        <v>#REF!</v>
      </c>
      <c r="AH89" s="270" t="e">
        <f t="array" ref="AH89">IF(AND(AH$2&lt;&gt;0,#REF!&gt;=AH$2),1,0)</f>
        <v>#REF!</v>
      </c>
      <c r="AI89" s="270" t="e">
        <f t="array" ref="AI89">IF(AND(AI$2&lt;&gt;0,#REF!&gt;=AI$2),1,0)</f>
        <v>#REF!</v>
      </c>
      <c r="AJ89" s="270" t="e">
        <f t="array" ref="AJ89">IF(AND(AJ$2&lt;&gt;0,#REF!&gt;=AJ$2),1,0)</f>
        <v>#REF!</v>
      </c>
      <c r="AK89" s="270" t="e">
        <f t="array" ref="AK89">IF(AND(AK$2&lt;&gt;0,#REF!&gt;=AK$2),1,0)</f>
        <v>#REF!</v>
      </c>
      <c r="AL89" s="270" t="e">
        <f t="array" ref="AL89">IF(AND(AL$2&lt;&gt;0,#REF!&gt;=AL$2),1,0)</f>
        <v>#REF!</v>
      </c>
      <c r="AM89" s="270" t="e">
        <f t="array" ref="AM89">IF(AND(AM$2&lt;&gt;0,#REF!&gt;=AM$2),1,0)</f>
        <v>#REF!</v>
      </c>
      <c r="AN89" s="270" t="e">
        <f t="array" ref="AN89">IF(AND(AN$2&lt;&gt;0,#REF!&gt;=AN$2),1,0)</f>
        <v>#REF!</v>
      </c>
      <c r="AO89" s="270" t="e">
        <f t="array" ref="AO89">IF(AND(AO$2&lt;&gt;0,#REF!&gt;=AO$2),1,0)</f>
        <v>#REF!</v>
      </c>
      <c r="AP89" s="270" t="e">
        <f t="array" ref="AP89">IF(AND(AP$2&lt;&gt;0,#REF!&gt;=AP$2),1,0)</f>
        <v>#REF!</v>
      </c>
      <c r="AQ89" s="270" t="e">
        <f t="array" ref="AQ89">IF(AND(AQ$2&lt;&gt;0,#REF!&gt;=AQ$2),1,0)</f>
        <v>#REF!</v>
      </c>
      <c r="AR89" s="270" t="e">
        <f t="array" ref="AR89">IF(AND(AR$2&lt;&gt;0,#REF!&gt;=AR$2),1,0)</f>
        <v>#REF!</v>
      </c>
      <c r="AS89" s="270" t="e">
        <f t="array" ref="AS89">IF(AND(AS$2&lt;&gt;0,#REF!&gt;=AS$2),1,0)</f>
        <v>#REF!</v>
      </c>
      <c r="AT89" s="270" t="e">
        <f t="array" ref="AT89">IF(AND(AT$2&lt;&gt;0,#REF!&gt;=AT$2),1,0)</f>
        <v>#REF!</v>
      </c>
      <c r="AU89" s="270" t="e">
        <f t="array" ref="AU89">IF(AND(AU$2&lt;&gt;0,#REF!&gt;=AU$2),1,0)</f>
        <v>#REF!</v>
      </c>
      <c r="AV89" s="270" t="e">
        <f t="array" ref="AV89">IF(AND(AV$2&lt;&gt;0,#REF!&gt;=AV$2),1,0)</f>
        <v>#REF!</v>
      </c>
      <c r="AW89" s="270" t="e">
        <f t="array" ref="AW89">IF(AND(AW$2&lt;&gt;0,#REF!&gt;=AW$2),1,0)</f>
        <v>#REF!</v>
      </c>
      <c r="AX89" s="270" t="e">
        <f t="array" ref="AX89">IF(AND(AX$2&lt;&gt;0,#REF!&gt;=AX$2),1,0)</f>
        <v>#REF!</v>
      </c>
      <c r="AY89" s="270" t="e">
        <f t="array" ref="AY89">IF(AND(AY$2&lt;&gt;0,#REF!&gt;=AY$2),1,0)</f>
        <v>#REF!</v>
      </c>
      <c r="AZ89" s="270" t="e">
        <f t="array" ref="AZ89">IF(AND(AZ$2&lt;&gt;0,#REF!&gt;=AZ$2),1,0)</f>
        <v>#REF!</v>
      </c>
      <c r="BA89" s="270" t="e">
        <f t="array" ref="BA89">IF(AND(BA$2&lt;&gt;0,#REF!&gt;=BA$2),1,0)</f>
        <v>#REF!</v>
      </c>
      <c r="BB89" s="270" t="e">
        <f t="array" ref="BB89">IF(AND(BB$2&lt;&gt;0,#REF!&gt;=BB$2),1,0)</f>
        <v>#REF!</v>
      </c>
      <c r="BC89" s="270" t="e">
        <f t="array" ref="BC89">IF(AND(BC$2&lt;&gt;0,#REF!&gt;=BC$2),1,0)</f>
        <v>#REF!</v>
      </c>
      <c r="BD89" s="270" t="e">
        <f t="array" ref="BD89">IF(AND(BD$2&lt;&gt;0,#REF!&gt;=BD$2),1,0)</f>
        <v>#REF!</v>
      </c>
      <c r="BE89" s="270" t="e">
        <f t="array" ref="BE89">IF(AND(BE$2&lt;&gt;0,#REF!&gt;=BE$2),1,0)</f>
        <v>#REF!</v>
      </c>
      <c r="BF89" s="270" t="e">
        <f t="array" ref="BF89">IF(AND(BF$2&lt;&gt;0,#REF!&gt;=BF$2),1,0)</f>
        <v>#REF!</v>
      </c>
      <c r="BG89" s="270" t="e">
        <f t="array" ref="BG89">IF(AND(BG$2&lt;&gt;0,#REF!&gt;=BG$2),1,0)</f>
        <v>#REF!</v>
      </c>
      <c r="BH89" s="270" t="e">
        <f t="array" ref="BH89">IF(AND(BH$2&lt;&gt;0,#REF!&gt;=BH$2),1,0)</f>
        <v>#REF!</v>
      </c>
      <c r="BI89" s="270" t="e">
        <f t="array" ref="BI89">IF(AND(BI$2&lt;&gt;0,#REF!&gt;=BI$2),1,0)</f>
        <v>#REF!</v>
      </c>
      <c r="BJ89" s="270" t="e">
        <f t="array" ref="BJ89">IF(AND(BJ$2&lt;&gt;0,#REF!&gt;=BJ$2),1,0)</f>
        <v>#REF!</v>
      </c>
      <c r="BK89" s="270" t="e">
        <f t="array" ref="BK89">IF(AND(BK$2&lt;&gt;0,#REF!&gt;=BK$2),1,0)</f>
        <v>#REF!</v>
      </c>
      <c r="BL89" s="270" t="e">
        <f t="array" ref="BL89">IF(AND(BL$2&lt;&gt;0,#REF!&gt;=BL$2),1,0)</f>
        <v>#REF!</v>
      </c>
      <c r="BM89" s="270" t="e">
        <f t="array" ref="BM89">IF(AND(BM$2&lt;&gt;0,#REF!&gt;=BM$2),1,0)</f>
        <v>#REF!</v>
      </c>
      <c r="BN89" s="270" t="e">
        <f t="array" ref="BN89">IF(AND(BN$2&lt;&gt;0,#REF!&gt;=BN$2),1,0)</f>
        <v>#REF!</v>
      </c>
      <c r="BO89" s="270" t="e">
        <f t="array" ref="BO89">IF(AND(BO$2&lt;&gt;0,#REF!&gt;=BO$2),1,0)</f>
        <v>#REF!</v>
      </c>
      <c r="BP89" s="270" t="e">
        <f t="array" ref="BP89">IF(AND(BP$2&lt;&gt;0,#REF!&gt;=BP$2),1,0)</f>
        <v>#REF!</v>
      </c>
      <c r="BQ89" s="270" t="e">
        <f t="array" ref="BQ89">IF(AND(BQ$2&lt;&gt;0,#REF!&gt;=BQ$2),1,0)</f>
        <v>#REF!</v>
      </c>
      <c r="BR89" s="270" t="e">
        <f t="array" ref="BR89">IF(AND(BR$2&lt;&gt;0,#REF!&gt;=BR$2),1,0)</f>
        <v>#REF!</v>
      </c>
      <c r="BS89" s="270" t="e">
        <f t="array" ref="BS89">IF(AND(BS$2&lt;&gt;0,#REF!&gt;=BS$2),1,0)</f>
        <v>#REF!</v>
      </c>
      <c r="BT89" s="270" t="e">
        <f t="array" ref="BT89">IF(AND(BT$2&lt;&gt;0,#REF!&gt;=BT$2),1,0)</f>
        <v>#REF!</v>
      </c>
      <c r="BU89" s="270" t="e">
        <f t="array" ref="BU89">IF(AND(BU$2&lt;&gt;0,#REF!&gt;=BU$2),1,0)</f>
        <v>#REF!</v>
      </c>
      <c r="BV89" s="270" t="e">
        <f t="array" ref="BV89">IF(AND(BV$2&lt;&gt;0,#REF!&gt;=BV$2),1,0)</f>
        <v>#REF!</v>
      </c>
      <c r="BW89" s="270" t="e">
        <f t="array" ref="BW89">IF(AND(BW$2&lt;&gt;0,#REF!&gt;=BW$2),1,0)</f>
        <v>#REF!</v>
      </c>
      <c r="BX89" s="270" t="e">
        <f t="array" ref="BX89">IF(AND(BX$2&lt;&gt;0,#REF!&gt;=BX$2),1,0)</f>
        <v>#REF!</v>
      </c>
      <c r="BY89" s="270" t="e">
        <f t="array" ref="BY89">IF(AND(BY$2&lt;&gt;0,#REF!&gt;=BY$2),1,0)</f>
        <v>#REF!</v>
      </c>
      <c r="BZ89" s="270" t="e">
        <f t="array" ref="BZ89">IF(AND(BZ$2&lt;&gt;0,#REF!&gt;=BZ$2),1,0)</f>
        <v>#REF!</v>
      </c>
      <c r="CA89" s="359">
        <f>IFERROR(INDEX($H$4:$H$79,MATCH(INDEX(#REF!,1,MATCH(#REF!,$M$2:$BZ$2,0)),$G$4:$G$79,0)),)</f>
        <v>0</v>
      </c>
    </row>
    <row r="90" spans="1:79" x14ac:dyDescent="0.25">
      <c r="A90" s="262" t="e">
        <f>#REF!</f>
        <v>#REF!</v>
      </c>
      <c r="B90" s="263" t="e">
        <f>#REF!</f>
        <v>#REF!</v>
      </c>
      <c r="C90" s="264" t="e">
        <f>#REF!</f>
        <v>#REF!</v>
      </c>
      <c r="D90" s="264" t="e">
        <f>#REF!</f>
        <v>#REF!</v>
      </c>
      <c r="E90" s="273"/>
      <c r="F90" s="274"/>
      <c r="G90" s="267"/>
      <c r="H90" s="268"/>
      <c r="I90" s="268"/>
      <c r="J90" s="268"/>
      <c r="K90" s="89" t="e">
        <f ca="1">IF(#REF!&lt;&gt;OFFSET(#REF!,-1,0),1,0)</f>
        <v>#REF!</v>
      </c>
      <c r="L90" s="269" t="e">
        <f>COUNTIF(#REF!,1)</f>
        <v>#REF!</v>
      </c>
      <c r="M90" s="270" t="e">
        <f t="array" ref="M90">IF(AND(M$2&lt;&gt;0,#REF!&gt;=M$2),1,0)</f>
        <v>#REF!</v>
      </c>
      <c r="N90" s="270" t="e">
        <f t="array" ref="N90">IF(AND(N$2&lt;&gt;0,#REF!&gt;=N$2),1,0)</f>
        <v>#REF!</v>
      </c>
      <c r="O90" s="270" t="e">
        <f t="array" ref="O90">IF(AND(O$2&lt;&gt;0,#REF!&gt;=O$2),1,0)</f>
        <v>#REF!</v>
      </c>
      <c r="P90" s="270" t="e">
        <f t="array" ref="P90">IF(AND(P$2&lt;&gt;0,#REF!&gt;=P$2),1,0)</f>
        <v>#REF!</v>
      </c>
      <c r="Q90" s="270" t="e">
        <f t="array" ref="Q90">IF(AND(Q$2&lt;&gt;0,#REF!&gt;=Q$2),1,0)</f>
        <v>#REF!</v>
      </c>
      <c r="R90" s="270" t="e">
        <f t="array" ref="R90">IF(AND(R$2&lt;&gt;0,#REF!&gt;=R$2),1,0)</f>
        <v>#REF!</v>
      </c>
      <c r="S90" s="270" t="e">
        <f t="array" ref="S90">IF(AND(S$2&lt;&gt;0,#REF!&gt;=S$2),1,0)</f>
        <v>#REF!</v>
      </c>
      <c r="T90" s="270" t="e">
        <f t="array" ref="T90">IF(AND(T$2&lt;&gt;0,#REF!&gt;=T$2),1,0)</f>
        <v>#REF!</v>
      </c>
      <c r="U90" s="270" t="e">
        <f t="array" ref="U90">IF(AND(U$2&lt;&gt;0,#REF!&gt;=U$2),1,0)</f>
        <v>#REF!</v>
      </c>
      <c r="V90" s="270" t="e">
        <f t="array" ref="V90">IF(AND(V$2&lt;&gt;0,#REF!&gt;=V$2),1,0)</f>
        <v>#REF!</v>
      </c>
      <c r="W90" s="270" t="e">
        <f t="array" ref="W90">IF(AND(W$2&lt;&gt;0,#REF!&gt;=W$2),1,0)</f>
        <v>#REF!</v>
      </c>
      <c r="X90" s="270" t="e">
        <f t="array" ref="X90">IF(AND(X$2&lt;&gt;0,#REF!&gt;=X$2),1,0)</f>
        <v>#REF!</v>
      </c>
      <c r="Y90" s="270" t="e">
        <f t="array" ref="Y90">IF(AND(Y$2&lt;&gt;0,#REF!&gt;=Y$2),1,0)</f>
        <v>#REF!</v>
      </c>
      <c r="Z90" s="270" t="e">
        <f t="array" ref="Z90">IF(AND(Z$2&lt;&gt;0,#REF!&gt;=Z$2),1,0)</f>
        <v>#REF!</v>
      </c>
      <c r="AA90" s="270" t="e">
        <f t="array" ref="AA90">IF(AND(AA$2&lt;&gt;0,#REF!&gt;=AA$2),1,0)</f>
        <v>#REF!</v>
      </c>
      <c r="AB90" s="270" t="e">
        <f t="array" ref="AB90">IF(AND(AB$2&lt;&gt;0,#REF!&gt;=AB$2),1,0)</f>
        <v>#REF!</v>
      </c>
      <c r="AC90" s="270" t="e">
        <f t="array" ref="AC90">IF(AND(AC$2&lt;&gt;0,#REF!&gt;=AC$2),1,0)</f>
        <v>#REF!</v>
      </c>
      <c r="AD90" s="270" t="e">
        <f t="array" ref="AD90">IF(AND(AD$2&lt;&gt;0,#REF!&gt;=AD$2),1,0)</f>
        <v>#REF!</v>
      </c>
      <c r="AE90" s="270" t="e">
        <f t="array" ref="AE90">IF(AND(AE$2&lt;&gt;0,#REF!&gt;=AE$2),1,0)</f>
        <v>#REF!</v>
      </c>
      <c r="AF90" s="270" t="e">
        <f t="array" ref="AF90">IF(AND(AF$2&lt;&gt;0,#REF!&gt;=AF$2),1,0)</f>
        <v>#REF!</v>
      </c>
      <c r="AG90" s="270" t="e">
        <f t="array" ref="AG90">IF(AND(AG$2&lt;&gt;0,#REF!&gt;=AG$2),1,0)</f>
        <v>#REF!</v>
      </c>
      <c r="AH90" s="270" t="e">
        <f t="array" ref="AH90">IF(AND(AH$2&lt;&gt;0,#REF!&gt;=AH$2),1,0)</f>
        <v>#REF!</v>
      </c>
      <c r="AI90" s="270" t="e">
        <f t="array" ref="AI90">IF(AND(AI$2&lt;&gt;0,#REF!&gt;=AI$2),1,0)</f>
        <v>#REF!</v>
      </c>
      <c r="AJ90" s="270" t="e">
        <f t="array" ref="AJ90">IF(AND(AJ$2&lt;&gt;0,#REF!&gt;=AJ$2),1,0)</f>
        <v>#REF!</v>
      </c>
      <c r="AK90" s="270" t="e">
        <f t="array" ref="AK90">IF(AND(AK$2&lt;&gt;0,#REF!&gt;=AK$2),1,0)</f>
        <v>#REF!</v>
      </c>
      <c r="AL90" s="270" t="e">
        <f t="array" ref="AL90">IF(AND(AL$2&lt;&gt;0,#REF!&gt;=AL$2),1,0)</f>
        <v>#REF!</v>
      </c>
      <c r="AM90" s="270" t="e">
        <f t="array" ref="AM90">IF(AND(AM$2&lt;&gt;0,#REF!&gt;=AM$2),1,0)</f>
        <v>#REF!</v>
      </c>
      <c r="AN90" s="270" t="e">
        <f t="array" ref="AN90">IF(AND(AN$2&lt;&gt;0,#REF!&gt;=AN$2),1,0)</f>
        <v>#REF!</v>
      </c>
      <c r="AO90" s="270" t="e">
        <f t="array" ref="AO90">IF(AND(AO$2&lt;&gt;0,#REF!&gt;=AO$2),1,0)</f>
        <v>#REF!</v>
      </c>
      <c r="AP90" s="270" t="e">
        <f t="array" ref="AP90">IF(AND(AP$2&lt;&gt;0,#REF!&gt;=AP$2),1,0)</f>
        <v>#REF!</v>
      </c>
      <c r="AQ90" s="270" t="e">
        <f t="array" ref="AQ90">IF(AND(AQ$2&lt;&gt;0,#REF!&gt;=AQ$2),1,0)</f>
        <v>#REF!</v>
      </c>
      <c r="AR90" s="270" t="e">
        <f t="array" ref="AR90">IF(AND(AR$2&lt;&gt;0,#REF!&gt;=AR$2),1,0)</f>
        <v>#REF!</v>
      </c>
      <c r="AS90" s="270" t="e">
        <f t="array" ref="AS90">IF(AND(AS$2&lt;&gt;0,#REF!&gt;=AS$2),1,0)</f>
        <v>#REF!</v>
      </c>
      <c r="AT90" s="270" t="e">
        <f t="array" ref="AT90">IF(AND(AT$2&lt;&gt;0,#REF!&gt;=AT$2),1,0)</f>
        <v>#REF!</v>
      </c>
      <c r="AU90" s="270" t="e">
        <f t="array" ref="AU90">IF(AND(AU$2&lt;&gt;0,#REF!&gt;=AU$2),1,0)</f>
        <v>#REF!</v>
      </c>
      <c r="AV90" s="270" t="e">
        <f t="array" ref="AV90">IF(AND(AV$2&lt;&gt;0,#REF!&gt;=AV$2),1,0)</f>
        <v>#REF!</v>
      </c>
      <c r="AW90" s="270" t="e">
        <f t="array" ref="AW90">IF(AND(AW$2&lt;&gt;0,#REF!&gt;=AW$2),1,0)</f>
        <v>#REF!</v>
      </c>
      <c r="AX90" s="270" t="e">
        <f t="array" ref="AX90">IF(AND(AX$2&lt;&gt;0,#REF!&gt;=AX$2),1,0)</f>
        <v>#REF!</v>
      </c>
      <c r="AY90" s="270" t="e">
        <f t="array" ref="AY90">IF(AND(AY$2&lt;&gt;0,#REF!&gt;=AY$2),1,0)</f>
        <v>#REF!</v>
      </c>
      <c r="AZ90" s="270" t="e">
        <f t="array" ref="AZ90">IF(AND(AZ$2&lt;&gt;0,#REF!&gt;=AZ$2),1,0)</f>
        <v>#REF!</v>
      </c>
      <c r="BA90" s="270" t="e">
        <f t="array" ref="BA90">IF(AND(BA$2&lt;&gt;0,#REF!&gt;=BA$2),1,0)</f>
        <v>#REF!</v>
      </c>
      <c r="BB90" s="270" t="e">
        <f t="array" ref="BB90">IF(AND(BB$2&lt;&gt;0,#REF!&gt;=BB$2),1,0)</f>
        <v>#REF!</v>
      </c>
      <c r="BC90" s="270" t="e">
        <f t="array" ref="BC90">IF(AND(BC$2&lt;&gt;0,#REF!&gt;=BC$2),1,0)</f>
        <v>#REF!</v>
      </c>
      <c r="BD90" s="270" t="e">
        <f t="array" ref="BD90">IF(AND(BD$2&lt;&gt;0,#REF!&gt;=BD$2),1,0)</f>
        <v>#REF!</v>
      </c>
      <c r="BE90" s="270" t="e">
        <f t="array" ref="BE90">IF(AND(BE$2&lt;&gt;0,#REF!&gt;=BE$2),1,0)</f>
        <v>#REF!</v>
      </c>
      <c r="BF90" s="270" t="e">
        <f t="array" ref="BF90">IF(AND(BF$2&lt;&gt;0,#REF!&gt;=BF$2),1,0)</f>
        <v>#REF!</v>
      </c>
      <c r="BG90" s="270" t="e">
        <f t="array" ref="BG90">IF(AND(BG$2&lt;&gt;0,#REF!&gt;=BG$2),1,0)</f>
        <v>#REF!</v>
      </c>
      <c r="BH90" s="270" t="e">
        <f t="array" ref="BH90">IF(AND(BH$2&lt;&gt;0,#REF!&gt;=BH$2),1,0)</f>
        <v>#REF!</v>
      </c>
      <c r="BI90" s="270" t="e">
        <f t="array" ref="BI90">IF(AND(BI$2&lt;&gt;0,#REF!&gt;=BI$2),1,0)</f>
        <v>#REF!</v>
      </c>
      <c r="BJ90" s="270" t="e">
        <f t="array" ref="BJ90">IF(AND(BJ$2&lt;&gt;0,#REF!&gt;=BJ$2),1,0)</f>
        <v>#REF!</v>
      </c>
      <c r="BK90" s="270" t="e">
        <f t="array" ref="BK90">IF(AND(BK$2&lt;&gt;0,#REF!&gt;=BK$2),1,0)</f>
        <v>#REF!</v>
      </c>
      <c r="BL90" s="270" t="e">
        <f t="array" ref="BL90">IF(AND(BL$2&lt;&gt;0,#REF!&gt;=BL$2),1,0)</f>
        <v>#REF!</v>
      </c>
      <c r="BM90" s="270" t="e">
        <f t="array" ref="BM90">IF(AND(BM$2&lt;&gt;0,#REF!&gt;=BM$2),1,0)</f>
        <v>#REF!</v>
      </c>
      <c r="BN90" s="270" t="e">
        <f t="array" ref="BN90">IF(AND(BN$2&lt;&gt;0,#REF!&gt;=BN$2),1,0)</f>
        <v>#REF!</v>
      </c>
      <c r="BO90" s="270" t="e">
        <f t="array" ref="BO90">IF(AND(BO$2&lt;&gt;0,#REF!&gt;=BO$2),1,0)</f>
        <v>#REF!</v>
      </c>
      <c r="BP90" s="270" t="e">
        <f t="array" ref="BP90">IF(AND(BP$2&lt;&gt;0,#REF!&gt;=BP$2),1,0)</f>
        <v>#REF!</v>
      </c>
      <c r="BQ90" s="270" t="e">
        <f t="array" ref="BQ90">IF(AND(BQ$2&lt;&gt;0,#REF!&gt;=BQ$2),1,0)</f>
        <v>#REF!</v>
      </c>
      <c r="BR90" s="270" t="e">
        <f t="array" ref="BR90">IF(AND(BR$2&lt;&gt;0,#REF!&gt;=BR$2),1,0)</f>
        <v>#REF!</v>
      </c>
      <c r="BS90" s="270" t="e">
        <f t="array" ref="BS90">IF(AND(BS$2&lt;&gt;0,#REF!&gt;=BS$2),1,0)</f>
        <v>#REF!</v>
      </c>
      <c r="BT90" s="270" t="e">
        <f t="array" ref="BT90">IF(AND(BT$2&lt;&gt;0,#REF!&gt;=BT$2),1,0)</f>
        <v>#REF!</v>
      </c>
      <c r="BU90" s="270" t="e">
        <f t="array" ref="BU90">IF(AND(BU$2&lt;&gt;0,#REF!&gt;=BU$2),1,0)</f>
        <v>#REF!</v>
      </c>
      <c r="BV90" s="270" t="e">
        <f t="array" ref="BV90">IF(AND(BV$2&lt;&gt;0,#REF!&gt;=BV$2),1,0)</f>
        <v>#REF!</v>
      </c>
      <c r="BW90" s="270" t="e">
        <f t="array" ref="BW90">IF(AND(BW$2&lt;&gt;0,#REF!&gt;=BW$2),1,0)</f>
        <v>#REF!</v>
      </c>
      <c r="BX90" s="270" t="e">
        <f t="array" ref="BX90">IF(AND(BX$2&lt;&gt;0,#REF!&gt;=BX$2),1,0)</f>
        <v>#REF!</v>
      </c>
      <c r="BY90" s="270" t="e">
        <f t="array" ref="BY90">IF(AND(BY$2&lt;&gt;0,#REF!&gt;=BY$2),1,0)</f>
        <v>#REF!</v>
      </c>
      <c r="BZ90" s="270" t="e">
        <f t="array" ref="BZ90">IF(AND(BZ$2&lt;&gt;0,#REF!&gt;=BZ$2),1,0)</f>
        <v>#REF!</v>
      </c>
      <c r="CA90" s="359">
        <f>IFERROR(INDEX($H$4:$H$79,MATCH(INDEX(#REF!,1,MATCH(#REF!,$M$2:$BZ$2,0)),$G$4:$G$79,0)),)</f>
        <v>0</v>
      </c>
    </row>
    <row r="91" spans="1:79" x14ac:dyDescent="0.25">
      <c r="A91" s="262" t="e">
        <f>#REF!</f>
        <v>#REF!</v>
      </c>
      <c r="B91" s="263" t="e">
        <f>#REF!</f>
        <v>#REF!</v>
      </c>
      <c r="C91" s="264" t="e">
        <f>#REF!</f>
        <v>#REF!</v>
      </c>
      <c r="D91" s="264" t="e">
        <f>#REF!</f>
        <v>#REF!</v>
      </c>
      <c r="E91" s="273"/>
      <c r="F91" s="274"/>
      <c r="G91" s="267"/>
      <c r="H91" s="268"/>
      <c r="I91" s="268"/>
      <c r="J91" s="268"/>
      <c r="K91" s="89" t="e">
        <f ca="1">IF(#REF!&lt;&gt;OFFSET(#REF!,-1,0),1,0)</f>
        <v>#REF!</v>
      </c>
      <c r="L91" s="269" t="e">
        <f>COUNTIF(#REF!,1)</f>
        <v>#REF!</v>
      </c>
      <c r="M91" s="270" t="e">
        <f t="array" ref="M91">IF(AND(M$2&lt;&gt;0,#REF!&gt;=M$2),1,0)</f>
        <v>#REF!</v>
      </c>
      <c r="N91" s="270" t="e">
        <f t="array" ref="N91">IF(AND(N$2&lt;&gt;0,#REF!&gt;=N$2),1,0)</f>
        <v>#REF!</v>
      </c>
      <c r="O91" s="270" t="e">
        <f t="array" ref="O91">IF(AND(O$2&lt;&gt;0,#REF!&gt;=O$2),1,0)</f>
        <v>#REF!</v>
      </c>
      <c r="P91" s="270" t="e">
        <f t="array" ref="P91">IF(AND(P$2&lt;&gt;0,#REF!&gt;=P$2),1,0)</f>
        <v>#REF!</v>
      </c>
      <c r="Q91" s="270" t="e">
        <f t="array" ref="Q91">IF(AND(Q$2&lt;&gt;0,#REF!&gt;=Q$2),1,0)</f>
        <v>#REF!</v>
      </c>
      <c r="R91" s="270" t="e">
        <f t="array" ref="R91">IF(AND(R$2&lt;&gt;0,#REF!&gt;=R$2),1,0)</f>
        <v>#REF!</v>
      </c>
      <c r="S91" s="270" t="e">
        <f t="array" ref="S91">IF(AND(S$2&lt;&gt;0,#REF!&gt;=S$2),1,0)</f>
        <v>#REF!</v>
      </c>
      <c r="T91" s="270" t="e">
        <f t="array" ref="T91">IF(AND(T$2&lt;&gt;0,#REF!&gt;=T$2),1,0)</f>
        <v>#REF!</v>
      </c>
      <c r="U91" s="270" t="e">
        <f t="array" ref="U91">IF(AND(U$2&lt;&gt;0,#REF!&gt;=U$2),1,0)</f>
        <v>#REF!</v>
      </c>
      <c r="V91" s="270" t="e">
        <f t="array" ref="V91">IF(AND(V$2&lt;&gt;0,#REF!&gt;=V$2),1,0)</f>
        <v>#REF!</v>
      </c>
      <c r="W91" s="270" t="e">
        <f t="array" ref="W91">IF(AND(W$2&lt;&gt;0,#REF!&gt;=W$2),1,0)</f>
        <v>#REF!</v>
      </c>
      <c r="X91" s="270" t="e">
        <f t="array" ref="X91">IF(AND(X$2&lt;&gt;0,#REF!&gt;=X$2),1,0)</f>
        <v>#REF!</v>
      </c>
      <c r="Y91" s="270" t="e">
        <f t="array" ref="Y91">IF(AND(Y$2&lt;&gt;0,#REF!&gt;=Y$2),1,0)</f>
        <v>#REF!</v>
      </c>
      <c r="Z91" s="270" t="e">
        <f t="array" ref="Z91">IF(AND(Z$2&lt;&gt;0,#REF!&gt;=Z$2),1,0)</f>
        <v>#REF!</v>
      </c>
      <c r="AA91" s="270" t="e">
        <f t="array" ref="AA91">IF(AND(AA$2&lt;&gt;0,#REF!&gt;=AA$2),1,0)</f>
        <v>#REF!</v>
      </c>
      <c r="AB91" s="270" t="e">
        <f t="array" ref="AB91">IF(AND(AB$2&lt;&gt;0,#REF!&gt;=AB$2),1,0)</f>
        <v>#REF!</v>
      </c>
      <c r="AC91" s="270" t="e">
        <f t="array" ref="AC91">IF(AND(AC$2&lt;&gt;0,#REF!&gt;=AC$2),1,0)</f>
        <v>#REF!</v>
      </c>
      <c r="AD91" s="270" t="e">
        <f t="array" ref="AD91">IF(AND(AD$2&lt;&gt;0,#REF!&gt;=AD$2),1,0)</f>
        <v>#REF!</v>
      </c>
      <c r="AE91" s="270" t="e">
        <f t="array" ref="AE91">IF(AND(AE$2&lt;&gt;0,#REF!&gt;=AE$2),1,0)</f>
        <v>#REF!</v>
      </c>
      <c r="AF91" s="270" t="e">
        <f t="array" ref="AF91">IF(AND(AF$2&lt;&gt;0,#REF!&gt;=AF$2),1,0)</f>
        <v>#REF!</v>
      </c>
      <c r="AG91" s="270" t="e">
        <f t="array" ref="AG91">IF(AND(AG$2&lt;&gt;0,#REF!&gt;=AG$2),1,0)</f>
        <v>#REF!</v>
      </c>
      <c r="AH91" s="270" t="e">
        <f t="array" ref="AH91">IF(AND(AH$2&lt;&gt;0,#REF!&gt;=AH$2),1,0)</f>
        <v>#REF!</v>
      </c>
      <c r="AI91" s="270" t="e">
        <f t="array" ref="AI91">IF(AND(AI$2&lt;&gt;0,#REF!&gt;=AI$2),1,0)</f>
        <v>#REF!</v>
      </c>
      <c r="AJ91" s="270" t="e">
        <f t="array" ref="AJ91">IF(AND(AJ$2&lt;&gt;0,#REF!&gt;=AJ$2),1,0)</f>
        <v>#REF!</v>
      </c>
      <c r="AK91" s="270" t="e">
        <f t="array" ref="AK91">IF(AND(AK$2&lt;&gt;0,#REF!&gt;=AK$2),1,0)</f>
        <v>#REF!</v>
      </c>
      <c r="AL91" s="270" t="e">
        <f t="array" ref="AL91">IF(AND(AL$2&lt;&gt;0,#REF!&gt;=AL$2),1,0)</f>
        <v>#REF!</v>
      </c>
      <c r="AM91" s="270" t="e">
        <f t="array" ref="AM91">IF(AND(AM$2&lt;&gt;0,#REF!&gt;=AM$2),1,0)</f>
        <v>#REF!</v>
      </c>
      <c r="AN91" s="270" t="e">
        <f t="array" ref="AN91">IF(AND(AN$2&lt;&gt;0,#REF!&gt;=AN$2),1,0)</f>
        <v>#REF!</v>
      </c>
      <c r="AO91" s="270" t="e">
        <f t="array" ref="AO91">IF(AND(AO$2&lt;&gt;0,#REF!&gt;=AO$2),1,0)</f>
        <v>#REF!</v>
      </c>
      <c r="AP91" s="270" t="e">
        <f t="array" ref="AP91">IF(AND(AP$2&lt;&gt;0,#REF!&gt;=AP$2),1,0)</f>
        <v>#REF!</v>
      </c>
      <c r="AQ91" s="270" t="e">
        <f t="array" ref="AQ91">IF(AND(AQ$2&lt;&gt;0,#REF!&gt;=AQ$2),1,0)</f>
        <v>#REF!</v>
      </c>
      <c r="AR91" s="270" t="e">
        <f t="array" ref="AR91">IF(AND(AR$2&lt;&gt;0,#REF!&gt;=AR$2),1,0)</f>
        <v>#REF!</v>
      </c>
      <c r="AS91" s="270" t="e">
        <f t="array" ref="AS91">IF(AND(AS$2&lt;&gt;0,#REF!&gt;=AS$2),1,0)</f>
        <v>#REF!</v>
      </c>
      <c r="AT91" s="270" t="e">
        <f t="array" ref="AT91">IF(AND(AT$2&lt;&gt;0,#REF!&gt;=AT$2),1,0)</f>
        <v>#REF!</v>
      </c>
      <c r="AU91" s="270" t="e">
        <f t="array" ref="AU91">IF(AND(AU$2&lt;&gt;0,#REF!&gt;=AU$2),1,0)</f>
        <v>#REF!</v>
      </c>
      <c r="AV91" s="270" t="e">
        <f t="array" ref="AV91">IF(AND(AV$2&lt;&gt;0,#REF!&gt;=AV$2),1,0)</f>
        <v>#REF!</v>
      </c>
      <c r="AW91" s="270" t="e">
        <f t="array" ref="AW91">IF(AND(AW$2&lt;&gt;0,#REF!&gt;=AW$2),1,0)</f>
        <v>#REF!</v>
      </c>
      <c r="AX91" s="270" t="e">
        <f t="array" ref="AX91">IF(AND(AX$2&lt;&gt;0,#REF!&gt;=AX$2),1,0)</f>
        <v>#REF!</v>
      </c>
      <c r="AY91" s="270" t="e">
        <f t="array" ref="AY91">IF(AND(AY$2&lt;&gt;0,#REF!&gt;=AY$2),1,0)</f>
        <v>#REF!</v>
      </c>
      <c r="AZ91" s="270" t="e">
        <f t="array" ref="AZ91">IF(AND(AZ$2&lt;&gt;0,#REF!&gt;=AZ$2),1,0)</f>
        <v>#REF!</v>
      </c>
      <c r="BA91" s="270" t="e">
        <f t="array" ref="BA91">IF(AND(BA$2&lt;&gt;0,#REF!&gt;=BA$2),1,0)</f>
        <v>#REF!</v>
      </c>
      <c r="BB91" s="270" t="e">
        <f t="array" ref="BB91">IF(AND(BB$2&lt;&gt;0,#REF!&gt;=BB$2),1,0)</f>
        <v>#REF!</v>
      </c>
      <c r="BC91" s="270" t="e">
        <f t="array" ref="BC91">IF(AND(BC$2&lt;&gt;0,#REF!&gt;=BC$2),1,0)</f>
        <v>#REF!</v>
      </c>
      <c r="BD91" s="270" t="e">
        <f t="array" ref="BD91">IF(AND(BD$2&lt;&gt;0,#REF!&gt;=BD$2),1,0)</f>
        <v>#REF!</v>
      </c>
      <c r="BE91" s="270" t="e">
        <f t="array" ref="BE91">IF(AND(BE$2&lt;&gt;0,#REF!&gt;=BE$2),1,0)</f>
        <v>#REF!</v>
      </c>
      <c r="BF91" s="270" t="e">
        <f t="array" ref="BF91">IF(AND(BF$2&lt;&gt;0,#REF!&gt;=BF$2),1,0)</f>
        <v>#REF!</v>
      </c>
      <c r="BG91" s="270" t="e">
        <f t="array" ref="BG91">IF(AND(BG$2&lt;&gt;0,#REF!&gt;=BG$2),1,0)</f>
        <v>#REF!</v>
      </c>
      <c r="BH91" s="270" t="e">
        <f t="array" ref="BH91">IF(AND(BH$2&lt;&gt;0,#REF!&gt;=BH$2),1,0)</f>
        <v>#REF!</v>
      </c>
      <c r="BI91" s="270" t="e">
        <f t="array" ref="BI91">IF(AND(BI$2&lt;&gt;0,#REF!&gt;=BI$2),1,0)</f>
        <v>#REF!</v>
      </c>
      <c r="BJ91" s="270" t="e">
        <f t="array" ref="BJ91">IF(AND(BJ$2&lt;&gt;0,#REF!&gt;=BJ$2),1,0)</f>
        <v>#REF!</v>
      </c>
      <c r="BK91" s="270" t="e">
        <f t="array" ref="BK91">IF(AND(BK$2&lt;&gt;0,#REF!&gt;=BK$2),1,0)</f>
        <v>#REF!</v>
      </c>
      <c r="BL91" s="270" t="e">
        <f t="array" ref="BL91">IF(AND(BL$2&lt;&gt;0,#REF!&gt;=BL$2),1,0)</f>
        <v>#REF!</v>
      </c>
      <c r="BM91" s="270" t="e">
        <f t="array" ref="BM91">IF(AND(BM$2&lt;&gt;0,#REF!&gt;=BM$2),1,0)</f>
        <v>#REF!</v>
      </c>
      <c r="BN91" s="270" t="e">
        <f t="array" ref="BN91">IF(AND(BN$2&lt;&gt;0,#REF!&gt;=BN$2),1,0)</f>
        <v>#REF!</v>
      </c>
      <c r="BO91" s="270" t="e">
        <f t="array" ref="BO91">IF(AND(BO$2&lt;&gt;0,#REF!&gt;=BO$2),1,0)</f>
        <v>#REF!</v>
      </c>
      <c r="BP91" s="270" t="e">
        <f t="array" ref="BP91">IF(AND(BP$2&lt;&gt;0,#REF!&gt;=BP$2),1,0)</f>
        <v>#REF!</v>
      </c>
      <c r="BQ91" s="270" t="e">
        <f t="array" ref="BQ91">IF(AND(BQ$2&lt;&gt;0,#REF!&gt;=BQ$2),1,0)</f>
        <v>#REF!</v>
      </c>
      <c r="BR91" s="270" t="e">
        <f t="array" ref="BR91">IF(AND(BR$2&lt;&gt;0,#REF!&gt;=BR$2),1,0)</f>
        <v>#REF!</v>
      </c>
      <c r="BS91" s="270" t="e">
        <f t="array" ref="BS91">IF(AND(BS$2&lt;&gt;0,#REF!&gt;=BS$2),1,0)</f>
        <v>#REF!</v>
      </c>
      <c r="BT91" s="270" t="e">
        <f t="array" ref="BT91">IF(AND(BT$2&lt;&gt;0,#REF!&gt;=BT$2),1,0)</f>
        <v>#REF!</v>
      </c>
      <c r="BU91" s="270" t="e">
        <f t="array" ref="BU91">IF(AND(BU$2&lt;&gt;0,#REF!&gt;=BU$2),1,0)</f>
        <v>#REF!</v>
      </c>
      <c r="BV91" s="270" t="e">
        <f t="array" ref="BV91">IF(AND(BV$2&lt;&gt;0,#REF!&gt;=BV$2),1,0)</f>
        <v>#REF!</v>
      </c>
      <c r="BW91" s="270" t="e">
        <f t="array" ref="BW91">IF(AND(BW$2&lt;&gt;0,#REF!&gt;=BW$2),1,0)</f>
        <v>#REF!</v>
      </c>
      <c r="BX91" s="270" t="e">
        <f t="array" ref="BX91">IF(AND(BX$2&lt;&gt;0,#REF!&gt;=BX$2),1,0)</f>
        <v>#REF!</v>
      </c>
      <c r="BY91" s="270" t="e">
        <f t="array" ref="BY91">IF(AND(BY$2&lt;&gt;0,#REF!&gt;=BY$2),1,0)</f>
        <v>#REF!</v>
      </c>
      <c r="BZ91" s="270" t="e">
        <f t="array" ref="BZ91">IF(AND(BZ$2&lt;&gt;0,#REF!&gt;=BZ$2),1,0)</f>
        <v>#REF!</v>
      </c>
      <c r="CA91" s="359">
        <f>IFERROR(INDEX($H$4:$H$79,MATCH(INDEX(#REF!,1,MATCH(#REF!,$M$2:$BZ$2,0)),$G$4:$G$79,0)),)</f>
        <v>0</v>
      </c>
    </row>
    <row r="92" spans="1:79" x14ac:dyDescent="0.25">
      <c r="A92" s="262" t="e">
        <f>#REF!</f>
        <v>#REF!</v>
      </c>
      <c r="B92" s="263" t="e">
        <f>#REF!</f>
        <v>#REF!</v>
      </c>
      <c r="C92" s="264" t="e">
        <f>#REF!</f>
        <v>#REF!</v>
      </c>
      <c r="D92" s="264" t="e">
        <f>#REF!</f>
        <v>#REF!</v>
      </c>
      <c r="E92" s="273"/>
      <c r="F92" s="274"/>
      <c r="G92" s="267"/>
      <c r="H92" s="268"/>
      <c r="I92" s="268"/>
      <c r="J92" s="268"/>
      <c r="K92" s="89" t="e">
        <f ca="1">IF(#REF!&lt;&gt;OFFSET(#REF!,-1,0),1,0)</f>
        <v>#REF!</v>
      </c>
      <c r="L92" s="269" t="e">
        <f>COUNTIF(#REF!,1)</f>
        <v>#REF!</v>
      </c>
      <c r="M92" s="270" t="e">
        <f t="array" ref="M92">IF(AND(M$2&lt;&gt;0,#REF!&gt;=M$2),1,0)</f>
        <v>#REF!</v>
      </c>
      <c r="N92" s="270" t="e">
        <f t="array" ref="N92">IF(AND(N$2&lt;&gt;0,#REF!&gt;=N$2),1,0)</f>
        <v>#REF!</v>
      </c>
      <c r="O92" s="270" t="e">
        <f t="array" ref="O92">IF(AND(O$2&lt;&gt;0,#REF!&gt;=O$2),1,0)</f>
        <v>#REF!</v>
      </c>
      <c r="P92" s="270" t="e">
        <f t="array" ref="P92">IF(AND(P$2&lt;&gt;0,#REF!&gt;=P$2),1,0)</f>
        <v>#REF!</v>
      </c>
      <c r="Q92" s="270" t="e">
        <f t="array" ref="Q92">IF(AND(Q$2&lt;&gt;0,#REF!&gt;=Q$2),1,0)</f>
        <v>#REF!</v>
      </c>
      <c r="R92" s="270" t="e">
        <f t="array" ref="R92">IF(AND(R$2&lt;&gt;0,#REF!&gt;=R$2),1,0)</f>
        <v>#REF!</v>
      </c>
      <c r="S92" s="270" t="e">
        <f t="array" ref="S92">IF(AND(S$2&lt;&gt;0,#REF!&gt;=S$2),1,0)</f>
        <v>#REF!</v>
      </c>
      <c r="T92" s="270" t="e">
        <f t="array" ref="T92">IF(AND(T$2&lt;&gt;0,#REF!&gt;=T$2),1,0)</f>
        <v>#REF!</v>
      </c>
      <c r="U92" s="270" t="e">
        <f t="array" ref="U92">IF(AND(U$2&lt;&gt;0,#REF!&gt;=U$2),1,0)</f>
        <v>#REF!</v>
      </c>
      <c r="V92" s="270" t="e">
        <f t="array" ref="V92">IF(AND(V$2&lt;&gt;0,#REF!&gt;=V$2),1,0)</f>
        <v>#REF!</v>
      </c>
      <c r="W92" s="270" t="e">
        <f t="array" ref="W92">IF(AND(W$2&lt;&gt;0,#REF!&gt;=W$2),1,0)</f>
        <v>#REF!</v>
      </c>
      <c r="X92" s="270" t="e">
        <f t="array" ref="X92">IF(AND(X$2&lt;&gt;0,#REF!&gt;=X$2),1,0)</f>
        <v>#REF!</v>
      </c>
      <c r="Y92" s="270" t="e">
        <f t="array" ref="Y92">IF(AND(Y$2&lt;&gt;0,#REF!&gt;=Y$2),1,0)</f>
        <v>#REF!</v>
      </c>
      <c r="Z92" s="270" t="e">
        <f t="array" ref="Z92">IF(AND(Z$2&lt;&gt;0,#REF!&gt;=Z$2),1,0)</f>
        <v>#REF!</v>
      </c>
      <c r="AA92" s="270" t="e">
        <f t="array" ref="AA92">IF(AND(AA$2&lt;&gt;0,#REF!&gt;=AA$2),1,0)</f>
        <v>#REF!</v>
      </c>
      <c r="AB92" s="270" t="e">
        <f t="array" ref="AB92">IF(AND(AB$2&lt;&gt;0,#REF!&gt;=AB$2),1,0)</f>
        <v>#REF!</v>
      </c>
      <c r="AC92" s="270" t="e">
        <f t="array" ref="AC92">IF(AND(AC$2&lt;&gt;0,#REF!&gt;=AC$2),1,0)</f>
        <v>#REF!</v>
      </c>
      <c r="AD92" s="270" t="e">
        <f t="array" ref="AD92">IF(AND(AD$2&lt;&gt;0,#REF!&gt;=AD$2),1,0)</f>
        <v>#REF!</v>
      </c>
      <c r="AE92" s="270" t="e">
        <f t="array" ref="AE92">IF(AND(AE$2&lt;&gt;0,#REF!&gt;=AE$2),1,0)</f>
        <v>#REF!</v>
      </c>
      <c r="AF92" s="270" t="e">
        <f t="array" ref="AF92">IF(AND(AF$2&lt;&gt;0,#REF!&gt;=AF$2),1,0)</f>
        <v>#REF!</v>
      </c>
      <c r="AG92" s="270" t="e">
        <f t="array" ref="AG92">IF(AND(AG$2&lt;&gt;0,#REF!&gt;=AG$2),1,0)</f>
        <v>#REF!</v>
      </c>
      <c r="AH92" s="270" t="e">
        <f t="array" ref="AH92">IF(AND(AH$2&lt;&gt;0,#REF!&gt;=AH$2),1,0)</f>
        <v>#REF!</v>
      </c>
      <c r="AI92" s="270" t="e">
        <f t="array" ref="AI92">IF(AND(AI$2&lt;&gt;0,#REF!&gt;=AI$2),1,0)</f>
        <v>#REF!</v>
      </c>
      <c r="AJ92" s="270" t="e">
        <f t="array" ref="AJ92">IF(AND(AJ$2&lt;&gt;0,#REF!&gt;=AJ$2),1,0)</f>
        <v>#REF!</v>
      </c>
      <c r="AK92" s="270" t="e">
        <f t="array" ref="AK92">IF(AND(AK$2&lt;&gt;0,#REF!&gt;=AK$2),1,0)</f>
        <v>#REF!</v>
      </c>
      <c r="AL92" s="270" t="e">
        <f t="array" ref="AL92">IF(AND(AL$2&lt;&gt;0,#REF!&gt;=AL$2),1,0)</f>
        <v>#REF!</v>
      </c>
      <c r="AM92" s="270" t="e">
        <f t="array" ref="AM92">IF(AND(AM$2&lt;&gt;0,#REF!&gt;=AM$2),1,0)</f>
        <v>#REF!</v>
      </c>
      <c r="AN92" s="270" t="e">
        <f t="array" ref="AN92">IF(AND(AN$2&lt;&gt;0,#REF!&gt;=AN$2),1,0)</f>
        <v>#REF!</v>
      </c>
      <c r="AO92" s="270" t="e">
        <f t="array" ref="AO92">IF(AND(AO$2&lt;&gt;0,#REF!&gt;=AO$2),1,0)</f>
        <v>#REF!</v>
      </c>
      <c r="AP92" s="270" t="e">
        <f t="array" ref="AP92">IF(AND(AP$2&lt;&gt;0,#REF!&gt;=AP$2),1,0)</f>
        <v>#REF!</v>
      </c>
      <c r="AQ92" s="270" t="e">
        <f t="array" ref="AQ92">IF(AND(AQ$2&lt;&gt;0,#REF!&gt;=AQ$2),1,0)</f>
        <v>#REF!</v>
      </c>
      <c r="AR92" s="270" t="e">
        <f t="array" ref="AR92">IF(AND(AR$2&lt;&gt;0,#REF!&gt;=AR$2),1,0)</f>
        <v>#REF!</v>
      </c>
      <c r="AS92" s="270" t="e">
        <f t="array" ref="AS92">IF(AND(AS$2&lt;&gt;0,#REF!&gt;=AS$2),1,0)</f>
        <v>#REF!</v>
      </c>
      <c r="AT92" s="270" t="e">
        <f t="array" ref="AT92">IF(AND(AT$2&lt;&gt;0,#REF!&gt;=AT$2),1,0)</f>
        <v>#REF!</v>
      </c>
      <c r="AU92" s="270" t="e">
        <f t="array" ref="AU92">IF(AND(AU$2&lt;&gt;0,#REF!&gt;=AU$2),1,0)</f>
        <v>#REF!</v>
      </c>
      <c r="AV92" s="270" t="e">
        <f t="array" ref="AV92">IF(AND(AV$2&lt;&gt;0,#REF!&gt;=AV$2),1,0)</f>
        <v>#REF!</v>
      </c>
      <c r="AW92" s="270" t="e">
        <f t="array" ref="AW92">IF(AND(AW$2&lt;&gt;0,#REF!&gt;=AW$2),1,0)</f>
        <v>#REF!</v>
      </c>
      <c r="AX92" s="270" t="e">
        <f t="array" ref="AX92">IF(AND(AX$2&lt;&gt;0,#REF!&gt;=AX$2),1,0)</f>
        <v>#REF!</v>
      </c>
      <c r="AY92" s="270" t="e">
        <f t="array" ref="AY92">IF(AND(AY$2&lt;&gt;0,#REF!&gt;=AY$2),1,0)</f>
        <v>#REF!</v>
      </c>
      <c r="AZ92" s="270" t="e">
        <f t="array" ref="AZ92">IF(AND(AZ$2&lt;&gt;0,#REF!&gt;=AZ$2),1,0)</f>
        <v>#REF!</v>
      </c>
      <c r="BA92" s="270" t="e">
        <f t="array" ref="BA92">IF(AND(BA$2&lt;&gt;0,#REF!&gt;=BA$2),1,0)</f>
        <v>#REF!</v>
      </c>
      <c r="BB92" s="270" t="e">
        <f t="array" ref="BB92">IF(AND(BB$2&lt;&gt;0,#REF!&gt;=BB$2),1,0)</f>
        <v>#REF!</v>
      </c>
      <c r="BC92" s="270" t="e">
        <f t="array" ref="BC92">IF(AND(BC$2&lt;&gt;0,#REF!&gt;=BC$2),1,0)</f>
        <v>#REF!</v>
      </c>
      <c r="BD92" s="270" t="e">
        <f t="array" ref="BD92">IF(AND(BD$2&lt;&gt;0,#REF!&gt;=BD$2),1,0)</f>
        <v>#REF!</v>
      </c>
      <c r="BE92" s="270" t="e">
        <f t="array" ref="BE92">IF(AND(BE$2&lt;&gt;0,#REF!&gt;=BE$2),1,0)</f>
        <v>#REF!</v>
      </c>
      <c r="BF92" s="270" t="e">
        <f t="array" ref="BF92">IF(AND(BF$2&lt;&gt;0,#REF!&gt;=BF$2),1,0)</f>
        <v>#REF!</v>
      </c>
      <c r="BG92" s="270" t="e">
        <f t="array" ref="BG92">IF(AND(BG$2&lt;&gt;0,#REF!&gt;=BG$2),1,0)</f>
        <v>#REF!</v>
      </c>
      <c r="BH92" s="270" t="e">
        <f t="array" ref="BH92">IF(AND(BH$2&lt;&gt;0,#REF!&gt;=BH$2),1,0)</f>
        <v>#REF!</v>
      </c>
      <c r="BI92" s="270" t="e">
        <f t="array" ref="BI92">IF(AND(BI$2&lt;&gt;0,#REF!&gt;=BI$2),1,0)</f>
        <v>#REF!</v>
      </c>
      <c r="BJ92" s="270" t="e">
        <f t="array" ref="BJ92">IF(AND(BJ$2&lt;&gt;0,#REF!&gt;=BJ$2),1,0)</f>
        <v>#REF!</v>
      </c>
      <c r="BK92" s="270" t="e">
        <f t="array" ref="BK92">IF(AND(BK$2&lt;&gt;0,#REF!&gt;=BK$2),1,0)</f>
        <v>#REF!</v>
      </c>
      <c r="BL92" s="270" t="e">
        <f t="array" ref="BL92">IF(AND(BL$2&lt;&gt;0,#REF!&gt;=BL$2),1,0)</f>
        <v>#REF!</v>
      </c>
      <c r="BM92" s="270" t="e">
        <f t="array" ref="BM92">IF(AND(BM$2&lt;&gt;0,#REF!&gt;=BM$2),1,0)</f>
        <v>#REF!</v>
      </c>
      <c r="BN92" s="270" t="e">
        <f t="array" ref="BN92">IF(AND(BN$2&lt;&gt;0,#REF!&gt;=BN$2),1,0)</f>
        <v>#REF!</v>
      </c>
      <c r="BO92" s="270" t="e">
        <f t="array" ref="BO92">IF(AND(BO$2&lt;&gt;0,#REF!&gt;=BO$2),1,0)</f>
        <v>#REF!</v>
      </c>
      <c r="BP92" s="270" t="e">
        <f t="array" ref="BP92">IF(AND(BP$2&lt;&gt;0,#REF!&gt;=BP$2),1,0)</f>
        <v>#REF!</v>
      </c>
      <c r="BQ92" s="270" t="e">
        <f t="array" ref="BQ92">IF(AND(BQ$2&lt;&gt;0,#REF!&gt;=BQ$2),1,0)</f>
        <v>#REF!</v>
      </c>
      <c r="BR92" s="270" t="e">
        <f t="array" ref="BR92">IF(AND(BR$2&lt;&gt;0,#REF!&gt;=BR$2),1,0)</f>
        <v>#REF!</v>
      </c>
      <c r="BS92" s="270" t="e">
        <f t="array" ref="BS92">IF(AND(BS$2&lt;&gt;0,#REF!&gt;=BS$2),1,0)</f>
        <v>#REF!</v>
      </c>
      <c r="BT92" s="270" t="e">
        <f t="array" ref="BT92">IF(AND(BT$2&lt;&gt;0,#REF!&gt;=BT$2),1,0)</f>
        <v>#REF!</v>
      </c>
      <c r="BU92" s="270" t="e">
        <f t="array" ref="BU92">IF(AND(BU$2&lt;&gt;0,#REF!&gt;=BU$2),1,0)</f>
        <v>#REF!</v>
      </c>
      <c r="BV92" s="270" t="e">
        <f t="array" ref="BV92">IF(AND(BV$2&lt;&gt;0,#REF!&gt;=BV$2),1,0)</f>
        <v>#REF!</v>
      </c>
      <c r="BW92" s="270" t="e">
        <f t="array" ref="BW92">IF(AND(BW$2&lt;&gt;0,#REF!&gt;=BW$2),1,0)</f>
        <v>#REF!</v>
      </c>
      <c r="BX92" s="270" t="e">
        <f t="array" ref="BX92">IF(AND(BX$2&lt;&gt;0,#REF!&gt;=BX$2),1,0)</f>
        <v>#REF!</v>
      </c>
      <c r="BY92" s="270" t="e">
        <f t="array" ref="BY92">IF(AND(BY$2&lt;&gt;0,#REF!&gt;=BY$2),1,0)</f>
        <v>#REF!</v>
      </c>
      <c r="BZ92" s="270" t="e">
        <f t="array" ref="BZ92">IF(AND(BZ$2&lt;&gt;0,#REF!&gt;=BZ$2),1,0)</f>
        <v>#REF!</v>
      </c>
      <c r="CA92" s="359">
        <f>IFERROR(INDEX($H$4:$H$79,MATCH(INDEX(#REF!,1,MATCH(#REF!,$M$2:$BZ$2,0)),$G$4:$G$79,0)),)</f>
        <v>0</v>
      </c>
    </row>
    <row r="93" spans="1:79" x14ac:dyDescent="0.25">
      <c r="A93" s="262" t="e">
        <f>#REF!</f>
        <v>#REF!</v>
      </c>
      <c r="B93" s="263" t="e">
        <f>#REF!</f>
        <v>#REF!</v>
      </c>
      <c r="C93" s="264" t="e">
        <f>#REF!</f>
        <v>#REF!</v>
      </c>
      <c r="D93" s="264" t="e">
        <f>#REF!</f>
        <v>#REF!</v>
      </c>
      <c r="E93" s="273"/>
      <c r="F93" s="274"/>
      <c r="G93" s="267"/>
      <c r="H93" s="268"/>
      <c r="I93" s="268"/>
      <c r="J93" s="268"/>
      <c r="K93" s="89" t="e">
        <f ca="1">IF(#REF!&lt;&gt;OFFSET(#REF!,-1,0),1,0)</f>
        <v>#REF!</v>
      </c>
      <c r="L93" s="269" t="e">
        <f>COUNTIF(#REF!,1)</f>
        <v>#REF!</v>
      </c>
      <c r="M93" s="270" t="e">
        <f t="array" ref="M93">IF(AND(M$2&lt;&gt;0,#REF!&gt;=M$2),1,0)</f>
        <v>#REF!</v>
      </c>
      <c r="N93" s="270" t="e">
        <f t="array" ref="N93">IF(AND(N$2&lt;&gt;0,#REF!&gt;=N$2),1,0)</f>
        <v>#REF!</v>
      </c>
      <c r="O93" s="270" t="e">
        <f t="array" ref="O93">IF(AND(O$2&lt;&gt;0,#REF!&gt;=O$2),1,0)</f>
        <v>#REF!</v>
      </c>
      <c r="P93" s="270" t="e">
        <f t="array" ref="P93">IF(AND(P$2&lt;&gt;0,#REF!&gt;=P$2),1,0)</f>
        <v>#REF!</v>
      </c>
      <c r="Q93" s="270" t="e">
        <f t="array" ref="Q93">IF(AND(Q$2&lt;&gt;0,#REF!&gt;=Q$2),1,0)</f>
        <v>#REF!</v>
      </c>
      <c r="R93" s="270" t="e">
        <f t="array" ref="R93">IF(AND(R$2&lt;&gt;0,#REF!&gt;=R$2),1,0)</f>
        <v>#REF!</v>
      </c>
      <c r="S93" s="270" t="e">
        <f t="array" ref="S93">IF(AND(S$2&lt;&gt;0,#REF!&gt;=S$2),1,0)</f>
        <v>#REF!</v>
      </c>
      <c r="T93" s="270" t="e">
        <f t="array" ref="T93">IF(AND(T$2&lt;&gt;0,#REF!&gt;=T$2),1,0)</f>
        <v>#REF!</v>
      </c>
      <c r="U93" s="270" t="e">
        <f t="array" ref="U93">IF(AND(U$2&lt;&gt;0,#REF!&gt;=U$2),1,0)</f>
        <v>#REF!</v>
      </c>
      <c r="V93" s="270" t="e">
        <f t="array" ref="V93">IF(AND(V$2&lt;&gt;0,#REF!&gt;=V$2),1,0)</f>
        <v>#REF!</v>
      </c>
      <c r="W93" s="270" t="e">
        <f t="array" ref="W93">IF(AND(W$2&lt;&gt;0,#REF!&gt;=W$2),1,0)</f>
        <v>#REF!</v>
      </c>
      <c r="X93" s="270" t="e">
        <f t="array" ref="X93">IF(AND(X$2&lt;&gt;0,#REF!&gt;=X$2),1,0)</f>
        <v>#REF!</v>
      </c>
      <c r="Y93" s="270" t="e">
        <f t="array" ref="Y93">IF(AND(Y$2&lt;&gt;0,#REF!&gt;=Y$2),1,0)</f>
        <v>#REF!</v>
      </c>
      <c r="Z93" s="270" t="e">
        <f t="array" ref="Z93">IF(AND(Z$2&lt;&gt;0,#REF!&gt;=Z$2),1,0)</f>
        <v>#REF!</v>
      </c>
      <c r="AA93" s="270" t="e">
        <f t="array" ref="AA93">IF(AND(AA$2&lt;&gt;0,#REF!&gt;=AA$2),1,0)</f>
        <v>#REF!</v>
      </c>
      <c r="AB93" s="270" t="e">
        <f t="array" ref="AB93">IF(AND(AB$2&lt;&gt;0,#REF!&gt;=AB$2),1,0)</f>
        <v>#REF!</v>
      </c>
      <c r="AC93" s="270" t="e">
        <f t="array" ref="AC93">IF(AND(AC$2&lt;&gt;0,#REF!&gt;=AC$2),1,0)</f>
        <v>#REF!</v>
      </c>
      <c r="AD93" s="270" t="e">
        <f t="array" ref="AD93">IF(AND(AD$2&lt;&gt;0,#REF!&gt;=AD$2),1,0)</f>
        <v>#REF!</v>
      </c>
      <c r="AE93" s="270" t="e">
        <f t="array" ref="AE93">IF(AND(AE$2&lt;&gt;0,#REF!&gt;=AE$2),1,0)</f>
        <v>#REF!</v>
      </c>
      <c r="AF93" s="270" t="e">
        <f t="array" ref="AF93">IF(AND(AF$2&lt;&gt;0,#REF!&gt;=AF$2),1,0)</f>
        <v>#REF!</v>
      </c>
      <c r="AG93" s="270" t="e">
        <f t="array" ref="AG93">IF(AND(AG$2&lt;&gt;0,#REF!&gt;=AG$2),1,0)</f>
        <v>#REF!</v>
      </c>
      <c r="AH93" s="270" t="e">
        <f t="array" ref="AH93">IF(AND(AH$2&lt;&gt;0,#REF!&gt;=AH$2),1,0)</f>
        <v>#REF!</v>
      </c>
      <c r="AI93" s="270" t="e">
        <f t="array" ref="AI93">IF(AND(AI$2&lt;&gt;0,#REF!&gt;=AI$2),1,0)</f>
        <v>#REF!</v>
      </c>
      <c r="AJ93" s="270" t="e">
        <f t="array" ref="AJ93">IF(AND(AJ$2&lt;&gt;0,#REF!&gt;=AJ$2),1,0)</f>
        <v>#REF!</v>
      </c>
      <c r="AK93" s="270" t="e">
        <f t="array" ref="AK93">IF(AND(AK$2&lt;&gt;0,#REF!&gt;=AK$2),1,0)</f>
        <v>#REF!</v>
      </c>
      <c r="AL93" s="270" t="e">
        <f t="array" ref="AL93">IF(AND(AL$2&lt;&gt;0,#REF!&gt;=AL$2),1,0)</f>
        <v>#REF!</v>
      </c>
      <c r="AM93" s="270" t="e">
        <f t="array" ref="AM93">IF(AND(AM$2&lt;&gt;0,#REF!&gt;=AM$2),1,0)</f>
        <v>#REF!</v>
      </c>
      <c r="AN93" s="270" t="e">
        <f t="array" ref="AN93">IF(AND(AN$2&lt;&gt;0,#REF!&gt;=AN$2),1,0)</f>
        <v>#REF!</v>
      </c>
      <c r="AO93" s="270" t="e">
        <f t="array" ref="AO93">IF(AND(AO$2&lt;&gt;0,#REF!&gt;=AO$2),1,0)</f>
        <v>#REF!</v>
      </c>
      <c r="AP93" s="270" t="e">
        <f t="array" ref="AP93">IF(AND(AP$2&lt;&gt;0,#REF!&gt;=AP$2),1,0)</f>
        <v>#REF!</v>
      </c>
      <c r="AQ93" s="270" t="e">
        <f t="array" ref="AQ93">IF(AND(AQ$2&lt;&gt;0,#REF!&gt;=AQ$2),1,0)</f>
        <v>#REF!</v>
      </c>
      <c r="AR93" s="270" t="e">
        <f t="array" ref="AR93">IF(AND(AR$2&lt;&gt;0,#REF!&gt;=AR$2),1,0)</f>
        <v>#REF!</v>
      </c>
      <c r="AS93" s="270" t="e">
        <f t="array" ref="AS93">IF(AND(AS$2&lt;&gt;0,#REF!&gt;=AS$2),1,0)</f>
        <v>#REF!</v>
      </c>
      <c r="AT93" s="270" t="e">
        <f t="array" ref="AT93">IF(AND(AT$2&lt;&gt;0,#REF!&gt;=AT$2),1,0)</f>
        <v>#REF!</v>
      </c>
      <c r="AU93" s="270" t="e">
        <f t="array" ref="AU93">IF(AND(AU$2&lt;&gt;0,#REF!&gt;=AU$2),1,0)</f>
        <v>#REF!</v>
      </c>
      <c r="AV93" s="270" t="e">
        <f t="array" ref="AV93">IF(AND(AV$2&lt;&gt;0,#REF!&gt;=AV$2),1,0)</f>
        <v>#REF!</v>
      </c>
      <c r="AW93" s="270" t="e">
        <f t="array" ref="AW93">IF(AND(AW$2&lt;&gt;0,#REF!&gt;=AW$2),1,0)</f>
        <v>#REF!</v>
      </c>
      <c r="AX93" s="270" t="e">
        <f t="array" ref="AX93">IF(AND(AX$2&lt;&gt;0,#REF!&gt;=AX$2),1,0)</f>
        <v>#REF!</v>
      </c>
      <c r="AY93" s="270" t="e">
        <f t="array" ref="AY93">IF(AND(AY$2&lt;&gt;0,#REF!&gt;=AY$2),1,0)</f>
        <v>#REF!</v>
      </c>
      <c r="AZ93" s="270" t="e">
        <f t="array" ref="AZ93">IF(AND(AZ$2&lt;&gt;0,#REF!&gt;=AZ$2),1,0)</f>
        <v>#REF!</v>
      </c>
      <c r="BA93" s="270" t="e">
        <f t="array" ref="BA93">IF(AND(BA$2&lt;&gt;0,#REF!&gt;=BA$2),1,0)</f>
        <v>#REF!</v>
      </c>
      <c r="BB93" s="270" t="e">
        <f t="array" ref="BB93">IF(AND(BB$2&lt;&gt;0,#REF!&gt;=BB$2),1,0)</f>
        <v>#REF!</v>
      </c>
      <c r="BC93" s="270" t="e">
        <f t="array" ref="BC93">IF(AND(BC$2&lt;&gt;0,#REF!&gt;=BC$2),1,0)</f>
        <v>#REF!</v>
      </c>
      <c r="BD93" s="270" t="e">
        <f t="array" ref="BD93">IF(AND(BD$2&lt;&gt;0,#REF!&gt;=BD$2),1,0)</f>
        <v>#REF!</v>
      </c>
      <c r="BE93" s="270" t="e">
        <f t="array" ref="BE93">IF(AND(BE$2&lt;&gt;0,#REF!&gt;=BE$2),1,0)</f>
        <v>#REF!</v>
      </c>
      <c r="BF93" s="270" t="e">
        <f t="array" ref="BF93">IF(AND(BF$2&lt;&gt;0,#REF!&gt;=BF$2),1,0)</f>
        <v>#REF!</v>
      </c>
      <c r="BG93" s="270" t="e">
        <f t="array" ref="BG93">IF(AND(BG$2&lt;&gt;0,#REF!&gt;=BG$2),1,0)</f>
        <v>#REF!</v>
      </c>
      <c r="BH93" s="270" t="e">
        <f t="array" ref="BH93">IF(AND(BH$2&lt;&gt;0,#REF!&gt;=BH$2),1,0)</f>
        <v>#REF!</v>
      </c>
      <c r="BI93" s="270" t="e">
        <f t="array" ref="BI93">IF(AND(BI$2&lt;&gt;0,#REF!&gt;=BI$2),1,0)</f>
        <v>#REF!</v>
      </c>
      <c r="BJ93" s="270" t="e">
        <f t="array" ref="BJ93">IF(AND(BJ$2&lt;&gt;0,#REF!&gt;=BJ$2),1,0)</f>
        <v>#REF!</v>
      </c>
      <c r="BK93" s="270" t="e">
        <f t="array" ref="BK93">IF(AND(BK$2&lt;&gt;0,#REF!&gt;=BK$2),1,0)</f>
        <v>#REF!</v>
      </c>
      <c r="BL93" s="270" t="e">
        <f t="array" ref="BL93">IF(AND(BL$2&lt;&gt;0,#REF!&gt;=BL$2),1,0)</f>
        <v>#REF!</v>
      </c>
      <c r="BM93" s="270" t="e">
        <f t="array" ref="BM93">IF(AND(BM$2&lt;&gt;0,#REF!&gt;=BM$2),1,0)</f>
        <v>#REF!</v>
      </c>
      <c r="BN93" s="270" t="e">
        <f t="array" ref="BN93">IF(AND(BN$2&lt;&gt;0,#REF!&gt;=BN$2),1,0)</f>
        <v>#REF!</v>
      </c>
      <c r="BO93" s="270" t="e">
        <f t="array" ref="BO93">IF(AND(BO$2&lt;&gt;0,#REF!&gt;=BO$2),1,0)</f>
        <v>#REF!</v>
      </c>
      <c r="BP93" s="270" t="e">
        <f t="array" ref="BP93">IF(AND(BP$2&lt;&gt;0,#REF!&gt;=BP$2),1,0)</f>
        <v>#REF!</v>
      </c>
      <c r="BQ93" s="270" t="e">
        <f t="array" ref="BQ93">IF(AND(BQ$2&lt;&gt;0,#REF!&gt;=BQ$2),1,0)</f>
        <v>#REF!</v>
      </c>
      <c r="BR93" s="270" t="e">
        <f t="array" ref="BR93">IF(AND(BR$2&lt;&gt;0,#REF!&gt;=BR$2),1,0)</f>
        <v>#REF!</v>
      </c>
      <c r="BS93" s="270" t="e">
        <f t="array" ref="BS93">IF(AND(BS$2&lt;&gt;0,#REF!&gt;=BS$2),1,0)</f>
        <v>#REF!</v>
      </c>
      <c r="BT93" s="270" t="e">
        <f t="array" ref="BT93">IF(AND(BT$2&lt;&gt;0,#REF!&gt;=BT$2),1,0)</f>
        <v>#REF!</v>
      </c>
      <c r="BU93" s="270" t="e">
        <f t="array" ref="BU93">IF(AND(BU$2&lt;&gt;0,#REF!&gt;=BU$2),1,0)</f>
        <v>#REF!</v>
      </c>
      <c r="BV93" s="270" t="e">
        <f t="array" ref="BV93">IF(AND(BV$2&lt;&gt;0,#REF!&gt;=BV$2),1,0)</f>
        <v>#REF!</v>
      </c>
      <c r="BW93" s="270" t="e">
        <f t="array" ref="BW93">IF(AND(BW$2&lt;&gt;0,#REF!&gt;=BW$2),1,0)</f>
        <v>#REF!</v>
      </c>
      <c r="BX93" s="270" t="e">
        <f t="array" ref="BX93">IF(AND(BX$2&lt;&gt;0,#REF!&gt;=BX$2),1,0)</f>
        <v>#REF!</v>
      </c>
      <c r="BY93" s="270" t="e">
        <f t="array" ref="BY93">IF(AND(BY$2&lt;&gt;0,#REF!&gt;=BY$2),1,0)</f>
        <v>#REF!</v>
      </c>
      <c r="BZ93" s="270" t="e">
        <f t="array" ref="BZ93">IF(AND(BZ$2&lt;&gt;0,#REF!&gt;=BZ$2),1,0)</f>
        <v>#REF!</v>
      </c>
      <c r="CA93" s="359">
        <f>IFERROR(INDEX($H$4:$H$79,MATCH(INDEX(#REF!,1,MATCH(#REF!,$M$2:$BZ$2,0)),$G$4:$G$79,0)),)</f>
        <v>0</v>
      </c>
    </row>
    <row r="94" spans="1:79" x14ac:dyDescent="0.25">
      <c r="A94" s="262" t="e">
        <f>#REF!</f>
        <v>#REF!</v>
      </c>
      <c r="B94" s="263" t="e">
        <f>#REF!</f>
        <v>#REF!</v>
      </c>
      <c r="C94" s="264" t="e">
        <f>#REF!</f>
        <v>#REF!</v>
      </c>
      <c r="D94" s="264" t="e">
        <f>#REF!</f>
        <v>#REF!</v>
      </c>
      <c r="E94" s="273"/>
      <c r="F94" s="274"/>
      <c r="G94" s="267"/>
      <c r="H94" s="268"/>
      <c r="I94" s="268"/>
      <c r="J94" s="268"/>
      <c r="K94" s="89" t="e">
        <f ca="1">IF(#REF!&lt;&gt;OFFSET(#REF!,-1,0),1,0)</f>
        <v>#REF!</v>
      </c>
      <c r="L94" s="269" t="e">
        <f>COUNTIF(#REF!,1)</f>
        <v>#REF!</v>
      </c>
      <c r="M94" s="270" t="e">
        <f t="array" ref="M94">IF(AND(M$2&lt;&gt;0,#REF!&gt;=M$2),1,0)</f>
        <v>#REF!</v>
      </c>
      <c r="N94" s="270" t="e">
        <f t="array" ref="N94">IF(AND(N$2&lt;&gt;0,#REF!&gt;=N$2),1,0)</f>
        <v>#REF!</v>
      </c>
      <c r="O94" s="270" t="e">
        <f t="array" ref="O94">IF(AND(O$2&lt;&gt;0,#REF!&gt;=O$2),1,0)</f>
        <v>#REF!</v>
      </c>
      <c r="P94" s="270" t="e">
        <f t="array" ref="P94">IF(AND(P$2&lt;&gt;0,#REF!&gt;=P$2),1,0)</f>
        <v>#REF!</v>
      </c>
      <c r="Q94" s="270" t="e">
        <f t="array" ref="Q94">IF(AND(Q$2&lt;&gt;0,#REF!&gt;=Q$2),1,0)</f>
        <v>#REF!</v>
      </c>
      <c r="R94" s="270" t="e">
        <f t="array" ref="R94">IF(AND(R$2&lt;&gt;0,#REF!&gt;=R$2),1,0)</f>
        <v>#REF!</v>
      </c>
      <c r="S94" s="270" t="e">
        <f t="array" ref="S94">IF(AND(S$2&lt;&gt;0,#REF!&gt;=S$2),1,0)</f>
        <v>#REF!</v>
      </c>
      <c r="T94" s="270" t="e">
        <f t="array" ref="T94">IF(AND(T$2&lt;&gt;0,#REF!&gt;=T$2),1,0)</f>
        <v>#REF!</v>
      </c>
      <c r="U94" s="270" t="e">
        <f t="array" ref="U94">IF(AND(U$2&lt;&gt;0,#REF!&gt;=U$2),1,0)</f>
        <v>#REF!</v>
      </c>
      <c r="V94" s="270" t="e">
        <f t="array" ref="V94">IF(AND(V$2&lt;&gt;0,#REF!&gt;=V$2),1,0)</f>
        <v>#REF!</v>
      </c>
      <c r="W94" s="270" t="e">
        <f t="array" ref="W94">IF(AND(W$2&lt;&gt;0,#REF!&gt;=W$2),1,0)</f>
        <v>#REF!</v>
      </c>
      <c r="X94" s="270" t="e">
        <f t="array" ref="X94">IF(AND(X$2&lt;&gt;0,#REF!&gt;=X$2),1,0)</f>
        <v>#REF!</v>
      </c>
      <c r="Y94" s="270" t="e">
        <f t="array" ref="Y94">IF(AND(Y$2&lt;&gt;0,#REF!&gt;=Y$2),1,0)</f>
        <v>#REF!</v>
      </c>
      <c r="Z94" s="270" t="e">
        <f t="array" ref="Z94">IF(AND(Z$2&lt;&gt;0,#REF!&gt;=Z$2),1,0)</f>
        <v>#REF!</v>
      </c>
      <c r="AA94" s="270" t="e">
        <f t="array" ref="AA94">IF(AND(AA$2&lt;&gt;0,#REF!&gt;=AA$2),1,0)</f>
        <v>#REF!</v>
      </c>
      <c r="AB94" s="270" t="e">
        <f t="array" ref="AB94">IF(AND(AB$2&lt;&gt;0,#REF!&gt;=AB$2),1,0)</f>
        <v>#REF!</v>
      </c>
      <c r="AC94" s="270" t="e">
        <f t="array" ref="AC94">IF(AND(AC$2&lt;&gt;0,#REF!&gt;=AC$2),1,0)</f>
        <v>#REF!</v>
      </c>
      <c r="AD94" s="270" t="e">
        <f t="array" ref="AD94">IF(AND(AD$2&lt;&gt;0,#REF!&gt;=AD$2),1,0)</f>
        <v>#REF!</v>
      </c>
      <c r="AE94" s="270" t="e">
        <f t="array" ref="AE94">IF(AND(AE$2&lt;&gt;0,#REF!&gt;=AE$2),1,0)</f>
        <v>#REF!</v>
      </c>
      <c r="AF94" s="270" t="e">
        <f t="array" ref="AF94">IF(AND(AF$2&lt;&gt;0,#REF!&gt;=AF$2),1,0)</f>
        <v>#REF!</v>
      </c>
      <c r="AG94" s="270" t="e">
        <f t="array" ref="AG94">IF(AND(AG$2&lt;&gt;0,#REF!&gt;=AG$2),1,0)</f>
        <v>#REF!</v>
      </c>
      <c r="AH94" s="270" t="e">
        <f t="array" ref="AH94">IF(AND(AH$2&lt;&gt;0,#REF!&gt;=AH$2),1,0)</f>
        <v>#REF!</v>
      </c>
      <c r="AI94" s="270" t="e">
        <f t="array" ref="AI94">IF(AND(AI$2&lt;&gt;0,#REF!&gt;=AI$2),1,0)</f>
        <v>#REF!</v>
      </c>
      <c r="AJ94" s="270" t="e">
        <f t="array" ref="AJ94">IF(AND(AJ$2&lt;&gt;0,#REF!&gt;=AJ$2),1,0)</f>
        <v>#REF!</v>
      </c>
      <c r="AK94" s="270" t="e">
        <f t="array" ref="AK94">IF(AND(AK$2&lt;&gt;0,#REF!&gt;=AK$2),1,0)</f>
        <v>#REF!</v>
      </c>
      <c r="AL94" s="270" t="e">
        <f t="array" ref="AL94">IF(AND(AL$2&lt;&gt;0,#REF!&gt;=AL$2),1,0)</f>
        <v>#REF!</v>
      </c>
      <c r="AM94" s="270" t="e">
        <f t="array" ref="AM94">IF(AND(AM$2&lt;&gt;0,#REF!&gt;=AM$2),1,0)</f>
        <v>#REF!</v>
      </c>
      <c r="AN94" s="270" t="e">
        <f t="array" ref="AN94">IF(AND(AN$2&lt;&gt;0,#REF!&gt;=AN$2),1,0)</f>
        <v>#REF!</v>
      </c>
      <c r="AO94" s="270" t="e">
        <f t="array" ref="AO94">IF(AND(AO$2&lt;&gt;0,#REF!&gt;=AO$2),1,0)</f>
        <v>#REF!</v>
      </c>
      <c r="AP94" s="270" t="e">
        <f t="array" ref="AP94">IF(AND(AP$2&lt;&gt;0,#REF!&gt;=AP$2),1,0)</f>
        <v>#REF!</v>
      </c>
      <c r="AQ94" s="270" t="e">
        <f t="array" ref="AQ94">IF(AND(AQ$2&lt;&gt;0,#REF!&gt;=AQ$2),1,0)</f>
        <v>#REF!</v>
      </c>
      <c r="AR94" s="270" t="e">
        <f t="array" ref="AR94">IF(AND(AR$2&lt;&gt;0,#REF!&gt;=AR$2),1,0)</f>
        <v>#REF!</v>
      </c>
      <c r="AS94" s="270" t="e">
        <f t="array" ref="AS94">IF(AND(AS$2&lt;&gt;0,#REF!&gt;=AS$2),1,0)</f>
        <v>#REF!</v>
      </c>
      <c r="AT94" s="270" t="e">
        <f t="array" ref="AT94">IF(AND(AT$2&lt;&gt;0,#REF!&gt;=AT$2),1,0)</f>
        <v>#REF!</v>
      </c>
      <c r="AU94" s="270" t="e">
        <f t="array" ref="AU94">IF(AND(AU$2&lt;&gt;0,#REF!&gt;=AU$2),1,0)</f>
        <v>#REF!</v>
      </c>
      <c r="AV94" s="270" t="e">
        <f t="array" ref="AV94">IF(AND(AV$2&lt;&gt;0,#REF!&gt;=AV$2),1,0)</f>
        <v>#REF!</v>
      </c>
      <c r="AW94" s="270" t="e">
        <f t="array" ref="AW94">IF(AND(AW$2&lt;&gt;0,#REF!&gt;=AW$2),1,0)</f>
        <v>#REF!</v>
      </c>
      <c r="AX94" s="270" t="e">
        <f t="array" ref="AX94">IF(AND(AX$2&lt;&gt;0,#REF!&gt;=AX$2),1,0)</f>
        <v>#REF!</v>
      </c>
      <c r="AY94" s="270" t="e">
        <f t="array" ref="AY94">IF(AND(AY$2&lt;&gt;0,#REF!&gt;=AY$2),1,0)</f>
        <v>#REF!</v>
      </c>
      <c r="AZ94" s="270" t="e">
        <f t="array" ref="AZ94">IF(AND(AZ$2&lt;&gt;0,#REF!&gt;=AZ$2),1,0)</f>
        <v>#REF!</v>
      </c>
      <c r="BA94" s="270" t="e">
        <f t="array" ref="BA94">IF(AND(BA$2&lt;&gt;0,#REF!&gt;=BA$2),1,0)</f>
        <v>#REF!</v>
      </c>
      <c r="BB94" s="270" t="e">
        <f t="array" ref="BB94">IF(AND(BB$2&lt;&gt;0,#REF!&gt;=BB$2),1,0)</f>
        <v>#REF!</v>
      </c>
      <c r="BC94" s="270" t="e">
        <f t="array" ref="BC94">IF(AND(BC$2&lt;&gt;0,#REF!&gt;=BC$2),1,0)</f>
        <v>#REF!</v>
      </c>
      <c r="BD94" s="270" t="e">
        <f t="array" ref="BD94">IF(AND(BD$2&lt;&gt;0,#REF!&gt;=BD$2),1,0)</f>
        <v>#REF!</v>
      </c>
      <c r="BE94" s="270" t="e">
        <f t="array" ref="BE94">IF(AND(BE$2&lt;&gt;0,#REF!&gt;=BE$2),1,0)</f>
        <v>#REF!</v>
      </c>
      <c r="BF94" s="270" t="e">
        <f t="array" ref="BF94">IF(AND(BF$2&lt;&gt;0,#REF!&gt;=BF$2),1,0)</f>
        <v>#REF!</v>
      </c>
      <c r="BG94" s="270" t="e">
        <f t="array" ref="BG94">IF(AND(BG$2&lt;&gt;0,#REF!&gt;=BG$2),1,0)</f>
        <v>#REF!</v>
      </c>
      <c r="BH94" s="270" t="e">
        <f t="array" ref="BH94">IF(AND(BH$2&lt;&gt;0,#REF!&gt;=BH$2),1,0)</f>
        <v>#REF!</v>
      </c>
      <c r="BI94" s="270" t="e">
        <f t="array" ref="BI94">IF(AND(BI$2&lt;&gt;0,#REF!&gt;=BI$2),1,0)</f>
        <v>#REF!</v>
      </c>
      <c r="BJ94" s="270" t="e">
        <f t="array" ref="BJ94">IF(AND(BJ$2&lt;&gt;0,#REF!&gt;=BJ$2),1,0)</f>
        <v>#REF!</v>
      </c>
      <c r="BK94" s="270" t="e">
        <f t="array" ref="BK94">IF(AND(BK$2&lt;&gt;0,#REF!&gt;=BK$2),1,0)</f>
        <v>#REF!</v>
      </c>
      <c r="BL94" s="270" t="e">
        <f t="array" ref="BL94">IF(AND(BL$2&lt;&gt;0,#REF!&gt;=BL$2),1,0)</f>
        <v>#REF!</v>
      </c>
      <c r="BM94" s="270" t="e">
        <f t="array" ref="BM94">IF(AND(BM$2&lt;&gt;0,#REF!&gt;=BM$2),1,0)</f>
        <v>#REF!</v>
      </c>
      <c r="BN94" s="270" t="e">
        <f t="array" ref="BN94">IF(AND(BN$2&lt;&gt;0,#REF!&gt;=BN$2),1,0)</f>
        <v>#REF!</v>
      </c>
      <c r="BO94" s="270" t="e">
        <f t="array" ref="BO94">IF(AND(BO$2&lt;&gt;0,#REF!&gt;=BO$2),1,0)</f>
        <v>#REF!</v>
      </c>
      <c r="BP94" s="270" t="e">
        <f t="array" ref="BP94">IF(AND(BP$2&lt;&gt;0,#REF!&gt;=BP$2),1,0)</f>
        <v>#REF!</v>
      </c>
      <c r="BQ94" s="270" t="e">
        <f t="array" ref="BQ94">IF(AND(BQ$2&lt;&gt;0,#REF!&gt;=BQ$2),1,0)</f>
        <v>#REF!</v>
      </c>
      <c r="BR94" s="270" t="e">
        <f t="array" ref="BR94">IF(AND(BR$2&lt;&gt;0,#REF!&gt;=BR$2),1,0)</f>
        <v>#REF!</v>
      </c>
      <c r="BS94" s="270" t="e">
        <f t="array" ref="BS94">IF(AND(BS$2&lt;&gt;0,#REF!&gt;=BS$2),1,0)</f>
        <v>#REF!</v>
      </c>
      <c r="BT94" s="270" t="e">
        <f t="array" ref="BT94">IF(AND(BT$2&lt;&gt;0,#REF!&gt;=BT$2),1,0)</f>
        <v>#REF!</v>
      </c>
      <c r="BU94" s="270" t="e">
        <f t="array" ref="BU94">IF(AND(BU$2&lt;&gt;0,#REF!&gt;=BU$2),1,0)</f>
        <v>#REF!</v>
      </c>
      <c r="BV94" s="270" t="e">
        <f t="array" ref="BV94">IF(AND(BV$2&lt;&gt;0,#REF!&gt;=BV$2),1,0)</f>
        <v>#REF!</v>
      </c>
      <c r="BW94" s="270" t="e">
        <f t="array" ref="BW94">IF(AND(BW$2&lt;&gt;0,#REF!&gt;=BW$2),1,0)</f>
        <v>#REF!</v>
      </c>
      <c r="BX94" s="270" t="e">
        <f t="array" ref="BX94">IF(AND(BX$2&lt;&gt;0,#REF!&gt;=BX$2),1,0)</f>
        <v>#REF!</v>
      </c>
      <c r="BY94" s="270" t="e">
        <f t="array" ref="BY94">IF(AND(BY$2&lt;&gt;0,#REF!&gt;=BY$2),1,0)</f>
        <v>#REF!</v>
      </c>
      <c r="BZ94" s="270" t="e">
        <f t="array" ref="BZ94">IF(AND(BZ$2&lt;&gt;0,#REF!&gt;=BZ$2),1,0)</f>
        <v>#REF!</v>
      </c>
      <c r="CA94" s="359">
        <f>IFERROR(INDEX($H$4:$H$79,MATCH(INDEX(#REF!,1,MATCH(#REF!,$M$2:$BZ$2,0)),$G$4:$G$79,0)),)</f>
        <v>0</v>
      </c>
    </row>
    <row r="95" spans="1:79" x14ac:dyDescent="0.25">
      <c r="A95" s="262" t="e">
        <f>#REF!</f>
        <v>#REF!</v>
      </c>
      <c r="B95" s="263" t="e">
        <f>#REF!</f>
        <v>#REF!</v>
      </c>
      <c r="C95" s="264" t="e">
        <f>#REF!</f>
        <v>#REF!</v>
      </c>
      <c r="D95" s="264" t="e">
        <f>#REF!</f>
        <v>#REF!</v>
      </c>
      <c r="E95" s="273"/>
      <c r="F95" s="274"/>
      <c r="G95" s="267"/>
      <c r="H95" s="268"/>
      <c r="I95" s="268"/>
      <c r="J95" s="268"/>
      <c r="K95" s="89" t="e">
        <f ca="1">IF(#REF!&lt;&gt;OFFSET(#REF!,-1,0),1,0)</f>
        <v>#REF!</v>
      </c>
      <c r="L95" s="269" t="e">
        <f>COUNTIF(#REF!,1)</f>
        <v>#REF!</v>
      </c>
      <c r="M95" s="270" t="e">
        <f t="array" ref="M95">IF(AND(M$2&lt;&gt;0,#REF!&gt;=M$2),1,0)</f>
        <v>#REF!</v>
      </c>
      <c r="N95" s="270" t="e">
        <f t="array" ref="N95">IF(AND(N$2&lt;&gt;0,#REF!&gt;=N$2),1,0)</f>
        <v>#REF!</v>
      </c>
      <c r="O95" s="270" t="e">
        <f t="array" ref="O95">IF(AND(O$2&lt;&gt;0,#REF!&gt;=O$2),1,0)</f>
        <v>#REF!</v>
      </c>
      <c r="P95" s="270" t="e">
        <f t="array" ref="P95">IF(AND(P$2&lt;&gt;0,#REF!&gt;=P$2),1,0)</f>
        <v>#REF!</v>
      </c>
      <c r="Q95" s="270" t="e">
        <f t="array" ref="Q95">IF(AND(Q$2&lt;&gt;0,#REF!&gt;=Q$2),1,0)</f>
        <v>#REF!</v>
      </c>
      <c r="R95" s="270" t="e">
        <f t="array" ref="R95">IF(AND(R$2&lt;&gt;0,#REF!&gt;=R$2),1,0)</f>
        <v>#REF!</v>
      </c>
      <c r="S95" s="270" t="e">
        <f t="array" ref="S95">IF(AND(S$2&lt;&gt;0,#REF!&gt;=S$2),1,0)</f>
        <v>#REF!</v>
      </c>
      <c r="T95" s="270" t="e">
        <f t="array" ref="T95">IF(AND(T$2&lt;&gt;0,#REF!&gt;=T$2),1,0)</f>
        <v>#REF!</v>
      </c>
      <c r="U95" s="270" t="e">
        <f t="array" ref="U95">IF(AND(U$2&lt;&gt;0,#REF!&gt;=U$2),1,0)</f>
        <v>#REF!</v>
      </c>
      <c r="V95" s="270" t="e">
        <f t="array" ref="V95">IF(AND(V$2&lt;&gt;0,#REF!&gt;=V$2),1,0)</f>
        <v>#REF!</v>
      </c>
      <c r="W95" s="270" t="e">
        <f t="array" ref="W95">IF(AND(W$2&lt;&gt;0,#REF!&gt;=W$2),1,0)</f>
        <v>#REF!</v>
      </c>
      <c r="X95" s="270" t="e">
        <f t="array" ref="X95">IF(AND(X$2&lt;&gt;0,#REF!&gt;=X$2),1,0)</f>
        <v>#REF!</v>
      </c>
      <c r="Y95" s="270" t="e">
        <f t="array" ref="Y95">IF(AND(Y$2&lt;&gt;0,#REF!&gt;=Y$2),1,0)</f>
        <v>#REF!</v>
      </c>
      <c r="Z95" s="270" t="e">
        <f t="array" ref="Z95">IF(AND(Z$2&lt;&gt;0,#REF!&gt;=Z$2),1,0)</f>
        <v>#REF!</v>
      </c>
      <c r="AA95" s="270" t="e">
        <f t="array" ref="AA95">IF(AND(AA$2&lt;&gt;0,#REF!&gt;=AA$2),1,0)</f>
        <v>#REF!</v>
      </c>
      <c r="AB95" s="270" t="e">
        <f t="array" ref="AB95">IF(AND(AB$2&lt;&gt;0,#REF!&gt;=AB$2),1,0)</f>
        <v>#REF!</v>
      </c>
      <c r="AC95" s="270" t="e">
        <f t="array" ref="AC95">IF(AND(AC$2&lt;&gt;0,#REF!&gt;=AC$2),1,0)</f>
        <v>#REF!</v>
      </c>
      <c r="AD95" s="270" t="e">
        <f t="array" ref="AD95">IF(AND(AD$2&lt;&gt;0,#REF!&gt;=AD$2),1,0)</f>
        <v>#REF!</v>
      </c>
      <c r="AE95" s="270" t="e">
        <f t="array" ref="AE95">IF(AND(AE$2&lt;&gt;0,#REF!&gt;=AE$2),1,0)</f>
        <v>#REF!</v>
      </c>
      <c r="AF95" s="270" t="e">
        <f t="array" ref="AF95">IF(AND(AF$2&lt;&gt;0,#REF!&gt;=AF$2),1,0)</f>
        <v>#REF!</v>
      </c>
      <c r="AG95" s="270" t="e">
        <f t="array" ref="AG95">IF(AND(AG$2&lt;&gt;0,#REF!&gt;=AG$2),1,0)</f>
        <v>#REF!</v>
      </c>
      <c r="AH95" s="270" t="e">
        <f t="array" ref="AH95">IF(AND(AH$2&lt;&gt;0,#REF!&gt;=AH$2),1,0)</f>
        <v>#REF!</v>
      </c>
      <c r="AI95" s="270" t="e">
        <f t="array" ref="AI95">IF(AND(AI$2&lt;&gt;0,#REF!&gt;=AI$2),1,0)</f>
        <v>#REF!</v>
      </c>
      <c r="AJ95" s="270" t="e">
        <f t="array" ref="AJ95">IF(AND(AJ$2&lt;&gt;0,#REF!&gt;=AJ$2),1,0)</f>
        <v>#REF!</v>
      </c>
      <c r="AK95" s="270" t="e">
        <f t="array" ref="AK95">IF(AND(AK$2&lt;&gt;0,#REF!&gt;=AK$2),1,0)</f>
        <v>#REF!</v>
      </c>
      <c r="AL95" s="270" t="e">
        <f t="array" ref="AL95">IF(AND(AL$2&lt;&gt;0,#REF!&gt;=AL$2),1,0)</f>
        <v>#REF!</v>
      </c>
      <c r="AM95" s="270" t="e">
        <f t="array" ref="AM95">IF(AND(AM$2&lt;&gt;0,#REF!&gt;=AM$2),1,0)</f>
        <v>#REF!</v>
      </c>
      <c r="AN95" s="270" t="e">
        <f t="array" ref="AN95">IF(AND(AN$2&lt;&gt;0,#REF!&gt;=AN$2),1,0)</f>
        <v>#REF!</v>
      </c>
      <c r="AO95" s="270" t="e">
        <f t="array" ref="AO95">IF(AND(AO$2&lt;&gt;0,#REF!&gt;=AO$2),1,0)</f>
        <v>#REF!</v>
      </c>
      <c r="AP95" s="270" t="e">
        <f t="array" ref="AP95">IF(AND(AP$2&lt;&gt;0,#REF!&gt;=AP$2),1,0)</f>
        <v>#REF!</v>
      </c>
      <c r="AQ95" s="270" t="e">
        <f t="array" ref="AQ95">IF(AND(AQ$2&lt;&gt;0,#REF!&gt;=AQ$2),1,0)</f>
        <v>#REF!</v>
      </c>
      <c r="AR95" s="270" t="e">
        <f t="array" ref="AR95">IF(AND(AR$2&lt;&gt;0,#REF!&gt;=AR$2),1,0)</f>
        <v>#REF!</v>
      </c>
      <c r="AS95" s="270" t="e">
        <f t="array" ref="AS95">IF(AND(AS$2&lt;&gt;0,#REF!&gt;=AS$2),1,0)</f>
        <v>#REF!</v>
      </c>
      <c r="AT95" s="270" t="e">
        <f t="array" ref="AT95">IF(AND(AT$2&lt;&gt;0,#REF!&gt;=AT$2),1,0)</f>
        <v>#REF!</v>
      </c>
      <c r="AU95" s="270" t="e">
        <f t="array" ref="AU95">IF(AND(AU$2&lt;&gt;0,#REF!&gt;=AU$2),1,0)</f>
        <v>#REF!</v>
      </c>
      <c r="AV95" s="270" t="e">
        <f t="array" ref="AV95">IF(AND(AV$2&lt;&gt;0,#REF!&gt;=AV$2),1,0)</f>
        <v>#REF!</v>
      </c>
      <c r="AW95" s="270" t="e">
        <f t="array" ref="AW95">IF(AND(AW$2&lt;&gt;0,#REF!&gt;=AW$2),1,0)</f>
        <v>#REF!</v>
      </c>
      <c r="AX95" s="270" t="e">
        <f t="array" ref="AX95">IF(AND(AX$2&lt;&gt;0,#REF!&gt;=AX$2),1,0)</f>
        <v>#REF!</v>
      </c>
      <c r="AY95" s="270" t="e">
        <f t="array" ref="AY95">IF(AND(AY$2&lt;&gt;0,#REF!&gt;=AY$2),1,0)</f>
        <v>#REF!</v>
      </c>
      <c r="AZ95" s="270" t="e">
        <f t="array" ref="AZ95">IF(AND(AZ$2&lt;&gt;0,#REF!&gt;=AZ$2),1,0)</f>
        <v>#REF!</v>
      </c>
      <c r="BA95" s="270" t="e">
        <f t="array" ref="BA95">IF(AND(BA$2&lt;&gt;0,#REF!&gt;=BA$2),1,0)</f>
        <v>#REF!</v>
      </c>
      <c r="BB95" s="270" t="e">
        <f t="array" ref="BB95">IF(AND(BB$2&lt;&gt;0,#REF!&gt;=BB$2),1,0)</f>
        <v>#REF!</v>
      </c>
      <c r="BC95" s="270" t="e">
        <f t="array" ref="BC95">IF(AND(BC$2&lt;&gt;0,#REF!&gt;=BC$2),1,0)</f>
        <v>#REF!</v>
      </c>
      <c r="BD95" s="270" t="e">
        <f t="array" ref="BD95">IF(AND(BD$2&lt;&gt;0,#REF!&gt;=BD$2),1,0)</f>
        <v>#REF!</v>
      </c>
      <c r="BE95" s="270" t="e">
        <f t="array" ref="BE95">IF(AND(BE$2&lt;&gt;0,#REF!&gt;=BE$2),1,0)</f>
        <v>#REF!</v>
      </c>
      <c r="BF95" s="270" t="e">
        <f t="array" ref="BF95">IF(AND(BF$2&lt;&gt;0,#REF!&gt;=BF$2),1,0)</f>
        <v>#REF!</v>
      </c>
      <c r="BG95" s="270" t="e">
        <f t="array" ref="BG95">IF(AND(BG$2&lt;&gt;0,#REF!&gt;=BG$2),1,0)</f>
        <v>#REF!</v>
      </c>
      <c r="BH95" s="270" t="e">
        <f t="array" ref="BH95">IF(AND(BH$2&lt;&gt;0,#REF!&gt;=BH$2),1,0)</f>
        <v>#REF!</v>
      </c>
      <c r="BI95" s="270" t="e">
        <f t="array" ref="BI95">IF(AND(BI$2&lt;&gt;0,#REF!&gt;=BI$2),1,0)</f>
        <v>#REF!</v>
      </c>
      <c r="BJ95" s="270" t="e">
        <f t="array" ref="BJ95">IF(AND(BJ$2&lt;&gt;0,#REF!&gt;=BJ$2),1,0)</f>
        <v>#REF!</v>
      </c>
      <c r="BK95" s="270" t="e">
        <f t="array" ref="BK95">IF(AND(BK$2&lt;&gt;0,#REF!&gt;=BK$2),1,0)</f>
        <v>#REF!</v>
      </c>
      <c r="BL95" s="270" t="e">
        <f t="array" ref="BL95">IF(AND(BL$2&lt;&gt;0,#REF!&gt;=BL$2),1,0)</f>
        <v>#REF!</v>
      </c>
      <c r="BM95" s="270" t="e">
        <f t="array" ref="BM95">IF(AND(BM$2&lt;&gt;0,#REF!&gt;=BM$2),1,0)</f>
        <v>#REF!</v>
      </c>
      <c r="BN95" s="270" t="e">
        <f t="array" ref="BN95">IF(AND(BN$2&lt;&gt;0,#REF!&gt;=BN$2),1,0)</f>
        <v>#REF!</v>
      </c>
      <c r="BO95" s="270" t="e">
        <f t="array" ref="BO95">IF(AND(BO$2&lt;&gt;0,#REF!&gt;=BO$2),1,0)</f>
        <v>#REF!</v>
      </c>
      <c r="BP95" s="270" t="e">
        <f t="array" ref="BP95">IF(AND(BP$2&lt;&gt;0,#REF!&gt;=BP$2),1,0)</f>
        <v>#REF!</v>
      </c>
      <c r="BQ95" s="270" t="e">
        <f t="array" ref="BQ95">IF(AND(BQ$2&lt;&gt;0,#REF!&gt;=BQ$2),1,0)</f>
        <v>#REF!</v>
      </c>
      <c r="BR95" s="270" t="e">
        <f t="array" ref="BR95">IF(AND(BR$2&lt;&gt;0,#REF!&gt;=BR$2),1,0)</f>
        <v>#REF!</v>
      </c>
      <c r="BS95" s="270" t="e">
        <f t="array" ref="BS95">IF(AND(BS$2&lt;&gt;0,#REF!&gt;=BS$2),1,0)</f>
        <v>#REF!</v>
      </c>
      <c r="BT95" s="270" t="e">
        <f t="array" ref="BT95">IF(AND(BT$2&lt;&gt;0,#REF!&gt;=BT$2),1,0)</f>
        <v>#REF!</v>
      </c>
      <c r="BU95" s="270" t="e">
        <f t="array" ref="BU95">IF(AND(BU$2&lt;&gt;0,#REF!&gt;=BU$2),1,0)</f>
        <v>#REF!</v>
      </c>
      <c r="BV95" s="270" t="e">
        <f t="array" ref="BV95">IF(AND(BV$2&lt;&gt;0,#REF!&gt;=BV$2),1,0)</f>
        <v>#REF!</v>
      </c>
      <c r="BW95" s="270" t="e">
        <f t="array" ref="BW95">IF(AND(BW$2&lt;&gt;0,#REF!&gt;=BW$2),1,0)</f>
        <v>#REF!</v>
      </c>
      <c r="BX95" s="270" t="e">
        <f t="array" ref="BX95">IF(AND(BX$2&lt;&gt;0,#REF!&gt;=BX$2),1,0)</f>
        <v>#REF!</v>
      </c>
      <c r="BY95" s="270" t="e">
        <f t="array" ref="BY95">IF(AND(BY$2&lt;&gt;0,#REF!&gt;=BY$2),1,0)</f>
        <v>#REF!</v>
      </c>
      <c r="BZ95" s="270" t="e">
        <f t="array" ref="BZ95">IF(AND(BZ$2&lt;&gt;0,#REF!&gt;=BZ$2),1,0)</f>
        <v>#REF!</v>
      </c>
      <c r="CA95" s="359">
        <f>IFERROR(INDEX($H$4:$H$79,MATCH(INDEX(#REF!,1,MATCH(#REF!,$M$2:$BZ$2,0)),$G$4:$G$79,0)),)</f>
        <v>0</v>
      </c>
    </row>
    <row r="96" spans="1:79" x14ac:dyDescent="0.25">
      <c r="A96" s="262" t="e">
        <f>#REF!</f>
        <v>#REF!</v>
      </c>
      <c r="B96" s="263" t="e">
        <f>#REF!</f>
        <v>#REF!</v>
      </c>
      <c r="C96" s="264" t="e">
        <f>#REF!</f>
        <v>#REF!</v>
      </c>
      <c r="D96" s="264" t="e">
        <f>#REF!</f>
        <v>#REF!</v>
      </c>
      <c r="E96" s="273"/>
      <c r="F96" s="274"/>
      <c r="G96" s="267"/>
      <c r="H96" s="268"/>
      <c r="I96" s="268"/>
      <c r="J96" s="268"/>
      <c r="K96" s="89" t="e">
        <f ca="1">IF(#REF!&lt;&gt;OFFSET(#REF!,-1,0),1,0)</f>
        <v>#REF!</v>
      </c>
      <c r="L96" s="269" t="e">
        <f>COUNTIF(#REF!,1)</f>
        <v>#REF!</v>
      </c>
      <c r="M96" s="270" t="e">
        <f t="array" ref="M96">IF(AND(M$2&lt;&gt;0,#REF!&gt;=M$2),1,0)</f>
        <v>#REF!</v>
      </c>
      <c r="N96" s="270" t="e">
        <f t="array" ref="N96">IF(AND(N$2&lt;&gt;0,#REF!&gt;=N$2),1,0)</f>
        <v>#REF!</v>
      </c>
      <c r="O96" s="270" t="e">
        <f t="array" ref="O96">IF(AND(O$2&lt;&gt;0,#REF!&gt;=O$2),1,0)</f>
        <v>#REF!</v>
      </c>
      <c r="P96" s="270" t="e">
        <f t="array" ref="P96">IF(AND(P$2&lt;&gt;0,#REF!&gt;=P$2),1,0)</f>
        <v>#REF!</v>
      </c>
      <c r="Q96" s="270" t="e">
        <f t="array" ref="Q96">IF(AND(Q$2&lt;&gt;0,#REF!&gt;=Q$2),1,0)</f>
        <v>#REF!</v>
      </c>
      <c r="R96" s="270" t="e">
        <f t="array" ref="R96">IF(AND(R$2&lt;&gt;0,#REF!&gt;=R$2),1,0)</f>
        <v>#REF!</v>
      </c>
      <c r="S96" s="270" t="e">
        <f t="array" ref="S96">IF(AND(S$2&lt;&gt;0,#REF!&gt;=S$2),1,0)</f>
        <v>#REF!</v>
      </c>
      <c r="T96" s="270" t="e">
        <f t="array" ref="T96">IF(AND(T$2&lt;&gt;0,#REF!&gt;=T$2),1,0)</f>
        <v>#REF!</v>
      </c>
      <c r="U96" s="270" t="e">
        <f t="array" ref="U96">IF(AND(U$2&lt;&gt;0,#REF!&gt;=U$2),1,0)</f>
        <v>#REF!</v>
      </c>
      <c r="V96" s="270" t="e">
        <f t="array" ref="V96">IF(AND(V$2&lt;&gt;0,#REF!&gt;=V$2),1,0)</f>
        <v>#REF!</v>
      </c>
      <c r="W96" s="270" t="e">
        <f t="array" ref="W96">IF(AND(W$2&lt;&gt;0,#REF!&gt;=W$2),1,0)</f>
        <v>#REF!</v>
      </c>
      <c r="X96" s="270" t="e">
        <f t="array" ref="X96">IF(AND(X$2&lt;&gt;0,#REF!&gt;=X$2),1,0)</f>
        <v>#REF!</v>
      </c>
      <c r="Y96" s="270" t="e">
        <f t="array" ref="Y96">IF(AND(Y$2&lt;&gt;0,#REF!&gt;=Y$2),1,0)</f>
        <v>#REF!</v>
      </c>
      <c r="Z96" s="270" t="e">
        <f t="array" ref="Z96">IF(AND(Z$2&lt;&gt;0,#REF!&gt;=Z$2),1,0)</f>
        <v>#REF!</v>
      </c>
      <c r="AA96" s="270" t="e">
        <f t="array" ref="AA96">IF(AND(AA$2&lt;&gt;0,#REF!&gt;=AA$2),1,0)</f>
        <v>#REF!</v>
      </c>
      <c r="AB96" s="270" t="e">
        <f t="array" ref="AB96">IF(AND(AB$2&lt;&gt;0,#REF!&gt;=AB$2),1,0)</f>
        <v>#REF!</v>
      </c>
      <c r="AC96" s="270" t="e">
        <f t="array" ref="AC96">IF(AND(AC$2&lt;&gt;0,#REF!&gt;=AC$2),1,0)</f>
        <v>#REF!</v>
      </c>
      <c r="AD96" s="270" t="e">
        <f t="array" ref="AD96">IF(AND(AD$2&lt;&gt;0,#REF!&gt;=AD$2),1,0)</f>
        <v>#REF!</v>
      </c>
      <c r="AE96" s="270" t="e">
        <f t="array" ref="AE96">IF(AND(AE$2&lt;&gt;0,#REF!&gt;=AE$2),1,0)</f>
        <v>#REF!</v>
      </c>
      <c r="AF96" s="270" t="e">
        <f t="array" ref="AF96">IF(AND(AF$2&lt;&gt;0,#REF!&gt;=AF$2),1,0)</f>
        <v>#REF!</v>
      </c>
      <c r="AG96" s="270" t="e">
        <f t="array" ref="AG96">IF(AND(AG$2&lt;&gt;0,#REF!&gt;=AG$2),1,0)</f>
        <v>#REF!</v>
      </c>
      <c r="AH96" s="270" t="e">
        <f t="array" ref="AH96">IF(AND(AH$2&lt;&gt;0,#REF!&gt;=AH$2),1,0)</f>
        <v>#REF!</v>
      </c>
      <c r="AI96" s="270" t="e">
        <f t="array" ref="AI96">IF(AND(AI$2&lt;&gt;0,#REF!&gt;=AI$2),1,0)</f>
        <v>#REF!</v>
      </c>
      <c r="AJ96" s="270" t="e">
        <f t="array" ref="AJ96">IF(AND(AJ$2&lt;&gt;0,#REF!&gt;=AJ$2),1,0)</f>
        <v>#REF!</v>
      </c>
      <c r="AK96" s="270" t="e">
        <f t="array" ref="AK96">IF(AND(AK$2&lt;&gt;0,#REF!&gt;=AK$2),1,0)</f>
        <v>#REF!</v>
      </c>
      <c r="AL96" s="270" t="e">
        <f t="array" ref="AL96">IF(AND(AL$2&lt;&gt;0,#REF!&gt;=AL$2),1,0)</f>
        <v>#REF!</v>
      </c>
      <c r="AM96" s="270" t="e">
        <f t="array" ref="AM96">IF(AND(AM$2&lt;&gt;0,#REF!&gt;=AM$2),1,0)</f>
        <v>#REF!</v>
      </c>
      <c r="AN96" s="270" t="e">
        <f t="array" ref="AN96">IF(AND(AN$2&lt;&gt;0,#REF!&gt;=AN$2),1,0)</f>
        <v>#REF!</v>
      </c>
      <c r="AO96" s="270" t="e">
        <f t="array" ref="AO96">IF(AND(AO$2&lt;&gt;0,#REF!&gt;=AO$2),1,0)</f>
        <v>#REF!</v>
      </c>
      <c r="AP96" s="270" t="e">
        <f t="array" ref="AP96">IF(AND(AP$2&lt;&gt;0,#REF!&gt;=AP$2),1,0)</f>
        <v>#REF!</v>
      </c>
      <c r="AQ96" s="270" t="e">
        <f t="array" ref="AQ96">IF(AND(AQ$2&lt;&gt;0,#REF!&gt;=AQ$2),1,0)</f>
        <v>#REF!</v>
      </c>
      <c r="AR96" s="270" t="e">
        <f t="array" ref="AR96">IF(AND(AR$2&lt;&gt;0,#REF!&gt;=AR$2),1,0)</f>
        <v>#REF!</v>
      </c>
      <c r="AS96" s="270" t="e">
        <f t="array" ref="AS96">IF(AND(AS$2&lt;&gt;0,#REF!&gt;=AS$2),1,0)</f>
        <v>#REF!</v>
      </c>
      <c r="AT96" s="270" t="e">
        <f t="array" ref="AT96">IF(AND(AT$2&lt;&gt;0,#REF!&gt;=AT$2),1,0)</f>
        <v>#REF!</v>
      </c>
      <c r="AU96" s="270" t="e">
        <f t="array" ref="AU96">IF(AND(AU$2&lt;&gt;0,#REF!&gt;=AU$2),1,0)</f>
        <v>#REF!</v>
      </c>
      <c r="AV96" s="270" t="e">
        <f t="array" ref="AV96">IF(AND(AV$2&lt;&gt;0,#REF!&gt;=AV$2),1,0)</f>
        <v>#REF!</v>
      </c>
      <c r="AW96" s="270" t="e">
        <f t="array" ref="AW96">IF(AND(AW$2&lt;&gt;0,#REF!&gt;=AW$2),1,0)</f>
        <v>#REF!</v>
      </c>
      <c r="AX96" s="270" t="e">
        <f t="array" ref="AX96">IF(AND(AX$2&lt;&gt;0,#REF!&gt;=AX$2),1,0)</f>
        <v>#REF!</v>
      </c>
      <c r="AY96" s="270" t="e">
        <f t="array" ref="AY96">IF(AND(AY$2&lt;&gt;0,#REF!&gt;=AY$2),1,0)</f>
        <v>#REF!</v>
      </c>
      <c r="AZ96" s="270" t="e">
        <f t="array" ref="AZ96">IF(AND(AZ$2&lt;&gt;0,#REF!&gt;=AZ$2),1,0)</f>
        <v>#REF!</v>
      </c>
      <c r="BA96" s="270" t="e">
        <f t="array" ref="BA96">IF(AND(BA$2&lt;&gt;0,#REF!&gt;=BA$2),1,0)</f>
        <v>#REF!</v>
      </c>
      <c r="BB96" s="270" t="e">
        <f t="array" ref="BB96">IF(AND(BB$2&lt;&gt;0,#REF!&gt;=BB$2),1,0)</f>
        <v>#REF!</v>
      </c>
      <c r="BC96" s="270" t="e">
        <f t="array" ref="BC96">IF(AND(BC$2&lt;&gt;0,#REF!&gt;=BC$2),1,0)</f>
        <v>#REF!</v>
      </c>
      <c r="BD96" s="270" t="e">
        <f t="array" ref="BD96">IF(AND(BD$2&lt;&gt;0,#REF!&gt;=BD$2),1,0)</f>
        <v>#REF!</v>
      </c>
      <c r="BE96" s="270" t="e">
        <f t="array" ref="BE96">IF(AND(BE$2&lt;&gt;0,#REF!&gt;=BE$2),1,0)</f>
        <v>#REF!</v>
      </c>
      <c r="BF96" s="270" t="e">
        <f t="array" ref="BF96">IF(AND(BF$2&lt;&gt;0,#REF!&gt;=BF$2),1,0)</f>
        <v>#REF!</v>
      </c>
      <c r="BG96" s="270" t="e">
        <f t="array" ref="BG96">IF(AND(BG$2&lt;&gt;0,#REF!&gt;=BG$2),1,0)</f>
        <v>#REF!</v>
      </c>
      <c r="BH96" s="270" t="e">
        <f t="array" ref="BH96">IF(AND(BH$2&lt;&gt;0,#REF!&gt;=BH$2),1,0)</f>
        <v>#REF!</v>
      </c>
      <c r="BI96" s="270" t="e">
        <f t="array" ref="BI96">IF(AND(BI$2&lt;&gt;0,#REF!&gt;=BI$2),1,0)</f>
        <v>#REF!</v>
      </c>
      <c r="BJ96" s="270" t="e">
        <f t="array" ref="BJ96">IF(AND(BJ$2&lt;&gt;0,#REF!&gt;=BJ$2),1,0)</f>
        <v>#REF!</v>
      </c>
      <c r="BK96" s="270" t="e">
        <f t="array" ref="BK96">IF(AND(BK$2&lt;&gt;0,#REF!&gt;=BK$2),1,0)</f>
        <v>#REF!</v>
      </c>
      <c r="BL96" s="270" t="e">
        <f t="array" ref="BL96">IF(AND(BL$2&lt;&gt;0,#REF!&gt;=BL$2),1,0)</f>
        <v>#REF!</v>
      </c>
      <c r="BM96" s="270" t="e">
        <f t="array" ref="BM96">IF(AND(BM$2&lt;&gt;0,#REF!&gt;=BM$2),1,0)</f>
        <v>#REF!</v>
      </c>
      <c r="BN96" s="270" t="e">
        <f t="array" ref="BN96">IF(AND(BN$2&lt;&gt;0,#REF!&gt;=BN$2),1,0)</f>
        <v>#REF!</v>
      </c>
      <c r="BO96" s="270" t="e">
        <f t="array" ref="BO96">IF(AND(BO$2&lt;&gt;0,#REF!&gt;=BO$2),1,0)</f>
        <v>#REF!</v>
      </c>
      <c r="BP96" s="270" t="e">
        <f t="array" ref="BP96">IF(AND(BP$2&lt;&gt;0,#REF!&gt;=BP$2),1,0)</f>
        <v>#REF!</v>
      </c>
      <c r="BQ96" s="270" t="e">
        <f t="array" ref="BQ96">IF(AND(BQ$2&lt;&gt;0,#REF!&gt;=BQ$2),1,0)</f>
        <v>#REF!</v>
      </c>
      <c r="BR96" s="270" t="e">
        <f t="array" ref="BR96">IF(AND(BR$2&lt;&gt;0,#REF!&gt;=BR$2),1,0)</f>
        <v>#REF!</v>
      </c>
      <c r="BS96" s="270" t="e">
        <f t="array" ref="BS96">IF(AND(BS$2&lt;&gt;0,#REF!&gt;=BS$2),1,0)</f>
        <v>#REF!</v>
      </c>
      <c r="BT96" s="270" t="e">
        <f t="array" ref="BT96">IF(AND(BT$2&lt;&gt;0,#REF!&gt;=BT$2),1,0)</f>
        <v>#REF!</v>
      </c>
      <c r="BU96" s="270" t="e">
        <f t="array" ref="BU96">IF(AND(BU$2&lt;&gt;0,#REF!&gt;=BU$2),1,0)</f>
        <v>#REF!</v>
      </c>
      <c r="BV96" s="270" t="e">
        <f t="array" ref="BV96">IF(AND(BV$2&lt;&gt;0,#REF!&gt;=BV$2),1,0)</f>
        <v>#REF!</v>
      </c>
      <c r="BW96" s="270" t="e">
        <f t="array" ref="BW96">IF(AND(BW$2&lt;&gt;0,#REF!&gt;=BW$2),1,0)</f>
        <v>#REF!</v>
      </c>
      <c r="BX96" s="270" t="e">
        <f t="array" ref="BX96">IF(AND(BX$2&lt;&gt;0,#REF!&gt;=BX$2),1,0)</f>
        <v>#REF!</v>
      </c>
      <c r="BY96" s="270" t="e">
        <f t="array" ref="BY96">IF(AND(BY$2&lt;&gt;0,#REF!&gt;=BY$2),1,0)</f>
        <v>#REF!</v>
      </c>
      <c r="BZ96" s="270" t="e">
        <f t="array" ref="BZ96">IF(AND(BZ$2&lt;&gt;0,#REF!&gt;=BZ$2),1,0)</f>
        <v>#REF!</v>
      </c>
      <c r="CA96" s="359">
        <f>IFERROR(INDEX($H$4:$H$79,MATCH(INDEX(#REF!,1,MATCH(#REF!,$M$2:$BZ$2,0)),$G$4:$G$79,0)),)</f>
        <v>0</v>
      </c>
    </row>
    <row r="97" spans="1:79" x14ac:dyDescent="0.25">
      <c r="A97" s="262" t="e">
        <f>#REF!</f>
        <v>#REF!</v>
      </c>
      <c r="B97" s="263" t="e">
        <f>#REF!</f>
        <v>#REF!</v>
      </c>
      <c r="C97" s="264" t="e">
        <f>#REF!</f>
        <v>#REF!</v>
      </c>
      <c r="D97" s="264" t="e">
        <f>#REF!</f>
        <v>#REF!</v>
      </c>
      <c r="E97" s="273"/>
      <c r="F97" s="274"/>
      <c r="G97" s="267"/>
      <c r="H97" s="268"/>
      <c r="I97" s="268"/>
      <c r="J97" s="268"/>
      <c r="K97" s="89" t="e">
        <f ca="1">IF(#REF!&lt;&gt;OFFSET(#REF!,-1,0),1,0)</f>
        <v>#REF!</v>
      </c>
      <c r="L97" s="269" t="e">
        <f>COUNTIF(#REF!,1)</f>
        <v>#REF!</v>
      </c>
      <c r="M97" s="270" t="e">
        <f t="array" ref="M97">IF(AND(M$2&lt;&gt;0,#REF!&gt;=M$2),1,0)</f>
        <v>#REF!</v>
      </c>
      <c r="N97" s="270" t="e">
        <f t="array" ref="N97">IF(AND(N$2&lt;&gt;0,#REF!&gt;=N$2),1,0)</f>
        <v>#REF!</v>
      </c>
      <c r="O97" s="270" t="e">
        <f t="array" ref="O97">IF(AND(O$2&lt;&gt;0,#REF!&gt;=O$2),1,0)</f>
        <v>#REF!</v>
      </c>
      <c r="P97" s="270" t="e">
        <f t="array" ref="P97">IF(AND(P$2&lt;&gt;0,#REF!&gt;=P$2),1,0)</f>
        <v>#REF!</v>
      </c>
      <c r="Q97" s="270" t="e">
        <f t="array" ref="Q97">IF(AND(Q$2&lt;&gt;0,#REF!&gt;=Q$2),1,0)</f>
        <v>#REF!</v>
      </c>
      <c r="R97" s="270" t="e">
        <f t="array" ref="R97">IF(AND(R$2&lt;&gt;0,#REF!&gt;=R$2),1,0)</f>
        <v>#REF!</v>
      </c>
      <c r="S97" s="270" t="e">
        <f t="array" ref="S97">IF(AND(S$2&lt;&gt;0,#REF!&gt;=S$2),1,0)</f>
        <v>#REF!</v>
      </c>
      <c r="T97" s="270" t="e">
        <f t="array" ref="T97">IF(AND(T$2&lt;&gt;0,#REF!&gt;=T$2),1,0)</f>
        <v>#REF!</v>
      </c>
      <c r="U97" s="270" t="e">
        <f t="array" ref="U97">IF(AND(U$2&lt;&gt;0,#REF!&gt;=U$2),1,0)</f>
        <v>#REF!</v>
      </c>
      <c r="V97" s="270" t="e">
        <f t="array" ref="V97">IF(AND(V$2&lt;&gt;0,#REF!&gt;=V$2),1,0)</f>
        <v>#REF!</v>
      </c>
      <c r="W97" s="270" t="e">
        <f t="array" ref="W97">IF(AND(W$2&lt;&gt;0,#REF!&gt;=W$2),1,0)</f>
        <v>#REF!</v>
      </c>
      <c r="X97" s="270" t="e">
        <f t="array" ref="X97">IF(AND(X$2&lt;&gt;0,#REF!&gt;=X$2),1,0)</f>
        <v>#REF!</v>
      </c>
      <c r="Y97" s="270" t="e">
        <f t="array" ref="Y97">IF(AND(Y$2&lt;&gt;0,#REF!&gt;=Y$2),1,0)</f>
        <v>#REF!</v>
      </c>
      <c r="Z97" s="270" t="e">
        <f t="array" ref="Z97">IF(AND(Z$2&lt;&gt;0,#REF!&gt;=Z$2),1,0)</f>
        <v>#REF!</v>
      </c>
      <c r="AA97" s="270" t="e">
        <f t="array" ref="AA97">IF(AND(AA$2&lt;&gt;0,#REF!&gt;=AA$2),1,0)</f>
        <v>#REF!</v>
      </c>
      <c r="AB97" s="270" t="e">
        <f t="array" ref="AB97">IF(AND(AB$2&lt;&gt;0,#REF!&gt;=AB$2),1,0)</f>
        <v>#REF!</v>
      </c>
      <c r="AC97" s="270" t="e">
        <f t="array" ref="AC97">IF(AND(AC$2&lt;&gt;0,#REF!&gt;=AC$2),1,0)</f>
        <v>#REF!</v>
      </c>
      <c r="AD97" s="270" t="e">
        <f t="array" ref="AD97">IF(AND(AD$2&lt;&gt;0,#REF!&gt;=AD$2),1,0)</f>
        <v>#REF!</v>
      </c>
      <c r="AE97" s="270" t="e">
        <f t="array" ref="AE97">IF(AND(AE$2&lt;&gt;0,#REF!&gt;=AE$2),1,0)</f>
        <v>#REF!</v>
      </c>
      <c r="AF97" s="270" t="e">
        <f t="array" ref="AF97">IF(AND(AF$2&lt;&gt;0,#REF!&gt;=AF$2),1,0)</f>
        <v>#REF!</v>
      </c>
      <c r="AG97" s="270" t="e">
        <f t="array" ref="AG97">IF(AND(AG$2&lt;&gt;0,#REF!&gt;=AG$2),1,0)</f>
        <v>#REF!</v>
      </c>
      <c r="AH97" s="270" t="e">
        <f t="array" ref="AH97">IF(AND(AH$2&lt;&gt;0,#REF!&gt;=AH$2),1,0)</f>
        <v>#REF!</v>
      </c>
      <c r="AI97" s="270" t="e">
        <f t="array" ref="AI97">IF(AND(AI$2&lt;&gt;0,#REF!&gt;=AI$2),1,0)</f>
        <v>#REF!</v>
      </c>
      <c r="AJ97" s="270" t="e">
        <f t="array" ref="AJ97">IF(AND(AJ$2&lt;&gt;0,#REF!&gt;=AJ$2),1,0)</f>
        <v>#REF!</v>
      </c>
      <c r="AK97" s="270" t="e">
        <f t="array" ref="AK97">IF(AND(AK$2&lt;&gt;0,#REF!&gt;=AK$2),1,0)</f>
        <v>#REF!</v>
      </c>
      <c r="AL97" s="270" t="e">
        <f t="array" ref="AL97">IF(AND(AL$2&lt;&gt;0,#REF!&gt;=AL$2),1,0)</f>
        <v>#REF!</v>
      </c>
      <c r="AM97" s="270" t="e">
        <f t="array" ref="AM97">IF(AND(AM$2&lt;&gt;0,#REF!&gt;=AM$2),1,0)</f>
        <v>#REF!</v>
      </c>
      <c r="AN97" s="270" t="e">
        <f t="array" ref="AN97">IF(AND(AN$2&lt;&gt;0,#REF!&gt;=AN$2),1,0)</f>
        <v>#REF!</v>
      </c>
      <c r="AO97" s="270" t="e">
        <f t="array" ref="AO97">IF(AND(AO$2&lt;&gt;0,#REF!&gt;=AO$2),1,0)</f>
        <v>#REF!</v>
      </c>
      <c r="AP97" s="270" t="e">
        <f t="array" ref="AP97">IF(AND(AP$2&lt;&gt;0,#REF!&gt;=AP$2),1,0)</f>
        <v>#REF!</v>
      </c>
      <c r="AQ97" s="270" t="e">
        <f t="array" ref="AQ97">IF(AND(AQ$2&lt;&gt;0,#REF!&gt;=AQ$2),1,0)</f>
        <v>#REF!</v>
      </c>
      <c r="AR97" s="270" t="e">
        <f t="array" ref="AR97">IF(AND(AR$2&lt;&gt;0,#REF!&gt;=AR$2),1,0)</f>
        <v>#REF!</v>
      </c>
      <c r="AS97" s="270" t="e">
        <f t="array" ref="AS97">IF(AND(AS$2&lt;&gt;0,#REF!&gt;=AS$2),1,0)</f>
        <v>#REF!</v>
      </c>
      <c r="AT97" s="270" t="e">
        <f t="array" ref="AT97">IF(AND(AT$2&lt;&gt;0,#REF!&gt;=AT$2),1,0)</f>
        <v>#REF!</v>
      </c>
      <c r="AU97" s="270" t="e">
        <f t="array" ref="AU97">IF(AND(AU$2&lt;&gt;0,#REF!&gt;=AU$2),1,0)</f>
        <v>#REF!</v>
      </c>
      <c r="AV97" s="270" t="e">
        <f t="array" ref="AV97">IF(AND(AV$2&lt;&gt;0,#REF!&gt;=AV$2),1,0)</f>
        <v>#REF!</v>
      </c>
      <c r="AW97" s="270" t="e">
        <f t="array" ref="AW97">IF(AND(AW$2&lt;&gt;0,#REF!&gt;=AW$2),1,0)</f>
        <v>#REF!</v>
      </c>
      <c r="AX97" s="270" t="e">
        <f t="array" ref="AX97">IF(AND(AX$2&lt;&gt;0,#REF!&gt;=AX$2),1,0)</f>
        <v>#REF!</v>
      </c>
      <c r="AY97" s="270" t="e">
        <f t="array" ref="AY97">IF(AND(AY$2&lt;&gt;0,#REF!&gt;=AY$2),1,0)</f>
        <v>#REF!</v>
      </c>
      <c r="AZ97" s="270" t="e">
        <f t="array" ref="AZ97">IF(AND(AZ$2&lt;&gt;0,#REF!&gt;=AZ$2),1,0)</f>
        <v>#REF!</v>
      </c>
      <c r="BA97" s="270" t="e">
        <f t="array" ref="BA97">IF(AND(BA$2&lt;&gt;0,#REF!&gt;=BA$2),1,0)</f>
        <v>#REF!</v>
      </c>
      <c r="BB97" s="270" t="e">
        <f t="array" ref="BB97">IF(AND(BB$2&lt;&gt;0,#REF!&gt;=BB$2),1,0)</f>
        <v>#REF!</v>
      </c>
      <c r="BC97" s="270" t="e">
        <f t="array" ref="BC97">IF(AND(BC$2&lt;&gt;0,#REF!&gt;=BC$2),1,0)</f>
        <v>#REF!</v>
      </c>
      <c r="BD97" s="270" t="e">
        <f t="array" ref="BD97">IF(AND(BD$2&lt;&gt;0,#REF!&gt;=BD$2),1,0)</f>
        <v>#REF!</v>
      </c>
      <c r="BE97" s="270" t="e">
        <f t="array" ref="BE97">IF(AND(BE$2&lt;&gt;0,#REF!&gt;=BE$2),1,0)</f>
        <v>#REF!</v>
      </c>
      <c r="BF97" s="270" t="e">
        <f t="array" ref="BF97">IF(AND(BF$2&lt;&gt;0,#REF!&gt;=BF$2),1,0)</f>
        <v>#REF!</v>
      </c>
      <c r="BG97" s="270" t="e">
        <f t="array" ref="BG97">IF(AND(BG$2&lt;&gt;0,#REF!&gt;=BG$2),1,0)</f>
        <v>#REF!</v>
      </c>
      <c r="BH97" s="270" t="e">
        <f t="array" ref="BH97">IF(AND(BH$2&lt;&gt;0,#REF!&gt;=BH$2),1,0)</f>
        <v>#REF!</v>
      </c>
      <c r="BI97" s="270" t="e">
        <f t="array" ref="BI97">IF(AND(BI$2&lt;&gt;0,#REF!&gt;=BI$2),1,0)</f>
        <v>#REF!</v>
      </c>
      <c r="BJ97" s="270" t="e">
        <f t="array" ref="BJ97">IF(AND(BJ$2&lt;&gt;0,#REF!&gt;=BJ$2),1,0)</f>
        <v>#REF!</v>
      </c>
      <c r="BK97" s="270" t="e">
        <f t="array" ref="BK97">IF(AND(BK$2&lt;&gt;0,#REF!&gt;=BK$2),1,0)</f>
        <v>#REF!</v>
      </c>
      <c r="BL97" s="270" t="e">
        <f t="array" ref="BL97">IF(AND(BL$2&lt;&gt;0,#REF!&gt;=BL$2),1,0)</f>
        <v>#REF!</v>
      </c>
      <c r="BM97" s="270" t="e">
        <f t="array" ref="BM97">IF(AND(BM$2&lt;&gt;0,#REF!&gt;=BM$2),1,0)</f>
        <v>#REF!</v>
      </c>
      <c r="BN97" s="270" t="e">
        <f t="array" ref="BN97">IF(AND(BN$2&lt;&gt;0,#REF!&gt;=BN$2),1,0)</f>
        <v>#REF!</v>
      </c>
      <c r="BO97" s="270" t="e">
        <f t="array" ref="BO97">IF(AND(BO$2&lt;&gt;0,#REF!&gt;=BO$2),1,0)</f>
        <v>#REF!</v>
      </c>
      <c r="BP97" s="270" t="e">
        <f t="array" ref="BP97">IF(AND(BP$2&lt;&gt;0,#REF!&gt;=BP$2),1,0)</f>
        <v>#REF!</v>
      </c>
      <c r="BQ97" s="270" t="e">
        <f t="array" ref="BQ97">IF(AND(BQ$2&lt;&gt;0,#REF!&gt;=BQ$2),1,0)</f>
        <v>#REF!</v>
      </c>
      <c r="BR97" s="270" t="e">
        <f t="array" ref="BR97">IF(AND(BR$2&lt;&gt;0,#REF!&gt;=BR$2),1,0)</f>
        <v>#REF!</v>
      </c>
      <c r="BS97" s="270" t="e">
        <f t="array" ref="BS97">IF(AND(BS$2&lt;&gt;0,#REF!&gt;=BS$2),1,0)</f>
        <v>#REF!</v>
      </c>
      <c r="BT97" s="270" t="e">
        <f t="array" ref="BT97">IF(AND(BT$2&lt;&gt;0,#REF!&gt;=BT$2),1,0)</f>
        <v>#REF!</v>
      </c>
      <c r="BU97" s="270" t="e">
        <f t="array" ref="BU97">IF(AND(BU$2&lt;&gt;0,#REF!&gt;=BU$2),1,0)</f>
        <v>#REF!</v>
      </c>
      <c r="BV97" s="270" t="e">
        <f t="array" ref="BV97">IF(AND(BV$2&lt;&gt;0,#REF!&gt;=BV$2),1,0)</f>
        <v>#REF!</v>
      </c>
      <c r="BW97" s="270" t="e">
        <f t="array" ref="BW97">IF(AND(BW$2&lt;&gt;0,#REF!&gt;=BW$2),1,0)</f>
        <v>#REF!</v>
      </c>
      <c r="BX97" s="270" t="e">
        <f t="array" ref="BX97">IF(AND(BX$2&lt;&gt;0,#REF!&gt;=BX$2),1,0)</f>
        <v>#REF!</v>
      </c>
      <c r="BY97" s="270" t="e">
        <f t="array" ref="BY97">IF(AND(BY$2&lt;&gt;0,#REF!&gt;=BY$2),1,0)</f>
        <v>#REF!</v>
      </c>
      <c r="BZ97" s="270" t="e">
        <f t="array" ref="BZ97">IF(AND(BZ$2&lt;&gt;0,#REF!&gt;=BZ$2),1,0)</f>
        <v>#REF!</v>
      </c>
      <c r="CA97" s="359">
        <f>IFERROR(INDEX($H$4:$H$79,MATCH(INDEX(#REF!,1,MATCH(#REF!,$M$2:$BZ$2,0)),$G$4:$G$79,0)),)</f>
        <v>0</v>
      </c>
    </row>
    <row r="98" spans="1:79" x14ac:dyDescent="0.25">
      <c r="A98" s="262" t="e">
        <f>#REF!</f>
        <v>#REF!</v>
      </c>
      <c r="B98" s="263" t="e">
        <f>#REF!</f>
        <v>#REF!</v>
      </c>
      <c r="C98" s="264" t="e">
        <f>#REF!</f>
        <v>#REF!</v>
      </c>
      <c r="D98" s="264" t="e">
        <f>#REF!</f>
        <v>#REF!</v>
      </c>
      <c r="E98" s="273"/>
      <c r="F98" s="274"/>
      <c r="G98" s="267"/>
      <c r="H98" s="268"/>
      <c r="I98" s="268"/>
      <c r="J98" s="268"/>
      <c r="K98" s="89" t="e">
        <f ca="1">IF(#REF!&lt;&gt;OFFSET(#REF!,-1,0),1,0)</f>
        <v>#REF!</v>
      </c>
      <c r="L98" s="269" t="e">
        <f>COUNTIF(#REF!,1)</f>
        <v>#REF!</v>
      </c>
      <c r="M98" s="270" t="e">
        <f t="array" ref="M98">IF(AND(M$2&lt;&gt;0,#REF!&gt;=M$2),1,0)</f>
        <v>#REF!</v>
      </c>
      <c r="N98" s="270" t="e">
        <f t="array" ref="N98">IF(AND(N$2&lt;&gt;0,#REF!&gt;=N$2),1,0)</f>
        <v>#REF!</v>
      </c>
      <c r="O98" s="270" t="e">
        <f t="array" ref="O98">IF(AND(O$2&lt;&gt;0,#REF!&gt;=O$2),1,0)</f>
        <v>#REF!</v>
      </c>
      <c r="P98" s="270" t="e">
        <f t="array" ref="P98">IF(AND(P$2&lt;&gt;0,#REF!&gt;=P$2),1,0)</f>
        <v>#REF!</v>
      </c>
      <c r="Q98" s="270" t="e">
        <f t="array" ref="Q98">IF(AND(Q$2&lt;&gt;0,#REF!&gt;=Q$2),1,0)</f>
        <v>#REF!</v>
      </c>
      <c r="R98" s="270" t="e">
        <f t="array" ref="R98">IF(AND(R$2&lt;&gt;0,#REF!&gt;=R$2),1,0)</f>
        <v>#REF!</v>
      </c>
      <c r="S98" s="270" t="e">
        <f t="array" ref="S98">IF(AND(S$2&lt;&gt;0,#REF!&gt;=S$2),1,0)</f>
        <v>#REF!</v>
      </c>
      <c r="T98" s="270" t="e">
        <f t="array" ref="T98">IF(AND(T$2&lt;&gt;0,#REF!&gt;=T$2),1,0)</f>
        <v>#REF!</v>
      </c>
      <c r="U98" s="270" t="e">
        <f t="array" ref="U98">IF(AND(U$2&lt;&gt;0,#REF!&gt;=U$2),1,0)</f>
        <v>#REF!</v>
      </c>
      <c r="V98" s="270" t="e">
        <f t="array" ref="V98">IF(AND(V$2&lt;&gt;0,#REF!&gt;=V$2),1,0)</f>
        <v>#REF!</v>
      </c>
      <c r="W98" s="270" t="e">
        <f t="array" ref="W98">IF(AND(W$2&lt;&gt;0,#REF!&gt;=W$2),1,0)</f>
        <v>#REF!</v>
      </c>
      <c r="X98" s="270" t="e">
        <f t="array" ref="X98">IF(AND(X$2&lt;&gt;0,#REF!&gt;=X$2),1,0)</f>
        <v>#REF!</v>
      </c>
      <c r="Y98" s="270" t="e">
        <f t="array" ref="Y98">IF(AND(Y$2&lt;&gt;0,#REF!&gt;=Y$2),1,0)</f>
        <v>#REF!</v>
      </c>
      <c r="Z98" s="270" t="e">
        <f t="array" ref="Z98">IF(AND(Z$2&lt;&gt;0,#REF!&gt;=Z$2),1,0)</f>
        <v>#REF!</v>
      </c>
      <c r="AA98" s="270" t="e">
        <f t="array" ref="AA98">IF(AND(AA$2&lt;&gt;0,#REF!&gt;=AA$2),1,0)</f>
        <v>#REF!</v>
      </c>
      <c r="AB98" s="270" t="e">
        <f t="array" ref="AB98">IF(AND(AB$2&lt;&gt;0,#REF!&gt;=AB$2),1,0)</f>
        <v>#REF!</v>
      </c>
      <c r="AC98" s="270" t="e">
        <f t="array" ref="AC98">IF(AND(AC$2&lt;&gt;0,#REF!&gt;=AC$2),1,0)</f>
        <v>#REF!</v>
      </c>
      <c r="AD98" s="270" t="e">
        <f t="array" ref="AD98">IF(AND(AD$2&lt;&gt;0,#REF!&gt;=AD$2),1,0)</f>
        <v>#REF!</v>
      </c>
      <c r="AE98" s="270" t="e">
        <f t="array" ref="AE98">IF(AND(AE$2&lt;&gt;0,#REF!&gt;=AE$2),1,0)</f>
        <v>#REF!</v>
      </c>
      <c r="AF98" s="270" t="e">
        <f t="array" ref="AF98">IF(AND(AF$2&lt;&gt;0,#REF!&gt;=AF$2),1,0)</f>
        <v>#REF!</v>
      </c>
      <c r="AG98" s="270" t="e">
        <f t="array" ref="AG98">IF(AND(AG$2&lt;&gt;0,#REF!&gt;=AG$2),1,0)</f>
        <v>#REF!</v>
      </c>
      <c r="AH98" s="270" t="e">
        <f t="array" ref="AH98">IF(AND(AH$2&lt;&gt;0,#REF!&gt;=AH$2),1,0)</f>
        <v>#REF!</v>
      </c>
      <c r="AI98" s="270" t="e">
        <f t="array" ref="AI98">IF(AND(AI$2&lt;&gt;0,#REF!&gt;=AI$2),1,0)</f>
        <v>#REF!</v>
      </c>
      <c r="AJ98" s="270" t="e">
        <f t="array" ref="AJ98">IF(AND(AJ$2&lt;&gt;0,#REF!&gt;=AJ$2),1,0)</f>
        <v>#REF!</v>
      </c>
      <c r="AK98" s="270" t="e">
        <f t="array" ref="AK98">IF(AND(AK$2&lt;&gt;0,#REF!&gt;=AK$2),1,0)</f>
        <v>#REF!</v>
      </c>
      <c r="AL98" s="270" t="e">
        <f t="array" ref="AL98">IF(AND(AL$2&lt;&gt;0,#REF!&gt;=AL$2),1,0)</f>
        <v>#REF!</v>
      </c>
      <c r="AM98" s="270" t="e">
        <f t="array" ref="AM98">IF(AND(AM$2&lt;&gt;0,#REF!&gt;=AM$2),1,0)</f>
        <v>#REF!</v>
      </c>
      <c r="AN98" s="270" t="e">
        <f t="array" ref="AN98">IF(AND(AN$2&lt;&gt;0,#REF!&gt;=AN$2),1,0)</f>
        <v>#REF!</v>
      </c>
      <c r="AO98" s="270" t="e">
        <f t="array" ref="AO98">IF(AND(AO$2&lt;&gt;0,#REF!&gt;=AO$2),1,0)</f>
        <v>#REF!</v>
      </c>
      <c r="AP98" s="270" t="e">
        <f t="array" ref="AP98">IF(AND(AP$2&lt;&gt;0,#REF!&gt;=AP$2),1,0)</f>
        <v>#REF!</v>
      </c>
      <c r="AQ98" s="270" t="e">
        <f t="array" ref="AQ98">IF(AND(AQ$2&lt;&gt;0,#REF!&gt;=AQ$2),1,0)</f>
        <v>#REF!</v>
      </c>
      <c r="AR98" s="270" t="e">
        <f t="array" ref="AR98">IF(AND(AR$2&lt;&gt;0,#REF!&gt;=AR$2),1,0)</f>
        <v>#REF!</v>
      </c>
      <c r="AS98" s="270" t="e">
        <f t="array" ref="AS98">IF(AND(AS$2&lt;&gt;0,#REF!&gt;=AS$2),1,0)</f>
        <v>#REF!</v>
      </c>
      <c r="AT98" s="270" t="e">
        <f t="array" ref="AT98">IF(AND(AT$2&lt;&gt;0,#REF!&gt;=AT$2),1,0)</f>
        <v>#REF!</v>
      </c>
      <c r="AU98" s="270" t="e">
        <f t="array" ref="AU98">IF(AND(AU$2&lt;&gt;0,#REF!&gt;=AU$2),1,0)</f>
        <v>#REF!</v>
      </c>
      <c r="AV98" s="270" t="e">
        <f t="array" ref="AV98">IF(AND(AV$2&lt;&gt;0,#REF!&gt;=AV$2),1,0)</f>
        <v>#REF!</v>
      </c>
      <c r="AW98" s="270" t="e">
        <f t="array" ref="AW98">IF(AND(AW$2&lt;&gt;0,#REF!&gt;=AW$2),1,0)</f>
        <v>#REF!</v>
      </c>
      <c r="AX98" s="270" t="e">
        <f t="array" ref="AX98">IF(AND(AX$2&lt;&gt;0,#REF!&gt;=AX$2),1,0)</f>
        <v>#REF!</v>
      </c>
      <c r="AY98" s="270" t="e">
        <f t="array" ref="AY98">IF(AND(AY$2&lt;&gt;0,#REF!&gt;=AY$2),1,0)</f>
        <v>#REF!</v>
      </c>
      <c r="AZ98" s="270" t="e">
        <f t="array" ref="AZ98">IF(AND(AZ$2&lt;&gt;0,#REF!&gt;=AZ$2),1,0)</f>
        <v>#REF!</v>
      </c>
      <c r="BA98" s="270" t="e">
        <f t="array" ref="BA98">IF(AND(BA$2&lt;&gt;0,#REF!&gt;=BA$2),1,0)</f>
        <v>#REF!</v>
      </c>
      <c r="BB98" s="270" t="e">
        <f t="array" ref="BB98">IF(AND(BB$2&lt;&gt;0,#REF!&gt;=BB$2),1,0)</f>
        <v>#REF!</v>
      </c>
      <c r="BC98" s="270" t="e">
        <f t="array" ref="BC98">IF(AND(BC$2&lt;&gt;0,#REF!&gt;=BC$2),1,0)</f>
        <v>#REF!</v>
      </c>
      <c r="BD98" s="270" t="e">
        <f t="array" ref="BD98">IF(AND(BD$2&lt;&gt;0,#REF!&gt;=BD$2),1,0)</f>
        <v>#REF!</v>
      </c>
      <c r="BE98" s="270" t="e">
        <f t="array" ref="BE98">IF(AND(BE$2&lt;&gt;0,#REF!&gt;=BE$2),1,0)</f>
        <v>#REF!</v>
      </c>
      <c r="BF98" s="270" t="e">
        <f t="array" ref="BF98">IF(AND(BF$2&lt;&gt;0,#REF!&gt;=BF$2),1,0)</f>
        <v>#REF!</v>
      </c>
      <c r="BG98" s="270" t="e">
        <f t="array" ref="BG98">IF(AND(BG$2&lt;&gt;0,#REF!&gt;=BG$2),1,0)</f>
        <v>#REF!</v>
      </c>
      <c r="BH98" s="270" t="e">
        <f t="array" ref="BH98">IF(AND(BH$2&lt;&gt;0,#REF!&gt;=BH$2),1,0)</f>
        <v>#REF!</v>
      </c>
      <c r="BI98" s="270" t="e">
        <f t="array" ref="BI98">IF(AND(BI$2&lt;&gt;0,#REF!&gt;=BI$2),1,0)</f>
        <v>#REF!</v>
      </c>
      <c r="BJ98" s="270" t="e">
        <f t="array" ref="BJ98">IF(AND(BJ$2&lt;&gt;0,#REF!&gt;=BJ$2),1,0)</f>
        <v>#REF!</v>
      </c>
      <c r="BK98" s="270" t="e">
        <f t="array" ref="BK98">IF(AND(BK$2&lt;&gt;0,#REF!&gt;=BK$2),1,0)</f>
        <v>#REF!</v>
      </c>
      <c r="BL98" s="270" t="e">
        <f t="array" ref="BL98">IF(AND(BL$2&lt;&gt;0,#REF!&gt;=BL$2),1,0)</f>
        <v>#REF!</v>
      </c>
      <c r="BM98" s="270" t="e">
        <f t="array" ref="BM98">IF(AND(BM$2&lt;&gt;0,#REF!&gt;=BM$2),1,0)</f>
        <v>#REF!</v>
      </c>
      <c r="BN98" s="270" t="e">
        <f t="array" ref="BN98">IF(AND(BN$2&lt;&gt;0,#REF!&gt;=BN$2),1,0)</f>
        <v>#REF!</v>
      </c>
      <c r="BO98" s="270" t="e">
        <f t="array" ref="BO98">IF(AND(BO$2&lt;&gt;0,#REF!&gt;=BO$2),1,0)</f>
        <v>#REF!</v>
      </c>
      <c r="BP98" s="270" t="e">
        <f t="array" ref="BP98">IF(AND(BP$2&lt;&gt;0,#REF!&gt;=BP$2),1,0)</f>
        <v>#REF!</v>
      </c>
      <c r="BQ98" s="270" t="e">
        <f t="array" ref="BQ98">IF(AND(BQ$2&lt;&gt;0,#REF!&gt;=BQ$2),1,0)</f>
        <v>#REF!</v>
      </c>
      <c r="BR98" s="270" t="e">
        <f t="array" ref="BR98">IF(AND(BR$2&lt;&gt;0,#REF!&gt;=BR$2),1,0)</f>
        <v>#REF!</v>
      </c>
      <c r="BS98" s="270" t="e">
        <f t="array" ref="BS98">IF(AND(BS$2&lt;&gt;0,#REF!&gt;=BS$2),1,0)</f>
        <v>#REF!</v>
      </c>
      <c r="BT98" s="270" t="e">
        <f t="array" ref="BT98">IF(AND(BT$2&lt;&gt;0,#REF!&gt;=BT$2),1,0)</f>
        <v>#REF!</v>
      </c>
      <c r="BU98" s="270" t="e">
        <f t="array" ref="BU98">IF(AND(BU$2&lt;&gt;0,#REF!&gt;=BU$2),1,0)</f>
        <v>#REF!</v>
      </c>
      <c r="BV98" s="270" t="e">
        <f t="array" ref="BV98">IF(AND(BV$2&lt;&gt;0,#REF!&gt;=BV$2),1,0)</f>
        <v>#REF!</v>
      </c>
      <c r="BW98" s="270" t="e">
        <f t="array" ref="BW98">IF(AND(BW$2&lt;&gt;0,#REF!&gt;=BW$2),1,0)</f>
        <v>#REF!</v>
      </c>
      <c r="BX98" s="270" t="e">
        <f t="array" ref="BX98">IF(AND(BX$2&lt;&gt;0,#REF!&gt;=BX$2),1,0)</f>
        <v>#REF!</v>
      </c>
      <c r="BY98" s="270" t="e">
        <f t="array" ref="BY98">IF(AND(BY$2&lt;&gt;0,#REF!&gt;=BY$2),1,0)</f>
        <v>#REF!</v>
      </c>
      <c r="BZ98" s="270" t="e">
        <f t="array" ref="BZ98">IF(AND(BZ$2&lt;&gt;0,#REF!&gt;=BZ$2),1,0)</f>
        <v>#REF!</v>
      </c>
      <c r="CA98" s="359">
        <f>IFERROR(INDEX($H$4:$H$79,MATCH(INDEX(#REF!,1,MATCH(#REF!,$M$2:$BZ$2,0)),$G$4:$G$79,0)),)</f>
        <v>0</v>
      </c>
    </row>
    <row r="99" spans="1:79" x14ac:dyDescent="0.25">
      <c r="A99" s="262" t="e">
        <f>#REF!</f>
        <v>#REF!</v>
      </c>
      <c r="B99" s="263" t="e">
        <f>#REF!</f>
        <v>#REF!</v>
      </c>
      <c r="C99" s="264" t="e">
        <f>#REF!</f>
        <v>#REF!</v>
      </c>
      <c r="D99" s="264" t="e">
        <f>#REF!</f>
        <v>#REF!</v>
      </c>
      <c r="E99" s="273"/>
      <c r="F99" s="274"/>
      <c r="G99" s="267"/>
      <c r="H99" s="268"/>
      <c r="I99" s="268"/>
      <c r="J99" s="268"/>
      <c r="K99" s="89" t="e">
        <f ca="1">IF(#REF!&lt;&gt;OFFSET(#REF!,-1,0),1,0)</f>
        <v>#REF!</v>
      </c>
      <c r="L99" s="269" t="e">
        <f>COUNTIF(#REF!,1)</f>
        <v>#REF!</v>
      </c>
      <c r="M99" s="270" t="e">
        <f t="array" ref="M99">IF(AND(M$2&lt;&gt;0,#REF!&gt;=M$2),1,0)</f>
        <v>#REF!</v>
      </c>
      <c r="N99" s="270" t="e">
        <f t="array" ref="N99">IF(AND(N$2&lt;&gt;0,#REF!&gt;=N$2),1,0)</f>
        <v>#REF!</v>
      </c>
      <c r="O99" s="270" t="e">
        <f t="array" ref="O99">IF(AND(O$2&lt;&gt;0,#REF!&gt;=O$2),1,0)</f>
        <v>#REF!</v>
      </c>
      <c r="P99" s="270" t="e">
        <f t="array" ref="P99">IF(AND(P$2&lt;&gt;0,#REF!&gt;=P$2),1,0)</f>
        <v>#REF!</v>
      </c>
      <c r="Q99" s="270" t="e">
        <f t="array" ref="Q99">IF(AND(Q$2&lt;&gt;0,#REF!&gt;=Q$2),1,0)</f>
        <v>#REF!</v>
      </c>
      <c r="R99" s="270" t="e">
        <f t="array" ref="R99">IF(AND(R$2&lt;&gt;0,#REF!&gt;=R$2),1,0)</f>
        <v>#REF!</v>
      </c>
      <c r="S99" s="270" t="e">
        <f t="array" ref="S99">IF(AND(S$2&lt;&gt;0,#REF!&gt;=S$2),1,0)</f>
        <v>#REF!</v>
      </c>
      <c r="T99" s="270" t="e">
        <f t="array" ref="T99">IF(AND(T$2&lt;&gt;0,#REF!&gt;=T$2),1,0)</f>
        <v>#REF!</v>
      </c>
      <c r="U99" s="270" t="e">
        <f t="array" ref="U99">IF(AND(U$2&lt;&gt;0,#REF!&gt;=U$2),1,0)</f>
        <v>#REF!</v>
      </c>
      <c r="V99" s="270" t="e">
        <f t="array" ref="V99">IF(AND(V$2&lt;&gt;0,#REF!&gt;=V$2),1,0)</f>
        <v>#REF!</v>
      </c>
      <c r="W99" s="270" t="e">
        <f t="array" ref="W99">IF(AND(W$2&lt;&gt;0,#REF!&gt;=W$2),1,0)</f>
        <v>#REF!</v>
      </c>
      <c r="X99" s="270" t="e">
        <f t="array" ref="X99">IF(AND(X$2&lt;&gt;0,#REF!&gt;=X$2),1,0)</f>
        <v>#REF!</v>
      </c>
      <c r="Y99" s="270" t="e">
        <f t="array" ref="Y99">IF(AND(Y$2&lt;&gt;0,#REF!&gt;=Y$2),1,0)</f>
        <v>#REF!</v>
      </c>
      <c r="Z99" s="270" t="e">
        <f t="array" ref="Z99">IF(AND(Z$2&lt;&gt;0,#REF!&gt;=Z$2),1,0)</f>
        <v>#REF!</v>
      </c>
      <c r="AA99" s="270" t="e">
        <f t="array" ref="AA99">IF(AND(AA$2&lt;&gt;0,#REF!&gt;=AA$2),1,0)</f>
        <v>#REF!</v>
      </c>
      <c r="AB99" s="270" t="e">
        <f t="array" ref="AB99">IF(AND(AB$2&lt;&gt;0,#REF!&gt;=AB$2),1,0)</f>
        <v>#REF!</v>
      </c>
      <c r="AC99" s="270" t="e">
        <f t="array" ref="AC99">IF(AND(AC$2&lt;&gt;0,#REF!&gt;=AC$2),1,0)</f>
        <v>#REF!</v>
      </c>
      <c r="AD99" s="270" t="e">
        <f t="array" ref="AD99">IF(AND(AD$2&lt;&gt;0,#REF!&gt;=AD$2),1,0)</f>
        <v>#REF!</v>
      </c>
      <c r="AE99" s="270" t="e">
        <f t="array" ref="AE99">IF(AND(AE$2&lt;&gt;0,#REF!&gt;=AE$2),1,0)</f>
        <v>#REF!</v>
      </c>
      <c r="AF99" s="270" t="e">
        <f t="array" ref="AF99">IF(AND(AF$2&lt;&gt;0,#REF!&gt;=AF$2),1,0)</f>
        <v>#REF!</v>
      </c>
      <c r="AG99" s="270" t="e">
        <f t="array" ref="AG99">IF(AND(AG$2&lt;&gt;0,#REF!&gt;=AG$2),1,0)</f>
        <v>#REF!</v>
      </c>
      <c r="AH99" s="270" t="e">
        <f t="array" ref="AH99">IF(AND(AH$2&lt;&gt;0,#REF!&gt;=AH$2),1,0)</f>
        <v>#REF!</v>
      </c>
      <c r="AI99" s="270" t="e">
        <f t="array" ref="AI99">IF(AND(AI$2&lt;&gt;0,#REF!&gt;=AI$2),1,0)</f>
        <v>#REF!</v>
      </c>
      <c r="AJ99" s="270" t="e">
        <f t="array" ref="AJ99">IF(AND(AJ$2&lt;&gt;0,#REF!&gt;=AJ$2),1,0)</f>
        <v>#REF!</v>
      </c>
      <c r="AK99" s="270" t="e">
        <f t="array" ref="AK99">IF(AND(AK$2&lt;&gt;0,#REF!&gt;=AK$2),1,0)</f>
        <v>#REF!</v>
      </c>
      <c r="AL99" s="270" t="e">
        <f t="array" ref="AL99">IF(AND(AL$2&lt;&gt;0,#REF!&gt;=AL$2),1,0)</f>
        <v>#REF!</v>
      </c>
      <c r="AM99" s="270" t="e">
        <f t="array" ref="AM99">IF(AND(AM$2&lt;&gt;0,#REF!&gt;=AM$2),1,0)</f>
        <v>#REF!</v>
      </c>
      <c r="AN99" s="270" t="e">
        <f t="array" ref="AN99">IF(AND(AN$2&lt;&gt;0,#REF!&gt;=AN$2),1,0)</f>
        <v>#REF!</v>
      </c>
      <c r="AO99" s="270" t="e">
        <f t="array" ref="AO99">IF(AND(AO$2&lt;&gt;0,#REF!&gt;=AO$2),1,0)</f>
        <v>#REF!</v>
      </c>
      <c r="AP99" s="270" t="e">
        <f t="array" ref="AP99">IF(AND(AP$2&lt;&gt;0,#REF!&gt;=AP$2),1,0)</f>
        <v>#REF!</v>
      </c>
      <c r="AQ99" s="270" t="e">
        <f t="array" ref="AQ99">IF(AND(AQ$2&lt;&gt;0,#REF!&gt;=AQ$2),1,0)</f>
        <v>#REF!</v>
      </c>
      <c r="AR99" s="270" t="e">
        <f t="array" ref="AR99">IF(AND(AR$2&lt;&gt;0,#REF!&gt;=AR$2),1,0)</f>
        <v>#REF!</v>
      </c>
      <c r="AS99" s="270" t="e">
        <f t="array" ref="AS99">IF(AND(AS$2&lt;&gt;0,#REF!&gt;=AS$2),1,0)</f>
        <v>#REF!</v>
      </c>
      <c r="AT99" s="270" t="e">
        <f t="array" ref="AT99">IF(AND(AT$2&lt;&gt;0,#REF!&gt;=AT$2),1,0)</f>
        <v>#REF!</v>
      </c>
      <c r="AU99" s="270" t="e">
        <f t="array" ref="AU99">IF(AND(AU$2&lt;&gt;0,#REF!&gt;=AU$2),1,0)</f>
        <v>#REF!</v>
      </c>
      <c r="AV99" s="270" t="e">
        <f t="array" ref="AV99">IF(AND(AV$2&lt;&gt;0,#REF!&gt;=AV$2),1,0)</f>
        <v>#REF!</v>
      </c>
      <c r="AW99" s="270" t="e">
        <f t="array" ref="AW99">IF(AND(AW$2&lt;&gt;0,#REF!&gt;=AW$2),1,0)</f>
        <v>#REF!</v>
      </c>
      <c r="AX99" s="270" t="e">
        <f t="array" ref="AX99">IF(AND(AX$2&lt;&gt;0,#REF!&gt;=AX$2),1,0)</f>
        <v>#REF!</v>
      </c>
      <c r="AY99" s="270" t="e">
        <f t="array" ref="AY99">IF(AND(AY$2&lt;&gt;0,#REF!&gt;=AY$2),1,0)</f>
        <v>#REF!</v>
      </c>
      <c r="AZ99" s="270" t="e">
        <f t="array" ref="AZ99">IF(AND(AZ$2&lt;&gt;0,#REF!&gt;=AZ$2),1,0)</f>
        <v>#REF!</v>
      </c>
      <c r="BA99" s="270" t="e">
        <f t="array" ref="BA99">IF(AND(BA$2&lt;&gt;0,#REF!&gt;=BA$2),1,0)</f>
        <v>#REF!</v>
      </c>
      <c r="BB99" s="270" t="e">
        <f t="array" ref="BB99">IF(AND(BB$2&lt;&gt;0,#REF!&gt;=BB$2),1,0)</f>
        <v>#REF!</v>
      </c>
      <c r="BC99" s="270" t="e">
        <f t="array" ref="BC99">IF(AND(BC$2&lt;&gt;0,#REF!&gt;=BC$2),1,0)</f>
        <v>#REF!</v>
      </c>
      <c r="BD99" s="270" t="e">
        <f t="array" ref="BD99">IF(AND(BD$2&lt;&gt;0,#REF!&gt;=BD$2),1,0)</f>
        <v>#REF!</v>
      </c>
      <c r="BE99" s="270" t="e">
        <f t="array" ref="BE99">IF(AND(BE$2&lt;&gt;0,#REF!&gt;=BE$2),1,0)</f>
        <v>#REF!</v>
      </c>
      <c r="BF99" s="270" t="e">
        <f t="array" ref="BF99">IF(AND(BF$2&lt;&gt;0,#REF!&gt;=BF$2),1,0)</f>
        <v>#REF!</v>
      </c>
      <c r="BG99" s="270" t="e">
        <f t="array" ref="BG99">IF(AND(BG$2&lt;&gt;0,#REF!&gt;=BG$2),1,0)</f>
        <v>#REF!</v>
      </c>
      <c r="BH99" s="270" t="e">
        <f t="array" ref="BH99">IF(AND(BH$2&lt;&gt;0,#REF!&gt;=BH$2),1,0)</f>
        <v>#REF!</v>
      </c>
      <c r="BI99" s="270" t="e">
        <f t="array" ref="BI99">IF(AND(BI$2&lt;&gt;0,#REF!&gt;=BI$2),1,0)</f>
        <v>#REF!</v>
      </c>
      <c r="BJ99" s="270" t="e">
        <f t="array" ref="BJ99">IF(AND(BJ$2&lt;&gt;0,#REF!&gt;=BJ$2),1,0)</f>
        <v>#REF!</v>
      </c>
      <c r="BK99" s="270" t="e">
        <f t="array" ref="BK99">IF(AND(BK$2&lt;&gt;0,#REF!&gt;=BK$2),1,0)</f>
        <v>#REF!</v>
      </c>
      <c r="BL99" s="270" t="e">
        <f t="array" ref="BL99">IF(AND(BL$2&lt;&gt;0,#REF!&gt;=BL$2),1,0)</f>
        <v>#REF!</v>
      </c>
      <c r="BM99" s="270" t="e">
        <f t="array" ref="BM99">IF(AND(BM$2&lt;&gt;0,#REF!&gt;=BM$2),1,0)</f>
        <v>#REF!</v>
      </c>
      <c r="BN99" s="270" t="e">
        <f t="array" ref="BN99">IF(AND(BN$2&lt;&gt;0,#REF!&gt;=BN$2),1,0)</f>
        <v>#REF!</v>
      </c>
      <c r="BO99" s="270" t="e">
        <f t="array" ref="BO99">IF(AND(BO$2&lt;&gt;0,#REF!&gt;=BO$2),1,0)</f>
        <v>#REF!</v>
      </c>
      <c r="BP99" s="270" t="e">
        <f t="array" ref="BP99">IF(AND(BP$2&lt;&gt;0,#REF!&gt;=BP$2),1,0)</f>
        <v>#REF!</v>
      </c>
      <c r="BQ99" s="270" t="e">
        <f t="array" ref="BQ99">IF(AND(BQ$2&lt;&gt;0,#REF!&gt;=BQ$2),1,0)</f>
        <v>#REF!</v>
      </c>
      <c r="BR99" s="270" t="e">
        <f t="array" ref="BR99">IF(AND(BR$2&lt;&gt;0,#REF!&gt;=BR$2),1,0)</f>
        <v>#REF!</v>
      </c>
      <c r="BS99" s="270" t="e">
        <f t="array" ref="BS99">IF(AND(BS$2&lt;&gt;0,#REF!&gt;=BS$2),1,0)</f>
        <v>#REF!</v>
      </c>
      <c r="BT99" s="270" t="e">
        <f t="array" ref="BT99">IF(AND(BT$2&lt;&gt;0,#REF!&gt;=BT$2),1,0)</f>
        <v>#REF!</v>
      </c>
      <c r="BU99" s="270" t="e">
        <f t="array" ref="BU99">IF(AND(BU$2&lt;&gt;0,#REF!&gt;=BU$2),1,0)</f>
        <v>#REF!</v>
      </c>
      <c r="BV99" s="270" t="e">
        <f t="array" ref="BV99">IF(AND(BV$2&lt;&gt;0,#REF!&gt;=BV$2),1,0)</f>
        <v>#REF!</v>
      </c>
      <c r="BW99" s="270" t="e">
        <f t="array" ref="BW99">IF(AND(BW$2&lt;&gt;0,#REF!&gt;=BW$2),1,0)</f>
        <v>#REF!</v>
      </c>
      <c r="BX99" s="270" t="e">
        <f t="array" ref="BX99">IF(AND(BX$2&lt;&gt;0,#REF!&gt;=BX$2),1,0)</f>
        <v>#REF!</v>
      </c>
      <c r="BY99" s="270" t="e">
        <f t="array" ref="BY99">IF(AND(BY$2&lt;&gt;0,#REF!&gt;=BY$2),1,0)</f>
        <v>#REF!</v>
      </c>
      <c r="BZ99" s="270" t="e">
        <f t="array" ref="BZ99">IF(AND(BZ$2&lt;&gt;0,#REF!&gt;=BZ$2),1,0)</f>
        <v>#REF!</v>
      </c>
      <c r="CA99" s="359">
        <f>IFERROR(INDEX($H$4:$H$79,MATCH(INDEX(#REF!,1,MATCH(#REF!,$M$2:$BZ$2,0)),$G$4:$G$79,0)),)</f>
        <v>0</v>
      </c>
    </row>
    <row r="100" spans="1:79" x14ac:dyDescent="0.25">
      <c r="A100" s="262" t="e">
        <f>#REF!</f>
        <v>#REF!</v>
      </c>
      <c r="B100" s="263" t="e">
        <f>#REF!</f>
        <v>#REF!</v>
      </c>
      <c r="C100" s="264" t="e">
        <f>#REF!</f>
        <v>#REF!</v>
      </c>
      <c r="D100" s="264" t="e">
        <f>#REF!</f>
        <v>#REF!</v>
      </c>
      <c r="E100" s="273"/>
      <c r="F100" s="274"/>
      <c r="G100" s="267"/>
      <c r="H100" s="268"/>
      <c r="I100" s="268"/>
      <c r="J100" s="268"/>
      <c r="K100" s="89" t="e">
        <f ca="1">IF(#REF!&lt;&gt;OFFSET(#REF!,-1,0),1,0)</f>
        <v>#REF!</v>
      </c>
      <c r="L100" s="269" t="e">
        <f>COUNTIF(#REF!,1)</f>
        <v>#REF!</v>
      </c>
      <c r="M100" s="270" t="e">
        <f t="array" ref="M100">IF(AND(M$2&lt;&gt;0,#REF!&gt;=M$2),1,0)</f>
        <v>#REF!</v>
      </c>
      <c r="N100" s="270" t="e">
        <f t="array" ref="N100">IF(AND(N$2&lt;&gt;0,#REF!&gt;=N$2),1,0)</f>
        <v>#REF!</v>
      </c>
      <c r="O100" s="270" t="e">
        <f t="array" ref="O100">IF(AND(O$2&lt;&gt;0,#REF!&gt;=O$2),1,0)</f>
        <v>#REF!</v>
      </c>
      <c r="P100" s="270" t="e">
        <f t="array" ref="P100">IF(AND(P$2&lt;&gt;0,#REF!&gt;=P$2),1,0)</f>
        <v>#REF!</v>
      </c>
      <c r="Q100" s="270" t="e">
        <f t="array" ref="Q100">IF(AND(Q$2&lt;&gt;0,#REF!&gt;=Q$2),1,0)</f>
        <v>#REF!</v>
      </c>
      <c r="R100" s="270" t="e">
        <f t="array" ref="R100">IF(AND(R$2&lt;&gt;0,#REF!&gt;=R$2),1,0)</f>
        <v>#REF!</v>
      </c>
      <c r="S100" s="270" t="e">
        <f t="array" ref="S100">IF(AND(S$2&lt;&gt;0,#REF!&gt;=S$2),1,0)</f>
        <v>#REF!</v>
      </c>
      <c r="T100" s="270" t="e">
        <f t="array" ref="T100">IF(AND(T$2&lt;&gt;0,#REF!&gt;=T$2),1,0)</f>
        <v>#REF!</v>
      </c>
      <c r="U100" s="270" t="e">
        <f t="array" ref="U100">IF(AND(U$2&lt;&gt;0,#REF!&gt;=U$2),1,0)</f>
        <v>#REF!</v>
      </c>
      <c r="V100" s="270" t="e">
        <f t="array" ref="V100">IF(AND(V$2&lt;&gt;0,#REF!&gt;=V$2),1,0)</f>
        <v>#REF!</v>
      </c>
      <c r="W100" s="270" t="e">
        <f t="array" ref="W100">IF(AND(W$2&lt;&gt;0,#REF!&gt;=W$2),1,0)</f>
        <v>#REF!</v>
      </c>
      <c r="X100" s="270" t="e">
        <f t="array" ref="X100">IF(AND(X$2&lt;&gt;0,#REF!&gt;=X$2),1,0)</f>
        <v>#REF!</v>
      </c>
      <c r="Y100" s="270" t="e">
        <f t="array" ref="Y100">IF(AND(Y$2&lt;&gt;0,#REF!&gt;=Y$2),1,0)</f>
        <v>#REF!</v>
      </c>
      <c r="Z100" s="270" t="e">
        <f t="array" ref="Z100">IF(AND(Z$2&lt;&gt;0,#REF!&gt;=Z$2),1,0)</f>
        <v>#REF!</v>
      </c>
      <c r="AA100" s="270" t="e">
        <f t="array" ref="AA100">IF(AND(AA$2&lt;&gt;0,#REF!&gt;=AA$2),1,0)</f>
        <v>#REF!</v>
      </c>
      <c r="AB100" s="270" t="e">
        <f t="array" ref="AB100">IF(AND(AB$2&lt;&gt;0,#REF!&gt;=AB$2),1,0)</f>
        <v>#REF!</v>
      </c>
      <c r="AC100" s="270" t="e">
        <f t="array" ref="AC100">IF(AND(AC$2&lt;&gt;0,#REF!&gt;=AC$2),1,0)</f>
        <v>#REF!</v>
      </c>
      <c r="AD100" s="270" t="e">
        <f t="array" ref="AD100">IF(AND(AD$2&lt;&gt;0,#REF!&gt;=AD$2),1,0)</f>
        <v>#REF!</v>
      </c>
      <c r="AE100" s="270" t="e">
        <f t="array" ref="AE100">IF(AND(AE$2&lt;&gt;0,#REF!&gt;=AE$2),1,0)</f>
        <v>#REF!</v>
      </c>
      <c r="AF100" s="270" t="e">
        <f t="array" ref="AF100">IF(AND(AF$2&lt;&gt;0,#REF!&gt;=AF$2),1,0)</f>
        <v>#REF!</v>
      </c>
      <c r="AG100" s="270" t="e">
        <f t="array" ref="AG100">IF(AND(AG$2&lt;&gt;0,#REF!&gt;=AG$2),1,0)</f>
        <v>#REF!</v>
      </c>
      <c r="AH100" s="270" t="e">
        <f t="array" ref="AH100">IF(AND(AH$2&lt;&gt;0,#REF!&gt;=AH$2),1,0)</f>
        <v>#REF!</v>
      </c>
      <c r="AI100" s="270" t="e">
        <f t="array" ref="AI100">IF(AND(AI$2&lt;&gt;0,#REF!&gt;=AI$2),1,0)</f>
        <v>#REF!</v>
      </c>
      <c r="AJ100" s="270" t="e">
        <f t="array" ref="AJ100">IF(AND(AJ$2&lt;&gt;0,#REF!&gt;=AJ$2),1,0)</f>
        <v>#REF!</v>
      </c>
      <c r="AK100" s="270" t="e">
        <f t="array" ref="AK100">IF(AND(AK$2&lt;&gt;0,#REF!&gt;=AK$2),1,0)</f>
        <v>#REF!</v>
      </c>
      <c r="AL100" s="270" t="e">
        <f t="array" ref="AL100">IF(AND(AL$2&lt;&gt;0,#REF!&gt;=AL$2),1,0)</f>
        <v>#REF!</v>
      </c>
      <c r="AM100" s="270" t="e">
        <f t="array" ref="AM100">IF(AND(AM$2&lt;&gt;0,#REF!&gt;=AM$2),1,0)</f>
        <v>#REF!</v>
      </c>
      <c r="AN100" s="270" t="e">
        <f t="array" ref="AN100">IF(AND(AN$2&lt;&gt;0,#REF!&gt;=AN$2),1,0)</f>
        <v>#REF!</v>
      </c>
      <c r="AO100" s="270" t="e">
        <f t="array" ref="AO100">IF(AND(AO$2&lt;&gt;0,#REF!&gt;=AO$2),1,0)</f>
        <v>#REF!</v>
      </c>
      <c r="AP100" s="270" t="e">
        <f t="array" ref="AP100">IF(AND(AP$2&lt;&gt;0,#REF!&gt;=AP$2),1,0)</f>
        <v>#REF!</v>
      </c>
      <c r="AQ100" s="270" t="e">
        <f t="array" ref="AQ100">IF(AND(AQ$2&lt;&gt;0,#REF!&gt;=AQ$2),1,0)</f>
        <v>#REF!</v>
      </c>
      <c r="AR100" s="270" t="e">
        <f t="array" ref="AR100">IF(AND(AR$2&lt;&gt;0,#REF!&gt;=AR$2),1,0)</f>
        <v>#REF!</v>
      </c>
      <c r="AS100" s="270" t="e">
        <f t="array" ref="AS100">IF(AND(AS$2&lt;&gt;0,#REF!&gt;=AS$2),1,0)</f>
        <v>#REF!</v>
      </c>
      <c r="AT100" s="270" t="e">
        <f t="array" ref="AT100">IF(AND(AT$2&lt;&gt;0,#REF!&gt;=AT$2),1,0)</f>
        <v>#REF!</v>
      </c>
      <c r="AU100" s="270" t="e">
        <f t="array" ref="AU100">IF(AND(AU$2&lt;&gt;0,#REF!&gt;=AU$2),1,0)</f>
        <v>#REF!</v>
      </c>
      <c r="AV100" s="270" t="e">
        <f t="array" ref="AV100">IF(AND(AV$2&lt;&gt;0,#REF!&gt;=AV$2),1,0)</f>
        <v>#REF!</v>
      </c>
      <c r="AW100" s="270" t="e">
        <f t="array" ref="AW100">IF(AND(AW$2&lt;&gt;0,#REF!&gt;=AW$2),1,0)</f>
        <v>#REF!</v>
      </c>
      <c r="AX100" s="270" t="e">
        <f t="array" ref="AX100">IF(AND(AX$2&lt;&gt;0,#REF!&gt;=AX$2),1,0)</f>
        <v>#REF!</v>
      </c>
      <c r="AY100" s="270" t="e">
        <f t="array" ref="AY100">IF(AND(AY$2&lt;&gt;0,#REF!&gt;=AY$2),1,0)</f>
        <v>#REF!</v>
      </c>
      <c r="AZ100" s="270" t="e">
        <f t="array" ref="AZ100">IF(AND(AZ$2&lt;&gt;0,#REF!&gt;=AZ$2),1,0)</f>
        <v>#REF!</v>
      </c>
      <c r="BA100" s="270" t="e">
        <f t="array" ref="BA100">IF(AND(BA$2&lt;&gt;0,#REF!&gt;=BA$2),1,0)</f>
        <v>#REF!</v>
      </c>
      <c r="BB100" s="270" t="e">
        <f t="array" ref="BB100">IF(AND(BB$2&lt;&gt;0,#REF!&gt;=BB$2),1,0)</f>
        <v>#REF!</v>
      </c>
      <c r="BC100" s="270" t="e">
        <f t="array" ref="BC100">IF(AND(BC$2&lt;&gt;0,#REF!&gt;=BC$2),1,0)</f>
        <v>#REF!</v>
      </c>
      <c r="BD100" s="270" t="e">
        <f t="array" ref="BD100">IF(AND(BD$2&lt;&gt;0,#REF!&gt;=BD$2),1,0)</f>
        <v>#REF!</v>
      </c>
      <c r="BE100" s="270" t="e">
        <f t="array" ref="BE100">IF(AND(BE$2&lt;&gt;0,#REF!&gt;=BE$2),1,0)</f>
        <v>#REF!</v>
      </c>
      <c r="BF100" s="270" t="e">
        <f t="array" ref="BF100">IF(AND(BF$2&lt;&gt;0,#REF!&gt;=BF$2),1,0)</f>
        <v>#REF!</v>
      </c>
      <c r="BG100" s="270" t="e">
        <f t="array" ref="BG100">IF(AND(BG$2&lt;&gt;0,#REF!&gt;=BG$2),1,0)</f>
        <v>#REF!</v>
      </c>
      <c r="BH100" s="270" t="e">
        <f t="array" ref="BH100">IF(AND(BH$2&lt;&gt;0,#REF!&gt;=BH$2),1,0)</f>
        <v>#REF!</v>
      </c>
      <c r="BI100" s="270" t="e">
        <f t="array" ref="BI100">IF(AND(BI$2&lt;&gt;0,#REF!&gt;=BI$2),1,0)</f>
        <v>#REF!</v>
      </c>
      <c r="BJ100" s="270" t="e">
        <f t="array" ref="BJ100">IF(AND(BJ$2&lt;&gt;0,#REF!&gt;=BJ$2),1,0)</f>
        <v>#REF!</v>
      </c>
      <c r="BK100" s="270" t="e">
        <f t="array" ref="BK100">IF(AND(BK$2&lt;&gt;0,#REF!&gt;=BK$2),1,0)</f>
        <v>#REF!</v>
      </c>
      <c r="BL100" s="270" t="e">
        <f t="array" ref="BL100">IF(AND(BL$2&lt;&gt;0,#REF!&gt;=BL$2),1,0)</f>
        <v>#REF!</v>
      </c>
      <c r="BM100" s="270" t="e">
        <f t="array" ref="BM100">IF(AND(BM$2&lt;&gt;0,#REF!&gt;=BM$2),1,0)</f>
        <v>#REF!</v>
      </c>
      <c r="BN100" s="270" t="e">
        <f t="array" ref="BN100">IF(AND(BN$2&lt;&gt;0,#REF!&gt;=BN$2),1,0)</f>
        <v>#REF!</v>
      </c>
      <c r="BO100" s="270" t="e">
        <f t="array" ref="BO100">IF(AND(BO$2&lt;&gt;0,#REF!&gt;=BO$2),1,0)</f>
        <v>#REF!</v>
      </c>
      <c r="BP100" s="270" t="e">
        <f t="array" ref="BP100">IF(AND(BP$2&lt;&gt;0,#REF!&gt;=BP$2),1,0)</f>
        <v>#REF!</v>
      </c>
      <c r="BQ100" s="270" t="e">
        <f t="array" ref="BQ100">IF(AND(BQ$2&lt;&gt;0,#REF!&gt;=BQ$2),1,0)</f>
        <v>#REF!</v>
      </c>
      <c r="BR100" s="270" t="e">
        <f t="array" ref="BR100">IF(AND(BR$2&lt;&gt;0,#REF!&gt;=BR$2),1,0)</f>
        <v>#REF!</v>
      </c>
      <c r="BS100" s="270" t="e">
        <f t="array" ref="BS100">IF(AND(BS$2&lt;&gt;0,#REF!&gt;=BS$2),1,0)</f>
        <v>#REF!</v>
      </c>
      <c r="BT100" s="270" t="e">
        <f t="array" ref="BT100">IF(AND(BT$2&lt;&gt;0,#REF!&gt;=BT$2),1,0)</f>
        <v>#REF!</v>
      </c>
      <c r="BU100" s="270" t="e">
        <f t="array" ref="BU100">IF(AND(BU$2&lt;&gt;0,#REF!&gt;=BU$2),1,0)</f>
        <v>#REF!</v>
      </c>
      <c r="BV100" s="270" t="e">
        <f t="array" ref="BV100">IF(AND(BV$2&lt;&gt;0,#REF!&gt;=BV$2),1,0)</f>
        <v>#REF!</v>
      </c>
      <c r="BW100" s="270" t="e">
        <f t="array" ref="BW100">IF(AND(BW$2&lt;&gt;0,#REF!&gt;=BW$2),1,0)</f>
        <v>#REF!</v>
      </c>
      <c r="BX100" s="270" t="e">
        <f t="array" ref="BX100">IF(AND(BX$2&lt;&gt;0,#REF!&gt;=BX$2),1,0)</f>
        <v>#REF!</v>
      </c>
      <c r="BY100" s="270" t="e">
        <f t="array" ref="BY100">IF(AND(BY$2&lt;&gt;0,#REF!&gt;=BY$2),1,0)</f>
        <v>#REF!</v>
      </c>
      <c r="BZ100" s="270" t="e">
        <f t="array" ref="BZ100">IF(AND(BZ$2&lt;&gt;0,#REF!&gt;=BZ$2),1,0)</f>
        <v>#REF!</v>
      </c>
      <c r="CA100" s="359">
        <f>IFERROR(INDEX($H$4:$H$79,MATCH(INDEX(#REF!,1,MATCH(#REF!,$M$2:$BZ$2,0)),$G$4:$G$79,0)),)</f>
        <v>0</v>
      </c>
    </row>
    <row r="101" spans="1:79" x14ac:dyDescent="0.25">
      <c r="A101" s="262" t="e">
        <f>#REF!</f>
        <v>#REF!</v>
      </c>
      <c r="B101" s="263" t="e">
        <f>#REF!</f>
        <v>#REF!</v>
      </c>
      <c r="C101" s="264" t="e">
        <f>#REF!</f>
        <v>#REF!</v>
      </c>
      <c r="D101" s="264" t="e">
        <f>#REF!</f>
        <v>#REF!</v>
      </c>
      <c r="E101" s="273"/>
      <c r="F101" s="274"/>
      <c r="G101" s="267"/>
      <c r="H101" s="268"/>
      <c r="I101" s="268"/>
      <c r="J101" s="268"/>
      <c r="K101" s="89" t="e">
        <f ca="1">IF(#REF!&lt;&gt;OFFSET(#REF!,-1,0),1,0)</f>
        <v>#REF!</v>
      </c>
      <c r="L101" s="269" t="e">
        <f>COUNTIF(#REF!,1)</f>
        <v>#REF!</v>
      </c>
      <c r="M101" s="270" t="e">
        <f t="array" ref="M101">IF(AND(M$2&lt;&gt;0,#REF!&gt;=M$2),1,0)</f>
        <v>#REF!</v>
      </c>
      <c r="N101" s="270" t="e">
        <f t="array" ref="N101">IF(AND(N$2&lt;&gt;0,#REF!&gt;=N$2),1,0)</f>
        <v>#REF!</v>
      </c>
      <c r="O101" s="270" t="e">
        <f t="array" ref="O101">IF(AND(O$2&lt;&gt;0,#REF!&gt;=O$2),1,0)</f>
        <v>#REF!</v>
      </c>
      <c r="P101" s="270" t="e">
        <f t="array" ref="P101">IF(AND(P$2&lt;&gt;0,#REF!&gt;=P$2),1,0)</f>
        <v>#REF!</v>
      </c>
      <c r="Q101" s="270" t="e">
        <f t="array" ref="Q101">IF(AND(Q$2&lt;&gt;0,#REF!&gt;=Q$2),1,0)</f>
        <v>#REF!</v>
      </c>
      <c r="R101" s="270" t="e">
        <f t="array" ref="R101">IF(AND(R$2&lt;&gt;0,#REF!&gt;=R$2),1,0)</f>
        <v>#REF!</v>
      </c>
      <c r="S101" s="270" t="e">
        <f t="array" ref="S101">IF(AND(S$2&lt;&gt;0,#REF!&gt;=S$2),1,0)</f>
        <v>#REF!</v>
      </c>
      <c r="T101" s="270" t="e">
        <f t="array" ref="T101">IF(AND(T$2&lt;&gt;0,#REF!&gt;=T$2),1,0)</f>
        <v>#REF!</v>
      </c>
      <c r="U101" s="270" t="e">
        <f t="array" ref="U101">IF(AND(U$2&lt;&gt;0,#REF!&gt;=U$2),1,0)</f>
        <v>#REF!</v>
      </c>
      <c r="V101" s="270" t="e">
        <f t="array" ref="V101">IF(AND(V$2&lt;&gt;0,#REF!&gt;=V$2),1,0)</f>
        <v>#REF!</v>
      </c>
      <c r="W101" s="270" t="e">
        <f t="array" ref="W101">IF(AND(W$2&lt;&gt;0,#REF!&gt;=W$2),1,0)</f>
        <v>#REF!</v>
      </c>
      <c r="X101" s="270" t="e">
        <f t="array" ref="X101">IF(AND(X$2&lt;&gt;0,#REF!&gt;=X$2),1,0)</f>
        <v>#REF!</v>
      </c>
      <c r="Y101" s="270" t="e">
        <f t="array" ref="Y101">IF(AND(Y$2&lt;&gt;0,#REF!&gt;=Y$2),1,0)</f>
        <v>#REF!</v>
      </c>
      <c r="Z101" s="270" t="e">
        <f t="array" ref="Z101">IF(AND(Z$2&lt;&gt;0,#REF!&gt;=Z$2),1,0)</f>
        <v>#REF!</v>
      </c>
      <c r="AA101" s="270" t="e">
        <f t="array" ref="AA101">IF(AND(AA$2&lt;&gt;0,#REF!&gt;=AA$2),1,0)</f>
        <v>#REF!</v>
      </c>
      <c r="AB101" s="270" t="e">
        <f t="array" ref="AB101">IF(AND(AB$2&lt;&gt;0,#REF!&gt;=AB$2),1,0)</f>
        <v>#REF!</v>
      </c>
      <c r="AC101" s="270" t="e">
        <f t="array" ref="AC101">IF(AND(AC$2&lt;&gt;0,#REF!&gt;=AC$2),1,0)</f>
        <v>#REF!</v>
      </c>
      <c r="AD101" s="270" t="e">
        <f t="array" ref="AD101">IF(AND(AD$2&lt;&gt;0,#REF!&gt;=AD$2),1,0)</f>
        <v>#REF!</v>
      </c>
      <c r="AE101" s="270" t="e">
        <f t="array" ref="AE101">IF(AND(AE$2&lt;&gt;0,#REF!&gt;=AE$2),1,0)</f>
        <v>#REF!</v>
      </c>
      <c r="AF101" s="270" t="e">
        <f t="array" ref="AF101">IF(AND(AF$2&lt;&gt;0,#REF!&gt;=AF$2),1,0)</f>
        <v>#REF!</v>
      </c>
      <c r="AG101" s="270" t="e">
        <f t="array" ref="AG101">IF(AND(AG$2&lt;&gt;0,#REF!&gt;=AG$2),1,0)</f>
        <v>#REF!</v>
      </c>
      <c r="AH101" s="270" t="e">
        <f t="array" ref="AH101">IF(AND(AH$2&lt;&gt;0,#REF!&gt;=AH$2),1,0)</f>
        <v>#REF!</v>
      </c>
      <c r="AI101" s="270" t="e">
        <f t="array" ref="AI101">IF(AND(AI$2&lt;&gt;0,#REF!&gt;=AI$2),1,0)</f>
        <v>#REF!</v>
      </c>
      <c r="AJ101" s="270" t="e">
        <f t="array" ref="AJ101">IF(AND(AJ$2&lt;&gt;0,#REF!&gt;=AJ$2),1,0)</f>
        <v>#REF!</v>
      </c>
      <c r="AK101" s="270" t="e">
        <f t="array" ref="AK101">IF(AND(AK$2&lt;&gt;0,#REF!&gt;=AK$2),1,0)</f>
        <v>#REF!</v>
      </c>
      <c r="AL101" s="270" t="e">
        <f t="array" ref="AL101">IF(AND(AL$2&lt;&gt;0,#REF!&gt;=AL$2),1,0)</f>
        <v>#REF!</v>
      </c>
      <c r="AM101" s="270" t="e">
        <f t="array" ref="AM101">IF(AND(AM$2&lt;&gt;0,#REF!&gt;=AM$2),1,0)</f>
        <v>#REF!</v>
      </c>
      <c r="AN101" s="270" t="e">
        <f t="array" ref="AN101">IF(AND(AN$2&lt;&gt;0,#REF!&gt;=AN$2),1,0)</f>
        <v>#REF!</v>
      </c>
      <c r="AO101" s="270" t="e">
        <f t="array" ref="AO101">IF(AND(AO$2&lt;&gt;0,#REF!&gt;=AO$2),1,0)</f>
        <v>#REF!</v>
      </c>
      <c r="AP101" s="270" t="e">
        <f t="array" ref="AP101">IF(AND(AP$2&lt;&gt;0,#REF!&gt;=AP$2),1,0)</f>
        <v>#REF!</v>
      </c>
      <c r="AQ101" s="270" t="e">
        <f t="array" ref="AQ101">IF(AND(AQ$2&lt;&gt;0,#REF!&gt;=AQ$2),1,0)</f>
        <v>#REF!</v>
      </c>
      <c r="AR101" s="270" t="e">
        <f t="array" ref="AR101">IF(AND(AR$2&lt;&gt;0,#REF!&gt;=AR$2),1,0)</f>
        <v>#REF!</v>
      </c>
      <c r="AS101" s="270" t="e">
        <f t="array" ref="AS101">IF(AND(AS$2&lt;&gt;0,#REF!&gt;=AS$2),1,0)</f>
        <v>#REF!</v>
      </c>
      <c r="AT101" s="270" t="e">
        <f t="array" ref="AT101">IF(AND(AT$2&lt;&gt;0,#REF!&gt;=AT$2),1,0)</f>
        <v>#REF!</v>
      </c>
      <c r="AU101" s="270" t="e">
        <f t="array" ref="AU101">IF(AND(AU$2&lt;&gt;0,#REF!&gt;=AU$2),1,0)</f>
        <v>#REF!</v>
      </c>
      <c r="AV101" s="270" t="e">
        <f t="array" ref="AV101">IF(AND(AV$2&lt;&gt;0,#REF!&gt;=AV$2),1,0)</f>
        <v>#REF!</v>
      </c>
      <c r="AW101" s="270" t="e">
        <f t="array" ref="AW101">IF(AND(AW$2&lt;&gt;0,#REF!&gt;=AW$2),1,0)</f>
        <v>#REF!</v>
      </c>
      <c r="AX101" s="270" t="e">
        <f t="array" ref="AX101">IF(AND(AX$2&lt;&gt;0,#REF!&gt;=AX$2),1,0)</f>
        <v>#REF!</v>
      </c>
      <c r="AY101" s="270" t="e">
        <f t="array" ref="AY101">IF(AND(AY$2&lt;&gt;0,#REF!&gt;=AY$2),1,0)</f>
        <v>#REF!</v>
      </c>
      <c r="AZ101" s="270" t="e">
        <f t="array" ref="AZ101">IF(AND(AZ$2&lt;&gt;0,#REF!&gt;=AZ$2),1,0)</f>
        <v>#REF!</v>
      </c>
      <c r="BA101" s="270" t="e">
        <f t="array" ref="BA101">IF(AND(BA$2&lt;&gt;0,#REF!&gt;=BA$2),1,0)</f>
        <v>#REF!</v>
      </c>
      <c r="BB101" s="270" t="e">
        <f t="array" ref="BB101">IF(AND(BB$2&lt;&gt;0,#REF!&gt;=BB$2),1,0)</f>
        <v>#REF!</v>
      </c>
      <c r="BC101" s="270" t="e">
        <f t="array" ref="BC101">IF(AND(BC$2&lt;&gt;0,#REF!&gt;=BC$2),1,0)</f>
        <v>#REF!</v>
      </c>
      <c r="BD101" s="270" t="e">
        <f t="array" ref="BD101">IF(AND(BD$2&lt;&gt;0,#REF!&gt;=BD$2),1,0)</f>
        <v>#REF!</v>
      </c>
      <c r="BE101" s="270" t="e">
        <f t="array" ref="BE101">IF(AND(BE$2&lt;&gt;0,#REF!&gt;=BE$2),1,0)</f>
        <v>#REF!</v>
      </c>
      <c r="BF101" s="270" t="e">
        <f t="array" ref="BF101">IF(AND(BF$2&lt;&gt;0,#REF!&gt;=BF$2),1,0)</f>
        <v>#REF!</v>
      </c>
      <c r="BG101" s="270" t="e">
        <f t="array" ref="BG101">IF(AND(BG$2&lt;&gt;0,#REF!&gt;=BG$2),1,0)</f>
        <v>#REF!</v>
      </c>
      <c r="BH101" s="270" t="e">
        <f t="array" ref="BH101">IF(AND(BH$2&lt;&gt;0,#REF!&gt;=BH$2),1,0)</f>
        <v>#REF!</v>
      </c>
      <c r="BI101" s="270" t="e">
        <f t="array" ref="BI101">IF(AND(BI$2&lt;&gt;0,#REF!&gt;=BI$2),1,0)</f>
        <v>#REF!</v>
      </c>
      <c r="BJ101" s="270" t="e">
        <f t="array" ref="BJ101">IF(AND(BJ$2&lt;&gt;0,#REF!&gt;=BJ$2),1,0)</f>
        <v>#REF!</v>
      </c>
      <c r="BK101" s="270" t="e">
        <f t="array" ref="BK101">IF(AND(BK$2&lt;&gt;0,#REF!&gt;=BK$2),1,0)</f>
        <v>#REF!</v>
      </c>
      <c r="BL101" s="270" t="e">
        <f t="array" ref="BL101">IF(AND(BL$2&lt;&gt;0,#REF!&gt;=BL$2),1,0)</f>
        <v>#REF!</v>
      </c>
      <c r="BM101" s="270" t="e">
        <f t="array" ref="BM101">IF(AND(BM$2&lt;&gt;0,#REF!&gt;=BM$2),1,0)</f>
        <v>#REF!</v>
      </c>
      <c r="BN101" s="270" t="e">
        <f t="array" ref="BN101">IF(AND(BN$2&lt;&gt;0,#REF!&gt;=BN$2),1,0)</f>
        <v>#REF!</v>
      </c>
      <c r="BO101" s="270" t="e">
        <f t="array" ref="BO101">IF(AND(BO$2&lt;&gt;0,#REF!&gt;=BO$2),1,0)</f>
        <v>#REF!</v>
      </c>
      <c r="BP101" s="270" t="e">
        <f t="array" ref="BP101">IF(AND(BP$2&lt;&gt;0,#REF!&gt;=BP$2),1,0)</f>
        <v>#REF!</v>
      </c>
      <c r="BQ101" s="270" t="e">
        <f t="array" ref="BQ101">IF(AND(BQ$2&lt;&gt;0,#REF!&gt;=BQ$2),1,0)</f>
        <v>#REF!</v>
      </c>
      <c r="BR101" s="270" t="e">
        <f t="array" ref="BR101">IF(AND(BR$2&lt;&gt;0,#REF!&gt;=BR$2),1,0)</f>
        <v>#REF!</v>
      </c>
      <c r="BS101" s="270" t="e">
        <f t="array" ref="BS101">IF(AND(BS$2&lt;&gt;0,#REF!&gt;=BS$2),1,0)</f>
        <v>#REF!</v>
      </c>
      <c r="BT101" s="270" t="e">
        <f t="array" ref="BT101">IF(AND(BT$2&lt;&gt;0,#REF!&gt;=BT$2),1,0)</f>
        <v>#REF!</v>
      </c>
      <c r="BU101" s="270" t="e">
        <f t="array" ref="BU101">IF(AND(BU$2&lt;&gt;0,#REF!&gt;=BU$2),1,0)</f>
        <v>#REF!</v>
      </c>
      <c r="BV101" s="270" t="e">
        <f t="array" ref="BV101">IF(AND(BV$2&lt;&gt;0,#REF!&gt;=BV$2),1,0)</f>
        <v>#REF!</v>
      </c>
      <c r="BW101" s="270" t="e">
        <f t="array" ref="BW101">IF(AND(BW$2&lt;&gt;0,#REF!&gt;=BW$2),1,0)</f>
        <v>#REF!</v>
      </c>
      <c r="BX101" s="270" t="e">
        <f t="array" ref="BX101">IF(AND(BX$2&lt;&gt;0,#REF!&gt;=BX$2),1,0)</f>
        <v>#REF!</v>
      </c>
      <c r="BY101" s="270" t="e">
        <f t="array" ref="BY101">IF(AND(BY$2&lt;&gt;0,#REF!&gt;=BY$2),1,0)</f>
        <v>#REF!</v>
      </c>
      <c r="BZ101" s="270" t="e">
        <f t="array" ref="BZ101">IF(AND(BZ$2&lt;&gt;0,#REF!&gt;=BZ$2),1,0)</f>
        <v>#REF!</v>
      </c>
      <c r="CA101" s="359">
        <f>IFERROR(INDEX($H$4:$H$79,MATCH(INDEX(#REF!,1,MATCH(#REF!,$M$2:$BZ$2,0)),$G$4:$G$79,0)),)</f>
        <v>0</v>
      </c>
    </row>
    <row r="102" spans="1:79" x14ac:dyDescent="0.25">
      <c r="A102" s="262" t="e">
        <f>#REF!</f>
        <v>#REF!</v>
      </c>
      <c r="B102" s="263" t="e">
        <f>#REF!</f>
        <v>#REF!</v>
      </c>
      <c r="C102" s="264" t="e">
        <f>#REF!</f>
        <v>#REF!</v>
      </c>
      <c r="D102" s="264" t="e">
        <f>#REF!</f>
        <v>#REF!</v>
      </c>
      <c r="E102" s="273"/>
      <c r="F102" s="274"/>
      <c r="G102" s="267"/>
      <c r="H102" s="268"/>
      <c r="I102" s="268"/>
      <c r="J102" s="268"/>
      <c r="K102" s="89" t="e">
        <f ca="1">IF(#REF!&lt;&gt;OFFSET(#REF!,-1,0),1,0)</f>
        <v>#REF!</v>
      </c>
      <c r="L102" s="269" t="e">
        <f>COUNTIF(#REF!,1)</f>
        <v>#REF!</v>
      </c>
      <c r="M102" s="270" t="e">
        <f t="array" ref="M102">IF(AND(M$2&lt;&gt;0,#REF!&gt;=M$2),1,0)</f>
        <v>#REF!</v>
      </c>
      <c r="N102" s="270" t="e">
        <f t="array" ref="N102">IF(AND(N$2&lt;&gt;0,#REF!&gt;=N$2),1,0)</f>
        <v>#REF!</v>
      </c>
      <c r="O102" s="270" t="e">
        <f t="array" ref="O102">IF(AND(O$2&lt;&gt;0,#REF!&gt;=O$2),1,0)</f>
        <v>#REF!</v>
      </c>
      <c r="P102" s="270" t="e">
        <f t="array" ref="P102">IF(AND(P$2&lt;&gt;0,#REF!&gt;=P$2),1,0)</f>
        <v>#REF!</v>
      </c>
      <c r="Q102" s="270" t="e">
        <f t="array" ref="Q102">IF(AND(Q$2&lt;&gt;0,#REF!&gt;=Q$2),1,0)</f>
        <v>#REF!</v>
      </c>
      <c r="R102" s="270" t="e">
        <f t="array" ref="R102">IF(AND(R$2&lt;&gt;0,#REF!&gt;=R$2),1,0)</f>
        <v>#REF!</v>
      </c>
      <c r="S102" s="270" t="e">
        <f t="array" ref="S102">IF(AND(S$2&lt;&gt;0,#REF!&gt;=S$2),1,0)</f>
        <v>#REF!</v>
      </c>
      <c r="T102" s="270" t="e">
        <f t="array" ref="T102">IF(AND(T$2&lt;&gt;0,#REF!&gt;=T$2),1,0)</f>
        <v>#REF!</v>
      </c>
      <c r="U102" s="270" t="e">
        <f t="array" ref="U102">IF(AND(U$2&lt;&gt;0,#REF!&gt;=U$2),1,0)</f>
        <v>#REF!</v>
      </c>
      <c r="V102" s="270" t="e">
        <f t="array" ref="V102">IF(AND(V$2&lt;&gt;0,#REF!&gt;=V$2),1,0)</f>
        <v>#REF!</v>
      </c>
      <c r="W102" s="270" t="e">
        <f t="array" ref="W102">IF(AND(W$2&lt;&gt;0,#REF!&gt;=W$2),1,0)</f>
        <v>#REF!</v>
      </c>
      <c r="X102" s="270" t="e">
        <f t="array" ref="X102">IF(AND(X$2&lt;&gt;0,#REF!&gt;=X$2),1,0)</f>
        <v>#REF!</v>
      </c>
      <c r="Y102" s="270" t="e">
        <f t="array" ref="Y102">IF(AND(Y$2&lt;&gt;0,#REF!&gt;=Y$2),1,0)</f>
        <v>#REF!</v>
      </c>
      <c r="Z102" s="270" t="e">
        <f t="array" ref="Z102">IF(AND(Z$2&lt;&gt;0,#REF!&gt;=Z$2),1,0)</f>
        <v>#REF!</v>
      </c>
      <c r="AA102" s="270" t="e">
        <f t="array" ref="AA102">IF(AND(AA$2&lt;&gt;0,#REF!&gt;=AA$2),1,0)</f>
        <v>#REF!</v>
      </c>
      <c r="AB102" s="270" t="e">
        <f t="array" ref="AB102">IF(AND(AB$2&lt;&gt;0,#REF!&gt;=AB$2),1,0)</f>
        <v>#REF!</v>
      </c>
      <c r="AC102" s="270" t="e">
        <f t="array" ref="AC102">IF(AND(AC$2&lt;&gt;0,#REF!&gt;=AC$2),1,0)</f>
        <v>#REF!</v>
      </c>
      <c r="AD102" s="270" t="e">
        <f t="array" ref="AD102">IF(AND(AD$2&lt;&gt;0,#REF!&gt;=AD$2),1,0)</f>
        <v>#REF!</v>
      </c>
      <c r="AE102" s="270" t="e">
        <f t="array" ref="AE102">IF(AND(AE$2&lt;&gt;0,#REF!&gt;=AE$2),1,0)</f>
        <v>#REF!</v>
      </c>
      <c r="AF102" s="270" t="e">
        <f t="array" ref="AF102">IF(AND(AF$2&lt;&gt;0,#REF!&gt;=AF$2),1,0)</f>
        <v>#REF!</v>
      </c>
      <c r="AG102" s="270" t="e">
        <f t="array" ref="AG102">IF(AND(AG$2&lt;&gt;0,#REF!&gt;=AG$2),1,0)</f>
        <v>#REF!</v>
      </c>
      <c r="AH102" s="270" t="e">
        <f t="array" ref="AH102">IF(AND(AH$2&lt;&gt;0,#REF!&gt;=AH$2),1,0)</f>
        <v>#REF!</v>
      </c>
      <c r="AI102" s="270" t="e">
        <f t="array" ref="AI102">IF(AND(AI$2&lt;&gt;0,#REF!&gt;=AI$2),1,0)</f>
        <v>#REF!</v>
      </c>
      <c r="AJ102" s="270" t="e">
        <f t="array" ref="AJ102">IF(AND(AJ$2&lt;&gt;0,#REF!&gt;=AJ$2),1,0)</f>
        <v>#REF!</v>
      </c>
      <c r="AK102" s="270" t="e">
        <f t="array" ref="AK102">IF(AND(AK$2&lt;&gt;0,#REF!&gt;=AK$2),1,0)</f>
        <v>#REF!</v>
      </c>
      <c r="AL102" s="270" t="e">
        <f t="array" ref="AL102">IF(AND(AL$2&lt;&gt;0,#REF!&gt;=AL$2),1,0)</f>
        <v>#REF!</v>
      </c>
      <c r="AM102" s="270" t="e">
        <f t="array" ref="AM102">IF(AND(AM$2&lt;&gt;0,#REF!&gt;=AM$2),1,0)</f>
        <v>#REF!</v>
      </c>
      <c r="AN102" s="270" t="e">
        <f t="array" ref="AN102">IF(AND(AN$2&lt;&gt;0,#REF!&gt;=AN$2),1,0)</f>
        <v>#REF!</v>
      </c>
      <c r="AO102" s="270" t="e">
        <f t="array" ref="AO102">IF(AND(AO$2&lt;&gt;0,#REF!&gt;=AO$2),1,0)</f>
        <v>#REF!</v>
      </c>
      <c r="AP102" s="270" t="e">
        <f t="array" ref="AP102">IF(AND(AP$2&lt;&gt;0,#REF!&gt;=AP$2),1,0)</f>
        <v>#REF!</v>
      </c>
      <c r="AQ102" s="270" t="e">
        <f t="array" ref="AQ102">IF(AND(AQ$2&lt;&gt;0,#REF!&gt;=AQ$2),1,0)</f>
        <v>#REF!</v>
      </c>
      <c r="AR102" s="270" t="e">
        <f t="array" ref="AR102">IF(AND(AR$2&lt;&gt;0,#REF!&gt;=AR$2),1,0)</f>
        <v>#REF!</v>
      </c>
      <c r="AS102" s="270" t="e">
        <f t="array" ref="AS102">IF(AND(AS$2&lt;&gt;0,#REF!&gt;=AS$2),1,0)</f>
        <v>#REF!</v>
      </c>
      <c r="AT102" s="270" t="e">
        <f t="array" ref="AT102">IF(AND(AT$2&lt;&gt;0,#REF!&gt;=AT$2),1,0)</f>
        <v>#REF!</v>
      </c>
      <c r="AU102" s="270" t="e">
        <f t="array" ref="AU102">IF(AND(AU$2&lt;&gt;0,#REF!&gt;=AU$2),1,0)</f>
        <v>#REF!</v>
      </c>
      <c r="AV102" s="270" t="e">
        <f t="array" ref="AV102">IF(AND(AV$2&lt;&gt;0,#REF!&gt;=AV$2),1,0)</f>
        <v>#REF!</v>
      </c>
      <c r="AW102" s="270" t="e">
        <f t="array" ref="AW102">IF(AND(AW$2&lt;&gt;0,#REF!&gt;=AW$2),1,0)</f>
        <v>#REF!</v>
      </c>
      <c r="AX102" s="270" t="e">
        <f t="array" ref="AX102">IF(AND(AX$2&lt;&gt;0,#REF!&gt;=AX$2),1,0)</f>
        <v>#REF!</v>
      </c>
      <c r="AY102" s="270" t="e">
        <f t="array" ref="AY102">IF(AND(AY$2&lt;&gt;0,#REF!&gt;=AY$2),1,0)</f>
        <v>#REF!</v>
      </c>
      <c r="AZ102" s="270" t="e">
        <f t="array" ref="AZ102">IF(AND(AZ$2&lt;&gt;0,#REF!&gt;=AZ$2),1,0)</f>
        <v>#REF!</v>
      </c>
      <c r="BA102" s="270" t="e">
        <f t="array" ref="BA102">IF(AND(BA$2&lt;&gt;0,#REF!&gt;=BA$2),1,0)</f>
        <v>#REF!</v>
      </c>
      <c r="BB102" s="270" t="e">
        <f t="array" ref="BB102">IF(AND(BB$2&lt;&gt;0,#REF!&gt;=BB$2),1,0)</f>
        <v>#REF!</v>
      </c>
      <c r="BC102" s="270" t="e">
        <f t="array" ref="BC102">IF(AND(BC$2&lt;&gt;0,#REF!&gt;=BC$2),1,0)</f>
        <v>#REF!</v>
      </c>
      <c r="BD102" s="270" t="e">
        <f t="array" ref="BD102">IF(AND(BD$2&lt;&gt;0,#REF!&gt;=BD$2),1,0)</f>
        <v>#REF!</v>
      </c>
      <c r="BE102" s="270" t="e">
        <f t="array" ref="BE102">IF(AND(BE$2&lt;&gt;0,#REF!&gt;=BE$2),1,0)</f>
        <v>#REF!</v>
      </c>
      <c r="BF102" s="270" t="e">
        <f t="array" ref="BF102">IF(AND(BF$2&lt;&gt;0,#REF!&gt;=BF$2),1,0)</f>
        <v>#REF!</v>
      </c>
      <c r="BG102" s="270" t="e">
        <f t="array" ref="BG102">IF(AND(BG$2&lt;&gt;0,#REF!&gt;=BG$2),1,0)</f>
        <v>#REF!</v>
      </c>
      <c r="BH102" s="270" t="e">
        <f t="array" ref="BH102">IF(AND(BH$2&lt;&gt;0,#REF!&gt;=BH$2),1,0)</f>
        <v>#REF!</v>
      </c>
      <c r="BI102" s="270" t="e">
        <f t="array" ref="BI102">IF(AND(BI$2&lt;&gt;0,#REF!&gt;=BI$2),1,0)</f>
        <v>#REF!</v>
      </c>
      <c r="BJ102" s="270" t="e">
        <f t="array" ref="BJ102">IF(AND(BJ$2&lt;&gt;0,#REF!&gt;=BJ$2),1,0)</f>
        <v>#REF!</v>
      </c>
      <c r="BK102" s="270" t="e">
        <f t="array" ref="BK102">IF(AND(BK$2&lt;&gt;0,#REF!&gt;=BK$2),1,0)</f>
        <v>#REF!</v>
      </c>
      <c r="BL102" s="270" t="e">
        <f t="array" ref="BL102">IF(AND(BL$2&lt;&gt;0,#REF!&gt;=BL$2),1,0)</f>
        <v>#REF!</v>
      </c>
      <c r="BM102" s="270" t="e">
        <f t="array" ref="BM102">IF(AND(BM$2&lt;&gt;0,#REF!&gt;=BM$2),1,0)</f>
        <v>#REF!</v>
      </c>
      <c r="BN102" s="270" t="e">
        <f t="array" ref="BN102">IF(AND(BN$2&lt;&gt;0,#REF!&gt;=BN$2),1,0)</f>
        <v>#REF!</v>
      </c>
      <c r="BO102" s="270" t="e">
        <f t="array" ref="BO102">IF(AND(BO$2&lt;&gt;0,#REF!&gt;=BO$2),1,0)</f>
        <v>#REF!</v>
      </c>
      <c r="BP102" s="270" t="e">
        <f t="array" ref="BP102">IF(AND(BP$2&lt;&gt;0,#REF!&gt;=BP$2),1,0)</f>
        <v>#REF!</v>
      </c>
      <c r="BQ102" s="270" t="e">
        <f t="array" ref="BQ102">IF(AND(BQ$2&lt;&gt;0,#REF!&gt;=BQ$2),1,0)</f>
        <v>#REF!</v>
      </c>
      <c r="BR102" s="270" t="e">
        <f t="array" ref="BR102">IF(AND(BR$2&lt;&gt;0,#REF!&gt;=BR$2),1,0)</f>
        <v>#REF!</v>
      </c>
      <c r="BS102" s="270" t="e">
        <f t="array" ref="BS102">IF(AND(BS$2&lt;&gt;0,#REF!&gt;=BS$2),1,0)</f>
        <v>#REF!</v>
      </c>
      <c r="BT102" s="270" t="e">
        <f t="array" ref="BT102">IF(AND(BT$2&lt;&gt;0,#REF!&gt;=BT$2),1,0)</f>
        <v>#REF!</v>
      </c>
      <c r="BU102" s="270" t="e">
        <f t="array" ref="BU102">IF(AND(BU$2&lt;&gt;0,#REF!&gt;=BU$2),1,0)</f>
        <v>#REF!</v>
      </c>
      <c r="BV102" s="270" t="e">
        <f t="array" ref="BV102">IF(AND(BV$2&lt;&gt;0,#REF!&gt;=BV$2),1,0)</f>
        <v>#REF!</v>
      </c>
      <c r="BW102" s="270" t="e">
        <f t="array" ref="BW102">IF(AND(BW$2&lt;&gt;0,#REF!&gt;=BW$2),1,0)</f>
        <v>#REF!</v>
      </c>
      <c r="BX102" s="270" t="e">
        <f t="array" ref="BX102">IF(AND(BX$2&lt;&gt;0,#REF!&gt;=BX$2),1,0)</f>
        <v>#REF!</v>
      </c>
      <c r="BY102" s="270" t="e">
        <f t="array" ref="BY102">IF(AND(BY$2&lt;&gt;0,#REF!&gt;=BY$2),1,0)</f>
        <v>#REF!</v>
      </c>
      <c r="BZ102" s="270" t="e">
        <f t="array" ref="BZ102">IF(AND(BZ$2&lt;&gt;0,#REF!&gt;=BZ$2),1,0)</f>
        <v>#REF!</v>
      </c>
      <c r="CA102" s="359">
        <f>IFERROR(INDEX($H$4:$H$79,MATCH(INDEX(#REF!,1,MATCH(#REF!,$M$2:$BZ$2,0)),$G$4:$G$79,0)),)</f>
        <v>0</v>
      </c>
    </row>
    <row r="103" spans="1:79" x14ac:dyDescent="0.25">
      <c r="A103" s="262" t="e">
        <f>#REF!</f>
        <v>#REF!</v>
      </c>
      <c r="B103" s="263" t="e">
        <f>#REF!</f>
        <v>#REF!</v>
      </c>
      <c r="C103" s="264" t="e">
        <f>#REF!</f>
        <v>#REF!</v>
      </c>
      <c r="D103" s="264" t="e">
        <f>#REF!</f>
        <v>#REF!</v>
      </c>
      <c r="E103" s="273"/>
      <c r="F103" s="274"/>
      <c r="G103" s="267"/>
      <c r="H103" s="268"/>
      <c r="I103" s="268"/>
      <c r="J103" s="268"/>
      <c r="K103" s="89" t="e">
        <f ca="1">IF(#REF!&lt;&gt;OFFSET(#REF!,-1,0),1,0)</f>
        <v>#REF!</v>
      </c>
      <c r="L103" s="269" t="e">
        <f>COUNTIF(#REF!,1)</f>
        <v>#REF!</v>
      </c>
      <c r="M103" s="270" t="e">
        <f t="array" ref="M103">IF(AND(M$2&lt;&gt;0,#REF!&gt;=M$2),1,0)</f>
        <v>#REF!</v>
      </c>
      <c r="N103" s="270" t="e">
        <f t="array" ref="N103">IF(AND(N$2&lt;&gt;0,#REF!&gt;=N$2),1,0)</f>
        <v>#REF!</v>
      </c>
      <c r="O103" s="270" t="e">
        <f t="array" ref="O103">IF(AND(O$2&lt;&gt;0,#REF!&gt;=O$2),1,0)</f>
        <v>#REF!</v>
      </c>
      <c r="P103" s="270" t="e">
        <f t="array" ref="P103">IF(AND(P$2&lt;&gt;0,#REF!&gt;=P$2),1,0)</f>
        <v>#REF!</v>
      </c>
      <c r="Q103" s="270" t="e">
        <f t="array" ref="Q103">IF(AND(Q$2&lt;&gt;0,#REF!&gt;=Q$2),1,0)</f>
        <v>#REF!</v>
      </c>
      <c r="R103" s="270" t="e">
        <f t="array" ref="R103">IF(AND(R$2&lt;&gt;0,#REF!&gt;=R$2),1,0)</f>
        <v>#REF!</v>
      </c>
      <c r="S103" s="270" t="e">
        <f t="array" ref="S103">IF(AND(S$2&lt;&gt;0,#REF!&gt;=S$2),1,0)</f>
        <v>#REF!</v>
      </c>
      <c r="T103" s="270" t="e">
        <f t="array" ref="T103">IF(AND(T$2&lt;&gt;0,#REF!&gt;=T$2),1,0)</f>
        <v>#REF!</v>
      </c>
      <c r="U103" s="270" t="e">
        <f t="array" ref="U103">IF(AND(U$2&lt;&gt;0,#REF!&gt;=U$2),1,0)</f>
        <v>#REF!</v>
      </c>
      <c r="V103" s="270" t="e">
        <f t="array" ref="V103">IF(AND(V$2&lt;&gt;0,#REF!&gt;=V$2),1,0)</f>
        <v>#REF!</v>
      </c>
      <c r="W103" s="270" t="e">
        <f t="array" ref="W103">IF(AND(W$2&lt;&gt;0,#REF!&gt;=W$2),1,0)</f>
        <v>#REF!</v>
      </c>
      <c r="X103" s="270" t="e">
        <f t="array" ref="X103">IF(AND(X$2&lt;&gt;0,#REF!&gt;=X$2),1,0)</f>
        <v>#REF!</v>
      </c>
      <c r="Y103" s="270" t="e">
        <f t="array" ref="Y103">IF(AND(Y$2&lt;&gt;0,#REF!&gt;=Y$2),1,0)</f>
        <v>#REF!</v>
      </c>
      <c r="Z103" s="270" t="e">
        <f t="array" ref="Z103">IF(AND(Z$2&lt;&gt;0,#REF!&gt;=Z$2),1,0)</f>
        <v>#REF!</v>
      </c>
      <c r="AA103" s="270" t="e">
        <f t="array" ref="AA103">IF(AND(AA$2&lt;&gt;0,#REF!&gt;=AA$2),1,0)</f>
        <v>#REF!</v>
      </c>
      <c r="AB103" s="270" t="e">
        <f t="array" ref="AB103">IF(AND(AB$2&lt;&gt;0,#REF!&gt;=AB$2),1,0)</f>
        <v>#REF!</v>
      </c>
      <c r="AC103" s="270" t="e">
        <f t="array" ref="AC103">IF(AND(AC$2&lt;&gt;0,#REF!&gt;=AC$2),1,0)</f>
        <v>#REF!</v>
      </c>
      <c r="AD103" s="270" t="e">
        <f t="array" ref="AD103">IF(AND(AD$2&lt;&gt;0,#REF!&gt;=AD$2),1,0)</f>
        <v>#REF!</v>
      </c>
      <c r="AE103" s="270" t="e">
        <f t="array" ref="AE103">IF(AND(AE$2&lt;&gt;0,#REF!&gt;=AE$2),1,0)</f>
        <v>#REF!</v>
      </c>
      <c r="AF103" s="270" t="e">
        <f t="array" ref="AF103">IF(AND(AF$2&lt;&gt;0,#REF!&gt;=AF$2),1,0)</f>
        <v>#REF!</v>
      </c>
      <c r="AG103" s="270" t="e">
        <f t="array" ref="AG103">IF(AND(AG$2&lt;&gt;0,#REF!&gt;=AG$2),1,0)</f>
        <v>#REF!</v>
      </c>
      <c r="AH103" s="270" t="e">
        <f t="array" ref="AH103">IF(AND(AH$2&lt;&gt;0,#REF!&gt;=AH$2),1,0)</f>
        <v>#REF!</v>
      </c>
      <c r="AI103" s="270" t="e">
        <f t="array" ref="AI103">IF(AND(AI$2&lt;&gt;0,#REF!&gt;=AI$2),1,0)</f>
        <v>#REF!</v>
      </c>
      <c r="AJ103" s="270" t="e">
        <f t="array" ref="AJ103">IF(AND(AJ$2&lt;&gt;0,#REF!&gt;=AJ$2),1,0)</f>
        <v>#REF!</v>
      </c>
      <c r="AK103" s="270" t="e">
        <f t="array" ref="AK103">IF(AND(AK$2&lt;&gt;0,#REF!&gt;=AK$2),1,0)</f>
        <v>#REF!</v>
      </c>
      <c r="AL103" s="270" t="e">
        <f t="array" ref="AL103">IF(AND(AL$2&lt;&gt;0,#REF!&gt;=AL$2),1,0)</f>
        <v>#REF!</v>
      </c>
      <c r="AM103" s="270" t="e">
        <f t="array" ref="AM103">IF(AND(AM$2&lt;&gt;0,#REF!&gt;=AM$2),1,0)</f>
        <v>#REF!</v>
      </c>
      <c r="AN103" s="270" t="e">
        <f t="array" ref="AN103">IF(AND(AN$2&lt;&gt;0,#REF!&gt;=AN$2),1,0)</f>
        <v>#REF!</v>
      </c>
      <c r="AO103" s="270" t="e">
        <f t="array" ref="AO103">IF(AND(AO$2&lt;&gt;0,#REF!&gt;=AO$2),1,0)</f>
        <v>#REF!</v>
      </c>
      <c r="AP103" s="270" t="e">
        <f t="array" ref="AP103">IF(AND(AP$2&lt;&gt;0,#REF!&gt;=AP$2),1,0)</f>
        <v>#REF!</v>
      </c>
      <c r="AQ103" s="270" t="e">
        <f t="array" ref="AQ103">IF(AND(AQ$2&lt;&gt;0,#REF!&gt;=AQ$2),1,0)</f>
        <v>#REF!</v>
      </c>
      <c r="AR103" s="270" t="e">
        <f t="array" ref="AR103">IF(AND(AR$2&lt;&gt;0,#REF!&gt;=AR$2),1,0)</f>
        <v>#REF!</v>
      </c>
      <c r="AS103" s="270" t="e">
        <f t="array" ref="AS103">IF(AND(AS$2&lt;&gt;0,#REF!&gt;=AS$2),1,0)</f>
        <v>#REF!</v>
      </c>
      <c r="AT103" s="270" t="e">
        <f t="array" ref="AT103">IF(AND(AT$2&lt;&gt;0,#REF!&gt;=AT$2),1,0)</f>
        <v>#REF!</v>
      </c>
      <c r="AU103" s="270" t="e">
        <f t="array" ref="AU103">IF(AND(AU$2&lt;&gt;0,#REF!&gt;=AU$2),1,0)</f>
        <v>#REF!</v>
      </c>
      <c r="AV103" s="270" t="e">
        <f t="array" ref="AV103">IF(AND(AV$2&lt;&gt;0,#REF!&gt;=AV$2),1,0)</f>
        <v>#REF!</v>
      </c>
      <c r="AW103" s="270" t="e">
        <f t="array" ref="AW103">IF(AND(AW$2&lt;&gt;0,#REF!&gt;=AW$2),1,0)</f>
        <v>#REF!</v>
      </c>
      <c r="AX103" s="270" t="e">
        <f t="array" ref="AX103">IF(AND(AX$2&lt;&gt;0,#REF!&gt;=AX$2),1,0)</f>
        <v>#REF!</v>
      </c>
      <c r="AY103" s="270" t="e">
        <f t="array" ref="AY103">IF(AND(AY$2&lt;&gt;0,#REF!&gt;=AY$2),1,0)</f>
        <v>#REF!</v>
      </c>
      <c r="AZ103" s="270" t="e">
        <f t="array" ref="AZ103">IF(AND(AZ$2&lt;&gt;0,#REF!&gt;=AZ$2),1,0)</f>
        <v>#REF!</v>
      </c>
      <c r="BA103" s="270" t="e">
        <f t="array" ref="BA103">IF(AND(BA$2&lt;&gt;0,#REF!&gt;=BA$2),1,0)</f>
        <v>#REF!</v>
      </c>
      <c r="BB103" s="270" t="e">
        <f t="array" ref="BB103">IF(AND(BB$2&lt;&gt;0,#REF!&gt;=BB$2),1,0)</f>
        <v>#REF!</v>
      </c>
      <c r="BC103" s="270" t="e">
        <f t="array" ref="BC103">IF(AND(BC$2&lt;&gt;0,#REF!&gt;=BC$2),1,0)</f>
        <v>#REF!</v>
      </c>
      <c r="BD103" s="270" t="e">
        <f t="array" ref="BD103">IF(AND(BD$2&lt;&gt;0,#REF!&gt;=BD$2),1,0)</f>
        <v>#REF!</v>
      </c>
      <c r="BE103" s="270" t="e">
        <f t="array" ref="BE103">IF(AND(BE$2&lt;&gt;0,#REF!&gt;=BE$2),1,0)</f>
        <v>#REF!</v>
      </c>
      <c r="BF103" s="270" t="e">
        <f t="array" ref="BF103">IF(AND(BF$2&lt;&gt;0,#REF!&gt;=BF$2),1,0)</f>
        <v>#REF!</v>
      </c>
      <c r="BG103" s="270" t="e">
        <f t="array" ref="BG103">IF(AND(BG$2&lt;&gt;0,#REF!&gt;=BG$2),1,0)</f>
        <v>#REF!</v>
      </c>
      <c r="BH103" s="270" t="e">
        <f t="array" ref="BH103">IF(AND(BH$2&lt;&gt;0,#REF!&gt;=BH$2),1,0)</f>
        <v>#REF!</v>
      </c>
      <c r="BI103" s="270" t="e">
        <f t="array" ref="BI103">IF(AND(BI$2&lt;&gt;0,#REF!&gt;=BI$2),1,0)</f>
        <v>#REF!</v>
      </c>
      <c r="BJ103" s="270" t="e">
        <f t="array" ref="BJ103">IF(AND(BJ$2&lt;&gt;0,#REF!&gt;=BJ$2),1,0)</f>
        <v>#REF!</v>
      </c>
      <c r="BK103" s="270" t="e">
        <f t="array" ref="BK103">IF(AND(BK$2&lt;&gt;0,#REF!&gt;=BK$2),1,0)</f>
        <v>#REF!</v>
      </c>
      <c r="BL103" s="270" t="e">
        <f t="array" ref="BL103">IF(AND(BL$2&lt;&gt;0,#REF!&gt;=BL$2),1,0)</f>
        <v>#REF!</v>
      </c>
      <c r="BM103" s="270" t="e">
        <f t="array" ref="BM103">IF(AND(BM$2&lt;&gt;0,#REF!&gt;=BM$2),1,0)</f>
        <v>#REF!</v>
      </c>
      <c r="BN103" s="270" t="e">
        <f t="array" ref="BN103">IF(AND(BN$2&lt;&gt;0,#REF!&gt;=BN$2),1,0)</f>
        <v>#REF!</v>
      </c>
      <c r="BO103" s="270" t="e">
        <f t="array" ref="BO103">IF(AND(BO$2&lt;&gt;0,#REF!&gt;=BO$2),1,0)</f>
        <v>#REF!</v>
      </c>
      <c r="BP103" s="270" t="e">
        <f t="array" ref="BP103">IF(AND(BP$2&lt;&gt;0,#REF!&gt;=BP$2),1,0)</f>
        <v>#REF!</v>
      </c>
      <c r="BQ103" s="270" t="e">
        <f t="array" ref="BQ103">IF(AND(BQ$2&lt;&gt;0,#REF!&gt;=BQ$2),1,0)</f>
        <v>#REF!</v>
      </c>
      <c r="BR103" s="270" t="e">
        <f t="array" ref="BR103">IF(AND(BR$2&lt;&gt;0,#REF!&gt;=BR$2),1,0)</f>
        <v>#REF!</v>
      </c>
      <c r="BS103" s="270" t="e">
        <f t="array" ref="BS103">IF(AND(BS$2&lt;&gt;0,#REF!&gt;=BS$2),1,0)</f>
        <v>#REF!</v>
      </c>
      <c r="BT103" s="270" t="e">
        <f t="array" ref="BT103">IF(AND(BT$2&lt;&gt;0,#REF!&gt;=BT$2),1,0)</f>
        <v>#REF!</v>
      </c>
      <c r="BU103" s="270" t="e">
        <f t="array" ref="BU103">IF(AND(BU$2&lt;&gt;0,#REF!&gt;=BU$2),1,0)</f>
        <v>#REF!</v>
      </c>
      <c r="BV103" s="270" t="e">
        <f t="array" ref="BV103">IF(AND(BV$2&lt;&gt;0,#REF!&gt;=BV$2),1,0)</f>
        <v>#REF!</v>
      </c>
      <c r="BW103" s="270" t="e">
        <f t="array" ref="BW103">IF(AND(BW$2&lt;&gt;0,#REF!&gt;=BW$2),1,0)</f>
        <v>#REF!</v>
      </c>
      <c r="BX103" s="270" t="e">
        <f t="array" ref="BX103">IF(AND(BX$2&lt;&gt;0,#REF!&gt;=BX$2),1,0)</f>
        <v>#REF!</v>
      </c>
      <c r="BY103" s="270" t="e">
        <f t="array" ref="BY103">IF(AND(BY$2&lt;&gt;0,#REF!&gt;=BY$2),1,0)</f>
        <v>#REF!</v>
      </c>
      <c r="BZ103" s="270" t="e">
        <f t="array" ref="BZ103">IF(AND(BZ$2&lt;&gt;0,#REF!&gt;=BZ$2),1,0)</f>
        <v>#REF!</v>
      </c>
      <c r="CA103" s="359">
        <f>IFERROR(INDEX($H$4:$H$79,MATCH(INDEX(#REF!,1,MATCH(#REF!,$M$2:$BZ$2,0)),$G$4:$G$79,0)),)</f>
        <v>0</v>
      </c>
    </row>
    <row r="104" spans="1:79" x14ac:dyDescent="0.25">
      <c r="A104" s="262" t="e">
        <f>#REF!</f>
        <v>#REF!</v>
      </c>
      <c r="B104" s="263" t="e">
        <f>#REF!</f>
        <v>#REF!</v>
      </c>
      <c r="C104" s="264" t="e">
        <f>#REF!</f>
        <v>#REF!</v>
      </c>
      <c r="D104" s="264" t="e">
        <f>#REF!</f>
        <v>#REF!</v>
      </c>
      <c r="E104" s="273"/>
      <c r="F104" s="274"/>
      <c r="G104" s="267"/>
      <c r="H104" s="268"/>
      <c r="I104" s="268"/>
      <c r="J104" s="268"/>
      <c r="K104" s="89" t="e">
        <f ca="1">IF(#REF!&lt;&gt;OFFSET(#REF!,-1,0),1,0)</f>
        <v>#REF!</v>
      </c>
      <c r="L104" s="269" t="e">
        <f>COUNTIF(#REF!,1)</f>
        <v>#REF!</v>
      </c>
      <c r="M104" s="270" t="e">
        <f t="array" ref="M104">IF(AND(M$2&lt;&gt;0,#REF!&gt;=M$2),1,0)</f>
        <v>#REF!</v>
      </c>
      <c r="N104" s="270" t="e">
        <f t="array" ref="N104">IF(AND(N$2&lt;&gt;0,#REF!&gt;=N$2),1,0)</f>
        <v>#REF!</v>
      </c>
      <c r="O104" s="270" t="e">
        <f t="array" ref="O104">IF(AND(O$2&lt;&gt;0,#REF!&gt;=O$2),1,0)</f>
        <v>#REF!</v>
      </c>
      <c r="P104" s="270" t="e">
        <f t="array" ref="P104">IF(AND(P$2&lt;&gt;0,#REF!&gt;=P$2),1,0)</f>
        <v>#REF!</v>
      </c>
      <c r="Q104" s="270" t="e">
        <f t="array" ref="Q104">IF(AND(Q$2&lt;&gt;0,#REF!&gt;=Q$2),1,0)</f>
        <v>#REF!</v>
      </c>
      <c r="R104" s="270" t="e">
        <f t="array" ref="R104">IF(AND(R$2&lt;&gt;0,#REF!&gt;=R$2),1,0)</f>
        <v>#REF!</v>
      </c>
      <c r="S104" s="270" t="e">
        <f t="array" ref="S104">IF(AND(S$2&lt;&gt;0,#REF!&gt;=S$2),1,0)</f>
        <v>#REF!</v>
      </c>
      <c r="T104" s="270" t="e">
        <f t="array" ref="T104">IF(AND(T$2&lt;&gt;0,#REF!&gt;=T$2),1,0)</f>
        <v>#REF!</v>
      </c>
      <c r="U104" s="270" t="e">
        <f t="array" ref="U104">IF(AND(U$2&lt;&gt;0,#REF!&gt;=U$2),1,0)</f>
        <v>#REF!</v>
      </c>
      <c r="V104" s="270" t="e">
        <f t="array" ref="V104">IF(AND(V$2&lt;&gt;0,#REF!&gt;=V$2),1,0)</f>
        <v>#REF!</v>
      </c>
      <c r="W104" s="270" t="e">
        <f t="array" ref="W104">IF(AND(W$2&lt;&gt;0,#REF!&gt;=W$2),1,0)</f>
        <v>#REF!</v>
      </c>
      <c r="X104" s="270" t="e">
        <f t="array" ref="X104">IF(AND(X$2&lt;&gt;0,#REF!&gt;=X$2),1,0)</f>
        <v>#REF!</v>
      </c>
      <c r="Y104" s="270" t="e">
        <f t="array" ref="Y104">IF(AND(Y$2&lt;&gt;0,#REF!&gt;=Y$2),1,0)</f>
        <v>#REF!</v>
      </c>
      <c r="Z104" s="270" t="e">
        <f t="array" ref="Z104">IF(AND(Z$2&lt;&gt;0,#REF!&gt;=Z$2),1,0)</f>
        <v>#REF!</v>
      </c>
      <c r="AA104" s="270" t="e">
        <f t="array" ref="AA104">IF(AND(AA$2&lt;&gt;0,#REF!&gt;=AA$2),1,0)</f>
        <v>#REF!</v>
      </c>
      <c r="AB104" s="270" t="e">
        <f t="array" ref="AB104">IF(AND(AB$2&lt;&gt;0,#REF!&gt;=AB$2),1,0)</f>
        <v>#REF!</v>
      </c>
      <c r="AC104" s="270" t="e">
        <f t="array" ref="AC104">IF(AND(AC$2&lt;&gt;0,#REF!&gt;=AC$2),1,0)</f>
        <v>#REF!</v>
      </c>
      <c r="AD104" s="270" t="e">
        <f t="array" ref="AD104">IF(AND(AD$2&lt;&gt;0,#REF!&gt;=AD$2),1,0)</f>
        <v>#REF!</v>
      </c>
      <c r="AE104" s="270" t="e">
        <f t="array" ref="AE104">IF(AND(AE$2&lt;&gt;0,#REF!&gt;=AE$2),1,0)</f>
        <v>#REF!</v>
      </c>
      <c r="AF104" s="270" t="e">
        <f t="array" ref="AF104">IF(AND(AF$2&lt;&gt;0,#REF!&gt;=AF$2),1,0)</f>
        <v>#REF!</v>
      </c>
      <c r="AG104" s="270" t="e">
        <f t="array" ref="AG104">IF(AND(AG$2&lt;&gt;0,#REF!&gt;=AG$2),1,0)</f>
        <v>#REF!</v>
      </c>
      <c r="AH104" s="270" t="e">
        <f t="array" ref="AH104">IF(AND(AH$2&lt;&gt;0,#REF!&gt;=AH$2),1,0)</f>
        <v>#REF!</v>
      </c>
      <c r="AI104" s="270" t="e">
        <f t="array" ref="AI104">IF(AND(AI$2&lt;&gt;0,#REF!&gt;=AI$2),1,0)</f>
        <v>#REF!</v>
      </c>
      <c r="AJ104" s="270" t="e">
        <f t="array" ref="AJ104">IF(AND(AJ$2&lt;&gt;0,#REF!&gt;=AJ$2),1,0)</f>
        <v>#REF!</v>
      </c>
      <c r="AK104" s="270" t="e">
        <f t="array" ref="AK104">IF(AND(AK$2&lt;&gt;0,#REF!&gt;=AK$2),1,0)</f>
        <v>#REF!</v>
      </c>
      <c r="AL104" s="270" t="e">
        <f t="array" ref="AL104">IF(AND(AL$2&lt;&gt;0,#REF!&gt;=AL$2),1,0)</f>
        <v>#REF!</v>
      </c>
      <c r="AM104" s="270" t="e">
        <f t="array" ref="AM104">IF(AND(AM$2&lt;&gt;0,#REF!&gt;=AM$2),1,0)</f>
        <v>#REF!</v>
      </c>
      <c r="AN104" s="270" t="e">
        <f t="array" ref="AN104">IF(AND(AN$2&lt;&gt;0,#REF!&gt;=AN$2),1,0)</f>
        <v>#REF!</v>
      </c>
      <c r="AO104" s="270" t="e">
        <f t="array" ref="AO104">IF(AND(AO$2&lt;&gt;0,#REF!&gt;=AO$2),1,0)</f>
        <v>#REF!</v>
      </c>
      <c r="AP104" s="270" t="e">
        <f t="array" ref="AP104">IF(AND(AP$2&lt;&gt;0,#REF!&gt;=AP$2),1,0)</f>
        <v>#REF!</v>
      </c>
      <c r="AQ104" s="270" t="e">
        <f t="array" ref="AQ104">IF(AND(AQ$2&lt;&gt;0,#REF!&gt;=AQ$2),1,0)</f>
        <v>#REF!</v>
      </c>
      <c r="AR104" s="270" t="e">
        <f t="array" ref="AR104">IF(AND(AR$2&lt;&gt;0,#REF!&gt;=AR$2),1,0)</f>
        <v>#REF!</v>
      </c>
      <c r="AS104" s="270" t="e">
        <f t="array" ref="AS104">IF(AND(AS$2&lt;&gt;0,#REF!&gt;=AS$2),1,0)</f>
        <v>#REF!</v>
      </c>
      <c r="AT104" s="270" t="e">
        <f t="array" ref="AT104">IF(AND(AT$2&lt;&gt;0,#REF!&gt;=AT$2),1,0)</f>
        <v>#REF!</v>
      </c>
      <c r="AU104" s="270" t="e">
        <f t="array" ref="AU104">IF(AND(AU$2&lt;&gt;0,#REF!&gt;=AU$2),1,0)</f>
        <v>#REF!</v>
      </c>
      <c r="AV104" s="270" t="e">
        <f t="array" ref="AV104">IF(AND(AV$2&lt;&gt;0,#REF!&gt;=AV$2),1,0)</f>
        <v>#REF!</v>
      </c>
      <c r="AW104" s="270" t="e">
        <f t="array" ref="AW104">IF(AND(AW$2&lt;&gt;0,#REF!&gt;=AW$2),1,0)</f>
        <v>#REF!</v>
      </c>
      <c r="AX104" s="270" t="e">
        <f t="array" ref="AX104">IF(AND(AX$2&lt;&gt;0,#REF!&gt;=AX$2),1,0)</f>
        <v>#REF!</v>
      </c>
      <c r="AY104" s="270" t="e">
        <f t="array" ref="AY104">IF(AND(AY$2&lt;&gt;0,#REF!&gt;=AY$2),1,0)</f>
        <v>#REF!</v>
      </c>
      <c r="AZ104" s="270" t="e">
        <f t="array" ref="AZ104">IF(AND(AZ$2&lt;&gt;0,#REF!&gt;=AZ$2),1,0)</f>
        <v>#REF!</v>
      </c>
      <c r="BA104" s="270" t="e">
        <f t="array" ref="BA104">IF(AND(BA$2&lt;&gt;0,#REF!&gt;=BA$2),1,0)</f>
        <v>#REF!</v>
      </c>
      <c r="BB104" s="270" t="e">
        <f t="array" ref="BB104">IF(AND(BB$2&lt;&gt;0,#REF!&gt;=BB$2),1,0)</f>
        <v>#REF!</v>
      </c>
      <c r="BC104" s="270" t="e">
        <f t="array" ref="BC104">IF(AND(BC$2&lt;&gt;0,#REF!&gt;=BC$2),1,0)</f>
        <v>#REF!</v>
      </c>
      <c r="BD104" s="270" t="e">
        <f t="array" ref="BD104">IF(AND(BD$2&lt;&gt;0,#REF!&gt;=BD$2),1,0)</f>
        <v>#REF!</v>
      </c>
      <c r="BE104" s="270" t="e">
        <f t="array" ref="BE104">IF(AND(BE$2&lt;&gt;0,#REF!&gt;=BE$2),1,0)</f>
        <v>#REF!</v>
      </c>
      <c r="BF104" s="270" t="e">
        <f t="array" ref="BF104">IF(AND(BF$2&lt;&gt;0,#REF!&gt;=BF$2),1,0)</f>
        <v>#REF!</v>
      </c>
      <c r="BG104" s="270" t="e">
        <f t="array" ref="BG104">IF(AND(BG$2&lt;&gt;0,#REF!&gt;=BG$2),1,0)</f>
        <v>#REF!</v>
      </c>
      <c r="BH104" s="270" t="e">
        <f t="array" ref="BH104">IF(AND(BH$2&lt;&gt;0,#REF!&gt;=BH$2),1,0)</f>
        <v>#REF!</v>
      </c>
      <c r="BI104" s="270" t="e">
        <f t="array" ref="BI104">IF(AND(BI$2&lt;&gt;0,#REF!&gt;=BI$2),1,0)</f>
        <v>#REF!</v>
      </c>
      <c r="BJ104" s="270" t="e">
        <f t="array" ref="BJ104">IF(AND(BJ$2&lt;&gt;0,#REF!&gt;=BJ$2),1,0)</f>
        <v>#REF!</v>
      </c>
      <c r="BK104" s="270" t="e">
        <f t="array" ref="BK104">IF(AND(BK$2&lt;&gt;0,#REF!&gt;=BK$2),1,0)</f>
        <v>#REF!</v>
      </c>
      <c r="BL104" s="270" t="e">
        <f t="array" ref="BL104">IF(AND(BL$2&lt;&gt;0,#REF!&gt;=BL$2),1,0)</f>
        <v>#REF!</v>
      </c>
      <c r="BM104" s="270" t="e">
        <f t="array" ref="BM104">IF(AND(BM$2&lt;&gt;0,#REF!&gt;=BM$2),1,0)</f>
        <v>#REF!</v>
      </c>
      <c r="BN104" s="270" t="e">
        <f t="array" ref="BN104">IF(AND(BN$2&lt;&gt;0,#REF!&gt;=BN$2),1,0)</f>
        <v>#REF!</v>
      </c>
      <c r="BO104" s="270" t="e">
        <f t="array" ref="BO104">IF(AND(BO$2&lt;&gt;0,#REF!&gt;=BO$2),1,0)</f>
        <v>#REF!</v>
      </c>
      <c r="BP104" s="270" t="e">
        <f t="array" ref="BP104">IF(AND(BP$2&lt;&gt;0,#REF!&gt;=BP$2),1,0)</f>
        <v>#REF!</v>
      </c>
      <c r="BQ104" s="270" t="e">
        <f t="array" ref="BQ104">IF(AND(BQ$2&lt;&gt;0,#REF!&gt;=BQ$2),1,0)</f>
        <v>#REF!</v>
      </c>
      <c r="BR104" s="270" t="e">
        <f t="array" ref="BR104">IF(AND(BR$2&lt;&gt;0,#REF!&gt;=BR$2),1,0)</f>
        <v>#REF!</v>
      </c>
      <c r="BS104" s="270" t="e">
        <f t="array" ref="BS104">IF(AND(BS$2&lt;&gt;0,#REF!&gt;=BS$2),1,0)</f>
        <v>#REF!</v>
      </c>
      <c r="BT104" s="270" t="e">
        <f t="array" ref="BT104">IF(AND(BT$2&lt;&gt;0,#REF!&gt;=BT$2),1,0)</f>
        <v>#REF!</v>
      </c>
      <c r="BU104" s="270" t="e">
        <f t="array" ref="BU104">IF(AND(BU$2&lt;&gt;0,#REF!&gt;=BU$2),1,0)</f>
        <v>#REF!</v>
      </c>
      <c r="BV104" s="270" t="e">
        <f t="array" ref="BV104">IF(AND(BV$2&lt;&gt;0,#REF!&gt;=BV$2),1,0)</f>
        <v>#REF!</v>
      </c>
      <c r="BW104" s="270" t="e">
        <f t="array" ref="BW104">IF(AND(BW$2&lt;&gt;0,#REF!&gt;=BW$2),1,0)</f>
        <v>#REF!</v>
      </c>
      <c r="BX104" s="270" t="e">
        <f t="array" ref="BX104">IF(AND(BX$2&lt;&gt;0,#REF!&gt;=BX$2),1,0)</f>
        <v>#REF!</v>
      </c>
      <c r="BY104" s="270" t="e">
        <f t="array" ref="BY104">IF(AND(BY$2&lt;&gt;0,#REF!&gt;=BY$2),1,0)</f>
        <v>#REF!</v>
      </c>
      <c r="BZ104" s="270" t="e">
        <f t="array" ref="BZ104">IF(AND(BZ$2&lt;&gt;0,#REF!&gt;=BZ$2),1,0)</f>
        <v>#REF!</v>
      </c>
      <c r="CA104" s="359">
        <f>IFERROR(INDEX($H$4:$H$79,MATCH(INDEX(#REF!,1,MATCH(#REF!,$M$2:$BZ$2,0)),$G$4:$G$79,0)),)</f>
        <v>0</v>
      </c>
    </row>
    <row r="105" spans="1:79" x14ac:dyDescent="0.25">
      <c r="A105" s="262" t="e">
        <f>#REF!</f>
        <v>#REF!</v>
      </c>
      <c r="B105" s="263" t="e">
        <f>#REF!</f>
        <v>#REF!</v>
      </c>
      <c r="C105" s="264" t="e">
        <f>#REF!</f>
        <v>#REF!</v>
      </c>
      <c r="D105" s="264" t="e">
        <f>#REF!</f>
        <v>#REF!</v>
      </c>
      <c r="E105" s="273"/>
      <c r="F105" s="274"/>
      <c r="G105" s="267"/>
      <c r="H105" s="268"/>
      <c r="I105" s="268"/>
      <c r="J105" s="268"/>
      <c r="K105" s="89" t="e">
        <f ca="1">IF(#REF!&lt;&gt;OFFSET(#REF!,-1,0),1,0)</f>
        <v>#REF!</v>
      </c>
      <c r="L105" s="269" t="e">
        <f>COUNTIF(#REF!,1)</f>
        <v>#REF!</v>
      </c>
      <c r="M105" s="270" t="e">
        <f t="array" ref="M105">IF(AND(M$2&lt;&gt;0,#REF!&gt;=M$2),1,0)</f>
        <v>#REF!</v>
      </c>
      <c r="N105" s="270" t="e">
        <f t="array" ref="N105">IF(AND(N$2&lt;&gt;0,#REF!&gt;=N$2),1,0)</f>
        <v>#REF!</v>
      </c>
      <c r="O105" s="270" t="e">
        <f t="array" ref="O105">IF(AND(O$2&lt;&gt;0,#REF!&gt;=O$2),1,0)</f>
        <v>#REF!</v>
      </c>
      <c r="P105" s="270" t="e">
        <f t="array" ref="P105">IF(AND(P$2&lt;&gt;0,#REF!&gt;=P$2),1,0)</f>
        <v>#REF!</v>
      </c>
      <c r="Q105" s="270" t="e">
        <f t="array" ref="Q105">IF(AND(Q$2&lt;&gt;0,#REF!&gt;=Q$2),1,0)</f>
        <v>#REF!</v>
      </c>
      <c r="R105" s="270" t="e">
        <f t="array" ref="R105">IF(AND(R$2&lt;&gt;0,#REF!&gt;=R$2),1,0)</f>
        <v>#REF!</v>
      </c>
      <c r="S105" s="270" t="e">
        <f t="array" ref="S105">IF(AND(S$2&lt;&gt;0,#REF!&gt;=S$2),1,0)</f>
        <v>#REF!</v>
      </c>
      <c r="T105" s="270" t="e">
        <f t="array" ref="T105">IF(AND(T$2&lt;&gt;0,#REF!&gt;=T$2),1,0)</f>
        <v>#REF!</v>
      </c>
      <c r="U105" s="270" t="e">
        <f t="array" ref="U105">IF(AND(U$2&lt;&gt;0,#REF!&gt;=U$2),1,0)</f>
        <v>#REF!</v>
      </c>
      <c r="V105" s="270" t="e">
        <f t="array" ref="V105">IF(AND(V$2&lt;&gt;0,#REF!&gt;=V$2),1,0)</f>
        <v>#REF!</v>
      </c>
      <c r="W105" s="270" t="e">
        <f t="array" ref="W105">IF(AND(W$2&lt;&gt;0,#REF!&gt;=W$2),1,0)</f>
        <v>#REF!</v>
      </c>
      <c r="X105" s="270" t="e">
        <f t="array" ref="X105">IF(AND(X$2&lt;&gt;0,#REF!&gt;=X$2),1,0)</f>
        <v>#REF!</v>
      </c>
      <c r="Y105" s="270" t="e">
        <f t="array" ref="Y105">IF(AND(Y$2&lt;&gt;0,#REF!&gt;=Y$2),1,0)</f>
        <v>#REF!</v>
      </c>
      <c r="Z105" s="270" t="e">
        <f t="array" ref="Z105">IF(AND(Z$2&lt;&gt;0,#REF!&gt;=Z$2),1,0)</f>
        <v>#REF!</v>
      </c>
      <c r="AA105" s="270" t="e">
        <f t="array" ref="AA105">IF(AND(AA$2&lt;&gt;0,#REF!&gt;=AA$2),1,0)</f>
        <v>#REF!</v>
      </c>
      <c r="AB105" s="270" t="e">
        <f t="array" ref="AB105">IF(AND(AB$2&lt;&gt;0,#REF!&gt;=AB$2),1,0)</f>
        <v>#REF!</v>
      </c>
      <c r="AC105" s="270" t="e">
        <f t="array" ref="AC105">IF(AND(AC$2&lt;&gt;0,#REF!&gt;=AC$2),1,0)</f>
        <v>#REF!</v>
      </c>
      <c r="AD105" s="270" t="e">
        <f t="array" ref="AD105">IF(AND(AD$2&lt;&gt;0,#REF!&gt;=AD$2),1,0)</f>
        <v>#REF!</v>
      </c>
      <c r="AE105" s="270" t="e">
        <f t="array" ref="AE105">IF(AND(AE$2&lt;&gt;0,#REF!&gt;=AE$2),1,0)</f>
        <v>#REF!</v>
      </c>
      <c r="AF105" s="270" t="e">
        <f t="array" ref="AF105">IF(AND(AF$2&lt;&gt;0,#REF!&gt;=AF$2),1,0)</f>
        <v>#REF!</v>
      </c>
      <c r="AG105" s="270" t="e">
        <f t="array" ref="AG105">IF(AND(AG$2&lt;&gt;0,#REF!&gt;=AG$2),1,0)</f>
        <v>#REF!</v>
      </c>
      <c r="AH105" s="270" t="e">
        <f t="array" ref="AH105">IF(AND(AH$2&lt;&gt;0,#REF!&gt;=AH$2),1,0)</f>
        <v>#REF!</v>
      </c>
      <c r="AI105" s="270" t="e">
        <f t="array" ref="AI105">IF(AND(AI$2&lt;&gt;0,#REF!&gt;=AI$2),1,0)</f>
        <v>#REF!</v>
      </c>
      <c r="AJ105" s="270" t="e">
        <f t="array" ref="AJ105">IF(AND(AJ$2&lt;&gt;0,#REF!&gt;=AJ$2),1,0)</f>
        <v>#REF!</v>
      </c>
      <c r="AK105" s="270" t="e">
        <f t="array" ref="AK105">IF(AND(AK$2&lt;&gt;0,#REF!&gt;=AK$2),1,0)</f>
        <v>#REF!</v>
      </c>
      <c r="AL105" s="270" t="e">
        <f t="array" ref="AL105">IF(AND(AL$2&lt;&gt;0,#REF!&gt;=AL$2),1,0)</f>
        <v>#REF!</v>
      </c>
      <c r="AM105" s="270" t="e">
        <f t="array" ref="AM105">IF(AND(AM$2&lt;&gt;0,#REF!&gt;=AM$2),1,0)</f>
        <v>#REF!</v>
      </c>
      <c r="AN105" s="270" t="e">
        <f t="array" ref="AN105">IF(AND(AN$2&lt;&gt;0,#REF!&gt;=AN$2),1,0)</f>
        <v>#REF!</v>
      </c>
      <c r="AO105" s="270" t="e">
        <f t="array" ref="AO105">IF(AND(AO$2&lt;&gt;0,#REF!&gt;=AO$2),1,0)</f>
        <v>#REF!</v>
      </c>
      <c r="AP105" s="270" t="e">
        <f t="array" ref="AP105">IF(AND(AP$2&lt;&gt;0,#REF!&gt;=AP$2),1,0)</f>
        <v>#REF!</v>
      </c>
      <c r="AQ105" s="270" t="e">
        <f t="array" ref="AQ105">IF(AND(AQ$2&lt;&gt;0,#REF!&gt;=AQ$2),1,0)</f>
        <v>#REF!</v>
      </c>
      <c r="AR105" s="270" t="e">
        <f t="array" ref="AR105">IF(AND(AR$2&lt;&gt;0,#REF!&gt;=AR$2),1,0)</f>
        <v>#REF!</v>
      </c>
      <c r="AS105" s="270" t="e">
        <f t="array" ref="AS105">IF(AND(AS$2&lt;&gt;0,#REF!&gt;=AS$2),1,0)</f>
        <v>#REF!</v>
      </c>
      <c r="AT105" s="270" t="e">
        <f t="array" ref="AT105">IF(AND(AT$2&lt;&gt;0,#REF!&gt;=AT$2),1,0)</f>
        <v>#REF!</v>
      </c>
      <c r="AU105" s="270" t="e">
        <f t="array" ref="AU105">IF(AND(AU$2&lt;&gt;0,#REF!&gt;=AU$2),1,0)</f>
        <v>#REF!</v>
      </c>
      <c r="AV105" s="270" t="e">
        <f t="array" ref="AV105">IF(AND(AV$2&lt;&gt;0,#REF!&gt;=AV$2),1,0)</f>
        <v>#REF!</v>
      </c>
      <c r="AW105" s="270" t="e">
        <f t="array" ref="AW105">IF(AND(AW$2&lt;&gt;0,#REF!&gt;=AW$2),1,0)</f>
        <v>#REF!</v>
      </c>
      <c r="AX105" s="270" t="e">
        <f t="array" ref="AX105">IF(AND(AX$2&lt;&gt;0,#REF!&gt;=AX$2),1,0)</f>
        <v>#REF!</v>
      </c>
      <c r="AY105" s="270" t="e">
        <f t="array" ref="AY105">IF(AND(AY$2&lt;&gt;0,#REF!&gt;=AY$2),1,0)</f>
        <v>#REF!</v>
      </c>
      <c r="AZ105" s="270" t="e">
        <f t="array" ref="AZ105">IF(AND(AZ$2&lt;&gt;0,#REF!&gt;=AZ$2),1,0)</f>
        <v>#REF!</v>
      </c>
      <c r="BA105" s="270" t="e">
        <f t="array" ref="BA105">IF(AND(BA$2&lt;&gt;0,#REF!&gt;=BA$2),1,0)</f>
        <v>#REF!</v>
      </c>
      <c r="BB105" s="270" t="e">
        <f t="array" ref="BB105">IF(AND(BB$2&lt;&gt;0,#REF!&gt;=BB$2),1,0)</f>
        <v>#REF!</v>
      </c>
      <c r="BC105" s="270" t="e">
        <f t="array" ref="BC105">IF(AND(BC$2&lt;&gt;0,#REF!&gt;=BC$2),1,0)</f>
        <v>#REF!</v>
      </c>
      <c r="BD105" s="270" t="e">
        <f t="array" ref="BD105">IF(AND(BD$2&lt;&gt;0,#REF!&gt;=BD$2),1,0)</f>
        <v>#REF!</v>
      </c>
      <c r="BE105" s="270" t="e">
        <f t="array" ref="BE105">IF(AND(BE$2&lt;&gt;0,#REF!&gt;=BE$2),1,0)</f>
        <v>#REF!</v>
      </c>
      <c r="BF105" s="270" t="e">
        <f t="array" ref="BF105">IF(AND(BF$2&lt;&gt;0,#REF!&gt;=BF$2),1,0)</f>
        <v>#REF!</v>
      </c>
      <c r="BG105" s="270" t="e">
        <f t="array" ref="BG105">IF(AND(BG$2&lt;&gt;0,#REF!&gt;=BG$2),1,0)</f>
        <v>#REF!</v>
      </c>
      <c r="BH105" s="270" t="e">
        <f t="array" ref="BH105">IF(AND(BH$2&lt;&gt;0,#REF!&gt;=BH$2),1,0)</f>
        <v>#REF!</v>
      </c>
      <c r="BI105" s="270" t="e">
        <f t="array" ref="BI105">IF(AND(BI$2&lt;&gt;0,#REF!&gt;=BI$2),1,0)</f>
        <v>#REF!</v>
      </c>
      <c r="BJ105" s="270" t="e">
        <f t="array" ref="BJ105">IF(AND(BJ$2&lt;&gt;0,#REF!&gt;=BJ$2),1,0)</f>
        <v>#REF!</v>
      </c>
      <c r="BK105" s="270" t="e">
        <f t="array" ref="BK105">IF(AND(BK$2&lt;&gt;0,#REF!&gt;=BK$2),1,0)</f>
        <v>#REF!</v>
      </c>
      <c r="BL105" s="270" t="e">
        <f t="array" ref="BL105">IF(AND(BL$2&lt;&gt;0,#REF!&gt;=BL$2),1,0)</f>
        <v>#REF!</v>
      </c>
      <c r="BM105" s="270" t="e">
        <f t="array" ref="BM105">IF(AND(BM$2&lt;&gt;0,#REF!&gt;=BM$2),1,0)</f>
        <v>#REF!</v>
      </c>
      <c r="BN105" s="270" t="e">
        <f t="array" ref="BN105">IF(AND(BN$2&lt;&gt;0,#REF!&gt;=BN$2),1,0)</f>
        <v>#REF!</v>
      </c>
      <c r="BO105" s="270" t="e">
        <f t="array" ref="BO105">IF(AND(BO$2&lt;&gt;0,#REF!&gt;=BO$2),1,0)</f>
        <v>#REF!</v>
      </c>
      <c r="BP105" s="270" t="e">
        <f t="array" ref="BP105">IF(AND(BP$2&lt;&gt;0,#REF!&gt;=BP$2),1,0)</f>
        <v>#REF!</v>
      </c>
      <c r="BQ105" s="270" t="e">
        <f t="array" ref="BQ105">IF(AND(BQ$2&lt;&gt;0,#REF!&gt;=BQ$2),1,0)</f>
        <v>#REF!</v>
      </c>
      <c r="BR105" s="270" t="e">
        <f t="array" ref="BR105">IF(AND(BR$2&lt;&gt;0,#REF!&gt;=BR$2),1,0)</f>
        <v>#REF!</v>
      </c>
      <c r="BS105" s="270" t="e">
        <f t="array" ref="BS105">IF(AND(BS$2&lt;&gt;0,#REF!&gt;=BS$2),1,0)</f>
        <v>#REF!</v>
      </c>
      <c r="BT105" s="270" t="e">
        <f t="array" ref="BT105">IF(AND(BT$2&lt;&gt;0,#REF!&gt;=BT$2),1,0)</f>
        <v>#REF!</v>
      </c>
      <c r="BU105" s="270" t="e">
        <f t="array" ref="BU105">IF(AND(BU$2&lt;&gt;0,#REF!&gt;=BU$2),1,0)</f>
        <v>#REF!</v>
      </c>
      <c r="BV105" s="270" t="e">
        <f t="array" ref="BV105">IF(AND(BV$2&lt;&gt;0,#REF!&gt;=BV$2),1,0)</f>
        <v>#REF!</v>
      </c>
      <c r="BW105" s="270" t="e">
        <f t="array" ref="BW105">IF(AND(BW$2&lt;&gt;0,#REF!&gt;=BW$2),1,0)</f>
        <v>#REF!</v>
      </c>
      <c r="BX105" s="270" t="e">
        <f t="array" ref="BX105">IF(AND(BX$2&lt;&gt;0,#REF!&gt;=BX$2),1,0)</f>
        <v>#REF!</v>
      </c>
      <c r="BY105" s="270" t="e">
        <f t="array" ref="BY105">IF(AND(BY$2&lt;&gt;0,#REF!&gt;=BY$2),1,0)</f>
        <v>#REF!</v>
      </c>
      <c r="BZ105" s="270" t="e">
        <f t="array" ref="BZ105">IF(AND(BZ$2&lt;&gt;0,#REF!&gt;=BZ$2),1,0)</f>
        <v>#REF!</v>
      </c>
      <c r="CA105" s="359">
        <f>IFERROR(INDEX($H$4:$H$79,MATCH(INDEX(#REF!,1,MATCH(#REF!,$M$2:$BZ$2,0)),$G$4:$G$79,0)),)</f>
        <v>0</v>
      </c>
    </row>
    <row r="106" spans="1:79" x14ac:dyDescent="0.25">
      <c r="A106" s="262" t="e">
        <f>#REF!</f>
        <v>#REF!</v>
      </c>
      <c r="B106" s="263" t="e">
        <f>#REF!</f>
        <v>#REF!</v>
      </c>
      <c r="C106" s="264" t="e">
        <f>#REF!</f>
        <v>#REF!</v>
      </c>
      <c r="D106" s="264" t="e">
        <f>#REF!</f>
        <v>#REF!</v>
      </c>
      <c r="E106" s="273"/>
      <c r="F106" s="274"/>
      <c r="G106" s="267"/>
      <c r="H106" s="268"/>
      <c r="I106" s="268"/>
      <c r="J106" s="268"/>
      <c r="K106" s="89" t="e">
        <f ca="1">IF(#REF!&lt;&gt;OFFSET(#REF!,-1,0),1,0)</f>
        <v>#REF!</v>
      </c>
      <c r="L106" s="269" t="e">
        <f>COUNTIF(#REF!,1)</f>
        <v>#REF!</v>
      </c>
      <c r="M106" s="270" t="e">
        <f t="array" ref="M106">IF(AND(M$2&lt;&gt;0,#REF!&gt;=M$2),1,0)</f>
        <v>#REF!</v>
      </c>
      <c r="N106" s="270" t="e">
        <f t="array" ref="N106">IF(AND(N$2&lt;&gt;0,#REF!&gt;=N$2),1,0)</f>
        <v>#REF!</v>
      </c>
      <c r="O106" s="270" t="e">
        <f t="array" ref="O106">IF(AND(O$2&lt;&gt;0,#REF!&gt;=O$2),1,0)</f>
        <v>#REF!</v>
      </c>
      <c r="P106" s="270" t="e">
        <f t="array" ref="P106">IF(AND(P$2&lt;&gt;0,#REF!&gt;=P$2),1,0)</f>
        <v>#REF!</v>
      </c>
      <c r="Q106" s="270" t="e">
        <f t="array" ref="Q106">IF(AND(Q$2&lt;&gt;0,#REF!&gt;=Q$2),1,0)</f>
        <v>#REF!</v>
      </c>
      <c r="R106" s="270" t="e">
        <f t="array" ref="R106">IF(AND(R$2&lt;&gt;0,#REF!&gt;=R$2),1,0)</f>
        <v>#REF!</v>
      </c>
      <c r="S106" s="270" t="e">
        <f t="array" ref="S106">IF(AND(S$2&lt;&gt;0,#REF!&gt;=S$2),1,0)</f>
        <v>#REF!</v>
      </c>
      <c r="T106" s="270" t="e">
        <f t="array" ref="T106">IF(AND(T$2&lt;&gt;0,#REF!&gt;=T$2),1,0)</f>
        <v>#REF!</v>
      </c>
      <c r="U106" s="270" t="e">
        <f t="array" ref="U106">IF(AND(U$2&lt;&gt;0,#REF!&gt;=U$2),1,0)</f>
        <v>#REF!</v>
      </c>
      <c r="V106" s="270" t="e">
        <f t="array" ref="V106">IF(AND(V$2&lt;&gt;0,#REF!&gt;=V$2),1,0)</f>
        <v>#REF!</v>
      </c>
      <c r="W106" s="270" t="e">
        <f t="array" ref="W106">IF(AND(W$2&lt;&gt;0,#REF!&gt;=W$2),1,0)</f>
        <v>#REF!</v>
      </c>
      <c r="X106" s="270" t="e">
        <f t="array" ref="X106">IF(AND(X$2&lt;&gt;0,#REF!&gt;=X$2),1,0)</f>
        <v>#REF!</v>
      </c>
      <c r="Y106" s="270" t="e">
        <f t="array" ref="Y106">IF(AND(Y$2&lt;&gt;0,#REF!&gt;=Y$2),1,0)</f>
        <v>#REF!</v>
      </c>
      <c r="Z106" s="270" t="e">
        <f t="array" ref="Z106">IF(AND(Z$2&lt;&gt;0,#REF!&gt;=Z$2),1,0)</f>
        <v>#REF!</v>
      </c>
      <c r="AA106" s="270" t="e">
        <f t="array" ref="AA106">IF(AND(AA$2&lt;&gt;0,#REF!&gt;=AA$2),1,0)</f>
        <v>#REF!</v>
      </c>
      <c r="AB106" s="270" t="e">
        <f t="array" ref="AB106">IF(AND(AB$2&lt;&gt;0,#REF!&gt;=AB$2),1,0)</f>
        <v>#REF!</v>
      </c>
      <c r="AC106" s="270" t="e">
        <f t="array" ref="AC106">IF(AND(AC$2&lt;&gt;0,#REF!&gt;=AC$2),1,0)</f>
        <v>#REF!</v>
      </c>
      <c r="AD106" s="270" t="e">
        <f t="array" ref="AD106">IF(AND(AD$2&lt;&gt;0,#REF!&gt;=AD$2),1,0)</f>
        <v>#REF!</v>
      </c>
      <c r="AE106" s="270" t="e">
        <f t="array" ref="AE106">IF(AND(AE$2&lt;&gt;0,#REF!&gt;=AE$2),1,0)</f>
        <v>#REF!</v>
      </c>
      <c r="AF106" s="270" t="e">
        <f t="array" ref="AF106">IF(AND(AF$2&lt;&gt;0,#REF!&gt;=AF$2),1,0)</f>
        <v>#REF!</v>
      </c>
      <c r="AG106" s="270" t="e">
        <f t="array" ref="AG106">IF(AND(AG$2&lt;&gt;0,#REF!&gt;=AG$2),1,0)</f>
        <v>#REF!</v>
      </c>
      <c r="AH106" s="270" t="e">
        <f t="array" ref="AH106">IF(AND(AH$2&lt;&gt;0,#REF!&gt;=AH$2),1,0)</f>
        <v>#REF!</v>
      </c>
      <c r="AI106" s="270" t="e">
        <f t="array" ref="AI106">IF(AND(AI$2&lt;&gt;0,#REF!&gt;=AI$2),1,0)</f>
        <v>#REF!</v>
      </c>
      <c r="AJ106" s="270" t="e">
        <f t="array" ref="AJ106">IF(AND(AJ$2&lt;&gt;0,#REF!&gt;=AJ$2),1,0)</f>
        <v>#REF!</v>
      </c>
      <c r="AK106" s="270" t="e">
        <f t="array" ref="AK106">IF(AND(AK$2&lt;&gt;0,#REF!&gt;=AK$2),1,0)</f>
        <v>#REF!</v>
      </c>
      <c r="AL106" s="270" t="e">
        <f t="array" ref="AL106">IF(AND(AL$2&lt;&gt;0,#REF!&gt;=AL$2),1,0)</f>
        <v>#REF!</v>
      </c>
      <c r="AM106" s="270" t="e">
        <f t="array" ref="AM106">IF(AND(AM$2&lt;&gt;0,#REF!&gt;=AM$2),1,0)</f>
        <v>#REF!</v>
      </c>
      <c r="AN106" s="270" t="e">
        <f t="array" ref="AN106">IF(AND(AN$2&lt;&gt;0,#REF!&gt;=AN$2),1,0)</f>
        <v>#REF!</v>
      </c>
      <c r="AO106" s="270" t="e">
        <f t="array" ref="AO106">IF(AND(AO$2&lt;&gt;0,#REF!&gt;=AO$2),1,0)</f>
        <v>#REF!</v>
      </c>
      <c r="AP106" s="270" t="e">
        <f t="array" ref="AP106">IF(AND(AP$2&lt;&gt;0,#REF!&gt;=AP$2),1,0)</f>
        <v>#REF!</v>
      </c>
      <c r="AQ106" s="270" t="e">
        <f t="array" ref="AQ106">IF(AND(AQ$2&lt;&gt;0,#REF!&gt;=AQ$2),1,0)</f>
        <v>#REF!</v>
      </c>
      <c r="AR106" s="270" t="e">
        <f t="array" ref="AR106">IF(AND(AR$2&lt;&gt;0,#REF!&gt;=AR$2),1,0)</f>
        <v>#REF!</v>
      </c>
      <c r="AS106" s="270" t="e">
        <f t="array" ref="AS106">IF(AND(AS$2&lt;&gt;0,#REF!&gt;=AS$2),1,0)</f>
        <v>#REF!</v>
      </c>
      <c r="AT106" s="270" t="e">
        <f t="array" ref="AT106">IF(AND(AT$2&lt;&gt;0,#REF!&gt;=AT$2),1,0)</f>
        <v>#REF!</v>
      </c>
      <c r="AU106" s="270" t="e">
        <f t="array" ref="AU106">IF(AND(AU$2&lt;&gt;0,#REF!&gt;=AU$2),1,0)</f>
        <v>#REF!</v>
      </c>
      <c r="AV106" s="270" t="e">
        <f t="array" ref="AV106">IF(AND(AV$2&lt;&gt;0,#REF!&gt;=AV$2),1,0)</f>
        <v>#REF!</v>
      </c>
      <c r="AW106" s="270" t="e">
        <f t="array" ref="AW106">IF(AND(AW$2&lt;&gt;0,#REF!&gt;=AW$2),1,0)</f>
        <v>#REF!</v>
      </c>
      <c r="AX106" s="270" t="e">
        <f t="array" ref="AX106">IF(AND(AX$2&lt;&gt;0,#REF!&gt;=AX$2),1,0)</f>
        <v>#REF!</v>
      </c>
      <c r="AY106" s="270" t="e">
        <f t="array" ref="AY106">IF(AND(AY$2&lt;&gt;0,#REF!&gt;=AY$2),1,0)</f>
        <v>#REF!</v>
      </c>
      <c r="AZ106" s="270" t="e">
        <f t="array" ref="AZ106">IF(AND(AZ$2&lt;&gt;0,#REF!&gt;=AZ$2),1,0)</f>
        <v>#REF!</v>
      </c>
      <c r="BA106" s="270" t="e">
        <f t="array" ref="BA106">IF(AND(BA$2&lt;&gt;0,#REF!&gt;=BA$2),1,0)</f>
        <v>#REF!</v>
      </c>
      <c r="BB106" s="270" t="e">
        <f t="array" ref="BB106">IF(AND(BB$2&lt;&gt;0,#REF!&gt;=BB$2),1,0)</f>
        <v>#REF!</v>
      </c>
      <c r="BC106" s="270" t="e">
        <f t="array" ref="BC106">IF(AND(BC$2&lt;&gt;0,#REF!&gt;=BC$2),1,0)</f>
        <v>#REF!</v>
      </c>
      <c r="BD106" s="270" t="e">
        <f t="array" ref="BD106">IF(AND(BD$2&lt;&gt;0,#REF!&gt;=BD$2),1,0)</f>
        <v>#REF!</v>
      </c>
      <c r="BE106" s="270" t="e">
        <f t="array" ref="BE106">IF(AND(BE$2&lt;&gt;0,#REF!&gt;=BE$2),1,0)</f>
        <v>#REF!</v>
      </c>
      <c r="BF106" s="270" t="e">
        <f t="array" ref="BF106">IF(AND(BF$2&lt;&gt;0,#REF!&gt;=BF$2),1,0)</f>
        <v>#REF!</v>
      </c>
      <c r="BG106" s="270" t="e">
        <f t="array" ref="BG106">IF(AND(BG$2&lt;&gt;0,#REF!&gt;=BG$2),1,0)</f>
        <v>#REF!</v>
      </c>
      <c r="BH106" s="270" t="e">
        <f t="array" ref="BH106">IF(AND(BH$2&lt;&gt;0,#REF!&gt;=BH$2),1,0)</f>
        <v>#REF!</v>
      </c>
      <c r="BI106" s="270" t="e">
        <f t="array" ref="BI106">IF(AND(BI$2&lt;&gt;0,#REF!&gt;=BI$2),1,0)</f>
        <v>#REF!</v>
      </c>
      <c r="BJ106" s="270" t="e">
        <f t="array" ref="BJ106">IF(AND(BJ$2&lt;&gt;0,#REF!&gt;=BJ$2),1,0)</f>
        <v>#REF!</v>
      </c>
      <c r="BK106" s="270" t="e">
        <f t="array" ref="BK106">IF(AND(BK$2&lt;&gt;0,#REF!&gt;=BK$2),1,0)</f>
        <v>#REF!</v>
      </c>
      <c r="BL106" s="270" t="e">
        <f t="array" ref="BL106">IF(AND(BL$2&lt;&gt;0,#REF!&gt;=BL$2),1,0)</f>
        <v>#REF!</v>
      </c>
      <c r="BM106" s="270" t="e">
        <f t="array" ref="BM106">IF(AND(BM$2&lt;&gt;0,#REF!&gt;=BM$2),1,0)</f>
        <v>#REF!</v>
      </c>
      <c r="BN106" s="270" t="e">
        <f t="array" ref="BN106">IF(AND(BN$2&lt;&gt;0,#REF!&gt;=BN$2),1,0)</f>
        <v>#REF!</v>
      </c>
      <c r="BO106" s="270" t="e">
        <f t="array" ref="BO106">IF(AND(BO$2&lt;&gt;0,#REF!&gt;=BO$2),1,0)</f>
        <v>#REF!</v>
      </c>
      <c r="BP106" s="270" t="e">
        <f t="array" ref="BP106">IF(AND(BP$2&lt;&gt;0,#REF!&gt;=BP$2),1,0)</f>
        <v>#REF!</v>
      </c>
      <c r="BQ106" s="270" t="e">
        <f t="array" ref="BQ106">IF(AND(BQ$2&lt;&gt;0,#REF!&gt;=BQ$2),1,0)</f>
        <v>#REF!</v>
      </c>
      <c r="BR106" s="270" t="e">
        <f t="array" ref="BR106">IF(AND(BR$2&lt;&gt;0,#REF!&gt;=BR$2),1,0)</f>
        <v>#REF!</v>
      </c>
      <c r="BS106" s="270" t="e">
        <f t="array" ref="BS106">IF(AND(BS$2&lt;&gt;0,#REF!&gt;=BS$2),1,0)</f>
        <v>#REF!</v>
      </c>
      <c r="BT106" s="270" t="e">
        <f t="array" ref="BT106">IF(AND(BT$2&lt;&gt;0,#REF!&gt;=BT$2),1,0)</f>
        <v>#REF!</v>
      </c>
      <c r="BU106" s="270" t="e">
        <f t="array" ref="BU106">IF(AND(BU$2&lt;&gt;0,#REF!&gt;=BU$2),1,0)</f>
        <v>#REF!</v>
      </c>
      <c r="BV106" s="270" t="e">
        <f t="array" ref="BV106">IF(AND(BV$2&lt;&gt;0,#REF!&gt;=BV$2),1,0)</f>
        <v>#REF!</v>
      </c>
      <c r="BW106" s="270" t="e">
        <f t="array" ref="BW106">IF(AND(BW$2&lt;&gt;0,#REF!&gt;=BW$2),1,0)</f>
        <v>#REF!</v>
      </c>
      <c r="BX106" s="270" t="e">
        <f t="array" ref="BX106">IF(AND(BX$2&lt;&gt;0,#REF!&gt;=BX$2),1,0)</f>
        <v>#REF!</v>
      </c>
      <c r="BY106" s="270" t="e">
        <f t="array" ref="BY106">IF(AND(BY$2&lt;&gt;0,#REF!&gt;=BY$2),1,0)</f>
        <v>#REF!</v>
      </c>
      <c r="BZ106" s="270" t="e">
        <f t="array" ref="BZ106">IF(AND(BZ$2&lt;&gt;0,#REF!&gt;=BZ$2),1,0)</f>
        <v>#REF!</v>
      </c>
      <c r="CA106" s="359">
        <f>IFERROR(INDEX($H$4:$H$79,MATCH(INDEX(#REF!,1,MATCH(#REF!,$M$2:$BZ$2,0)),$G$4:$G$79,0)),)</f>
        <v>0</v>
      </c>
    </row>
    <row r="107" spans="1:79" x14ac:dyDescent="0.25">
      <c r="A107" s="262" t="e">
        <f>#REF!</f>
        <v>#REF!</v>
      </c>
      <c r="B107" s="263" t="e">
        <f>#REF!</f>
        <v>#REF!</v>
      </c>
      <c r="C107" s="264" t="e">
        <f>#REF!</f>
        <v>#REF!</v>
      </c>
      <c r="D107" s="264" t="e">
        <f>#REF!</f>
        <v>#REF!</v>
      </c>
      <c r="E107" s="273"/>
      <c r="F107" s="274"/>
      <c r="G107" s="267"/>
      <c r="H107" s="268"/>
      <c r="I107" s="268"/>
      <c r="J107" s="268"/>
      <c r="K107" s="89" t="e">
        <f ca="1">IF(#REF!&lt;&gt;OFFSET(#REF!,-1,0),1,0)</f>
        <v>#REF!</v>
      </c>
      <c r="L107" s="269" t="e">
        <f>COUNTIF(#REF!,1)</f>
        <v>#REF!</v>
      </c>
      <c r="M107" s="270" t="e">
        <f t="array" ref="M107">IF(AND(M$2&lt;&gt;0,#REF!&gt;=M$2),1,0)</f>
        <v>#REF!</v>
      </c>
      <c r="N107" s="270" t="e">
        <f t="array" ref="N107">IF(AND(N$2&lt;&gt;0,#REF!&gt;=N$2),1,0)</f>
        <v>#REF!</v>
      </c>
      <c r="O107" s="270" t="e">
        <f t="array" ref="O107">IF(AND(O$2&lt;&gt;0,#REF!&gt;=O$2),1,0)</f>
        <v>#REF!</v>
      </c>
      <c r="P107" s="270" t="e">
        <f t="array" ref="P107">IF(AND(P$2&lt;&gt;0,#REF!&gt;=P$2),1,0)</f>
        <v>#REF!</v>
      </c>
      <c r="Q107" s="270" t="e">
        <f t="array" ref="Q107">IF(AND(Q$2&lt;&gt;0,#REF!&gt;=Q$2),1,0)</f>
        <v>#REF!</v>
      </c>
      <c r="R107" s="270" t="e">
        <f t="array" ref="R107">IF(AND(R$2&lt;&gt;0,#REF!&gt;=R$2),1,0)</f>
        <v>#REF!</v>
      </c>
      <c r="S107" s="270" t="e">
        <f t="array" ref="S107">IF(AND(S$2&lt;&gt;0,#REF!&gt;=S$2),1,0)</f>
        <v>#REF!</v>
      </c>
      <c r="T107" s="270" t="e">
        <f t="array" ref="T107">IF(AND(T$2&lt;&gt;0,#REF!&gt;=T$2),1,0)</f>
        <v>#REF!</v>
      </c>
      <c r="U107" s="270" t="e">
        <f t="array" ref="U107">IF(AND(U$2&lt;&gt;0,#REF!&gt;=U$2),1,0)</f>
        <v>#REF!</v>
      </c>
      <c r="V107" s="270" t="e">
        <f t="array" ref="V107">IF(AND(V$2&lt;&gt;0,#REF!&gt;=V$2),1,0)</f>
        <v>#REF!</v>
      </c>
      <c r="W107" s="270" t="e">
        <f t="array" ref="W107">IF(AND(W$2&lt;&gt;0,#REF!&gt;=W$2),1,0)</f>
        <v>#REF!</v>
      </c>
      <c r="X107" s="270" t="e">
        <f t="array" ref="X107">IF(AND(X$2&lt;&gt;0,#REF!&gt;=X$2),1,0)</f>
        <v>#REF!</v>
      </c>
      <c r="Y107" s="270" t="e">
        <f t="array" ref="Y107">IF(AND(Y$2&lt;&gt;0,#REF!&gt;=Y$2),1,0)</f>
        <v>#REF!</v>
      </c>
      <c r="Z107" s="270" t="e">
        <f t="array" ref="Z107">IF(AND(Z$2&lt;&gt;0,#REF!&gt;=Z$2),1,0)</f>
        <v>#REF!</v>
      </c>
      <c r="AA107" s="270" t="e">
        <f t="array" ref="AA107">IF(AND(AA$2&lt;&gt;0,#REF!&gt;=AA$2),1,0)</f>
        <v>#REF!</v>
      </c>
      <c r="AB107" s="270" t="e">
        <f t="array" ref="AB107">IF(AND(AB$2&lt;&gt;0,#REF!&gt;=AB$2),1,0)</f>
        <v>#REF!</v>
      </c>
      <c r="AC107" s="270" t="e">
        <f t="array" ref="AC107">IF(AND(AC$2&lt;&gt;0,#REF!&gt;=AC$2),1,0)</f>
        <v>#REF!</v>
      </c>
      <c r="AD107" s="270" t="e">
        <f t="array" ref="AD107">IF(AND(AD$2&lt;&gt;0,#REF!&gt;=AD$2),1,0)</f>
        <v>#REF!</v>
      </c>
      <c r="AE107" s="270" t="e">
        <f t="array" ref="AE107">IF(AND(AE$2&lt;&gt;0,#REF!&gt;=AE$2),1,0)</f>
        <v>#REF!</v>
      </c>
      <c r="AF107" s="270" t="e">
        <f t="array" ref="AF107">IF(AND(AF$2&lt;&gt;0,#REF!&gt;=AF$2),1,0)</f>
        <v>#REF!</v>
      </c>
      <c r="AG107" s="270" t="e">
        <f t="array" ref="AG107">IF(AND(AG$2&lt;&gt;0,#REF!&gt;=AG$2),1,0)</f>
        <v>#REF!</v>
      </c>
      <c r="AH107" s="270" t="e">
        <f t="array" ref="AH107">IF(AND(AH$2&lt;&gt;0,#REF!&gt;=AH$2),1,0)</f>
        <v>#REF!</v>
      </c>
      <c r="AI107" s="270" t="e">
        <f t="array" ref="AI107">IF(AND(AI$2&lt;&gt;0,#REF!&gt;=AI$2),1,0)</f>
        <v>#REF!</v>
      </c>
      <c r="AJ107" s="270" t="e">
        <f t="array" ref="AJ107">IF(AND(AJ$2&lt;&gt;0,#REF!&gt;=AJ$2),1,0)</f>
        <v>#REF!</v>
      </c>
      <c r="AK107" s="270" t="e">
        <f t="array" ref="AK107">IF(AND(AK$2&lt;&gt;0,#REF!&gt;=AK$2),1,0)</f>
        <v>#REF!</v>
      </c>
      <c r="AL107" s="270" t="e">
        <f t="array" ref="AL107">IF(AND(AL$2&lt;&gt;0,#REF!&gt;=AL$2),1,0)</f>
        <v>#REF!</v>
      </c>
      <c r="AM107" s="270" t="e">
        <f t="array" ref="AM107">IF(AND(AM$2&lt;&gt;0,#REF!&gt;=AM$2),1,0)</f>
        <v>#REF!</v>
      </c>
      <c r="AN107" s="270" t="e">
        <f t="array" ref="AN107">IF(AND(AN$2&lt;&gt;0,#REF!&gt;=AN$2),1,0)</f>
        <v>#REF!</v>
      </c>
      <c r="AO107" s="270" t="e">
        <f t="array" ref="AO107">IF(AND(AO$2&lt;&gt;0,#REF!&gt;=AO$2),1,0)</f>
        <v>#REF!</v>
      </c>
      <c r="AP107" s="270" t="e">
        <f t="array" ref="AP107">IF(AND(AP$2&lt;&gt;0,#REF!&gt;=AP$2),1,0)</f>
        <v>#REF!</v>
      </c>
      <c r="AQ107" s="270" t="e">
        <f t="array" ref="AQ107">IF(AND(AQ$2&lt;&gt;0,#REF!&gt;=AQ$2),1,0)</f>
        <v>#REF!</v>
      </c>
      <c r="AR107" s="270" t="e">
        <f t="array" ref="AR107">IF(AND(AR$2&lt;&gt;0,#REF!&gt;=AR$2),1,0)</f>
        <v>#REF!</v>
      </c>
      <c r="AS107" s="270" t="e">
        <f t="array" ref="AS107">IF(AND(AS$2&lt;&gt;0,#REF!&gt;=AS$2),1,0)</f>
        <v>#REF!</v>
      </c>
      <c r="AT107" s="270" t="e">
        <f t="array" ref="AT107">IF(AND(AT$2&lt;&gt;0,#REF!&gt;=AT$2),1,0)</f>
        <v>#REF!</v>
      </c>
      <c r="AU107" s="270" t="e">
        <f t="array" ref="AU107">IF(AND(AU$2&lt;&gt;0,#REF!&gt;=AU$2),1,0)</f>
        <v>#REF!</v>
      </c>
      <c r="AV107" s="270" t="e">
        <f t="array" ref="AV107">IF(AND(AV$2&lt;&gt;0,#REF!&gt;=AV$2),1,0)</f>
        <v>#REF!</v>
      </c>
      <c r="AW107" s="270" t="e">
        <f t="array" ref="AW107">IF(AND(AW$2&lt;&gt;0,#REF!&gt;=AW$2),1,0)</f>
        <v>#REF!</v>
      </c>
      <c r="AX107" s="270" t="e">
        <f t="array" ref="AX107">IF(AND(AX$2&lt;&gt;0,#REF!&gt;=AX$2),1,0)</f>
        <v>#REF!</v>
      </c>
      <c r="AY107" s="270" t="e">
        <f t="array" ref="AY107">IF(AND(AY$2&lt;&gt;0,#REF!&gt;=AY$2),1,0)</f>
        <v>#REF!</v>
      </c>
      <c r="AZ107" s="270" t="e">
        <f t="array" ref="AZ107">IF(AND(AZ$2&lt;&gt;0,#REF!&gt;=AZ$2),1,0)</f>
        <v>#REF!</v>
      </c>
      <c r="BA107" s="270" t="e">
        <f t="array" ref="BA107">IF(AND(BA$2&lt;&gt;0,#REF!&gt;=BA$2),1,0)</f>
        <v>#REF!</v>
      </c>
      <c r="BB107" s="270" t="e">
        <f t="array" ref="BB107">IF(AND(BB$2&lt;&gt;0,#REF!&gt;=BB$2),1,0)</f>
        <v>#REF!</v>
      </c>
      <c r="BC107" s="270" t="e">
        <f t="array" ref="BC107">IF(AND(BC$2&lt;&gt;0,#REF!&gt;=BC$2),1,0)</f>
        <v>#REF!</v>
      </c>
      <c r="BD107" s="270" t="e">
        <f t="array" ref="BD107">IF(AND(BD$2&lt;&gt;0,#REF!&gt;=BD$2),1,0)</f>
        <v>#REF!</v>
      </c>
      <c r="BE107" s="270" t="e">
        <f t="array" ref="BE107">IF(AND(BE$2&lt;&gt;0,#REF!&gt;=BE$2),1,0)</f>
        <v>#REF!</v>
      </c>
      <c r="BF107" s="270" t="e">
        <f t="array" ref="BF107">IF(AND(BF$2&lt;&gt;0,#REF!&gt;=BF$2),1,0)</f>
        <v>#REF!</v>
      </c>
      <c r="BG107" s="270" t="e">
        <f t="array" ref="BG107">IF(AND(BG$2&lt;&gt;0,#REF!&gt;=BG$2),1,0)</f>
        <v>#REF!</v>
      </c>
      <c r="BH107" s="270" t="e">
        <f t="array" ref="BH107">IF(AND(BH$2&lt;&gt;0,#REF!&gt;=BH$2),1,0)</f>
        <v>#REF!</v>
      </c>
      <c r="BI107" s="270" t="e">
        <f t="array" ref="BI107">IF(AND(BI$2&lt;&gt;0,#REF!&gt;=BI$2),1,0)</f>
        <v>#REF!</v>
      </c>
      <c r="BJ107" s="270" t="e">
        <f t="array" ref="BJ107">IF(AND(BJ$2&lt;&gt;0,#REF!&gt;=BJ$2),1,0)</f>
        <v>#REF!</v>
      </c>
      <c r="BK107" s="270" t="e">
        <f t="array" ref="BK107">IF(AND(BK$2&lt;&gt;0,#REF!&gt;=BK$2),1,0)</f>
        <v>#REF!</v>
      </c>
      <c r="BL107" s="270" t="e">
        <f t="array" ref="BL107">IF(AND(BL$2&lt;&gt;0,#REF!&gt;=BL$2),1,0)</f>
        <v>#REF!</v>
      </c>
      <c r="BM107" s="270" t="e">
        <f t="array" ref="BM107">IF(AND(BM$2&lt;&gt;0,#REF!&gt;=BM$2),1,0)</f>
        <v>#REF!</v>
      </c>
      <c r="BN107" s="270" t="e">
        <f t="array" ref="BN107">IF(AND(BN$2&lt;&gt;0,#REF!&gt;=BN$2),1,0)</f>
        <v>#REF!</v>
      </c>
      <c r="BO107" s="270" t="e">
        <f t="array" ref="BO107">IF(AND(BO$2&lt;&gt;0,#REF!&gt;=BO$2),1,0)</f>
        <v>#REF!</v>
      </c>
      <c r="BP107" s="270" t="e">
        <f t="array" ref="BP107">IF(AND(BP$2&lt;&gt;0,#REF!&gt;=BP$2),1,0)</f>
        <v>#REF!</v>
      </c>
      <c r="BQ107" s="270" t="e">
        <f t="array" ref="BQ107">IF(AND(BQ$2&lt;&gt;0,#REF!&gt;=BQ$2),1,0)</f>
        <v>#REF!</v>
      </c>
      <c r="BR107" s="270" t="e">
        <f t="array" ref="BR107">IF(AND(BR$2&lt;&gt;0,#REF!&gt;=BR$2),1,0)</f>
        <v>#REF!</v>
      </c>
      <c r="BS107" s="270" t="e">
        <f t="array" ref="BS107">IF(AND(BS$2&lt;&gt;0,#REF!&gt;=BS$2),1,0)</f>
        <v>#REF!</v>
      </c>
      <c r="BT107" s="270" t="e">
        <f t="array" ref="BT107">IF(AND(BT$2&lt;&gt;0,#REF!&gt;=BT$2),1,0)</f>
        <v>#REF!</v>
      </c>
      <c r="BU107" s="270" t="e">
        <f t="array" ref="BU107">IF(AND(BU$2&lt;&gt;0,#REF!&gt;=BU$2),1,0)</f>
        <v>#REF!</v>
      </c>
      <c r="BV107" s="270" t="e">
        <f t="array" ref="BV107">IF(AND(BV$2&lt;&gt;0,#REF!&gt;=BV$2),1,0)</f>
        <v>#REF!</v>
      </c>
      <c r="BW107" s="270" t="e">
        <f t="array" ref="BW107">IF(AND(BW$2&lt;&gt;0,#REF!&gt;=BW$2),1,0)</f>
        <v>#REF!</v>
      </c>
      <c r="BX107" s="270" t="e">
        <f t="array" ref="BX107">IF(AND(BX$2&lt;&gt;0,#REF!&gt;=BX$2),1,0)</f>
        <v>#REF!</v>
      </c>
      <c r="BY107" s="270" t="e">
        <f t="array" ref="BY107">IF(AND(BY$2&lt;&gt;0,#REF!&gt;=BY$2),1,0)</f>
        <v>#REF!</v>
      </c>
      <c r="BZ107" s="270" t="e">
        <f t="array" ref="BZ107">IF(AND(BZ$2&lt;&gt;0,#REF!&gt;=BZ$2),1,0)</f>
        <v>#REF!</v>
      </c>
      <c r="CA107" s="359">
        <f>IFERROR(INDEX($H$4:$H$79,MATCH(INDEX(#REF!,1,MATCH(#REF!,$M$2:$BZ$2,0)),$G$4:$G$79,0)),)</f>
        <v>0</v>
      </c>
    </row>
    <row r="108" spans="1:79" x14ac:dyDescent="0.25">
      <c r="A108" s="262" t="e">
        <f>#REF!</f>
        <v>#REF!</v>
      </c>
      <c r="B108" s="263" t="e">
        <f>#REF!</f>
        <v>#REF!</v>
      </c>
      <c r="C108" s="264" t="e">
        <f>#REF!</f>
        <v>#REF!</v>
      </c>
      <c r="D108" s="264" t="e">
        <f>#REF!</f>
        <v>#REF!</v>
      </c>
      <c r="E108" s="273"/>
      <c r="F108" s="274"/>
      <c r="G108" s="267"/>
      <c r="H108" s="268"/>
      <c r="I108" s="268"/>
      <c r="J108" s="268"/>
      <c r="K108" s="89" t="e">
        <f ca="1">IF(#REF!&lt;&gt;OFFSET(#REF!,-1,0),1,0)</f>
        <v>#REF!</v>
      </c>
      <c r="L108" s="269" t="e">
        <f>COUNTIF(#REF!,1)</f>
        <v>#REF!</v>
      </c>
      <c r="M108" s="270" t="e">
        <f t="array" ref="M108">IF(AND(M$2&lt;&gt;0,#REF!&gt;=M$2),1,0)</f>
        <v>#REF!</v>
      </c>
      <c r="N108" s="270" t="e">
        <f t="array" ref="N108">IF(AND(N$2&lt;&gt;0,#REF!&gt;=N$2),1,0)</f>
        <v>#REF!</v>
      </c>
      <c r="O108" s="270" t="e">
        <f t="array" ref="O108">IF(AND(O$2&lt;&gt;0,#REF!&gt;=O$2),1,0)</f>
        <v>#REF!</v>
      </c>
      <c r="P108" s="270" t="e">
        <f t="array" ref="P108">IF(AND(P$2&lt;&gt;0,#REF!&gt;=P$2),1,0)</f>
        <v>#REF!</v>
      </c>
      <c r="Q108" s="270" t="e">
        <f t="array" ref="Q108">IF(AND(Q$2&lt;&gt;0,#REF!&gt;=Q$2),1,0)</f>
        <v>#REF!</v>
      </c>
      <c r="R108" s="270" t="e">
        <f t="array" ref="R108">IF(AND(R$2&lt;&gt;0,#REF!&gt;=R$2),1,0)</f>
        <v>#REF!</v>
      </c>
      <c r="S108" s="270" t="e">
        <f t="array" ref="S108">IF(AND(S$2&lt;&gt;0,#REF!&gt;=S$2),1,0)</f>
        <v>#REF!</v>
      </c>
      <c r="T108" s="270" t="e">
        <f t="array" ref="T108">IF(AND(T$2&lt;&gt;0,#REF!&gt;=T$2),1,0)</f>
        <v>#REF!</v>
      </c>
      <c r="U108" s="270" t="e">
        <f t="array" ref="U108">IF(AND(U$2&lt;&gt;0,#REF!&gt;=U$2),1,0)</f>
        <v>#REF!</v>
      </c>
      <c r="V108" s="270" t="e">
        <f t="array" ref="V108">IF(AND(V$2&lt;&gt;0,#REF!&gt;=V$2),1,0)</f>
        <v>#REF!</v>
      </c>
      <c r="W108" s="270" t="e">
        <f t="array" ref="W108">IF(AND(W$2&lt;&gt;0,#REF!&gt;=W$2),1,0)</f>
        <v>#REF!</v>
      </c>
      <c r="X108" s="270" t="e">
        <f t="array" ref="X108">IF(AND(X$2&lt;&gt;0,#REF!&gt;=X$2),1,0)</f>
        <v>#REF!</v>
      </c>
      <c r="Y108" s="270" t="e">
        <f t="array" ref="Y108">IF(AND(Y$2&lt;&gt;0,#REF!&gt;=Y$2),1,0)</f>
        <v>#REF!</v>
      </c>
      <c r="Z108" s="270" t="e">
        <f t="array" ref="Z108">IF(AND(Z$2&lt;&gt;0,#REF!&gt;=Z$2),1,0)</f>
        <v>#REF!</v>
      </c>
      <c r="AA108" s="270" t="e">
        <f t="array" ref="AA108">IF(AND(AA$2&lt;&gt;0,#REF!&gt;=AA$2),1,0)</f>
        <v>#REF!</v>
      </c>
      <c r="AB108" s="270" t="e">
        <f t="array" ref="AB108">IF(AND(AB$2&lt;&gt;0,#REF!&gt;=AB$2),1,0)</f>
        <v>#REF!</v>
      </c>
      <c r="AC108" s="270" t="e">
        <f t="array" ref="AC108">IF(AND(AC$2&lt;&gt;0,#REF!&gt;=AC$2),1,0)</f>
        <v>#REF!</v>
      </c>
      <c r="AD108" s="270" t="e">
        <f t="array" ref="AD108">IF(AND(AD$2&lt;&gt;0,#REF!&gt;=AD$2),1,0)</f>
        <v>#REF!</v>
      </c>
      <c r="AE108" s="270" t="e">
        <f t="array" ref="AE108">IF(AND(AE$2&lt;&gt;0,#REF!&gt;=AE$2),1,0)</f>
        <v>#REF!</v>
      </c>
      <c r="AF108" s="270" t="e">
        <f t="array" ref="AF108">IF(AND(AF$2&lt;&gt;0,#REF!&gt;=AF$2),1,0)</f>
        <v>#REF!</v>
      </c>
      <c r="AG108" s="270" t="e">
        <f t="array" ref="AG108">IF(AND(AG$2&lt;&gt;0,#REF!&gt;=AG$2),1,0)</f>
        <v>#REF!</v>
      </c>
      <c r="AH108" s="270" t="e">
        <f t="array" ref="AH108">IF(AND(AH$2&lt;&gt;0,#REF!&gt;=AH$2),1,0)</f>
        <v>#REF!</v>
      </c>
      <c r="AI108" s="270" t="e">
        <f t="array" ref="AI108">IF(AND(AI$2&lt;&gt;0,#REF!&gt;=AI$2),1,0)</f>
        <v>#REF!</v>
      </c>
      <c r="AJ108" s="270" t="e">
        <f t="array" ref="AJ108">IF(AND(AJ$2&lt;&gt;0,#REF!&gt;=AJ$2),1,0)</f>
        <v>#REF!</v>
      </c>
      <c r="AK108" s="270" t="e">
        <f t="array" ref="AK108">IF(AND(AK$2&lt;&gt;0,#REF!&gt;=AK$2),1,0)</f>
        <v>#REF!</v>
      </c>
      <c r="AL108" s="270" t="e">
        <f t="array" ref="AL108">IF(AND(AL$2&lt;&gt;0,#REF!&gt;=AL$2),1,0)</f>
        <v>#REF!</v>
      </c>
      <c r="AM108" s="270" t="e">
        <f t="array" ref="AM108">IF(AND(AM$2&lt;&gt;0,#REF!&gt;=AM$2),1,0)</f>
        <v>#REF!</v>
      </c>
      <c r="AN108" s="270" t="e">
        <f t="array" ref="AN108">IF(AND(AN$2&lt;&gt;0,#REF!&gt;=AN$2),1,0)</f>
        <v>#REF!</v>
      </c>
      <c r="AO108" s="270" t="e">
        <f t="array" ref="AO108">IF(AND(AO$2&lt;&gt;0,#REF!&gt;=AO$2),1,0)</f>
        <v>#REF!</v>
      </c>
      <c r="AP108" s="270" t="e">
        <f t="array" ref="AP108">IF(AND(AP$2&lt;&gt;0,#REF!&gt;=AP$2),1,0)</f>
        <v>#REF!</v>
      </c>
      <c r="AQ108" s="270" t="e">
        <f t="array" ref="AQ108">IF(AND(AQ$2&lt;&gt;0,#REF!&gt;=AQ$2),1,0)</f>
        <v>#REF!</v>
      </c>
      <c r="AR108" s="270" t="e">
        <f t="array" ref="AR108">IF(AND(AR$2&lt;&gt;0,#REF!&gt;=AR$2),1,0)</f>
        <v>#REF!</v>
      </c>
      <c r="AS108" s="270" t="e">
        <f t="array" ref="AS108">IF(AND(AS$2&lt;&gt;0,#REF!&gt;=AS$2),1,0)</f>
        <v>#REF!</v>
      </c>
      <c r="AT108" s="270" t="e">
        <f t="array" ref="AT108">IF(AND(AT$2&lt;&gt;0,#REF!&gt;=AT$2),1,0)</f>
        <v>#REF!</v>
      </c>
      <c r="AU108" s="270" t="e">
        <f t="array" ref="AU108">IF(AND(AU$2&lt;&gt;0,#REF!&gt;=AU$2),1,0)</f>
        <v>#REF!</v>
      </c>
      <c r="AV108" s="270" t="e">
        <f t="array" ref="AV108">IF(AND(AV$2&lt;&gt;0,#REF!&gt;=AV$2),1,0)</f>
        <v>#REF!</v>
      </c>
      <c r="AW108" s="270" t="e">
        <f t="array" ref="AW108">IF(AND(AW$2&lt;&gt;0,#REF!&gt;=AW$2),1,0)</f>
        <v>#REF!</v>
      </c>
      <c r="AX108" s="270" t="e">
        <f t="array" ref="AX108">IF(AND(AX$2&lt;&gt;0,#REF!&gt;=AX$2),1,0)</f>
        <v>#REF!</v>
      </c>
      <c r="AY108" s="270" t="e">
        <f t="array" ref="AY108">IF(AND(AY$2&lt;&gt;0,#REF!&gt;=AY$2),1,0)</f>
        <v>#REF!</v>
      </c>
      <c r="AZ108" s="270" t="e">
        <f t="array" ref="AZ108">IF(AND(AZ$2&lt;&gt;0,#REF!&gt;=AZ$2),1,0)</f>
        <v>#REF!</v>
      </c>
      <c r="BA108" s="270" t="e">
        <f t="array" ref="BA108">IF(AND(BA$2&lt;&gt;0,#REF!&gt;=BA$2),1,0)</f>
        <v>#REF!</v>
      </c>
      <c r="BB108" s="270" t="e">
        <f t="array" ref="BB108">IF(AND(BB$2&lt;&gt;0,#REF!&gt;=BB$2),1,0)</f>
        <v>#REF!</v>
      </c>
      <c r="BC108" s="270" t="e">
        <f t="array" ref="BC108">IF(AND(BC$2&lt;&gt;0,#REF!&gt;=BC$2),1,0)</f>
        <v>#REF!</v>
      </c>
      <c r="BD108" s="270" t="e">
        <f t="array" ref="BD108">IF(AND(BD$2&lt;&gt;0,#REF!&gt;=BD$2),1,0)</f>
        <v>#REF!</v>
      </c>
      <c r="BE108" s="270" t="e">
        <f t="array" ref="BE108">IF(AND(BE$2&lt;&gt;0,#REF!&gt;=BE$2),1,0)</f>
        <v>#REF!</v>
      </c>
      <c r="BF108" s="270" t="e">
        <f t="array" ref="BF108">IF(AND(BF$2&lt;&gt;0,#REF!&gt;=BF$2),1,0)</f>
        <v>#REF!</v>
      </c>
      <c r="BG108" s="270" t="e">
        <f t="array" ref="BG108">IF(AND(BG$2&lt;&gt;0,#REF!&gt;=BG$2),1,0)</f>
        <v>#REF!</v>
      </c>
      <c r="BH108" s="270" t="e">
        <f t="array" ref="BH108">IF(AND(BH$2&lt;&gt;0,#REF!&gt;=BH$2),1,0)</f>
        <v>#REF!</v>
      </c>
      <c r="BI108" s="270" t="e">
        <f t="array" ref="BI108">IF(AND(BI$2&lt;&gt;0,#REF!&gt;=BI$2),1,0)</f>
        <v>#REF!</v>
      </c>
      <c r="BJ108" s="270" t="e">
        <f t="array" ref="BJ108">IF(AND(BJ$2&lt;&gt;0,#REF!&gt;=BJ$2),1,0)</f>
        <v>#REF!</v>
      </c>
      <c r="BK108" s="270" t="e">
        <f t="array" ref="BK108">IF(AND(BK$2&lt;&gt;0,#REF!&gt;=BK$2),1,0)</f>
        <v>#REF!</v>
      </c>
      <c r="BL108" s="270" t="e">
        <f t="array" ref="BL108">IF(AND(BL$2&lt;&gt;0,#REF!&gt;=BL$2),1,0)</f>
        <v>#REF!</v>
      </c>
      <c r="BM108" s="270" t="e">
        <f t="array" ref="BM108">IF(AND(BM$2&lt;&gt;0,#REF!&gt;=BM$2),1,0)</f>
        <v>#REF!</v>
      </c>
      <c r="BN108" s="270" t="e">
        <f t="array" ref="BN108">IF(AND(BN$2&lt;&gt;0,#REF!&gt;=BN$2),1,0)</f>
        <v>#REF!</v>
      </c>
      <c r="BO108" s="270" t="e">
        <f t="array" ref="BO108">IF(AND(BO$2&lt;&gt;0,#REF!&gt;=BO$2),1,0)</f>
        <v>#REF!</v>
      </c>
      <c r="BP108" s="270" t="e">
        <f t="array" ref="BP108">IF(AND(BP$2&lt;&gt;0,#REF!&gt;=BP$2),1,0)</f>
        <v>#REF!</v>
      </c>
      <c r="BQ108" s="270" t="e">
        <f t="array" ref="BQ108">IF(AND(BQ$2&lt;&gt;0,#REF!&gt;=BQ$2),1,0)</f>
        <v>#REF!</v>
      </c>
      <c r="BR108" s="270" t="e">
        <f t="array" ref="BR108">IF(AND(BR$2&lt;&gt;0,#REF!&gt;=BR$2),1,0)</f>
        <v>#REF!</v>
      </c>
      <c r="BS108" s="270" t="e">
        <f t="array" ref="BS108">IF(AND(BS$2&lt;&gt;0,#REF!&gt;=BS$2),1,0)</f>
        <v>#REF!</v>
      </c>
      <c r="BT108" s="270" t="e">
        <f t="array" ref="BT108">IF(AND(BT$2&lt;&gt;0,#REF!&gt;=BT$2),1,0)</f>
        <v>#REF!</v>
      </c>
      <c r="BU108" s="270" t="e">
        <f t="array" ref="BU108">IF(AND(BU$2&lt;&gt;0,#REF!&gt;=BU$2),1,0)</f>
        <v>#REF!</v>
      </c>
      <c r="BV108" s="270" t="e">
        <f t="array" ref="BV108">IF(AND(BV$2&lt;&gt;0,#REF!&gt;=BV$2),1,0)</f>
        <v>#REF!</v>
      </c>
      <c r="BW108" s="270" t="e">
        <f t="array" ref="BW108">IF(AND(BW$2&lt;&gt;0,#REF!&gt;=BW$2),1,0)</f>
        <v>#REF!</v>
      </c>
      <c r="BX108" s="270" t="e">
        <f t="array" ref="BX108">IF(AND(BX$2&lt;&gt;0,#REF!&gt;=BX$2),1,0)</f>
        <v>#REF!</v>
      </c>
      <c r="BY108" s="270" t="e">
        <f t="array" ref="BY108">IF(AND(BY$2&lt;&gt;0,#REF!&gt;=BY$2),1,0)</f>
        <v>#REF!</v>
      </c>
      <c r="BZ108" s="270" t="e">
        <f t="array" ref="BZ108">IF(AND(BZ$2&lt;&gt;0,#REF!&gt;=BZ$2),1,0)</f>
        <v>#REF!</v>
      </c>
      <c r="CA108" s="359">
        <f>IFERROR(INDEX($H$4:$H$79,MATCH(INDEX(#REF!,1,MATCH(#REF!,$M$2:$BZ$2,0)),$G$4:$G$79,0)),)</f>
        <v>0</v>
      </c>
    </row>
    <row r="109" spans="1:79" x14ac:dyDescent="0.25">
      <c r="A109" s="262" t="e">
        <f>#REF!</f>
        <v>#REF!</v>
      </c>
      <c r="B109" s="263" t="e">
        <f>#REF!</f>
        <v>#REF!</v>
      </c>
      <c r="C109" s="264" t="e">
        <f>#REF!</f>
        <v>#REF!</v>
      </c>
      <c r="D109" s="264" t="e">
        <f>#REF!</f>
        <v>#REF!</v>
      </c>
      <c r="E109" s="273"/>
      <c r="F109" s="274"/>
      <c r="G109" s="267"/>
      <c r="H109" s="268"/>
      <c r="I109" s="268"/>
      <c r="J109" s="268"/>
      <c r="K109" s="89" t="e">
        <f ca="1">IF(#REF!&lt;&gt;OFFSET(#REF!,-1,0),1,0)</f>
        <v>#REF!</v>
      </c>
      <c r="L109" s="269" t="e">
        <f>COUNTIF(#REF!,1)</f>
        <v>#REF!</v>
      </c>
      <c r="M109" s="270" t="e">
        <f t="array" ref="M109">IF(AND(M$2&lt;&gt;0,#REF!&gt;=M$2),1,0)</f>
        <v>#REF!</v>
      </c>
      <c r="N109" s="270" t="e">
        <f t="array" ref="N109">IF(AND(N$2&lt;&gt;0,#REF!&gt;=N$2),1,0)</f>
        <v>#REF!</v>
      </c>
      <c r="O109" s="270" t="e">
        <f t="array" ref="O109">IF(AND(O$2&lt;&gt;0,#REF!&gt;=O$2),1,0)</f>
        <v>#REF!</v>
      </c>
      <c r="P109" s="270" t="e">
        <f t="array" ref="P109">IF(AND(P$2&lt;&gt;0,#REF!&gt;=P$2),1,0)</f>
        <v>#REF!</v>
      </c>
      <c r="Q109" s="270" t="e">
        <f t="array" ref="Q109">IF(AND(Q$2&lt;&gt;0,#REF!&gt;=Q$2),1,0)</f>
        <v>#REF!</v>
      </c>
      <c r="R109" s="270" t="e">
        <f t="array" ref="R109">IF(AND(R$2&lt;&gt;0,#REF!&gt;=R$2),1,0)</f>
        <v>#REF!</v>
      </c>
      <c r="S109" s="270" t="e">
        <f t="array" ref="S109">IF(AND(S$2&lt;&gt;0,#REF!&gt;=S$2),1,0)</f>
        <v>#REF!</v>
      </c>
      <c r="T109" s="270" t="e">
        <f t="array" ref="T109">IF(AND(T$2&lt;&gt;0,#REF!&gt;=T$2),1,0)</f>
        <v>#REF!</v>
      </c>
      <c r="U109" s="270" t="e">
        <f t="array" ref="U109">IF(AND(U$2&lt;&gt;0,#REF!&gt;=U$2),1,0)</f>
        <v>#REF!</v>
      </c>
      <c r="V109" s="270" t="e">
        <f t="array" ref="V109">IF(AND(V$2&lt;&gt;0,#REF!&gt;=V$2),1,0)</f>
        <v>#REF!</v>
      </c>
      <c r="W109" s="270" t="e">
        <f t="array" ref="W109">IF(AND(W$2&lt;&gt;0,#REF!&gt;=W$2),1,0)</f>
        <v>#REF!</v>
      </c>
      <c r="X109" s="270" t="e">
        <f t="array" ref="X109">IF(AND(X$2&lt;&gt;0,#REF!&gt;=X$2),1,0)</f>
        <v>#REF!</v>
      </c>
      <c r="Y109" s="270" t="e">
        <f t="array" ref="Y109">IF(AND(Y$2&lt;&gt;0,#REF!&gt;=Y$2),1,0)</f>
        <v>#REF!</v>
      </c>
      <c r="Z109" s="270" t="e">
        <f t="array" ref="Z109">IF(AND(Z$2&lt;&gt;0,#REF!&gt;=Z$2),1,0)</f>
        <v>#REF!</v>
      </c>
      <c r="AA109" s="270" t="e">
        <f t="array" ref="AA109">IF(AND(AA$2&lt;&gt;0,#REF!&gt;=AA$2),1,0)</f>
        <v>#REF!</v>
      </c>
      <c r="AB109" s="270" t="e">
        <f t="array" ref="AB109">IF(AND(AB$2&lt;&gt;0,#REF!&gt;=AB$2),1,0)</f>
        <v>#REF!</v>
      </c>
      <c r="AC109" s="270" t="e">
        <f t="array" ref="AC109">IF(AND(AC$2&lt;&gt;0,#REF!&gt;=AC$2),1,0)</f>
        <v>#REF!</v>
      </c>
      <c r="AD109" s="270" t="e">
        <f t="array" ref="AD109">IF(AND(AD$2&lt;&gt;0,#REF!&gt;=AD$2),1,0)</f>
        <v>#REF!</v>
      </c>
      <c r="AE109" s="270" t="e">
        <f t="array" ref="AE109">IF(AND(AE$2&lt;&gt;0,#REF!&gt;=AE$2),1,0)</f>
        <v>#REF!</v>
      </c>
      <c r="AF109" s="270" t="e">
        <f t="array" ref="AF109">IF(AND(AF$2&lt;&gt;0,#REF!&gt;=AF$2),1,0)</f>
        <v>#REF!</v>
      </c>
      <c r="AG109" s="270" t="e">
        <f t="array" ref="AG109">IF(AND(AG$2&lt;&gt;0,#REF!&gt;=AG$2),1,0)</f>
        <v>#REF!</v>
      </c>
      <c r="AH109" s="270" t="e">
        <f t="array" ref="AH109">IF(AND(AH$2&lt;&gt;0,#REF!&gt;=AH$2),1,0)</f>
        <v>#REF!</v>
      </c>
      <c r="AI109" s="270" t="e">
        <f t="array" ref="AI109">IF(AND(AI$2&lt;&gt;0,#REF!&gt;=AI$2),1,0)</f>
        <v>#REF!</v>
      </c>
      <c r="AJ109" s="270" t="e">
        <f t="array" ref="AJ109">IF(AND(AJ$2&lt;&gt;0,#REF!&gt;=AJ$2),1,0)</f>
        <v>#REF!</v>
      </c>
      <c r="AK109" s="270" t="e">
        <f t="array" ref="AK109">IF(AND(AK$2&lt;&gt;0,#REF!&gt;=AK$2),1,0)</f>
        <v>#REF!</v>
      </c>
      <c r="AL109" s="270" t="e">
        <f t="array" ref="AL109">IF(AND(AL$2&lt;&gt;0,#REF!&gt;=AL$2),1,0)</f>
        <v>#REF!</v>
      </c>
      <c r="AM109" s="270" t="e">
        <f t="array" ref="AM109">IF(AND(AM$2&lt;&gt;0,#REF!&gt;=AM$2),1,0)</f>
        <v>#REF!</v>
      </c>
      <c r="AN109" s="270" t="e">
        <f t="array" ref="AN109">IF(AND(AN$2&lt;&gt;0,#REF!&gt;=AN$2),1,0)</f>
        <v>#REF!</v>
      </c>
      <c r="AO109" s="270" t="e">
        <f t="array" ref="AO109">IF(AND(AO$2&lt;&gt;0,#REF!&gt;=AO$2),1,0)</f>
        <v>#REF!</v>
      </c>
      <c r="AP109" s="270" t="e">
        <f t="array" ref="AP109">IF(AND(AP$2&lt;&gt;0,#REF!&gt;=AP$2),1,0)</f>
        <v>#REF!</v>
      </c>
      <c r="AQ109" s="270" t="e">
        <f t="array" ref="AQ109">IF(AND(AQ$2&lt;&gt;0,#REF!&gt;=AQ$2),1,0)</f>
        <v>#REF!</v>
      </c>
      <c r="AR109" s="270" t="e">
        <f t="array" ref="AR109">IF(AND(AR$2&lt;&gt;0,#REF!&gt;=AR$2),1,0)</f>
        <v>#REF!</v>
      </c>
      <c r="AS109" s="270" t="e">
        <f t="array" ref="AS109">IF(AND(AS$2&lt;&gt;0,#REF!&gt;=AS$2),1,0)</f>
        <v>#REF!</v>
      </c>
      <c r="AT109" s="270" t="e">
        <f t="array" ref="AT109">IF(AND(AT$2&lt;&gt;0,#REF!&gt;=AT$2),1,0)</f>
        <v>#REF!</v>
      </c>
      <c r="AU109" s="270" t="e">
        <f t="array" ref="AU109">IF(AND(AU$2&lt;&gt;0,#REF!&gt;=AU$2),1,0)</f>
        <v>#REF!</v>
      </c>
      <c r="AV109" s="270" t="e">
        <f t="array" ref="AV109">IF(AND(AV$2&lt;&gt;0,#REF!&gt;=AV$2),1,0)</f>
        <v>#REF!</v>
      </c>
      <c r="AW109" s="270" t="e">
        <f t="array" ref="AW109">IF(AND(AW$2&lt;&gt;0,#REF!&gt;=AW$2),1,0)</f>
        <v>#REF!</v>
      </c>
      <c r="AX109" s="270" t="e">
        <f t="array" ref="AX109">IF(AND(AX$2&lt;&gt;0,#REF!&gt;=AX$2),1,0)</f>
        <v>#REF!</v>
      </c>
      <c r="AY109" s="270" t="e">
        <f t="array" ref="AY109">IF(AND(AY$2&lt;&gt;0,#REF!&gt;=AY$2),1,0)</f>
        <v>#REF!</v>
      </c>
      <c r="AZ109" s="270" t="e">
        <f t="array" ref="AZ109">IF(AND(AZ$2&lt;&gt;0,#REF!&gt;=AZ$2),1,0)</f>
        <v>#REF!</v>
      </c>
      <c r="BA109" s="270" t="e">
        <f t="array" ref="BA109">IF(AND(BA$2&lt;&gt;0,#REF!&gt;=BA$2),1,0)</f>
        <v>#REF!</v>
      </c>
      <c r="BB109" s="270" t="e">
        <f t="array" ref="BB109">IF(AND(BB$2&lt;&gt;0,#REF!&gt;=BB$2),1,0)</f>
        <v>#REF!</v>
      </c>
      <c r="BC109" s="270" t="e">
        <f t="array" ref="BC109">IF(AND(BC$2&lt;&gt;0,#REF!&gt;=BC$2),1,0)</f>
        <v>#REF!</v>
      </c>
      <c r="BD109" s="270" t="e">
        <f t="array" ref="BD109">IF(AND(BD$2&lt;&gt;0,#REF!&gt;=BD$2),1,0)</f>
        <v>#REF!</v>
      </c>
      <c r="BE109" s="270" t="e">
        <f t="array" ref="BE109">IF(AND(BE$2&lt;&gt;0,#REF!&gt;=BE$2),1,0)</f>
        <v>#REF!</v>
      </c>
      <c r="BF109" s="270" t="e">
        <f t="array" ref="BF109">IF(AND(BF$2&lt;&gt;0,#REF!&gt;=BF$2),1,0)</f>
        <v>#REF!</v>
      </c>
      <c r="BG109" s="270" t="e">
        <f t="array" ref="BG109">IF(AND(BG$2&lt;&gt;0,#REF!&gt;=BG$2),1,0)</f>
        <v>#REF!</v>
      </c>
      <c r="BH109" s="270" t="e">
        <f t="array" ref="BH109">IF(AND(BH$2&lt;&gt;0,#REF!&gt;=BH$2),1,0)</f>
        <v>#REF!</v>
      </c>
      <c r="BI109" s="270" t="e">
        <f t="array" ref="BI109">IF(AND(BI$2&lt;&gt;0,#REF!&gt;=BI$2),1,0)</f>
        <v>#REF!</v>
      </c>
      <c r="BJ109" s="270" t="e">
        <f t="array" ref="BJ109">IF(AND(BJ$2&lt;&gt;0,#REF!&gt;=BJ$2),1,0)</f>
        <v>#REF!</v>
      </c>
      <c r="BK109" s="270" t="e">
        <f t="array" ref="BK109">IF(AND(BK$2&lt;&gt;0,#REF!&gt;=BK$2),1,0)</f>
        <v>#REF!</v>
      </c>
      <c r="BL109" s="270" t="e">
        <f t="array" ref="BL109">IF(AND(BL$2&lt;&gt;0,#REF!&gt;=BL$2),1,0)</f>
        <v>#REF!</v>
      </c>
      <c r="BM109" s="270" t="e">
        <f t="array" ref="BM109">IF(AND(BM$2&lt;&gt;0,#REF!&gt;=BM$2),1,0)</f>
        <v>#REF!</v>
      </c>
      <c r="BN109" s="270" t="e">
        <f t="array" ref="BN109">IF(AND(BN$2&lt;&gt;0,#REF!&gt;=BN$2),1,0)</f>
        <v>#REF!</v>
      </c>
      <c r="BO109" s="270" t="e">
        <f t="array" ref="BO109">IF(AND(BO$2&lt;&gt;0,#REF!&gt;=BO$2),1,0)</f>
        <v>#REF!</v>
      </c>
      <c r="BP109" s="270" t="e">
        <f t="array" ref="BP109">IF(AND(BP$2&lt;&gt;0,#REF!&gt;=BP$2),1,0)</f>
        <v>#REF!</v>
      </c>
      <c r="BQ109" s="270" t="e">
        <f t="array" ref="BQ109">IF(AND(BQ$2&lt;&gt;0,#REF!&gt;=BQ$2),1,0)</f>
        <v>#REF!</v>
      </c>
      <c r="BR109" s="270" t="e">
        <f t="array" ref="BR109">IF(AND(BR$2&lt;&gt;0,#REF!&gt;=BR$2),1,0)</f>
        <v>#REF!</v>
      </c>
      <c r="BS109" s="270" t="e">
        <f t="array" ref="BS109">IF(AND(BS$2&lt;&gt;0,#REF!&gt;=BS$2),1,0)</f>
        <v>#REF!</v>
      </c>
      <c r="BT109" s="270" t="e">
        <f t="array" ref="BT109">IF(AND(BT$2&lt;&gt;0,#REF!&gt;=BT$2),1,0)</f>
        <v>#REF!</v>
      </c>
      <c r="BU109" s="270" t="e">
        <f t="array" ref="BU109">IF(AND(BU$2&lt;&gt;0,#REF!&gt;=BU$2),1,0)</f>
        <v>#REF!</v>
      </c>
      <c r="BV109" s="270" t="e">
        <f t="array" ref="BV109">IF(AND(BV$2&lt;&gt;0,#REF!&gt;=BV$2),1,0)</f>
        <v>#REF!</v>
      </c>
      <c r="BW109" s="270" t="e">
        <f t="array" ref="BW109">IF(AND(BW$2&lt;&gt;0,#REF!&gt;=BW$2),1,0)</f>
        <v>#REF!</v>
      </c>
      <c r="BX109" s="270" t="e">
        <f t="array" ref="BX109">IF(AND(BX$2&lt;&gt;0,#REF!&gt;=BX$2),1,0)</f>
        <v>#REF!</v>
      </c>
      <c r="BY109" s="270" t="e">
        <f t="array" ref="BY109">IF(AND(BY$2&lt;&gt;0,#REF!&gt;=BY$2),1,0)</f>
        <v>#REF!</v>
      </c>
      <c r="BZ109" s="270" t="e">
        <f t="array" ref="BZ109">IF(AND(BZ$2&lt;&gt;0,#REF!&gt;=BZ$2),1,0)</f>
        <v>#REF!</v>
      </c>
      <c r="CA109" s="359">
        <f>IFERROR(INDEX($H$4:$H$79,MATCH(INDEX(#REF!,1,MATCH(#REF!,$M$2:$BZ$2,0)),$G$4:$G$79,0)),)</f>
        <v>0</v>
      </c>
    </row>
    <row r="110" spans="1:79" x14ac:dyDescent="0.25">
      <c r="A110" s="262" t="e">
        <f>#REF!</f>
        <v>#REF!</v>
      </c>
      <c r="B110" s="263" t="e">
        <f>#REF!</f>
        <v>#REF!</v>
      </c>
      <c r="C110" s="264" t="e">
        <f>#REF!</f>
        <v>#REF!</v>
      </c>
      <c r="D110" s="264" t="e">
        <f>#REF!</f>
        <v>#REF!</v>
      </c>
      <c r="E110" s="273"/>
      <c r="F110" s="274"/>
      <c r="G110" s="267"/>
      <c r="H110" s="268"/>
      <c r="I110" s="268"/>
      <c r="J110" s="268"/>
      <c r="K110" s="89" t="e">
        <f ca="1">IF(#REF!&lt;&gt;OFFSET(#REF!,-1,0),1,0)</f>
        <v>#REF!</v>
      </c>
      <c r="L110" s="269" t="e">
        <f>COUNTIF(#REF!,1)</f>
        <v>#REF!</v>
      </c>
      <c r="M110" s="270" t="e">
        <f t="array" ref="M110">IF(AND(M$2&lt;&gt;0,#REF!&gt;=M$2),1,0)</f>
        <v>#REF!</v>
      </c>
      <c r="N110" s="270" t="e">
        <f t="array" ref="N110">IF(AND(N$2&lt;&gt;0,#REF!&gt;=N$2),1,0)</f>
        <v>#REF!</v>
      </c>
      <c r="O110" s="270" t="e">
        <f t="array" ref="O110">IF(AND(O$2&lt;&gt;0,#REF!&gt;=O$2),1,0)</f>
        <v>#REF!</v>
      </c>
      <c r="P110" s="270" t="e">
        <f t="array" ref="P110">IF(AND(P$2&lt;&gt;0,#REF!&gt;=P$2),1,0)</f>
        <v>#REF!</v>
      </c>
      <c r="Q110" s="270" t="e">
        <f t="array" ref="Q110">IF(AND(Q$2&lt;&gt;0,#REF!&gt;=Q$2),1,0)</f>
        <v>#REF!</v>
      </c>
      <c r="R110" s="270" t="e">
        <f t="array" ref="R110">IF(AND(R$2&lt;&gt;0,#REF!&gt;=R$2),1,0)</f>
        <v>#REF!</v>
      </c>
      <c r="S110" s="270" t="e">
        <f t="array" ref="S110">IF(AND(S$2&lt;&gt;0,#REF!&gt;=S$2),1,0)</f>
        <v>#REF!</v>
      </c>
      <c r="T110" s="270" t="e">
        <f t="array" ref="T110">IF(AND(T$2&lt;&gt;0,#REF!&gt;=T$2),1,0)</f>
        <v>#REF!</v>
      </c>
      <c r="U110" s="270" t="e">
        <f t="array" ref="U110">IF(AND(U$2&lt;&gt;0,#REF!&gt;=U$2),1,0)</f>
        <v>#REF!</v>
      </c>
      <c r="V110" s="270" t="e">
        <f t="array" ref="V110">IF(AND(V$2&lt;&gt;0,#REF!&gt;=V$2),1,0)</f>
        <v>#REF!</v>
      </c>
      <c r="W110" s="270" t="e">
        <f t="array" ref="W110">IF(AND(W$2&lt;&gt;0,#REF!&gt;=W$2),1,0)</f>
        <v>#REF!</v>
      </c>
      <c r="X110" s="270" t="e">
        <f t="array" ref="X110">IF(AND(X$2&lt;&gt;0,#REF!&gt;=X$2),1,0)</f>
        <v>#REF!</v>
      </c>
      <c r="Y110" s="270" t="e">
        <f t="array" ref="Y110">IF(AND(Y$2&lt;&gt;0,#REF!&gt;=Y$2),1,0)</f>
        <v>#REF!</v>
      </c>
      <c r="Z110" s="270" t="e">
        <f t="array" ref="Z110">IF(AND(Z$2&lt;&gt;0,#REF!&gt;=Z$2),1,0)</f>
        <v>#REF!</v>
      </c>
      <c r="AA110" s="270" t="e">
        <f t="array" ref="AA110">IF(AND(AA$2&lt;&gt;0,#REF!&gt;=AA$2),1,0)</f>
        <v>#REF!</v>
      </c>
      <c r="AB110" s="270" t="e">
        <f t="array" ref="AB110">IF(AND(AB$2&lt;&gt;0,#REF!&gt;=AB$2),1,0)</f>
        <v>#REF!</v>
      </c>
      <c r="AC110" s="270" t="e">
        <f t="array" ref="AC110">IF(AND(AC$2&lt;&gt;0,#REF!&gt;=AC$2),1,0)</f>
        <v>#REF!</v>
      </c>
      <c r="AD110" s="270" t="e">
        <f t="array" ref="AD110">IF(AND(AD$2&lt;&gt;0,#REF!&gt;=AD$2),1,0)</f>
        <v>#REF!</v>
      </c>
      <c r="AE110" s="270" t="e">
        <f t="array" ref="AE110">IF(AND(AE$2&lt;&gt;0,#REF!&gt;=AE$2),1,0)</f>
        <v>#REF!</v>
      </c>
      <c r="AF110" s="270" t="e">
        <f t="array" ref="AF110">IF(AND(AF$2&lt;&gt;0,#REF!&gt;=AF$2),1,0)</f>
        <v>#REF!</v>
      </c>
      <c r="AG110" s="270" t="e">
        <f t="array" ref="AG110">IF(AND(AG$2&lt;&gt;0,#REF!&gt;=AG$2),1,0)</f>
        <v>#REF!</v>
      </c>
      <c r="AH110" s="270" t="e">
        <f t="array" ref="AH110">IF(AND(AH$2&lt;&gt;0,#REF!&gt;=AH$2),1,0)</f>
        <v>#REF!</v>
      </c>
      <c r="AI110" s="270" t="e">
        <f t="array" ref="AI110">IF(AND(AI$2&lt;&gt;0,#REF!&gt;=AI$2),1,0)</f>
        <v>#REF!</v>
      </c>
      <c r="AJ110" s="270" t="e">
        <f t="array" ref="AJ110">IF(AND(AJ$2&lt;&gt;0,#REF!&gt;=AJ$2),1,0)</f>
        <v>#REF!</v>
      </c>
      <c r="AK110" s="270" t="e">
        <f t="array" ref="AK110">IF(AND(AK$2&lt;&gt;0,#REF!&gt;=AK$2),1,0)</f>
        <v>#REF!</v>
      </c>
      <c r="AL110" s="270" t="e">
        <f t="array" ref="AL110">IF(AND(AL$2&lt;&gt;0,#REF!&gt;=AL$2),1,0)</f>
        <v>#REF!</v>
      </c>
      <c r="AM110" s="270" t="e">
        <f t="array" ref="AM110">IF(AND(AM$2&lt;&gt;0,#REF!&gt;=AM$2),1,0)</f>
        <v>#REF!</v>
      </c>
      <c r="AN110" s="270" t="e">
        <f t="array" ref="AN110">IF(AND(AN$2&lt;&gt;0,#REF!&gt;=AN$2),1,0)</f>
        <v>#REF!</v>
      </c>
      <c r="AO110" s="270" t="e">
        <f t="array" ref="AO110">IF(AND(AO$2&lt;&gt;0,#REF!&gt;=AO$2),1,0)</f>
        <v>#REF!</v>
      </c>
      <c r="AP110" s="270" t="e">
        <f t="array" ref="AP110">IF(AND(AP$2&lt;&gt;0,#REF!&gt;=AP$2),1,0)</f>
        <v>#REF!</v>
      </c>
      <c r="AQ110" s="270" t="e">
        <f t="array" ref="AQ110">IF(AND(AQ$2&lt;&gt;0,#REF!&gt;=AQ$2),1,0)</f>
        <v>#REF!</v>
      </c>
      <c r="AR110" s="270" t="e">
        <f t="array" ref="AR110">IF(AND(AR$2&lt;&gt;0,#REF!&gt;=AR$2),1,0)</f>
        <v>#REF!</v>
      </c>
      <c r="AS110" s="270" t="e">
        <f t="array" ref="AS110">IF(AND(AS$2&lt;&gt;0,#REF!&gt;=AS$2),1,0)</f>
        <v>#REF!</v>
      </c>
      <c r="AT110" s="270" t="e">
        <f t="array" ref="AT110">IF(AND(AT$2&lt;&gt;0,#REF!&gt;=AT$2),1,0)</f>
        <v>#REF!</v>
      </c>
      <c r="AU110" s="270" t="e">
        <f t="array" ref="AU110">IF(AND(AU$2&lt;&gt;0,#REF!&gt;=AU$2),1,0)</f>
        <v>#REF!</v>
      </c>
      <c r="AV110" s="270" t="e">
        <f t="array" ref="AV110">IF(AND(AV$2&lt;&gt;0,#REF!&gt;=AV$2),1,0)</f>
        <v>#REF!</v>
      </c>
      <c r="AW110" s="270" t="e">
        <f t="array" ref="AW110">IF(AND(AW$2&lt;&gt;0,#REF!&gt;=AW$2),1,0)</f>
        <v>#REF!</v>
      </c>
      <c r="AX110" s="270" t="e">
        <f t="array" ref="AX110">IF(AND(AX$2&lt;&gt;0,#REF!&gt;=AX$2),1,0)</f>
        <v>#REF!</v>
      </c>
      <c r="AY110" s="270" t="e">
        <f t="array" ref="AY110">IF(AND(AY$2&lt;&gt;0,#REF!&gt;=AY$2),1,0)</f>
        <v>#REF!</v>
      </c>
      <c r="AZ110" s="270" t="e">
        <f t="array" ref="AZ110">IF(AND(AZ$2&lt;&gt;0,#REF!&gt;=AZ$2),1,0)</f>
        <v>#REF!</v>
      </c>
      <c r="BA110" s="270" t="e">
        <f t="array" ref="BA110">IF(AND(BA$2&lt;&gt;0,#REF!&gt;=BA$2),1,0)</f>
        <v>#REF!</v>
      </c>
      <c r="BB110" s="270" t="e">
        <f t="array" ref="BB110">IF(AND(BB$2&lt;&gt;0,#REF!&gt;=BB$2),1,0)</f>
        <v>#REF!</v>
      </c>
      <c r="BC110" s="270" t="e">
        <f t="array" ref="BC110">IF(AND(BC$2&lt;&gt;0,#REF!&gt;=BC$2),1,0)</f>
        <v>#REF!</v>
      </c>
      <c r="BD110" s="270" t="e">
        <f t="array" ref="BD110">IF(AND(BD$2&lt;&gt;0,#REF!&gt;=BD$2),1,0)</f>
        <v>#REF!</v>
      </c>
      <c r="BE110" s="270" t="e">
        <f t="array" ref="BE110">IF(AND(BE$2&lt;&gt;0,#REF!&gt;=BE$2),1,0)</f>
        <v>#REF!</v>
      </c>
      <c r="BF110" s="270" t="e">
        <f t="array" ref="BF110">IF(AND(BF$2&lt;&gt;0,#REF!&gt;=BF$2),1,0)</f>
        <v>#REF!</v>
      </c>
      <c r="BG110" s="270" t="e">
        <f t="array" ref="BG110">IF(AND(BG$2&lt;&gt;0,#REF!&gt;=BG$2),1,0)</f>
        <v>#REF!</v>
      </c>
      <c r="BH110" s="270" t="e">
        <f t="array" ref="BH110">IF(AND(BH$2&lt;&gt;0,#REF!&gt;=BH$2),1,0)</f>
        <v>#REF!</v>
      </c>
      <c r="BI110" s="270" t="e">
        <f t="array" ref="BI110">IF(AND(BI$2&lt;&gt;0,#REF!&gt;=BI$2),1,0)</f>
        <v>#REF!</v>
      </c>
      <c r="BJ110" s="270" t="e">
        <f t="array" ref="BJ110">IF(AND(BJ$2&lt;&gt;0,#REF!&gt;=BJ$2),1,0)</f>
        <v>#REF!</v>
      </c>
      <c r="BK110" s="270" t="e">
        <f t="array" ref="BK110">IF(AND(BK$2&lt;&gt;0,#REF!&gt;=BK$2),1,0)</f>
        <v>#REF!</v>
      </c>
      <c r="BL110" s="270" t="e">
        <f t="array" ref="BL110">IF(AND(BL$2&lt;&gt;0,#REF!&gt;=BL$2),1,0)</f>
        <v>#REF!</v>
      </c>
      <c r="BM110" s="270" t="e">
        <f t="array" ref="BM110">IF(AND(BM$2&lt;&gt;0,#REF!&gt;=BM$2),1,0)</f>
        <v>#REF!</v>
      </c>
      <c r="BN110" s="270" t="e">
        <f t="array" ref="BN110">IF(AND(BN$2&lt;&gt;0,#REF!&gt;=BN$2),1,0)</f>
        <v>#REF!</v>
      </c>
      <c r="BO110" s="270" t="e">
        <f t="array" ref="BO110">IF(AND(BO$2&lt;&gt;0,#REF!&gt;=BO$2),1,0)</f>
        <v>#REF!</v>
      </c>
      <c r="BP110" s="270" t="e">
        <f t="array" ref="BP110">IF(AND(BP$2&lt;&gt;0,#REF!&gt;=BP$2),1,0)</f>
        <v>#REF!</v>
      </c>
      <c r="BQ110" s="270" t="e">
        <f t="array" ref="BQ110">IF(AND(BQ$2&lt;&gt;0,#REF!&gt;=BQ$2),1,0)</f>
        <v>#REF!</v>
      </c>
      <c r="BR110" s="270" t="e">
        <f t="array" ref="BR110">IF(AND(BR$2&lt;&gt;0,#REF!&gt;=BR$2),1,0)</f>
        <v>#REF!</v>
      </c>
      <c r="BS110" s="270" t="e">
        <f t="array" ref="BS110">IF(AND(BS$2&lt;&gt;0,#REF!&gt;=BS$2),1,0)</f>
        <v>#REF!</v>
      </c>
      <c r="BT110" s="270" t="e">
        <f t="array" ref="BT110">IF(AND(BT$2&lt;&gt;0,#REF!&gt;=BT$2),1,0)</f>
        <v>#REF!</v>
      </c>
      <c r="BU110" s="270" t="e">
        <f t="array" ref="BU110">IF(AND(BU$2&lt;&gt;0,#REF!&gt;=BU$2),1,0)</f>
        <v>#REF!</v>
      </c>
      <c r="BV110" s="270" t="e">
        <f t="array" ref="BV110">IF(AND(BV$2&lt;&gt;0,#REF!&gt;=BV$2),1,0)</f>
        <v>#REF!</v>
      </c>
      <c r="BW110" s="270" t="e">
        <f t="array" ref="BW110">IF(AND(BW$2&lt;&gt;0,#REF!&gt;=BW$2),1,0)</f>
        <v>#REF!</v>
      </c>
      <c r="BX110" s="270" t="e">
        <f t="array" ref="BX110">IF(AND(BX$2&lt;&gt;0,#REF!&gt;=BX$2),1,0)</f>
        <v>#REF!</v>
      </c>
      <c r="BY110" s="270" t="e">
        <f t="array" ref="BY110">IF(AND(BY$2&lt;&gt;0,#REF!&gt;=BY$2),1,0)</f>
        <v>#REF!</v>
      </c>
      <c r="BZ110" s="270" t="e">
        <f t="array" ref="BZ110">IF(AND(BZ$2&lt;&gt;0,#REF!&gt;=BZ$2),1,0)</f>
        <v>#REF!</v>
      </c>
      <c r="CA110" s="359">
        <f>IFERROR(INDEX($H$4:$H$79,MATCH(INDEX(#REF!,1,MATCH(#REF!,$M$2:$BZ$2,0)),$G$4:$G$79,0)),)</f>
        <v>0</v>
      </c>
    </row>
    <row r="111" spans="1:79" x14ac:dyDescent="0.25">
      <c r="A111" s="262" t="e">
        <f>#REF!</f>
        <v>#REF!</v>
      </c>
      <c r="B111" s="263" t="e">
        <f>#REF!</f>
        <v>#REF!</v>
      </c>
      <c r="C111" s="264" t="e">
        <f>#REF!</f>
        <v>#REF!</v>
      </c>
      <c r="D111" s="264" t="e">
        <f>#REF!</f>
        <v>#REF!</v>
      </c>
      <c r="E111" s="273"/>
      <c r="F111" s="274"/>
      <c r="G111" s="267"/>
      <c r="H111" s="268"/>
      <c r="I111" s="268"/>
      <c r="J111" s="268"/>
      <c r="K111" s="89" t="e">
        <f ca="1">IF(#REF!&lt;&gt;OFFSET(#REF!,-1,0),1,0)</f>
        <v>#REF!</v>
      </c>
      <c r="L111" s="269" t="e">
        <f>COUNTIF(#REF!,1)</f>
        <v>#REF!</v>
      </c>
      <c r="M111" s="270" t="e">
        <f t="array" ref="M111">IF(AND(M$2&lt;&gt;0,#REF!&gt;=M$2),1,0)</f>
        <v>#REF!</v>
      </c>
      <c r="N111" s="270" t="e">
        <f t="array" ref="N111">IF(AND(N$2&lt;&gt;0,#REF!&gt;=N$2),1,0)</f>
        <v>#REF!</v>
      </c>
      <c r="O111" s="270" t="e">
        <f t="array" ref="O111">IF(AND(O$2&lt;&gt;0,#REF!&gt;=O$2),1,0)</f>
        <v>#REF!</v>
      </c>
      <c r="P111" s="270" t="e">
        <f t="array" ref="P111">IF(AND(P$2&lt;&gt;0,#REF!&gt;=P$2),1,0)</f>
        <v>#REF!</v>
      </c>
      <c r="Q111" s="270" t="e">
        <f t="array" ref="Q111">IF(AND(Q$2&lt;&gt;0,#REF!&gt;=Q$2),1,0)</f>
        <v>#REF!</v>
      </c>
      <c r="R111" s="270" t="e">
        <f t="array" ref="R111">IF(AND(R$2&lt;&gt;0,#REF!&gt;=R$2),1,0)</f>
        <v>#REF!</v>
      </c>
      <c r="S111" s="270" t="e">
        <f t="array" ref="S111">IF(AND(S$2&lt;&gt;0,#REF!&gt;=S$2),1,0)</f>
        <v>#REF!</v>
      </c>
      <c r="T111" s="270" t="e">
        <f t="array" ref="T111">IF(AND(T$2&lt;&gt;0,#REF!&gt;=T$2),1,0)</f>
        <v>#REF!</v>
      </c>
      <c r="U111" s="270" t="e">
        <f t="array" ref="U111">IF(AND(U$2&lt;&gt;0,#REF!&gt;=U$2),1,0)</f>
        <v>#REF!</v>
      </c>
      <c r="V111" s="270" t="e">
        <f t="array" ref="V111">IF(AND(V$2&lt;&gt;0,#REF!&gt;=V$2),1,0)</f>
        <v>#REF!</v>
      </c>
      <c r="W111" s="270" t="e">
        <f t="array" ref="W111">IF(AND(W$2&lt;&gt;0,#REF!&gt;=W$2),1,0)</f>
        <v>#REF!</v>
      </c>
      <c r="X111" s="270" t="e">
        <f t="array" ref="X111">IF(AND(X$2&lt;&gt;0,#REF!&gt;=X$2),1,0)</f>
        <v>#REF!</v>
      </c>
      <c r="Y111" s="270" t="e">
        <f t="array" ref="Y111">IF(AND(Y$2&lt;&gt;0,#REF!&gt;=Y$2),1,0)</f>
        <v>#REF!</v>
      </c>
      <c r="Z111" s="270" t="e">
        <f t="array" ref="Z111">IF(AND(Z$2&lt;&gt;0,#REF!&gt;=Z$2),1,0)</f>
        <v>#REF!</v>
      </c>
      <c r="AA111" s="270" t="e">
        <f t="array" ref="AA111">IF(AND(AA$2&lt;&gt;0,#REF!&gt;=AA$2),1,0)</f>
        <v>#REF!</v>
      </c>
      <c r="AB111" s="270" t="e">
        <f t="array" ref="AB111">IF(AND(AB$2&lt;&gt;0,#REF!&gt;=AB$2),1,0)</f>
        <v>#REF!</v>
      </c>
      <c r="AC111" s="270" t="e">
        <f t="array" ref="AC111">IF(AND(AC$2&lt;&gt;0,#REF!&gt;=AC$2),1,0)</f>
        <v>#REF!</v>
      </c>
      <c r="AD111" s="270" t="e">
        <f t="array" ref="AD111">IF(AND(AD$2&lt;&gt;0,#REF!&gt;=AD$2),1,0)</f>
        <v>#REF!</v>
      </c>
      <c r="AE111" s="270" t="e">
        <f t="array" ref="AE111">IF(AND(AE$2&lt;&gt;0,#REF!&gt;=AE$2),1,0)</f>
        <v>#REF!</v>
      </c>
      <c r="AF111" s="270" t="e">
        <f t="array" ref="AF111">IF(AND(AF$2&lt;&gt;0,#REF!&gt;=AF$2),1,0)</f>
        <v>#REF!</v>
      </c>
      <c r="AG111" s="270" t="e">
        <f t="array" ref="AG111">IF(AND(AG$2&lt;&gt;0,#REF!&gt;=AG$2),1,0)</f>
        <v>#REF!</v>
      </c>
      <c r="AH111" s="270" t="e">
        <f t="array" ref="AH111">IF(AND(AH$2&lt;&gt;0,#REF!&gt;=AH$2),1,0)</f>
        <v>#REF!</v>
      </c>
      <c r="AI111" s="270" t="e">
        <f t="array" ref="AI111">IF(AND(AI$2&lt;&gt;0,#REF!&gt;=AI$2),1,0)</f>
        <v>#REF!</v>
      </c>
      <c r="AJ111" s="270" t="e">
        <f t="array" ref="AJ111">IF(AND(AJ$2&lt;&gt;0,#REF!&gt;=AJ$2),1,0)</f>
        <v>#REF!</v>
      </c>
      <c r="AK111" s="270" t="e">
        <f t="array" ref="AK111">IF(AND(AK$2&lt;&gt;0,#REF!&gt;=AK$2),1,0)</f>
        <v>#REF!</v>
      </c>
      <c r="AL111" s="270" t="e">
        <f t="array" ref="AL111">IF(AND(AL$2&lt;&gt;0,#REF!&gt;=AL$2),1,0)</f>
        <v>#REF!</v>
      </c>
      <c r="AM111" s="270" t="e">
        <f t="array" ref="AM111">IF(AND(AM$2&lt;&gt;0,#REF!&gt;=AM$2),1,0)</f>
        <v>#REF!</v>
      </c>
      <c r="AN111" s="270" t="e">
        <f t="array" ref="AN111">IF(AND(AN$2&lt;&gt;0,#REF!&gt;=AN$2),1,0)</f>
        <v>#REF!</v>
      </c>
      <c r="AO111" s="270" t="e">
        <f t="array" ref="AO111">IF(AND(AO$2&lt;&gt;0,#REF!&gt;=AO$2),1,0)</f>
        <v>#REF!</v>
      </c>
      <c r="AP111" s="270" t="e">
        <f t="array" ref="AP111">IF(AND(AP$2&lt;&gt;0,#REF!&gt;=AP$2),1,0)</f>
        <v>#REF!</v>
      </c>
      <c r="AQ111" s="270" t="e">
        <f t="array" ref="AQ111">IF(AND(AQ$2&lt;&gt;0,#REF!&gt;=AQ$2),1,0)</f>
        <v>#REF!</v>
      </c>
      <c r="AR111" s="270" t="e">
        <f t="array" ref="AR111">IF(AND(AR$2&lt;&gt;0,#REF!&gt;=AR$2),1,0)</f>
        <v>#REF!</v>
      </c>
      <c r="AS111" s="270" t="e">
        <f t="array" ref="AS111">IF(AND(AS$2&lt;&gt;0,#REF!&gt;=AS$2),1,0)</f>
        <v>#REF!</v>
      </c>
      <c r="AT111" s="270" t="e">
        <f t="array" ref="AT111">IF(AND(AT$2&lt;&gt;0,#REF!&gt;=AT$2),1,0)</f>
        <v>#REF!</v>
      </c>
      <c r="AU111" s="270" t="e">
        <f t="array" ref="AU111">IF(AND(AU$2&lt;&gt;0,#REF!&gt;=AU$2),1,0)</f>
        <v>#REF!</v>
      </c>
      <c r="AV111" s="270" t="e">
        <f t="array" ref="AV111">IF(AND(AV$2&lt;&gt;0,#REF!&gt;=AV$2),1,0)</f>
        <v>#REF!</v>
      </c>
      <c r="AW111" s="270" t="e">
        <f t="array" ref="AW111">IF(AND(AW$2&lt;&gt;0,#REF!&gt;=AW$2),1,0)</f>
        <v>#REF!</v>
      </c>
      <c r="AX111" s="270" t="e">
        <f t="array" ref="AX111">IF(AND(AX$2&lt;&gt;0,#REF!&gt;=AX$2),1,0)</f>
        <v>#REF!</v>
      </c>
      <c r="AY111" s="270" t="e">
        <f t="array" ref="AY111">IF(AND(AY$2&lt;&gt;0,#REF!&gt;=AY$2),1,0)</f>
        <v>#REF!</v>
      </c>
      <c r="AZ111" s="270" t="e">
        <f t="array" ref="AZ111">IF(AND(AZ$2&lt;&gt;0,#REF!&gt;=AZ$2),1,0)</f>
        <v>#REF!</v>
      </c>
      <c r="BA111" s="270" t="e">
        <f t="array" ref="BA111">IF(AND(BA$2&lt;&gt;0,#REF!&gt;=BA$2),1,0)</f>
        <v>#REF!</v>
      </c>
      <c r="BB111" s="270" t="e">
        <f t="array" ref="BB111">IF(AND(BB$2&lt;&gt;0,#REF!&gt;=BB$2),1,0)</f>
        <v>#REF!</v>
      </c>
      <c r="BC111" s="270" t="e">
        <f t="array" ref="BC111">IF(AND(BC$2&lt;&gt;0,#REF!&gt;=BC$2),1,0)</f>
        <v>#REF!</v>
      </c>
      <c r="BD111" s="270" t="e">
        <f t="array" ref="BD111">IF(AND(BD$2&lt;&gt;0,#REF!&gt;=BD$2),1,0)</f>
        <v>#REF!</v>
      </c>
      <c r="BE111" s="270" t="e">
        <f t="array" ref="BE111">IF(AND(BE$2&lt;&gt;0,#REF!&gt;=BE$2),1,0)</f>
        <v>#REF!</v>
      </c>
      <c r="BF111" s="270" t="e">
        <f t="array" ref="BF111">IF(AND(BF$2&lt;&gt;0,#REF!&gt;=BF$2),1,0)</f>
        <v>#REF!</v>
      </c>
      <c r="BG111" s="270" t="e">
        <f t="array" ref="BG111">IF(AND(BG$2&lt;&gt;0,#REF!&gt;=BG$2),1,0)</f>
        <v>#REF!</v>
      </c>
      <c r="BH111" s="270" t="e">
        <f t="array" ref="BH111">IF(AND(BH$2&lt;&gt;0,#REF!&gt;=BH$2),1,0)</f>
        <v>#REF!</v>
      </c>
      <c r="BI111" s="270" t="e">
        <f t="array" ref="BI111">IF(AND(BI$2&lt;&gt;0,#REF!&gt;=BI$2),1,0)</f>
        <v>#REF!</v>
      </c>
      <c r="BJ111" s="270" t="e">
        <f t="array" ref="BJ111">IF(AND(BJ$2&lt;&gt;0,#REF!&gt;=BJ$2),1,0)</f>
        <v>#REF!</v>
      </c>
      <c r="BK111" s="270" t="e">
        <f t="array" ref="BK111">IF(AND(BK$2&lt;&gt;0,#REF!&gt;=BK$2),1,0)</f>
        <v>#REF!</v>
      </c>
      <c r="BL111" s="270" t="e">
        <f t="array" ref="BL111">IF(AND(BL$2&lt;&gt;0,#REF!&gt;=BL$2),1,0)</f>
        <v>#REF!</v>
      </c>
      <c r="BM111" s="270" t="e">
        <f t="array" ref="BM111">IF(AND(BM$2&lt;&gt;0,#REF!&gt;=BM$2),1,0)</f>
        <v>#REF!</v>
      </c>
      <c r="BN111" s="270" t="e">
        <f t="array" ref="BN111">IF(AND(BN$2&lt;&gt;0,#REF!&gt;=BN$2),1,0)</f>
        <v>#REF!</v>
      </c>
      <c r="BO111" s="270" t="e">
        <f t="array" ref="BO111">IF(AND(BO$2&lt;&gt;0,#REF!&gt;=BO$2),1,0)</f>
        <v>#REF!</v>
      </c>
      <c r="BP111" s="270" t="e">
        <f t="array" ref="BP111">IF(AND(BP$2&lt;&gt;0,#REF!&gt;=BP$2),1,0)</f>
        <v>#REF!</v>
      </c>
      <c r="BQ111" s="270" t="e">
        <f t="array" ref="BQ111">IF(AND(BQ$2&lt;&gt;0,#REF!&gt;=BQ$2),1,0)</f>
        <v>#REF!</v>
      </c>
      <c r="BR111" s="270" t="e">
        <f t="array" ref="BR111">IF(AND(BR$2&lt;&gt;0,#REF!&gt;=BR$2),1,0)</f>
        <v>#REF!</v>
      </c>
      <c r="BS111" s="270" t="e">
        <f t="array" ref="BS111">IF(AND(BS$2&lt;&gt;0,#REF!&gt;=BS$2),1,0)</f>
        <v>#REF!</v>
      </c>
      <c r="BT111" s="270" t="e">
        <f t="array" ref="BT111">IF(AND(BT$2&lt;&gt;0,#REF!&gt;=BT$2),1,0)</f>
        <v>#REF!</v>
      </c>
      <c r="BU111" s="270" t="e">
        <f t="array" ref="BU111">IF(AND(BU$2&lt;&gt;0,#REF!&gt;=BU$2),1,0)</f>
        <v>#REF!</v>
      </c>
      <c r="BV111" s="270" t="e">
        <f t="array" ref="BV111">IF(AND(BV$2&lt;&gt;0,#REF!&gt;=BV$2),1,0)</f>
        <v>#REF!</v>
      </c>
      <c r="BW111" s="270" t="e">
        <f t="array" ref="BW111">IF(AND(BW$2&lt;&gt;0,#REF!&gt;=BW$2),1,0)</f>
        <v>#REF!</v>
      </c>
      <c r="BX111" s="270" t="e">
        <f t="array" ref="BX111">IF(AND(BX$2&lt;&gt;0,#REF!&gt;=BX$2),1,0)</f>
        <v>#REF!</v>
      </c>
      <c r="BY111" s="270" t="e">
        <f t="array" ref="BY111">IF(AND(BY$2&lt;&gt;0,#REF!&gt;=BY$2),1,0)</f>
        <v>#REF!</v>
      </c>
      <c r="BZ111" s="270" t="e">
        <f t="array" ref="BZ111">IF(AND(BZ$2&lt;&gt;0,#REF!&gt;=BZ$2),1,0)</f>
        <v>#REF!</v>
      </c>
      <c r="CA111" s="359">
        <f>IFERROR(INDEX($H$4:$H$79,MATCH(INDEX(#REF!,1,MATCH(#REF!,$M$2:$BZ$2,0)),$G$4:$G$79,0)),)</f>
        <v>0</v>
      </c>
    </row>
    <row r="112" spans="1:79" x14ac:dyDescent="0.25">
      <c r="A112" s="262" t="e">
        <f>#REF!</f>
        <v>#REF!</v>
      </c>
      <c r="B112" s="263" t="e">
        <f>#REF!</f>
        <v>#REF!</v>
      </c>
      <c r="C112" s="264" t="e">
        <f>#REF!</f>
        <v>#REF!</v>
      </c>
      <c r="D112" s="264" t="e">
        <f>#REF!</f>
        <v>#REF!</v>
      </c>
      <c r="E112" s="273"/>
      <c r="F112" s="274"/>
      <c r="G112" s="267"/>
      <c r="H112" s="268"/>
      <c r="I112" s="268"/>
      <c r="J112" s="268"/>
      <c r="K112" s="89" t="e">
        <f ca="1">IF(#REF!&lt;&gt;OFFSET(#REF!,-1,0),1,0)</f>
        <v>#REF!</v>
      </c>
      <c r="L112" s="269" t="e">
        <f>COUNTIF(#REF!,1)</f>
        <v>#REF!</v>
      </c>
      <c r="M112" s="270" t="e">
        <f t="array" ref="M112">IF(AND(M$2&lt;&gt;0,#REF!&gt;=M$2),1,0)</f>
        <v>#REF!</v>
      </c>
      <c r="N112" s="270" t="e">
        <f t="array" ref="N112">IF(AND(N$2&lt;&gt;0,#REF!&gt;=N$2),1,0)</f>
        <v>#REF!</v>
      </c>
      <c r="O112" s="270" t="e">
        <f t="array" ref="O112">IF(AND(O$2&lt;&gt;0,#REF!&gt;=O$2),1,0)</f>
        <v>#REF!</v>
      </c>
      <c r="P112" s="270" t="e">
        <f t="array" ref="P112">IF(AND(P$2&lt;&gt;0,#REF!&gt;=P$2),1,0)</f>
        <v>#REF!</v>
      </c>
      <c r="Q112" s="270" t="e">
        <f t="array" ref="Q112">IF(AND(Q$2&lt;&gt;0,#REF!&gt;=Q$2),1,0)</f>
        <v>#REF!</v>
      </c>
      <c r="R112" s="270" t="e">
        <f t="array" ref="R112">IF(AND(R$2&lt;&gt;0,#REF!&gt;=R$2),1,0)</f>
        <v>#REF!</v>
      </c>
      <c r="S112" s="270" t="e">
        <f t="array" ref="S112">IF(AND(S$2&lt;&gt;0,#REF!&gt;=S$2),1,0)</f>
        <v>#REF!</v>
      </c>
      <c r="T112" s="270" t="e">
        <f t="array" ref="T112">IF(AND(T$2&lt;&gt;0,#REF!&gt;=T$2),1,0)</f>
        <v>#REF!</v>
      </c>
      <c r="U112" s="270" t="e">
        <f t="array" ref="U112">IF(AND(U$2&lt;&gt;0,#REF!&gt;=U$2),1,0)</f>
        <v>#REF!</v>
      </c>
      <c r="V112" s="270" t="e">
        <f t="array" ref="V112">IF(AND(V$2&lt;&gt;0,#REF!&gt;=V$2),1,0)</f>
        <v>#REF!</v>
      </c>
      <c r="W112" s="270" t="e">
        <f t="array" ref="W112">IF(AND(W$2&lt;&gt;0,#REF!&gt;=W$2),1,0)</f>
        <v>#REF!</v>
      </c>
      <c r="X112" s="270" t="e">
        <f t="array" ref="X112">IF(AND(X$2&lt;&gt;0,#REF!&gt;=X$2),1,0)</f>
        <v>#REF!</v>
      </c>
      <c r="Y112" s="270" t="e">
        <f t="array" ref="Y112">IF(AND(Y$2&lt;&gt;0,#REF!&gt;=Y$2),1,0)</f>
        <v>#REF!</v>
      </c>
      <c r="Z112" s="270" t="e">
        <f t="array" ref="Z112">IF(AND(Z$2&lt;&gt;0,#REF!&gt;=Z$2),1,0)</f>
        <v>#REF!</v>
      </c>
      <c r="AA112" s="270" t="e">
        <f t="array" ref="AA112">IF(AND(AA$2&lt;&gt;0,#REF!&gt;=AA$2),1,0)</f>
        <v>#REF!</v>
      </c>
      <c r="AB112" s="270" t="e">
        <f t="array" ref="AB112">IF(AND(AB$2&lt;&gt;0,#REF!&gt;=AB$2),1,0)</f>
        <v>#REF!</v>
      </c>
      <c r="AC112" s="270" t="e">
        <f t="array" ref="AC112">IF(AND(AC$2&lt;&gt;0,#REF!&gt;=AC$2),1,0)</f>
        <v>#REF!</v>
      </c>
      <c r="AD112" s="270" t="e">
        <f t="array" ref="AD112">IF(AND(AD$2&lt;&gt;0,#REF!&gt;=AD$2),1,0)</f>
        <v>#REF!</v>
      </c>
      <c r="AE112" s="270" t="e">
        <f t="array" ref="AE112">IF(AND(AE$2&lt;&gt;0,#REF!&gt;=AE$2),1,0)</f>
        <v>#REF!</v>
      </c>
      <c r="AF112" s="270" t="e">
        <f t="array" ref="AF112">IF(AND(AF$2&lt;&gt;0,#REF!&gt;=AF$2),1,0)</f>
        <v>#REF!</v>
      </c>
      <c r="AG112" s="270" t="e">
        <f t="array" ref="AG112">IF(AND(AG$2&lt;&gt;0,#REF!&gt;=AG$2),1,0)</f>
        <v>#REF!</v>
      </c>
      <c r="AH112" s="270" t="e">
        <f t="array" ref="AH112">IF(AND(AH$2&lt;&gt;0,#REF!&gt;=AH$2),1,0)</f>
        <v>#REF!</v>
      </c>
      <c r="AI112" s="270" t="e">
        <f t="array" ref="AI112">IF(AND(AI$2&lt;&gt;0,#REF!&gt;=AI$2),1,0)</f>
        <v>#REF!</v>
      </c>
      <c r="AJ112" s="270" t="e">
        <f t="array" ref="AJ112">IF(AND(AJ$2&lt;&gt;0,#REF!&gt;=AJ$2),1,0)</f>
        <v>#REF!</v>
      </c>
      <c r="AK112" s="270" t="e">
        <f t="array" ref="AK112">IF(AND(AK$2&lt;&gt;0,#REF!&gt;=AK$2),1,0)</f>
        <v>#REF!</v>
      </c>
      <c r="AL112" s="270" t="e">
        <f t="array" ref="AL112">IF(AND(AL$2&lt;&gt;0,#REF!&gt;=AL$2),1,0)</f>
        <v>#REF!</v>
      </c>
      <c r="AM112" s="270" t="e">
        <f t="array" ref="AM112">IF(AND(AM$2&lt;&gt;0,#REF!&gt;=AM$2),1,0)</f>
        <v>#REF!</v>
      </c>
      <c r="AN112" s="270" t="e">
        <f t="array" ref="AN112">IF(AND(AN$2&lt;&gt;0,#REF!&gt;=AN$2),1,0)</f>
        <v>#REF!</v>
      </c>
      <c r="AO112" s="270" t="e">
        <f t="array" ref="AO112">IF(AND(AO$2&lt;&gt;0,#REF!&gt;=AO$2),1,0)</f>
        <v>#REF!</v>
      </c>
      <c r="AP112" s="270" t="e">
        <f t="array" ref="AP112">IF(AND(AP$2&lt;&gt;0,#REF!&gt;=AP$2),1,0)</f>
        <v>#REF!</v>
      </c>
      <c r="AQ112" s="270" t="e">
        <f t="array" ref="AQ112">IF(AND(AQ$2&lt;&gt;0,#REF!&gt;=AQ$2),1,0)</f>
        <v>#REF!</v>
      </c>
      <c r="AR112" s="270" t="e">
        <f t="array" ref="AR112">IF(AND(AR$2&lt;&gt;0,#REF!&gt;=AR$2),1,0)</f>
        <v>#REF!</v>
      </c>
      <c r="AS112" s="270" t="e">
        <f t="array" ref="AS112">IF(AND(AS$2&lt;&gt;0,#REF!&gt;=AS$2),1,0)</f>
        <v>#REF!</v>
      </c>
      <c r="AT112" s="270" t="e">
        <f t="array" ref="AT112">IF(AND(AT$2&lt;&gt;0,#REF!&gt;=AT$2),1,0)</f>
        <v>#REF!</v>
      </c>
      <c r="AU112" s="270" t="e">
        <f t="array" ref="AU112">IF(AND(AU$2&lt;&gt;0,#REF!&gt;=AU$2),1,0)</f>
        <v>#REF!</v>
      </c>
      <c r="AV112" s="270" t="e">
        <f t="array" ref="AV112">IF(AND(AV$2&lt;&gt;0,#REF!&gt;=AV$2),1,0)</f>
        <v>#REF!</v>
      </c>
      <c r="AW112" s="270" t="e">
        <f t="array" ref="AW112">IF(AND(AW$2&lt;&gt;0,#REF!&gt;=AW$2),1,0)</f>
        <v>#REF!</v>
      </c>
      <c r="AX112" s="270" t="e">
        <f t="array" ref="AX112">IF(AND(AX$2&lt;&gt;0,#REF!&gt;=AX$2),1,0)</f>
        <v>#REF!</v>
      </c>
      <c r="AY112" s="270" t="e">
        <f t="array" ref="AY112">IF(AND(AY$2&lt;&gt;0,#REF!&gt;=AY$2),1,0)</f>
        <v>#REF!</v>
      </c>
      <c r="AZ112" s="270" t="e">
        <f t="array" ref="AZ112">IF(AND(AZ$2&lt;&gt;0,#REF!&gt;=AZ$2),1,0)</f>
        <v>#REF!</v>
      </c>
      <c r="BA112" s="270" t="e">
        <f t="array" ref="BA112">IF(AND(BA$2&lt;&gt;0,#REF!&gt;=BA$2),1,0)</f>
        <v>#REF!</v>
      </c>
      <c r="BB112" s="270" t="e">
        <f t="array" ref="BB112">IF(AND(BB$2&lt;&gt;0,#REF!&gt;=BB$2),1,0)</f>
        <v>#REF!</v>
      </c>
      <c r="BC112" s="270" t="e">
        <f t="array" ref="BC112">IF(AND(BC$2&lt;&gt;0,#REF!&gt;=BC$2),1,0)</f>
        <v>#REF!</v>
      </c>
      <c r="BD112" s="270" t="e">
        <f t="array" ref="BD112">IF(AND(BD$2&lt;&gt;0,#REF!&gt;=BD$2),1,0)</f>
        <v>#REF!</v>
      </c>
      <c r="BE112" s="270" t="e">
        <f t="array" ref="BE112">IF(AND(BE$2&lt;&gt;0,#REF!&gt;=BE$2),1,0)</f>
        <v>#REF!</v>
      </c>
      <c r="BF112" s="270" t="e">
        <f t="array" ref="BF112">IF(AND(BF$2&lt;&gt;0,#REF!&gt;=BF$2),1,0)</f>
        <v>#REF!</v>
      </c>
      <c r="BG112" s="270" t="e">
        <f t="array" ref="BG112">IF(AND(BG$2&lt;&gt;0,#REF!&gt;=BG$2),1,0)</f>
        <v>#REF!</v>
      </c>
      <c r="BH112" s="270" t="e">
        <f t="array" ref="BH112">IF(AND(BH$2&lt;&gt;0,#REF!&gt;=BH$2),1,0)</f>
        <v>#REF!</v>
      </c>
      <c r="BI112" s="270" t="e">
        <f t="array" ref="BI112">IF(AND(BI$2&lt;&gt;0,#REF!&gt;=BI$2),1,0)</f>
        <v>#REF!</v>
      </c>
      <c r="BJ112" s="270" t="e">
        <f t="array" ref="BJ112">IF(AND(BJ$2&lt;&gt;0,#REF!&gt;=BJ$2),1,0)</f>
        <v>#REF!</v>
      </c>
      <c r="BK112" s="270" t="e">
        <f t="array" ref="BK112">IF(AND(BK$2&lt;&gt;0,#REF!&gt;=BK$2),1,0)</f>
        <v>#REF!</v>
      </c>
      <c r="BL112" s="270" t="e">
        <f t="array" ref="BL112">IF(AND(BL$2&lt;&gt;0,#REF!&gt;=BL$2),1,0)</f>
        <v>#REF!</v>
      </c>
      <c r="BM112" s="270" t="e">
        <f t="array" ref="BM112">IF(AND(BM$2&lt;&gt;0,#REF!&gt;=BM$2),1,0)</f>
        <v>#REF!</v>
      </c>
      <c r="BN112" s="270" t="e">
        <f t="array" ref="BN112">IF(AND(BN$2&lt;&gt;0,#REF!&gt;=BN$2),1,0)</f>
        <v>#REF!</v>
      </c>
      <c r="BO112" s="270" t="e">
        <f t="array" ref="BO112">IF(AND(BO$2&lt;&gt;0,#REF!&gt;=BO$2),1,0)</f>
        <v>#REF!</v>
      </c>
      <c r="BP112" s="270" t="e">
        <f t="array" ref="BP112">IF(AND(BP$2&lt;&gt;0,#REF!&gt;=BP$2),1,0)</f>
        <v>#REF!</v>
      </c>
      <c r="BQ112" s="270" t="e">
        <f t="array" ref="BQ112">IF(AND(BQ$2&lt;&gt;0,#REF!&gt;=BQ$2),1,0)</f>
        <v>#REF!</v>
      </c>
      <c r="BR112" s="270" t="e">
        <f t="array" ref="BR112">IF(AND(BR$2&lt;&gt;0,#REF!&gt;=BR$2),1,0)</f>
        <v>#REF!</v>
      </c>
      <c r="BS112" s="270" t="e">
        <f t="array" ref="BS112">IF(AND(BS$2&lt;&gt;0,#REF!&gt;=BS$2),1,0)</f>
        <v>#REF!</v>
      </c>
      <c r="BT112" s="270" t="e">
        <f t="array" ref="BT112">IF(AND(BT$2&lt;&gt;0,#REF!&gt;=BT$2),1,0)</f>
        <v>#REF!</v>
      </c>
      <c r="BU112" s="270" t="e">
        <f t="array" ref="BU112">IF(AND(BU$2&lt;&gt;0,#REF!&gt;=BU$2),1,0)</f>
        <v>#REF!</v>
      </c>
      <c r="BV112" s="270" t="e">
        <f t="array" ref="BV112">IF(AND(BV$2&lt;&gt;0,#REF!&gt;=BV$2),1,0)</f>
        <v>#REF!</v>
      </c>
      <c r="BW112" s="270" t="e">
        <f t="array" ref="BW112">IF(AND(BW$2&lt;&gt;0,#REF!&gt;=BW$2),1,0)</f>
        <v>#REF!</v>
      </c>
      <c r="BX112" s="270" t="e">
        <f t="array" ref="BX112">IF(AND(BX$2&lt;&gt;0,#REF!&gt;=BX$2),1,0)</f>
        <v>#REF!</v>
      </c>
      <c r="BY112" s="270" t="e">
        <f t="array" ref="BY112">IF(AND(BY$2&lt;&gt;0,#REF!&gt;=BY$2),1,0)</f>
        <v>#REF!</v>
      </c>
      <c r="BZ112" s="270" t="e">
        <f t="array" ref="BZ112">IF(AND(BZ$2&lt;&gt;0,#REF!&gt;=BZ$2),1,0)</f>
        <v>#REF!</v>
      </c>
      <c r="CA112" s="359">
        <f>IFERROR(INDEX($H$4:$H$79,MATCH(INDEX(#REF!,1,MATCH(#REF!,$M$2:$BZ$2,0)),$G$4:$G$79,0)),)</f>
        <v>0</v>
      </c>
    </row>
    <row r="113" spans="1:79" x14ac:dyDescent="0.25">
      <c r="A113" s="262" t="e">
        <f>#REF!</f>
        <v>#REF!</v>
      </c>
      <c r="B113" s="263" t="e">
        <f>#REF!</f>
        <v>#REF!</v>
      </c>
      <c r="C113" s="264" t="e">
        <f>#REF!</f>
        <v>#REF!</v>
      </c>
      <c r="D113" s="264" t="e">
        <f>#REF!</f>
        <v>#REF!</v>
      </c>
      <c r="E113" s="273"/>
      <c r="F113" s="274"/>
      <c r="G113" s="267"/>
      <c r="H113" s="268"/>
      <c r="I113" s="268"/>
      <c r="J113" s="268"/>
      <c r="K113" s="89" t="e">
        <f ca="1">IF(#REF!&lt;&gt;OFFSET(#REF!,-1,0),1,0)</f>
        <v>#REF!</v>
      </c>
      <c r="L113" s="269" t="e">
        <f>COUNTIF(#REF!,1)</f>
        <v>#REF!</v>
      </c>
      <c r="M113" s="270" t="e">
        <f t="array" ref="M113">IF(AND(M$2&lt;&gt;0,#REF!&gt;=M$2),1,0)</f>
        <v>#REF!</v>
      </c>
      <c r="N113" s="270" t="e">
        <f t="array" ref="N113">IF(AND(N$2&lt;&gt;0,#REF!&gt;=N$2),1,0)</f>
        <v>#REF!</v>
      </c>
      <c r="O113" s="270" t="e">
        <f t="array" ref="O113">IF(AND(O$2&lt;&gt;0,#REF!&gt;=O$2),1,0)</f>
        <v>#REF!</v>
      </c>
      <c r="P113" s="270" t="e">
        <f t="array" ref="P113">IF(AND(P$2&lt;&gt;0,#REF!&gt;=P$2),1,0)</f>
        <v>#REF!</v>
      </c>
      <c r="Q113" s="270" t="e">
        <f t="array" ref="Q113">IF(AND(Q$2&lt;&gt;0,#REF!&gt;=Q$2),1,0)</f>
        <v>#REF!</v>
      </c>
      <c r="R113" s="270" t="e">
        <f t="array" ref="R113">IF(AND(R$2&lt;&gt;0,#REF!&gt;=R$2),1,0)</f>
        <v>#REF!</v>
      </c>
      <c r="S113" s="270" t="e">
        <f t="array" ref="S113">IF(AND(S$2&lt;&gt;0,#REF!&gt;=S$2),1,0)</f>
        <v>#REF!</v>
      </c>
      <c r="T113" s="270" t="e">
        <f t="array" ref="T113">IF(AND(T$2&lt;&gt;0,#REF!&gt;=T$2),1,0)</f>
        <v>#REF!</v>
      </c>
      <c r="U113" s="270" t="e">
        <f t="array" ref="U113">IF(AND(U$2&lt;&gt;0,#REF!&gt;=U$2),1,0)</f>
        <v>#REF!</v>
      </c>
      <c r="V113" s="270" t="e">
        <f t="array" ref="V113">IF(AND(V$2&lt;&gt;0,#REF!&gt;=V$2),1,0)</f>
        <v>#REF!</v>
      </c>
      <c r="W113" s="270" t="e">
        <f t="array" ref="W113">IF(AND(W$2&lt;&gt;0,#REF!&gt;=W$2),1,0)</f>
        <v>#REF!</v>
      </c>
      <c r="X113" s="270" t="e">
        <f t="array" ref="X113">IF(AND(X$2&lt;&gt;0,#REF!&gt;=X$2),1,0)</f>
        <v>#REF!</v>
      </c>
      <c r="Y113" s="270" t="e">
        <f t="array" ref="Y113">IF(AND(Y$2&lt;&gt;0,#REF!&gt;=Y$2),1,0)</f>
        <v>#REF!</v>
      </c>
      <c r="Z113" s="270" t="e">
        <f t="array" ref="Z113">IF(AND(Z$2&lt;&gt;0,#REF!&gt;=Z$2),1,0)</f>
        <v>#REF!</v>
      </c>
      <c r="AA113" s="270" t="e">
        <f t="array" ref="AA113">IF(AND(AA$2&lt;&gt;0,#REF!&gt;=AA$2),1,0)</f>
        <v>#REF!</v>
      </c>
      <c r="AB113" s="270" t="e">
        <f t="array" ref="AB113">IF(AND(AB$2&lt;&gt;0,#REF!&gt;=AB$2),1,0)</f>
        <v>#REF!</v>
      </c>
      <c r="AC113" s="270" t="e">
        <f t="array" ref="AC113">IF(AND(AC$2&lt;&gt;0,#REF!&gt;=AC$2),1,0)</f>
        <v>#REF!</v>
      </c>
      <c r="AD113" s="270" t="e">
        <f t="array" ref="AD113">IF(AND(AD$2&lt;&gt;0,#REF!&gt;=AD$2),1,0)</f>
        <v>#REF!</v>
      </c>
      <c r="AE113" s="270" t="e">
        <f t="array" ref="AE113">IF(AND(AE$2&lt;&gt;0,#REF!&gt;=AE$2),1,0)</f>
        <v>#REF!</v>
      </c>
      <c r="AF113" s="270" t="e">
        <f t="array" ref="AF113">IF(AND(AF$2&lt;&gt;0,#REF!&gt;=AF$2),1,0)</f>
        <v>#REF!</v>
      </c>
      <c r="AG113" s="270" t="e">
        <f t="array" ref="AG113">IF(AND(AG$2&lt;&gt;0,#REF!&gt;=AG$2),1,0)</f>
        <v>#REF!</v>
      </c>
      <c r="AH113" s="270" t="e">
        <f t="array" ref="AH113">IF(AND(AH$2&lt;&gt;0,#REF!&gt;=AH$2),1,0)</f>
        <v>#REF!</v>
      </c>
      <c r="AI113" s="270" t="e">
        <f t="array" ref="AI113">IF(AND(AI$2&lt;&gt;0,#REF!&gt;=AI$2),1,0)</f>
        <v>#REF!</v>
      </c>
      <c r="AJ113" s="270" t="e">
        <f t="array" ref="AJ113">IF(AND(AJ$2&lt;&gt;0,#REF!&gt;=AJ$2),1,0)</f>
        <v>#REF!</v>
      </c>
      <c r="AK113" s="270" t="e">
        <f t="array" ref="AK113">IF(AND(AK$2&lt;&gt;0,#REF!&gt;=AK$2),1,0)</f>
        <v>#REF!</v>
      </c>
      <c r="AL113" s="270" t="e">
        <f t="array" ref="AL113">IF(AND(AL$2&lt;&gt;0,#REF!&gt;=AL$2),1,0)</f>
        <v>#REF!</v>
      </c>
      <c r="AM113" s="270" t="e">
        <f t="array" ref="AM113">IF(AND(AM$2&lt;&gt;0,#REF!&gt;=AM$2),1,0)</f>
        <v>#REF!</v>
      </c>
      <c r="AN113" s="270" t="e">
        <f t="array" ref="AN113">IF(AND(AN$2&lt;&gt;0,#REF!&gt;=AN$2),1,0)</f>
        <v>#REF!</v>
      </c>
      <c r="AO113" s="270" t="e">
        <f t="array" ref="AO113">IF(AND(AO$2&lt;&gt;0,#REF!&gt;=AO$2),1,0)</f>
        <v>#REF!</v>
      </c>
      <c r="AP113" s="270" t="e">
        <f t="array" ref="AP113">IF(AND(AP$2&lt;&gt;0,#REF!&gt;=AP$2),1,0)</f>
        <v>#REF!</v>
      </c>
      <c r="AQ113" s="270" t="e">
        <f t="array" ref="AQ113">IF(AND(AQ$2&lt;&gt;0,#REF!&gt;=AQ$2),1,0)</f>
        <v>#REF!</v>
      </c>
      <c r="AR113" s="270" t="e">
        <f t="array" ref="AR113">IF(AND(AR$2&lt;&gt;0,#REF!&gt;=AR$2),1,0)</f>
        <v>#REF!</v>
      </c>
      <c r="AS113" s="270" t="e">
        <f t="array" ref="AS113">IF(AND(AS$2&lt;&gt;0,#REF!&gt;=AS$2),1,0)</f>
        <v>#REF!</v>
      </c>
      <c r="AT113" s="270" t="e">
        <f t="array" ref="AT113">IF(AND(AT$2&lt;&gt;0,#REF!&gt;=AT$2),1,0)</f>
        <v>#REF!</v>
      </c>
      <c r="AU113" s="270" t="e">
        <f t="array" ref="AU113">IF(AND(AU$2&lt;&gt;0,#REF!&gt;=AU$2),1,0)</f>
        <v>#REF!</v>
      </c>
      <c r="AV113" s="270" t="e">
        <f t="array" ref="AV113">IF(AND(AV$2&lt;&gt;0,#REF!&gt;=AV$2),1,0)</f>
        <v>#REF!</v>
      </c>
      <c r="AW113" s="270" t="e">
        <f t="array" ref="AW113">IF(AND(AW$2&lt;&gt;0,#REF!&gt;=AW$2),1,0)</f>
        <v>#REF!</v>
      </c>
      <c r="AX113" s="270" t="e">
        <f t="array" ref="AX113">IF(AND(AX$2&lt;&gt;0,#REF!&gt;=AX$2),1,0)</f>
        <v>#REF!</v>
      </c>
      <c r="AY113" s="270" t="e">
        <f t="array" ref="AY113">IF(AND(AY$2&lt;&gt;0,#REF!&gt;=AY$2),1,0)</f>
        <v>#REF!</v>
      </c>
      <c r="AZ113" s="270" t="e">
        <f t="array" ref="AZ113">IF(AND(AZ$2&lt;&gt;0,#REF!&gt;=AZ$2),1,0)</f>
        <v>#REF!</v>
      </c>
      <c r="BA113" s="270" t="e">
        <f t="array" ref="BA113">IF(AND(BA$2&lt;&gt;0,#REF!&gt;=BA$2),1,0)</f>
        <v>#REF!</v>
      </c>
      <c r="BB113" s="270" t="e">
        <f t="array" ref="BB113">IF(AND(BB$2&lt;&gt;0,#REF!&gt;=BB$2),1,0)</f>
        <v>#REF!</v>
      </c>
      <c r="BC113" s="270" t="e">
        <f t="array" ref="BC113">IF(AND(BC$2&lt;&gt;0,#REF!&gt;=BC$2),1,0)</f>
        <v>#REF!</v>
      </c>
      <c r="BD113" s="270" t="e">
        <f t="array" ref="BD113">IF(AND(BD$2&lt;&gt;0,#REF!&gt;=BD$2),1,0)</f>
        <v>#REF!</v>
      </c>
      <c r="BE113" s="270" t="e">
        <f t="array" ref="BE113">IF(AND(BE$2&lt;&gt;0,#REF!&gt;=BE$2),1,0)</f>
        <v>#REF!</v>
      </c>
      <c r="BF113" s="270" t="e">
        <f t="array" ref="BF113">IF(AND(BF$2&lt;&gt;0,#REF!&gt;=BF$2),1,0)</f>
        <v>#REF!</v>
      </c>
      <c r="BG113" s="270" t="e">
        <f t="array" ref="BG113">IF(AND(BG$2&lt;&gt;0,#REF!&gt;=BG$2),1,0)</f>
        <v>#REF!</v>
      </c>
      <c r="BH113" s="270" t="e">
        <f t="array" ref="BH113">IF(AND(BH$2&lt;&gt;0,#REF!&gt;=BH$2),1,0)</f>
        <v>#REF!</v>
      </c>
      <c r="BI113" s="270" t="e">
        <f t="array" ref="BI113">IF(AND(BI$2&lt;&gt;0,#REF!&gt;=BI$2),1,0)</f>
        <v>#REF!</v>
      </c>
      <c r="BJ113" s="270" t="e">
        <f t="array" ref="BJ113">IF(AND(BJ$2&lt;&gt;0,#REF!&gt;=BJ$2),1,0)</f>
        <v>#REF!</v>
      </c>
      <c r="BK113" s="270" t="e">
        <f t="array" ref="BK113">IF(AND(BK$2&lt;&gt;0,#REF!&gt;=BK$2),1,0)</f>
        <v>#REF!</v>
      </c>
      <c r="BL113" s="270" t="e">
        <f t="array" ref="BL113">IF(AND(BL$2&lt;&gt;0,#REF!&gt;=BL$2),1,0)</f>
        <v>#REF!</v>
      </c>
      <c r="BM113" s="270" t="e">
        <f t="array" ref="BM113">IF(AND(BM$2&lt;&gt;0,#REF!&gt;=BM$2),1,0)</f>
        <v>#REF!</v>
      </c>
      <c r="BN113" s="270" t="e">
        <f t="array" ref="BN113">IF(AND(BN$2&lt;&gt;0,#REF!&gt;=BN$2),1,0)</f>
        <v>#REF!</v>
      </c>
      <c r="BO113" s="270" t="e">
        <f t="array" ref="BO113">IF(AND(BO$2&lt;&gt;0,#REF!&gt;=BO$2),1,0)</f>
        <v>#REF!</v>
      </c>
      <c r="BP113" s="270" t="e">
        <f t="array" ref="BP113">IF(AND(BP$2&lt;&gt;0,#REF!&gt;=BP$2),1,0)</f>
        <v>#REF!</v>
      </c>
      <c r="BQ113" s="270" t="e">
        <f t="array" ref="BQ113">IF(AND(BQ$2&lt;&gt;0,#REF!&gt;=BQ$2),1,0)</f>
        <v>#REF!</v>
      </c>
      <c r="BR113" s="270" t="e">
        <f t="array" ref="BR113">IF(AND(BR$2&lt;&gt;0,#REF!&gt;=BR$2),1,0)</f>
        <v>#REF!</v>
      </c>
      <c r="BS113" s="270" t="e">
        <f t="array" ref="BS113">IF(AND(BS$2&lt;&gt;0,#REF!&gt;=BS$2),1,0)</f>
        <v>#REF!</v>
      </c>
      <c r="BT113" s="270" t="e">
        <f t="array" ref="BT113">IF(AND(BT$2&lt;&gt;0,#REF!&gt;=BT$2),1,0)</f>
        <v>#REF!</v>
      </c>
      <c r="BU113" s="270" t="e">
        <f t="array" ref="BU113">IF(AND(BU$2&lt;&gt;0,#REF!&gt;=BU$2),1,0)</f>
        <v>#REF!</v>
      </c>
      <c r="BV113" s="270" t="e">
        <f t="array" ref="BV113">IF(AND(BV$2&lt;&gt;0,#REF!&gt;=BV$2),1,0)</f>
        <v>#REF!</v>
      </c>
      <c r="BW113" s="270" t="e">
        <f t="array" ref="BW113">IF(AND(BW$2&lt;&gt;0,#REF!&gt;=BW$2),1,0)</f>
        <v>#REF!</v>
      </c>
      <c r="BX113" s="270" t="e">
        <f t="array" ref="BX113">IF(AND(BX$2&lt;&gt;0,#REF!&gt;=BX$2),1,0)</f>
        <v>#REF!</v>
      </c>
      <c r="BY113" s="270" t="e">
        <f t="array" ref="BY113">IF(AND(BY$2&lt;&gt;0,#REF!&gt;=BY$2),1,0)</f>
        <v>#REF!</v>
      </c>
      <c r="BZ113" s="270" t="e">
        <f t="array" ref="BZ113">IF(AND(BZ$2&lt;&gt;0,#REF!&gt;=BZ$2),1,0)</f>
        <v>#REF!</v>
      </c>
      <c r="CA113" s="359">
        <f>IFERROR(INDEX($H$4:$H$79,MATCH(INDEX(#REF!,1,MATCH(#REF!,$M$2:$BZ$2,0)),$G$4:$G$79,0)),)</f>
        <v>0</v>
      </c>
    </row>
    <row r="114" spans="1:79" x14ac:dyDescent="0.25">
      <c r="A114" s="262" t="e">
        <f>#REF!</f>
        <v>#REF!</v>
      </c>
      <c r="B114" s="263" t="e">
        <f>#REF!</f>
        <v>#REF!</v>
      </c>
      <c r="C114" s="264" t="e">
        <f>#REF!</f>
        <v>#REF!</v>
      </c>
      <c r="D114" s="264" t="e">
        <f>#REF!</f>
        <v>#REF!</v>
      </c>
      <c r="E114" s="273"/>
      <c r="F114" s="274"/>
      <c r="G114" s="267"/>
      <c r="H114" s="268"/>
      <c r="I114" s="268"/>
      <c r="J114" s="268"/>
      <c r="K114" s="89" t="e">
        <f ca="1">IF(#REF!&lt;&gt;OFFSET(#REF!,-1,0),1,0)</f>
        <v>#REF!</v>
      </c>
      <c r="L114" s="269" t="e">
        <f>COUNTIF(#REF!,1)</f>
        <v>#REF!</v>
      </c>
      <c r="M114" s="270" t="e">
        <f t="array" ref="M114">IF(AND(M$2&lt;&gt;0,#REF!&gt;=M$2),1,0)</f>
        <v>#REF!</v>
      </c>
      <c r="N114" s="270" t="e">
        <f t="array" ref="N114">IF(AND(N$2&lt;&gt;0,#REF!&gt;=N$2),1,0)</f>
        <v>#REF!</v>
      </c>
      <c r="O114" s="270" t="e">
        <f t="array" ref="O114">IF(AND(O$2&lt;&gt;0,#REF!&gt;=O$2),1,0)</f>
        <v>#REF!</v>
      </c>
      <c r="P114" s="270" t="e">
        <f t="array" ref="P114">IF(AND(P$2&lt;&gt;0,#REF!&gt;=P$2),1,0)</f>
        <v>#REF!</v>
      </c>
      <c r="Q114" s="270" t="e">
        <f t="array" ref="Q114">IF(AND(Q$2&lt;&gt;0,#REF!&gt;=Q$2),1,0)</f>
        <v>#REF!</v>
      </c>
      <c r="R114" s="270" t="e">
        <f t="array" ref="R114">IF(AND(R$2&lt;&gt;0,#REF!&gt;=R$2),1,0)</f>
        <v>#REF!</v>
      </c>
      <c r="S114" s="270" t="e">
        <f t="array" ref="S114">IF(AND(S$2&lt;&gt;0,#REF!&gt;=S$2),1,0)</f>
        <v>#REF!</v>
      </c>
      <c r="T114" s="270" t="e">
        <f t="array" ref="T114">IF(AND(T$2&lt;&gt;0,#REF!&gt;=T$2),1,0)</f>
        <v>#REF!</v>
      </c>
      <c r="U114" s="270" t="e">
        <f t="array" ref="U114">IF(AND(U$2&lt;&gt;0,#REF!&gt;=U$2),1,0)</f>
        <v>#REF!</v>
      </c>
      <c r="V114" s="270" t="e">
        <f t="array" ref="V114">IF(AND(V$2&lt;&gt;0,#REF!&gt;=V$2),1,0)</f>
        <v>#REF!</v>
      </c>
      <c r="W114" s="270" t="e">
        <f t="array" ref="W114">IF(AND(W$2&lt;&gt;0,#REF!&gt;=W$2),1,0)</f>
        <v>#REF!</v>
      </c>
      <c r="X114" s="270" t="e">
        <f t="array" ref="X114">IF(AND(X$2&lt;&gt;0,#REF!&gt;=X$2),1,0)</f>
        <v>#REF!</v>
      </c>
      <c r="Y114" s="270" t="e">
        <f t="array" ref="Y114">IF(AND(Y$2&lt;&gt;0,#REF!&gt;=Y$2),1,0)</f>
        <v>#REF!</v>
      </c>
      <c r="Z114" s="270" t="e">
        <f t="array" ref="Z114">IF(AND(Z$2&lt;&gt;0,#REF!&gt;=Z$2),1,0)</f>
        <v>#REF!</v>
      </c>
      <c r="AA114" s="270" t="e">
        <f t="array" ref="AA114">IF(AND(AA$2&lt;&gt;0,#REF!&gt;=AA$2),1,0)</f>
        <v>#REF!</v>
      </c>
      <c r="AB114" s="270" t="e">
        <f t="array" ref="AB114">IF(AND(AB$2&lt;&gt;0,#REF!&gt;=AB$2),1,0)</f>
        <v>#REF!</v>
      </c>
      <c r="AC114" s="270" t="e">
        <f t="array" ref="AC114">IF(AND(AC$2&lt;&gt;0,#REF!&gt;=AC$2),1,0)</f>
        <v>#REF!</v>
      </c>
      <c r="AD114" s="270" t="e">
        <f t="array" ref="AD114">IF(AND(AD$2&lt;&gt;0,#REF!&gt;=AD$2),1,0)</f>
        <v>#REF!</v>
      </c>
      <c r="AE114" s="270" t="e">
        <f t="array" ref="AE114">IF(AND(AE$2&lt;&gt;0,#REF!&gt;=AE$2),1,0)</f>
        <v>#REF!</v>
      </c>
      <c r="AF114" s="270" t="e">
        <f t="array" ref="AF114">IF(AND(AF$2&lt;&gt;0,#REF!&gt;=AF$2),1,0)</f>
        <v>#REF!</v>
      </c>
      <c r="AG114" s="270" t="e">
        <f t="array" ref="AG114">IF(AND(AG$2&lt;&gt;0,#REF!&gt;=AG$2),1,0)</f>
        <v>#REF!</v>
      </c>
      <c r="AH114" s="270" t="e">
        <f t="array" ref="AH114">IF(AND(AH$2&lt;&gt;0,#REF!&gt;=AH$2),1,0)</f>
        <v>#REF!</v>
      </c>
      <c r="AI114" s="270" t="e">
        <f t="array" ref="AI114">IF(AND(AI$2&lt;&gt;0,#REF!&gt;=AI$2),1,0)</f>
        <v>#REF!</v>
      </c>
      <c r="AJ114" s="270" t="e">
        <f t="array" ref="AJ114">IF(AND(AJ$2&lt;&gt;0,#REF!&gt;=AJ$2),1,0)</f>
        <v>#REF!</v>
      </c>
      <c r="AK114" s="270" t="e">
        <f t="array" ref="AK114">IF(AND(AK$2&lt;&gt;0,#REF!&gt;=AK$2),1,0)</f>
        <v>#REF!</v>
      </c>
      <c r="AL114" s="270" t="e">
        <f t="array" ref="AL114">IF(AND(AL$2&lt;&gt;0,#REF!&gt;=AL$2),1,0)</f>
        <v>#REF!</v>
      </c>
      <c r="AM114" s="270" t="e">
        <f t="array" ref="AM114">IF(AND(AM$2&lt;&gt;0,#REF!&gt;=AM$2),1,0)</f>
        <v>#REF!</v>
      </c>
      <c r="AN114" s="270" t="e">
        <f t="array" ref="AN114">IF(AND(AN$2&lt;&gt;0,#REF!&gt;=AN$2),1,0)</f>
        <v>#REF!</v>
      </c>
      <c r="AO114" s="270" t="e">
        <f t="array" ref="AO114">IF(AND(AO$2&lt;&gt;0,#REF!&gt;=AO$2),1,0)</f>
        <v>#REF!</v>
      </c>
      <c r="AP114" s="270" t="e">
        <f t="array" ref="AP114">IF(AND(AP$2&lt;&gt;0,#REF!&gt;=AP$2),1,0)</f>
        <v>#REF!</v>
      </c>
      <c r="AQ114" s="270" t="e">
        <f t="array" ref="AQ114">IF(AND(AQ$2&lt;&gt;0,#REF!&gt;=AQ$2),1,0)</f>
        <v>#REF!</v>
      </c>
      <c r="AR114" s="270" t="e">
        <f t="array" ref="AR114">IF(AND(AR$2&lt;&gt;0,#REF!&gt;=AR$2),1,0)</f>
        <v>#REF!</v>
      </c>
      <c r="AS114" s="270" t="e">
        <f t="array" ref="AS114">IF(AND(AS$2&lt;&gt;0,#REF!&gt;=AS$2),1,0)</f>
        <v>#REF!</v>
      </c>
      <c r="AT114" s="270" t="e">
        <f t="array" ref="AT114">IF(AND(AT$2&lt;&gt;0,#REF!&gt;=AT$2),1,0)</f>
        <v>#REF!</v>
      </c>
      <c r="AU114" s="270" t="e">
        <f t="array" ref="AU114">IF(AND(AU$2&lt;&gt;0,#REF!&gt;=AU$2),1,0)</f>
        <v>#REF!</v>
      </c>
      <c r="AV114" s="270" t="e">
        <f t="array" ref="AV114">IF(AND(AV$2&lt;&gt;0,#REF!&gt;=AV$2),1,0)</f>
        <v>#REF!</v>
      </c>
      <c r="AW114" s="270" t="e">
        <f t="array" ref="AW114">IF(AND(AW$2&lt;&gt;0,#REF!&gt;=AW$2),1,0)</f>
        <v>#REF!</v>
      </c>
      <c r="AX114" s="270" t="e">
        <f t="array" ref="AX114">IF(AND(AX$2&lt;&gt;0,#REF!&gt;=AX$2),1,0)</f>
        <v>#REF!</v>
      </c>
      <c r="AY114" s="270" t="e">
        <f t="array" ref="AY114">IF(AND(AY$2&lt;&gt;0,#REF!&gt;=AY$2),1,0)</f>
        <v>#REF!</v>
      </c>
      <c r="AZ114" s="270" t="e">
        <f t="array" ref="AZ114">IF(AND(AZ$2&lt;&gt;0,#REF!&gt;=AZ$2),1,0)</f>
        <v>#REF!</v>
      </c>
      <c r="BA114" s="270" t="e">
        <f t="array" ref="BA114">IF(AND(BA$2&lt;&gt;0,#REF!&gt;=BA$2),1,0)</f>
        <v>#REF!</v>
      </c>
      <c r="BB114" s="270" t="e">
        <f t="array" ref="BB114">IF(AND(BB$2&lt;&gt;0,#REF!&gt;=BB$2),1,0)</f>
        <v>#REF!</v>
      </c>
      <c r="BC114" s="270" t="e">
        <f t="array" ref="BC114">IF(AND(BC$2&lt;&gt;0,#REF!&gt;=BC$2),1,0)</f>
        <v>#REF!</v>
      </c>
      <c r="BD114" s="270" t="e">
        <f t="array" ref="BD114">IF(AND(BD$2&lt;&gt;0,#REF!&gt;=BD$2),1,0)</f>
        <v>#REF!</v>
      </c>
      <c r="BE114" s="270" t="e">
        <f t="array" ref="BE114">IF(AND(BE$2&lt;&gt;0,#REF!&gt;=BE$2),1,0)</f>
        <v>#REF!</v>
      </c>
      <c r="BF114" s="270" t="e">
        <f t="array" ref="BF114">IF(AND(BF$2&lt;&gt;0,#REF!&gt;=BF$2),1,0)</f>
        <v>#REF!</v>
      </c>
      <c r="BG114" s="270" t="e">
        <f t="array" ref="BG114">IF(AND(BG$2&lt;&gt;0,#REF!&gt;=BG$2),1,0)</f>
        <v>#REF!</v>
      </c>
      <c r="BH114" s="270" t="e">
        <f t="array" ref="BH114">IF(AND(BH$2&lt;&gt;0,#REF!&gt;=BH$2),1,0)</f>
        <v>#REF!</v>
      </c>
      <c r="BI114" s="270" t="e">
        <f t="array" ref="BI114">IF(AND(BI$2&lt;&gt;0,#REF!&gt;=BI$2),1,0)</f>
        <v>#REF!</v>
      </c>
      <c r="BJ114" s="270" t="e">
        <f t="array" ref="BJ114">IF(AND(BJ$2&lt;&gt;0,#REF!&gt;=BJ$2),1,0)</f>
        <v>#REF!</v>
      </c>
      <c r="BK114" s="270" t="e">
        <f t="array" ref="BK114">IF(AND(BK$2&lt;&gt;0,#REF!&gt;=BK$2),1,0)</f>
        <v>#REF!</v>
      </c>
      <c r="BL114" s="270" t="e">
        <f t="array" ref="BL114">IF(AND(BL$2&lt;&gt;0,#REF!&gt;=BL$2),1,0)</f>
        <v>#REF!</v>
      </c>
      <c r="BM114" s="270" t="e">
        <f t="array" ref="BM114">IF(AND(BM$2&lt;&gt;0,#REF!&gt;=BM$2),1,0)</f>
        <v>#REF!</v>
      </c>
      <c r="BN114" s="270" t="e">
        <f t="array" ref="BN114">IF(AND(BN$2&lt;&gt;0,#REF!&gt;=BN$2),1,0)</f>
        <v>#REF!</v>
      </c>
      <c r="BO114" s="270" t="e">
        <f t="array" ref="BO114">IF(AND(BO$2&lt;&gt;0,#REF!&gt;=BO$2),1,0)</f>
        <v>#REF!</v>
      </c>
      <c r="BP114" s="270" t="e">
        <f t="array" ref="BP114">IF(AND(BP$2&lt;&gt;0,#REF!&gt;=BP$2),1,0)</f>
        <v>#REF!</v>
      </c>
      <c r="BQ114" s="270" t="e">
        <f t="array" ref="BQ114">IF(AND(BQ$2&lt;&gt;0,#REF!&gt;=BQ$2),1,0)</f>
        <v>#REF!</v>
      </c>
      <c r="BR114" s="270" t="e">
        <f t="array" ref="BR114">IF(AND(BR$2&lt;&gt;0,#REF!&gt;=BR$2),1,0)</f>
        <v>#REF!</v>
      </c>
      <c r="BS114" s="270" t="e">
        <f t="array" ref="BS114">IF(AND(BS$2&lt;&gt;0,#REF!&gt;=BS$2),1,0)</f>
        <v>#REF!</v>
      </c>
      <c r="BT114" s="270" t="e">
        <f t="array" ref="BT114">IF(AND(BT$2&lt;&gt;0,#REF!&gt;=BT$2),1,0)</f>
        <v>#REF!</v>
      </c>
      <c r="BU114" s="270" t="e">
        <f t="array" ref="BU114">IF(AND(BU$2&lt;&gt;0,#REF!&gt;=BU$2),1,0)</f>
        <v>#REF!</v>
      </c>
      <c r="BV114" s="270" t="e">
        <f t="array" ref="BV114">IF(AND(BV$2&lt;&gt;0,#REF!&gt;=BV$2),1,0)</f>
        <v>#REF!</v>
      </c>
      <c r="BW114" s="270" t="e">
        <f t="array" ref="BW114">IF(AND(BW$2&lt;&gt;0,#REF!&gt;=BW$2),1,0)</f>
        <v>#REF!</v>
      </c>
      <c r="BX114" s="270" t="e">
        <f t="array" ref="BX114">IF(AND(BX$2&lt;&gt;0,#REF!&gt;=BX$2),1,0)</f>
        <v>#REF!</v>
      </c>
      <c r="BY114" s="270" t="e">
        <f t="array" ref="BY114">IF(AND(BY$2&lt;&gt;0,#REF!&gt;=BY$2),1,0)</f>
        <v>#REF!</v>
      </c>
      <c r="BZ114" s="270" t="e">
        <f t="array" ref="BZ114">IF(AND(BZ$2&lt;&gt;0,#REF!&gt;=BZ$2),1,0)</f>
        <v>#REF!</v>
      </c>
      <c r="CA114" s="359">
        <f>IFERROR(INDEX($H$4:$H$79,MATCH(INDEX(#REF!,1,MATCH(#REF!,$M$2:$BZ$2,0)),$G$4:$G$79,0)),)</f>
        <v>0</v>
      </c>
    </row>
    <row r="115" spans="1:79" x14ac:dyDescent="0.25">
      <c r="A115" s="262" t="e">
        <f>#REF!</f>
        <v>#REF!</v>
      </c>
      <c r="B115" s="263" t="e">
        <f>#REF!</f>
        <v>#REF!</v>
      </c>
      <c r="C115" s="264" t="e">
        <f>#REF!</f>
        <v>#REF!</v>
      </c>
      <c r="D115" s="264" t="e">
        <f>#REF!</f>
        <v>#REF!</v>
      </c>
      <c r="E115" s="273"/>
      <c r="F115" s="274"/>
      <c r="G115" s="267"/>
      <c r="H115" s="268"/>
      <c r="I115" s="268"/>
      <c r="J115" s="268"/>
      <c r="K115" s="89" t="e">
        <f ca="1">IF(#REF!&lt;&gt;OFFSET(#REF!,-1,0),1,0)</f>
        <v>#REF!</v>
      </c>
      <c r="L115" s="269" t="e">
        <f>COUNTIF(#REF!,1)</f>
        <v>#REF!</v>
      </c>
      <c r="M115" s="270" t="e">
        <f t="array" ref="M115">IF(AND(M$2&lt;&gt;0,#REF!&gt;=M$2),1,0)</f>
        <v>#REF!</v>
      </c>
      <c r="N115" s="270" t="e">
        <f t="array" ref="N115">IF(AND(N$2&lt;&gt;0,#REF!&gt;=N$2),1,0)</f>
        <v>#REF!</v>
      </c>
      <c r="O115" s="270" t="e">
        <f t="array" ref="O115">IF(AND(O$2&lt;&gt;0,#REF!&gt;=O$2),1,0)</f>
        <v>#REF!</v>
      </c>
      <c r="P115" s="270" t="e">
        <f t="array" ref="P115">IF(AND(P$2&lt;&gt;0,#REF!&gt;=P$2),1,0)</f>
        <v>#REF!</v>
      </c>
      <c r="Q115" s="270" t="e">
        <f t="array" ref="Q115">IF(AND(Q$2&lt;&gt;0,#REF!&gt;=Q$2),1,0)</f>
        <v>#REF!</v>
      </c>
      <c r="R115" s="270" t="e">
        <f t="array" ref="R115">IF(AND(R$2&lt;&gt;0,#REF!&gt;=R$2),1,0)</f>
        <v>#REF!</v>
      </c>
      <c r="S115" s="270" t="e">
        <f t="array" ref="S115">IF(AND(S$2&lt;&gt;0,#REF!&gt;=S$2),1,0)</f>
        <v>#REF!</v>
      </c>
      <c r="T115" s="270" t="e">
        <f t="array" ref="T115">IF(AND(T$2&lt;&gt;0,#REF!&gt;=T$2),1,0)</f>
        <v>#REF!</v>
      </c>
      <c r="U115" s="270" t="e">
        <f t="array" ref="U115">IF(AND(U$2&lt;&gt;0,#REF!&gt;=U$2),1,0)</f>
        <v>#REF!</v>
      </c>
      <c r="V115" s="270" t="e">
        <f t="array" ref="V115">IF(AND(V$2&lt;&gt;0,#REF!&gt;=V$2),1,0)</f>
        <v>#REF!</v>
      </c>
      <c r="W115" s="270" t="e">
        <f t="array" ref="W115">IF(AND(W$2&lt;&gt;0,#REF!&gt;=W$2),1,0)</f>
        <v>#REF!</v>
      </c>
      <c r="X115" s="270" t="e">
        <f t="array" ref="X115">IF(AND(X$2&lt;&gt;0,#REF!&gt;=X$2),1,0)</f>
        <v>#REF!</v>
      </c>
      <c r="Y115" s="270" t="e">
        <f t="array" ref="Y115">IF(AND(Y$2&lt;&gt;0,#REF!&gt;=Y$2),1,0)</f>
        <v>#REF!</v>
      </c>
      <c r="Z115" s="270" t="e">
        <f t="array" ref="Z115">IF(AND(Z$2&lt;&gt;0,#REF!&gt;=Z$2),1,0)</f>
        <v>#REF!</v>
      </c>
      <c r="AA115" s="270" t="e">
        <f t="array" ref="AA115">IF(AND(AA$2&lt;&gt;0,#REF!&gt;=AA$2),1,0)</f>
        <v>#REF!</v>
      </c>
      <c r="AB115" s="270" t="e">
        <f t="array" ref="AB115">IF(AND(AB$2&lt;&gt;0,#REF!&gt;=AB$2),1,0)</f>
        <v>#REF!</v>
      </c>
      <c r="AC115" s="270" t="e">
        <f t="array" ref="AC115">IF(AND(AC$2&lt;&gt;0,#REF!&gt;=AC$2),1,0)</f>
        <v>#REF!</v>
      </c>
      <c r="AD115" s="270" t="e">
        <f t="array" ref="AD115">IF(AND(AD$2&lt;&gt;0,#REF!&gt;=AD$2),1,0)</f>
        <v>#REF!</v>
      </c>
      <c r="AE115" s="270" t="e">
        <f t="array" ref="AE115">IF(AND(AE$2&lt;&gt;0,#REF!&gt;=AE$2),1,0)</f>
        <v>#REF!</v>
      </c>
      <c r="AF115" s="270" t="e">
        <f t="array" ref="AF115">IF(AND(AF$2&lt;&gt;0,#REF!&gt;=AF$2),1,0)</f>
        <v>#REF!</v>
      </c>
      <c r="AG115" s="270" t="e">
        <f t="array" ref="AG115">IF(AND(AG$2&lt;&gt;0,#REF!&gt;=AG$2),1,0)</f>
        <v>#REF!</v>
      </c>
      <c r="AH115" s="270" t="e">
        <f t="array" ref="AH115">IF(AND(AH$2&lt;&gt;0,#REF!&gt;=AH$2),1,0)</f>
        <v>#REF!</v>
      </c>
      <c r="AI115" s="270" t="e">
        <f t="array" ref="AI115">IF(AND(AI$2&lt;&gt;0,#REF!&gt;=AI$2),1,0)</f>
        <v>#REF!</v>
      </c>
      <c r="AJ115" s="270" t="e">
        <f t="array" ref="AJ115">IF(AND(AJ$2&lt;&gt;0,#REF!&gt;=AJ$2),1,0)</f>
        <v>#REF!</v>
      </c>
      <c r="AK115" s="270" t="e">
        <f t="array" ref="AK115">IF(AND(AK$2&lt;&gt;0,#REF!&gt;=AK$2),1,0)</f>
        <v>#REF!</v>
      </c>
      <c r="AL115" s="270" t="e">
        <f t="array" ref="AL115">IF(AND(AL$2&lt;&gt;0,#REF!&gt;=AL$2),1,0)</f>
        <v>#REF!</v>
      </c>
      <c r="AM115" s="270" t="e">
        <f t="array" ref="AM115">IF(AND(AM$2&lt;&gt;0,#REF!&gt;=AM$2),1,0)</f>
        <v>#REF!</v>
      </c>
      <c r="AN115" s="270" t="e">
        <f t="array" ref="AN115">IF(AND(AN$2&lt;&gt;0,#REF!&gt;=AN$2),1,0)</f>
        <v>#REF!</v>
      </c>
      <c r="AO115" s="270" t="e">
        <f t="array" ref="AO115">IF(AND(AO$2&lt;&gt;0,#REF!&gt;=AO$2),1,0)</f>
        <v>#REF!</v>
      </c>
      <c r="AP115" s="270" t="e">
        <f t="array" ref="AP115">IF(AND(AP$2&lt;&gt;0,#REF!&gt;=AP$2),1,0)</f>
        <v>#REF!</v>
      </c>
      <c r="AQ115" s="270" t="e">
        <f t="array" ref="AQ115">IF(AND(AQ$2&lt;&gt;0,#REF!&gt;=AQ$2),1,0)</f>
        <v>#REF!</v>
      </c>
      <c r="AR115" s="270" t="e">
        <f t="array" ref="AR115">IF(AND(AR$2&lt;&gt;0,#REF!&gt;=AR$2),1,0)</f>
        <v>#REF!</v>
      </c>
      <c r="AS115" s="270" t="e">
        <f t="array" ref="AS115">IF(AND(AS$2&lt;&gt;0,#REF!&gt;=AS$2),1,0)</f>
        <v>#REF!</v>
      </c>
      <c r="AT115" s="270" t="e">
        <f t="array" ref="AT115">IF(AND(AT$2&lt;&gt;0,#REF!&gt;=AT$2),1,0)</f>
        <v>#REF!</v>
      </c>
      <c r="AU115" s="270" t="e">
        <f t="array" ref="AU115">IF(AND(AU$2&lt;&gt;0,#REF!&gt;=AU$2),1,0)</f>
        <v>#REF!</v>
      </c>
      <c r="AV115" s="270" t="e">
        <f t="array" ref="AV115">IF(AND(AV$2&lt;&gt;0,#REF!&gt;=AV$2),1,0)</f>
        <v>#REF!</v>
      </c>
      <c r="AW115" s="270" t="e">
        <f t="array" ref="AW115">IF(AND(AW$2&lt;&gt;0,#REF!&gt;=AW$2),1,0)</f>
        <v>#REF!</v>
      </c>
      <c r="AX115" s="270" t="e">
        <f t="array" ref="AX115">IF(AND(AX$2&lt;&gt;0,#REF!&gt;=AX$2),1,0)</f>
        <v>#REF!</v>
      </c>
      <c r="AY115" s="270" t="e">
        <f t="array" ref="AY115">IF(AND(AY$2&lt;&gt;0,#REF!&gt;=AY$2),1,0)</f>
        <v>#REF!</v>
      </c>
      <c r="AZ115" s="270" t="e">
        <f t="array" ref="AZ115">IF(AND(AZ$2&lt;&gt;0,#REF!&gt;=AZ$2),1,0)</f>
        <v>#REF!</v>
      </c>
      <c r="BA115" s="270" t="e">
        <f t="array" ref="BA115">IF(AND(BA$2&lt;&gt;0,#REF!&gt;=BA$2),1,0)</f>
        <v>#REF!</v>
      </c>
      <c r="BB115" s="270" t="e">
        <f t="array" ref="BB115">IF(AND(BB$2&lt;&gt;0,#REF!&gt;=BB$2),1,0)</f>
        <v>#REF!</v>
      </c>
      <c r="BC115" s="270" t="e">
        <f t="array" ref="BC115">IF(AND(BC$2&lt;&gt;0,#REF!&gt;=BC$2),1,0)</f>
        <v>#REF!</v>
      </c>
      <c r="BD115" s="270" t="e">
        <f t="array" ref="BD115">IF(AND(BD$2&lt;&gt;0,#REF!&gt;=BD$2),1,0)</f>
        <v>#REF!</v>
      </c>
      <c r="BE115" s="270" t="e">
        <f t="array" ref="BE115">IF(AND(BE$2&lt;&gt;0,#REF!&gt;=BE$2),1,0)</f>
        <v>#REF!</v>
      </c>
      <c r="BF115" s="270" t="e">
        <f t="array" ref="BF115">IF(AND(BF$2&lt;&gt;0,#REF!&gt;=BF$2),1,0)</f>
        <v>#REF!</v>
      </c>
      <c r="BG115" s="270" t="e">
        <f t="array" ref="BG115">IF(AND(BG$2&lt;&gt;0,#REF!&gt;=BG$2),1,0)</f>
        <v>#REF!</v>
      </c>
      <c r="BH115" s="270" t="e">
        <f t="array" ref="BH115">IF(AND(BH$2&lt;&gt;0,#REF!&gt;=BH$2),1,0)</f>
        <v>#REF!</v>
      </c>
      <c r="BI115" s="270" t="e">
        <f t="array" ref="BI115">IF(AND(BI$2&lt;&gt;0,#REF!&gt;=BI$2),1,0)</f>
        <v>#REF!</v>
      </c>
      <c r="BJ115" s="270" t="e">
        <f t="array" ref="BJ115">IF(AND(BJ$2&lt;&gt;0,#REF!&gt;=BJ$2),1,0)</f>
        <v>#REF!</v>
      </c>
      <c r="BK115" s="270" t="e">
        <f t="array" ref="BK115">IF(AND(BK$2&lt;&gt;0,#REF!&gt;=BK$2),1,0)</f>
        <v>#REF!</v>
      </c>
      <c r="BL115" s="270" t="e">
        <f t="array" ref="BL115">IF(AND(BL$2&lt;&gt;0,#REF!&gt;=BL$2),1,0)</f>
        <v>#REF!</v>
      </c>
      <c r="BM115" s="270" t="e">
        <f t="array" ref="BM115">IF(AND(BM$2&lt;&gt;0,#REF!&gt;=BM$2),1,0)</f>
        <v>#REF!</v>
      </c>
      <c r="BN115" s="270" t="e">
        <f t="array" ref="BN115">IF(AND(BN$2&lt;&gt;0,#REF!&gt;=BN$2),1,0)</f>
        <v>#REF!</v>
      </c>
      <c r="BO115" s="270" t="e">
        <f t="array" ref="BO115">IF(AND(BO$2&lt;&gt;0,#REF!&gt;=BO$2),1,0)</f>
        <v>#REF!</v>
      </c>
      <c r="BP115" s="270" t="e">
        <f t="array" ref="BP115">IF(AND(BP$2&lt;&gt;0,#REF!&gt;=BP$2),1,0)</f>
        <v>#REF!</v>
      </c>
      <c r="BQ115" s="270" t="e">
        <f t="array" ref="BQ115">IF(AND(BQ$2&lt;&gt;0,#REF!&gt;=BQ$2),1,0)</f>
        <v>#REF!</v>
      </c>
      <c r="BR115" s="270" t="e">
        <f t="array" ref="BR115">IF(AND(BR$2&lt;&gt;0,#REF!&gt;=BR$2),1,0)</f>
        <v>#REF!</v>
      </c>
      <c r="BS115" s="270" t="e">
        <f t="array" ref="BS115">IF(AND(BS$2&lt;&gt;0,#REF!&gt;=BS$2),1,0)</f>
        <v>#REF!</v>
      </c>
      <c r="BT115" s="270" t="e">
        <f t="array" ref="BT115">IF(AND(BT$2&lt;&gt;0,#REF!&gt;=BT$2),1,0)</f>
        <v>#REF!</v>
      </c>
      <c r="BU115" s="270" t="e">
        <f t="array" ref="BU115">IF(AND(BU$2&lt;&gt;0,#REF!&gt;=BU$2),1,0)</f>
        <v>#REF!</v>
      </c>
      <c r="BV115" s="270" t="e">
        <f t="array" ref="BV115">IF(AND(BV$2&lt;&gt;0,#REF!&gt;=BV$2),1,0)</f>
        <v>#REF!</v>
      </c>
      <c r="BW115" s="270" t="e">
        <f t="array" ref="BW115">IF(AND(BW$2&lt;&gt;0,#REF!&gt;=BW$2),1,0)</f>
        <v>#REF!</v>
      </c>
      <c r="BX115" s="270" t="e">
        <f t="array" ref="BX115">IF(AND(BX$2&lt;&gt;0,#REF!&gt;=BX$2),1,0)</f>
        <v>#REF!</v>
      </c>
      <c r="BY115" s="270" t="e">
        <f t="array" ref="BY115">IF(AND(BY$2&lt;&gt;0,#REF!&gt;=BY$2),1,0)</f>
        <v>#REF!</v>
      </c>
      <c r="BZ115" s="270" t="e">
        <f t="array" ref="BZ115">IF(AND(BZ$2&lt;&gt;0,#REF!&gt;=BZ$2),1,0)</f>
        <v>#REF!</v>
      </c>
      <c r="CA115" s="359">
        <f>IFERROR(INDEX($H$4:$H$79,MATCH(INDEX(#REF!,1,MATCH(#REF!,$M$2:$BZ$2,0)),$G$4:$G$79,0)),)</f>
        <v>0</v>
      </c>
    </row>
    <row r="116" spans="1:79" x14ac:dyDescent="0.25">
      <c r="A116" s="262" t="e">
        <f>#REF!</f>
        <v>#REF!</v>
      </c>
      <c r="B116" s="263" t="e">
        <f>#REF!</f>
        <v>#REF!</v>
      </c>
      <c r="C116" s="264" t="e">
        <f>#REF!</f>
        <v>#REF!</v>
      </c>
      <c r="D116" s="264" t="e">
        <f>#REF!</f>
        <v>#REF!</v>
      </c>
      <c r="E116" s="273"/>
      <c r="F116" s="274"/>
      <c r="G116" s="267"/>
      <c r="H116" s="268"/>
      <c r="I116" s="268"/>
      <c r="J116" s="268"/>
      <c r="K116" s="89" t="e">
        <f ca="1">IF(#REF!&lt;&gt;OFFSET(#REF!,-1,0),1,0)</f>
        <v>#REF!</v>
      </c>
      <c r="L116" s="269" t="e">
        <f>COUNTIF(#REF!,1)</f>
        <v>#REF!</v>
      </c>
      <c r="M116" s="270" t="e">
        <f t="array" ref="M116">IF(AND(M$2&lt;&gt;0,#REF!&gt;=M$2),1,0)</f>
        <v>#REF!</v>
      </c>
      <c r="N116" s="270" t="e">
        <f t="array" ref="N116">IF(AND(N$2&lt;&gt;0,#REF!&gt;=N$2),1,0)</f>
        <v>#REF!</v>
      </c>
      <c r="O116" s="270" t="e">
        <f t="array" ref="O116">IF(AND(O$2&lt;&gt;0,#REF!&gt;=O$2),1,0)</f>
        <v>#REF!</v>
      </c>
      <c r="P116" s="270" t="e">
        <f t="array" ref="P116">IF(AND(P$2&lt;&gt;0,#REF!&gt;=P$2),1,0)</f>
        <v>#REF!</v>
      </c>
      <c r="Q116" s="270" t="e">
        <f t="array" ref="Q116">IF(AND(Q$2&lt;&gt;0,#REF!&gt;=Q$2),1,0)</f>
        <v>#REF!</v>
      </c>
      <c r="R116" s="270" t="e">
        <f t="array" ref="R116">IF(AND(R$2&lt;&gt;0,#REF!&gt;=R$2),1,0)</f>
        <v>#REF!</v>
      </c>
      <c r="S116" s="270" t="e">
        <f t="array" ref="S116">IF(AND(S$2&lt;&gt;0,#REF!&gt;=S$2),1,0)</f>
        <v>#REF!</v>
      </c>
      <c r="T116" s="270" t="e">
        <f t="array" ref="T116">IF(AND(T$2&lt;&gt;0,#REF!&gt;=T$2),1,0)</f>
        <v>#REF!</v>
      </c>
      <c r="U116" s="270" t="e">
        <f t="array" ref="U116">IF(AND(U$2&lt;&gt;0,#REF!&gt;=U$2),1,0)</f>
        <v>#REF!</v>
      </c>
      <c r="V116" s="270" t="e">
        <f t="array" ref="V116">IF(AND(V$2&lt;&gt;0,#REF!&gt;=V$2),1,0)</f>
        <v>#REF!</v>
      </c>
      <c r="W116" s="270" t="e">
        <f t="array" ref="W116">IF(AND(W$2&lt;&gt;0,#REF!&gt;=W$2),1,0)</f>
        <v>#REF!</v>
      </c>
      <c r="X116" s="270" t="e">
        <f t="array" ref="X116">IF(AND(X$2&lt;&gt;0,#REF!&gt;=X$2),1,0)</f>
        <v>#REF!</v>
      </c>
      <c r="Y116" s="270" t="e">
        <f t="array" ref="Y116">IF(AND(Y$2&lt;&gt;0,#REF!&gt;=Y$2),1,0)</f>
        <v>#REF!</v>
      </c>
      <c r="Z116" s="270" t="e">
        <f t="array" ref="Z116">IF(AND(Z$2&lt;&gt;0,#REF!&gt;=Z$2),1,0)</f>
        <v>#REF!</v>
      </c>
      <c r="AA116" s="270" t="e">
        <f t="array" ref="AA116">IF(AND(AA$2&lt;&gt;0,#REF!&gt;=AA$2),1,0)</f>
        <v>#REF!</v>
      </c>
      <c r="AB116" s="270" t="e">
        <f t="array" ref="AB116">IF(AND(AB$2&lt;&gt;0,#REF!&gt;=AB$2),1,0)</f>
        <v>#REF!</v>
      </c>
      <c r="AC116" s="270" t="e">
        <f t="array" ref="AC116">IF(AND(AC$2&lt;&gt;0,#REF!&gt;=AC$2),1,0)</f>
        <v>#REF!</v>
      </c>
      <c r="AD116" s="270" t="e">
        <f t="array" ref="AD116">IF(AND(AD$2&lt;&gt;0,#REF!&gt;=AD$2),1,0)</f>
        <v>#REF!</v>
      </c>
      <c r="AE116" s="270" t="e">
        <f t="array" ref="AE116">IF(AND(AE$2&lt;&gt;0,#REF!&gt;=AE$2),1,0)</f>
        <v>#REF!</v>
      </c>
      <c r="AF116" s="270" t="e">
        <f t="array" ref="AF116">IF(AND(AF$2&lt;&gt;0,#REF!&gt;=AF$2),1,0)</f>
        <v>#REF!</v>
      </c>
      <c r="AG116" s="270" t="e">
        <f t="array" ref="AG116">IF(AND(AG$2&lt;&gt;0,#REF!&gt;=AG$2),1,0)</f>
        <v>#REF!</v>
      </c>
      <c r="AH116" s="270" t="e">
        <f t="array" ref="AH116">IF(AND(AH$2&lt;&gt;0,#REF!&gt;=AH$2),1,0)</f>
        <v>#REF!</v>
      </c>
      <c r="AI116" s="270" t="e">
        <f t="array" ref="AI116">IF(AND(AI$2&lt;&gt;0,#REF!&gt;=AI$2),1,0)</f>
        <v>#REF!</v>
      </c>
      <c r="AJ116" s="270" t="e">
        <f t="array" ref="AJ116">IF(AND(AJ$2&lt;&gt;0,#REF!&gt;=AJ$2),1,0)</f>
        <v>#REF!</v>
      </c>
      <c r="AK116" s="270" t="e">
        <f t="array" ref="AK116">IF(AND(AK$2&lt;&gt;0,#REF!&gt;=AK$2),1,0)</f>
        <v>#REF!</v>
      </c>
      <c r="AL116" s="270" t="e">
        <f t="array" ref="AL116">IF(AND(AL$2&lt;&gt;0,#REF!&gt;=AL$2),1,0)</f>
        <v>#REF!</v>
      </c>
      <c r="AM116" s="270" t="e">
        <f t="array" ref="AM116">IF(AND(AM$2&lt;&gt;0,#REF!&gt;=AM$2),1,0)</f>
        <v>#REF!</v>
      </c>
      <c r="AN116" s="270" t="e">
        <f t="array" ref="AN116">IF(AND(AN$2&lt;&gt;0,#REF!&gt;=AN$2),1,0)</f>
        <v>#REF!</v>
      </c>
      <c r="AO116" s="270" t="e">
        <f t="array" ref="AO116">IF(AND(AO$2&lt;&gt;0,#REF!&gt;=AO$2),1,0)</f>
        <v>#REF!</v>
      </c>
      <c r="AP116" s="270" t="e">
        <f t="array" ref="AP116">IF(AND(AP$2&lt;&gt;0,#REF!&gt;=AP$2),1,0)</f>
        <v>#REF!</v>
      </c>
      <c r="AQ116" s="270" t="e">
        <f t="array" ref="AQ116">IF(AND(AQ$2&lt;&gt;0,#REF!&gt;=AQ$2),1,0)</f>
        <v>#REF!</v>
      </c>
      <c r="AR116" s="270" t="e">
        <f t="array" ref="AR116">IF(AND(AR$2&lt;&gt;0,#REF!&gt;=AR$2),1,0)</f>
        <v>#REF!</v>
      </c>
      <c r="AS116" s="270" t="e">
        <f t="array" ref="AS116">IF(AND(AS$2&lt;&gt;0,#REF!&gt;=AS$2),1,0)</f>
        <v>#REF!</v>
      </c>
      <c r="AT116" s="270" t="e">
        <f t="array" ref="AT116">IF(AND(AT$2&lt;&gt;0,#REF!&gt;=AT$2),1,0)</f>
        <v>#REF!</v>
      </c>
      <c r="AU116" s="270" t="e">
        <f t="array" ref="AU116">IF(AND(AU$2&lt;&gt;0,#REF!&gt;=AU$2),1,0)</f>
        <v>#REF!</v>
      </c>
      <c r="AV116" s="270" t="e">
        <f t="array" ref="AV116">IF(AND(AV$2&lt;&gt;0,#REF!&gt;=AV$2),1,0)</f>
        <v>#REF!</v>
      </c>
      <c r="AW116" s="270" t="e">
        <f t="array" ref="AW116">IF(AND(AW$2&lt;&gt;0,#REF!&gt;=AW$2),1,0)</f>
        <v>#REF!</v>
      </c>
      <c r="AX116" s="270" t="e">
        <f t="array" ref="AX116">IF(AND(AX$2&lt;&gt;0,#REF!&gt;=AX$2),1,0)</f>
        <v>#REF!</v>
      </c>
      <c r="AY116" s="270" t="e">
        <f t="array" ref="AY116">IF(AND(AY$2&lt;&gt;0,#REF!&gt;=AY$2),1,0)</f>
        <v>#REF!</v>
      </c>
      <c r="AZ116" s="270" t="e">
        <f t="array" ref="AZ116">IF(AND(AZ$2&lt;&gt;0,#REF!&gt;=AZ$2),1,0)</f>
        <v>#REF!</v>
      </c>
      <c r="BA116" s="270" t="e">
        <f t="array" ref="BA116">IF(AND(BA$2&lt;&gt;0,#REF!&gt;=BA$2),1,0)</f>
        <v>#REF!</v>
      </c>
      <c r="BB116" s="270" t="e">
        <f t="array" ref="BB116">IF(AND(BB$2&lt;&gt;0,#REF!&gt;=BB$2),1,0)</f>
        <v>#REF!</v>
      </c>
      <c r="BC116" s="270" t="e">
        <f t="array" ref="BC116">IF(AND(BC$2&lt;&gt;0,#REF!&gt;=BC$2),1,0)</f>
        <v>#REF!</v>
      </c>
      <c r="BD116" s="270" t="e">
        <f t="array" ref="BD116">IF(AND(BD$2&lt;&gt;0,#REF!&gt;=BD$2),1,0)</f>
        <v>#REF!</v>
      </c>
      <c r="BE116" s="270" t="e">
        <f t="array" ref="BE116">IF(AND(BE$2&lt;&gt;0,#REF!&gt;=BE$2),1,0)</f>
        <v>#REF!</v>
      </c>
      <c r="BF116" s="270" t="e">
        <f t="array" ref="BF116">IF(AND(BF$2&lt;&gt;0,#REF!&gt;=BF$2),1,0)</f>
        <v>#REF!</v>
      </c>
      <c r="BG116" s="270" t="e">
        <f t="array" ref="BG116">IF(AND(BG$2&lt;&gt;0,#REF!&gt;=BG$2),1,0)</f>
        <v>#REF!</v>
      </c>
      <c r="BH116" s="270" t="e">
        <f t="array" ref="BH116">IF(AND(BH$2&lt;&gt;0,#REF!&gt;=BH$2),1,0)</f>
        <v>#REF!</v>
      </c>
      <c r="BI116" s="270" t="e">
        <f t="array" ref="BI116">IF(AND(BI$2&lt;&gt;0,#REF!&gt;=BI$2),1,0)</f>
        <v>#REF!</v>
      </c>
      <c r="BJ116" s="270" t="e">
        <f t="array" ref="BJ116">IF(AND(BJ$2&lt;&gt;0,#REF!&gt;=BJ$2),1,0)</f>
        <v>#REF!</v>
      </c>
      <c r="BK116" s="270" t="e">
        <f t="array" ref="BK116">IF(AND(BK$2&lt;&gt;0,#REF!&gt;=BK$2),1,0)</f>
        <v>#REF!</v>
      </c>
      <c r="BL116" s="270" t="e">
        <f t="array" ref="BL116">IF(AND(BL$2&lt;&gt;0,#REF!&gt;=BL$2),1,0)</f>
        <v>#REF!</v>
      </c>
      <c r="BM116" s="270" t="e">
        <f t="array" ref="BM116">IF(AND(BM$2&lt;&gt;0,#REF!&gt;=BM$2),1,0)</f>
        <v>#REF!</v>
      </c>
      <c r="BN116" s="270" t="e">
        <f t="array" ref="BN116">IF(AND(BN$2&lt;&gt;0,#REF!&gt;=BN$2),1,0)</f>
        <v>#REF!</v>
      </c>
      <c r="BO116" s="270" t="e">
        <f t="array" ref="BO116">IF(AND(BO$2&lt;&gt;0,#REF!&gt;=BO$2),1,0)</f>
        <v>#REF!</v>
      </c>
      <c r="BP116" s="270" t="e">
        <f t="array" ref="BP116">IF(AND(BP$2&lt;&gt;0,#REF!&gt;=BP$2),1,0)</f>
        <v>#REF!</v>
      </c>
      <c r="BQ116" s="270" t="e">
        <f t="array" ref="BQ116">IF(AND(BQ$2&lt;&gt;0,#REF!&gt;=BQ$2),1,0)</f>
        <v>#REF!</v>
      </c>
      <c r="BR116" s="270" t="e">
        <f t="array" ref="BR116">IF(AND(BR$2&lt;&gt;0,#REF!&gt;=BR$2),1,0)</f>
        <v>#REF!</v>
      </c>
      <c r="BS116" s="270" t="e">
        <f t="array" ref="BS116">IF(AND(BS$2&lt;&gt;0,#REF!&gt;=BS$2),1,0)</f>
        <v>#REF!</v>
      </c>
      <c r="BT116" s="270" t="e">
        <f t="array" ref="BT116">IF(AND(BT$2&lt;&gt;0,#REF!&gt;=BT$2),1,0)</f>
        <v>#REF!</v>
      </c>
      <c r="BU116" s="270" t="e">
        <f t="array" ref="BU116">IF(AND(BU$2&lt;&gt;0,#REF!&gt;=BU$2),1,0)</f>
        <v>#REF!</v>
      </c>
      <c r="BV116" s="270" t="e">
        <f t="array" ref="BV116">IF(AND(BV$2&lt;&gt;0,#REF!&gt;=BV$2),1,0)</f>
        <v>#REF!</v>
      </c>
      <c r="BW116" s="270" t="e">
        <f t="array" ref="BW116">IF(AND(BW$2&lt;&gt;0,#REF!&gt;=BW$2),1,0)</f>
        <v>#REF!</v>
      </c>
      <c r="BX116" s="270" t="e">
        <f t="array" ref="BX116">IF(AND(BX$2&lt;&gt;0,#REF!&gt;=BX$2),1,0)</f>
        <v>#REF!</v>
      </c>
      <c r="BY116" s="270" t="e">
        <f t="array" ref="BY116">IF(AND(BY$2&lt;&gt;0,#REF!&gt;=BY$2),1,0)</f>
        <v>#REF!</v>
      </c>
      <c r="BZ116" s="270" t="e">
        <f t="array" ref="BZ116">IF(AND(BZ$2&lt;&gt;0,#REF!&gt;=BZ$2),1,0)</f>
        <v>#REF!</v>
      </c>
      <c r="CA116" s="359">
        <f>IFERROR(INDEX($H$4:$H$79,MATCH(INDEX(#REF!,1,MATCH(#REF!,$M$2:$BZ$2,0)),$G$4:$G$79,0)),)</f>
        <v>0</v>
      </c>
    </row>
    <row r="117" spans="1:79" x14ac:dyDescent="0.25">
      <c r="A117" s="262" t="e">
        <f>#REF!</f>
        <v>#REF!</v>
      </c>
      <c r="B117" s="263" t="e">
        <f>#REF!</f>
        <v>#REF!</v>
      </c>
      <c r="C117" s="264" t="e">
        <f>#REF!</f>
        <v>#REF!</v>
      </c>
      <c r="D117" s="264" t="e">
        <f>#REF!</f>
        <v>#REF!</v>
      </c>
      <c r="E117" s="273"/>
      <c r="F117" s="274"/>
      <c r="G117" s="267"/>
      <c r="H117" s="268"/>
      <c r="I117" s="268"/>
      <c r="J117" s="268"/>
      <c r="K117" s="89" t="e">
        <f ca="1">IF(#REF!&lt;&gt;OFFSET(#REF!,-1,0),1,0)</f>
        <v>#REF!</v>
      </c>
      <c r="L117" s="269" t="e">
        <f>COUNTIF(#REF!,1)</f>
        <v>#REF!</v>
      </c>
      <c r="M117" s="270" t="e">
        <f t="array" ref="M117">IF(AND(M$2&lt;&gt;0,#REF!&gt;=M$2),1,0)</f>
        <v>#REF!</v>
      </c>
      <c r="N117" s="270" t="e">
        <f t="array" ref="N117">IF(AND(N$2&lt;&gt;0,#REF!&gt;=N$2),1,0)</f>
        <v>#REF!</v>
      </c>
      <c r="O117" s="270" t="e">
        <f t="array" ref="O117">IF(AND(O$2&lt;&gt;0,#REF!&gt;=O$2),1,0)</f>
        <v>#REF!</v>
      </c>
      <c r="P117" s="270" t="e">
        <f t="array" ref="P117">IF(AND(P$2&lt;&gt;0,#REF!&gt;=P$2),1,0)</f>
        <v>#REF!</v>
      </c>
      <c r="Q117" s="270" t="e">
        <f t="array" ref="Q117">IF(AND(Q$2&lt;&gt;0,#REF!&gt;=Q$2),1,0)</f>
        <v>#REF!</v>
      </c>
      <c r="R117" s="270" t="e">
        <f t="array" ref="R117">IF(AND(R$2&lt;&gt;0,#REF!&gt;=R$2),1,0)</f>
        <v>#REF!</v>
      </c>
      <c r="S117" s="270" t="e">
        <f t="array" ref="S117">IF(AND(S$2&lt;&gt;0,#REF!&gt;=S$2),1,0)</f>
        <v>#REF!</v>
      </c>
      <c r="T117" s="270" t="e">
        <f t="array" ref="T117">IF(AND(T$2&lt;&gt;0,#REF!&gt;=T$2),1,0)</f>
        <v>#REF!</v>
      </c>
      <c r="U117" s="270" t="e">
        <f t="array" ref="U117">IF(AND(U$2&lt;&gt;0,#REF!&gt;=U$2),1,0)</f>
        <v>#REF!</v>
      </c>
      <c r="V117" s="270" t="e">
        <f t="array" ref="V117">IF(AND(V$2&lt;&gt;0,#REF!&gt;=V$2),1,0)</f>
        <v>#REF!</v>
      </c>
      <c r="W117" s="270" t="e">
        <f t="array" ref="W117">IF(AND(W$2&lt;&gt;0,#REF!&gt;=W$2),1,0)</f>
        <v>#REF!</v>
      </c>
      <c r="X117" s="270" t="e">
        <f t="array" ref="X117">IF(AND(X$2&lt;&gt;0,#REF!&gt;=X$2),1,0)</f>
        <v>#REF!</v>
      </c>
      <c r="Y117" s="270" t="e">
        <f t="array" ref="Y117">IF(AND(Y$2&lt;&gt;0,#REF!&gt;=Y$2),1,0)</f>
        <v>#REF!</v>
      </c>
      <c r="Z117" s="270" t="e">
        <f t="array" ref="Z117">IF(AND(Z$2&lt;&gt;0,#REF!&gt;=Z$2),1,0)</f>
        <v>#REF!</v>
      </c>
      <c r="AA117" s="270" t="e">
        <f t="array" ref="AA117">IF(AND(AA$2&lt;&gt;0,#REF!&gt;=AA$2),1,0)</f>
        <v>#REF!</v>
      </c>
      <c r="AB117" s="270" t="e">
        <f t="array" ref="AB117">IF(AND(AB$2&lt;&gt;0,#REF!&gt;=AB$2),1,0)</f>
        <v>#REF!</v>
      </c>
      <c r="AC117" s="270" t="e">
        <f t="array" ref="AC117">IF(AND(AC$2&lt;&gt;0,#REF!&gt;=AC$2),1,0)</f>
        <v>#REF!</v>
      </c>
      <c r="AD117" s="270" t="e">
        <f t="array" ref="AD117">IF(AND(AD$2&lt;&gt;0,#REF!&gt;=AD$2),1,0)</f>
        <v>#REF!</v>
      </c>
      <c r="AE117" s="270" t="e">
        <f t="array" ref="AE117">IF(AND(AE$2&lt;&gt;0,#REF!&gt;=AE$2),1,0)</f>
        <v>#REF!</v>
      </c>
      <c r="AF117" s="270" t="e">
        <f t="array" ref="AF117">IF(AND(AF$2&lt;&gt;0,#REF!&gt;=AF$2),1,0)</f>
        <v>#REF!</v>
      </c>
      <c r="AG117" s="270" t="e">
        <f t="array" ref="AG117">IF(AND(AG$2&lt;&gt;0,#REF!&gt;=AG$2),1,0)</f>
        <v>#REF!</v>
      </c>
      <c r="AH117" s="270" t="e">
        <f t="array" ref="AH117">IF(AND(AH$2&lt;&gt;0,#REF!&gt;=AH$2),1,0)</f>
        <v>#REF!</v>
      </c>
      <c r="AI117" s="270" t="e">
        <f t="array" ref="AI117">IF(AND(AI$2&lt;&gt;0,#REF!&gt;=AI$2),1,0)</f>
        <v>#REF!</v>
      </c>
      <c r="AJ117" s="270" t="e">
        <f t="array" ref="AJ117">IF(AND(AJ$2&lt;&gt;0,#REF!&gt;=AJ$2),1,0)</f>
        <v>#REF!</v>
      </c>
      <c r="AK117" s="270" t="e">
        <f t="array" ref="AK117">IF(AND(AK$2&lt;&gt;0,#REF!&gt;=AK$2),1,0)</f>
        <v>#REF!</v>
      </c>
      <c r="AL117" s="270" t="e">
        <f t="array" ref="AL117">IF(AND(AL$2&lt;&gt;0,#REF!&gt;=AL$2),1,0)</f>
        <v>#REF!</v>
      </c>
      <c r="AM117" s="270" t="e">
        <f t="array" ref="AM117">IF(AND(AM$2&lt;&gt;0,#REF!&gt;=AM$2),1,0)</f>
        <v>#REF!</v>
      </c>
      <c r="AN117" s="270" t="e">
        <f t="array" ref="AN117">IF(AND(AN$2&lt;&gt;0,#REF!&gt;=AN$2),1,0)</f>
        <v>#REF!</v>
      </c>
      <c r="AO117" s="270" t="e">
        <f t="array" ref="AO117">IF(AND(AO$2&lt;&gt;0,#REF!&gt;=AO$2),1,0)</f>
        <v>#REF!</v>
      </c>
      <c r="AP117" s="270" t="e">
        <f t="array" ref="AP117">IF(AND(AP$2&lt;&gt;0,#REF!&gt;=AP$2),1,0)</f>
        <v>#REF!</v>
      </c>
      <c r="AQ117" s="270" t="e">
        <f t="array" ref="AQ117">IF(AND(AQ$2&lt;&gt;0,#REF!&gt;=AQ$2),1,0)</f>
        <v>#REF!</v>
      </c>
      <c r="AR117" s="270" t="e">
        <f t="array" ref="AR117">IF(AND(AR$2&lt;&gt;0,#REF!&gt;=AR$2),1,0)</f>
        <v>#REF!</v>
      </c>
      <c r="AS117" s="270" t="e">
        <f t="array" ref="AS117">IF(AND(AS$2&lt;&gt;0,#REF!&gt;=AS$2),1,0)</f>
        <v>#REF!</v>
      </c>
      <c r="AT117" s="270" t="e">
        <f t="array" ref="AT117">IF(AND(AT$2&lt;&gt;0,#REF!&gt;=AT$2),1,0)</f>
        <v>#REF!</v>
      </c>
      <c r="AU117" s="270" t="e">
        <f t="array" ref="AU117">IF(AND(AU$2&lt;&gt;0,#REF!&gt;=AU$2),1,0)</f>
        <v>#REF!</v>
      </c>
      <c r="AV117" s="270" t="e">
        <f t="array" ref="AV117">IF(AND(AV$2&lt;&gt;0,#REF!&gt;=AV$2),1,0)</f>
        <v>#REF!</v>
      </c>
      <c r="AW117" s="270" t="e">
        <f t="array" ref="AW117">IF(AND(AW$2&lt;&gt;0,#REF!&gt;=AW$2),1,0)</f>
        <v>#REF!</v>
      </c>
      <c r="AX117" s="270" t="e">
        <f t="array" ref="AX117">IF(AND(AX$2&lt;&gt;0,#REF!&gt;=AX$2),1,0)</f>
        <v>#REF!</v>
      </c>
      <c r="AY117" s="270" t="e">
        <f t="array" ref="AY117">IF(AND(AY$2&lt;&gt;0,#REF!&gt;=AY$2),1,0)</f>
        <v>#REF!</v>
      </c>
      <c r="AZ117" s="270" t="e">
        <f t="array" ref="AZ117">IF(AND(AZ$2&lt;&gt;0,#REF!&gt;=AZ$2),1,0)</f>
        <v>#REF!</v>
      </c>
      <c r="BA117" s="270" t="e">
        <f t="array" ref="BA117">IF(AND(BA$2&lt;&gt;0,#REF!&gt;=BA$2),1,0)</f>
        <v>#REF!</v>
      </c>
      <c r="BB117" s="270" t="e">
        <f t="array" ref="BB117">IF(AND(BB$2&lt;&gt;0,#REF!&gt;=BB$2),1,0)</f>
        <v>#REF!</v>
      </c>
      <c r="BC117" s="270" t="e">
        <f t="array" ref="BC117">IF(AND(BC$2&lt;&gt;0,#REF!&gt;=BC$2),1,0)</f>
        <v>#REF!</v>
      </c>
      <c r="BD117" s="270" t="e">
        <f t="array" ref="BD117">IF(AND(BD$2&lt;&gt;0,#REF!&gt;=BD$2),1,0)</f>
        <v>#REF!</v>
      </c>
      <c r="BE117" s="270" t="e">
        <f t="array" ref="BE117">IF(AND(BE$2&lt;&gt;0,#REF!&gt;=BE$2),1,0)</f>
        <v>#REF!</v>
      </c>
      <c r="BF117" s="270" t="e">
        <f t="array" ref="BF117">IF(AND(BF$2&lt;&gt;0,#REF!&gt;=BF$2),1,0)</f>
        <v>#REF!</v>
      </c>
      <c r="BG117" s="270" t="e">
        <f t="array" ref="BG117">IF(AND(BG$2&lt;&gt;0,#REF!&gt;=BG$2),1,0)</f>
        <v>#REF!</v>
      </c>
      <c r="BH117" s="270" t="e">
        <f t="array" ref="BH117">IF(AND(BH$2&lt;&gt;0,#REF!&gt;=BH$2),1,0)</f>
        <v>#REF!</v>
      </c>
      <c r="BI117" s="270" t="e">
        <f t="array" ref="BI117">IF(AND(BI$2&lt;&gt;0,#REF!&gt;=BI$2),1,0)</f>
        <v>#REF!</v>
      </c>
      <c r="BJ117" s="270" t="e">
        <f t="array" ref="BJ117">IF(AND(BJ$2&lt;&gt;0,#REF!&gt;=BJ$2),1,0)</f>
        <v>#REF!</v>
      </c>
      <c r="BK117" s="270" t="e">
        <f t="array" ref="BK117">IF(AND(BK$2&lt;&gt;0,#REF!&gt;=BK$2),1,0)</f>
        <v>#REF!</v>
      </c>
      <c r="BL117" s="270" t="e">
        <f t="array" ref="BL117">IF(AND(BL$2&lt;&gt;0,#REF!&gt;=BL$2),1,0)</f>
        <v>#REF!</v>
      </c>
      <c r="BM117" s="270" t="e">
        <f t="array" ref="BM117">IF(AND(BM$2&lt;&gt;0,#REF!&gt;=BM$2),1,0)</f>
        <v>#REF!</v>
      </c>
      <c r="BN117" s="270" t="e">
        <f t="array" ref="BN117">IF(AND(BN$2&lt;&gt;0,#REF!&gt;=BN$2),1,0)</f>
        <v>#REF!</v>
      </c>
      <c r="BO117" s="270" t="e">
        <f t="array" ref="BO117">IF(AND(BO$2&lt;&gt;0,#REF!&gt;=BO$2),1,0)</f>
        <v>#REF!</v>
      </c>
      <c r="BP117" s="270" t="e">
        <f t="array" ref="BP117">IF(AND(BP$2&lt;&gt;0,#REF!&gt;=BP$2),1,0)</f>
        <v>#REF!</v>
      </c>
      <c r="BQ117" s="270" t="e">
        <f t="array" ref="BQ117">IF(AND(BQ$2&lt;&gt;0,#REF!&gt;=BQ$2),1,0)</f>
        <v>#REF!</v>
      </c>
      <c r="BR117" s="270" t="e">
        <f t="array" ref="BR117">IF(AND(BR$2&lt;&gt;0,#REF!&gt;=BR$2),1,0)</f>
        <v>#REF!</v>
      </c>
      <c r="BS117" s="270" t="e">
        <f t="array" ref="BS117">IF(AND(BS$2&lt;&gt;0,#REF!&gt;=BS$2),1,0)</f>
        <v>#REF!</v>
      </c>
      <c r="BT117" s="270" t="e">
        <f t="array" ref="BT117">IF(AND(BT$2&lt;&gt;0,#REF!&gt;=BT$2),1,0)</f>
        <v>#REF!</v>
      </c>
      <c r="BU117" s="270" t="e">
        <f t="array" ref="BU117">IF(AND(BU$2&lt;&gt;0,#REF!&gt;=BU$2),1,0)</f>
        <v>#REF!</v>
      </c>
      <c r="BV117" s="270" t="e">
        <f t="array" ref="BV117">IF(AND(BV$2&lt;&gt;0,#REF!&gt;=BV$2),1,0)</f>
        <v>#REF!</v>
      </c>
      <c r="BW117" s="270" t="e">
        <f t="array" ref="BW117">IF(AND(BW$2&lt;&gt;0,#REF!&gt;=BW$2),1,0)</f>
        <v>#REF!</v>
      </c>
      <c r="BX117" s="270" t="e">
        <f t="array" ref="BX117">IF(AND(BX$2&lt;&gt;0,#REF!&gt;=BX$2),1,0)</f>
        <v>#REF!</v>
      </c>
      <c r="BY117" s="270" t="e">
        <f t="array" ref="BY117">IF(AND(BY$2&lt;&gt;0,#REF!&gt;=BY$2),1,0)</f>
        <v>#REF!</v>
      </c>
      <c r="BZ117" s="270" t="e">
        <f t="array" ref="BZ117">IF(AND(BZ$2&lt;&gt;0,#REF!&gt;=BZ$2),1,0)</f>
        <v>#REF!</v>
      </c>
      <c r="CA117" s="359">
        <f>IFERROR(INDEX($H$4:$H$79,MATCH(INDEX(#REF!,1,MATCH(#REF!,$M$2:$BZ$2,0)),$G$4:$G$79,0)),)</f>
        <v>0</v>
      </c>
    </row>
    <row r="118" spans="1:79" x14ac:dyDescent="0.25">
      <c r="A118" s="262" t="e">
        <f>#REF!</f>
        <v>#REF!</v>
      </c>
      <c r="B118" s="263" t="e">
        <f>#REF!</f>
        <v>#REF!</v>
      </c>
      <c r="C118" s="264" t="e">
        <f>#REF!</f>
        <v>#REF!</v>
      </c>
      <c r="D118" s="264" t="e">
        <f>#REF!</f>
        <v>#REF!</v>
      </c>
      <c r="E118" s="273"/>
      <c r="F118" s="274"/>
      <c r="G118" s="267"/>
      <c r="H118" s="268"/>
      <c r="I118" s="268"/>
      <c r="J118" s="268"/>
      <c r="K118" s="89" t="e">
        <f ca="1">IF(#REF!&lt;&gt;OFFSET(#REF!,-1,0),1,0)</f>
        <v>#REF!</v>
      </c>
      <c r="L118" s="269" t="e">
        <f>COUNTIF(#REF!,1)</f>
        <v>#REF!</v>
      </c>
      <c r="M118" s="270" t="e">
        <f t="array" ref="M118">IF(AND(M$2&lt;&gt;0,#REF!&gt;=M$2),1,0)</f>
        <v>#REF!</v>
      </c>
      <c r="N118" s="270" t="e">
        <f t="array" ref="N118">IF(AND(N$2&lt;&gt;0,#REF!&gt;=N$2),1,0)</f>
        <v>#REF!</v>
      </c>
      <c r="O118" s="270" t="e">
        <f t="array" ref="O118">IF(AND(O$2&lt;&gt;0,#REF!&gt;=O$2),1,0)</f>
        <v>#REF!</v>
      </c>
      <c r="P118" s="270" t="e">
        <f t="array" ref="P118">IF(AND(P$2&lt;&gt;0,#REF!&gt;=P$2),1,0)</f>
        <v>#REF!</v>
      </c>
      <c r="Q118" s="270" t="e">
        <f t="array" ref="Q118">IF(AND(Q$2&lt;&gt;0,#REF!&gt;=Q$2),1,0)</f>
        <v>#REF!</v>
      </c>
      <c r="R118" s="270" t="e">
        <f t="array" ref="R118">IF(AND(R$2&lt;&gt;0,#REF!&gt;=R$2),1,0)</f>
        <v>#REF!</v>
      </c>
      <c r="S118" s="270" t="e">
        <f t="array" ref="S118">IF(AND(S$2&lt;&gt;0,#REF!&gt;=S$2),1,0)</f>
        <v>#REF!</v>
      </c>
      <c r="T118" s="270" t="e">
        <f t="array" ref="T118">IF(AND(T$2&lt;&gt;0,#REF!&gt;=T$2),1,0)</f>
        <v>#REF!</v>
      </c>
      <c r="U118" s="270" t="e">
        <f t="array" ref="U118">IF(AND(U$2&lt;&gt;0,#REF!&gt;=U$2),1,0)</f>
        <v>#REF!</v>
      </c>
      <c r="V118" s="270" t="e">
        <f t="array" ref="V118">IF(AND(V$2&lt;&gt;0,#REF!&gt;=V$2),1,0)</f>
        <v>#REF!</v>
      </c>
      <c r="W118" s="270" t="e">
        <f t="array" ref="W118">IF(AND(W$2&lt;&gt;0,#REF!&gt;=W$2),1,0)</f>
        <v>#REF!</v>
      </c>
      <c r="X118" s="270" t="e">
        <f t="array" ref="X118">IF(AND(X$2&lt;&gt;0,#REF!&gt;=X$2),1,0)</f>
        <v>#REF!</v>
      </c>
      <c r="Y118" s="270" t="e">
        <f t="array" ref="Y118">IF(AND(Y$2&lt;&gt;0,#REF!&gt;=Y$2),1,0)</f>
        <v>#REF!</v>
      </c>
      <c r="Z118" s="270" t="e">
        <f t="array" ref="Z118">IF(AND(Z$2&lt;&gt;0,#REF!&gt;=Z$2),1,0)</f>
        <v>#REF!</v>
      </c>
      <c r="AA118" s="270" t="e">
        <f t="array" ref="AA118">IF(AND(AA$2&lt;&gt;0,#REF!&gt;=AA$2),1,0)</f>
        <v>#REF!</v>
      </c>
      <c r="AB118" s="270" t="e">
        <f t="array" ref="AB118">IF(AND(AB$2&lt;&gt;0,#REF!&gt;=AB$2),1,0)</f>
        <v>#REF!</v>
      </c>
      <c r="AC118" s="270" t="e">
        <f t="array" ref="AC118">IF(AND(AC$2&lt;&gt;0,#REF!&gt;=AC$2),1,0)</f>
        <v>#REF!</v>
      </c>
      <c r="AD118" s="270" t="e">
        <f t="array" ref="AD118">IF(AND(AD$2&lt;&gt;0,#REF!&gt;=AD$2),1,0)</f>
        <v>#REF!</v>
      </c>
      <c r="AE118" s="270" t="e">
        <f t="array" ref="AE118">IF(AND(AE$2&lt;&gt;0,#REF!&gt;=AE$2),1,0)</f>
        <v>#REF!</v>
      </c>
      <c r="AF118" s="270" t="e">
        <f t="array" ref="AF118">IF(AND(AF$2&lt;&gt;0,#REF!&gt;=AF$2),1,0)</f>
        <v>#REF!</v>
      </c>
      <c r="AG118" s="270" t="e">
        <f t="array" ref="AG118">IF(AND(AG$2&lt;&gt;0,#REF!&gt;=AG$2),1,0)</f>
        <v>#REF!</v>
      </c>
      <c r="AH118" s="270" t="e">
        <f t="array" ref="AH118">IF(AND(AH$2&lt;&gt;0,#REF!&gt;=AH$2),1,0)</f>
        <v>#REF!</v>
      </c>
      <c r="AI118" s="270" t="e">
        <f t="array" ref="AI118">IF(AND(AI$2&lt;&gt;0,#REF!&gt;=AI$2),1,0)</f>
        <v>#REF!</v>
      </c>
      <c r="AJ118" s="270" t="e">
        <f t="array" ref="AJ118">IF(AND(AJ$2&lt;&gt;0,#REF!&gt;=AJ$2),1,0)</f>
        <v>#REF!</v>
      </c>
      <c r="AK118" s="270" t="e">
        <f t="array" ref="AK118">IF(AND(AK$2&lt;&gt;0,#REF!&gt;=AK$2),1,0)</f>
        <v>#REF!</v>
      </c>
      <c r="AL118" s="270" t="e">
        <f t="array" ref="AL118">IF(AND(AL$2&lt;&gt;0,#REF!&gt;=AL$2),1,0)</f>
        <v>#REF!</v>
      </c>
      <c r="AM118" s="270" t="e">
        <f t="array" ref="AM118">IF(AND(AM$2&lt;&gt;0,#REF!&gt;=AM$2),1,0)</f>
        <v>#REF!</v>
      </c>
      <c r="AN118" s="270" t="e">
        <f t="array" ref="AN118">IF(AND(AN$2&lt;&gt;0,#REF!&gt;=AN$2),1,0)</f>
        <v>#REF!</v>
      </c>
      <c r="AO118" s="270" t="e">
        <f t="array" ref="AO118">IF(AND(AO$2&lt;&gt;0,#REF!&gt;=AO$2),1,0)</f>
        <v>#REF!</v>
      </c>
      <c r="AP118" s="270" t="e">
        <f t="array" ref="AP118">IF(AND(AP$2&lt;&gt;0,#REF!&gt;=AP$2),1,0)</f>
        <v>#REF!</v>
      </c>
      <c r="AQ118" s="270" t="e">
        <f t="array" ref="AQ118">IF(AND(AQ$2&lt;&gt;0,#REF!&gt;=AQ$2),1,0)</f>
        <v>#REF!</v>
      </c>
      <c r="AR118" s="270" t="e">
        <f t="array" ref="AR118">IF(AND(AR$2&lt;&gt;0,#REF!&gt;=AR$2),1,0)</f>
        <v>#REF!</v>
      </c>
      <c r="AS118" s="270" t="e">
        <f t="array" ref="AS118">IF(AND(AS$2&lt;&gt;0,#REF!&gt;=AS$2),1,0)</f>
        <v>#REF!</v>
      </c>
      <c r="AT118" s="270" t="e">
        <f t="array" ref="AT118">IF(AND(AT$2&lt;&gt;0,#REF!&gt;=AT$2),1,0)</f>
        <v>#REF!</v>
      </c>
      <c r="AU118" s="270" t="e">
        <f t="array" ref="AU118">IF(AND(AU$2&lt;&gt;0,#REF!&gt;=AU$2),1,0)</f>
        <v>#REF!</v>
      </c>
      <c r="AV118" s="270" t="e">
        <f t="array" ref="AV118">IF(AND(AV$2&lt;&gt;0,#REF!&gt;=AV$2),1,0)</f>
        <v>#REF!</v>
      </c>
      <c r="AW118" s="270" t="e">
        <f t="array" ref="AW118">IF(AND(AW$2&lt;&gt;0,#REF!&gt;=AW$2),1,0)</f>
        <v>#REF!</v>
      </c>
      <c r="AX118" s="270" t="e">
        <f t="array" ref="AX118">IF(AND(AX$2&lt;&gt;0,#REF!&gt;=AX$2),1,0)</f>
        <v>#REF!</v>
      </c>
      <c r="AY118" s="270" t="e">
        <f t="array" ref="AY118">IF(AND(AY$2&lt;&gt;0,#REF!&gt;=AY$2),1,0)</f>
        <v>#REF!</v>
      </c>
      <c r="AZ118" s="270" t="e">
        <f t="array" ref="AZ118">IF(AND(AZ$2&lt;&gt;0,#REF!&gt;=AZ$2),1,0)</f>
        <v>#REF!</v>
      </c>
      <c r="BA118" s="270" t="e">
        <f t="array" ref="BA118">IF(AND(BA$2&lt;&gt;0,#REF!&gt;=BA$2),1,0)</f>
        <v>#REF!</v>
      </c>
      <c r="BB118" s="270" t="e">
        <f t="array" ref="BB118">IF(AND(BB$2&lt;&gt;0,#REF!&gt;=BB$2),1,0)</f>
        <v>#REF!</v>
      </c>
      <c r="BC118" s="270" t="e">
        <f t="array" ref="BC118">IF(AND(BC$2&lt;&gt;0,#REF!&gt;=BC$2),1,0)</f>
        <v>#REF!</v>
      </c>
      <c r="BD118" s="270" t="e">
        <f t="array" ref="BD118">IF(AND(BD$2&lt;&gt;0,#REF!&gt;=BD$2),1,0)</f>
        <v>#REF!</v>
      </c>
      <c r="BE118" s="270" t="e">
        <f t="array" ref="BE118">IF(AND(BE$2&lt;&gt;0,#REF!&gt;=BE$2),1,0)</f>
        <v>#REF!</v>
      </c>
      <c r="BF118" s="270" t="e">
        <f t="array" ref="BF118">IF(AND(BF$2&lt;&gt;0,#REF!&gt;=BF$2),1,0)</f>
        <v>#REF!</v>
      </c>
      <c r="BG118" s="270" t="e">
        <f t="array" ref="BG118">IF(AND(BG$2&lt;&gt;0,#REF!&gt;=BG$2),1,0)</f>
        <v>#REF!</v>
      </c>
      <c r="BH118" s="270" t="e">
        <f t="array" ref="BH118">IF(AND(BH$2&lt;&gt;0,#REF!&gt;=BH$2),1,0)</f>
        <v>#REF!</v>
      </c>
      <c r="BI118" s="270" t="e">
        <f t="array" ref="BI118">IF(AND(BI$2&lt;&gt;0,#REF!&gt;=BI$2),1,0)</f>
        <v>#REF!</v>
      </c>
      <c r="BJ118" s="270" t="e">
        <f t="array" ref="BJ118">IF(AND(BJ$2&lt;&gt;0,#REF!&gt;=BJ$2),1,0)</f>
        <v>#REF!</v>
      </c>
      <c r="BK118" s="270" t="e">
        <f t="array" ref="BK118">IF(AND(BK$2&lt;&gt;0,#REF!&gt;=BK$2),1,0)</f>
        <v>#REF!</v>
      </c>
      <c r="BL118" s="270" t="e">
        <f t="array" ref="BL118">IF(AND(BL$2&lt;&gt;0,#REF!&gt;=BL$2),1,0)</f>
        <v>#REF!</v>
      </c>
      <c r="BM118" s="270" t="e">
        <f t="array" ref="BM118">IF(AND(BM$2&lt;&gt;0,#REF!&gt;=BM$2),1,0)</f>
        <v>#REF!</v>
      </c>
      <c r="BN118" s="270" t="e">
        <f t="array" ref="BN118">IF(AND(BN$2&lt;&gt;0,#REF!&gt;=BN$2),1,0)</f>
        <v>#REF!</v>
      </c>
      <c r="BO118" s="270" t="e">
        <f t="array" ref="BO118">IF(AND(BO$2&lt;&gt;0,#REF!&gt;=BO$2),1,0)</f>
        <v>#REF!</v>
      </c>
      <c r="BP118" s="270" t="e">
        <f t="array" ref="BP118">IF(AND(BP$2&lt;&gt;0,#REF!&gt;=BP$2),1,0)</f>
        <v>#REF!</v>
      </c>
      <c r="BQ118" s="270" t="e">
        <f t="array" ref="BQ118">IF(AND(BQ$2&lt;&gt;0,#REF!&gt;=BQ$2),1,0)</f>
        <v>#REF!</v>
      </c>
      <c r="BR118" s="270" t="e">
        <f t="array" ref="BR118">IF(AND(BR$2&lt;&gt;0,#REF!&gt;=BR$2),1,0)</f>
        <v>#REF!</v>
      </c>
      <c r="BS118" s="270" t="e">
        <f t="array" ref="BS118">IF(AND(BS$2&lt;&gt;0,#REF!&gt;=BS$2),1,0)</f>
        <v>#REF!</v>
      </c>
      <c r="BT118" s="270" t="e">
        <f t="array" ref="BT118">IF(AND(BT$2&lt;&gt;0,#REF!&gt;=BT$2),1,0)</f>
        <v>#REF!</v>
      </c>
      <c r="BU118" s="270" t="e">
        <f t="array" ref="BU118">IF(AND(BU$2&lt;&gt;0,#REF!&gt;=BU$2),1,0)</f>
        <v>#REF!</v>
      </c>
      <c r="BV118" s="270" t="e">
        <f t="array" ref="BV118">IF(AND(BV$2&lt;&gt;0,#REF!&gt;=BV$2),1,0)</f>
        <v>#REF!</v>
      </c>
      <c r="BW118" s="270" t="e">
        <f t="array" ref="BW118">IF(AND(BW$2&lt;&gt;0,#REF!&gt;=BW$2),1,0)</f>
        <v>#REF!</v>
      </c>
      <c r="BX118" s="270" t="e">
        <f t="array" ref="BX118">IF(AND(BX$2&lt;&gt;0,#REF!&gt;=BX$2),1,0)</f>
        <v>#REF!</v>
      </c>
      <c r="BY118" s="270" t="e">
        <f t="array" ref="BY118">IF(AND(BY$2&lt;&gt;0,#REF!&gt;=BY$2),1,0)</f>
        <v>#REF!</v>
      </c>
      <c r="BZ118" s="270" t="e">
        <f t="array" ref="BZ118">IF(AND(BZ$2&lt;&gt;0,#REF!&gt;=BZ$2),1,0)</f>
        <v>#REF!</v>
      </c>
      <c r="CA118" s="359">
        <f>IFERROR(INDEX($H$4:$H$79,MATCH(INDEX(#REF!,1,MATCH(#REF!,$M$2:$BZ$2,0)),$G$4:$G$79,0)),)</f>
        <v>0</v>
      </c>
    </row>
    <row r="119" spans="1:79" x14ac:dyDescent="0.25">
      <c r="A119" s="262" t="e">
        <f>#REF!</f>
        <v>#REF!</v>
      </c>
      <c r="B119" s="263" t="e">
        <f>#REF!</f>
        <v>#REF!</v>
      </c>
      <c r="C119" s="264" t="e">
        <f>#REF!</f>
        <v>#REF!</v>
      </c>
      <c r="D119" s="264" t="e">
        <f>#REF!</f>
        <v>#REF!</v>
      </c>
      <c r="E119" s="273"/>
      <c r="F119" s="274"/>
      <c r="G119" s="267"/>
      <c r="H119" s="268"/>
      <c r="I119" s="268"/>
      <c r="J119" s="268"/>
      <c r="K119" s="89" t="e">
        <f ca="1">IF(#REF!&lt;&gt;OFFSET(#REF!,-1,0),1,0)</f>
        <v>#REF!</v>
      </c>
      <c r="L119" s="269" t="e">
        <f>COUNTIF(#REF!,1)</f>
        <v>#REF!</v>
      </c>
      <c r="M119" s="270" t="e">
        <f t="array" ref="M119">IF(AND(M$2&lt;&gt;0,#REF!&gt;=M$2),1,0)</f>
        <v>#REF!</v>
      </c>
      <c r="N119" s="270" t="e">
        <f t="array" ref="N119">IF(AND(N$2&lt;&gt;0,#REF!&gt;=N$2),1,0)</f>
        <v>#REF!</v>
      </c>
      <c r="O119" s="270" t="e">
        <f t="array" ref="O119">IF(AND(O$2&lt;&gt;0,#REF!&gt;=O$2),1,0)</f>
        <v>#REF!</v>
      </c>
      <c r="P119" s="270" t="e">
        <f t="array" ref="P119">IF(AND(P$2&lt;&gt;0,#REF!&gt;=P$2),1,0)</f>
        <v>#REF!</v>
      </c>
      <c r="Q119" s="270" t="e">
        <f t="array" ref="Q119">IF(AND(Q$2&lt;&gt;0,#REF!&gt;=Q$2),1,0)</f>
        <v>#REF!</v>
      </c>
      <c r="R119" s="270" t="e">
        <f t="array" ref="R119">IF(AND(R$2&lt;&gt;0,#REF!&gt;=R$2),1,0)</f>
        <v>#REF!</v>
      </c>
      <c r="S119" s="270" t="e">
        <f t="array" ref="S119">IF(AND(S$2&lt;&gt;0,#REF!&gt;=S$2),1,0)</f>
        <v>#REF!</v>
      </c>
      <c r="T119" s="270" t="e">
        <f t="array" ref="T119">IF(AND(T$2&lt;&gt;0,#REF!&gt;=T$2),1,0)</f>
        <v>#REF!</v>
      </c>
      <c r="U119" s="270" t="e">
        <f t="array" ref="U119">IF(AND(U$2&lt;&gt;0,#REF!&gt;=U$2),1,0)</f>
        <v>#REF!</v>
      </c>
      <c r="V119" s="270" t="e">
        <f t="array" ref="V119">IF(AND(V$2&lt;&gt;0,#REF!&gt;=V$2),1,0)</f>
        <v>#REF!</v>
      </c>
      <c r="W119" s="270" t="e">
        <f t="array" ref="W119">IF(AND(W$2&lt;&gt;0,#REF!&gt;=W$2),1,0)</f>
        <v>#REF!</v>
      </c>
      <c r="X119" s="270" t="e">
        <f t="array" ref="X119">IF(AND(X$2&lt;&gt;0,#REF!&gt;=X$2),1,0)</f>
        <v>#REF!</v>
      </c>
      <c r="Y119" s="270" t="e">
        <f t="array" ref="Y119">IF(AND(Y$2&lt;&gt;0,#REF!&gt;=Y$2),1,0)</f>
        <v>#REF!</v>
      </c>
      <c r="Z119" s="270" t="e">
        <f t="array" ref="Z119">IF(AND(Z$2&lt;&gt;0,#REF!&gt;=Z$2),1,0)</f>
        <v>#REF!</v>
      </c>
      <c r="AA119" s="270" t="e">
        <f t="array" ref="AA119">IF(AND(AA$2&lt;&gt;0,#REF!&gt;=AA$2),1,0)</f>
        <v>#REF!</v>
      </c>
      <c r="AB119" s="270" t="e">
        <f t="array" ref="AB119">IF(AND(AB$2&lt;&gt;0,#REF!&gt;=AB$2),1,0)</f>
        <v>#REF!</v>
      </c>
      <c r="AC119" s="270" t="e">
        <f t="array" ref="AC119">IF(AND(AC$2&lt;&gt;0,#REF!&gt;=AC$2),1,0)</f>
        <v>#REF!</v>
      </c>
      <c r="AD119" s="270" t="e">
        <f t="array" ref="AD119">IF(AND(AD$2&lt;&gt;0,#REF!&gt;=AD$2),1,0)</f>
        <v>#REF!</v>
      </c>
      <c r="AE119" s="270" t="e">
        <f t="array" ref="AE119">IF(AND(AE$2&lt;&gt;0,#REF!&gt;=AE$2),1,0)</f>
        <v>#REF!</v>
      </c>
      <c r="AF119" s="270" t="e">
        <f t="array" ref="AF119">IF(AND(AF$2&lt;&gt;0,#REF!&gt;=AF$2),1,0)</f>
        <v>#REF!</v>
      </c>
      <c r="AG119" s="270" t="e">
        <f t="array" ref="AG119">IF(AND(AG$2&lt;&gt;0,#REF!&gt;=AG$2),1,0)</f>
        <v>#REF!</v>
      </c>
      <c r="AH119" s="270" t="e">
        <f t="array" ref="AH119">IF(AND(AH$2&lt;&gt;0,#REF!&gt;=AH$2),1,0)</f>
        <v>#REF!</v>
      </c>
      <c r="AI119" s="270" t="e">
        <f t="array" ref="AI119">IF(AND(AI$2&lt;&gt;0,#REF!&gt;=AI$2),1,0)</f>
        <v>#REF!</v>
      </c>
      <c r="AJ119" s="270" t="e">
        <f t="array" ref="AJ119">IF(AND(AJ$2&lt;&gt;0,#REF!&gt;=AJ$2),1,0)</f>
        <v>#REF!</v>
      </c>
      <c r="AK119" s="270" t="e">
        <f t="array" ref="AK119">IF(AND(AK$2&lt;&gt;0,#REF!&gt;=AK$2),1,0)</f>
        <v>#REF!</v>
      </c>
      <c r="AL119" s="270" t="e">
        <f t="array" ref="AL119">IF(AND(AL$2&lt;&gt;0,#REF!&gt;=AL$2),1,0)</f>
        <v>#REF!</v>
      </c>
      <c r="AM119" s="270" t="e">
        <f t="array" ref="AM119">IF(AND(AM$2&lt;&gt;0,#REF!&gt;=AM$2),1,0)</f>
        <v>#REF!</v>
      </c>
      <c r="AN119" s="270" t="e">
        <f t="array" ref="AN119">IF(AND(AN$2&lt;&gt;0,#REF!&gt;=AN$2),1,0)</f>
        <v>#REF!</v>
      </c>
      <c r="AO119" s="270" t="e">
        <f t="array" ref="AO119">IF(AND(AO$2&lt;&gt;0,#REF!&gt;=AO$2),1,0)</f>
        <v>#REF!</v>
      </c>
      <c r="AP119" s="270" t="e">
        <f t="array" ref="AP119">IF(AND(AP$2&lt;&gt;0,#REF!&gt;=AP$2),1,0)</f>
        <v>#REF!</v>
      </c>
      <c r="AQ119" s="270" t="e">
        <f t="array" ref="AQ119">IF(AND(AQ$2&lt;&gt;0,#REF!&gt;=AQ$2),1,0)</f>
        <v>#REF!</v>
      </c>
      <c r="AR119" s="270" t="e">
        <f t="array" ref="AR119">IF(AND(AR$2&lt;&gt;0,#REF!&gt;=AR$2),1,0)</f>
        <v>#REF!</v>
      </c>
      <c r="AS119" s="270" t="e">
        <f t="array" ref="AS119">IF(AND(AS$2&lt;&gt;0,#REF!&gt;=AS$2),1,0)</f>
        <v>#REF!</v>
      </c>
      <c r="AT119" s="270" t="e">
        <f t="array" ref="AT119">IF(AND(AT$2&lt;&gt;0,#REF!&gt;=AT$2),1,0)</f>
        <v>#REF!</v>
      </c>
      <c r="AU119" s="270" t="e">
        <f t="array" ref="AU119">IF(AND(AU$2&lt;&gt;0,#REF!&gt;=AU$2),1,0)</f>
        <v>#REF!</v>
      </c>
      <c r="AV119" s="270" t="e">
        <f t="array" ref="AV119">IF(AND(AV$2&lt;&gt;0,#REF!&gt;=AV$2),1,0)</f>
        <v>#REF!</v>
      </c>
      <c r="AW119" s="270" t="e">
        <f t="array" ref="AW119">IF(AND(AW$2&lt;&gt;0,#REF!&gt;=AW$2),1,0)</f>
        <v>#REF!</v>
      </c>
      <c r="AX119" s="270" t="e">
        <f t="array" ref="AX119">IF(AND(AX$2&lt;&gt;0,#REF!&gt;=AX$2),1,0)</f>
        <v>#REF!</v>
      </c>
      <c r="AY119" s="270" t="e">
        <f t="array" ref="AY119">IF(AND(AY$2&lt;&gt;0,#REF!&gt;=AY$2),1,0)</f>
        <v>#REF!</v>
      </c>
      <c r="AZ119" s="270" t="e">
        <f t="array" ref="AZ119">IF(AND(AZ$2&lt;&gt;0,#REF!&gt;=AZ$2),1,0)</f>
        <v>#REF!</v>
      </c>
      <c r="BA119" s="270" t="e">
        <f t="array" ref="BA119">IF(AND(BA$2&lt;&gt;0,#REF!&gt;=BA$2),1,0)</f>
        <v>#REF!</v>
      </c>
      <c r="BB119" s="270" t="e">
        <f t="array" ref="BB119">IF(AND(BB$2&lt;&gt;0,#REF!&gt;=BB$2),1,0)</f>
        <v>#REF!</v>
      </c>
      <c r="BC119" s="270" t="e">
        <f t="array" ref="BC119">IF(AND(BC$2&lt;&gt;0,#REF!&gt;=BC$2),1,0)</f>
        <v>#REF!</v>
      </c>
      <c r="BD119" s="270" t="e">
        <f t="array" ref="BD119">IF(AND(BD$2&lt;&gt;0,#REF!&gt;=BD$2),1,0)</f>
        <v>#REF!</v>
      </c>
      <c r="BE119" s="270" t="e">
        <f t="array" ref="BE119">IF(AND(BE$2&lt;&gt;0,#REF!&gt;=BE$2),1,0)</f>
        <v>#REF!</v>
      </c>
      <c r="BF119" s="270" t="e">
        <f t="array" ref="BF119">IF(AND(BF$2&lt;&gt;0,#REF!&gt;=BF$2),1,0)</f>
        <v>#REF!</v>
      </c>
      <c r="BG119" s="270" t="e">
        <f t="array" ref="BG119">IF(AND(BG$2&lt;&gt;0,#REF!&gt;=BG$2),1,0)</f>
        <v>#REF!</v>
      </c>
      <c r="BH119" s="270" t="e">
        <f t="array" ref="BH119">IF(AND(BH$2&lt;&gt;0,#REF!&gt;=BH$2),1,0)</f>
        <v>#REF!</v>
      </c>
      <c r="BI119" s="270" t="e">
        <f t="array" ref="BI119">IF(AND(BI$2&lt;&gt;0,#REF!&gt;=BI$2),1,0)</f>
        <v>#REF!</v>
      </c>
      <c r="BJ119" s="270" t="e">
        <f t="array" ref="BJ119">IF(AND(BJ$2&lt;&gt;0,#REF!&gt;=BJ$2),1,0)</f>
        <v>#REF!</v>
      </c>
      <c r="BK119" s="270" t="e">
        <f t="array" ref="BK119">IF(AND(BK$2&lt;&gt;0,#REF!&gt;=BK$2),1,0)</f>
        <v>#REF!</v>
      </c>
      <c r="BL119" s="270" t="e">
        <f t="array" ref="BL119">IF(AND(BL$2&lt;&gt;0,#REF!&gt;=BL$2),1,0)</f>
        <v>#REF!</v>
      </c>
      <c r="BM119" s="270" t="e">
        <f t="array" ref="BM119">IF(AND(BM$2&lt;&gt;0,#REF!&gt;=BM$2),1,0)</f>
        <v>#REF!</v>
      </c>
      <c r="BN119" s="270" t="e">
        <f t="array" ref="BN119">IF(AND(BN$2&lt;&gt;0,#REF!&gt;=BN$2),1,0)</f>
        <v>#REF!</v>
      </c>
      <c r="BO119" s="270" t="e">
        <f t="array" ref="BO119">IF(AND(BO$2&lt;&gt;0,#REF!&gt;=BO$2),1,0)</f>
        <v>#REF!</v>
      </c>
      <c r="BP119" s="270" t="e">
        <f t="array" ref="BP119">IF(AND(BP$2&lt;&gt;0,#REF!&gt;=BP$2),1,0)</f>
        <v>#REF!</v>
      </c>
      <c r="BQ119" s="270" t="e">
        <f t="array" ref="BQ119">IF(AND(BQ$2&lt;&gt;0,#REF!&gt;=BQ$2),1,0)</f>
        <v>#REF!</v>
      </c>
      <c r="BR119" s="270" t="e">
        <f t="array" ref="BR119">IF(AND(BR$2&lt;&gt;0,#REF!&gt;=BR$2),1,0)</f>
        <v>#REF!</v>
      </c>
      <c r="BS119" s="270" t="e">
        <f t="array" ref="BS119">IF(AND(BS$2&lt;&gt;0,#REF!&gt;=BS$2),1,0)</f>
        <v>#REF!</v>
      </c>
      <c r="BT119" s="270" t="e">
        <f t="array" ref="BT119">IF(AND(BT$2&lt;&gt;0,#REF!&gt;=BT$2),1,0)</f>
        <v>#REF!</v>
      </c>
      <c r="BU119" s="270" t="e">
        <f t="array" ref="BU119">IF(AND(BU$2&lt;&gt;0,#REF!&gt;=BU$2),1,0)</f>
        <v>#REF!</v>
      </c>
      <c r="BV119" s="270" t="e">
        <f t="array" ref="BV119">IF(AND(BV$2&lt;&gt;0,#REF!&gt;=BV$2),1,0)</f>
        <v>#REF!</v>
      </c>
      <c r="BW119" s="270" t="e">
        <f t="array" ref="BW119">IF(AND(BW$2&lt;&gt;0,#REF!&gt;=BW$2),1,0)</f>
        <v>#REF!</v>
      </c>
      <c r="BX119" s="270" t="e">
        <f t="array" ref="BX119">IF(AND(BX$2&lt;&gt;0,#REF!&gt;=BX$2),1,0)</f>
        <v>#REF!</v>
      </c>
      <c r="BY119" s="270" t="e">
        <f t="array" ref="BY119">IF(AND(BY$2&lt;&gt;0,#REF!&gt;=BY$2),1,0)</f>
        <v>#REF!</v>
      </c>
      <c r="BZ119" s="270" t="e">
        <f t="array" ref="BZ119">IF(AND(BZ$2&lt;&gt;0,#REF!&gt;=BZ$2),1,0)</f>
        <v>#REF!</v>
      </c>
      <c r="CA119" s="359">
        <f>IFERROR(INDEX($H$4:$H$79,MATCH(INDEX(#REF!,1,MATCH(#REF!,$M$2:$BZ$2,0)),$G$4:$G$79,0)),)</f>
        <v>0</v>
      </c>
    </row>
    <row r="120" spans="1:79" x14ac:dyDescent="0.25">
      <c r="A120" s="262" t="e">
        <f>#REF!</f>
        <v>#REF!</v>
      </c>
      <c r="B120" s="263" t="e">
        <f>#REF!</f>
        <v>#REF!</v>
      </c>
      <c r="C120" s="264" t="e">
        <f>#REF!</f>
        <v>#REF!</v>
      </c>
      <c r="D120" s="264" t="e">
        <f>#REF!</f>
        <v>#REF!</v>
      </c>
      <c r="E120" s="273"/>
      <c r="F120" s="274"/>
      <c r="G120" s="267"/>
      <c r="H120" s="268"/>
      <c r="I120" s="268"/>
      <c r="J120" s="268"/>
      <c r="K120" s="89" t="e">
        <f ca="1">IF(#REF!&lt;&gt;OFFSET(#REF!,-1,0),1,0)</f>
        <v>#REF!</v>
      </c>
      <c r="L120" s="269" t="e">
        <f>COUNTIF(#REF!,1)</f>
        <v>#REF!</v>
      </c>
      <c r="M120" s="270" t="e">
        <f t="array" ref="M120">IF(AND(M$2&lt;&gt;0,#REF!&gt;=M$2),1,0)</f>
        <v>#REF!</v>
      </c>
      <c r="N120" s="270" t="e">
        <f t="array" ref="N120">IF(AND(N$2&lt;&gt;0,#REF!&gt;=N$2),1,0)</f>
        <v>#REF!</v>
      </c>
      <c r="O120" s="270" t="e">
        <f t="array" ref="O120">IF(AND(O$2&lt;&gt;0,#REF!&gt;=O$2),1,0)</f>
        <v>#REF!</v>
      </c>
      <c r="P120" s="270" t="e">
        <f t="array" ref="P120">IF(AND(P$2&lt;&gt;0,#REF!&gt;=P$2),1,0)</f>
        <v>#REF!</v>
      </c>
      <c r="Q120" s="270" t="e">
        <f t="array" ref="Q120">IF(AND(Q$2&lt;&gt;0,#REF!&gt;=Q$2),1,0)</f>
        <v>#REF!</v>
      </c>
      <c r="R120" s="270" t="e">
        <f t="array" ref="R120">IF(AND(R$2&lt;&gt;0,#REF!&gt;=R$2),1,0)</f>
        <v>#REF!</v>
      </c>
      <c r="S120" s="270" t="e">
        <f t="array" ref="S120">IF(AND(S$2&lt;&gt;0,#REF!&gt;=S$2),1,0)</f>
        <v>#REF!</v>
      </c>
      <c r="T120" s="270" t="e">
        <f t="array" ref="T120">IF(AND(T$2&lt;&gt;0,#REF!&gt;=T$2),1,0)</f>
        <v>#REF!</v>
      </c>
      <c r="U120" s="270" t="e">
        <f t="array" ref="U120">IF(AND(U$2&lt;&gt;0,#REF!&gt;=U$2),1,0)</f>
        <v>#REF!</v>
      </c>
      <c r="V120" s="270" t="e">
        <f t="array" ref="V120">IF(AND(V$2&lt;&gt;0,#REF!&gt;=V$2),1,0)</f>
        <v>#REF!</v>
      </c>
      <c r="W120" s="270" t="e">
        <f t="array" ref="W120">IF(AND(W$2&lt;&gt;0,#REF!&gt;=W$2),1,0)</f>
        <v>#REF!</v>
      </c>
      <c r="X120" s="270" t="e">
        <f t="array" ref="X120">IF(AND(X$2&lt;&gt;0,#REF!&gt;=X$2),1,0)</f>
        <v>#REF!</v>
      </c>
      <c r="Y120" s="270" t="e">
        <f t="array" ref="Y120">IF(AND(Y$2&lt;&gt;0,#REF!&gt;=Y$2),1,0)</f>
        <v>#REF!</v>
      </c>
      <c r="Z120" s="270" t="e">
        <f t="array" ref="Z120">IF(AND(Z$2&lt;&gt;0,#REF!&gt;=Z$2),1,0)</f>
        <v>#REF!</v>
      </c>
      <c r="AA120" s="270" t="e">
        <f t="array" ref="AA120">IF(AND(AA$2&lt;&gt;0,#REF!&gt;=AA$2),1,0)</f>
        <v>#REF!</v>
      </c>
      <c r="AB120" s="270" t="e">
        <f t="array" ref="AB120">IF(AND(AB$2&lt;&gt;0,#REF!&gt;=AB$2),1,0)</f>
        <v>#REF!</v>
      </c>
      <c r="AC120" s="270" t="e">
        <f t="array" ref="AC120">IF(AND(AC$2&lt;&gt;0,#REF!&gt;=AC$2),1,0)</f>
        <v>#REF!</v>
      </c>
      <c r="AD120" s="270" t="e">
        <f t="array" ref="AD120">IF(AND(AD$2&lt;&gt;0,#REF!&gt;=AD$2),1,0)</f>
        <v>#REF!</v>
      </c>
      <c r="AE120" s="270" t="e">
        <f t="array" ref="AE120">IF(AND(AE$2&lt;&gt;0,#REF!&gt;=AE$2),1,0)</f>
        <v>#REF!</v>
      </c>
      <c r="AF120" s="270" t="e">
        <f t="array" ref="AF120">IF(AND(AF$2&lt;&gt;0,#REF!&gt;=AF$2),1,0)</f>
        <v>#REF!</v>
      </c>
      <c r="AG120" s="270" t="e">
        <f t="array" ref="AG120">IF(AND(AG$2&lt;&gt;0,#REF!&gt;=AG$2),1,0)</f>
        <v>#REF!</v>
      </c>
      <c r="AH120" s="270" t="e">
        <f t="array" ref="AH120">IF(AND(AH$2&lt;&gt;0,#REF!&gt;=AH$2),1,0)</f>
        <v>#REF!</v>
      </c>
      <c r="AI120" s="270" t="e">
        <f t="array" ref="AI120">IF(AND(AI$2&lt;&gt;0,#REF!&gt;=AI$2),1,0)</f>
        <v>#REF!</v>
      </c>
      <c r="AJ120" s="270" t="e">
        <f t="array" ref="AJ120">IF(AND(AJ$2&lt;&gt;0,#REF!&gt;=AJ$2),1,0)</f>
        <v>#REF!</v>
      </c>
      <c r="AK120" s="270" t="e">
        <f t="array" ref="AK120">IF(AND(AK$2&lt;&gt;0,#REF!&gt;=AK$2),1,0)</f>
        <v>#REF!</v>
      </c>
      <c r="AL120" s="270" t="e">
        <f t="array" ref="AL120">IF(AND(AL$2&lt;&gt;0,#REF!&gt;=AL$2),1,0)</f>
        <v>#REF!</v>
      </c>
      <c r="AM120" s="270" t="e">
        <f t="array" ref="AM120">IF(AND(AM$2&lt;&gt;0,#REF!&gt;=AM$2),1,0)</f>
        <v>#REF!</v>
      </c>
      <c r="AN120" s="270" t="e">
        <f t="array" ref="AN120">IF(AND(AN$2&lt;&gt;0,#REF!&gt;=AN$2),1,0)</f>
        <v>#REF!</v>
      </c>
      <c r="AO120" s="270" t="e">
        <f t="array" ref="AO120">IF(AND(AO$2&lt;&gt;0,#REF!&gt;=AO$2),1,0)</f>
        <v>#REF!</v>
      </c>
      <c r="AP120" s="270" t="e">
        <f t="array" ref="AP120">IF(AND(AP$2&lt;&gt;0,#REF!&gt;=AP$2),1,0)</f>
        <v>#REF!</v>
      </c>
      <c r="AQ120" s="270" t="e">
        <f t="array" ref="AQ120">IF(AND(AQ$2&lt;&gt;0,#REF!&gt;=AQ$2),1,0)</f>
        <v>#REF!</v>
      </c>
      <c r="AR120" s="270" t="e">
        <f t="array" ref="AR120">IF(AND(AR$2&lt;&gt;0,#REF!&gt;=AR$2),1,0)</f>
        <v>#REF!</v>
      </c>
      <c r="AS120" s="270" t="e">
        <f t="array" ref="AS120">IF(AND(AS$2&lt;&gt;0,#REF!&gt;=AS$2),1,0)</f>
        <v>#REF!</v>
      </c>
      <c r="AT120" s="270" t="e">
        <f t="array" ref="AT120">IF(AND(AT$2&lt;&gt;0,#REF!&gt;=AT$2),1,0)</f>
        <v>#REF!</v>
      </c>
      <c r="AU120" s="270" t="e">
        <f t="array" ref="AU120">IF(AND(AU$2&lt;&gt;0,#REF!&gt;=AU$2),1,0)</f>
        <v>#REF!</v>
      </c>
      <c r="AV120" s="270" t="e">
        <f t="array" ref="AV120">IF(AND(AV$2&lt;&gt;0,#REF!&gt;=AV$2),1,0)</f>
        <v>#REF!</v>
      </c>
      <c r="AW120" s="270" t="e">
        <f t="array" ref="AW120">IF(AND(AW$2&lt;&gt;0,#REF!&gt;=AW$2),1,0)</f>
        <v>#REF!</v>
      </c>
      <c r="AX120" s="270" t="e">
        <f t="array" ref="AX120">IF(AND(AX$2&lt;&gt;0,#REF!&gt;=AX$2),1,0)</f>
        <v>#REF!</v>
      </c>
      <c r="AY120" s="270" t="e">
        <f t="array" ref="AY120">IF(AND(AY$2&lt;&gt;0,#REF!&gt;=AY$2),1,0)</f>
        <v>#REF!</v>
      </c>
      <c r="AZ120" s="270" t="e">
        <f t="array" ref="AZ120">IF(AND(AZ$2&lt;&gt;0,#REF!&gt;=AZ$2),1,0)</f>
        <v>#REF!</v>
      </c>
      <c r="BA120" s="270" t="e">
        <f t="array" ref="BA120">IF(AND(BA$2&lt;&gt;0,#REF!&gt;=BA$2),1,0)</f>
        <v>#REF!</v>
      </c>
      <c r="BB120" s="270" t="e">
        <f t="array" ref="BB120">IF(AND(BB$2&lt;&gt;0,#REF!&gt;=BB$2),1,0)</f>
        <v>#REF!</v>
      </c>
      <c r="BC120" s="270" t="e">
        <f t="array" ref="BC120">IF(AND(BC$2&lt;&gt;0,#REF!&gt;=BC$2),1,0)</f>
        <v>#REF!</v>
      </c>
      <c r="BD120" s="270" t="e">
        <f t="array" ref="BD120">IF(AND(BD$2&lt;&gt;0,#REF!&gt;=BD$2),1,0)</f>
        <v>#REF!</v>
      </c>
      <c r="BE120" s="270" t="e">
        <f t="array" ref="BE120">IF(AND(BE$2&lt;&gt;0,#REF!&gt;=BE$2),1,0)</f>
        <v>#REF!</v>
      </c>
      <c r="BF120" s="270" t="e">
        <f t="array" ref="BF120">IF(AND(BF$2&lt;&gt;0,#REF!&gt;=BF$2),1,0)</f>
        <v>#REF!</v>
      </c>
      <c r="BG120" s="270" t="e">
        <f t="array" ref="BG120">IF(AND(BG$2&lt;&gt;0,#REF!&gt;=BG$2),1,0)</f>
        <v>#REF!</v>
      </c>
      <c r="BH120" s="270" t="e">
        <f t="array" ref="BH120">IF(AND(BH$2&lt;&gt;0,#REF!&gt;=BH$2),1,0)</f>
        <v>#REF!</v>
      </c>
      <c r="BI120" s="270" t="e">
        <f t="array" ref="BI120">IF(AND(BI$2&lt;&gt;0,#REF!&gt;=BI$2),1,0)</f>
        <v>#REF!</v>
      </c>
      <c r="BJ120" s="270" t="e">
        <f t="array" ref="BJ120">IF(AND(BJ$2&lt;&gt;0,#REF!&gt;=BJ$2),1,0)</f>
        <v>#REF!</v>
      </c>
      <c r="BK120" s="270" t="e">
        <f t="array" ref="BK120">IF(AND(BK$2&lt;&gt;0,#REF!&gt;=BK$2),1,0)</f>
        <v>#REF!</v>
      </c>
      <c r="BL120" s="270" t="e">
        <f t="array" ref="BL120">IF(AND(BL$2&lt;&gt;0,#REF!&gt;=BL$2),1,0)</f>
        <v>#REF!</v>
      </c>
      <c r="BM120" s="270" t="e">
        <f t="array" ref="BM120">IF(AND(BM$2&lt;&gt;0,#REF!&gt;=BM$2),1,0)</f>
        <v>#REF!</v>
      </c>
      <c r="BN120" s="270" t="e">
        <f t="array" ref="BN120">IF(AND(BN$2&lt;&gt;0,#REF!&gt;=BN$2),1,0)</f>
        <v>#REF!</v>
      </c>
      <c r="BO120" s="270" t="e">
        <f t="array" ref="BO120">IF(AND(BO$2&lt;&gt;0,#REF!&gt;=BO$2),1,0)</f>
        <v>#REF!</v>
      </c>
      <c r="BP120" s="270" t="e">
        <f t="array" ref="BP120">IF(AND(BP$2&lt;&gt;0,#REF!&gt;=BP$2),1,0)</f>
        <v>#REF!</v>
      </c>
      <c r="BQ120" s="270" t="e">
        <f t="array" ref="BQ120">IF(AND(BQ$2&lt;&gt;0,#REF!&gt;=BQ$2),1,0)</f>
        <v>#REF!</v>
      </c>
      <c r="BR120" s="270" t="e">
        <f t="array" ref="BR120">IF(AND(BR$2&lt;&gt;0,#REF!&gt;=BR$2),1,0)</f>
        <v>#REF!</v>
      </c>
      <c r="BS120" s="270" t="e">
        <f t="array" ref="BS120">IF(AND(BS$2&lt;&gt;0,#REF!&gt;=BS$2),1,0)</f>
        <v>#REF!</v>
      </c>
      <c r="BT120" s="270" t="e">
        <f t="array" ref="BT120">IF(AND(BT$2&lt;&gt;0,#REF!&gt;=BT$2),1,0)</f>
        <v>#REF!</v>
      </c>
      <c r="BU120" s="270" t="e">
        <f t="array" ref="BU120">IF(AND(BU$2&lt;&gt;0,#REF!&gt;=BU$2),1,0)</f>
        <v>#REF!</v>
      </c>
      <c r="BV120" s="270" t="e">
        <f t="array" ref="BV120">IF(AND(BV$2&lt;&gt;0,#REF!&gt;=BV$2),1,0)</f>
        <v>#REF!</v>
      </c>
      <c r="BW120" s="270" t="e">
        <f t="array" ref="BW120">IF(AND(BW$2&lt;&gt;0,#REF!&gt;=BW$2),1,0)</f>
        <v>#REF!</v>
      </c>
      <c r="BX120" s="270" t="e">
        <f t="array" ref="BX120">IF(AND(BX$2&lt;&gt;0,#REF!&gt;=BX$2),1,0)</f>
        <v>#REF!</v>
      </c>
      <c r="BY120" s="270" t="e">
        <f t="array" ref="BY120">IF(AND(BY$2&lt;&gt;0,#REF!&gt;=BY$2),1,0)</f>
        <v>#REF!</v>
      </c>
      <c r="BZ120" s="270" t="e">
        <f t="array" ref="BZ120">IF(AND(BZ$2&lt;&gt;0,#REF!&gt;=BZ$2),1,0)</f>
        <v>#REF!</v>
      </c>
      <c r="CA120" s="359">
        <f>IFERROR(INDEX($H$4:$H$79,MATCH(INDEX(#REF!,1,MATCH(#REF!,$M$2:$BZ$2,0)),$G$4:$G$79,0)),)</f>
        <v>0</v>
      </c>
    </row>
    <row r="121" spans="1:79" x14ac:dyDescent="0.25">
      <c r="A121" s="262" t="e">
        <f>#REF!</f>
        <v>#REF!</v>
      </c>
      <c r="B121" s="263" t="e">
        <f>#REF!</f>
        <v>#REF!</v>
      </c>
      <c r="C121" s="264" t="e">
        <f>#REF!</f>
        <v>#REF!</v>
      </c>
      <c r="D121" s="264" t="e">
        <f>#REF!</f>
        <v>#REF!</v>
      </c>
      <c r="E121" s="273"/>
      <c r="F121" s="274"/>
      <c r="G121" s="267"/>
      <c r="H121" s="268"/>
      <c r="I121" s="268"/>
      <c r="J121" s="268"/>
      <c r="K121" s="89" t="e">
        <f ca="1">IF(#REF!&lt;&gt;OFFSET(#REF!,-1,0),1,0)</f>
        <v>#REF!</v>
      </c>
      <c r="L121" s="269" t="e">
        <f>COUNTIF(#REF!,1)</f>
        <v>#REF!</v>
      </c>
      <c r="M121" s="270" t="e">
        <f t="array" ref="M121">IF(AND(M$2&lt;&gt;0,#REF!&gt;=M$2),1,0)</f>
        <v>#REF!</v>
      </c>
      <c r="N121" s="270" t="e">
        <f t="array" ref="N121">IF(AND(N$2&lt;&gt;0,#REF!&gt;=N$2),1,0)</f>
        <v>#REF!</v>
      </c>
      <c r="O121" s="270" t="e">
        <f t="array" ref="O121">IF(AND(O$2&lt;&gt;0,#REF!&gt;=O$2),1,0)</f>
        <v>#REF!</v>
      </c>
      <c r="P121" s="270" t="e">
        <f t="array" ref="P121">IF(AND(P$2&lt;&gt;0,#REF!&gt;=P$2),1,0)</f>
        <v>#REF!</v>
      </c>
      <c r="Q121" s="270" t="e">
        <f t="array" ref="Q121">IF(AND(Q$2&lt;&gt;0,#REF!&gt;=Q$2),1,0)</f>
        <v>#REF!</v>
      </c>
      <c r="R121" s="270" t="e">
        <f t="array" ref="R121">IF(AND(R$2&lt;&gt;0,#REF!&gt;=R$2),1,0)</f>
        <v>#REF!</v>
      </c>
      <c r="S121" s="270" t="e">
        <f t="array" ref="S121">IF(AND(S$2&lt;&gt;0,#REF!&gt;=S$2),1,0)</f>
        <v>#REF!</v>
      </c>
      <c r="T121" s="270" t="e">
        <f t="array" ref="T121">IF(AND(T$2&lt;&gt;0,#REF!&gt;=T$2),1,0)</f>
        <v>#REF!</v>
      </c>
      <c r="U121" s="270" t="e">
        <f t="array" ref="U121">IF(AND(U$2&lt;&gt;0,#REF!&gt;=U$2),1,0)</f>
        <v>#REF!</v>
      </c>
      <c r="V121" s="270" t="e">
        <f t="array" ref="V121">IF(AND(V$2&lt;&gt;0,#REF!&gt;=V$2),1,0)</f>
        <v>#REF!</v>
      </c>
      <c r="W121" s="270" t="e">
        <f t="array" ref="W121">IF(AND(W$2&lt;&gt;0,#REF!&gt;=W$2),1,0)</f>
        <v>#REF!</v>
      </c>
      <c r="X121" s="270" t="e">
        <f t="array" ref="X121">IF(AND(X$2&lt;&gt;0,#REF!&gt;=X$2),1,0)</f>
        <v>#REF!</v>
      </c>
      <c r="Y121" s="270" t="e">
        <f t="array" ref="Y121">IF(AND(Y$2&lt;&gt;0,#REF!&gt;=Y$2),1,0)</f>
        <v>#REF!</v>
      </c>
      <c r="Z121" s="270" t="e">
        <f t="array" ref="Z121">IF(AND(Z$2&lt;&gt;0,#REF!&gt;=Z$2),1,0)</f>
        <v>#REF!</v>
      </c>
      <c r="AA121" s="270" t="e">
        <f t="array" ref="AA121">IF(AND(AA$2&lt;&gt;0,#REF!&gt;=AA$2),1,0)</f>
        <v>#REF!</v>
      </c>
      <c r="AB121" s="270" t="e">
        <f t="array" ref="AB121">IF(AND(AB$2&lt;&gt;0,#REF!&gt;=AB$2),1,0)</f>
        <v>#REF!</v>
      </c>
      <c r="AC121" s="270" t="e">
        <f t="array" ref="AC121">IF(AND(AC$2&lt;&gt;0,#REF!&gt;=AC$2),1,0)</f>
        <v>#REF!</v>
      </c>
      <c r="AD121" s="270" t="e">
        <f t="array" ref="AD121">IF(AND(AD$2&lt;&gt;0,#REF!&gt;=AD$2),1,0)</f>
        <v>#REF!</v>
      </c>
      <c r="AE121" s="270" t="e">
        <f t="array" ref="AE121">IF(AND(AE$2&lt;&gt;0,#REF!&gt;=AE$2),1,0)</f>
        <v>#REF!</v>
      </c>
      <c r="AF121" s="270" t="e">
        <f t="array" ref="AF121">IF(AND(AF$2&lt;&gt;0,#REF!&gt;=AF$2),1,0)</f>
        <v>#REF!</v>
      </c>
      <c r="AG121" s="270" t="e">
        <f t="array" ref="AG121">IF(AND(AG$2&lt;&gt;0,#REF!&gt;=AG$2),1,0)</f>
        <v>#REF!</v>
      </c>
      <c r="AH121" s="270" t="e">
        <f t="array" ref="AH121">IF(AND(AH$2&lt;&gt;0,#REF!&gt;=AH$2),1,0)</f>
        <v>#REF!</v>
      </c>
      <c r="AI121" s="270" t="e">
        <f t="array" ref="AI121">IF(AND(AI$2&lt;&gt;0,#REF!&gt;=AI$2),1,0)</f>
        <v>#REF!</v>
      </c>
      <c r="AJ121" s="270" t="e">
        <f t="array" ref="AJ121">IF(AND(AJ$2&lt;&gt;0,#REF!&gt;=AJ$2),1,0)</f>
        <v>#REF!</v>
      </c>
      <c r="AK121" s="270" t="e">
        <f t="array" ref="AK121">IF(AND(AK$2&lt;&gt;0,#REF!&gt;=AK$2),1,0)</f>
        <v>#REF!</v>
      </c>
      <c r="AL121" s="270" t="e">
        <f t="array" ref="AL121">IF(AND(AL$2&lt;&gt;0,#REF!&gt;=AL$2),1,0)</f>
        <v>#REF!</v>
      </c>
      <c r="AM121" s="270" t="e">
        <f t="array" ref="AM121">IF(AND(AM$2&lt;&gt;0,#REF!&gt;=AM$2),1,0)</f>
        <v>#REF!</v>
      </c>
      <c r="AN121" s="270" t="e">
        <f t="array" ref="AN121">IF(AND(AN$2&lt;&gt;0,#REF!&gt;=AN$2),1,0)</f>
        <v>#REF!</v>
      </c>
      <c r="AO121" s="270" t="e">
        <f t="array" ref="AO121">IF(AND(AO$2&lt;&gt;0,#REF!&gt;=AO$2),1,0)</f>
        <v>#REF!</v>
      </c>
      <c r="AP121" s="270" t="e">
        <f t="array" ref="AP121">IF(AND(AP$2&lt;&gt;0,#REF!&gt;=AP$2),1,0)</f>
        <v>#REF!</v>
      </c>
      <c r="AQ121" s="270" t="e">
        <f t="array" ref="AQ121">IF(AND(AQ$2&lt;&gt;0,#REF!&gt;=AQ$2),1,0)</f>
        <v>#REF!</v>
      </c>
      <c r="AR121" s="270" t="e">
        <f t="array" ref="AR121">IF(AND(AR$2&lt;&gt;0,#REF!&gt;=AR$2),1,0)</f>
        <v>#REF!</v>
      </c>
      <c r="AS121" s="270" t="e">
        <f t="array" ref="AS121">IF(AND(AS$2&lt;&gt;0,#REF!&gt;=AS$2),1,0)</f>
        <v>#REF!</v>
      </c>
      <c r="AT121" s="270" t="e">
        <f t="array" ref="AT121">IF(AND(AT$2&lt;&gt;0,#REF!&gt;=AT$2),1,0)</f>
        <v>#REF!</v>
      </c>
      <c r="AU121" s="270" t="e">
        <f t="array" ref="AU121">IF(AND(AU$2&lt;&gt;0,#REF!&gt;=AU$2),1,0)</f>
        <v>#REF!</v>
      </c>
      <c r="AV121" s="270" t="e">
        <f t="array" ref="AV121">IF(AND(AV$2&lt;&gt;0,#REF!&gt;=AV$2),1,0)</f>
        <v>#REF!</v>
      </c>
      <c r="AW121" s="270" t="e">
        <f t="array" ref="AW121">IF(AND(AW$2&lt;&gt;0,#REF!&gt;=AW$2),1,0)</f>
        <v>#REF!</v>
      </c>
      <c r="AX121" s="270" t="e">
        <f t="array" ref="AX121">IF(AND(AX$2&lt;&gt;0,#REF!&gt;=AX$2),1,0)</f>
        <v>#REF!</v>
      </c>
      <c r="AY121" s="270" t="e">
        <f t="array" ref="AY121">IF(AND(AY$2&lt;&gt;0,#REF!&gt;=AY$2),1,0)</f>
        <v>#REF!</v>
      </c>
      <c r="AZ121" s="270" t="e">
        <f t="array" ref="AZ121">IF(AND(AZ$2&lt;&gt;0,#REF!&gt;=AZ$2),1,0)</f>
        <v>#REF!</v>
      </c>
      <c r="BA121" s="270" t="e">
        <f t="array" ref="BA121">IF(AND(BA$2&lt;&gt;0,#REF!&gt;=BA$2),1,0)</f>
        <v>#REF!</v>
      </c>
      <c r="BB121" s="270" t="e">
        <f t="array" ref="BB121">IF(AND(BB$2&lt;&gt;0,#REF!&gt;=BB$2),1,0)</f>
        <v>#REF!</v>
      </c>
      <c r="BC121" s="270" t="e">
        <f t="array" ref="BC121">IF(AND(BC$2&lt;&gt;0,#REF!&gt;=BC$2),1,0)</f>
        <v>#REF!</v>
      </c>
      <c r="BD121" s="270" t="e">
        <f t="array" ref="BD121">IF(AND(BD$2&lt;&gt;0,#REF!&gt;=BD$2),1,0)</f>
        <v>#REF!</v>
      </c>
      <c r="BE121" s="270" t="e">
        <f t="array" ref="BE121">IF(AND(BE$2&lt;&gt;0,#REF!&gt;=BE$2),1,0)</f>
        <v>#REF!</v>
      </c>
      <c r="BF121" s="270" t="e">
        <f t="array" ref="BF121">IF(AND(BF$2&lt;&gt;0,#REF!&gt;=BF$2),1,0)</f>
        <v>#REF!</v>
      </c>
      <c r="BG121" s="270" t="e">
        <f t="array" ref="BG121">IF(AND(BG$2&lt;&gt;0,#REF!&gt;=BG$2),1,0)</f>
        <v>#REF!</v>
      </c>
      <c r="BH121" s="270" t="e">
        <f t="array" ref="BH121">IF(AND(BH$2&lt;&gt;0,#REF!&gt;=BH$2),1,0)</f>
        <v>#REF!</v>
      </c>
      <c r="BI121" s="270" t="e">
        <f t="array" ref="BI121">IF(AND(BI$2&lt;&gt;0,#REF!&gt;=BI$2),1,0)</f>
        <v>#REF!</v>
      </c>
      <c r="BJ121" s="270" t="e">
        <f t="array" ref="BJ121">IF(AND(BJ$2&lt;&gt;0,#REF!&gt;=BJ$2),1,0)</f>
        <v>#REF!</v>
      </c>
      <c r="BK121" s="270" t="e">
        <f t="array" ref="BK121">IF(AND(BK$2&lt;&gt;0,#REF!&gt;=BK$2),1,0)</f>
        <v>#REF!</v>
      </c>
      <c r="BL121" s="270" t="e">
        <f t="array" ref="BL121">IF(AND(BL$2&lt;&gt;0,#REF!&gt;=BL$2),1,0)</f>
        <v>#REF!</v>
      </c>
      <c r="BM121" s="270" t="e">
        <f t="array" ref="BM121">IF(AND(BM$2&lt;&gt;0,#REF!&gt;=BM$2),1,0)</f>
        <v>#REF!</v>
      </c>
      <c r="BN121" s="270" t="e">
        <f t="array" ref="BN121">IF(AND(BN$2&lt;&gt;0,#REF!&gt;=BN$2),1,0)</f>
        <v>#REF!</v>
      </c>
      <c r="BO121" s="270" t="e">
        <f t="array" ref="BO121">IF(AND(BO$2&lt;&gt;0,#REF!&gt;=BO$2),1,0)</f>
        <v>#REF!</v>
      </c>
      <c r="BP121" s="270" t="e">
        <f t="array" ref="BP121">IF(AND(BP$2&lt;&gt;0,#REF!&gt;=BP$2),1,0)</f>
        <v>#REF!</v>
      </c>
      <c r="BQ121" s="270" t="e">
        <f t="array" ref="BQ121">IF(AND(BQ$2&lt;&gt;0,#REF!&gt;=BQ$2),1,0)</f>
        <v>#REF!</v>
      </c>
      <c r="BR121" s="270" t="e">
        <f t="array" ref="BR121">IF(AND(BR$2&lt;&gt;0,#REF!&gt;=BR$2),1,0)</f>
        <v>#REF!</v>
      </c>
      <c r="BS121" s="270" t="e">
        <f t="array" ref="BS121">IF(AND(BS$2&lt;&gt;0,#REF!&gt;=BS$2),1,0)</f>
        <v>#REF!</v>
      </c>
      <c r="BT121" s="270" t="e">
        <f t="array" ref="BT121">IF(AND(BT$2&lt;&gt;0,#REF!&gt;=BT$2),1,0)</f>
        <v>#REF!</v>
      </c>
      <c r="BU121" s="270" t="e">
        <f t="array" ref="BU121">IF(AND(BU$2&lt;&gt;0,#REF!&gt;=BU$2),1,0)</f>
        <v>#REF!</v>
      </c>
      <c r="BV121" s="270" t="e">
        <f t="array" ref="BV121">IF(AND(BV$2&lt;&gt;0,#REF!&gt;=BV$2),1,0)</f>
        <v>#REF!</v>
      </c>
      <c r="BW121" s="270" t="e">
        <f t="array" ref="BW121">IF(AND(BW$2&lt;&gt;0,#REF!&gt;=BW$2),1,0)</f>
        <v>#REF!</v>
      </c>
      <c r="BX121" s="270" t="e">
        <f t="array" ref="BX121">IF(AND(BX$2&lt;&gt;0,#REF!&gt;=BX$2),1,0)</f>
        <v>#REF!</v>
      </c>
      <c r="BY121" s="270" t="e">
        <f t="array" ref="BY121">IF(AND(BY$2&lt;&gt;0,#REF!&gt;=BY$2),1,0)</f>
        <v>#REF!</v>
      </c>
      <c r="BZ121" s="270" t="e">
        <f t="array" ref="BZ121">IF(AND(BZ$2&lt;&gt;0,#REF!&gt;=BZ$2),1,0)</f>
        <v>#REF!</v>
      </c>
      <c r="CA121" s="359">
        <f>IFERROR(INDEX($H$4:$H$79,MATCH(INDEX(#REF!,1,MATCH(#REF!,$M$2:$BZ$2,0)),$G$4:$G$79,0)),)</f>
        <v>0</v>
      </c>
    </row>
    <row r="122" spans="1:79" x14ac:dyDescent="0.25">
      <c r="A122" s="262" t="e">
        <f>#REF!</f>
        <v>#REF!</v>
      </c>
      <c r="B122" s="263" t="e">
        <f>#REF!</f>
        <v>#REF!</v>
      </c>
      <c r="C122" s="264" t="e">
        <f>#REF!</f>
        <v>#REF!</v>
      </c>
      <c r="D122" s="264" t="e">
        <f>#REF!</f>
        <v>#REF!</v>
      </c>
      <c r="E122" s="273"/>
      <c r="F122" s="274"/>
      <c r="G122" s="267"/>
      <c r="H122" s="268"/>
      <c r="I122" s="268"/>
      <c r="J122" s="268"/>
      <c r="K122" s="89" t="e">
        <f ca="1">IF(#REF!&lt;&gt;OFFSET(#REF!,-1,0),1,0)</f>
        <v>#REF!</v>
      </c>
      <c r="L122" s="269" t="e">
        <f>COUNTIF(#REF!,1)</f>
        <v>#REF!</v>
      </c>
      <c r="M122" s="270" t="e">
        <f t="array" ref="M122">IF(AND(M$2&lt;&gt;0,#REF!&gt;=M$2),1,0)</f>
        <v>#REF!</v>
      </c>
      <c r="N122" s="270" t="e">
        <f t="array" ref="N122">IF(AND(N$2&lt;&gt;0,#REF!&gt;=N$2),1,0)</f>
        <v>#REF!</v>
      </c>
      <c r="O122" s="270" t="e">
        <f t="array" ref="O122">IF(AND(O$2&lt;&gt;0,#REF!&gt;=O$2),1,0)</f>
        <v>#REF!</v>
      </c>
      <c r="P122" s="270" t="e">
        <f t="array" ref="P122">IF(AND(P$2&lt;&gt;0,#REF!&gt;=P$2),1,0)</f>
        <v>#REF!</v>
      </c>
      <c r="Q122" s="270" t="e">
        <f t="array" ref="Q122">IF(AND(Q$2&lt;&gt;0,#REF!&gt;=Q$2),1,0)</f>
        <v>#REF!</v>
      </c>
      <c r="R122" s="270" t="e">
        <f t="array" ref="R122">IF(AND(R$2&lt;&gt;0,#REF!&gt;=R$2),1,0)</f>
        <v>#REF!</v>
      </c>
      <c r="S122" s="270" t="e">
        <f t="array" ref="S122">IF(AND(S$2&lt;&gt;0,#REF!&gt;=S$2),1,0)</f>
        <v>#REF!</v>
      </c>
      <c r="T122" s="270" t="e">
        <f t="array" ref="T122">IF(AND(T$2&lt;&gt;0,#REF!&gt;=T$2),1,0)</f>
        <v>#REF!</v>
      </c>
      <c r="U122" s="270" t="e">
        <f t="array" ref="U122">IF(AND(U$2&lt;&gt;0,#REF!&gt;=U$2),1,0)</f>
        <v>#REF!</v>
      </c>
      <c r="V122" s="270" t="e">
        <f t="array" ref="V122">IF(AND(V$2&lt;&gt;0,#REF!&gt;=V$2),1,0)</f>
        <v>#REF!</v>
      </c>
      <c r="W122" s="270" t="e">
        <f t="array" ref="W122">IF(AND(W$2&lt;&gt;0,#REF!&gt;=W$2),1,0)</f>
        <v>#REF!</v>
      </c>
      <c r="X122" s="270" t="e">
        <f t="array" ref="X122">IF(AND(X$2&lt;&gt;0,#REF!&gt;=X$2),1,0)</f>
        <v>#REF!</v>
      </c>
      <c r="Y122" s="270" t="e">
        <f t="array" ref="Y122">IF(AND(Y$2&lt;&gt;0,#REF!&gt;=Y$2),1,0)</f>
        <v>#REF!</v>
      </c>
      <c r="Z122" s="270" t="e">
        <f t="array" ref="Z122">IF(AND(Z$2&lt;&gt;0,#REF!&gt;=Z$2),1,0)</f>
        <v>#REF!</v>
      </c>
      <c r="AA122" s="270" t="e">
        <f t="array" ref="AA122">IF(AND(AA$2&lt;&gt;0,#REF!&gt;=AA$2),1,0)</f>
        <v>#REF!</v>
      </c>
      <c r="AB122" s="270" t="e">
        <f t="array" ref="AB122">IF(AND(AB$2&lt;&gt;0,#REF!&gt;=AB$2),1,0)</f>
        <v>#REF!</v>
      </c>
      <c r="AC122" s="270" t="e">
        <f t="array" ref="AC122">IF(AND(AC$2&lt;&gt;0,#REF!&gt;=AC$2),1,0)</f>
        <v>#REF!</v>
      </c>
      <c r="AD122" s="270" t="e">
        <f t="array" ref="AD122">IF(AND(AD$2&lt;&gt;0,#REF!&gt;=AD$2),1,0)</f>
        <v>#REF!</v>
      </c>
      <c r="AE122" s="270" t="e">
        <f t="array" ref="AE122">IF(AND(AE$2&lt;&gt;0,#REF!&gt;=AE$2),1,0)</f>
        <v>#REF!</v>
      </c>
      <c r="AF122" s="270" t="e">
        <f t="array" ref="AF122">IF(AND(AF$2&lt;&gt;0,#REF!&gt;=AF$2),1,0)</f>
        <v>#REF!</v>
      </c>
      <c r="AG122" s="270" t="e">
        <f t="array" ref="AG122">IF(AND(AG$2&lt;&gt;0,#REF!&gt;=AG$2),1,0)</f>
        <v>#REF!</v>
      </c>
      <c r="AH122" s="270" t="e">
        <f t="array" ref="AH122">IF(AND(AH$2&lt;&gt;0,#REF!&gt;=AH$2),1,0)</f>
        <v>#REF!</v>
      </c>
      <c r="AI122" s="270" t="e">
        <f t="array" ref="AI122">IF(AND(AI$2&lt;&gt;0,#REF!&gt;=AI$2),1,0)</f>
        <v>#REF!</v>
      </c>
      <c r="AJ122" s="270" t="e">
        <f t="array" ref="AJ122">IF(AND(AJ$2&lt;&gt;0,#REF!&gt;=AJ$2),1,0)</f>
        <v>#REF!</v>
      </c>
      <c r="AK122" s="270" t="e">
        <f t="array" ref="AK122">IF(AND(AK$2&lt;&gt;0,#REF!&gt;=AK$2),1,0)</f>
        <v>#REF!</v>
      </c>
      <c r="AL122" s="270" t="e">
        <f t="array" ref="AL122">IF(AND(AL$2&lt;&gt;0,#REF!&gt;=AL$2),1,0)</f>
        <v>#REF!</v>
      </c>
      <c r="AM122" s="270" t="e">
        <f t="array" ref="AM122">IF(AND(AM$2&lt;&gt;0,#REF!&gt;=AM$2),1,0)</f>
        <v>#REF!</v>
      </c>
      <c r="AN122" s="270" t="e">
        <f t="array" ref="AN122">IF(AND(AN$2&lt;&gt;0,#REF!&gt;=AN$2),1,0)</f>
        <v>#REF!</v>
      </c>
      <c r="AO122" s="270" t="e">
        <f t="array" ref="AO122">IF(AND(AO$2&lt;&gt;0,#REF!&gt;=AO$2),1,0)</f>
        <v>#REF!</v>
      </c>
      <c r="AP122" s="270" t="e">
        <f t="array" ref="AP122">IF(AND(AP$2&lt;&gt;0,#REF!&gt;=AP$2),1,0)</f>
        <v>#REF!</v>
      </c>
      <c r="AQ122" s="270" t="e">
        <f t="array" ref="AQ122">IF(AND(AQ$2&lt;&gt;0,#REF!&gt;=AQ$2),1,0)</f>
        <v>#REF!</v>
      </c>
      <c r="AR122" s="270" t="e">
        <f t="array" ref="AR122">IF(AND(AR$2&lt;&gt;0,#REF!&gt;=AR$2),1,0)</f>
        <v>#REF!</v>
      </c>
      <c r="AS122" s="270" t="e">
        <f t="array" ref="AS122">IF(AND(AS$2&lt;&gt;0,#REF!&gt;=AS$2),1,0)</f>
        <v>#REF!</v>
      </c>
      <c r="AT122" s="270" t="e">
        <f t="array" ref="AT122">IF(AND(AT$2&lt;&gt;0,#REF!&gt;=AT$2),1,0)</f>
        <v>#REF!</v>
      </c>
      <c r="AU122" s="270" t="e">
        <f t="array" ref="AU122">IF(AND(AU$2&lt;&gt;0,#REF!&gt;=AU$2),1,0)</f>
        <v>#REF!</v>
      </c>
      <c r="AV122" s="270" t="e">
        <f t="array" ref="AV122">IF(AND(AV$2&lt;&gt;0,#REF!&gt;=AV$2),1,0)</f>
        <v>#REF!</v>
      </c>
      <c r="AW122" s="270" t="e">
        <f t="array" ref="AW122">IF(AND(AW$2&lt;&gt;0,#REF!&gt;=AW$2),1,0)</f>
        <v>#REF!</v>
      </c>
      <c r="AX122" s="270" t="e">
        <f t="array" ref="AX122">IF(AND(AX$2&lt;&gt;0,#REF!&gt;=AX$2),1,0)</f>
        <v>#REF!</v>
      </c>
      <c r="AY122" s="270" t="e">
        <f t="array" ref="AY122">IF(AND(AY$2&lt;&gt;0,#REF!&gt;=AY$2),1,0)</f>
        <v>#REF!</v>
      </c>
      <c r="AZ122" s="270" t="e">
        <f t="array" ref="AZ122">IF(AND(AZ$2&lt;&gt;0,#REF!&gt;=AZ$2),1,0)</f>
        <v>#REF!</v>
      </c>
      <c r="BA122" s="270" t="e">
        <f t="array" ref="BA122">IF(AND(BA$2&lt;&gt;0,#REF!&gt;=BA$2),1,0)</f>
        <v>#REF!</v>
      </c>
      <c r="BB122" s="270" t="e">
        <f t="array" ref="BB122">IF(AND(BB$2&lt;&gt;0,#REF!&gt;=BB$2),1,0)</f>
        <v>#REF!</v>
      </c>
      <c r="BC122" s="270" t="e">
        <f t="array" ref="BC122">IF(AND(BC$2&lt;&gt;0,#REF!&gt;=BC$2),1,0)</f>
        <v>#REF!</v>
      </c>
      <c r="BD122" s="270" t="e">
        <f t="array" ref="BD122">IF(AND(BD$2&lt;&gt;0,#REF!&gt;=BD$2),1,0)</f>
        <v>#REF!</v>
      </c>
      <c r="BE122" s="270" t="e">
        <f t="array" ref="BE122">IF(AND(BE$2&lt;&gt;0,#REF!&gt;=BE$2),1,0)</f>
        <v>#REF!</v>
      </c>
      <c r="BF122" s="270" t="e">
        <f t="array" ref="BF122">IF(AND(BF$2&lt;&gt;0,#REF!&gt;=BF$2),1,0)</f>
        <v>#REF!</v>
      </c>
      <c r="BG122" s="270" t="e">
        <f t="array" ref="BG122">IF(AND(BG$2&lt;&gt;0,#REF!&gt;=BG$2),1,0)</f>
        <v>#REF!</v>
      </c>
      <c r="BH122" s="270" t="e">
        <f t="array" ref="BH122">IF(AND(BH$2&lt;&gt;0,#REF!&gt;=BH$2),1,0)</f>
        <v>#REF!</v>
      </c>
      <c r="BI122" s="270" t="e">
        <f t="array" ref="BI122">IF(AND(BI$2&lt;&gt;0,#REF!&gt;=BI$2),1,0)</f>
        <v>#REF!</v>
      </c>
      <c r="BJ122" s="270" t="e">
        <f t="array" ref="BJ122">IF(AND(BJ$2&lt;&gt;0,#REF!&gt;=BJ$2),1,0)</f>
        <v>#REF!</v>
      </c>
      <c r="BK122" s="270" t="e">
        <f t="array" ref="BK122">IF(AND(BK$2&lt;&gt;0,#REF!&gt;=BK$2),1,0)</f>
        <v>#REF!</v>
      </c>
      <c r="BL122" s="270" t="e">
        <f t="array" ref="BL122">IF(AND(BL$2&lt;&gt;0,#REF!&gt;=BL$2),1,0)</f>
        <v>#REF!</v>
      </c>
      <c r="BM122" s="270" t="e">
        <f t="array" ref="BM122">IF(AND(BM$2&lt;&gt;0,#REF!&gt;=BM$2),1,0)</f>
        <v>#REF!</v>
      </c>
      <c r="BN122" s="270" t="e">
        <f t="array" ref="BN122">IF(AND(BN$2&lt;&gt;0,#REF!&gt;=BN$2),1,0)</f>
        <v>#REF!</v>
      </c>
      <c r="BO122" s="270" t="e">
        <f t="array" ref="BO122">IF(AND(BO$2&lt;&gt;0,#REF!&gt;=BO$2),1,0)</f>
        <v>#REF!</v>
      </c>
      <c r="BP122" s="270" t="e">
        <f t="array" ref="BP122">IF(AND(BP$2&lt;&gt;0,#REF!&gt;=BP$2),1,0)</f>
        <v>#REF!</v>
      </c>
      <c r="BQ122" s="270" t="e">
        <f t="array" ref="BQ122">IF(AND(BQ$2&lt;&gt;0,#REF!&gt;=BQ$2),1,0)</f>
        <v>#REF!</v>
      </c>
      <c r="BR122" s="270" t="e">
        <f t="array" ref="BR122">IF(AND(BR$2&lt;&gt;0,#REF!&gt;=BR$2),1,0)</f>
        <v>#REF!</v>
      </c>
      <c r="BS122" s="270" t="e">
        <f t="array" ref="BS122">IF(AND(BS$2&lt;&gt;0,#REF!&gt;=BS$2),1,0)</f>
        <v>#REF!</v>
      </c>
      <c r="BT122" s="270" t="e">
        <f t="array" ref="BT122">IF(AND(BT$2&lt;&gt;0,#REF!&gt;=BT$2),1,0)</f>
        <v>#REF!</v>
      </c>
      <c r="BU122" s="270" t="e">
        <f t="array" ref="BU122">IF(AND(BU$2&lt;&gt;0,#REF!&gt;=BU$2),1,0)</f>
        <v>#REF!</v>
      </c>
      <c r="BV122" s="270" t="e">
        <f t="array" ref="BV122">IF(AND(BV$2&lt;&gt;0,#REF!&gt;=BV$2),1,0)</f>
        <v>#REF!</v>
      </c>
      <c r="BW122" s="270" t="e">
        <f t="array" ref="BW122">IF(AND(BW$2&lt;&gt;0,#REF!&gt;=BW$2),1,0)</f>
        <v>#REF!</v>
      </c>
      <c r="BX122" s="270" t="e">
        <f t="array" ref="BX122">IF(AND(BX$2&lt;&gt;0,#REF!&gt;=BX$2),1,0)</f>
        <v>#REF!</v>
      </c>
      <c r="BY122" s="270" t="e">
        <f t="array" ref="BY122">IF(AND(BY$2&lt;&gt;0,#REF!&gt;=BY$2),1,0)</f>
        <v>#REF!</v>
      </c>
      <c r="BZ122" s="270" t="e">
        <f t="array" ref="BZ122">IF(AND(BZ$2&lt;&gt;0,#REF!&gt;=BZ$2),1,0)</f>
        <v>#REF!</v>
      </c>
      <c r="CA122" s="359">
        <f>IFERROR(INDEX($H$4:$H$79,MATCH(INDEX(#REF!,1,MATCH(#REF!,$M$2:$BZ$2,0)),$G$4:$G$79,0)),)</f>
        <v>0</v>
      </c>
    </row>
    <row r="123" spans="1:79" x14ac:dyDescent="0.25">
      <c r="A123" s="262" t="e">
        <f>#REF!</f>
        <v>#REF!</v>
      </c>
      <c r="B123" s="263" t="e">
        <f>#REF!</f>
        <v>#REF!</v>
      </c>
      <c r="C123" s="264" t="e">
        <f>#REF!</f>
        <v>#REF!</v>
      </c>
      <c r="D123" s="264" t="e">
        <f>#REF!</f>
        <v>#REF!</v>
      </c>
      <c r="E123" s="273"/>
      <c r="F123" s="274"/>
      <c r="G123" s="267"/>
      <c r="H123" s="268"/>
      <c r="I123" s="268"/>
      <c r="J123" s="268"/>
      <c r="K123" s="89" t="e">
        <f ca="1">IF(#REF!&lt;&gt;OFFSET(#REF!,-1,0),1,0)</f>
        <v>#REF!</v>
      </c>
      <c r="L123" s="269" t="e">
        <f>COUNTIF(#REF!,1)</f>
        <v>#REF!</v>
      </c>
      <c r="M123" s="270" t="e">
        <f t="array" ref="M123">IF(AND(M$2&lt;&gt;0,#REF!&gt;=M$2),1,0)</f>
        <v>#REF!</v>
      </c>
      <c r="N123" s="270" t="e">
        <f t="array" ref="N123">IF(AND(N$2&lt;&gt;0,#REF!&gt;=N$2),1,0)</f>
        <v>#REF!</v>
      </c>
      <c r="O123" s="270" t="e">
        <f t="array" ref="O123">IF(AND(O$2&lt;&gt;0,#REF!&gt;=O$2),1,0)</f>
        <v>#REF!</v>
      </c>
      <c r="P123" s="270" t="e">
        <f t="array" ref="P123">IF(AND(P$2&lt;&gt;0,#REF!&gt;=P$2),1,0)</f>
        <v>#REF!</v>
      </c>
      <c r="Q123" s="270" t="e">
        <f t="array" ref="Q123">IF(AND(Q$2&lt;&gt;0,#REF!&gt;=Q$2),1,0)</f>
        <v>#REF!</v>
      </c>
      <c r="R123" s="270" t="e">
        <f t="array" ref="R123">IF(AND(R$2&lt;&gt;0,#REF!&gt;=R$2),1,0)</f>
        <v>#REF!</v>
      </c>
      <c r="S123" s="270" t="e">
        <f t="array" ref="S123">IF(AND(S$2&lt;&gt;0,#REF!&gt;=S$2),1,0)</f>
        <v>#REF!</v>
      </c>
      <c r="T123" s="270" t="e">
        <f t="array" ref="T123">IF(AND(T$2&lt;&gt;0,#REF!&gt;=T$2),1,0)</f>
        <v>#REF!</v>
      </c>
      <c r="U123" s="270" t="e">
        <f t="array" ref="U123">IF(AND(U$2&lt;&gt;0,#REF!&gt;=U$2),1,0)</f>
        <v>#REF!</v>
      </c>
      <c r="V123" s="270" t="e">
        <f t="array" ref="V123">IF(AND(V$2&lt;&gt;0,#REF!&gt;=V$2),1,0)</f>
        <v>#REF!</v>
      </c>
      <c r="W123" s="270" t="e">
        <f t="array" ref="W123">IF(AND(W$2&lt;&gt;0,#REF!&gt;=W$2),1,0)</f>
        <v>#REF!</v>
      </c>
      <c r="X123" s="270" t="e">
        <f t="array" ref="X123">IF(AND(X$2&lt;&gt;0,#REF!&gt;=X$2),1,0)</f>
        <v>#REF!</v>
      </c>
      <c r="Y123" s="270" t="e">
        <f t="array" ref="Y123">IF(AND(Y$2&lt;&gt;0,#REF!&gt;=Y$2),1,0)</f>
        <v>#REF!</v>
      </c>
      <c r="Z123" s="270" t="e">
        <f t="array" ref="Z123">IF(AND(Z$2&lt;&gt;0,#REF!&gt;=Z$2),1,0)</f>
        <v>#REF!</v>
      </c>
      <c r="AA123" s="270" t="e">
        <f t="array" ref="AA123">IF(AND(AA$2&lt;&gt;0,#REF!&gt;=AA$2),1,0)</f>
        <v>#REF!</v>
      </c>
      <c r="AB123" s="270" t="e">
        <f t="array" ref="AB123">IF(AND(AB$2&lt;&gt;0,#REF!&gt;=AB$2),1,0)</f>
        <v>#REF!</v>
      </c>
      <c r="AC123" s="270" t="e">
        <f t="array" ref="AC123">IF(AND(AC$2&lt;&gt;0,#REF!&gt;=AC$2),1,0)</f>
        <v>#REF!</v>
      </c>
      <c r="AD123" s="270" t="e">
        <f t="array" ref="AD123">IF(AND(AD$2&lt;&gt;0,#REF!&gt;=AD$2),1,0)</f>
        <v>#REF!</v>
      </c>
      <c r="AE123" s="270" t="e">
        <f t="array" ref="AE123">IF(AND(AE$2&lt;&gt;0,#REF!&gt;=AE$2),1,0)</f>
        <v>#REF!</v>
      </c>
      <c r="AF123" s="270" t="e">
        <f t="array" ref="AF123">IF(AND(AF$2&lt;&gt;0,#REF!&gt;=AF$2),1,0)</f>
        <v>#REF!</v>
      </c>
      <c r="AG123" s="270" t="e">
        <f t="array" ref="AG123">IF(AND(AG$2&lt;&gt;0,#REF!&gt;=AG$2),1,0)</f>
        <v>#REF!</v>
      </c>
      <c r="AH123" s="270" t="e">
        <f t="array" ref="AH123">IF(AND(AH$2&lt;&gt;0,#REF!&gt;=AH$2),1,0)</f>
        <v>#REF!</v>
      </c>
      <c r="AI123" s="270" t="e">
        <f t="array" ref="AI123">IF(AND(AI$2&lt;&gt;0,#REF!&gt;=AI$2),1,0)</f>
        <v>#REF!</v>
      </c>
      <c r="AJ123" s="270" t="e">
        <f t="array" ref="AJ123">IF(AND(AJ$2&lt;&gt;0,#REF!&gt;=AJ$2),1,0)</f>
        <v>#REF!</v>
      </c>
      <c r="AK123" s="270" t="e">
        <f t="array" ref="AK123">IF(AND(AK$2&lt;&gt;0,#REF!&gt;=AK$2),1,0)</f>
        <v>#REF!</v>
      </c>
      <c r="AL123" s="270" t="e">
        <f t="array" ref="AL123">IF(AND(AL$2&lt;&gt;0,#REF!&gt;=AL$2),1,0)</f>
        <v>#REF!</v>
      </c>
      <c r="AM123" s="270" t="e">
        <f t="array" ref="AM123">IF(AND(AM$2&lt;&gt;0,#REF!&gt;=AM$2),1,0)</f>
        <v>#REF!</v>
      </c>
      <c r="AN123" s="270" t="e">
        <f t="array" ref="AN123">IF(AND(AN$2&lt;&gt;0,#REF!&gt;=AN$2),1,0)</f>
        <v>#REF!</v>
      </c>
      <c r="AO123" s="270" t="e">
        <f t="array" ref="AO123">IF(AND(AO$2&lt;&gt;0,#REF!&gt;=AO$2),1,0)</f>
        <v>#REF!</v>
      </c>
      <c r="AP123" s="270" t="e">
        <f t="array" ref="AP123">IF(AND(AP$2&lt;&gt;0,#REF!&gt;=AP$2),1,0)</f>
        <v>#REF!</v>
      </c>
      <c r="AQ123" s="270" t="e">
        <f t="array" ref="AQ123">IF(AND(AQ$2&lt;&gt;0,#REF!&gt;=AQ$2),1,0)</f>
        <v>#REF!</v>
      </c>
      <c r="AR123" s="270" t="e">
        <f t="array" ref="AR123">IF(AND(AR$2&lt;&gt;0,#REF!&gt;=AR$2),1,0)</f>
        <v>#REF!</v>
      </c>
      <c r="AS123" s="270" t="e">
        <f t="array" ref="AS123">IF(AND(AS$2&lt;&gt;0,#REF!&gt;=AS$2),1,0)</f>
        <v>#REF!</v>
      </c>
      <c r="AT123" s="270" t="e">
        <f t="array" ref="AT123">IF(AND(AT$2&lt;&gt;0,#REF!&gt;=AT$2),1,0)</f>
        <v>#REF!</v>
      </c>
      <c r="AU123" s="270" t="e">
        <f t="array" ref="AU123">IF(AND(AU$2&lt;&gt;0,#REF!&gt;=AU$2),1,0)</f>
        <v>#REF!</v>
      </c>
      <c r="AV123" s="270" t="e">
        <f t="array" ref="AV123">IF(AND(AV$2&lt;&gt;0,#REF!&gt;=AV$2),1,0)</f>
        <v>#REF!</v>
      </c>
      <c r="AW123" s="270" t="e">
        <f t="array" ref="AW123">IF(AND(AW$2&lt;&gt;0,#REF!&gt;=AW$2),1,0)</f>
        <v>#REF!</v>
      </c>
      <c r="AX123" s="270" t="e">
        <f t="array" ref="AX123">IF(AND(AX$2&lt;&gt;0,#REF!&gt;=AX$2),1,0)</f>
        <v>#REF!</v>
      </c>
      <c r="AY123" s="270" t="e">
        <f t="array" ref="AY123">IF(AND(AY$2&lt;&gt;0,#REF!&gt;=AY$2),1,0)</f>
        <v>#REF!</v>
      </c>
      <c r="AZ123" s="270" t="e">
        <f t="array" ref="AZ123">IF(AND(AZ$2&lt;&gt;0,#REF!&gt;=AZ$2),1,0)</f>
        <v>#REF!</v>
      </c>
      <c r="BA123" s="270" t="e">
        <f t="array" ref="BA123">IF(AND(BA$2&lt;&gt;0,#REF!&gt;=BA$2),1,0)</f>
        <v>#REF!</v>
      </c>
      <c r="BB123" s="270" t="e">
        <f t="array" ref="BB123">IF(AND(BB$2&lt;&gt;0,#REF!&gt;=BB$2),1,0)</f>
        <v>#REF!</v>
      </c>
      <c r="BC123" s="270" t="e">
        <f t="array" ref="BC123">IF(AND(BC$2&lt;&gt;0,#REF!&gt;=BC$2),1,0)</f>
        <v>#REF!</v>
      </c>
      <c r="BD123" s="270" t="e">
        <f t="array" ref="BD123">IF(AND(BD$2&lt;&gt;0,#REF!&gt;=BD$2),1,0)</f>
        <v>#REF!</v>
      </c>
      <c r="BE123" s="270" t="e">
        <f t="array" ref="BE123">IF(AND(BE$2&lt;&gt;0,#REF!&gt;=BE$2),1,0)</f>
        <v>#REF!</v>
      </c>
      <c r="BF123" s="270" t="e">
        <f t="array" ref="BF123">IF(AND(BF$2&lt;&gt;0,#REF!&gt;=BF$2),1,0)</f>
        <v>#REF!</v>
      </c>
      <c r="BG123" s="270" t="e">
        <f t="array" ref="BG123">IF(AND(BG$2&lt;&gt;0,#REF!&gt;=BG$2),1,0)</f>
        <v>#REF!</v>
      </c>
      <c r="BH123" s="270" t="e">
        <f t="array" ref="BH123">IF(AND(BH$2&lt;&gt;0,#REF!&gt;=BH$2),1,0)</f>
        <v>#REF!</v>
      </c>
      <c r="BI123" s="270" t="e">
        <f t="array" ref="BI123">IF(AND(BI$2&lt;&gt;0,#REF!&gt;=BI$2),1,0)</f>
        <v>#REF!</v>
      </c>
      <c r="BJ123" s="270" t="e">
        <f t="array" ref="BJ123">IF(AND(BJ$2&lt;&gt;0,#REF!&gt;=BJ$2),1,0)</f>
        <v>#REF!</v>
      </c>
      <c r="BK123" s="270" t="e">
        <f t="array" ref="BK123">IF(AND(BK$2&lt;&gt;0,#REF!&gt;=BK$2),1,0)</f>
        <v>#REF!</v>
      </c>
      <c r="BL123" s="270" t="e">
        <f t="array" ref="BL123">IF(AND(BL$2&lt;&gt;0,#REF!&gt;=BL$2),1,0)</f>
        <v>#REF!</v>
      </c>
      <c r="BM123" s="270" t="e">
        <f t="array" ref="BM123">IF(AND(BM$2&lt;&gt;0,#REF!&gt;=BM$2),1,0)</f>
        <v>#REF!</v>
      </c>
      <c r="BN123" s="270" t="e">
        <f t="array" ref="BN123">IF(AND(BN$2&lt;&gt;0,#REF!&gt;=BN$2),1,0)</f>
        <v>#REF!</v>
      </c>
      <c r="BO123" s="270" t="e">
        <f t="array" ref="BO123">IF(AND(BO$2&lt;&gt;0,#REF!&gt;=BO$2),1,0)</f>
        <v>#REF!</v>
      </c>
      <c r="BP123" s="270" t="e">
        <f t="array" ref="BP123">IF(AND(BP$2&lt;&gt;0,#REF!&gt;=BP$2),1,0)</f>
        <v>#REF!</v>
      </c>
      <c r="BQ123" s="270" t="e">
        <f t="array" ref="BQ123">IF(AND(BQ$2&lt;&gt;0,#REF!&gt;=BQ$2),1,0)</f>
        <v>#REF!</v>
      </c>
      <c r="BR123" s="270" t="e">
        <f t="array" ref="BR123">IF(AND(BR$2&lt;&gt;0,#REF!&gt;=BR$2),1,0)</f>
        <v>#REF!</v>
      </c>
      <c r="BS123" s="270" t="e">
        <f t="array" ref="BS123">IF(AND(BS$2&lt;&gt;0,#REF!&gt;=BS$2),1,0)</f>
        <v>#REF!</v>
      </c>
      <c r="BT123" s="270" t="e">
        <f t="array" ref="BT123">IF(AND(BT$2&lt;&gt;0,#REF!&gt;=BT$2),1,0)</f>
        <v>#REF!</v>
      </c>
      <c r="BU123" s="270" t="e">
        <f t="array" ref="BU123">IF(AND(BU$2&lt;&gt;0,#REF!&gt;=BU$2),1,0)</f>
        <v>#REF!</v>
      </c>
      <c r="BV123" s="270" t="e">
        <f t="array" ref="BV123">IF(AND(BV$2&lt;&gt;0,#REF!&gt;=BV$2),1,0)</f>
        <v>#REF!</v>
      </c>
      <c r="BW123" s="270" t="e">
        <f t="array" ref="BW123">IF(AND(BW$2&lt;&gt;0,#REF!&gt;=BW$2),1,0)</f>
        <v>#REF!</v>
      </c>
      <c r="BX123" s="270" t="e">
        <f t="array" ref="BX123">IF(AND(BX$2&lt;&gt;0,#REF!&gt;=BX$2),1,0)</f>
        <v>#REF!</v>
      </c>
      <c r="BY123" s="270" t="e">
        <f t="array" ref="BY123">IF(AND(BY$2&lt;&gt;0,#REF!&gt;=BY$2),1,0)</f>
        <v>#REF!</v>
      </c>
      <c r="BZ123" s="270" t="e">
        <f t="array" ref="BZ123">IF(AND(BZ$2&lt;&gt;0,#REF!&gt;=BZ$2),1,0)</f>
        <v>#REF!</v>
      </c>
      <c r="CA123" s="359">
        <f>IFERROR(INDEX($H$4:$H$79,MATCH(INDEX(#REF!,1,MATCH(#REF!,$M$2:$BZ$2,0)),$G$4:$G$79,0)),)</f>
        <v>0</v>
      </c>
    </row>
    <row r="124" spans="1:79" x14ac:dyDescent="0.25">
      <c r="A124" s="262" t="e">
        <f>#REF!</f>
        <v>#REF!</v>
      </c>
      <c r="B124" s="263" t="e">
        <f>#REF!</f>
        <v>#REF!</v>
      </c>
      <c r="C124" s="264" t="e">
        <f>#REF!</f>
        <v>#REF!</v>
      </c>
      <c r="D124" s="264" t="e">
        <f>#REF!</f>
        <v>#REF!</v>
      </c>
      <c r="E124" s="273"/>
      <c r="F124" s="274"/>
      <c r="G124" s="267"/>
      <c r="H124" s="268"/>
      <c r="I124" s="268"/>
      <c r="J124" s="268"/>
      <c r="K124" s="89" t="e">
        <f ca="1">IF(#REF!&lt;&gt;OFFSET(#REF!,-1,0),1,0)</f>
        <v>#REF!</v>
      </c>
      <c r="L124" s="269" t="e">
        <f>COUNTIF(#REF!,1)</f>
        <v>#REF!</v>
      </c>
      <c r="M124" s="270" t="e">
        <f t="array" ref="M124">IF(AND(M$2&lt;&gt;0,#REF!&gt;=M$2),1,0)</f>
        <v>#REF!</v>
      </c>
      <c r="N124" s="270" t="e">
        <f t="array" ref="N124">IF(AND(N$2&lt;&gt;0,#REF!&gt;=N$2),1,0)</f>
        <v>#REF!</v>
      </c>
      <c r="O124" s="270" t="e">
        <f t="array" ref="O124">IF(AND(O$2&lt;&gt;0,#REF!&gt;=O$2),1,0)</f>
        <v>#REF!</v>
      </c>
      <c r="P124" s="270" t="e">
        <f t="array" ref="P124">IF(AND(P$2&lt;&gt;0,#REF!&gt;=P$2),1,0)</f>
        <v>#REF!</v>
      </c>
      <c r="Q124" s="270" t="e">
        <f t="array" ref="Q124">IF(AND(Q$2&lt;&gt;0,#REF!&gt;=Q$2),1,0)</f>
        <v>#REF!</v>
      </c>
      <c r="R124" s="270" t="e">
        <f t="array" ref="R124">IF(AND(R$2&lt;&gt;0,#REF!&gt;=R$2),1,0)</f>
        <v>#REF!</v>
      </c>
      <c r="S124" s="270" t="e">
        <f t="array" ref="S124">IF(AND(S$2&lt;&gt;0,#REF!&gt;=S$2),1,0)</f>
        <v>#REF!</v>
      </c>
      <c r="T124" s="270" t="e">
        <f t="array" ref="T124">IF(AND(T$2&lt;&gt;0,#REF!&gt;=T$2),1,0)</f>
        <v>#REF!</v>
      </c>
      <c r="U124" s="270" t="e">
        <f t="array" ref="U124">IF(AND(U$2&lt;&gt;0,#REF!&gt;=U$2),1,0)</f>
        <v>#REF!</v>
      </c>
      <c r="V124" s="270" t="e">
        <f t="array" ref="V124">IF(AND(V$2&lt;&gt;0,#REF!&gt;=V$2),1,0)</f>
        <v>#REF!</v>
      </c>
      <c r="W124" s="270" t="e">
        <f t="array" ref="W124">IF(AND(W$2&lt;&gt;0,#REF!&gt;=W$2),1,0)</f>
        <v>#REF!</v>
      </c>
      <c r="X124" s="270" t="e">
        <f t="array" ref="X124">IF(AND(X$2&lt;&gt;0,#REF!&gt;=X$2),1,0)</f>
        <v>#REF!</v>
      </c>
      <c r="Y124" s="270" t="e">
        <f t="array" ref="Y124">IF(AND(Y$2&lt;&gt;0,#REF!&gt;=Y$2),1,0)</f>
        <v>#REF!</v>
      </c>
      <c r="Z124" s="270" t="e">
        <f t="array" ref="Z124">IF(AND(Z$2&lt;&gt;0,#REF!&gt;=Z$2),1,0)</f>
        <v>#REF!</v>
      </c>
      <c r="AA124" s="270" t="e">
        <f t="array" ref="AA124">IF(AND(AA$2&lt;&gt;0,#REF!&gt;=AA$2),1,0)</f>
        <v>#REF!</v>
      </c>
      <c r="AB124" s="270" t="e">
        <f t="array" ref="AB124">IF(AND(AB$2&lt;&gt;0,#REF!&gt;=AB$2),1,0)</f>
        <v>#REF!</v>
      </c>
      <c r="AC124" s="270" t="e">
        <f t="array" ref="AC124">IF(AND(AC$2&lt;&gt;0,#REF!&gt;=AC$2),1,0)</f>
        <v>#REF!</v>
      </c>
      <c r="AD124" s="270" t="e">
        <f t="array" ref="AD124">IF(AND(AD$2&lt;&gt;0,#REF!&gt;=AD$2),1,0)</f>
        <v>#REF!</v>
      </c>
      <c r="AE124" s="270" t="e">
        <f t="array" ref="AE124">IF(AND(AE$2&lt;&gt;0,#REF!&gt;=AE$2),1,0)</f>
        <v>#REF!</v>
      </c>
      <c r="AF124" s="270" t="e">
        <f t="array" ref="AF124">IF(AND(AF$2&lt;&gt;0,#REF!&gt;=AF$2),1,0)</f>
        <v>#REF!</v>
      </c>
      <c r="AG124" s="270" t="e">
        <f t="array" ref="AG124">IF(AND(AG$2&lt;&gt;0,#REF!&gt;=AG$2),1,0)</f>
        <v>#REF!</v>
      </c>
      <c r="AH124" s="270" t="e">
        <f t="array" ref="AH124">IF(AND(AH$2&lt;&gt;0,#REF!&gt;=AH$2),1,0)</f>
        <v>#REF!</v>
      </c>
      <c r="AI124" s="270" t="e">
        <f t="array" ref="AI124">IF(AND(AI$2&lt;&gt;0,#REF!&gt;=AI$2),1,0)</f>
        <v>#REF!</v>
      </c>
      <c r="AJ124" s="270" t="e">
        <f t="array" ref="AJ124">IF(AND(AJ$2&lt;&gt;0,#REF!&gt;=AJ$2),1,0)</f>
        <v>#REF!</v>
      </c>
      <c r="AK124" s="270" t="e">
        <f t="array" ref="AK124">IF(AND(AK$2&lt;&gt;0,#REF!&gt;=AK$2),1,0)</f>
        <v>#REF!</v>
      </c>
      <c r="AL124" s="270" t="e">
        <f t="array" ref="AL124">IF(AND(AL$2&lt;&gt;0,#REF!&gt;=AL$2),1,0)</f>
        <v>#REF!</v>
      </c>
      <c r="AM124" s="270" t="e">
        <f t="array" ref="AM124">IF(AND(AM$2&lt;&gt;0,#REF!&gt;=AM$2),1,0)</f>
        <v>#REF!</v>
      </c>
      <c r="AN124" s="270" t="e">
        <f t="array" ref="AN124">IF(AND(AN$2&lt;&gt;0,#REF!&gt;=AN$2),1,0)</f>
        <v>#REF!</v>
      </c>
      <c r="AO124" s="270" t="e">
        <f t="array" ref="AO124">IF(AND(AO$2&lt;&gt;0,#REF!&gt;=AO$2),1,0)</f>
        <v>#REF!</v>
      </c>
      <c r="AP124" s="270" t="e">
        <f t="array" ref="AP124">IF(AND(AP$2&lt;&gt;0,#REF!&gt;=AP$2),1,0)</f>
        <v>#REF!</v>
      </c>
      <c r="AQ124" s="270" t="e">
        <f t="array" ref="AQ124">IF(AND(AQ$2&lt;&gt;0,#REF!&gt;=AQ$2),1,0)</f>
        <v>#REF!</v>
      </c>
      <c r="AR124" s="270" t="e">
        <f t="array" ref="AR124">IF(AND(AR$2&lt;&gt;0,#REF!&gt;=AR$2),1,0)</f>
        <v>#REF!</v>
      </c>
      <c r="AS124" s="270" t="e">
        <f t="array" ref="AS124">IF(AND(AS$2&lt;&gt;0,#REF!&gt;=AS$2),1,0)</f>
        <v>#REF!</v>
      </c>
      <c r="AT124" s="270" t="e">
        <f t="array" ref="AT124">IF(AND(AT$2&lt;&gt;0,#REF!&gt;=AT$2),1,0)</f>
        <v>#REF!</v>
      </c>
      <c r="AU124" s="270" t="e">
        <f t="array" ref="AU124">IF(AND(AU$2&lt;&gt;0,#REF!&gt;=AU$2),1,0)</f>
        <v>#REF!</v>
      </c>
      <c r="AV124" s="270" t="e">
        <f t="array" ref="AV124">IF(AND(AV$2&lt;&gt;0,#REF!&gt;=AV$2),1,0)</f>
        <v>#REF!</v>
      </c>
      <c r="AW124" s="270" t="e">
        <f t="array" ref="AW124">IF(AND(AW$2&lt;&gt;0,#REF!&gt;=AW$2),1,0)</f>
        <v>#REF!</v>
      </c>
      <c r="AX124" s="270" t="e">
        <f t="array" ref="AX124">IF(AND(AX$2&lt;&gt;0,#REF!&gt;=AX$2),1,0)</f>
        <v>#REF!</v>
      </c>
      <c r="AY124" s="270" t="e">
        <f t="array" ref="AY124">IF(AND(AY$2&lt;&gt;0,#REF!&gt;=AY$2),1,0)</f>
        <v>#REF!</v>
      </c>
      <c r="AZ124" s="270" t="e">
        <f t="array" ref="AZ124">IF(AND(AZ$2&lt;&gt;0,#REF!&gt;=AZ$2),1,0)</f>
        <v>#REF!</v>
      </c>
      <c r="BA124" s="270" t="e">
        <f t="array" ref="BA124">IF(AND(BA$2&lt;&gt;0,#REF!&gt;=BA$2),1,0)</f>
        <v>#REF!</v>
      </c>
      <c r="BB124" s="270" t="e">
        <f t="array" ref="BB124">IF(AND(BB$2&lt;&gt;0,#REF!&gt;=BB$2),1,0)</f>
        <v>#REF!</v>
      </c>
      <c r="BC124" s="270" t="e">
        <f t="array" ref="BC124">IF(AND(BC$2&lt;&gt;0,#REF!&gt;=BC$2),1,0)</f>
        <v>#REF!</v>
      </c>
      <c r="BD124" s="270" t="e">
        <f t="array" ref="BD124">IF(AND(BD$2&lt;&gt;0,#REF!&gt;=BD$2),1,0)</f>
        <v>#REF!</v>
      </c>
      <c r="BE124" s="270" t="e">
        <f t="array" ref="BE124">IF(AND(BE$2&lt;&gt;0,#REF!&gt;=BE$2),1,0)</f>
        <v>#REF!</v>
      </c>
      <c r="BF124" s="270" t="e">
        <f t="array" ref="BF124">IF(AND(BF$2&lt;&gt;0,#REF!&gt;=BF$2),1,0)</f>
        <v>#REF!</v>
      </c>
      <c r="BG124" s="270" t="e">
        <f t="array" ref="BG124">IF(AND(BG$2&lt;&gt;0,#REF!&gt;=BG$2),1,0)</f>
        <v>#REF!</v>
      </c>
      <c r="BH124" s="270" t="e">
        <f t="array" ref="BH124">IF(AND(BH$2&lt;&gt;0,#REF!&gt;=BH$2),1,0)</f>
        <v>#REF!</v>
      </c>
      <c r="BI124" s="270" t="e">
        <f t="array" ref="BI124">IF(AND(BI$2&lt;&gt;0,#REF!&gt;=BI$2),1,0)</f>
        <v>#REF!</v>
      </c>
      <c r="BJ124" s="270" t="e">
        <f t="array" ref="BJ124">IF(AND(BJ$2&lt;&gt;0,#REF!&gt;=BJ$2),1,0)</f>
        <v>#REF!</v>
      </c>
      <c r="BK124" s="270" t="e">
        <f t="array" ref="BK124">IF(AND(BK$2&lt;&gt;0,#REF!&gt;=BK$2),1,0)</f>
        <v>#REF!</v>
      </c>
      <c r="BL124" s="270" t="e">
        <f t="array" ref="BL124">IF(AND(BL$2&lt;&gt;0,#REF!&gt;=BL$2),1,0)</f>
        <v>#REF!</v>
      </c>
      <c r="BM124" s="270" t="e">
        <f t="array" ref="BM124">IF(AND(BM$2&lt;&gt;0,#REF!&gt;=BM$2),1,0)</f>
        <v>#REF!</v>
      </c>
      <c r="BN124" s="270" t="e">
        <f t="array" ref="BN124">IF(AND(BN$2&lt;&gt;0,#REF!&gt;=BN$2),1,0)</f>
        <v>#REF!</v>
      </c>
      <c r="BO124" s="270" t="e">
        <f t="array" ref="BO124">IF(AND(BO$2&lt;&gt;0,#REF!&gt;=BO$2),1,0)</f>
        <v>#REF!</v>
      </c>
      <c r="BP124" s="270" t="e">
        <f t="array" ref="BP124">IF(AND(BP$2&lt;&gt;0,#REF!&gt;=BP$2),1,0)</f>
        <v>#REF!</v>
      </c>
      <c r="BQ124" s="270" t="e">
        <f t="array" ref="BQ124">IF(AND(BQ$2&lt;&gt;0,#REF!&gt;=BQ$2),1,0)</f>
        <v>#REF!</v>
      </c>
      <c r="BR124" s="270" t="e">
        <f t="array" ref="BR124">IF(AND(BR$2&lt;&gt;0,#REF!&gt;=BR$2),1,0)</f>
        <v>#REF!</v>
      </c>
      <c r="BS124" s="270" t="e">
        <f t="array" ref="BS124">IF(AND(BS$2&lt;&gt;0,#REF!&gt;=BS$2),1,0)</f>
        <v>#REF!</v>
      </c>
      <c r="BT124" s="270" t="e">
        <f t="array" ref="BT124">IF(AND(BT$2&lt;&gt;0,#REF!&gt;=BT$2),1,0)</f>
        <v>#REF!</v>
      </c>
      <c r="BU124" s="270" t="e">
        <f t="array" ref="BU124">IF(AND(BU$2&lt;&gt;0,#REF!&gt;=BU$2),1,0)</f>
        <v>#REF!</v>
      </c>
      <c r="BV124" s="270" t="e">
        <f t="array" ref="BV124">IF(AND(BV$2&lt;&gt;0,#REF!&gt;=BV$2),1,0)</f>
        <v>#REF!</v>
      </c>
      <c r="BW124" s="270" t="e">
        <f t="array" ref="BW124">IF(AND(BW$2&lt;&gt;0,#REF!&gt;=BW$2),1,0)</f>
        <v>#REF!</v>
      </c>
      <c r="BX124" s="270" t="e">
        <f t="array" ref="BX124">IF(AND(BX$2&lt;&gt;0,#REF!&gt;=BX$2),1,0)</f>
        <v>#REF!</v>
      </c>
      <c r="BY124" s="270" t="e">
        <f t="array" ref="BY124">IF(AND(BY$2&lt;&gt;0,#REF!&gt;=BY$2),1,0)</f>
        <v>#REF!</v>
      </c>
      <c r="BZ124" s="270" t="e">
        <f t="array" ref="BZ124">IF(AND(BZ$2&lt;&gt;0,#REF!&gt;=BZ$2),1,0)</f>
        <v>#REF!</v>
      </c>
      <c r="CA124" s="359">
        <f>IFERROR(INDEX($H$4:$H$79,MATCH(INDEX(#REF!,1,MATCH(#REF!,$M$2:$BZ$2,0)),$G$4:$G$79,0)),)</f>
        <v>0</v>
      </c>
    </row>
    <row r="125" spans="1:79" x14ac:dyDescent="0.25">
      <c r="A125" s="262" t="e">
        <f>#REF!</f>
        <v>#REF!</v>
      </c>
      <c r="B125" s="263" t="e">
        <f>#REF!</f>
        <v>#REF!</v>
      </c>
      <c r="C125" s="264" t="e">
        <f>#REF!</f>
        <v>#REF!</v>
      </c>
      <c r="D125" s="264" t="e">
        <f>#REF!</f>
        <v>#REF!</v>
      </c>
      <c r="E125" s="273"/>
      <c r="F125" s="274"/>
      <c r="G125" s="267"/>
      <c r="H125" s="268"/>
      <c r="I125" s="268"/>
      <c r="J125" s="268"/>
      <c r="K125" s="89" t="e">
        <f ca="1">IF(#REF!&lt;&gt;OFFSET(#REF!,-1,0),1,0)</f>
        <v>#REF!</v>
      </c>
      <c r="L125" s="269" t="e">
        <f>COUNTIF(#REF!,1)</f>
        <v>#REF!</v>
      </c>
      <c r="M125" s="270" t="e">
        <f t="array" ref="M125">IF(AND(M$2&lt;&gt;0,#REF!&gt;=M$2),1,0)</f>
        <v>#REF!</v>
      </c>
      <c r="N125" s="270" t="e">
        <f t="array" ref="N125">IF(AND(N$2&lt;&gt;0,#REF!&gt;=N$2),1,0)</f>
        <v>#REF!</v>
      </c>
      <c r="O125" s="270" t="e">
        <f t="array" ref="O125">IF(AND(O$2&lt;&gt;0,#REF!&gt;=O$2),1,0)</f>
        <v>#REF!</v>
      </c>
      <c r="P125" s="270" t="e">
        <f t="array" ref="P125">IF(AND(P$2&lt;&gt;0,#REF!&gt;=P$2),1,0)</f>
        <v>#REF!</v>
      </c>
      <c r="Q125" s="270" t="e">
        <f t="array" ref="Q125">IF(AND(Q$2&lt;&gt;0,#REF!&gt;=Q$2),1,0)</f>
        <v>#REF!</v>
      </c>
      <c r="R125" s="270" t="e">
        <f t="array" ref="R125">IF(AND(R$2&lt;&gt;0,#REF!&gt;=R$2),1,0)</f>
        <v>#REF!</v>
      </c>
      <c r="S125" s="270" t="e">
        <f t="array" ref="S125">IF(AND(S$2&lt;&gt;0,#REF!&gt;=S$2),1,0)</f>
        <v>#REF!</v>
      </c>
      <c r="T125" s="270" t="e">
        <f t="array" ref="T125">IF(AND(T$2&lt;&gt;0,#REF!&gt;=T$2),1,0)</f>
        <v>#REF!</v>
      </c>
      <c r="U125" s="270" t="e">
        <f t="array" ref="U125">IF(AND(U$2&lt;&gt;0,#REF!&gt;=U$2),1,0)</f>
        <v>#REF!</v>
      </c>
      <c r="V125" s="270" t="e">
        <f t="array" ref="V125">IF(AND(V$2&lt;&gt;0,#REF!&gt;=V$2),1,0)</f>
        <v>#REF!</v>
      </c>
      <c r="W125" s="270" t="e">
        <f t="array" ref="W125">IF(AND(W$2&lt;&gt;0,#REF!&gt;=W$2),1,0)</f>
        <v>#REF!</v>
      </c>
      <c r="X125" s="270" t="e">
        <f t="array" ref="X125">IF(AND(X$2&lt;&gt;0,#REF!&gt;=X$2),1,0)</f>
        <v>#REF!</v>
      </c>
      <c r="Y125" s="270" t="e">
        <f t="array" ref="Y125">IF(AND(Y$2&lt;&gt;0,#REF!&gt;=Y$2),1,0)</f>
        <v>#REF!</v>
      </c>
      <c r="Z125" s="270" t="e">
        <f t="array" ref="Z125">IF(AND(Z$2&lt;&gt;0,#REF!&gt;=Z$2),1,0)</f>
        <v>#REF!</v>
      </c>
      <c r="AA125" s="270" t="e">
        <f t="array" ref="AA125">IF(AND(AA$2&lt;&gt;0,#REF!&gt;=AA$2),1,0)</f>
        <v>#REF!</v>
      </c>
      <c r="AB125" s="270" t="e">
        <f t="array" ref="AB125">IF(AND(AB$2&lt;&gt;0,#REF!&gt;=AB$2),1,0)</f>
        <v>#REF!</v>
      </c>
      <c r="AC125" s="270" t="e">
        <f t="array" ref="AC125">IF(AND(AC$2&lt;&gt;0,#REF!&gt;=AC$2),1,0)</f>
        <v>#REF!</v>
      </c>
      <c r="AD125" s="270" t="e">
        <f t="array" ref="AD125">IF(AND(AD$2&lt;&gt;0,#REF!&gt;=AD$2),1,0)</f>
        <v>#REF!</v>
      </c>
      <c r="AE125" s="270" t="e">
        <f t="array" ref="AE125">IF(AND(AE$2&lt;&gt;0,#REF!&gt;=AE$2),1,0)</f>
        <v>#REF!</v>
      </c>
      <c r="AF125" s="270" t="e">
        <f t="array" ref="AF125">IF(AND(AF$2&lt;&gt;0,#REF!&gt;=AF$2),1,0)</f>
        <v>#REF!</v>
      </c>
      <c r="AG125" s="270" t="e">
        <f t="array" ref="AG125">IF(AND(AG$2&lt;&gt;0,#REF!&gt;=AG$2),1,0)</f>
        <v>#REF!</v>
      </c>
      <c r="AH125" s="270" t="e">
        <f t="array" ref="AH125">IF(AND(AH$2&lt;&gt;0,#REF!&gt;=AH$2),1,0)</f>
        <v>#REF!</v>
      </c>
      <c r="AI125" s="270" t="e">
        <f t="array" ref="AI125">IF(AND(AI$2&lt;&gt;0,#REF!&gt;=AI$2),1,0)</f>
        <v>#REF!</v>
      </c>
      <c r="AJ125" s="270" t="e">
        <f t="array" ref="AJ125">IF(AND(AJ$2&lt;&gt;0,#REF!&gt;=AJ$2),1,0)</f>
        <v>#REF!</v>
      </c>
      <c r="AK125" s="270" t="e">
        <f t="array" ref="AK125">IF(AND(AK$2&lt;&gt;0,#REF!&gt;=AK$2),1,0)</f>
        <v>#REF!</v>
      </c>
      <c r="AL125" s="270" t="e">
        <f t="array" ref="AL125">IF(AND(AL$2&lt;&gt;0,#REF!&gt;=AL$2),1,0)</f>
        <v>#REF!</v>
      </c>
      <c r="AM125" s="270" t="e">
        <f t="array" ref="AM125">IF(AND(AM$2&lt;&gt;0,#REF!&gt;=AM$2),1,0)</f>
        <v>#REF!</v>
      </c>
      <c r="AN125" s="270" t="e">
        <f t="array" ref="AN125">IF(AND(AN$2&lt;&gt;0,#REF!&gt;=AN$2),1,0)</f>
        <v>#REF!</v>
      </c>
      <c r="AO125" s="270" t="e">
        <f t="array" ref="AO125">IF(AND(AO$2&lt;&gt;0,#REF!&gt;=AO$2),1,0)</f>
        <v>#REF!</v>
      </c>
      <c r="AP125" s="270" t="e">
        <f t="array" ref="AP125">IF(AND(AP$2&lt;&gt;0,#REF!&gt;=AP$2),1,0)</f>
        <v>#REF!</v>
      </c>
      <c r="AQ125" s="270" t="e">
        <f t="array" ref="AQ125">IF(AND(AQ$2&lt;&gt;0,#REF!&gt;=AQ$2),1,0)</f>
        <v>#REF!</v>
      </c>
      <c r="AR125" s="270" t="e">
        <f t="array" ref="AR125">IF(AND(AR$2&lt;&gt;0,#REF!&gt;=AR$2),1,0)</f>
        <v>#REF!</v>
      </c>
      <c r="AS125" s="270" t="e">
        <f t="array" ref="AS125">IF(AND(AS$2&lt;&gt;0,#REF!&gt;=AS$2),1,0)</f>
        <v>#REF!</v>
      </c>
      <c r="AT125" s="270" t="e">
        <f t="array" ref="AT125">IF(AND(AT$2&lt;&gt;0,#REF!&gt;=AT$2),1,0)</f>
        <v>#REF!</v>
      </c>
      <c r="AU125" s="270" t="e">
        <f t="array" ref="AU125">IF(AND(AU$2&lt;&gt;0,#REF!&gt;=AU$2),1,0)</f>
        <v>#REF!</v>
      </c>
      <c r="AV125" s="270" t="e">
        <f t="array" ref="AV125">IF(AND(AV$2&lt;&gt;0,#REF!&gt;=AV$2),1,0)</f>
        <v>#REF!</v>
      </c>
      <c r="AW125" s="270" t="e">
        <f t="array" ref="AW125">IF(AND(AW$2&lt;&gt;0,#REF!&gt;=AW$2),1,0)</f>
        <v>#REF!</v>
      </c>
      <c r="AX125" s="270" t="e">
        <f t="array" ref="AX125">IF(AND(AX$2&lt;&gt;0,#REF!&gt;=AX$2),1,0)</f>
        <v>#REF!</v>
      </c>
      <c r="AY125" s="270" t="e">
        <f t="array" ref="AY125">IF(AND(AY$2&lt;&gt;0,#REF!&gt;=AY$2),1,0)</f>
        <v>#REF!</v>
      </c>
      <c r="AZ125" s="270" t="e">
        <f t="array" ref="AZ125">IF(AND(AZ$2&lt;&gt;0,#REF!&gt;=AZ$2),1,0)</f>
        <v>#REF!</v>
      </c>
      <c r="BA125" s="270" t="e">
        <f t="array" ref="BA125">IF(AND(BA$2&lt;&gt;0,#REF!&gt;=BA$2),1,0)</f>
        <v>#REF!</v>
      </c>
      <c r="BB125" s="270" t="e">
        <f t="array" ref="BB125">IF(AND(BB$2&lt;&gt;0,#REF!&gt;=BB$2),1,0)</f>
        <v>#REF!</v>
      </c>
      <c r="BC125" s="270" t="e">
        <f t="array" ref="BC125">IF(AND(BC$2&lt;&gt;0,#REF!&gt;=BC$2),1,0)</f>
        <v>#REF!</v>
      </c>
      <c r="BD125" s="270" t="e">
        <f t="array" ref="BD125">IF(AND(BD$2&lt;&gt;0,#REF!&gt;=BD$2),1,0)</f>
        <v>#REF!</v>
      </c>
      <c r="BE125" s="270" t="e">
        <f t="array" ref="BE125">IF(AND(BE$2&lt;&gt;0,#REF!&gt;=BE$2),1,0)</f>
        <v>#REF!</v>
      </c>
      <c r="BF125" s="270" t="e">
        <f t="array" ref="BF125">IF(AND(BF$2&lt;&gt;0,#REF!&gt;=BF$2),1,0)</f>
        <v>#REF!</v>
      </c>
      <c r="BG125" s="270" t="e">
        <f t="array" ref="BG125">IF(AND(BG$2&lt;&gt;0,#REF!&gt;=BG$2),1,0)</f>
        <v>#REF!</v>
      </c>
      <c r="BH125" s="270" t="e">
        <f t="array" ref="BH125">IF(AND(BH$2&lt;&gt;0,#REF!&gt;=BH$2),1,0)</f>
        <v>#REF!</v>
      </c>
      <c r="BI125" s="270" t="e">
        <f t="array" ref="BI125">IF(AND(BI$2&lt;&gt;0,#REF!&gt;=BI$2),1,0)</f>
        <v>#REF!</v>
      </c>
      <c r="BJ125" s="270" t="e">
        <f t="array" ref="BJ125">IF(AND(BJ$2&lt;&gt;0,#REF!&gt;=BJ$2),1,0)</f>
        <v>#REF!</v>
      </c>
      <c r="BK125" s="270" t="e">
        <f t="array" ref="BK125">IF(AND(BK$2&lt;&gt;0,#REF!&gt;=BK$2),1,0)</f>
        <v>#REF!</v>
      </c>
      <c r="BL125" s="270" t="e">
        <f t="array" ref="BL125">IF(AND(BL$2&lt;&gt;0,#REF!&gt;=BL$2),1,0)</f>
        <v>#REF!</v>
      </c>
      <c r="BM125" s="270" t="e">
        <f t="array" ref="BM125">IF(AND(BM$2&lt;&gt;0,#REF!&gt;=BM$2),1,0)</f>
        <v>#REF!</v>
      </c>
      <c r="BN125" s="270" t="e">
        <f t="array" ref="BN125">IF(AND(BN$2&lt;&gt;0,#REF!&gt;=BN$2),1,0)</f>
        <v>#REF!</v>
      </c>
      <c r="BO125" s="270" t="e">
        <f t="array" ref="BO125">IF(AND(BO$2&lt;&gt;0,#REF!&gt;=BO$2),1,0)</f>
        <v>#REF!</v>
      </c>
      <c r="BP125" s="270" t="e">
        <f t="array" ref="BP125">IF(AND(BP$2&lt;&gt;0,#REF!&gt;=BP$2),1,0)</f>
        <v>#REF!</v>
      </c>
      <c r="BQ125" s="270" t="e">
        <f t="array" ref="BQ125">IF(AND(BQ$2&lt;&gt;0,#REF!&gt;=BQ$2),1,0)</f>
        <v>#REF!</v>
      </c>
      <c r="BR125" s="270" t="e">
        <f t="array" ref="BR125">IF(AND(BR$2&lt;&gt;0,#REF!&gt;=BR$2),1,0)</f>
        <v>#REF!</v>
      </c>
      <c r="BS125" s="270" t="e">
        <f t="array" ref="BS125">IF(AND(BS$2&lt;&gt;0,#REF!&gt;=BS$2),1,0)</f>
        <v>#REF!</v>
      </c>
      <c r="BT125" s="270" t="e">
        <f t="array" ref="BT125">IF(AND(BT$2&lt;&gt;0,#REF!&gt;=BT$2),1,0)</f>
        <v>#REF!</v>
      </c>
      <c r="BU125" s="270" t="e">
        <f t="array" ref="BU125">IF(AND(BU$2&lt;&gt;0,#REF!&gt;=BU$2),1,0)</f>
        <v>#REF!</v>
      </c>
      <c r="BV125" s="270" t="e">
        <f t="array" ref="BV125">IF(AND(BV$2&lt;&gt;0,#REF!&gt;=BV$2),1,0)</f>
        <v>#REF!</v>
      </c>
      <c r="BW125" s="270" t="e">
        <f t="array" ref="BW125">IF(AND(BW$2&lt;&gt;0,#REF!&gt;=BW$2),1,0)</f>
        <v>#REF!</v>
      </c>
      <c r="BX125" s="270" t="e">
        <f t="array" ref="BX125">IF(AND(BX$2&lt;&gt;0,#REF!&gt;=BX$2),1,0)</f>
        <v>#REF!</v>
      </c>
      <c r="BY125" s="270" t="e">
        <f t="array" ref="BY125">IF(AND(BY$2&lt;&gt;0,#REF!&gt;=BY$2),1,0)</f>
        <v>#REF!</v>
      </c>
      <c r="BZ125" s="270" t="e">
        <f t="array" ref="BZ125">IF(AND(BZ$2&lt;&gt;0,#REF!&gt;=BZ$2),1,0)</f>
        <v>#REF!</v>
      </c>
      <c r="CA125" s="359">
        <f>IFERROR(INDEX($H$4:$H$79,MATCH(INDEX(#REF!,1,MATCH(#REF!,$M$2:$BZ$2,0)),$G$4:$G$79,0)),)</f>
        <v>0</v>
      </c>
    </row>
    <row r="126" spans="1:79" x14ac:dyDescent="0.25">
      <c r="A126" s="262" t="e">
        <f>#REF!</f>
        <v>#REF!</v>
      </c>
      <c r="B126" s="263" t="e">
        <f>#REF!</f>
        <v>#REF!</v>
      </c>
      <c r="C126" s="264" t="e">
        <f>#REF!</f>
        <v>#REF!</v>
      </c>
      <c r="D126" s="264" t="e">
        <f>#REF!</f>
        <v>#REF!</v>
      </c>
      <c r="E126" s="273"/>
      <c r="F126" s="274"/>
      <c r="G126" s="267"/>
      <c r="H126" s="268"/>
      <c r="I126" s="268"/>
      <c r="J126" s="268"/>
      <c r="K126" s="89" t="e">
        <f ca="1">IF(#REF!&lt;&gt;OFFSET(#REF!,-1,0),1,0)</f>
        <v>#REF!</v>
      </c>
      <c r="L126" s="269" t="e">
        <f>COUNTIF(#REF!,1)</f>
        <v>#REF!</v>
      </c>
      <c r="M126" s="270" t="e">
        <f t="array" ref="M126">IF(AND(M$2&lt;&gt;0,#REF!&gt;=M$2),1,0)</f>
        <v>#REF!</v>
      </c>
      <c r="N126" s="270" t="e">
        <f t="array" ref="N126">IF(AND(N$2&lt;&gt;0,#REF!&gt;=N$2),1,0)</f>
        <v>#REF!</v>
      </c>
      <c r="O126" s="270" t="e">
        <f t="array" ref="O126">IF(AND(O$2&lt;&gt;0,#REF!&gt;=O$2),1,0)</f>
        <v>#REF!</v>
      </c>
      <c r="P126" s="270" t="e">
        <f t="array" ref="P126">IF(AND(P$2&lt;&gt;0,#REF!&gt;=P$2),1,0)</f>
        <v>#REF!</v>
      </c>
      <c r="Q126" s="270" t="e">
        <f t="array" ref="Q126">IF(AND(Q$2&lt;&gt;0,#REF!&gt;=Q$2),1,0)</f>
        <v>#REF!</v>
      </c>
      <c r="R126" s="270" t="e">
        <f t="array" ref="R126">IF(AND(R$2&lt;&gt;0,#REF!&gt;=R$2),1,0)</f>
        <v>#REF!</v>
      </c>
      <c r="S126" s="270" t="e">
        <f t="array" ref="S126">IF(AND(S$2&lt;&gt;0,#REF!&gt;=S$2),1,0)</f>
        <v>#REF!</v>
      </c>
      <c r="T126" s="270" t="e">
        <f t="array" ref="T126">IF(AND(T$2&lt;&gt;0,#REF!&gt;=T$2),1,0)</f>
        <v>#REF!</v>
      </c>
      <c r="U126" s="270" t="e">
        <f t="array" ref="U126">IF(AND(U$2&lt;&gt;0,#REF!&gt;=U$2),1,0)</f>
        <v>#REF!</v>
      </c>
      <c r="V126" s="270" t="e">
        <f t="array" ref="V126">IF(AND(V$2&lt;&gt;0,#REF!&gt;=V$2),1,0)</f>
        <v>#REF!</v>
      </c>
      <c r="W126" s="270" t="e">
        <f t="array" ref="W126">IF(AND(W$2&lt;&gt;0,#REF!&gt;=W$2),1,0)</f>
        <v>#REF!</v>
      </c>
      <c r="X126" s="270" t="e">
        <f t="array" ref="X126">IF(AND(X$2&lt;&gt;0,#REF!&gt;=X$2),1,0)</f>
        <v>#REF!</v>
      </c>
      <c r="Y126" s="270" t="e">
        <f t="array" ref="Y126">IF(AND(Y$2&lt;&gt;0,#REF!&gt;=Y$2),1,0)</f>
        <v>#REF!</v>
      </c>
      <c r="Z126" s="270" t="e">
        <f t="array" ref="Z126">IF(AND(Z$2&lt;&gt;0,#REF!&gt;=Z$2),1,0)</f>
        <v>#REF!</v>
      </c>
      <c r="AA126" s="270" t="e">
        <f t="array" ref="AA126">IF(AND(AA$2&lt;&gt;0,#REF!&gt;=AA$2),1,0)</f>
        <v>#REF!</v>
      </c>
      <c r="AB126" s="270" t="e">
        <f t="array" ref="AB126">IF(AND(AB$2&lt;&gt;0,#REF!&gt;=AB$2),1,0)</f>
        <v>#REF!</v>
      </c>
      <c r="AC126" s="270" t="e">
        <f t="array" ref="AC126">IF(AND(AC$2&lt;&gt;0,#REF!&gt;=AC$2),1,0)</f>
        <v>#REF!</v>
      </c>
      <c r="AD126" s="270" t="e">
        <f t="array" ref="AD126">IF(AND(AD$2&lt;&gt;0,#REF!&gt;=AD$2),1,0)</f>
        <v>#REF!</v>
      </c>
      <c r="AE126" s="270" t="e">
        <f t="array" ref="AE126">IF(AND(AE$2&lt;&gt;0,#REF!&gt;=AE$2),1,0)</f>
        <v>#REF!</v>
      </c>
      <c r="AF126" s="270" t="e">
        <f t="array" ref="AF126">IF(AND(AF$2&lt;&gt;0,#REF!&gt;=AF$2),1,0)</f>
        <v>#REF!</v>
      </c>
      <c r="AG126" s="270" t="e">
        <f t="array" ref="AG126">IF(AND(AG$2&lt;&gt;0,#REF!&gt;=AG$2),1,0)</f>
        <v>#REF!</v>
      </c>
      <c r="AH126" s="270" t="e">
        <f t="array" ref="AH126">IF(AND(AH$2&lt;&gt;0,#REF!&gt;=AH$2),1,0)</f>
        <v>#REF!</v>
      </c>
      <c r="AI126" s="270" t="e">
        <f t="array" ref="AI126">IF(AND(AI$2&lt;&gt;0,#REF!&gt;=AI$2),1,0)</f>
        <v>#REF!</v>
      </c>
      <c r="AJ126" s="270" t="e">
        <f t="array" ref="AJ126">IF(AND(AJ$2&lt;&gt;0,#REF!&gt;=AJ$2),1,0)</f>
        <v>#REF!</v>
      </c>
      <c r="AK126" s="270" t="e">
        <f t="array" ref="AK126">IF(AND(AK$2&lt;&gt;0,#REF!&gt;=AK$2),1,0)</f>
        <v>#REF!</v>
      </c>
      <c r="AL126" s="270" t="e">
        <f t="array" ref="AL126">IF(AND(AL$2&lt;&gt;0,#REF!&gt;=AL$2),1,0)</f>
        <v>#REF!</v>
      </c>
      <c r="AM126" s="270" t="e">
        <f t="array" ref="AM126">IF(AND(AM$2&lt;&gt;0,#REF!&gt;=AM$2),1,0)</f>
        <v>#REF!</v>
      </c>
      <c r="AN126" s="270" t="e">
        <f t="array" ref="AN126">IF(AND(AN$2&lt;&gt;0,#REF!&gt;=AN$2),1,0)</f>
        <v>#REF!</v>
      </c>
      <c r="AO126" s="270" t="e">
        <f t="array" ref="AO126">IF(AND(AO$2&lt;&gt;0,#REF!&gt;=AO$2),1,0)</f>
        <v>#REF!</v>
      </c>
      <c r="AP126" s="270" t="e">
        <f t="array" ref="AP126">IF(AND(AP$2&lt;&gt;0,#REF!&gt;=AP$2),1,0)</f>
        <v>#REF!</v>
      </c>
      <c r="AQ126" s="270" t="e">
        <f t="array" ref="AQ126">IF(AND(AQ$2&lt;&gt;0,#REF!&gt;=AQ$2),1,0)</f>
        <v>#REF!</v>
      </c>
      <c r="AR126" s="270" t="e">
        <f t="array" ref="AR126">IF(AND(AR$2&lt;&gt;0,#REF!&gt;=AR$2),1,0)</f>
        <v>#REF!</v>
      </c>
      <c r="AS126" s="270" t="e">
        <f t="array" ref="AS126">IF(AND(AS$2&lt;&gt;0,#REF!&gt;=AS$2),1,0)</f>
        <v>#REF!</v>
      </c>
      <c r="AT126" s="270" t="e">
        <f t="array" ref="AT126">IF(AND(AT$2&lt;&gt;0,#REF!&gt;=AT$2),1,0)</f>
        <v>#REF!</v>
      </c>
      <c r="AU126" s="270" t="e">
        <f t="array" ref="AU126">IF(AND(AU$2&lt;&gt;0,#REF!&gt;=AU$2),1,0)</f>
        <v>#REF!</v>
      </c>
      <c r="AV126" s="270" t="e">
        <f t="array" ref="AV126">IF(AND(AV$2&lt;&gt;0,#REF!&gt;=AV$2),1,0)</f>
        <v>#REF!</v>
      </c>
      <c r="AW126" s="270" t="e">
        <f t="array" ref="AW126">IF(AND(AW$2&lt;&gt;0,#REF!&gt;=AW$2),1,0)</f>
        <v>#REF!</v>
      </c>
      <c r="AX126" s="270" t="e">
        <f t="array" ref="AX126">IF(AND(AX$2&lt;&gt;0,#REF!&gt;=AX$2),1,0)</f>
        <v>#REF!</v>
      </c>
      <c r="AY126" s="270" t="e">
        <f t="array" ref="AY126">IF(AND(AY$2&lt;&gt;0,#REF!&gt;=AY$2),1,0)</f>
        <v>#REF!</v>
      </c>
      <c r="AZ126" s="270" t="e">
        <f t="array" ref="AZ126">IF(AND(AZ$2&lt;&gt;0,#REF!&gt;=AZ$2),1,0)</f>
        <v>#REF!</v>
      </c>
      <c r="BA126" s="270" t="e">
        <f t="array" ref="BA126">IF(AND(BA$2&lt;&gt;0,#REF!&gt;=BA$2),1,0)</f>
        <v>#REF!</v>
      </c>
      <c r="BB126" s="270" t="e">
        <f t="array" ref="BB126">IF(AND(BB$2&lt;&gt;0,#REF!&gt;=BB$2),1,0)</f>
        <v>#REF!</v>
      </c>
      <c r="BC126" s="270" t="e">
        <f t="array" ref="BC126">IF(AND(BC$2&lt;&gt;0,#REF!&gt;=BC$2),1,0)</f>
        <v>#REF!</v>
      </c>
      <c r="BD126" s="270" t="e">
        <f t="array" ref="BD126">IF(AND(BD$2&lt;&gt;0,#REF!&gt;=BD$2),1,0)</f>
        <v>#REF!</v>
      </c>
      <c r="BE126" s="270" t="e">
        <f t="array" ref="BE126">IF(AND(BE$2&lt;&gt;0,#REF!&gt;=BE$2),1,0)</f>
        <v>#REF!</v>
      </c>
      <c r="BF126" s="270" t="e">
        <f t="array" ref="BF126">IF(AND(BF$2&lt;&gt;0,#REF!&gt;=BF$2),1,0)</f>
        <v>#REF!</v>
      </c>
      <c r="BG126" s="270" t="e">
        <f t="array" ref="BG126">IF(AND(BG$2&lt;&gt;0,#REF!&gt;=BG$2),1,0)</f>
        <v>#REF!</v>
      </c>
      <c r="BH126" s="270" t="e">
        <f t="array" ref="BH126">IF(AND(BH$2&lt;&gt;0,#REF!&gt;=BH$2),1,0)</f>
        <v>#REF!</v>
      </c>
      <c r="BI126" s="270" t="e">
        <f t="array" ref="BI126">IF(AND(BI$2&lt;&gt;0,#REF!&gt;=BI$2),1,0)</f>
        <v>#REF!</v>
      </c>
      <c r="BJ126" s="270" t="e">
        <f t="array" ref="BJ126">IF(AND(BJ$2&lt;&gt;0,#REF!&gt;=BJ$2),1,0)</f>
        <v>#REF!</v>
      </c>
      <c r="BK126" s="270" t="e">
        <f t="array" ref="BK126">IF(AND(BK$2&lt;&gt;0,#REF!&gt;=BK$2),1,0)</f>
        <v>#REF!</v>
      </c>
      <c r="BL126" s="270" t="e">
        <f t="array" ref="BL126">IF(AND(BL$2&lt;&gt;0,#REF!&gt;=BL$2),1,0)</f>
        <v>#REF!</v>
      </c>
      <c r="BM126" s="270" t="e">
        <f t="array" ref="BM126">IF(AND(BM$2&lt;&gt;0,#REF!&gt;=BM$2),1,0)</f>
        <v>#REF!</v>
      </c>
      <c r="BN126" s="270" t="e">
        <f t="array" ref="BN126">IF(AND(BN$2&lt;&gt;0,#REF!&gt;=BN$2),1,0)</f>
        <v>#REF!</v>
      </c>
      <c r="BO126" s="270" t="e">
        <f t="array" ref="BO126">IF(AND(BO$2&lt;&gt;0,#REF!&gt;=BO$2),1,0)</f>
        <v>#REF!</v>
      </c>
      <c r="BP126" s="270" t="e">
        <f t="array" ref="BP126">IF(AND(BP$2&lt;&gt;0,#REF!&gt;=BP$2),1,0)</f>
        <v>#REF!</v>
      </c>
      <c r="BQ126" s="270" t="e">
        <f t="array" ref="BQ126">IF(AND(BQ$2&lt;&gt;0,#REF!&gt;=BQ$2),1,0)</f>
        <v>#REF!</v>
      </c>
      <c r="BR126" s="270" t="e">
        <f t="array" ref="BR126">IF(AND(BR$2&lt;&gt;0,#REF!&gt;=BR$2),1,0)</f>
        <v>#REF!</v>
      </c>
      <c r="BS126" s="270" t="e">
        <f t="array" ref="BS126">IF(AND(BS$2&lt;&gt;0,#REF!&gt;=BS$2),1,0)</f>
        <v>#REF!</v>
      </c>
      <c r="BT126" s="270" t="e">
        <f t="array" ref="BT126">IF(AND(BT$2&lt;&gt;0,#REF!&gt;=BT$2),1,0)</f>
        <v>#REF!</v>
      </c>
      <c r="BU126" s="270" t="e">
        <f t="array" ref="BU126">IF(AND(BU$2&lt;&gt;0,#REF!&gt;=BU$2),1,0)</f>
        <v>#REF!</v>
      </c>
      <c r="BV126" s="270" t="e">
        <f t="array" ref="BV126">IF(AND(BV$2&lt;&gt;0,#REF!&gt;=BV$2),1,0)</f>
        <v>#REF!</v>
      </c>
      <c r="BW126" s="270" t="e">
        <f t="array" ref="BW126">IF(AND(BW$2&lt;&gt;0,#REF!&gt;=BW$2),1,0)</f>
        <v>#REF!</v>
      </c>
      <c r="BX126" s="270" t="e">
        <f t="array" ref="BX126">IF(AND(BX$2&lt;&gt;0,#REF!&gt;=BX$2),1,0)</f>
        <v>#REF!</v>
      </c>
      <c r="BY126" s="270" t="e">
        <f t="array" ref="BY126">IF(AND(BY$2&lt;&gt;0,#REF!&gt;=BY$2),1,0)</f>
        <v>#REF!</v>
      </c>
      <c r="BZ126" s="270" t="e">
        <f t="array" ref="BZ126">IF(AND(BZ$2&lt;&gt;0,#REF!&gt;=BZ$2),1,0)</f>
        <v>#REF!</v>
      </c>
      <c r="CA126" s="359">
        <f>IFERROR(INDEX($H$4:$H$79,MATCH(INDEX(#REF!,1,MATCH(#REF!,$M$2:$BZ$2,0)),$G$4:$G$79,0)),)</f>
        <v>0</v>
      </c>
    </row>
    <row r="127" spans="1:79" x14ac:dyDescent="0.25">
      <c r="A127" s="262" t="e">
        <f>#REF!</f>
        <v>#REF!</v>
      </c>
      <c r="B127" s="263" t="e">
        <f>#REF!</f>
        <v>#REF!</v>
      </c>
      <c r="C127" s="264" t="e">
        <f>#REF!</f>
        <v>#REF!</v>
      </c>
      <c r="D127" s="264" t="e">
        <f>#REF!</f>
        <v>#REF!</v>
      </c>
      <c r="E127" s="273"/>
      <c r="F127" s="274"/>
      <c r="G127" s="267"/>
      <c r="H127" s="268"/>
      <c r="I127" s="268"/>
      <c r="J127" s="268"/>
      <c r="K127" s="89" t="e">
        <f ca="1">IF(#REF!&lt;&gt;OFFSET(#REF!,-1,0),1,0)</f>
        <v>#REF!</v>
      </c>
      <c r="L127" s="269" t="e">
        <f>COUNTIF(#REF!,1)</f>
        <v>#REF!</v>
      </c>
      <c r="M127" s="270" t="e">
        <f t="array" ref="M127">IF(AND(M$2&lt;&gt;0,#REF!&gt;=M$2),1,0)</f>
        <v>#REF!</v>
      </c>
      <c r="N127" s="270" t="e">
        <f t="array" ref="N127">IF(AND(N$2&lt;&gt;0,#REF!&gt;=N$2),1,0)</f>
        <v>#REF!</v>
      </c>
      <c r="O127" s="270" t="e">
        <f t="array" ref="O127">IF(AND(O$2&lt;&gt;0,#REF!&gt;=O$2),1,0)</f>
        <v>#REF!</v>
      </c>
      <c r="P127" s="270" t="e">
        <f t="array" ref="P127">IF(AND(P$2&lt;&gt;0,#REF!&gt;=P$2),1,0)</f>
        <v>#REF!</v>
      </c>
      <c r="Q127" s="270" t="e">
        <f t="array" ref="Q127">IF(AND(Q$2&lt;&gt;0,#REF!&gt;=Q$2),1,0)</f>
        <v>#REF!</v>
      </c>
      <c r="R127" s="270" t="e">
        <f t="array" ref="R127">IF(AND(R$2&lt;&gt;0,#REF!&gt;=R$2),1,0)</f>
        <v>#REF!</v>
      </c>
      <c r="S127" s="270" t="e">
        <f t="array" ref="S127">IF(AND(S$2&lt;&gt;0,#REF!&gt;=S$2),1,0)</f>
        <v>#REF!</v>
      </c>
      <c r="T127" s="270" t="e">
        <f t="array" ref="T127">IF(AND(T$2&lt;&gt;0,#REF!&gt;=T$2),1,0)</f>
        <v>#REF!</v>
      </c>
      <c r="U127" s="270" t="e">
        <f t="array" ref="U127">IF(AND(U$2&lt;&gt;0,#REF!&gt;=U$2),1,0)</f>
        <v>#REF!</v>
      </c>
      <c r="V127" s="270" t="e">
        <f t="array" ref="V127">IF(AND(V$2&lt;&gt;0,#REF!&gt;=V$2),1,0)</f>
        <v>#REF!</v>
      </c>
      <c r="W127" s="270" t="e">
        <f t="array" ref="W127">IF(AND(W$2&lt;&gt;0,#REF!&gt;=W$2),1,0)</f>
        <v>#REF!</v>
      </c>
      <c r="X127" s="270" t="e">
        <f t="array" ref="X127">IF(AND(X$2&lt;&gt;0,#REF!&gt;=X$2),1,0)</f>
        <v>#REF!</v>
      </c>
      <c r="Y127" s="270" t="e">
        <f t="array" ref="Y127">IF(AND(Y$2&lt;&gt;0,#REF!&gt;=Y$2),1,0)</f>
        <v>#REF!</v>
      </c>
      <c r="Z127" s="270" t="e">
        <f t="array" ref="Z127">IF(AND(Z$2&lt;&gt;0,#REF!&gt;=Z$2),1,0)</f>
        <v>#REF!</v>
      </c>
      <c r="AA127" s="270" t="e">
        <f t="array" ref="AA127">IF(AND(AA$2&lt;&gt;0,#REF!&gt;=AA$2),1,0)</f>
        <v>#REF!</v>
      </c>
      <c r="AB127" s="270" t="e">
        <f t="array" ref="AB127">IF(AND(AB$2&lt;&gt;0,#REF!&gt;=AB$2),1,0)</f>
        <v>#REF!</v>
      </c>
      <c r="AC127" s="270" t="e">
        <f t="array" ref="AC127">IF(AND(AC$2&lt;&gt;0,#REF!&gt;=AC$2),1,0)</f>
        <v>#REF!</v>
      </c>
      <c r="AD127" s="270" t="e">
        <f t="array" ref="AD127">IF(AND(AD$2&lt;&gt;0,#REF!&gt;=AD$2),1,0)</f>
        <v>#REF!</v>
      </c>
      <c r="AE127" s="270" t="e">
        <f t="array" ref="AE127">IF(AND(AE$2&lt;&gt;0,#REF!&gt;=AE$2),1,0)</f>
        <v>#REF!</v>
      </c>
      <c r="AF127" s="270" t="e">
        <f t="array" ref="AF127">IF(AND(AF$2&lt;&gt;0,#REF!&gt;=AF$2),1,0)</f>
        <v>#REF!</v>
      </c>
      <c r="AG127" s="270" t="e">
        <f t="array" ref="AG127">IF(AND(AG$2&lt;&gt;0,#REF!&gt;=AG$2),1,0)</f>
        <v>#REF!</v>
      </c>
      <c r="AH127" s="270" t="e">
        <f t="array" ref="AH127">IF(AND(AH$2&lt;&gt;0,#REF!&gt;=AH$2),1,0)</f>
        <v>#REF!</v>
      </c>
      <c r="AI127" s="270" t="e">
        <f t="array" ref="AI127">IF(AND(AI$2&lt;&gt;0,#REF!&gt;=AI$2),1,0)</f>
        <v>#REF!</v>
      </c>
      <c r="AJ127" s="270" t="e">
        <f t="array" ref="AJ127">IF(AND(AJ$2&lt;&gt;0,#REF!&gt;=AJ$2),1,0)</f>
        <v>#REF!</v>
      </c>
      <c r="AK127" s="270" t="e">
        <f t="array" ref="AK127">IF(AND(AK$2&lt;&gt;0,#REF!&gt;=AK$2),1,0)</f>
        <v>#REF!</v>
      </c>
      <c r="AL127" s="270" t="e">
        <f t="array" ref="AL127">IF(AND(AL$2&lt;&gt;0,#REF!&gt;=AL$2),1,0)</f>
        <v>#REF!</v>
      </c>
      <c r="AM127" s="270" t="e">
        <f t="array" ref="AM127">IF(AND(AM$2&lt;&gt;0,#REF!&gt;=AM$2),1,0)</f>
        <v>#REF!</v>
      </c>
      <c r="AN127" s="270" t="e">
        <f t="array" ref="AN127">IF(AND(AN$2&lt;&gt;0,#REF!&gt;=AN$2),1,0)</f>
        <v>#REF!</v>
      </c>
      <c r="AO127" s="270" t="e">
        <f t="array" ref="AO127">IF(AND(AO$2&lt;&gt;0,#REF!&gt;=AO$2),1,0)</f>
        <v>#REF!</v>
      </c>
      <c r="AP127" s="270" t="e">
        <f t="array" ref="AP127">IF(AND(AP$2&lt;&gt;0,#REF!&gt;=AP$2),1,0)</f>
        <v>#REF!</v>
      </c>
      <c r="AQ127" s="270" t="e">
        <f t="array" ref="AQ127">IF(AND(AQ$2&lt;&gt;0,#REF!&gt;=AQ$2),1,0)</f>
        <v>#REF!</v>
      </c>
      <c r="AR127" s="270" t="e">
        <f t="array" ref="AR127">IF(AND(AR$2&lt;&gt;0,#REF!&gt;=AR$2),1,0)</f>
        <v>#REF!</v>
      </c>
      <c r="AS127" s="270" t="e">
        <f t="array" ref="AS127">IF(AND(AS$2&lt;&gt;0,#REF!&gt;=AS$2),1,0)</f>
        <v>#REF!</v>
      </c>
      <c r="AT127" s="270" t="e">
        <f t="array" ref="AT127">IF(AND(AT$2&lt;&gt;0,#REF!&gt;=AT$2),1,0)</f>
        <v>#REF!</v>
      </c>
      <c r="AU127" s="270" t="e">
        <f t="array" ref="AU127">IF(AND(AU$2&lt;&gt;0,#REF!&gt;=AU$2),1,0)</f>
        <v>#REF!</v>
      </c>
      <c r="AV127" s="270" t="e">
        <f t="array" ref="AV127">IF(AND(AV$2&lt;&gt;0,#REF!&gt;=AV$2),1,0)</f>
        <v>#REF!</v>
      </c>
      <c r="AW127" s="270" t="e">
        <f t="array" ref="AW127">IF(AND(AW$2&lt;&gt;0,#REF!&gt;=AW$2),1,0)</f>
        <v>#REF!</v>
      </c>
      <c r="AX127" s="270" t="e">
        <f t="array" ref="AX127">IF(AND(AX$2&lt;&gt;0,#REF!&gt;=AX$2),1,0)</f>
        <v>#REF!</v>
      </c>
      <c r="AY127" s="270" t="e">
        <f t="array" ref="AY127">IF(AND(AY$2&lt;&gt;0,#REF!&gt;=AY$2),1,0)</f>
        <v>#REF!</v>
      </c>
      <c r="AZ127" s="270" t="e">
        <f t="array" ref="AZ127">IF(AND(AZ$2&lt;&gt;0,#REF!&gt;=AZ$2),1,0)</f>
        <v>#REF!</v>
      </c>
      <c r="BA127" s="270" t="e">
        <f t="array" ref="BA127">IF(AND(BA$2&lt;&gt;0,#REF!&gt;=BA$2),1,0)</f>
        <v>#REF!</v>
      </c>
      <c r="BB127" s="270" t="e">
        <f t="array" ref="BB127">IF(AND(BB$2&lt;&gt;0,#REF!&gt;=BB$2),1,0)</f>
        <v>#REF!</v>
      </c>
      <c r="BC127" s="270" t="e">
        <f t="array" ref="BC127">IF(AND(BC$2&lt;&gt;0,#REF!&gt;=BC$2),1,0)</f>
        <v>#REF!</v>
      </c>
      <c r="BD127" s="270" t="e">
        <f t="array" ref="BD127">IF(AND(BD$2&lt;&gt;0,#REF!&gt;=BD$2),1,0)</f>
        <v>#REF!</v>
      </c>
      <c r="BE127" s="270" t="e">
        <f t="array" ref="BE127">IF(AND(BE$2&lt;&gt;0,#REF!&gt;=BE$2),1,0)</f>
        <v>#REF!</v>
      </c>
      <c r="BF127" s="270" t="e">
        <f t="array" ref="BF127">IF(AND(BF$2&lt;&gt;0,#REF!&gt;=BF$2),1,0)</f>
        <v>#REF!</v>
      </c>
      <c r="BG127" s="270" t="e">
        <f t="array" ref="BG127">IF(AND(BG$2&lt;&gt;0,#REF!&gt;=BG$2),1,0)</f>
        <v>#REF!</v>
      </c>
      <c r="BH127" s="270" t="e">
        <f t="array" ref="BH127">IF(AND(BH$2&lt;&gt;0,#REF!&gt;=BH$2),1,0)</f>
        <v>#REF!</v>
      </c>
      <c r="BI127" s="270" t="e">
        <f t="array" ref="BI127">IF(AND(BI$2&lt;&gt;0,#REF!&gt;=BI$2),1,0)</f>
        <v>#REF!</v>
      </c>
      <c r="BJ127" s="270" t="e">
        <f t="array" ref="BJ127">IF(AND(BJ$2&lt;&gt;0,#REF!&gt;=BJ$2),1,0)</f>
        <v>#REF!</v>
      </c>
      <c r="BK127" s="270" t="e">
        <f t="array" ref="BK127">IF(AND(BK$2&lt;&gt;0,#REF!&gt;=BK$2),1,0)</f>
        <v>#REF!</v>
      </c>
      <c r="BL127" s="270" t="e">
        <f t="array" ref="BL127">IF(AND(BL$2&lt;&gt;0,#REF!&gt;=BL$2),1,0)</f>
        <v>#REF!</v>
      </c>
      <c r="BM127" s="270" t="e">
        <f t="array" ref="BM127">IF(AND(BM$2&lt;&gt;0,#REF!&gt;=BM$2),1,0)</f>
        <v>#REF!</v>
      </c>
      <c r="BN127" s="270" t="e">
        <f t="array" ref="BN127">IF(AND(BN$2&lt;&gt;0,#REF!&gt;=BN$2),1,0)</f>
        <v>#REF!</v>
      </c>
      <c r="BO127" s="270" t="e">
        <f t="array" ref="BO127">IF(AND(BO$2&lt;&gt;0,#REF!&gt;=BO$2),1,0)</f>
        <v>#REF!</v>
      </c>
      <c r="BP127" s="270" t="e">
        <f t="array" ref="BP127">IF(AND(BP$2&lt;&gt;0,#REF!&gt;=BP$2),1,0)</f>
        <v>#REF!</v>
      </c>
      <c r="BQ127" s="270" t="e">
        <f t="array" ref="BQ127">IF(AND(BQ$2&lt;&gt;0,#REF!&gt;=BQ$2),1,0)</f>
        <v>#REF!</v>
      </c>
      <c r="BR127" s="270" t="e">
        <f t="array" ref="BR127">IF(AND(BR$2&lt;&gt;0,#REF!&gt;=BR$2),1,0)</f>
        <v>#REF!</v>
      </c>
      <c r="BS127" s="270" t="e">
        <f t="array" ref="BS127">IF(AND(BS$2&lt;&gt;0,#REF!&gt;=BS$2),1,0)</f>
        <v>#REF!</v>
      </c>
      <c r="BT127" s="270" t="e">
        <f t="array" ref="BT127">IF(AND(BT$2&lt;&gt;0,#REF!&gt;=BT$2),1,0)</f>
        <v>#REF!</v>
      </c>
      <c r="BU127" s="270" t="e">
        <f t="array" ref="BU127">IF(AND(BU$2&lt;&gt;0,#REF!&gt;=BU$2),1,0)</f>
        <v>#REF!</v>
      </c>
      <c r="BV127" s="270" t="e">
        <f t="array" ref="BV127">IF(AND(BV$2&lt;&gt;0,#REF!&gt;=BV$2),1,0)</f>
        <v>#REF!</v>
      </c>
      <c r="BW127" s="270" t="e">
        <f t="array" ref="BW127">IF(AND(BW$2&lt;&gt;0,#REF!&gt;=BW$2),1,0)</f>
        <v>#REF!</v>
      </c>
      <c r="BX127" s="270" t="e">
        <f t="array" ref="BX127">IF(AND(BX$2&lt;&gt;0,#REF!&gt;=BX$2),1,0)</f>
        <v>#REF!</v>
      </c>
      <c r="BY127" s="270" t="e">
        <f t="array" ref="BY127">IF(AND(BY$2&lt;&gt;0,#REF!&gt;=BY$2),1,0)</f>
        <v>#REF!</v>
      </c>
      <c r="BZ127" s="270" t="e">
        <f t="array" ref="BZ127">IF(AND(BZ$2&lt;&gt;0,#REF!&gt;=BZ$2),1,0)</f>
        <v>#REF!</v>
      </c>
      <c r="CA127" s="359">
        <f>IFERROR(INDEX($H$4:$H$79,MATCH(INDEX(#REF!,1,MATCH(#REF!,$M$2:$BZ$2,0)),$G$4:$G$79,0)),)</f>
        <v>0</v>
      </c>
    </row>
    <row r="128" spans="1:79" x14ac:dyDescent="0.25">
      <c r="A128" s="262" t="e">
        <f>#REF!</f>
        <v>#REF!</v>
      </c>
      <c r="B128" s="263" t="e">
        <f>#REF!</f>
        <v>#REF!</v>
      </c>
      <c r="C128" s="264" t="e">
        <f>#REF!</f>
        <v>#REF!</v>
      </c>
      <c r="D128" s="264" t="e">
        <f>#REF!</f>
        <v>#REF!</v>
      </c>
      <c r="E128" s="273"/>
      <c r="F128" s="274"/>
      <c r="G128" s="267"/>
      <c r="H128" s="268"/>
      <c r="I128" s="268"/>
      <c r="J128" s="268"/>
      <c r="K128" s="89" t="e">
        <f ca="1">IF(#REF!&lt;&gt;OFFSET(#REF!,-1,0),1,0)</f>
        <v>#REF!</v>
      </c>
      <c r="L128" s="269" t="e">
        <f>COUNTIF(#REF!,1)</f>
        <v>#REF!</v>
      </c>
      <c r="M128" s="270" t="e">
        <f t="array" ref="M128">IF(AND(M$2&lt;&gt;0,#REF!&gt;=M$2),1,0)</f>
        <v>#REF!</v>
      </c>
      <c r="N128" s="270" t="e">
        <f t="array" ref="N128">IF(AND(N$2&lt;&gt;0,#REF!&gt;=N$2),1,0)</f>
        <v>#REF!</v>
      </c>
      <c r="O128" s="270" t="e">
        <f t="array" ref="O128">IF(AND(O$2&lt;&gt;0,#REF!&gt;=O$2),1,0)</f>
        <v>#REF!</v>
      </c>
      <c r="P128" s="270" t="e">
        <f t="array" ref="P128">IF(AND(P$2&lt;&gt;0,#REF!&gt;=P$2),1,0)</f>
        <v>#REF!</v>
      </c>
      <c r="Q128" s="270" t="e">
        <f t="array" ref="Q128">IF(AND(Q$2&lt;&gt;0,#REF!&gt;=Q$2),1,0)</f>
        <v>#REF!</v>
      </c>
      <c r="R128" s="270" t="e">
        <f t="array" ref="R128">IF(AND(R$2&lt;&gt;0,#REF!&gt;=R$2),1,0)</f>
        <v>#REF!</v>
      </c>
      <c r="S128" s="270" t="e">
        <f t="array" ref="S128">IF(AND(S$2&lt;&gt;0,#REF!&gt;=S$2),1,0)</f>
        <v>#REF!</v>
      </c>
      <c r="T128" s="270" t="e">
        <f t="array" ref="T128">IF(AND(T$2&lt;&gt;0,#REF!&gt;=T$2),1,0)</f>
        <v>#REF!</v>
      </c>
      <c r="U128" s="270" t="e">
        <f t="array" ref="U128">IF(AND(U$2&lt;&gt;0,#REF!&gt;=U$2),1,0)</f>
        <v>#REF!</v>
      </c>
      <c r="V128" s="270" t="e">
        <f t="array" ref="V128">IF(AND(V$2&lt;&gt;0,#REF!&gt;=V$2),1,0)</f>
        <v>#REF!</v>
      </c>
      <c r="W128" s="270" t="e">
        <f t="array" ref="W128">IF(AND(W$2&lt;&gt;0,#REF!&gt;=W$2),1,0)</f>
        <v>#REF!</v>
      </c>
      <c r="X128" s="270" t="e">
        <f t="array" ref="X128">IF(AND(X$2&lt;&gt;0,#REF!&gt;=X$2),1,0)</f>
        <v>#REF!</v>
      </c>
      <c r="Y128" s="270" t="e">
        <f t="array" ref="Y128">IF(AND(Y$2&lt;&gt;0,#REF!&gt;=Y$2),1,0)</f>
        <v>#REF!</v>
      </c>
      <c r="Z128" s="270" t="e">
        <f t="array" ref="Z128">IF(AND(Z$2&lt;&gt;0,#REF!&gt;=Z$2),1,0)</f>
        <v>#REF!</v>
      </c>
      <c r="AA128" s="270" t="e">
        <f t="array" ref="AA128">IF(AND(AA$2&lt;&gt;0,#REF!&gt;=AA$2),1,0)</f>
        <v>#REF!</v>
      </c>
      <c r="AB128" s="270" t="e">
        <f t="array" ref="AB128">IF(AND(AB$2&lt;&gt;0,#REF!&gt;=AB$2),1,0)</f>
        <v>#REF!</v>
      </c>
      <c r="AC128" s="270" t="e">
        <f t="array" ref="AC128">IF(AND(AC$2&lt;&gt;0,#REF!&gt;=AC$2),1,0)</f>
        <v>#REF!</v>
      </c>
      <c r="AD128" s="270" t="e">
        <f t="array" ref="AD128">IF(AND(AD$2&lt;&gt;0,#REF!&gt;=AD$2),1,0)</f>
        <v>#REF!</v>
      </c>
      <c r="AE128" s="270" t="e">
        <f t="array" ref="AE128">IF(AND(AE$2&lt;&gt;0,#REF!&gt;=AE$2),1,0)</f>
        <v>#REF!</v>
      </c>
      <c r="AF128" s="270" t="e">
        <f t="array" ref="AF128">IF(AND(AF$2&lt;&gt;0,#REF!&gt;=AF$2),1,0)</f>
        <v>#REF!</v>
      </c>
      <c r="AG128" s="270" t="e">
        <f t="array" ref="AG128">IF(AND(AG$2&lt;&gt;0,#REF!&gt;=AG$2),1,0)</f>
        <v>#REF!</v>
      </c>
      <c r="AH128" s="270" t="e">
        <f t="array" ref="AH128">IF(AND(AH$2&lt;&gt;0,#REF!&gt;=AH$2),1,0)</f>
        <v>#REF!</v>
      </c>
      <c r="AI128" s="270" t="e">
        <f t="array" ref="AI128">IF(AND(AI$2&lt;&gt;0,#REF!&gt;=AI$2),1,0)</f>
        <v>#REF!</v>
      </c>
      <c r="AJ128" s="270" t="e">
        <f t="array" ref="AJ128">IF(AND(AJ$2&lt;&gt;0,#REF!&gt;=AJ$2),1,0)</f>
        <v>#REF!</v>
      </c>
      <c r="AK128" s="270" t="e">
        <f t="array" ref="AK128">IF(AND(AK$2&lt;&gt;0,#REF!&gt;=AK$2),1,0)</f>
        <v>#REF!</v>
      </c>
      <c r="AL128" s="270" t="e">
        <f t="array" ref="AL128">IF(AND(AL$2&lt;&gt;0,#REF!&gt;=AL$2),1,0)</f>
        <v>#REF!</v>
      </c>
      <c r="AM128" s="270" t="e">
        <f t="array" ref="AM128">IF(AND(AM$2&lt;&gt;0,#REF!&gt;=AM$2),1,0)</f>
        <v>#REF!</v>
      </c>
      <c r="AN128" s="270" t="e">
        <f t="array" ref="AN128">IF(AND(AN$2&lt;&gt;0,#REF!&gt;=AN$2),1,0)</f>
        <v>#REF!</v>
      </c>
      <c r="AO128" s="270" t="e">
        <f t="array" ref="AO128">IF(AND(AO$2&lt;&gt;0,#REF!&gt;=AO$2),1,0)</f>
        <v>#REF!</v>
      </c>
      <c r="AP128" s="270" t="e">
        <f t="array" ref="AP128">IF(AND(AP$2&lt;&gt;0,#REF!&gt;=AP$2),1,0)</f>
        <v>#REF!</v>
      </c>
      <c r="AQ128" s="270" t="e">
        <f t="array" ref="AQ128">IF(AND(AQ$2&lt;&gt;0,#REF!&gt;=AQ$2),1,0)</f>
        <v>#REF!</v>
      </c>
      <c r="AR128" s="270" t="e">
        <f t="array" ref="AR128">IF(AND(AR$2&lt;&gt;0,#REF!&gt;=AR$2),1,0)</f>
        <v>#REF!</v>
      </c>
      <c r="AS128" s="270" t="e">
        <f t="array" ref="AS128">IF(AND(AS$2&lt;&gt;0,#REF!&gt;=AS$2),1,0)</f>
        <v>#REF!</v>
      </c>
      <c r="AT128" s="270" t="e">
        <f t="array" ref="AT128">IF(AND(AT$2&lt;&gt;0,#REF!&gt;=AT$2),1,0)</f>
        <v>#REF!</v>
      </c>
      <c r="AU128" s="270" t="e">
        <f t="array" ref="AU128">IF(AND(AU$2&lt;&gt;0,#REF!&gt;=AU$2),1,0)</f>
        <v>#REF!</v>
      </c>
      <c r="AV128" s="270" t="e">
        <f t="array" ref="AV128">IF(AND(AV$2&lt;&gt;0,#REF!&gt;=AV$2),1,0)</f>
        <v>#REF!</v>
      </c>
      <c r="AW128" s="270" t="e">
        <f t="array" ref="AW128">IF(AND(AW$2&lt;&gt;0,#REF!&gt;=AW$2),1,0)</f>
        <v>#REF!</v>
      </c>
      <c r="AX128" s="270" t="e">
        <f t="array" ref="AX128">IF(AND(AX$2&lt;&gt;0,#REF!&gt;=AX$2),1,0)</f>
        <v>#REF!</v>
      </c>
      <c r="AY128" s="270" t="e">
        <f t="array" ref="AY128">IF(AND(AY$2&lt;&gt;0,#REF!&gt;=AY$2),1,0)</f>
        <v>#REF!</v>
      </c>
      <c r="AZ128" s="270" t="e">
        <f t="array" ref="AZ128">IF(AND(AZ$2&lt;&gt;0,#REF!&gt;=AZ$2),1,0)</f>
        <v>#REF!</v>
      </c>
      <c r="BA128" s="270" t="e">
        <f t="array" ref="BA128">IF(AND(BA$2&lt;&gt;0,#REF!&gt;=BA$2),1,0)</f>
        <v>#REF!</v>
      </c>
      <c r="BB128" s="270" t="e">
        <f t="array" ref="BB128">IF(AND(BB$2&lt;&gt;0,#REF!&gt;=BB$2),1,0)</f>
        <v>#REF!</v>
      </c>
      <c r="BC128" s="270" t="e">
        <f t="array" ref="BC128">IF(AND(BC$2&lt;&gt;0,#REF!&gt;=BC$2),1,0)</f>
        <v>#REF!</v>
      </c>
      <c r="BD128" s="270" t="e">
        <f t="array" ref="BD128">IF(AND(BD$2&lt;&gt;0,#REF!&gt;=BD$2),1,0)</f>
        <v>#REF!</v>
      </c>
      <c r="BE128" s="270" t="e">
        <f t="array" ref="BE128">IF(AND(BE$2&lt;&gt;0,#REF!&gt;=BE$2),1,0)</f>
        <v>#REF!</v>
      </c>
      <c r="BF128" s="270" t="e">
        <f t="array" ref="BF128">IF(AND(BF$2&lt;&gt;0,#REF!&gt;=BF$2),1,0)</f>
        <v>#REF!</v>
      </c>
      <c r="BG128" s="270" t="e">
        <f t="array" ref="BG128">IF(AND(BG$2&lt;&gt;0,#REF!&gt;=BG$2),1,0)</f>
        <v>#REF!</v>
      </c>
      <c r="BH128" s="270" t="e">
        <f t="array" ref="BH128">IF(AND(BH$2&lt;&gt;0,#REF!&gt;=BH$2),1,0)</f>
        <v>#REF!</v>
      </c>
      <c r="BI128" s="270" t="e">
        <f t="array" ref="BI128">IF(AND(BI$2&lt;&gt;0,#REF!&gt;=BI$2),1,0)</f>
        <v>#REF!</v>
      </c>
      <c r="BJ128" s="270" t="e">
        <f t="array" ref="BJ128">IF(AND(BJ$2&lt;&gt;0,#REF!&gt;=BJ$2),1,0)</f>
        <v>#REF!</v>
      </c>
      <c r="BK128" s="270" t="e">
        <f t="array" ref="BK128">IF(AND(BK$2&lt;&gt;0,#REF!&gt;=BK$2),1,0)</f>
        <v>#REF!</v>
      </c>
      <c r="BL128" s="270" t="e">
        <f t="array" ref="BL128">IF(AND(BL$2&lt;&gt;0,#REF!&gt;=BL$2),1,0)</f>
        <v>#REF!</v>
      </c>
      <c r="BM128" s="270" t="e">
        <f t="array" ref="BM128">IF(AND(BM$2&lt;&gt;0,#REF!&gt;=BM$2),1,0)</f>
        <v>#REF!</v>
      </c>
      <c r="BN128" s="270" t="e">
        <f t="array" ref="BN128">IF(AND(BN$2&lt;&gt;0,#REF!&gt;=BN$2),1,0)</f>
        <v>#REF!</v>
      </c>
      <c r="BO128" s="270" t="e">
        <f t="array" ref="BO128">IF(AND(BO$2&lt;&gt;0,#REF!&gt;=BO$2),1,0)</f>
        <v>#REF!</v>
      </c>
      <c r="BP128" s="270" t="e">
        <f t="array" ref="BP128">IF(AND(BP$2&lt;&gt;0,#REF!&gt;=BP$2),1,0)</f>
        <v>#REF!</v>
      </c>
      <c r="BQ128" s="270" t="e">
        <f t="array" ref="BQ128">IF(AND(BQ$2&lt;&gt;0,#REF!&gt;=BQ$2),1,0)</f>
        <v>#REF!</v>
      </c>
      <c r="BR128" s="270" t="e">
        <f t="array" ref="BR128">IF(AND(BR$2&lt;&gt;0,#REF!&gt;=BR$2),1,0)</f>
        <v>#REF!</v>
      </c>
      <c r="BS128" s="270" t="e">
        <f t="array" ref="BS128">IF(AND(BS$2&lt;&gt;0,#REF!&gt;=BS$2),1,0)</f>
        <v>#REF!</v>
      </c>
      <c r="BT128" s="270" t="e">
        <f t="array" ref="BT128">IF(AND(BT$2&lt;&gt;0,#REF!&gt;=BT$2),1,0)</f>
        <v>#REF!</v>
      </c>
      <c r="BU128" s="270" t="e">
        <f t="array" ref="BU128">IF(AND(BU$2&lt;&gt;0,#REF!&gt;=BU$2),1,0)</f>
        <v>#REF!</v>
      </c>
      <c r="BV128" s="270" t="e">
        <f t="array" ref="BV128">IF(AND(BV$2&lt;&gt;0,#REF!&gt;=BV$2),1,0)</f>
        <v>#REF!</v>
      </c>
      <c r="BW128" s="270" t="e">
        <f t="array" ref="BW128">IF(AND(BW$2&lt;&gt;0,#REF!&gt;=BW$2),1,0)</f>
        <v>#REF!</v>
      </c>
      <c r="BX128" s="270" t="e">
        <f t="array" ref="BX128">IF(AND(BX$2&lt;&gt;0,#REF!&gt;=BX$2),1,0)</f>
        <v>#REF!</v>
      </c>
      <c r="BY128" s="270" t="e">
        <f t="array" ref="BY128">IF(AND(BY$2&lt;&gt;0,#REF!&gt;=BY$2),1,0)</f>
        <v>#REF!</v>
      </c>
      <c r="BZ128" s="270" t="e">
        <f t="array" ref="BZ128">IF(AND(BZ$2&lt;&gt;0,#REF!&gt;=BZ$2),1,0)</f>
        <v>#REF!</v>
      </c>
      <c r="CA128" s="359">
        <f>IFERROR(INDEX($H$4:$H$79,MATCH(INDEX(#REF!,1,MATCH(#REF!,$M$2:$BZ$2,0)),$G$4:$G$79,0)),)</f>
        <v>0</v>
      </c>
    </row>
    <row r="129" spans="1:79" x14ac:dyDescent="0.25">
      <c r="A129" s="262" t="e">
        <f>#REF!</f>
        <v>#REF!</v>
      </c>
      <c r="B129" s="263" t="e">
        <f>#REF!</f>
        <v>#REF!</v>
      </c>
      <c r="C129" s="264" t="e">
        <f>#REF!</f>
        <v>#REF!</v>
      </c>
      <c r="D129" s="264" t="e">
        <f>#REF!</f>
        <v>#REF!</v>
      </c>
      <c r="E129" s="273"/>
      <c r="F129" s="274"/>
      <c r="G129" s="267"/>
      <c r="H129" s="268"/>
      <c r="I129" s="268"/>
      <c r="J129" s="268"/>
      <c r="K129" s="89" t="e">
        <f ca="1">IF(#REF!&lt;&gt;OFFSET(#REF!,-1,0),1,0)</f>
        <v>#REF!</v>
      </c>
      <c r="L129" s="269" t="e">
        <f>COUNTIF(#REF!,1)</f>
        <v>#REF!</v>
      </c>
      <c r="M129" s="270" t="e">
        <f t="array" ref="M129">IF(AND(M$2&lt;&gt;0,#REF!&gt;=M$2),1,0)</f>
        <v>#REF!</v>
      </c>
      <c r="N129" s="270" t="e">
        <f t="array" ref="N129">IF(AND(N$2&lt;&gt;0,#REF!&gt;=N$2),1,0)</f>
        <v>#REF!</v>
      </c>
      <c r="O129" s="270" t="e">
        <f t="array" ref="O129">IF(AND(O$2&lt;&gt;0,#REF!&gt;=O$2),1,0)</f>
        <v>#REF!</v>
      </c>
      <c r="P129" s="270" t="e">
        <f t="array" ref="P129">IF(AND(P$2&lt;&gt;0,#REF!&gt;=P$2),1,0)</f>
        <v>#REF!</v>
      </c>
      <c r="Q129" s="270" t="e">
        <f t="array" ref="Q129">IF(AND(Q$2&lt;&gt;0,#REF!&gt;=Q$2),1,0)</f>
        <v>#REF!</v>
      </c>
      <c r="R129" s="270" t="e">
        <f t="array" ref="R129">IF(AND(R$2&lt;&gt;0,#REF!&gt;=R$2),1,0)</f>
        <v>#REF!</v>
      </c>
      <c r="S129" s="270" t="e">
        <f t="array" ref="S129">IF(AND(S$2&lt;&gt;0,#REF!&gt;=S$2),1,0)</f>
        <v>#REF!</v>
      </c>
      <c r="T129" s="270" t="e">
        <f t="array" ref="T129">IF(AND(T$2&lt;&gt;0,#REF!&gt;=T$2),1,0)</f>
        <v>#REF!</v>
      </c>
      <c r="U129" s="270" t="e">
        <f t="array" ref="U129">IF(AND(U$2&lt;&gt;0,#REF!&gt;=U$2),1,0)</f>
        <v>#REF!</v>
      </c>
      <c r="V129" s="270" t="e">
        <f t="array" ref="V129">IF(AND(V$2&lt;&gt;0,#REF!&gt;=V$2),1,0)</f>
        <v>#REF!</v>
      </c>
      <c r="W129" s="270" t="e">
        <f t="array" ref="W129">IF(AND(W$2&lt;&gt;0,#REF!&gt;=W$2),1,0)</f>
        <v>#REF!</v>
      </c>
      <c r="X129" s="270" t="e">
        <f t="array" ref="X129">IF(AND(X$2&lt;&gt;0,#REF!&gt;=X$2),1,0)</f>
        <v>#REF!</v>
      </c>
      <c r="Y129" s="270" t="e">
        <f t="array" ref="Y129">IF(AND(Y$2&lt;&gt;0,#REF!&gt;=Y$2),1,0)</f>
        <v>#REF!</v>
      </c>
      <c r="Z129" s="270" t="e">
        <f t="array" ref="Z129">IF(AND(Z$2&lt;&gt;0,#REF!&gt;=Z$2),1,0)</f>
        <v>#REF!</v>
      </c>
      <c r="AA129" s="270" t="e">
        <f t="array" ref="AA129">IF(AND(AA$2&lt;&gt;0,#REF!&gt;=AA$2),1,0)</f>
        <v>#REF!</v>
      </c>
      <c r="AB129" s="270" t="e">
        <f t="array" ref="AB129">IF(AND(AB$2&lt;&gt;0,#REF!&gt;=AB$2),1,0)</f>
        <v>#REF!</v>
      </c>
      <c r="AC129" s="270" t="e">
        <f t="array" ref="AC129">IF(AND(AC$2&lt;&gt;0,#REF!&gt;=AC$2),1,0)</f>
        <v>#REF!</v>
      </c>
      <c r="AD129" s="270" t="e">
        <f t="array" ref="AD129">IF(AND(AD$2&lt;&gt;0,#REF!&gt;=AD$2),1,0)</f>
        <v>#REF!</v>
      </c>
      <c r="AE129" s="270" t="e">
        <f t="array" ref="AE129">IF(AND(AE$2&lt;&gt;0,#REF!&gt;=AE$2),1,0)</f>
        <v>#REF!</v>
      </c>
      <c r="AF129" s="270" t="e">
        <f t="array" ref="AF129">IF(AND(AF$2&lt;&gt;0,#REF!&gt;=AF$2),1,0)</f>
        <v>#REF!</v>
      </c>
      <c r="AG129" s="270" t="e">
        <f t="array" ref="AG129">IF(AND(AG$2&lt;&gt;0,#REF!&gt;=AG$2),1,0)</f>
        <v>#REF!</v>
      </c>
      <c r="AH129" s="270" t="e">
        <f t="array" ref="AH129">IF(AND(AH$2&lt;&gt;0,#REF!&gt;=AH$2),1,0)</f>
        <v>#REF!</v>
      </c>
      <c r="AI129" s="270" t="e">
        <f t="array" ref="AI129">IF(AND(AI$2&lt;&gt;0,#REF!&gt;=AI$2),1,0)</f>
        <v>#REF!</v>
      </c>
      <c r="AJ129" s="270" t="e">
        <f t="array" ref="AJ129">IF(AND(AJ$2&lt;&gt;0,#REF!&gt;=AJ$2),1,0)</f>
        <v>#REF!</v>
      </c>
      <c r="AK129" s="270" t="e">
        <f t="array" ref="AK129">IF(AND(AK$2&lt;&gt;0,#REF!&gt;=AK$2),1,0)</f>
        <v>#REF!</v>
      </c>
      <c r="AL129" s="270" t="e">
        <f t="array" ref="AL129">IF(AND(AL$2&lt;&gt;0,#REF!&gt;=AL$2),1,0)</f>
        <v>#REF!</v>
      </c>
      <c r="AM129" s="270" t="e">
        <f t="array" ref="AM129">IF(AND(AM$2&lt;&gt;0,#REF!&gt;=AM$2),1,0)</f>
        <v>#REF!</v>
      </c>
      <c r="AN129" s="270" t="e">
        <f t="array" ref="AN129">IF(AND(AN$2&lt;&gt;0,#REF!&gt;=AN$2),1,0)</f>
        <v>#REF!</v>
      </c>
      <c r="AO129" s="270" t="e">
        <f t="array" ref="AO129">IF(AND(AO$2&lt;&gt;0,#REF!&gt;=AO$2),1,0)</f>
        <v>#REF!</v>
      </c>
      <c r="AP129" s="270" t="e">
        <f t="array" ref="AP129">IF(AND(AP$2&lt;&gt;0,#REF!&gt;=AP$2),1,0)</f>
        <v>#REF!</v>
      </c>
      <c r="AQ129" s="270" t="e">
        <f t="array" ref="AQ129">IF(AND(AQ$2&lt;&gt;0,#REF!&gt;=AQ$2),1,0)</f>
        <v>#REF!</v>
      </c>
      <c r="AR129" s="270" t="e">
        <f t="array" ref="AR129">IF(AND(AR$2&lt;&gt;0,#REF!&gt;=AR$2),1,0)</f>
        <v>#REF!</v>
      </c>
      <c r="AS129" s="270" t="e">
        <f t="array" ref="AS129">IF(AND(AS$2&lt;&gt;0,#REF!&gt;=AS$2),1,0)</f>
        <v>#REF!</v>
      </c>
      <c r="AT129" s="270" t="e">
        <f t="array" ref="AT129">IF(AND(AT$2&lt;&gt;0,#REF!&gt;=AT$2),1,0)</f>
        <v>#REF!</v>
      </c>
      <c r="AU129" s="270" t="e">
        <f t="array" ref="AU129">IF(AND(AU$2&lt;&gt;0,#REF!&gt;=AU$2),1,0)</f>
        <v>#REF!</v>
      </c>
      <c r="AV129" s="270" t="e">
        <f t="array" ref="AV129">IF(AND(AV$2&lt;&gt;0,#REF!&gt;=AV$2),1,0)</f>
        <v>#REF!</v>
      </c>
      <c r="AW129" s="270" t="e">
        <f t="array" ref="AW129">IF(AND(AW$2&lt;&gt;0,#REF!&gt;=AW$2),1,0)</f>
        <v>#REF!</v>
      </c>
      <c r="AX129" s="270" t="e">
        <f t="array" ref="AX129">IF(AND(AX$2&lt;&gt;0,#REF!&gt;=AX$2),1,0)</f>
        <v>#REF!</v>
      </c>
      <c r="AY129" s="270" t="e">
        <f t="array" ref="AY129">IF(AND(AY$2&lt;&gt;0,#REF!&gt;=AY$2),1,0)</f>
        <v>#REF!</v>
      </c>
      <c r="AZ129" s="270" t="e">
        <f t="array" ref="AZ129">IF(AND(AZ$2&lt;&gt;0,#REF!&gt;=AZ$2),1,0)</f>
        <v>#REF!</v>
      </c>
      <c r="BA129" s="270" t="e">
        <f t="array" ref="BA129">IF(AND(BA$2&lt;&gt;0,#REF!&gt;=BA$2),1,0)</f>
        <v>#REF!</v>
      </c>
      <c r="BB129" s="270" t="e">
        <f t="array" ref="BB129">IF(AND(BB$2&lt;&gt;0,#REF!&gt;=BB$2),1,0)</f>
        <v>#REF!</v>
      </c>
      <c r="BC129" s="270" t="e">
        <f t="array" ref="BC129">IF(AND(BC$2&lt;&gt;0,#REF!&gt;=BC$2),1,0)</f>
        <v>#REF!</v>
      </c>
      <c r="BD129" s="270" t="e">
        <f t="array" ref="BD129">IF(AND(BD$2&lt;&gt;0,#REF!&gt;=BD$2),1,0)</f>
        <v>#REF!</v>
      </c>
      <c r="BE129" s="270" t="e">
        <f t="array" ref="BE129">IF(AND(BE$2&lt;&gt;0,#REF!&gt;=BE$2),1,0)</f>
        <v>#REF!</v>
      </c>
      <c r="BF129" s="270" t="e">
        <f t="array" ref="BF129">IF(AND(BF$2&lt;&gt;0,#REF!&gt;=BF$2),1,0)</f>
        <v>#REF!</v>
      </c>
      <c r="BG129" s="270" t="e">
        <f t="array" ref="BG129">IF(AND(BG$2&lt;&gt;0,#REF!&gt;=BG$2),1,0)</f>
        <v>#REF!</v>
      </c>
      <c r="BH129" s="270" t="e">
        <f t="array" ref="BH129">IF(AND(BH$2&lt;&gt;0,#REF!&gt;=BH$2),1,0)</f>
        <v>#REF!</v>
      </c>
      <c r="BI129" s="270" t="e">
        <f t="array" ref="BI129">IF(AND(BI$2&lt;&gt;0,#REF!&gt;=BI$2),1,0)</f>
        <v>#REF!</v>
      </c>
      <c r="BJ129" s="270" t="e">
        <f t="array" ref="BJ129">IF(AND(BJ$2&lt;&gt;0,#REF!&gt;=BJ$2),1,0)</f>
        <v>#REF!</v>
      </c>
      <c r="BK129" s="270" t="e">
        <f t="array" ref="BK129">IF(AND(BK$2&lt;&gt;0,#REF!&gt;=BK$2),1,0)</f>
        <v>#REF!</v>
      </c>
      <c r="BL129" s="270" t="e">
        <f t="array" ref="BL129">IF(AND(BL$2&lt;&gt;0,#REF!&gt;=BL$2),1,0)</f>
        <v>#REF!</v>
      </c>
      <c r="BM129" s="270" t="e">
        <f t="array" ref="BM129">IF(AND(BM$2&lt;&gt;0,#REF!&gt;=BM$2),1,0)</f>
        <v>#REF!</v>
      </c>
      <c r="BN129" s="270" t="e">
        <f t="array" ref="BN129">IF(AND(BN$2&lt;&gt;0,#REF!&gt;=BN$2),1,0)</f>
        <v>#REF!</v>
      </c>
      <c r="BO129" s="270" t="e">
        <f t="array" ref="BO129">IF(AND(BO$2&lt;&gt;0,#REF!&gt;=BO$2),1,0)</f>
        <v>#REF!</v>
      </c>
      <c r="BP129" s="270" t="e">
        <f t="array" ref="BP129">IF(AND(BP$2&lt;&gt;0,#REF!&gt;=BP$2),1,0)</f>
        <v>#REF!</v>
      </c>
      <c r="BQ129" s="270" t="e">
        <f t="array" ref="BQ129">IF(AND(BQ$2&lt;&gt;0,#REF!&gt;=BQ$2),1,0)</f>
        <v>#REF!</v>
      </c>
      <c r="BR129" s="270" t="e">
        <f t="array" ref="BR129">IF(AND(BR$2&lt;&gt;0,#REF!&gt;=BR$2),1,0)</f>
        <v>#REF!</v>
      </c>
      <c r="BS129" s="270" t="e">
        <f t="array" ref="BS129">IF(AND(BS$2&lt;&gt;0,#REF!&gt;=BS$2),1,0)</f>
        <v>#REF!</v>
      </c>
      <c r="BT129" s="270" t="e">
        <f t="array" ref="BT129">IF(AND(BT$2&lt;&gt;0,#REF!&gt;=BT$2),1,0)</f>
        <v>#REF!</v>
      </c>
      <c r="BU129" s="270" t="e">
        <f t="array" ref="BU129">IF(AND(BU$2&lt;&gt;0,#REF!&gt;=BU$2),1,0)</f>
        <v>#REF!</v>
      </c>
      <c r="BV129" s="270" t="e">
        <f t="array" ref="BV129">IF(AND(BV$2&lt;&gt;0,#REF!&gt;=BV$2),1,0)</f>
        <v>#REF!</v>
      </c>
      <c r="BW129" s="270" t="e">
        <f t="array" ref="BW129">IF(AND(BW$2&lt;&gt;0,#REF!&gt;=BW$2),1,0)</f>
        <v>#REF!</v>
      </c>
      <c r="BX129" s="270" t="e">
        <f t="array" ref="BX129">IF(AND(BX$2&lt;&gt;0,#REF!&gt;=BX$2),1,0)</f>
        <v>#REF!</v>
      </c>
      <c r="BY129" s="270" t="e">
        <f t="array" ref="BY129">IF(AND(BY$2&lt;&gt;0,#REF!&gt;=BY$2),1,0)</f>
        <v>#REF!</v>
      </c>
      <c r="BZ129" s="270" t="e">
        <f t="array" ref="BZ129">IF(AND(BZ$2&lt;&gt;0,#REF!&gt;=BZ$2),1,0)</f>
        <v>#REF!</v>
      </c>
      <c r="CA129" s="359">
        <f>IFERROR(INDEX($H$4:$H$79,MATCH(INDEX(#REF!,1,MATCH(#REF!,$M$2:$BZ$2,0)),$G$4:$G$79,0)),)</f>
        <v>0</v>
      </c>
    </row>
    <row r="130" spans="1:79" x14ac:dyDescent="0.25">
      <c r="A130" s="262" t="e">
        <f>#REF!</f>
        <v>#REF!</v>
      </c>
      <c r="B130" s="263" t="e">
        <f>#REF!</f>
        <v>#REF!</v>
      </c>
      <c r="C130" s="264" t="e">
        <f>#REF!</f>
        <v>#REF!</v>
      </c>
      <c r="D130" s="264" t="e">
        <f>#REF!</f>
        <v>#REF!</v>
      </c>
      <c r="E130" s="273"/>
      <c r="F130" s="274"/>
      <c r="G130" s="267"/>
      <c r="H130" s="268"/>
      <c r="I130" s="268"/>
      <c r="J130" s="268"/>
      <c r="K130" s="89" t="e">
        <f ca="1">IF(#REF!&lt;&gt;OFFSET(#REF!,-1,0),1,0)</f>
        <v>#REF!</v>
      </c>
      <c r="L130" s="269" t="e">
        <f>COUNTIF(#REF!,1)</f>
        <v>#REF!</v>
      </c>
      <c r="M130" s="270" t="e">
        <f t="array" ref="M130">IF(AND(M$2&lt;&gt;0,#REF!&gt;=M$2),1,0)</f>
        <v>#REF!</v>
      </c>
      <c r="N130" s="270" t="e">
        <f t="array" ref="N130">IF(AND(N$2&lt;&gt;0,#REF!&gt;=N$2),1,0)</f>
        <v>#REF!</v>
      </c>
      <c r="O130" s="270" t="e">
        <f t="array" ref="O130">IF(AND(O$2&lt;&gt;0,#REF!&gt;=O$2),1,0)</f>
        <v>#REF!</v>
      </c>
      <c r="P130" s="270" t="e">
        <f t="array" ref="P130">IF(AND(P$2&lt;&gt;0,#REF!&gt;=P$2),1,0)</f>
        <v>#REF!</v>
      </c>
      <c r="Q130" s="270" t="e">
        <f t="array" ref="Q130">IF(AND(Q$2&lt;&gt;0,#REF!&gt;=Q$2),1,0)</f>
        <v>#REF!</v>
      </c>
      <c r="R130" s="270" t="e">
        <f t="array" ref="R130">IF(AND(R$2&lt;&gt;0,#REF!&gt;=R$2),1,0)</f>
        <v>#REF!</v>
      </c>
      <c r="S130" s="270" t="e">
        <f t="array" ref="S130">IF(AND(S$2&lt;&gt;0,#REF!&gt;=S$2),1,0)</f>
        <v>#REF!</v>
      </c>
      <c r="T130" s="270" t="e">
        <f t="array" ref="T130">IF(AND(T$2&lt;&gt;0,#REF!&gt;=T$2),1,0)</f>
        <v>#REF!</v>
      </c>
      <c r="U130" s="270" t="e">
        <f t="array" ref="U130">IF(AND(U$2&lt;&gt;0,#REF!&gt;=U$2),1,0)</f>
        <v>#REF!</v>
      </c>
      <c r="V130" s="270" t="e">
        <f t="array" ref="V130">IF(AND(V$2&lt;&gt;0,#REF!&gt;=V$2),1,0)</f>
        <v>#REF!</v>
      </c>
      <c r="W130" s="270" t="e">
        <f t="array" ref="W130">IF(AND(W$2&lt;&gt;0,#REF!&gt;=W$2),1,0)</f>
        <v>#REF!</v>
      </c>
      <c r="X130" s="270" t="e">
        <f t="array" ref="X130">IF(AND(X$2&lt;&gt;0,#REF!&gt;=X$2),1,0)</f>
        <v>#REF!</v>
      </c>
      <c r="Y130" s="270" t="e">
        <f t="array" ref="Y130">IF(AND(Y$2&lt;&gt;0,#REF!&gt;=Y$2),1,0)</f>
        <v>#REF!</v>
      </c>
      <c r="Z130" s="270" t="e">
        <f t="array" ref="Z130">IF(AND(Z$2&lt;&gt;0,#REF!&gt;=Z$2),1,0)</f>
        <v>#REF!</v>
      </c>
      <c r="AA130" s="270" t="e">
        <f t="array" ref="AA130">IF(AND(AA$2&lt;&gt;0,#REF!&gt;=AA$2),1,0)</f>
        <v>#REF!</v>
      </c>
      <c r="AB130" s="270" t="e">
        <f t="array" ref="AB130">IF(AND(AB$2&lt;&gt;0,#REF!&gt;=AB$2),1,0)</f>
        <v>#REF!</v>
      </c>
      <c r="AC130" s="270" t="e">
        <f t="array" ref="AC130">IF(AND(AC$2&lt;&gt;0,#REF!&gt;=AC$2),1,0)</f>
        <v>#REF!</v>
      </c>
      <c r="AD130" s="270" t="e">
        <f t="array" ref="AD130">IF(AND(AD$2&lt;&gt;0,#REF!&gt;=AD$2),1,0)</f>
        <v>#REF!</v>
      </c>
      <c r="AE130" s="270" t="e">
        <f t="array" ref="AE130">IF(AND(AE$2&lt;&gt;0,#REF!&gt;=AE$2),1,0)</f>
        <v>#REF!</v>
      </c>
      <c r="AF130" s="270" t="e">
        <f t="array" ref="AF130">IF(AND(AF$2&lt;&gt;0,#REF!&gt;=AF$2),1,0)</f>
        <v>#REF!</v>
      </c>
      <c r="AG130" s="270" t="e">
        <f t="array" ref="AG130">IF(AND(AG$2&lt;&gt;0,#REF!&gt;=AG$2),1,0)</f>
        <v>#REF!</v>
      </c>
      <c r="AH130" s="270" t="e">
        <f t="array" ref="AH130">IF(AND(AH$2&lt;&gt;0,#REF!&gt;=AH$2),1,0)</f>
        <v>#REF!</v>
      </c>
      <c r="AI130" s="270" t="e">
        <f t="array" ref="AI130">IF(AND(AI$2&lt;&gt;0,#REF!&gt;=AI$2),1,0)</f>
        <v>#REF!</v>
      </c>
      <c r="AJ130" s="270" t="e">
        <f t="array" ref="AJ130">IF(AND(AJ$2&lt;&gt;0,#REF!&gt;=AJ$2),1,0)</f>
        <v>#REF!</v>
      </c>
      <c r="AK130" s="270" t="e">
        <f t="array" ref="AK130">IF(AND(AK$2&lt;&gt;0,#REF!&gt;=AK$2),1,0)</f>
        <v>#REF!</v>
      </c>
      <c r="AL130" s="270" t="e">
        <f t="array" ref="AL130">IF(AND(AL$2&lt;&gt;0,#REF!&gt;=AL$2),1,0)</f>
        <v>#REF!</v>
      </c>
      <c r="AM130" s="270" t="e">
        <f t="array" ref="AM130">IF(AND(AM$2&lt;&gt;0,#REF!&gt;=AM$2),1,0)</f>
        <v>#REF!</v>
      </c>
      <c r="AN130" s="270" t="e">
        <f t="array" ref="AN130">IF(AND(AN$2&lt;&gt;0,#REF!&gt;=AN$2),1,0)</f>
        <v>#REF!</v>
      </c>
      <c r="AO130" s="270" t="e">
        <f t="array" ref="AO130">IF(AND(AO$2&lt;&gt;0,#REF!&gt;=AO$2),1,0)</f>
        <v>#REF!</v>
      </c>
      <c r="AP130" s="270" t="e">
        <f t="array" ref="AP130">IF(AND(AP$2&lt;&gt;0,#REF!&gt;=AP$2),1,0)</f>
        <v>#REF!</v>
      </c>
      <c r="AQ130" s="270" t="e">
        <f t="array" ref="AQ130">IF(AND(AQ$2&lt;&gt;0,#REF!&gt;=AQ$2),1,0)</f>
        <v>#REF!</v>
      </c>
      <c r="AR130" s="270" t="e">
        <f t="array" ref="AR130">IF(AND(AR$2&lt;&gt;0,#REF!&gt;=AR$2),1,0)</f>
        <v>#REF!</v>
      </c>
      <c r="AS130" s="270" t="e">
        <f t="array" ref="AS130">IF(AND(AS$2&lt;&gt;0,#REF!&gt;=AS$2),1,0)</f>
        <v>#REF!</v>
      </c>
      <c r="AT130" s="270" t="e">
        <f t="array" ref="AT130">IF(AND(AT$2&lt;&gt;0,#REF!&gt;=AT$2),1,0)</f>
        <v>#REF!</v>
      </c>
      <c r="AU130" s="270" t="e">
        <f t="array" ref="AU130">IF(AND(AU$2&lt;&gt;0,#REF!&gt;=AU$2),1,0)</f>
        <v>#REF!</v>
      </c>
      <c r="AV130" s="270" t="e">
        <f t="array" ref="AV130">IF(AND(AV$2&lt;&gt;0,#REF!&gt;=AV$2),1,0)</f>
        <v>#REF!</v>
      </c>
      <c r="AW130" s="270" t="e">
        <f t="array" ref="AW130">IF(AND(AW$2&lt;&gt;0,#REF!&gt;=AW$2),1,0)</f>
        <v>#REF!</v>
      </c>
      <c r="AX130" s="270" t="e">
        <f t="array" ref="AX130">IF(AND(AX$2&lt;&gt;0,#REF!&gt;=AX$2),1,0)</f>
        <v>#REF!</v>
      </c>
      <c r="AY130" s="270" t="e">
        <f t="array" ref="AY130">IF(AND(AY$2&lt;&gt;0,#REF!&gt;=AY$2),1,0)</f>
        <v>#REF!</v>
      </c>
      <c r="AZ130" s="270" t="e">
        <f t="array" ref="AZ130">IF(AND(AZ$2&lt;&gt;0,#REF!&gt;=AZ$2),1,0)</f>
        <v>#REF!</v>
      </c>
      <c r="BA130" s="270" t="e">
        <f t="array" ref="BA130">IF(AND(BA$2&lt;&gt;0,#REF!&gt;=BA$2),1,0)</f>
        <v>#REF!</v>
      </c>
      <c r="BB130" s="270" t="e">
        <f t="array" ref="BB130">IF(AND(BB$2&lt;&gt;0,#REF!&gt;=BB$2),1,0)</f>
        <v>#REF!</v>
      </c>
      <c r="BC130" s="270" t="e">
        <f t="array" ref="BC130">IF(AND(BC$2&lt;&gt;0,#REF!&gt;=BC$2),1,0)</f>
        <v>#REF!</v>
      </c>
      <c r="BD130" s="270" t="e">
        <f t="array" ref="BD130">IF(AND(BD$2&lt;&gt;0,#REF!&gt;=BD$2),1,0)</f>
        <v>#REF!</v>
      </c>
      <c r="BE130" s="270" t="e">
        <f t="array" ref="BE130">IF(AND(BE$2&lt;&gt;0,#REF!&gt;=BE$2),1,0)</f>
        <v>#REF!</v>
      </c>
      <c r="BF130" s="270" t="e">
        <f t="array" ref="BF130">IF(AND(BF$2&lt;&gt;0,#REF!&gt;=BF$2),1,0)</f>
        <v>#REF!</v>
      </c>
      <c r="BG130" s="270" t="e">
        <f t="array" ref="BG130">IF(AND(BG$2&lt;&gt;0,#REF!&gt;=BG$2),1,0)</f>
        <v>#REF!</v>
      </c>
      <c r="BH130" s="270" t="e">
        <f t="array" ref="BH130">IF(AND(BH$2&lt;&gt;0,#REF!&gt;=BH$2),1,0)</f>
        <v>#REF!</v>
      </c>
      <c r="BI130" s="270" t="e">
        <f t="array" ref="BI130">IF(AND(BI$2&lt;&gt;0,#REF!&gt;=BI$2),1,0)</f>
        <v>#REF!</v>
      </c>
      <c r="BJ130" s="270" t="e">
        <f t="array" ref="BJ130">IF(AND(BJ$2&lt;&gt;0,#REF!&gt;=BJ$2),1,0)</f>
        <v>#REF!</v>
      </c>
      <c r="BK130" s="270" t="e">
        <f t="array" ref="BK130">IF(AND(BK$2&lt;&gt;0,#REF!&gt;=BK$2),1,0)</f>
        <v>#REF!</v>
      </c>
      <c r="BL130" s="270" t="e">
        <f t="array" ref="BL130">IF(AND(BL$2&lt;&gt;0,#REF!&gt;=BL$2),1,0)</f>
        <v>#REF!</v>
      </c>
      <c r="BM130" s="270" t="e">
        <f t="array" ref="BM130">IF(AND(BM$2&lt;&gt;0,#REF!&gt;=BM$2),1,0)</f>
        <v>#REF!</v>
      </c>
      <c r="BN130" s="270" t="e">
        <f t="array" ref="BN130">IF(AND(BN$2&lt;&gt;0,#REF!&gt;=BN$2),1,0)</f>
        <v>#REF!</v>
      </c>
      <c r="BO130" s="270" t="e">
        <f t="array" ref="BO130">IF(AND(BO$2&lt;&gt;0,#REF!&gt;=BO$2),1,0)</f>
        <v>#REF!</v>
      </c>
      <c r="BP130" s="270" t="e">
        <f t="array" ref="BP130">IF(AND(BP$2&lt;&gt;0,#REF!&gt;=BP$2),1,0)</f>
        <v>#REF!</v>
      </c>
      <c r="BQ130" s="270" t="e">
        <f t="array" ref="BQ130">IF(AND(BQ$2&lt;&gt;0,#REF!&gt;=BQ$2),1,0)</f>
        <v>#REF!</v>
      </c>
      <c r="BR130" s="270" t="e">
        <f t="array" ref="BR130">IF(AND(BR$2&lt;&gt;0,#REF!&gt;=BR$2),1,0)</f>
        <v>#REF!</v>
      </c>
      <c r="BS130" s="270" t="e">
        <f t="array" ref="BS130">IF(AND(BS$2&lt;&gt;0,#REF!&gt;=BS$2),1,0)</f>
        <v>#REF!</v>
      </c>
      <c r="BT130" s="270" t="e">
        <f t="array" ref="BT130">IF(AND(BT$2&lt;&gt;0,#REF!&gt;=BT$2),1,0)</f>
        <v>#REF!</v>
      </c>
      <c r="BU130" s="270" t="e">
        <f t="array" ref="BU130">IF(AND(BU$2&lt;&gt;0,#REF!&gt;=BU$2),1,0)</f>
        <v>#REF!</v>
      </c>
      <c r="BV130" s="270" t="e">
        <f t="array" ref="BV130">IF(AND(BV$2&lt;&gt;0,#REF!&gt;=BV$2),1,0)</f>
        <v>#REF!</v>
      </c>
      <c r="BW130" s="270" t="e">
        <f t="array" ref="BW130">IF(AND(BW$2&lt;&gt;0,#REF!&gt;=BW$2),1,0)</f>
        <v>#REF!</v>
      </c>
      <c r="BX130" s="270" t="e">
        <f t="array" ref="BX130">IF(AND(BX$2&lt;&gt;0,#REF!&gt;=BX$2),1,0)</f>
        <v>#REF!</v>
      </c>
      <c r="BY130" s="270" t="e">
        <f t="array" ref="BY130">IF(AND(BY$2&lt;&gt;0,#REF!&gt;=BY$2),1,0)</f>
        <v>#REF!</v>
      </c>
      <c r="BZ130" s="270" t="e">
        <f t="array" ref="BZ130">IF(AND(BZ$2&lt;&gt;0,#REF!&gt;=BZ$2),1,0)</f>
        <v>#REF!</v>
      </c>
      <c r="CA130" s="359">
        <f>IFERROR(INDEX($H$4:$H$79,MATCH(INDEX(#REF!,1,MATCH(#REF!,$M$2:$BZ$2,0)),$G$4:$G$79,0)),)</f>
        <v>0</v>
      </c>
    </row>
    <row r="131" spans="1:79" x14ac:dyDescent="0.25">
      <c r="A131" s="262" t="e">
        <f>#REF!</f>
        <v>#REF!</v>
      </c>
      <c r="B131" s="263" t="e">
        <f>#REF!</f>
        <v>#REF!</v>
      </c>
      <c r="C131" s="264" t="e">
        <f>#REF!</f>
        <v>#REF!</v>
      </c>
      <c r="D131" s="264" t="e">
        <f>#REF!</f>
        <v>#REF!</v>
      </c>
      <c r="E131" s="273"/>
      <c r="F131" s="274"/>
      <c r="G131" s="267"/>
      <c r="H131" s="268"/>
      <c r="I131" s="268"/>
      <c r="J131" s="268"/>
      <c r="K131" s="89" t="e">
        <f ca="1">IF(#REF!&lt;&gt;OFFSET(#REF!,-1,0),1,0)</f>
        <v>#REF!</v>
      </c>
      <c r="L131" s="269" t="e">
        <f>COUNTIF(#REF!,1)</f>
        <v>#REF!</v>
      </c>
      <c r="M131" s="270" t="e">
        <f t="array" ref="M131">IF(AND(M$2&lt;&gt;0,#REF!&gt;=M$2),1,0)</f>
        <v>#REF!</v>
      </c>
      <c r="N131" s="270" t="e">
        <f t="array" ref="N131">IF(AND(N$2&lt;&gt;0,#REF!&gt;=N$2),1,0)</f>
        <v>#REF!</v>
      </c>
      <c r="O131" s="270" t="e">
        <f t="array" ref="O131">IF(AND(O$2&lt;&gt;0,#REF!&gt;=O$2),1,0)</f>
        <v>#REF!</v>
      </c>
      <c r="P131" s="270" t="e">
        <f t="array" ref="P131">IF(AND(P$2&lt;&gt;0,#REF!&gt;=P$2),1,0)</f>
        <v>#REF!</v>
      </c>
      <c r="Q131" s="270" t="e">
        <f t="array" ref="Q131">IF(AND(Q$2&lt;&gt;0,#REF!&gt;=Q$2),1,0)</f>
        <v>#REF!</v>
      </c>
      <c r="R131" s="270" t="e">
        <f t="array" ref="R131">IF(AND(R$2&lt;&gt;0,#REF!&gt;=R$2),1,0)</f>
        <v>#REF!</v>
      </c>
      <c r="S131" s="270" t="e">
        <f t="array" ref="S131">IF(AND(S$2&lt;&gt;0,#REF!&gt;=S$2),1,0)</f>
        <v>#REF!</v>
      </c>
      <c r="T131" s="270" t="e">
        <f t="array" ref="T131">IF(AND(T$2&lt;&gt;0,#REF!&gt;=T$2),1,0)</f>
        <v>#REF!</v>
      </c>
      <c r="U131" s="270" t="e">
        <f t="array" ref="U131">IF(AND(U$2&lt;&gt;0,#REF!&gt;=U$2),1,0)</f>
        <v>#REF!</v>
      </c>
      <c r="V131" s="270" t="e">
        <f t="array" ref="V131">IF(AND(V$2&lt;&gt;0,#REF!&gt;=V$2),1,0)</f>
        <v>#REF!</v>
      </c>
      <c r="W131" s="270" t="e">
        <f t="array" ref="W131">IF(AND(W$2&lt;&gt;0,#REF!&gt;=W$2),1,0)</f>
        <v>#REF!</v>
      </c>
      <c r="X131" s="270" t="e">
        <f t="array" ref="X131">IF(AND(X$2&lt;&gt;0,#REF!&gt;=X$2),1,0)</f>
        <v>#REF!</v>
      </c>
      <c r="Y131" s="270" t="e">
        <f t="array" ref="Y131">IF(AND(Y$2&lt;&gt;0,#REF!&gt;=Y$2),1,0)</f>
        <v>#REF!</v>
      </c>
      <c r="Z131" s="270" t="e">
        <f t="array" ref="Z131">IF(AND(Z$2&lt;&gt;0,#REF!&gt;=Z$2),1,0)</f>
        <v>#REF!</v>
      </c>
      <c r="AA131" s="270" t="e">
        <f t="array" ref="AA131">IF(AND(AA$2&lt;&gt;0,#REF!&gt;=AA$2),1,0)</f>
        <v>#REF!</v>
      </c>
      <c r="AB131" s="270" t="e">
        <f t="array" ref="AB131">IF(AND(AB$2&lt;&gt;0,#REF!&gt;=AB$2),1,0)</f>
        <v>#REF!</v>
      </c>
      <c r="AC131" s="270" t="e">
        <f t="array" ref="AC131">IF(AND(AC$2&lt;&gt;0,#REF!&gt;=AC$2),1,0)</f>
        <v>#REF!</v>
      </c>
      <c r="AD131" s="270" t="e">
        <f t="array" ref="AD131">IF(AND(AD$2&lt;&gt;0,#REF!&gt;=AD$2),1,0)</f>
        <v>#REF!</v>
      </c>
      <c r="AE131" s="270" t="e">
        <f t="array" ref="AE131">IF(AND(AE$2&lt;&gt;0,#REF!&gt;=AE$2),1,0)</f>
        <v>#REF!</v>
      </c>
      <c r="AF131" s="270" t="e">
        <f t="array" ref="AF131">IF(AND(AF$2&lt;&gt;0,#REF!&gt;=AF$2),1,0)</f>
        <v>#REF!</v>
      </c>
      <c r="AG131" s="270" t="e">
        <f t="array" ref="AG131">IF(AND(AG$2&lt;&gt;0,#REF!&gt;=AG$2),1,0)</f>
        <v>#REF!</v>
      </c>
      <c r="AH131" s="270" t="e">
        <f t="array" ref="AH131">IF(AND(AH$2&lt;&gt;0,#REF!&gt;=AH$2),1,0)</f>
        <v>#REF!</v>
      </c>
      <c r="AI131" s="270" t="e">
        <f t="array" ref="AI131">IF(AND(AI$2&lt;&gt;0,#REF!&gt;=AI$2),1,0)</f>
        <v>#REF!</v>
      </c>
      <c r="AJ131" s="270" t="e">
        <f t="array" ref="AJ131">IF(AND(AJ$2&lt;&gt;0,#REF!&gt;=AJ$2),1,0)</f>
        <v>#REF!</v>
      </c>
      <c r="AK131" s="270" t="e">
        <f t="array" ref="AK131">IF(AND(AK$2&lt;&gt;0,#REF!&gt;=AK$2),1,0)</f>
        <v>#REF!</v>
      </c>
      <c r="AL131" s="270" t="e">
        <f t="array" ref="AL131">IF(AND(AL$2&lt;&gt;0,#REF!&gt;=AL$2),1,0)</f>
        <v>#REF!</v>
      </c>
      <c r="AM131" s="270" t="e">
        <f t="array" ref="AM131">IF(AND(AM$2&lt;&gt;0,#REF!&gt;=AM$2),1,0)</f>
        <v>#REF!</v>
      </c>
      <c r="AN131" s="270" t="e">
        <f t="array" ref="AN131">IF(AND(AN$2&lt;&gt;0,#REF!&gt;=AN$2),1,0)</f>
        <v>#REF!</v>
      </c>
      <c r="AO131" s="270" t="e">
        <f t="array" ref="AO131">IF(AND(AO$2&lt;&gt;0,#REF!&gt;=AO$2),1,0)</f>
        <v>#REF!</v>
      </c>
      <c r="AP131" s="270" t="e">
        <f t="array" ref="AP131">IF(AND(AP$2&lt;&gt;0,#REF!&gt;=AP$2),1,0)</f>
        <v>#REF!</v>
      </c>
      <c r="AQ131" s="270" t="e">
        <f t="array" ref="AQ131">IF(AND(AQ$2&lt;&gt;0,#REF!&gt;=AQ$2),1,0)</f>
        <v>#REF!</v>
      </c>
      <c r="AR131" s="270" t="e">
        <f t="array" ref="AR131">IF(AND(AR$2&lt;&gt;0,#REF!&gt;=AR$2),1,0)</f>
        <v>#REF!</v>
      </c>
      <c r="AS131" s="270" t="e">
        <f t="array" ref="AS131">IF(AND(AS$2&lt;&gt;0,#REF!&gt;=AS$2),1,0)</f>
        <v>#REF!</v>
      </c>
      <c r="AT131" s="270" t="e">
        <f t="array" ref="AT131">IF(AND(AT$2&lt;&gt;0,#REF!&gt;=AT$2),1,0)</f>
        <v>#REF!</v>
      </c>
      <c r="AU131" s="270" t="e">
        <f t="array" ref="AU131">IF(AND(AU$2&lt;&gt;0,#REF!&gt;=AU$2),1,0)</f>
        <v>#REF!</v>
      </c>
      <c r="AV131" s="270" t="e">
        <f t="array" ref="AV131">IF(AND(AV$2&lt;&gt;0,#REF!&gt;=AV$2),1,0)</f>
        <v>#REF!</v>
      </c>
      <c r="AW131" s="270" t="e">
        <f t="array" ref="AW131">IF(AND(AW$2&lt;&gt;0,#REF!&gt;=AW$2),1,0)</f>
        <v>#REF!</v>
      </c>
      <c r="AX131" s="270" t="e">
        <f t="array" ref="AX131">IF(AND(AX$2&lt;&gt;0,#REF!&gt;=AX$2),1,0)</f>
        <v>#REF!</v>
      </c>
      <c r="AY131" s="270" t="e">
        <f t="array" ref="AY131">IF(AND(AY$2&lt;&gt;0,#REF!&gt;=AY$2),1,0)</f>
        <v>#REF!</v>
      </c>
      <c r="AZ131" s="270" t="e">
        <f t="array" ref="AZ131">IF(AND(AZ$2&lt;&gt;0,#REF!&gt;=AZ$2),1,0)</f>
        <v>#REF!</v>
      </c>
      <c r="BA131" s="270" t="e">
        <f t="array" ref="BA131">IF(AND(BA$2&lt;&gt;0,#REF!&gt;=BA$2),1,0)</f>
        <v>#REF!</v>
      </c>
      <c r="BB131" s="270" t="e">
        <f t="array" ref="BB131">IF(AND(BB$2&lt;&gt;0,#REF!&gt;=BB$2),1,0)</f>
        <v>#REF!</v>
      </c>
      <c r="BC131" s="270" t="e">
        <f t="array" ref="BC131">IF(AND(BC$2&lt;&gt;0,#REF!&gt;=BC$2),1,0)</f>
        <v>#REF!</v>
      </c>
      <c r="BD131" s="270" t="e">
        <f t="array" ref="BD131">IF(AND(BD$2&lt;&gt;0,#REF!&gt;=BD$2),1,0)</f>
        <v>#REF!</v>
      </c>
      <c r="BE131" s="270" t="e">
        <f t="array" ref="BE131">IF(AND(BE$2&lt;&gt;0,#REF!&gt;=BE$2),1,0)</f>
        <v>#REF!</v>
      </c>
      <c r="BF131" s="270" t="e">
        <f t="array" ref="BF131">IF(AND(BF$2&lt;&gt;0,#REF!&gt;=BF$2),1,0)</f>
        <v>#REF!</v>
      </c>
      <c r="BG131" s="270" t="e">
        <f t="array" ref="BG131">IF(AND(BG$2&lt;&gt;0,#REF!&gt;=BG$2),1,0)</f>
        <v>#REF!</v>
      </c>
      <c r="BH131" s="270" t="e">
        <f t="array" ref="BH131">IF(AND(BH$2&lt;&gt;0,#REF!&gt;=BH$2),1,0)</f>
        <v>#REF!</v>
      </c>
      <c r="BI131" s="270" t="e">
        <f t="array" ref="BI131">IF(AND(BI$2&lt;&gt;0,#REF!&gt;=BI$2),1,0)</f>
        <v>#REF!</v>
      </c>
      <c r="BJ131" s="270" t="e">
        <f t="array" ref="BJ131">IF(AND(BJ$2&lt;&gt;0,#REF!&gt;=BJ$2),1,0)</f>
        <v>#REF!</v>
      </c>
      <c r="BK131" s="270" t="e">
        <f t="array" ref="BK131">IF(AND(BK$2&lt;&gt;0,#REF!&gt;=BK$2),1,0)</f>
        <v>#REF!</v>
      </c>
      <c r="BL131" s="270" t="e">
        <f t="array" ref="BL131">IF(AND(BL$2&lt;&gt;0,#REF!&gt;=BL$2),1,0)</f>
        <v>#REF!</v>
      </c>
      <c r="BM131" s="270" t="e">
        <f t="array" ref="BM131">IF(AND(BM$2&lt;&gt;0,#REF!&gt;=BM$2),1,0)</f>
        <v>#REF!</v>
      </c>
      <c r="BN131" s="270" t="e">
        <f t="array" ref="BN131">IF(AND(BN$2&lt;&gt;0,#REF!&gt;=BN$2),1,0)</f>
        <v>#REF!</v>
      </c>
      <c r="BO131" s="270" t="e">
        <f t="array" ref="BO131">IF(AND(BO$2&lt;&gt;0,#REF!&gt;=BO$2),1,0)</f>
        <v>#REF!</v>
      </c>
      <c r="BP131" s="270" t="e">
        <f t="array" ref="BP131">IF(AND(BP$2&lt;&gt;0,#REF!&gt;=BP$2),1,0)</f>
        <v>#REF!</v>
      </c>
      <c r="BQ131" s="270" t="e">
        <f t="array" ref="BQ131">IF(AND(BQ$2&lt;&gt;0,#REF!&gt;=BQ$2),1,0)</f>
        <v>#REF!</v>
      </c>
      <c r="BR131" s="270" t="e">
        <f t="array" ref="BR131">IF(AND(BR$2&lt;&gt;0,#REF!&gt;=BR$2),1,0)</f>
        <v>#REF!</v>
      </c>
      <c r="BS131" s="270" t="e">
        <f t="array" ref="BS131">IF(AND(BS$2&lt;&gt;0,#REF!&gt;=BS$2),1,0)</f>
        <v>#REF!</v>
      </c>
      <c r="BT131" s="270" t="e">
        <f t="array" ref="BT131">IF(AND(BT$2&lt;&gt;0,#REF!&gt;=BT$2),1,0)</f>
        <v>#REF!</v>
      </c>
      <c r="BU131" s="270" t="e">
        <f t="array" ref="BU131">IF(AND(BU$2&lt;&gt;0,#REF!&gt;=BU$2),1,0)</f>
        <v>#REF!</v>
      </c>
      <c r="BV131" s="270" t="e">
        <f t="array" ref="BV131">IF(AND(BV$2&lt;&gt;0,#REF!&gt;=BV$2),1,0)</f>
        <v>#REF!</v>
      </c>
      <c r="BW131" s="270" t="e">
        <f t="array" ref="BW131">IF(AND(BW$2&lt;&gt;0,#REF!&gt;=BW$2),1,0)</f>
        <v>#REF!</v>
      </c>
      <c r="BX131" s="270" t="e">
        <f t="array" ref="BX131">IF(AND(BX$2&lt;&gt;0,#REF!&gt;=BX$2),1,0)</f>
        <v>#REF!</v>
      </c>
      <c r="BY131" s="270" t="e">
        <f t="array" ref="BY131">IF(AND(BY$2&lt;&gt;0,#REF!&gt;=BY$2),1,0)</f>
        <v>#REF!</v>
      </c>
      <c r="BZ131" s="270" t="e">
        <f t="array" ref="BZ131">IF(AND(BZ$2&lt;&gt;0,#REF!&gt;=BZ$2),1,0)</f>
        <v>#REF!</v>
      </c>
      <c r="CA131" s="359">
        <f>IFERROR(INDEX($H$4:$H$79,MATCH(INDEX(#REF!,1,MATCH(#REF!,$M$2:$BZ$2,0)),$G$4:$G$79,0)),)</f>
        <v>0</v>
      </c>
    </row>
    <row r="132" spans="1:79" x14ac:dyDescent="0.25">
      <c r="A132" s="262" t="e">
        <f>#REF!</f>
        <v>#REF!</v>
      </c>
      <c r="B132" s="263" t="e">
        <f>#REF!</f>
        <v>#REF!</v>
      </c>
      <c r="C132" s="264" t="e">
        <f>#REF!</f>
        <v>#REF!</v>
      </c>
      <c r="D132" s="264" t="e">
        <f>#REF!</f>
        <v>#REF!</v>
      </c>
      <c r="E132" s="273"/>
      <c r="F132" s="274"/>
      <c r="G132" s="267"/>
      <c r="H132" s="268"/>
      <c r="I132" s="268"/>
      <c r="J132" s="268"/>
      <c r="K132" s="89" t="e">
        <f ca="1">IF(#REF!&lt;&gt;OFFSET(#REF!,-1,0),1,0)</f>
        <v>#REF!</v>
      </c>
      <c r="L132" s="269" t="e">
        <f>COUNTIF(#REF!,1)</f>
        <v>#REF!</v>
      </c>
      <c r="M132" s="270" t="e">
        <f t="array" ref="M132">IF(AND(M$2&lt;&gt;0,#REF!&gt;=M$2),1,0)</f>
        <v>#REF!</v>
      </c>
      <c r="N132" s="270" t="e">
        <f t="array" ref="N132">IF(AND(N$2&lt;&gt;0,#REF!&gt;=N$2),1,0)</f>
        <v>#REF!</v>
      </c>
      <c r="O132" s="270" t="e">
        <f t="array" ref="O132">IF(AND(O$2&lt;&gt;0,#REF!&gt;=O$2),1,0)</f>
        <v>#REF!</v>
      </c>
      <c r="P132" s="270" t="e">
        <f t="array" ref="P132">IF(AND(P$2&lt;&gt;0,#REF!&gt;=P$2),1,0)</f>
        <v>#REF!</v>
      </c>
      <c r="Q132" s="270" t="e">
        <f t="array" ref="Q132">IF(AND(Q$2&lt;&gt;0,#REF!&gt;=Q$2),1,0)</f>
        <v>#REF!</v>
      </c>
      <c r="R132" s="270" t="e">
        <f t="array" ref="R132">IF(AND(R$2&lt;&gt;0,#REF!&gt;=R$2),1,0)</f>
        <v>#REF!</v>
      </c>
      <c r="S132" s="270" t="e">
        <f t="array" ref="S132">IF(AND(S$2&lt;&gt;0,#REF!&gt;=S$2),1,0)</f>
        <v>#REF!</v>
      </c>
      <c r="T132" s="270" t="e">
        <f t="array" ref="T132">IF(AND(T$2&lt;&gt;0,#REF!&gt;=T$2),1,0)</f>
        <v>#REF!</v>
      </c>
      <c r="U132" s="270" t="e">
        <f t="array" ref="U132">IF(AND(U$2&lt;&gt;0,#REF!&gt;=U$2),1,0)</f>
        <v>#REF!</v>
      </c>
      <c r="V132" s="270" t="e">
        <f t="array" ref="V132">IF(AND(V$2&lt;&gt;0,#REF!&gt;=V$2),1,0)</f>
        <v>#REF!</v>
      </c>
      <c r="W132" s="270" t="e">
        <f t="array" ref="W132">IF(AND(W$2&lt;&gt;0,#REF!&gt;=W$2),1,0)</f>
        <v>#REF!</v>
      </c>
      <c r="X132" s="270" t="e">
        <f t="array" ref="X132">IF(AND(X$2&lt;&gt;0,#REF!&gt;=X$2),1,0)</f>
        <v>#REF!</v>
      </c>
      <c r="Y132" s="270" t="e">
        <f t="array" ref="Y132">IF(AND(Y$2&lt;&gt;0,#REF!&gt;=Y$2),1,0)</f>
        <v>#REF!</v>
      </c>
      <c r="Z132" s="270" t="e">
        <f t="array" ref="Z132">IF(AND(Z$2&lt;&gt;0,#REF!&gt;=Z$2),1,0)</f>
        <v>#REF!</v>
      </c>
      <c r="AA132" s="270" t="e">
        <f t="array" ref="AA132">IF(AND(AA$2&lt;&gt;0,#REF!&gt;=AA$2),1,0)</f>
        <v>#REF!</v>
      </c>
      <c r="AB132" s="270" t="e">
        <f t="array" ref="AB132">IF(AND(AB$2&lt;&gt;0,#REF!&gt;=AB$2),1,0)</f>
        <v>#REF!</v>
      </c>
      <c r="AC132" s="270" t="e">
        <f t="array" ref="AC132">IF(AND(AC$2&lt;&gt;0,#REF!&gt;=AC$2),1,0)</f>
        <v>#REF!</v>
      </c>
      <c r="AD132" s="270" t="e">
        <f t="array" ref="AD132">IF(AND(AD$2&lt;&gt;0,#REF!&gt;=AD$2),1,0)</f>
        <v>#REF!</v>
      </c>
      <c r="AE132" s="270" t="e">
        <f t="array" ref="AE132">IF(AND(AE$2&lt;&gt;0,#REF!&gt;=AE$2),1,0)</f>
        <v>#REF!</v>
      </c>
      <c r="AF132" s="270" t="e">
        <f t="array" ref="AF132">IF(AND(AF$2&lt;&gt;0,#REF!&gt;=AF$2),1,0)</f>
        <v>#REF!</v>
      </c>
      <c r="AG132" s="270" t="e">
        <f t="array" ref="AG132">IF(AND(AG$2&lt;&gt;0,#REF!&gt;=AG$2),1,0)</f>
        <v>#REF!</v>
      </c>
      <c r="AH132" s="270" t="e">
        <f t="array" ref="AH132">IF(AND(AH$2&lt;&gt;0,#REF!&gt;=AH$2),1,0)</f>
        <v>#REF!</v>
      </c>
      <c r="AI132" s="270" t="e">
        <f t="array" ref="AI132">IF(AND(AI$2&lt;&gt;0,#REF!&gt;=AI$2),1,0)</f>
        <v>#REF!</v>
      </c>
      <c r="AJ132" s="270" t="e">
        <f t="array" ref="AJ132">IF(AND(AJ$2&lt;&gt;0,#REF!&gt;=AJ$2),1,0)</f>
        <v>#REF!</v>
      </c>
      <c r="AK132" s="270" t="e">
        <f t="array" ref="AK132">IF(AND(AK$2&lt;&gt;0,#REF!&gt;=AK$2),1,0)</f>
        <v>#REF!</v>
      </c>
      <c r="AL132" s="270" t="e">
        <f t="array" ref="AL132">IF(AND(AL$2&lt;&gt;0,#REF!&gt;=AL$2),1,0)</f>
        <v>#REF!</v>
      </c>
      <c r="AM132" s="270" t="e">
        <f t="array" ref="AM132">IF(AND(AM$2&lt;&gt;0,#REF!&gt;=AM$2),1,0)</f>
        <v>#REF!</v>
      </c>
      <c r="AN132" s="270" t="e">
        <f t="array" ref="AN132">IF(AND(AN$2&lt;&gt;0,#REF!&gt;=AN$2),1,0)</f>
        <v>#REF!</v>
      </c>
      <c r="AO132" s="270" t="e">
        <f t="array" ref="AO132">IF(AND(AO$2&lt;&gt;0,#REF!&gt;=AO$2),1,0)</f>
        <v>#REF!</v>
      </c>
      <c r="AP132" s="270" t="e">
        <f t="array" ref="AP132">IF(AND(AP$2&lt;&gt;0,#REF!&gt;=AP$2),1,0)</f>
        <v>#REF!</v>
      </c>
      <c r="AQ132" s="270" t="e">
        <f t="array" ref="AQ132">IF(AND(AQ$2&lt;&gt;0,#REF!&gt;=AQ$2),1,0)</f>
        <v>#REF!</v>
      </c>
      <c r="AR132" s="270" t="e">
        <f t="array" ref="AR132">IF(AND(AR$2&lt;&gt;0,#REF!&gt;=AR$2),1,0)</f>
        <v>#REF!</v>
      </c>
      <c r="AS132" s="270" t="e">
        <f t="array" ref="AS132">IF(AND(AS$2&lt;&gt;0,#REF!&gt;=AS$2),1,0)</f>
        <v>#REF!</v>
      </c>
      <c r="AT132" s="270" t="e">
        <f t="array" ref="AT132">IF(AND(AT$2&lt;&gt;0,#REF!&gt;=AT$2),1,0)</f>
        <v>#REF!</v>
      </c>
      <c r="AU132" s="270" t="e">
        <f t="array" ref="AU132">IF(AND(AU$2&lt;&gt;0,#REF!&gt;=AU$2),1,0)</f>
        <v>#REF!</v>
      </c>
      <c r="AV132" s="270" t="e">
        <f t="array" ref="AV132">IF(AND(AV$2&lt;&gt;0,#REF!&gt;=AV$2),1,0)</f>
        <v>#REF!</v>
      </c>
      <c r="AW132" s="270" t="e">
        <f t="array" ref="AW132">IF(AND(AW$2&lt;&gt;0,#REF!&gt;=AW$2),1,0)</f>
        <v>#REF!</v>
      </c>
      <c r="AX132" s="270" t="e">
        <f t="array" ref="AX132">IF(AND(AX$2&lt;&gt;0,#REF!&gt;=AX$2),1,0)</f>
        <v>#REF!</v>
      </c>
      <c r="AY132" s="270" t="e">
        <f t="array" ref="AY132">IF(AND(AY$2&lt;&gt;0,#REF!&gt;=AY$2),1,0)</f>
        <v>#REF!</v>
      </c>
      <c r="AZ132" s="270" t="e">
        <f t="array" ref="AZ132">IF(AND(AZ$2&lt;&gt;0,#REF!&gt;=AZ$2),1,0)</f>
        <v>#REF!</v>
      </c>
      <c r="BA132" s="270" t="e">
        <f t="array" ref="BA132">IF(AND(BA$2&lt;&gt;0,#REF!&gt;=BA$2),1,0)</f>
        <v>#REF!</v>
      </c>
      <c r="BB132" s="270" t="e">
        <f t="array" ref="BB132">IF(AND(BB$2&lt;&gt;0,#REF!&gt;=BB$2),1,0)</f>
        <v>#REF!</v>
      </c>
      <c r="BC132" s="270" t="e">
        <f t="array" ref="BC132">IF(AND(BC$2&lt;&gt;0,#REF!&gt;=BC$2),1,0)</f>
        <v>#REF!</v>
      </c>
      <c r="BD132" s="270" t="e">
        <f t="array" ref="BD132">IF(AND(BD$2&lt;&gt;0,#REF!&gt;=BD$2),1,0)</f>
        <v>#REF!</v>
      </c>
      <c r="BE132" s="270" t="e">
        <f t="array" ref="BE132">IF(AND(BE$2&lt;&gt;0,#REF!&gt;=BE$2),1,0)</f>
        <v>#REF!</v>
      </c>
      <c r="BF132" s="270" t="e">
        <f t="array" ref="BF132">IF(AND(BF$2&lt;&gt;0,#REF!&gt;=BF$2),1,0)</f>
        <v>#REF!</v>
      </c>
      <c r="BG132" s="270" t="e">
        <f t="array" ref="BG132">IF(AND(BG$2&lt;&gt;0,#REF!&gt;=BG$2),1,0)</f>
        <v>#REF!</v>
      </c>
      <c r="BH132" s="270" t="e">
        <f t="array" ref="BH132">IF(AND(BH$2&lt;&gt;0,#REF!&gt;=BH$2),1,0)</f>
        <v>#REF!</v>
      </c>
      <c r="BI132" s="270" t="e">
        <f t="array" ref="BI132">IF(AND(BI$2&lt;&gt;0,#REF!&gt;=BI$2),1,0)</f>
        <v>#REF!</v>
      </c>
      <c r="BJ132" s="270" t="e">
        <f t="array" ref="BJ132">IF(AND(BJ$2&lt;&gt;0,#REF!&gt;=BJ$2),1,0)</f>
        <v>#REF!</v>
      </c>
      <c r="BK132" s="270" t="e">
        <f t="array" ref="BK132">IF(AND(BK$2&lt;&gt;0,#REF!&gt;=BK$2),1,0)</f>
        <v>#REF!</v>
      </c>
      <c r="BL132" s="270" t="e">
        <f t="array" ref="BL132">IF(AND(BL$2&lt;&gt;0,#REF!&gt;=BL$2),1,0)</f>
        <v>#REF!</v>
      </c>
      <c r="BM132" s="270" t="e">
        <f t="array" ref="BM132">IF(AND(BM$2&lt;&gt;0,#REF!&gt;=BM$2),1,0)</f>
        <v>#REF!</v>
      </c>
      <c r="BN132" s="270" t="e">
        <f t="array" ref="BN132">IF(AND(BN$2&lt;&gt;0,#REF!&gt;=BN$2),1,0)</f>
        <v>#REF!</v>
      </c>
      <c r="BO132" s="270" t="e">
        <f t="array" ref="BO132">IF(AND(BO$2&lt;&gt;0,#REF!&gt;=BO$2),1,0)</f>
        <v>#REF!</v>
      </c>
      <c r="BP132" s="270" t="e">
        <f t="array" ref="BP132">IF(AND(BP$2&lt;&gt;0,#REF!&gt;=BP$2),1,0)</f>
        <v>#REF!</v>
      </c>
      <c r="BQ132" s="270" t="e">
        <f t="array" ref="BQ132">IF(AND(BQ$2&lt;&gt;0,#REF!&gt;=BQ$2),1,0)</f>
        <v>#REF!</v>
      </c>
      <c r="BR132" s="270" t="e">
        <f t="array" ref="BR132">IF(AND(BR$2&lt;&gt;0,#REF!&gt;=BR$2),1,0)</f>
        <v>#REF!</v>
      </c>
      <c r="BS132" s="270" t="e">
        <f t="array" ref="BS132">IF(AND(BS$2&lt;&gt;0,#REF!&gt;=BS$2),1,0)</f>
        <v>#REF!</v>
      </c>
      <c r="BT132" s="270" t="e">
        <f t="array" ref="BT132">IF(AND(BT$2&lt;&gt;0,#REF!&gt;=BT$2),1,0)</f>
        <v>#REF!</v>
      </c>
      <c r="BU132" s="270" t="e">
        <f t="array" ref="BU132">IF(AND(BU$2&lt;&gt;0,#REF!&gt;=BU$2),1,0)</f>
        <v>#REF!</v>
      </c>
      <c r="BV132" s="270" t="e">
        <f t="array" ref="BV132">IF(AND(BV$2&lt;&gt;0,#REF!&gt;=BV$2),1,0)</f>
        <v>#REF!</v>
      </c>
      <c r="BW132" s="270" t="e">
        <f t="array" ref="BW132">IF(AND(BW$2&lt;&gt;0,#REF!&gt;=BW$2),1,0)</f>
        <v>#REF!</v>
      </c>
      <c r="BX132" s="270" t="e">
        <f t="array" ref="BX132">IF(AND(BX$2&lt;&gt;0,#REF!&gt;=BX$2),1,0)</f>
        <v>#REF!</v>
      </c>
      <c r="BY132" s="270" t="e">
        <f t="array" ref="BY132">IF(AND(BY$2&lt;&gt;0,#REF!&gt;=BY$2),1,0)</f>
        <v>#REF!</v>
      </c>
      <c r="BZ132" s="270" t="e">
        <f t="array" ref="BZ132">IF(AND(BZ$2&lt;&gt;0,#REF!&gt;=BZ$2),1,0)</f>
        <v>#REF!</v>
      </c>
      <c r="CA132" s="359">
        <f>IFERROR(INDEX($H$4:$H$79,MATCH(INDEX(#REF!,1,MATCH(#REF!,$M$2:$BZ$2,0)),$G$4:$G$79,0)),)</f>
        <v>0</v>
      </c>
    </row>
    <row r="133" spans="1:79" x14ac:dyDescent="0.25">
      <c r="A133" s="262" t="e">
        <f>#REF!</f>
        <v>#REF!</v>
      </c>
      <c r="B133" s="263" t="e">
        <f>#REF!</f>
        <v>#REF!</v>
      </c>
      <c r="C133" s="264" t="e">
        <f>#REF!</f>
        <v>#REF!</v>
      </c>
      <c r="D133" s="264" t="e">
        <f>#REF!</f>
        <v>#REF!</v>
      </c>
      <c r="E133" s="273"/>
      <c r="F133" s="274"/>
      <c r="G133" s="267"/>
      <c r="H133" s="268"/>
      <c r="I133" s="268"/>
      <c r="J133" s="268"/>
      <c r="K133" s="89" t="e">
        <f ca="1">IF(#REF!&lt;&gt;OFFSET(#REF!,-1,0),1,0)</f>
        <v>#REF!</v>
      </c>
      <c r="L133" s="269" t="e">
        <f>COUNTIF(#REF!,1)</f>
        <v>#REF!</v>
      </c>
      <c r="M133" s="270" t="e">
        <f t="array" ref="M133">IF(AND(M$2&lt;&gt;0,#REF!&gt;=M$2),1,0)</f>
        <v>#REF!</v>
      </c>
      <c r="N133" s="270" t="e">
        <f t="array" ref="N133">IF(AND(N$2&lt;&gt;0,#REF!&gt;=N$2),1,0)</f>
        <v>#REF!</v>
      </c>
      <c r="O133" s="270" t="e">
        <f t="array" ref="O133">IF(AND(O$2&lt;&gt;0,#REF!&gt;=O$2),1,0)</f>
        <v>#REF!</v>
      </c>
      <c r="P133" s="270" t="e">
        <f t="array" ref="P133">IF(AND(P$2&lt;&gt;0,#REF!&gt;=P$2),1,0)</f>
        <v>#REF!</v>
      </c>
      <c r="Q133" s="270" t="e">
        <f t="array" ref="Q133">IF(AND(Q$2&lt;&gt;0,#REF!&gt;=Q$2),1,0)</f>
        <v>#REF!</v>
      </c>
      <c r="R133" s="270" t="e">
        <f t="array" ref="R133">IF(AND(R$2&lt;&gt;0,#REF!&gt;=R$2),1,0)</f>
        <v>#REF!</v>
      </c>
      <c r="S133" s="270" t="e">
        <f t="array" ref="S133">IF(AND(S$2&lt;&gt;0,#REF!&gt;=S$2),1,0)</f>
        <v>#REF!</v>
      </c>
      <c r="T133" s="270" t="e">
        <f t="array" ref="T133">IF(AND(T$2&lt;&gt;0,#REF!&gt;=T$2),1,0)</f>
        <v>#REF!</v>
      </c>
      <c r="U133" s="270" t="e">
        <f t="array" ref="U133">IF(AND(U$2&lt;&gt;0,#REF!&gt;=U$2),1,0)</f>
        <v>#REF!</v>
      </c>
      <c r="V133" s="270" t="e">
        <f t="array" ref="V133">IF(AND(V$2&lt;&gt;0,#REF!&gt;=V$2),1,0)</f>
        <v>#REF!</v>
      </c>
      <c r="W133" s="270" t="e">
        <f t="array" ref="W133">IF(AND(W$2&lt;&gt;0,#REF!&gt;=W$2),1,0)</f>
        <v>#REF!</v>
      </c>
      <c r="X133" s="270" t="e">
        <f t="array" ref="X133">IF(AND(X$2&lt;&gt;0,#REF!&gt;=X$2),1,0)</f>
        <v>#REF!</v>
      </c>
      <c r="Y133" s="270" t="e">
        <f t="array" ref="Y133">IF(AND(Y$2&lt;&gt;0,#REF!&gt;=Y$2),1,0)</f>
        <v>#REF!</v>
      </c>
      <c r="Z133" s="270" t="e">
        <f t="array" ref="Z133">IF(AND(Z$2&lt;&gt;0,#REF!&gt;=Z$2),1,0)</f>
        <v>#REF!</v>
      </c>
      <c r="AA133" s="270" t="e">
        <f t="array" ref="AA133">IF(AND(AA$2&lt;&gt;0,#REF!&gt;=AA$2),1,0)</f>
        <v>#REF!</v>
      </c>
      <c r="AB133" s="270" t="e">
        <f t="array" ref="AB133">IF(AND(AB$2&lt;&gt;0,#REF!&gt;=AB$2),1,0)</f>
        <v>#REF!</v>
      </c>
      <c r="AC133" s="270" t="e">
        <f t="array" ref="AC133">IF(AND(AC$2&lt;&gt;0,#REF!&gt;=AC$2),1,0)</f>
        <v>#REF!</v>
      </c>
      <c r="AD133" s="270" t="e">
        <f t="array" ref="AD133">IF(AND(AD$2&lt;&gt;0,#REF!&gt;=AD$2),1,0)</f>
        <v>#REF!</v>
      </c>
      <c r="AE133" s="270" t="e">
        <f t="array" ref="AE133">IF(AND(AE$2&lt;&gt;0,#REF!&gt;=AE$2),1,0)</f>
        <v>#REF!</v>
      </c>
      <c r="AF133" s="270" t="e">
        <f t="array" ref="AF133">IF(AND(AF$2&lt;&gt;0,#REF!&gt;=AF$2),1,0)</f>
        <v>#REF!</v>
      </c>
      <c r="AG133" s="270" t="e">
        <f t="array" ref="AG133">IF(AND(AG$2&lt;&gt;0,#REF!&gt;=AG$2),1,0)</f>
        <v>#REF!</v>
      </c>
      <c r="AH133" s="270" t="e">
        <f t="array" ref="AH133">IF(AND(AH$2&lt;&gt;0,#REF!&gt;=AH$2),1,0)</f>
        <v>#REF!</v>
      </c>
      <c r="AI133" s="270" t="e">
        <f t="array" ref="AI133">IF(AND(AI$2&lt;&gt;0,#REF!&gt;=AI$2),1,0)</f>
        <v>#REF!</v>
      </c>
      <c r="AJ133" s="270" t="e">
        <f t="array" ref="AJ133">IF(AND(AJ$2&lt;&gt;0,#REF!&gt;=AJ$2),1,0)</f>
        <v>#REF!</v>
      </c>
      <c r="AK133" s="270" t="e">
        <f t="array" ref="AK133">IF(AND(AK$2&lt;&gt;0,#REF!&gt;=AK$2),1,0)</f>
        <v>#REF!</v>
      </c>
      <c r="AL133" s="270" t="e">
        <f t="array" ref="AL133">IF(AND(AL$2&lt;&gt;0,#REF!&gt;=AL$2),1,0)</f>
        <v>#REF!</v>
      </c>
      <c r="AM133" s="270" t="e">
        <f t="array" ref="AM133">IF(AND(AM$2&lt;&gt;0,#REF!&gt;=AM$2),1,0)</f>
        <v>#REF!</v>
      </c>
      <c r="AN133" s="270" t="e">
        <f t="array" ref="AN133">IF(AND(AN$2&lt;&gt;0,#REF!&gt;=AN$2),1,0)</f>
        <v>#REF!</v>
      </c>
      <c r="AO133" s="270" t="e">
        <f t="array" ref="AO133">IF(AND(AO$2&lt;&gt;0,#REF!&gt;=AO$2),1,0)</f>
        <v>#REF!</v>
      </c>
      <c r="AP133" s="270" t="e">
        <f t="array" ref="AP133">IF(AND(AP$2&lt;&gt;0,#REF!&gt;=AP$2),1,0)</f>
        <v>#REF!</v>
      </c>
      <c r="AQ133" s="270" t="e">
        <f t="array" ref="AQ133">IF(AND(AQ$2&lt;&gt;0,#REF!&gt;=AQ$2),1,0)</f>
        <v>#REF!</v>
      </c>
      <c r="AR133" s="270" t="e">
        <f t="array" ref="AR133">IF(AND(AR$2&lt;&gt;0,#REF!&gt;=AR$2),1,0)</f>
        <v>#REF!</v>
      </c>
      <c r="AS133" s="270" t="e">
        <f t="array" ref="AS133">IF(AND(AS$2&lt;&gt;0,#REF!&gt;=AS$2),1,0)</f>
        <v>#REF!</v>
      </c>
      <c r="AT133" s="270" t="e">
        <f t="array" ref="AT133">IF(AND(AT$2&lt;&gt;0,#REF!&gt;=AT$2),1,0)</f>
        <v>#REF!</v>
      </c>
      <c r="AU133" s="270" t="e">
        <f t="array" ref="AU133">IF(AND(AU$2&lt;&gt;0,#REF!&gt;=AU$2),1,0)</f>
        <v>#REF!</v>
      </c>
      <c r="AV133" s="270" t="e">
        <f t="array" ref="AV133">IF(AND(AV$2&lt;&gt;0,#REF!&gt;=AV$2),1,0)</f>
        <v>#REF!</v>
      </c>
      <c r="AW133" s="270" t="e">
        <f t="array" ref="AW133">IF(AND(AW$2&lt;&gt;0,#REF!&gt;=AW$2),1,0)</f>
        <v>#REF!</v>
      </c>
      <c r="AX133" s="270" t="e">
        <f t="array" ref="AX133">IF(AND(AX$2&lt;&gt;0,#REF!&gt;=AX$2),1,0)</f>
        <v>#REF!</v>
      </c>
      <c r="AY133" s="270" t="e">
        <f t="array" ref="AY133">IF(AND(AY$2&lt;&gt;0,#REF!&gt;=AY$2),1,0)</f>
        <v>#REF!</v>
      </c>
      <c r="AZ133" s="270" t="e">
        <f t="array" ref="AZ133">IF(AND(AZ$2&lt;&gt;0,#REF!&gt;=AZ$2),1,0)</f>
        <v>#REF!</v>
      </c>
      <c r="BA133" s="270" t="e">
        <f t="array" ref="BA133">IF(AND(BA$2&lt;&gt;0,#REF!&gt;=BA$2),1,0)</f>
        <v>#REF!</v>
      </c>
      <c r="BB133" s="270" t="e">
        <f t="array" ref="BB133">IF(AND(BB$2&lt;&gt;0,#REF!&gt;=BB$2),1,0)</f>
        <v>#REF!</v>
      </c>
      <c r="BC133" s="270" t="e">
        <f t="array" ref="BC133">IF(AND(BC$2&lt;&gt;0,#REF!&gt;=BC$2),1,0)</f>
        <v>#REF!</v>
      </c>
      <c r="BD133" s="270" t="e">
        <f t="array" ref="BD133">IF(AND(BD$2&lt;&gt;0,#REF!&gt;=BD$2),1,0)</f>
        <v>#REF!</v>
      </c>
      <c r="BE133" s="270" t="e">
        <f t="array" ref="BE133">IF(AND(BE$2&lt;&gt;0,#REF!&gt;=BE$2),1,0)</f>
        <v>#REF!</v>
      </c>
      <c r="BF133" s="270" t="e">
        <f t="array" ref="BF133">IF(AND(BF$2&lt;&gt;0,#REF!&gt;=BF$2),1,0)</f>
        <v>#REF!</v>
      </c>
      <c r="BG133" s="270" t="e">
        <f t="array" ref="BG133">IF(AND(BG$2&lt;&gt;0,#REF!&gt;=BG$2),1,0)</f>
        <v>#REF!</v>
      </c>
      <c r="BH133" s="270" t="e">
        <f t="array" ref="BH133">IF(AND(BH$2&lt;&gt;0,#REF!&gt;=BH$2),1,0)</f>
        <v>#REF!</v>
      </c>
      <c r="BI133" s="270" t="e">
        <f t="array" ref="BI133">IF(AND(BI$2&lt;&gt;0,#REF!&gt;=BI$2),1,0)</f>
        <v>#REF!</v>
      </c>
      <c r="BJ133" s="270" t="e">
        <f t="array" ref="BJ133">IF(AND(BJ$2&lt;&gt;0,#REF!&gt;=BJ$2),1,0)</f>
        <v>#REF!</v>
      </c>
      <c r="BK133" s="270" t="e">
        <f t="array" ref="BK133">IF(AND(BK$2&lt;&gt;0,#REF!&gt;=BK$2),1,0)</f>
        <v>#REF!</v>
      </c>
      <c r="BL133" s="270" t="e">
        <f t="array" ref="BL133">IF(AND(BL$2&lt;&gt;0,#REF!&gt;=BL$2),1,0)</f>
        <v>#REF!</v>
      </c>
      <c r="BM133" s="270" t="e">
        <f t="array" ref="BM133">IF(AND(BM$2&lt;&gt;0,#REF!&gt;=BM$2),1,0)</f>
        <v>#REF!</v>
      </c>
      <c r="BN133" s="270" t="e">
        <f t="array" ref="BN133">IF(AND(BN$2&lt;&gt;0,#REF!&gt;=BN$2),1,0)</f>
        <v>#REF!</v>
      </c>
      <c r="BO133" s="270" t="e">
        <f t="array" ref="BO133">IF(AND(BO$2&lt;&gt;0,#REF!&gt;=BO$2),1,0)</f>
        <v>#REF!</v>
      </c>
      <c r="BP133" s="270" t="e">
        <f t="array" ref="BP133">IF(AND(BP$2&lt;&gt;0,#REF!&gt;=BP$2),1,0)</f>
        <v>#REF!</v>
      </c>
      <c r="BQ133" s="270" t="e">
        <f t="array" ref="BQ133">IF(AND(BQ$2&lt;&gt;0,#REF!&gt;=BQ$2),1,0)</f>
        <v>#REF!</v>
      </c>
      <c r="BR133" s="270" t="e">
        <f t="array" ref="BR133">IF(AND(BR$2&lt;&gt;0,#REF!&gt;=BR$2),1,0)</f>
        <v>#REF!</v>
      </c>
      <c r="BS133" s="270" t="e">
        <f t="array" ref="BS133">IF(AND(BS$2&lt;&gt;0,#REF!&gt;=BS$2),1,0)</f>
        <v>#REF!</v>
      </c>
      <c r="BT133" s="270" t="e">
        <f t="array" ref="BT133">IF(AND(BT$2&lt;&gt;0,#REF!&gt;=BT$2),1,0)</f>
        <v>#REF!</v>
      </c>
      <c r="BU133" s="270" t="e">
        <f t="array" ref="BU133">IF(AND(BU$2&lt;&gt;0,#REF!&gt;=BU$2),1,0)</f>
        <v>#REF!</v>
      </c>
      <c r="BV133" s="270" t="e">
        <f t="array" ref="BV133">IF(AND(BV$2&lt;&gt;0,#REF!&gt;=BV$2),1,0)</f>
        <v>#REF!</v>
      </c>
      <c r="BW133" s="270" t="e">
        <f t="array" ref="BW133">IF(AND(BW$2&lt;&gt;0,#REF!&gt;=BW$2),1,0)</f>
        <v>#REF!</v>
      </c>
      <c r="BX133" s="270" t="e">
        <f t="array" ref="BX133">IF(AND(BX$2&lt;&gt;0,#REF!&gt;=BX$2),1,0)</f>
        <v>#REF!</v>
      </c>
      <c r="BY133" s="270" t="e">
        <f t="array" ref="BY133">IF(AND(BY$2&lt;&gt;0,#REF!&gt;=BY$2),1,0)</f>
        <v>#REF!</v>
      </c>
      <c r="BZ133" s="270" t="e">
        <f t="array" ref="BZ133">IF(AND(BZ$2&lt;&gt;0,#REF!&gt;=BZ$2),1,0)</f>
        <v>#REF!</v>
      </c>
      <c r="CA133" s="359">
        <f>IFERROR(INDEX($H$4:$H$79,MATCH(INDEX(#REF!,1,MATCH(#REF!,$M$2:$BZ$2,0)),$G$4:$G$79,0)),)</f>
        <v>0</v>
      </c>
    </row>
    <row r="134" spans="1:79" x14ac:dyDescent="0.25">
      <c r="A134" s="262" t="e">
        <f>#REF!</f>
        <v>#REF!</v>
      </c>
      <c r="B134" s="263" t="e">
        <f>#REF!</f>
        <v>#REF!</v>
      </c>
      <c r="C134" s="264" t="e">
        <f>#REF!</f>
        <v>#REF!</v>
      </c>
      <c r="D134" s="264" t="e">
        <f>#REF!</f>
        <v>#REF!</v>
      </c>
      <c r="E134" s="273"/>
      <c r="F134" s="274"/>
      <c r="G134" s="267"/>
      <c r="H134" s="268"/>
      <c r="I134" s="268"/>
      <c r="J134" s="268"/>
      <c r="K134" s="89" t="e">
        <f ca="1">IF(#REF!&lt;&gt;OFFSET(#REF!,-1,0),1,0)</f>
        <v>#REF!</v>
      </c>
      <c r="L134" s="269" t="e">
        <f>COUNTIF(#REF!,1)</f>
        <v>#REF!</v>
      </c>
      <c r="M134" s="270" t="e">
        <f t="array" ref="M134">IF(AND(M$2&lt;&gt;0,#REF!&gt;=M$2),1,0)</f>
        <v>#REF!</v>
      </c>
      <c r="N134" s="270" t="e">
        <f t="array" ref="N134">IF(AND(N$2&lt;&gt;0,#REF!&gt;=N$2),1,0)</f>
        <v>#REF!</v>
      </c>
      <c r="O134" s="270" t="e">
        <f t="array" ref="O134">IF(AND(O$2&lt;&gt;0,#REF!&gt;=O$2),1,0)</f>
        <v>#REF!</v>
      </c>
      <c r="P134" s="270" t="e">
        <f t="array" ref="P134">IF(AND(P$2&lt;&gt;0,#REF!&gt;=P$2),1,0)</f>
        <v>#REF!</v>
      </c>
      <c r="Q134" s="270" t="e">
        <f t="array" ref="Q134">IF(AND(Q$2&lt;&gt;0,#REF!&gt;=Q$2),1,0)</f>
        <v>#REF!</v>
      </c>
      <c r="R134" s="270" t="e">
        <f t="array" ref="R134">IF(AND(R$2&lt;&gt;0,#REF!&gt;=R$2),1,0)</f>
        <v>#REF!</v>
      </c>
      <c r="S134" s="270" t="e">
        <f t="array" ref="S134">IF(AND(S$2&lt;&gt;0,#REF!&gt;=S$2),1,0)</f>
        <v>#REF!</v>
      </c>
      <c r="T134" s="270" t="e">
        <f t="array" ref="T134">IF(AND(T$2&lt;&gt;0,#REF!&gt;=T$2),1,0)</f>
        <v>#REF!</v>
      </c>
      <c r="U134" s="270" t="e">
        <f t="array" ref="U134">IF(AND(U$2&lt;&gt;0,#REF!&gt;=U$2),1,0)</f>
        <v>#REF!</v>
      </c>
      <c r="V134" s="270" t="e">
        <f t="array" ref="V134">IF(AND(V$2&lt;&gt;0,#REF!&gt;=V$2),1,0)</f>
        <v>#REF!</v>
      </c>
      <c r="W134" s="270" t="e">
        <f t="array" ref="W134">IF(AND(W$2&lt;&gt;0,#REF!&gt;=W$2),1,0)</f>
        <v>#REF!</v>
      </c>
      <c r="X134" s="270" t="e">
        <f t="array" ref="X134">IF(AND(X$2&lt;&gt;0,#REF!&gt;=X$2),1,0)</f>
        <v>#REF!</v>
      </c>
      <c r="Y134" s="270" t="e">
        <f t="array" ref="Y134">IF(AND(Y$2&lt;&gt;0,#REF!&gt;=Y$2),1,0)</f>
        <v>#REF!</v>
      </c>
      <c r="Z134" s="270" t="e">
        <f t="array" ref="Z134">IF(AND(Z$2&lt;&gt;0,#REF!&gt;=Z$2),1,0)</f>
        <v>#REF!</v>
      </c>
      <c r="AA134" s="270" t="e">
        <f t="array" ref="AA134">IF(AND(AA$2&lt;&gt;0,#REF!&gt;=AA$2),1,0)</f>
        <v>#REF!</v>
      </c>
      <c r="AB134" s="270" t="e">
        <f t="array" ref="AB134">IF(AND(AB$2&lt;&gt;0,#REF!&gt;=AB$2),1,0)</f>
        <v>#REF!</v>
      </c>
      <c r="AC134" s="270" t="e">
        <f t="array" ref="AC134">IF(AND(AC$2&lt;&gt;0,#REF!&gt;=AC$2),1,0)</f>
        <v>#REF!</v>
      </c>
      <c r="AD134" s="270" t="e">
        <f t="array" ref="AD134">IF(AND(AD$2&lt;&gt;0,#REF!&gt;=AD$2),1,0)</f>
        <v>#REF!</v>
      </c>
      <c r="AE134" s="270" t="e">
        <f t="array" ref="AE134">IF(AND(AE$2&lt;&gt;0,#REF!&gt;=AE$2),1,0)</f>
        <v>#REF!</v>
      </c>
      <c r="AF134" s="270" t="e">
        <f t="array" ref="AF134">IF(AND(AF$2&lt;&gt;0,#REF!&gt;=AF$2),1,0)</f>
        <v>#REF!</v>
      </c>
      <c r="AG134" s="270" t="e">
        <f t="array" ref="AG134">IF(AND(AG$2&lt;&gt;0,#REF!&gt;=AG$2),1,0)</f>
        <v>#REF!</v>
      </c>
      <c r="AH134" s="270" t="e">
        <f t="array" ref="AH134">IF(AND(AH$2&lt;&gt;0,#REF!&gt;=AH$2),1,0)</f>
        <v>#REF!</v>
      </c>
      <c r="AI134" s="270" t="e">
        <f t="array" ref="AI134">IF(AND(AI$2&lt;&gt;0,#REF!&gt;=AI$2),1,0)</f>
        <v>#REF!</v>
      </c>
      <c r="AJ134" s="270" t="e">
        <f t="array" ref="AJ134">IF(AND(AJ$2&lt;&gt;0,#REF!&gt;=AJ$2),1,0)</f>
        <v>#REF!</v>
      </c>
      <c r="AK134" s="270" t="e">
        <f t="array" ref="AK134">IF(AND(AK$2&lt;&gt;0,#REF!&gt;=AK$2),1,0)</f>
        <v>#REF!</v>
      </c>
      <c r="AL134" s="270" t="e">
        <f t="array" ref="AL134">IF(AND(AL$2&lt;&gt;0,#REF!&gt;=AL$2),1,0)</f>
        <v>#REF!</v>
      </c>
      <c r="AM134" s="270" t="e">
        <f t="array" ref="AM134">IF(AND(AM$2&lt;&gt;0,#REF!&gt;=AM$2),1,0)</f>
        <v>#REF!</v>
      </c>
      <c r="AN134" s="270" t="e">
        <f t="array" ref="AN134">IF(AND(AN$2&lt;&gt;0,#REF!&gt;=AN$2),1,0)</f>
        <v>#REF!</v>
      </c>
      <c r="AO134" s="270" t="e">
        <f t="array" ref="AO134">IF(AND(AO$2&lt;&gt;0,#REF!&gt;=AO$2),1,0)</f>
        <v>#REF!</v>
      </c>
      <c r="AP134" s="270" t="e">
        <f t="array" ref="AP134">IF(AND(AP$2&lt;&gt;0,#REF!&gt;=AP$2),1,0)</f>
        <v>#REF!</v>
      </c>
      <c r="AQ134" s="270" t="e">
        <f t="array" ref="AQ134">IF(AND(AQ$2&lt;&gt;0,#REF!&gt;=AQ$2),1,0)</f>
        <v>#REF!</v>
      </c>
      <c r="AR134" s="270" t="e">
        <f t="array" ref="AR134">IF(AND(AR$2&lt;&gt;0,#REF!&gt;=AR$2),1,0)</f>
        <v>#REF!</v>
      </c>
      <c r="AS134" s="270" t="e">
        <f t="array" ref="AS134">IF(AND(AS$2&lt;&gt;0,#REF!&gt;=AS$2),1,0)</f>
        <v>#REF!</v>
      </c>
      <c r="AT134" s="270" t="e">
        <f t="array" ref="AT134">IF(AND(AT$2&lt;&gt;0,#REF!&gt;=AT$2),1,0)</f>
        <v>#REF!</v>
      </c>
      <c r="AU134" s="270" t="e">
        <f t="array" ref="AU134">IF(AND(AU$2&lt;&gt;0,#REF!&gt;=AU$2),1,0)</f>
        <v>#REF!</v>
      </c>
      <c r="AV134" s="270" t="e">
        <f t="array" ref="AV134">IF(AND(AV$2&lt;&gt;0,#REF!&gt;=AV$2),1,0)</f>
        <v>#REF!</v>
      </c>
      <c r="AW134" s="270" t="e">
        <f t="array" ref="AW134">IF(AND(AW$2&lt;&gt;0,#REF!&gt;=AW$2),1,0)</f>
        <v>#REF!</v>
      </c>
      <c r="AX134" s="270" t="e">
        <f t="array" ref="AX134">IF(AND(AX$2&lt;&gt;0,#REF!&gt;=AX$2),1,0)</f>
        <v>#REF!</v>
      </c>
      <c r="AY134" s="270" t="e">
        <f t="array" ref="AY134">IF(AND(AY$2&lt;&gt;0,#REF!&gt;=AY$2),1,0)</f>
        <v>#REF!</v>
      </c>
      <c r="AZ134" s="270" t="e">
        <f t="array" ref="AZ134">IF(AND(AZ$2&lt;&gt;0,#REF!&gt;=AZ$2),1,0)</f>
        <v>#REF!</v>
      </c>
      <c r="BA134" s="270" t="e">
        <f t="array" ref="BA134">IF(AND(BA$2&lt;&gt;0,#REF!&gt;=BA$2),1,0)</f>
        <v>#REF!</v>
      </c>
      <c r="BB134" s="270" t="e">
        <f t="array" ref="BB134">IF(AND(BB$2&lt;&gt;0,#REF!&gt;=BB$2),1,0)</f>
        <v>#REF!</v>
      </c>
      <c r="BC134" s="270" t="e">
        <f t="array" ref="BC134">IF(AND(BC$2&lt;&gt;0,#REF!&gt;=BC$2),1,0)</f>
        <v>#REF!</v>
      </c>
      <c r="BD134" s="270" t="e">
        <f t="array" ref="BD134">IF(AND(BD$2&lt;&gt;0,#REF!&gt;=BD$2),1,0)</f>
        <v>#REF!</v>
      </c>
      <c r="BE134" s="270" t="e">
        <f t="array" ref="BE134">IF(AND(BE$2&lt;&gt;0,#REF!&gt;=BE$2),1,0)</f>
        <v>#REF!</v>
      </c>
      <c r="BF134" s="270" t="e">
        <f t="array" ref="BF134">IF(AND(BF$2&lt;&gt;0,#REF!&gt;=BF$2),1,0)</f>
        <v>#REF!</v>
      </c>
      <c r="BG134" s="270" t="e">
        <f t="array" ref="BG134">IF(AND(BG$2&lt;&gt;0,#REF!&gt;=BG$2),1,0)</f>
        <v>#REF!</v>
      </c>
      <c r="BH134" s="270" t="e">
        <f t="array" ref="BH134">IF(AND(BH$2&lt;&gt;0,#REF!&gt;=BH$2),1,0)</f>
        <v>#REF!</v>
      </c>
      <c r="BI134" s="270" t="e">
        <f t="array" ref="BI134">IF(AND(BI$2&lt;&gt;0,#REF!&gt;=BI$2),1,0)</f>
        <v>#REF!</v>
      </c>
      <c r="BJ134" s="270" t="e">
        <f t="array" ref="BJ134">IF(AND(BJ$2&lt;&gt;0,#REF!&gt;=BJ$2),1,0)</f>
        <v>#REF!</v>
      </c>
      <c r="BK134" s="270" t="e">
        <f t="array" ref="BK134">IF(AND(BK$2&lt;&gt;0,#REF!&gt;=BK$2),1,0)</f>
        <v>#REF!</v>
      </c>
      <c r="BL134" s="270" t="e">
        <f t="array" ref="BL134">IF(AND(BL$2&lt;&gt;0,#REF!&gt;=BL$2),1,0)</f>
        <v>#REF!</v>
      </c>
      <c r="BM134" s="270" t="e">
        <f t="array" ref="BM134">IF(AND(BM$2&lt;&gt;0,#REF!&gt;=BM$2),1,0)</f>
        <v>#REF!</v>
      </c>
      <c r="BN134" s="270" t="e">
        <f t="array" ref="BN134">IF(AND(BN$2&lt;&gt;0,#REF!&gt;=BN$2),1,0)</f>
        <v>#REF!</v>
      </c>
      <c r="BO134" s="270" t="e">
        <f t="array" ref="BO134">IF(AND(BO$2&lt;&gt;0,#REF!&gt;=BO$2),1,0)</f>
        <v>#REF!</v>
      </c>
      <c r="BP134" s="270" t="e">
        <f t="array" ref="BP134">IF(AND(BP$2&lt;&gt;0,#REF!&gt;=BP$2),1,0)</f>
        <v>#REF!</v>
      </c>
      <c r="BQ134" s="270" t="e">
        <f t="array" ref="BQ134">IF(AND(BQ$2&lt;&gt;0,#REF!&gt;=BQ$2),1,0)</f>
        <v>#REF!</v>
      </c>
      <c r="BR134" s="270" t="e">
        <f t="array" ref="BR134">IF(AND(BR$2&lt;&gt;0,#REF!&gt;=BR$2),1,0)</f>
        <v>#REF!</v>
      </c>
      <c r="BS134" s="270" t="e">
        <f t="array" ref="BS134">IF(AND(BS$2&lt;&gt;0,#REF!&gt;=BS$2),1,0)</f>
        <v>#REF!</v>
      </c>
      <c r="BT134" s="270" t="e">
        <f t="array" ref="BT134">IF(AND(BT$2&lt;&gt;0,#REF!&gt;=BT$2),1,0)</f>
        <v>#REF!</v>
      </c>
      <c r="BU134" s="270" t="e">
        <f t="array" ref="BU134">IF(AND(BU$2&lt;&gt;0,#REF!&gt;=BU$2),1,0)</f>
        <v>#REF!</v>
      </c>
      <c r="BV134" s="270" t="e">
        <f t="array" ref="BV134">IF(AND(BV$2&lt;&gt;0,#REF!&gt;=BV$2),1,0)</f>
        <v>#REF!</v>
      </c>
      <c r="BW134" s="270" t="e">
        <f t="array" ref="BW134">IF(AND(BW$2&lt;&gt;0,#REF!&gt;=BW$2),1,0)</f>
        <v>#REF!</v>
      </c>
      <c r="BX134" s="270" t="e">
        <f t="array" ref="BX134">IF(AND(BX$2&lt;&gt;0,#REF!&gt;=BX$2),1,0)</f>
        <v>#REF!</v>
      </c>
      <c r="BY134" s="270" t="e">
        <f t="array" ref="BY134">IF(AND(BY$2&lt;&gt;0,#REF!&gt;=BY$2),1,0)</f>
        <v>#REF!</v>
      </c>
      <c r="BZ134" s="270" t="e">
        <f t="array" ref="BZ134">IF(AND(BZ$2&lt;&gt;0,#REF!&gt;=BZ$2),1,0)</f>
        <v>#REF!</v>
      </c>
      <c r="CA134" s="359">
        <f>IFERROR(INDEX($H$4:$H$79,MATCH(INDEX(#REF!,1,MATCH(#REF!,$M$2:$BZ$2,0)),$G$4:$G$79,0)),)</f>
        <v>0</v>
      </c>
    </row>
    <row r="135" spans="1:79" x14ac:dyDescent="0.25">
      <c r="A135" s="262" t="e">
        <f>#REF!</f>
        <v>#REF!</v>
      </c>
      <c r="B135" s="263" t="e">
        <f>#REF!</f>
        <v>#REF!</v>
      </c>
      <c r="C135" s="264" t="e">
        <f>#REF!</f>
        <v>#REF!</v>
      </c>
      <c r="D135" s="264" t="e">
        <f>#REF!</f>
        <v>#REF!</v>
      </c>
      <c r="E135" s="273"/>
      <c r="F135" s="274"/>
      <c r="G135" s="267"/>
      <c r="H135" s="268"/>
      <c r="I135" s="268"/>
      <c r="J135" s="268"/>
      <c r="K135" s="89" t="e">
        <f ca="1">IF(#REF!&lt;&gt;OFFSET(#REF!,-1,0),1,0)</f>
        <v>#REF!</v>
      </c>
      <c r="L135" s="269" t="e">
        <f>COUNTIF(#REF!,1)</f>
        <v>#REF!</v>
      </c>
      <c r="M135" s="270" t="e">
        <f t="array" ref="M135">IF(AND(M$2&lt;&gt;0,#REF!&gt;=M$2),1,0)</f>
        <v>#REF!</v>
      </c>
      <c r="N135" s="270" t="e">
        <f t="array" ref="N135">IF(AND(N$2&lt;&gt;0,#REF!&gt;=N$2),1,0)</f>
        <v>#REF!</v>
      </c>
      <c r="O135" s="270" t="e">
        <f t="array" ref="O135">IF(AND(O$2&lt;&gt;0,#REF!&gt;=O$2),1,0)</f>
        <v>#REF!</v>
      </c>
      <c r="P135" s="270" t="e">
        <f t="array" ref="P135">IF(AND(P$2&lt;&gt;0,#REF!&gt;=P$2),1,0)</f>
        <v>#REF!</v>
      </c>
      <c r="Q135" s="270" t="e">
        <f t="array" ref="Q135">IF(AND(Q$2&lt;&gt;0,#REF!&gt;=Q$2),1,0)</f>
        <v>#REF!</v>
      </c>
      <c r="R135" s="270" t="e">
        <f t="array" ref="R135">IF(AND(R$2&lt;&gt;0,#REF!&gt;=R$2),1,0)</f>
        <v>#REF!</v>
      </c>
      <c r="S135" s="270" t="e">
        <f t="array" ref="S135">IF(AND(S$2&lt;&gt;0,#REF!&gt;=S$2),1,0)</f>
        <v>#REF!</v>
      </c>
      <c r="T135" s="270" t="e">
        <f t="array" ref="T135">IF(AND(T$2&lt;&gt;0,#REF!&gt;=T$2),1,0)</f>
        <v>#REF!</v>
      </c>
      <c r="U135" s="270" t="e">
        <f t="array" ref="U135">IF(AND(U$2&lt;&gt;0,#REF!&gt;=U$2),1,0)</f>
        <v>#REF!</v>
      </c>
      <c r="V135" s="270" t="e">
        <f t="array" ref="V135">IF(AND(V$2&lt;&gt;0,#REF!&gt;=V$2),1,0)</f>
        <v>#REF!</v>
      </c>
      <c r="W135" s="270" t="e">
        <f t="array" ref="W135">IF(AND(W$2&lt;&gt;0,#REF!&gt;=W$2),1,0)</f>
        <v>#REF!</v>
      </c>
      <c r="X135" s="270" t="e">
        <f t="array" ref="X135">IF(AND(X$2&lt;&gt;0,#REF!&gt;=X$2),1,0)</f>
        <v>#REF!</v>
      </c>
      <c r="Y135" s="270" t="e">
        <f t="array" ref="Y135">IF(AND(Y$2&lt;&gt;0,#REF!&gt;=Y$2),1,0)</f>
        <v>#REF!</v>
      </c>
      <c r="Z135" s="270" t="e">
        <f t="array" ref="Z135">IF(AND(Z$2&lt;&gt;0,#REF!&gt;=Z$2),1,0)</f>
        <v>#REF!</v>
      </c>
      <c r="AA135" s="270" t="e">
        <f t="array" ref="AA135">IF(AND(AA$2&lt;&gt;0,#REF!&gt;=AA$2),1,0)</f>
        <v>#REF!</v>
      </c>
      <c r="AB135" s="270" t="e">
        <f t="array" ref="AB135">IF(AND(AB$2&lt;&gt;0,#REF!&gt;=AB$2),1,0)</f>
        <v>#REF!</v>
      </c>
      <c r="AC135" s="270" t="e">
        <f t="array" ref="AC135">IF(AND(AC$2&lt;&gt;0,#REF!&gt;=AC$2),1,0)</f>
        <v>#REF!</v>
      </c>
      <c r="AD135" s="270" t="e">
        <f t="array" ref="AD135">IF(AND(AD$2&lt;&gt;0,#REF!&gt;=AD$2),1,0)</f>
        <v>#REF!</v>
      </c>
      <c r="AE135" s="270" t="e">
        <f t="array" ref="AE135">IF(AND(AE$2&lt;&gt;0,#REF!&gt;=AE$2),1,0)</f>
        <v>#REF!</v>
      </c>
      <c r="AF135" s="270" t="e">
        <f t="array" ref="AF135">IF(AND(AF$2&lt;&gt;0,#REF!&gt;=AF$2),1,0)</f>
        <v>#REF!</v>
      </c>
      <c r="AG135" s="270" t="e">
        <f t="array" ref="AG135">IF(AND(AG$2&lt;&gt;0,#REF!&gt;=AG$2),1,0)</f>
        <v>#REF!</v>
      </c>
      <c r="AH135" s="270" t="e">
        <f t="array" ref="AH135">IF(AND(AH$2&lt;&gt;0,#REF!&gt;=AH$2),1,0)</f>
        <v>#REF!</v>
      </c>
      <c r="AI135" s="270" t="e">
        <f t="array" ref="AI135">IF(AND(AI$2&lt;&gt;0,#REF!&gt;=AI$2),1,0)</f>
        <v>#REF!</v>
      </c>
      <c r="AJ135" s="270" t="e">
        <f t="array" ref="AJ135">IF(AND(AJ$2&lt;&gt;0,#REF!&gt;=AJ$2),1,0)</f>
        <v>#REF!</v>
      </c>
      <c r="AK135" s="270" t="e">
        <f t="array" ref="AK135">IF(AND(AK$2&lt;&gt;0,#REF!&gt;=AK$2),1,0)</f>
        <v>#REF!</v>
      </c>
      <c r="AL135" s="270" t="e">
        <f t="array" ref="AL135">IF(AND(AL$2&lt;&gt;0,#REF!&gt;=AL$2),1,0)</f>
        <v>#REF!</v>
      </c>
      <c r="AM135" s="270" t="e">
        <f t="array" ref="AM135">IF(AND(AM$2&lt;&gt;0,#REF!&gt;=AM$2),1,0)</f>
        <v>#REF!</v>
      </c>
      <c r="AN135" s="270" t="e">
        <f t="array" ref="AN135">IF(AND(AN$2&lt;&gt;0,#REF!&gt;=AN$2),1,0)</f>
        <v>#REF!</v>
      </c>
      <c r="AO135" s="270" t="e">
        <f t="array" ref="AO135">IF(AND(AO$2&lt;&gt;0,#REF!&gt;=AO$2),1,0)</f>
        <v>#REF!</v>
      </c>
      <c r="AP135" s="270" t="e">
        <f t="array" ref="AP135">IF(AND(AP$2&lt;&gt;0,#REF!&gt;=AP$2),1,0)</f>
        <v>#REF!</v>
      </c>
      <c r="AQ135" s="270" t="e">
        <f t="array" ref="AQ135">IF(AND(AQ$2&lt;&gt;0,#REF!&gt;=AQ$2),1,0)</f>
        <v>#REF!</v>
      </c>
      <c r="AR135" s="270" t="e">
        <f t="array" ref="AR135">IF(AND(AR$2&lt;&gt;0,#REF!&gt;=AR$2),1,0)</f>
        <v>#REF!</v>
      </c>
      <c r="AS135" s="270" t="e">
        <f t="array" ref="AS135">IF(AND(AS$2&lt;&gt;0,#REF!&gt;=AS$2),1,0)</f>
        <v>#REF!</v>
      </c>
      <c r="AT135" s="270" t="e">
        <f t="array" ref="AT135">IF(AND(AT$2&lt;&gt;0,#REF!&gt;=AT$2),1,0)</f>
        <v>#REF!</v>
      </c>
      <c r="AU135" s="270" t="e">
        <f t="array" ref="AU135">IF(AND(AU$2&lt;&gt;0,#REF!&gt;=AU$2),1,0)</f>
        <v>#REF!</v>
      </c>
      <c r="AV135" s="270" t="e">
        <f t="array" ref="AV135">IF(AND(AV$2&lt;&gt;0,#REF!&gt;=AV$2),1,0)</f>
        <v>#REF!</v>
      </c>
      <c r="AW135" s="270" t="e">
        <f t="array" ref="AW135">IF(AND(AW$2&lt;&gt;0,#REF!&gt;=AW$2),1,0)</f>
        <v>#REF!</v>
      </c>
      <c r="AX135" s="270" t="e">
        <f t="array" ref="AX135">IF(AND(AX$2&lt;&gt;0,#REF!&gt;=AX$2),1,0)</f>
        <v>#REF!</v>
      </c>
      <c r="AY135" s="270" t="e">
        <f t="array" ref="AY135">IF(AND(AY$2&lt;&gt;0,#REF!&gt;=AY$2),1,0)</f>
        <v>#REF!</v>
      </c>
      <c r="AZ135" s="270" t="e">
        <f t="array" ref="AZ135">IF(AND(AZ$2&lt;&gt;0,#REF!&gt;=AZ$2),1,0)</f>
        <v>#REF!</v>
      </c>
      <c r="BA135" s="270" t="e">
        <f t="array" ref="BA135">IF(AND(BA$2&lt;&gt;0,#REF!&gt;=BA$2),1,0)</f>
        <v>#REF!</v>
      </c>
      <c r="BB135" s="270" t="e">
        <f t="array" ref="BB135">IF(AND(BB$2&lt;&gt;0,#REF!&gt;=BB$2),1,0)</f>
        <v>#REF!</v>
      </c>
      <c r="BC135" s="270" t="e">
        <f t="array" ref="BC135">IF(AND(BC$2&lt;&gt;0,#REF!&gt;=BC$2),1,0)</f>
        <v>#REF!</v>
      </c>
      <c r="BD135" s="270" t="e">
        <f t="array" ref="BD135">IF(AND(BD$2&lt;&gt;0,#REF!&gt;=BD$2),1,0)</f>
        <v>#REF!</v>
      </c>
      <c r="BE135" s="270" t="e">
        <f t="array" ref="BE135">IF(AND(BE$2&lt;&gt;0,#REF!&gt;=BE$2),1,0)</f>
        <v>#REF!</v>
      </c>
      <c r="BF135" s="270" t="e">
        <f t="array" ref="BF135">IF(AND(BF$2&lt;&gt;0,#REF!&gt;=BF$2),1,0)</f>
        <v>#REF!</v>
      </c>
      <c r="BG135" s="270" t="e">
        <f t="array" ref="BG135">IF(AND(BG$2&lt;&gt;0,#REF!&gt;=BG$2),1,0)</f>
        <v>#REF!</v>
      </c>
      <c r="BH135" s="270" t="e">
        <f t="array" ref="BH135">IF(AND(BH$2&lt;&gt;0,#REF!&gt;=BH$2),1,0)</f>
        <v>#REF!</v>
      </c>
      <c r="BI135" s="270" t="e">
        <f t="array" ref="BI135">IF(AND(BI$2&lt;&gt;0,#REF!&gt;=BI$2),1,0)</f>
        <v>#REF!</v>
      </c>
      <c r="BJ135" s="270" t="e">
        <f t="array" ref="BJ135">IF(AND(BJ$2&lt;&gt;0,#REF!&gt;=BJ$2),1,0)</f>
        <v>#REF!</v>
      </c>
      <c r="BK135" s="270" t="e">
        <f t="array" ref="BK135">IF(AND(BK$2&lt;&gt;0,#REF!&gt;=BK$2),1,0)</f>
        <v>#REF!</v>
      </c>
      <c r="BL135" s="270" t="e">
        <f t="array" ref="BL135">IF(AND(BL$2&lt;&gt;0,#REF!&gt;=BL$2),1,0)</f>
        <v>#REF!</v>
      </c>
      <c r="BM135" s="270" t="e">
        <f t="array" ref="BM135">IF(AND(BM$2&lt;&gt;0,#REF!&gt;=BM$2),1,0)</f>
        <v>#REF!</v>
      </c>
      <c r="BN135" s="270" t="e">
        <f t="array" ref="BN135">IF(AND(BN$2&lt;&gt;0,#REF!&gt;=BN$2),1,0)</f>
        <v>#REF!</v>
      </c>
      <c r="BO135" s="270" t="e">
        <f t="array" ref="BO135">IF(AND(BO$2&lt;&gt;0,#REF!&gt;=BO$2),1,0)</f>
        <v>#REF!</v>
      </c>
      <c r="BP135" s="270" t="e">
        <f t="array" ref="BP135">IF(AND(BP$2&lt;&gt;0,#REF!&gt;=BP$2),1,0)</f>
        <v>#REF!</v>
      </c>
      <c r="BQ135" s="270" t="e">
        <f t="array" ref="BQ135">IF(AND(BQ$2&lt;&gt;0,#REF!&gt;=BQ$2),1,0)</f>
        <v>#REF!</v>
      </c>
      <c r="BR135" s="270" t="e">
        <f t="array" ref="BR135">IF(AND(BR$2&lt;&gt;0,#REF!&gt;=BR$2),1,0)</f>
        <v>#REF!</v>
      </c>
      <c r="BS135" s="270" t="e">
        <f t="array" ref="BS135">IF(AND(BS$2&lt;&gt;0,#REF!&gt;=BS$2),1,0)</f>
        <v>#REF!</v>
      </c>
      <c r="BT135" s="270" t="e">
        <f t="array" ref="BT135">IF(AND(BT$2&lt;&gt;0,#REF!&gt;=BT$2),1,0)</f>
        <v>#REF!</v>
      </c>
      <c r="BU135" s="270" t="e">
        <f t="array" ref="BU135">IF(AND(BU$2&lt;&gt;0,#REF!&gt;=BU$2),1,0)</f>
        <v>#REF!</v>
      </c>
      <c r="BV135" s="270" t="e">
        <f t="array" ref="BV135">IF(AND(BV$2&lt;&gt;0,#REF!&gt;=BV$2),1,0)</f>
        <v>#REF!</v>
      </c>
      <c r="BW135" s="270" t="e">
        <f t="array" ref="BW135">IF(AND(BW$2&lt;&gt;0,#REF!&gt;=BW$2),1,0)</f>
        <v>#REF!</v>
      </c>
      <c r="BX135" s="270" t="e">
        <f t="array" ref="BX135">IF(AND(BX$2&lt;&gt;0,#REF!&gt;=BX$2),1,0)</f>
        <v>#REF!</v>
      </c>
      <c r="BY135" s="270" t="e">
        <f t="array" ref="BY135">IF(AND(BY$2&lt;&gt;0,#REF!&gt;=BY$2),1,0)</f>
        <v>#REF!</v>
      </c>
      <c r="BZ135" s="270" t="e">
        <f t="array" ref="BZ135">IF(AND(BZ$2&lt;&gt;0,#REF!&gt;=BZ$2),1,0)</f>
        <v>#REF!</v>
      </c>
      <c r="CA135" s="359">
        <f>IFERROR(INDEX($H$4:$H$79,MATCH(INDEX(#REF!,1,MATCH(#REF!,$M$2:$BZ$2,0)),$G$4:$G$79,0)),)</f>
        <v>0</v>
      </c>
    </row>
    <row r="136" spans="1:79" x14ac:dyDescent="0.25">
      <c r="A136" s="262" t="e">
        <f>#REF!</f>
        <v>#REF!</v>
      </c>
      <c r="B136" s="263" t="e">
        <f>#REF!</f>
        <v>#REF!</v>
      </c>
      <c r="C136" s="264" t="e">
        <f>#REF!</f>
        <v>#REF!</v>
      </c>
      <c r="D136" s="264" t="e">
        <f>#REF!</f>
        <v>#REF!</v>
      </c>
      <c r="E136" s="273"/>
      <c r="F136" s="274"/>
      <c r="G136" s="267"/>
      <c r="H136" s="268"/>
      <c r="I136" s="268"/>
      <c r="J136" s="268"/>
      <c r="K136" s="89" t="e">
        <f ca="1">IF(#REF!&lt;&gt;OFFSET(#REF!,-1,0),1,0)</f>
        <v>#REF!</v>
      </c>
      <c r="L136" s="269" t="e">
        <f>COUNTIF(#REF!,1)</f>
        <v>#REF!</v>
      </c>
      <c r="M136" s="270" t="e">
        <f t="array" ref="M136">IF(AND(M$2&lt;&gt;0,#REF!&gt;=M$2),1,0)</f>
        <v>#REF!</v>
      </c>
      <c r="N136" s="270" t="e">
        <f t="array" ref="N136">IF(AND(N$2&lt;&gt;0,#REF!&gt;=N$2),1,0)</f>
        <v>#REF!</v>
      </c>
      <c r="O136" s="270" t="e">
        <f t="array" ref="O136">IF(AND(O$2&lt;&gt;0,#REF!&gt;=O$2),1,0)</f>
        <v>#REF!</v>
      </c>
      <c r="P136" s="270" t="e">
        <f t="array" ref="P136">IF(AND(P$2&lt;&gt;0,#REF!&gt;=P$2),1,0)</f>
        <v>#REF!</v>
      </c>
      <c r="Q136" s="270" t="e">
        <f t="array" ref="Q136">IF(AND(Q$2&lt;&gt;0,#REF!&gt;=Q$2),1,0)</f>
        <v>#REF!</v>
      </c>
      <c r="R136" s="270" t="e">
        <f t="array" ref="R136">IF(AND(R$2&lt;&gt;0,#REF!&gt;=R$2),1,0)</f>
        <v>#REF!</v>
      </c>
      <c r="S136" s="270" t="e">
        <f t="array" ref="S136">IF(AND(S$2&lt;&gt;0,#REF!&gt;=S$2),1,0)</f>
        <v>#REF!</v>
      </c>
      <c r="T136" s="270" t="e">
        <f t="array" ref="T136">IF(AND(T$2&lt;&gt;0,#REF!&gt;=T$2),1,0)</f>
        <v>#REF!</v>
      </c>
      <c r="U136" s="270" t="e">
        <f t="array" ref="U136">IF(AND(U$2&lt;&gt;0,#REF!&gt;=U$2),1,0)</f>
        <v>#REF!</v>
      </c>
      <c r="V136" s="270" t="e">
        <f t="array" ref="V136">IF(AND(V$2&lt;&gt;0,#REF!&gt;=V$2),1,0)</f>
        <v>#REF!</v>
      </c>
      <c r="W136" s="270" t="e">
        <f t="array" ref="W136">IF(AND(W$2&lt;&gt;0,#REF!&gt;=W$2),1,0)</f>
        <v>#REF!</v>
      </c>
      <c r="X136" s="270" t="e">
        <f t="array" ref="X136">IF(AND(X$2&lt;&gt;0,#REF!&gt;=X$2),1,0)</f>
        <v>#REF!</v>
      </c>
      <c r="Y136" s="270" t="e">
        <f t="array" ref="Y136">IF(AND(Y$2&lt;&gt;0,#REF!&gt;=Y$2),1,0)</f>
        <v>#REF!</v>
      </c>
      <c r="Z136" s="270" t="e">
        <f t="array" ref="Z136">IF(AND(Z$2&lt;&gt;0,#REF!&gt;=Z$2),1,0)</f>
        <v>#REF!</v>
      </c>
      <c r="AA136" s="270" t="e">
        <f t="array" ref="AA136">IF(AND(AA$2&lt;&gt;0,#REF!&gt;=AA$2),1,0)</f>
        <v>#REF!</v>
      </c>
      <c r="AB136" s="270" t="e">
        <f t="array" ref="AB136">IF(AND(AB$2&lt;&gt;0,#REF!&gt;=AB$2),1,0)</f>
        <v>#REF!</v>
      </c>
      <c r="AC136" s="270" t="e">
        <f t="array" ref="AC136">IF(AND(AC$2&lt;&gt;0,#REF!&gt;=AC$2),1,0)</f>
        <v>#REF!</v>
      </c>
      <c r="AD136" s="270" t="e">
        <f t="array" ref="AD136">IF(AND(AD$2&lt;&gt;0,#REF!&gt;=AD$2),1,0)</f>
        <v>#REF!</v>
      </c>
      <c r="AE136" s="270" t="e">
        <f t="array" ref="AE136">IF(AND(AE$2&lt;&gt;0,#REF!&gt;=AE$2),1,0)</f>
        <v>#REF!</v>
      </c>
      <c r="AF136" s="270" t="e">
        <f t="array" ref="AF136">IF(AND(AF$2&lt;&gt;0,#REF!&gt;=AF$2),1,0)</f>
        <v>#REF!</v>
      </c>
      <c r="AG136" s="270" t="e">
        <f t="array" ref="AG136">IF(AND(AG$2&lt;&gt;0,#REF!&gt;=AG$2),1,0)</f>
        <v>#REF!</v>
      </c>
      <c r="AH136" s="270" t="e">
        <f t="array" ref="AH136">IF(AND(AH$2&lt;&gt;0,#REF!&gt;=AH$2),1,0)</f>
        <v>#REF!</v>
      </c>
      <c r="AI136" s="270" t="e">
        <f t="array" ref="AI136">IF(AND(AI$2&lt;&gt;0,#REF!&gt;=AI$2),1,0)</f>
        <v>#REF!</v>
      </c>
      <c r="AJ136" s="270" t="e">
        <f t="array" ref="AJ136">IF(AND(AJ$2&lt;&gt;0,#REF!&gt;=AJ$2),1,0)</f>
        <v>#REF!</v>
      </c>
      <c r="AK136" s="270" t="e">
        <f t="array" ref="AK136">IF(AND(AK$2&lt;&gt;0,#REF!&gt;=AK$2),1,0)</f>
        <v>#REF!</v>
      </c>
      <c r="AL136" s="270" t="e">
        <f t="array" ref="AL136">IF(AND(AL$2&lt;&gt;0,#REF!&gt;=AL$2),1,0)</f>
        <v>#REF!</v>
      </c>
      <c r="AM136" s="270" t="e">
        <f t="array" ref="AM136">IF(AND(AM$2&lt;&gt;0,#REF!&gt;=AM$2),1,0)</f>
        <v>#REF!</v>
      </c>
      <c r="AN136" s="270" t="e">
        <f t="array" ref="AN136">IF(AND(AN$2&lt;&gt;0,#REF!&gt;=AN$2),1,0)</f>
        <v>#REF!</v>
      </c>
      <c r="AO136" s="270" t="e">
        <f t="array" ref="AO136">IF(AND(AO$2&lt;&gt;0,#REF!&gt;=AO$2),1,0)</f>
        <v>#REF!</v>
      </c>
      <c r="AP136" s="270" t="e">
        <f t="array" ref="AP136">IF(AND(AP$2&lt;&gt;0,#REF!&gt;=AP$2),1,0)</f>
        <v>#REF!</v>
      </c>
      <c r="AQ136" s="270" t="e">
        <f t="array" ref="AQ136">IF(AND(AQ$2&lt;&gt;0,#REF!&gt;=AQ$2),1,0)</f>
        <v>#REF!</v>
      </c>
      <c r="AR136" s="270" t="e">
        <f t="array" ref="AR136">IF(AND(AR$2&lt;&gt;0,#REF!&gt;=AR$2),1,0)</f>
        <v>#REF!</v>
      </c>
      <c r="AS136" s="270" t="e">
        <f t="array" ref="AS136">IF(AND(AS$2&lt;&gt;0,#REF!&gt;=AS$2),1,0)</f>
        <v>#REF!</v>
      </c>
      <c r="AT136" s="270" t="e">
        <f t="array" ref="AT136">IF(AND(AT$2&lt;&gt;0,#REF!&gt;=AT$2),1,0)</f>
        <v>#REF!</v>
      </c>
      <c r="AU136" s="270" t="e">
        <f t="array" ref="AU136">IF(AND(AU$2&lt;&gt;0,#REF!&gt;=AU$2),1,0)</f>
        <v>#REF!</v>
      </c>
      <c r="AV136" s="270" t="e">
        <f t="array" ref="AV136">IF(AND(AV$2&lt;&gt;0,#REF!&gt;=AV$2),1,0)</f>
        <v>#REF!</v>
      </c>
      <c r="AW136" s="270" t="e">
        <f t="array" ref="AW136">IF(AND(AW$2&lt;&gt;0,#REF!&gt;=AW$2),1,0)</f>
        <v>#REF!</v>
      </c>
      <c r="AX136" s="270" t="e">
        <f t="array" ref="AX136">IF(AND(AX$2&lt;&gt;0,#REF!&gt;=AX$2),1,0)</f>
        <v>#REF!</v>
      </c>
      <c r="AY136" s="270" t="e">
        <f t="array" ref="AY136">IF(AND(AY$2&lt;&gt;0,#REF!&gt;=AY$2),1,0)</f>
        <v>#REF!</v>
      </c>
      <c r="AZ136" s="270" t="e">
        <f t="array" ref="AZ136">IF(AND(AZ$2&lt;&gt;0,#REF!&gt;=AZ$2),1,0)</f>
        <v>#REF!</v>
      </c>
      <c r="BA136" s="270" t="e">
        <f t="array" ref="BA136">IF(AND(BA$2&lt;&gt;0,#REF!&gt;=BA$2),1,0)</f>
        <v>#REF!</v>
      </c>
      <c r="BB136" s="270" t="e">
        <f t="array" ref="BB136">IF(AND(BB$2&lt;&gt;0,#REF!&gt;=BB$2),1,0)</f>
        <v>#REF!</v>
      </c>
      <c r="BC136" s="270" t="e">
        <f t="array" ref="BC136">IF(AND(BC$2&lt;&gt;0,#REF!&gt;=BC$2),1,0)</f>
        <v>#REF!</v>
      </c>
      <c r="BD136" s="270" t="e">
        <f t="array" ref="BD136">IF(AND(BD$2&lt;&gt;0,#REF!&gt;=BD$2),1,0)</f>
        <v>#REF!</v>
      </c>
      <c r="BE136" s="270" t="e">
        <f t="array" ref="BE136">IF(AND(BE$2&lt;&gt;0,#REF!&gt;=BE$2),1,0)</f>
        <v>#REF!</v>
      </c>
      <c r="BF136" s="270" t="e">
        <f t="array" ref="BF136">IF(AND(BF$2&lt;&gt;0,#REF!&gt;=BF$2),1,0)</f>
        <v>#REF!</v>
      </c>
      <c r="BG136" s="270" t="e">
        <f t="array" ref="BG136">IF(AND(BG$2&lt;&gt;0,#REF!&gt;=BG$2),1,0)</f>
        <v>#REF!</v>
      </c>
      <c r="BH136" s="270" t="e">
        <f t="array" ref="BH136">IF(AND(BH$2&lt;&gt;0,#REF!&gt;=BH$2),1,0)</f>
        <v>#REF!</v>
      </c>
      <c r="BI136" s="270" t="e">
        <f t="array" ref="BI136">IF(AND(BI$2&lt;&gt;0,#REF!&gt;=BI$2),1,0)</f>
        <v>#REF!</v>
      </c>
      <c r="BJ136" s="270" t="e">
        <f t="array" ref="BJ136">IF(AND(BJ$2&lt;&gt;0,#REF!&gt;=BJ$2),1,0)</f>
        <v>#REF!</v>
      </c>
      <c r="BK136" s="270" t="e">
        <f t="array" ref="BK136">IF(AND(BK$2&lt;&gt;0,#REF!&gt;=BK$2),1,0)</f>
        <v>#REF!</v>
      </c>
      <c r="BL136" s="270" t="e">
        <f t="array" ref="BL136">IF(AND(BL$2&lt;&gt;0,#REF!&gt;=BL$2),1,0)</f>
        <v>#REF!</v>
      </c>
      <c r="BM136" s="270" t="e">
        <f t="array" ref="BM136">IF(AND(BM$2&lt;&gt;0,#REF!&gt;=BM$2),1,0)</f>
        <v>#REF!</v>
      </c>
      <c r="BN136" s="270" t="e">
        <f t="array" ref="BN136">IF(AND(BN$2&lt;&gt;0,#REF!&gt;=BN$2),1,0)</f>
        <v>#REF!</v>
      </c>
      <c r="BO136" s="270" t="e">
        <f t="array" ref="BO136">IF(AND(BO$2&lt;&gt;0,#REF!&gt;=BO$2),1,0)</f>
        <v>#REF!</v>
      </c>
      <c r="BP136" s="270" t="e">
        <f t="array" ref="BP136">IF(AND(BP$2&lt;&gt;0,#REF!&gt;=BP$2),1,0)</f>
        <v>#REF!</v>
      </c>
      <c r="BQ136" s="270" t="e">
        <f t="array" ref="BQ136">IF(AND(BQ$2&lt;&gt;0,#REF!&gt;=BQ$2),1,0)</f>
        <v>#REF!</v>
      </c>
      <c r="BR136" s="270" t="e">
        <f t="array" ref="BR136">IF(AND(BR$2&lt;&gt;0,#REF!&gt;=BR$2),1,0)</f>
        <v>#REF!</v>
      </c>
      <c r="BS136" s="270" t="e">
        <f t="array" ref="BS136">IF(AND(BS$2&lt;&gt;0,#REF!&gt;=BS$2),1,0)</f>
        <v>#REF!</v>
      </c>
      <c r="BT136" s="270" t="e">
        <f t="array" ref="BT136">IF(AND(BT$2&lt;&gt;0,#REF!&gt;=BT$2),1,0)</f>
        <v>#REF!</v>
      </c>
      <c r="BU136" s="270" t="e">
        <f t="array" ref="BU136">IF(AND(BU$2&lt;&gt;0,#REF!&gt;=BU$2),1,0)</f>
        <v>#REF!</v>
      </c>
      <c r="BV136" s="270" t="e">
        <f t="array" ref="BV136">IF(AND(BV$2&lt;&gt;0,#REF!&gt;=BV$2),1,0)</f>
        <v>#REF!</v>
      </c>
      <c r="BW136" s="270" t="e">
        <f t="array" ref="BW136">IF(AND(BW$2&lt;&gt;0,#REF!&gt;=BW$2),1,0)</f>
        <v>#REF!</v>
      </c>
      <c r="BX136" s="270" t="e">
        <f t="array" ref="BX136">IF(AND(BX$2&lt;&gt;0,#REF!&gt;=BX$2),1,0)</f>
        <v>#REF!</v>
      </c>
      <c r="BY136" s="270" t="e">
        <f t="array" ref="BY136">IF(AND(BY$2&lt;&gt;0,#REF!&gt;=BY$2),1,0)</f>
        <v>#REF!</v>
      </c>
      <c r="BZ136" s="270" t="e">
        <f t="array" ref="BZ136">IF(AND(BZ$2&lt;&gt;0,#REF!&gt;=BZ$2),1,0)</f>
        <v>#REF!</v>
      </c>
      <c r="CA136" s="359">
        <f>IFERROR(INDEX($H$4:$H$79,MATCH(INDEX(#REF!,1,MATCH(#REF!,$M$2:$BZ$2,0)),$G$4:$G$79,0)),)</f>
        <v>0</v>
      </c>
    </row>
    <row r="1269" spans="13:39" x14ac:dyDescent="0.25">
      <c r="M1269" s="3" t="e">
        <f>MAX(M89,#REF!)</f>
        <v>#REF!</v>
      </c>
      <c r="N1269" s="3" t="e">
        <f>MAX(N89,#REF!)</f>
        <v>#REF!</v>
      </c>
      <c r="O1269" s="3" t="e">
        <f>MAX(O89,#REF!)</f>
        <v>#REF!</v>
      </c>
      <c r="P1269" s="3" t="e">
        <f>MAX(P89,#REF!)</f>
        <v>#REF!</v>
      </c>
      <c r="Q1269" s="3" t="e">
        <f>MAX(Q89,#REF!)</f>
        <v>#REF!</v>
      </c>
      <c r="R1269" s="3" t="e">
        <f>MAX(R89,#REF!)</f>
        <v>#REF!</v>
      </c>
      <c r="S1269" s="3" t="e">
        <f>MAX(S89,#REF!)</f>
        <v>#REF!</v>
      </c>
      <c r="T1269" s="3" t="e">
        <f>MAX(T89,#REF!)</f>
        <v>#REF!</v>
      </c>
      <c r="U1269" s="3" t="e">
        <f>MAX(U89,#REF!)</f>
        <v>#REF!</v>
      </c>
      <c r="V1269" s="3" t="e">
        <f>MAX(V89,#REF!)</f>
        <v>#REF!</v>
      </c>
      <c r="W1269" s="3" t="e">
        <f>MAX(W89,#REF!)</f>
        <v>#REF!</v>
      </c>
      <c r="X1269" s="3" t="e">
        <f>MAX(X89,#REF!)</f>
        <v>#REF!</v>
      </c>
      <c r="Y1269" s="3" t="e">
        <f>MAX(Y89,#REF!)</f>
        <v>#REF!</v>
      </c>
      <c r="Z1269" s="3" t="e">
        <f>MAX(Z89,#REF!)</f>
        <v>#REF!</v>
      </c>
      <c r="AA1269" s="3" t="e">
        <f>MAX(AA89,#REF!)</f>
        <v>#REF!</v>
      </c>
      <c r="AB1269" s="3" t="e">
        <f>MAX(AB89,#REF!)</f>
        <v>#REF!</v>
      </c>
      <c r="AC1269" s="3" t="e">
        <f>MAX(AC89,#REF!)</f>
        <v>#REF!</v>
      </c>
      <c r="AD1269" s="3" t="e">
        <f>MAX(AD89,#REF!)</f>
        <v>#REF!</v>
      </c>
      <c r="AE1269" s="3" t="e">
        <f>MAX(AE89,#REF!)</f>
        <v>#REF!</v>
      </c>
      <c r="AF1269" s="3" t="e">
        <f>MAX(AF89,#REF!)</f>
        <v>#REF!</v>
      </c>
      <c r="AG1269" s="3" t="e">
        <f>MAX(AG89,#REF!)</f>
        <v>#REF!</v>
      </c>
      <c r="AH1269" s="3" t="e">
        <f>MAX(AH89,#REF!)</f>
        <v>#REF!</v>
      </c>
      <c r="AI1269" s="3" t="e">
        <f>MAX(AI89,#REF!)</f>
        <v>#REF!</v>
      </c>
      <c r="AJ1269" s="3" t="e">
        <f>MAX(AJ89,#REF!)</f>
        <v>#REF!</v>
      </c>
      <c r="AK1269" s="3" t="e">
        <f>MAX(AK89,#REF!)</f>
        <v>#REF!</v>
      </c>
      <c r="AL1269" s="3" t="e">
        <f>MAX(AL89,#REF!)</f>
        <v>#REF!</v>
      </c>
      <c r="AM1269" s="3" t="e">
        <f>MAX(AM89,#REF!)</f>
        <v>#REF!</v>
      </c>
    </row>
    <row r="1270" spans="13:39" x14ac:dyDescent="0.25">
      <c r="M1270" s="3" t="e">
        <f>MAX(M1269,#REF!)</f>
        <v>#REF!</v>
      </c>
      <c r="N1270" s="3" t="e">
        <f>MAX(N1269,#REF!)</f>
        <v>#REF!</v>
      </c>
      <c r="O1270" s="3" t="e">
        <f>MAX(O1269,#REF!)</f>
        <v>#REF!</v>
      </c>
      <c r="P1270" s="3" t="e">
        <f>MAX(P1269,#REF!)</f>
        <v>#REF!</v>
      </c>
      <c r="Q1270" s="3" t="e">
        <f>MAX(Q1269,#REF!)</f>
        <v>#REF!</v>
      </c>
      <c r="R1270" s="3" t="e">
        <f>MAX(R1269,#REF!)</f>
        <v>#REF!</v>
      </c>
      <c r="S1270" s="3" t="e">
        <f>MAX(S1269,#REF!)</f>
        <v>#REF!</v>
      </c>
      <c r="T1270" s="3" t="e">
        <f>MAX(T1269,#REF!)</f>
        <v>#REF!</v>
      </c>
      <c r="U1270" s="3" t="e">
        <f>MAX(U1269,#REF!)</f>
        <v>#REF!</v>
      </c>
      <c r="V1270" s="3" t="e">
        <f>MAX(V1269,#REF!)</f>
        <v>#REF!</v>
      </c>
      <c r="W1270" s="3" t="e">
        <f>MAX(W1269,#REF!)</f>
        <v>#REF!</v>
      </c>
      <c r="X1270" s="3" t="e">
        <f>MAX(X1269,#REF!)</f>
        <v>#REF!</v>
      </c>
      <c r="Y1270" s="3" t="e">
        <f>MAX(Y1269,#REF!)</f>
        <v>#REF!</v>
      </c>
      <c r="Z1270" s="3" t="e">
        <f>MAX(Z1269,#REF!)</f>
        <v>#REF!</v>
      </c>
      <c r="AA1270" s="3" t="e">
        <f>MAX(AA1269,#REF!)</f>
        <v>#REF!</v>
      </c>
      <c r="AB1270" s="3" t="e">
        <f>MAX(AB1269,#REF!)</f>
        <v>#REF!</v>
      </c>
      <c r="AC1270" s="3" t="e">
        <f>MAX(AC1269,#REF!)</f>
        <v>#REF!</v>
      </c>
      <c r="AD1270" s="3" t="e">
        <f>MAX(AD1269,#REF!)</f>
        <v>#REF!</v>
      </c>
      <c r="AE1270" s="3" t="e">
        <f>MAX(AE1269,#REF!)</f>
        <v>#REF!</v>
      </c>
      <c r="AF1270" s="3" t="e">
        <f>MAX(AF1269,#REF!)</f>
        <v>#REF!</v>
      </c>
      <c r="AG1270" s="3" t="e">
        <f>MAX(AG1269,#REF!)</f>
        <v>#REF!</v>
      </c>
      <c r="AH1270" s="3" t="e">
        <f>MAX(AH1269,#REF!)</f>
        <v>#REF!</v>
      </c>
      <c r="AI1270" s="3" t="e">
        <f>MAX(AI1269,#REF!)</f>
        <v>#REF!</v>
      </c>
      <c r="AJ1270" s="3" t="e">
        <f>MAX(AJ1269,#REF!)</f>
        <v>#REF!</v>
      </c>
      <c r="AK1270" s="3" t="e">
        <f>MAX(AK1269,#REF!)</f>
        <v>#REF!</v>
      </c>
      <c r="AL1270" s="3" t="e">
        <f>MAX(AL1269,#REF!)</f>
        <v>#REF!</v>
      </c>
      <c r="AM1270" s="3" t="e">
        <f>MAX(AM1269,#REF!)</f>
        <v>#REF!</v>
      </c>
    </row>
  </sheetData>
  <phoneticPr fontId="1"/>
  <pageMargins left="0.75" right="0.75" top="1" bottom="1" header="0.5" footer="0.5"/>
  <pageSetup paperSize="9"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249977111117893"/>
  </sheetPr>
  <dimension ref="A1:CF1270"/>
  <sheetViews>
    <sheetView zoomScale="85" zoomScaleNormal="85" workbookViewId="0">
      <pane ySplit="3" topLeftCell="A4" activePane="bottomLeft" state="frozenSplit"/>
      <selection activeCell="A3" sqref="A3"/>
      <selection pane="bottomLeft" activeCell="P4" sqref="P4"/>
    </sheetView>
  </sheetViews>
  <sheetFormatPr defaultColWidth="9.1796875" defaultRowHeight="12.5" x14ac:dyDescent="0.25"/>
  <cols>
    <col min="1" max="1" width="9.26953125" style="3" customWidth="1"/>
    <col min="2" max="2" width="3.26953125" style="3" customWidth="1"/>
    <col min="3" max="3" width="11.26953125" style="3" bestFit="1" customWidth="1"/>
    <col min="4" max="4" width="10.54296875" style="3" customWidth="1"/>
    <col min="5" max="5" width="7.7265625" style="3" bestFit="1" customWidth="1"/>
    <col min="6" max="6" width="8.7265625" style="3" customWidth="1"/>
    <col min="7" max="7" width="2.81640625" style="3" customWidth="1"/>
    <col min="8" max="8" width="10.453125" style="3" customWidth="1"/>
    <col min="9" max="9" width="12.26953125" style="3" customWidth="1"/>
    <col min="10" max="10" width="13" style="3" customWidth="1"/>
    <col min="11" max="11" width="7.54296875" style="57" customWidth="1"/>
    <col min="12" max="12" width="7.81640625" style="3" customWidth="1"/>
    <col min="13" max="13" width="8.453125" style="3" customWidth="1"/>
    <col min="14" max="14" width="8.7265625" style="3" customWidth="1"/>
    <col min="15" max="23" width="13" style="3" customWidth="1"/>
    <col min="24" max="24" width="3.453125" style="3" customWidth="1"/>
    <col min="25" max="30" width="11.453125" style="57" customWidth="1"/>
    <col min="31" max="31" width="3" style="3" customWidth="1"/>
    <col min="32" max="37" width="11.453125" style="57" customWidth="1"/>
    <col min="38" max="38" width="3" style="3" customWidth="1"/>
    <col min="39" max="42" width="11.453125" style="57" customWidth="1"/>
    <col min="43" max="43" width="3" style="3" customWidth="1"/>
    <col min="44" max="47" width="11.453125" style="57" hidden="1" customWidth="1"/>
    <col min="48" max="48" width="3" style="3" hidden="1" customWidth="1"/>
    <col min="49" max="52" width="11.453125" style="57" hidden="1" customWidth="1"/>
    <col min="53" max="53" width="3" style="3" hidden="1" customWidth="1"/>
    <col min="54" max="57" width="11.453125" style="57" hidden="1" customWidth="1"/>
    <col min="58" max="58" width="3" style="3" hidden="1" customWidth="1"/>
    <col min="59" max="62" width="11.453125" style="57" hidden="1" customWidth="1"/>
    <col min="63" max="63" width="3" style="3" hidden="1" customWidth="1"/>
    <col min="64" max="67" width="11.453125" style="57" hidden="1" customWidth="1"/>
    <col min="68" max="68" width="3" style="3" hidden="1" customWidth="1"/>
    <col min="69" max="72" width="11.453125" style="57" hidden="1" customWidth="1"/>
    <col min="73" max="73" width="3" style="3" hidden="1" customWidth="1"/>
    <col min="74" max="74" width="12.1796875" style="3" hidden="1" customWidth="1"/>
    <col min="75" max="75" width="10.453125" style="3" hidden="1" customWidth="1"/>
    <col min="76" max="76" width="3" style="3" hidden="1" customWidth="1"/>
    <col min="77" max="77" width="9.81640625" style="3" hidden="1" customWidth="1"/>
    <col min="78" max="78" width="13.54296875" style="3" hidden="1" customWidth="1"/>
    <col min="79" max="79" width="10.7265625" style="3" customWidth="1"/>
    <col min="80" max="80" width="11" style="3" customWidth="1"/>
    <col min="81" max="81" width="10" style="3" customWidth="1"/>
    <col min="82" max="82" width="10.81640625" style="3" bestFit="1" customWidth="1"/>
    <col min="83" max="83" width="9.1796875" style="3" customWidth="1"/>
    <col min="84" max="16384" width="9.1796875" style="3"/>
  </cols>
  <sheetData>
    <row r="1" spans="1:84" s="8" customFormat="1" ht="13" x14ac:dyDescent="0.3">
      <c r="C1" s="8" t="s">
        <v>77</v>
      </c>
      <c r="H1" s="8" t="s">
        <v>282</v>
      </c>
      <c r="K1" s="31"/>
      <c r="O1" s="8" t="s">
        <v>216</v>
      </c>
      <c r="W1" s="8" t="s">
        <v>1008</v>
      </c>
      <c r="Y1" s="31" t="s">
        <v>37</v>
      </c>
      <c r="Z1" s="31"/>
      <c r="AA1" s="31"/>
      <c r="AB1" s="31"/>
      <c r="AC1" s="31"/>
      <c r="AD1" s="31"/>
      <c r="AF1" s="449" t="s">
        <v>210</v>
      </c>
      <c r="AG1" s="449"/>
      <c r="AH1" s="31"/>
      <c r="AI1" s="31"/>
      <c r="AJ1" s="31"/>
      <c r="AK1" s="31"/>
      <c r="AM1" s="449" t="s">
        <v>218</v>
      </c>
      <c r="AN1" s="449"/>
      <c r="AO1" s="31"/>
      <c r="AP1" s="31"/>
      <c r="AR1" s="449" t="s">
        <v>219</v>
      </c>
      <c r="AS1" s="449"/>
      <c r="AT1" s="450"/>
      <c r="AU1" s="31"/>
      <c r="AW1" s="449" t="s">
        <v>220</v>
      </c>
      <c r="AX1" s="449"/>
      <c r="AY1" s="449"/>
      <c r="AZ1" s="31"/>
      <c r="BB1" s="449" t="s">
        <v>221</v>
      </c>
      <c r="BC1" s="449"/>
      <c r="BD1" s="449"/>
      <c r="BE1" s="449"/>
      <c r="BG1" s="449" t="s">
        <v>222</v>
      </c>
      <c r="BH1" s="449"/>
      <c r="BI1" s="449"/>
      <c r="BJ1" s="31"/>
      <c r="BL1" s="449" t="s">
        <v>223</v>
      </c>
      <c r="BM1" s="450"/>
      <c r="BN1" s="450"/>
      <c r="BO1" s="31"/>
      <c r="BQ1" s="449" t="s">
        <v>224</v>
      </c>
      <c r="BR1" s="449"/>
      <c r="BS1" s="449"/>
      <c r="BT1" s="31"/>
      <c r="BV1" s="8" t="s">
        <v>308</v>
      </c>
    </row>
    <row r="2" spans="1:84" s="8" customFormat="1" ht="13" x14ac:dyDescent="0.3">
      <c r="C2" s="31"/>
      <c r="D2" s="31"/>
      <c r="E2" s="31"/>
      <c r="F2" s="31"/>
      <c r="K2" s="31"/>
      <c r="Y2" s="260" t="s">
        <v>209</v>
      </c>
      <c r="Z2" s="260" t="s">
        <v>211</v>
      </c>
      <c r="AA2" s="260" t="s">
        <v>1128</v>
      </c>
      <c r="AB2" s="260" t="s">
        <v>213</v>
      </c>
      <c r="AC2" s="260" t="s">
        <v>214</v>
      </c>
      <c r="AD2" s="260" t="s">
        <v>527</v>
      </c>
      <c r="AF2" s="260" t="s">
        <v>209</v>
      </c>
      <c r="AG2" s="260" t="s">
        <v>211</v>
      </c>
      <c r="AH2" s="260" t="s">
        <v>1128</v>
      </c>
      <c r="AI2" s="260" t="s">
        <v>213</v>
      </c>
      <c r="AJ2" s="260" t="s">
        <v>214</v>
      </c>
      <c r="AK2" s="260" t="s">
        <v>527</v>
      </c>
      <c r="AM2" s="260" t="s">
        <v>2</v>
      </c>
      <c r="AN2" s="260" t="s">
        <v>7</v>
      </c>
      <c r="AO2" s="260" t="s">
        <v>3</v>
      </c>
      <c r="AP2" s="260" t="s">
        <v>4</v>
      </c>
      <c r="AR2" s="260" t="s">
        <v>2</v>
      </c>
      <c r="AS2" s="260" t="s">
        <v>7</v>
      </c>
      <c r="AT2" s="260" t="s">
        <v>3</v>
      </c>
      <c r="AU2" s="260" t="s">
        <v>4</v>
      </c>
      <c r="AW2" s="260" t="s">
        <v>2</v>
      </c>
      <c r="AX2" s="260" t="s">
        <v>7</v>
      </c>
      <c r="AY2" s="260" t="s">
        <v>3</v>
      </c>
      <c r="AZ2" s="260" t="s">
        <v>4</v>
      </c>
      <c r="BB2" s="260" t="s">
        <v>2</v>
      </c>
      <c r="BC2" s="260" t="s">
        <v>7</v>
      </c>
      <c r="BD2" s="260" t="s">
        <v>3</v>
      </c>
      <c r="BE2" s="260" t="s">
        <v>4</v>
      </c>
      <c r="BG2" s="260" t="s">
        <v>2</v>
      </c>
      <c r="BH2" s="260" t="s">
        <v>7</v>
      </c>
      <c r="BI2" s="260" t="s">
        <v>3</v>
      </c>
      <c r="BJ2" s="260" t="s">
        <v>4</v>
      </c>
      <c r="BL2" s="260" t="s">
        <v>2</v>
      </c>
      <c r="BM2" s="260" t="s">
        <v>7</v>
      </c>
      <c r="BN2" s="260" t="s">
        <v>3</v>
      </c>
      <c r="BO2" s="260" t="s">
        <v>4</v>
      </c>
      <c r="BQ2" s="260" t="s">
        <v>2</v>
      </c>
      <c r="BR2" s="260" t="s">
        <v>7</v>
      </c>
      <c r="BS2" s="260" t="s">
        <v>3</v>
      </c>
      <c r="BT2" s="260" t="s">
        <v>4</v>
      </c>
    </row>
    <row r="3" spans="1:84" s="142" customFormat="1" ht="15" customHeight="1" x14ac:dyDescent="0.25">
      <c r="A3" s="128" t="s">
        <v>1</v>
      </c>
      <c r="B3" s="128" t="s">
        <v>773</v>
      </c>
      <c r="C3" s="128" t="s">
        <v>2</v>
      </c>
      <c r="D3" s="128" t="s">
        <v>7</v>
      </c>
      <c r="E3" s="128" t="s">
        <v>3</v>
      </c>
      <c r="F3" s="128" t="s">
        <v>4</v>
      </c>
      <c r="G3" s="128" t="s">
        <v>774</v>
      </c>
      <c r="H3" s="128" t="s">
        <v>274</v>
      </c>
      <c r="I3" s="128" t="s">
        <v>225</v>
      </c>
      <c r="J3" s="128" t="s">
        <v>23</v>
      </c>
      <c r="K3" s="128" t="s">
        <v>0</v>
      </c>
      <c r="L3" s="128" t="s">
        <v>311</v>
      </c>
      <c r="M3" s="128" t="s">
        <v>307</v>
      </c>
      <c r="N3" s="128" t="s">
        <v>969</v>
      </c>
      <c r="O3" s="128" t="s">
        <v>314</v>
      </c>
      <c r="P3" s="128" t="s">
        <v>217</v>
      </c>
      <c r="Q3" s="128" t="s">
        <v>315</v>
      </c>
      <c r="R3" s="128" t="s">
        <v>970</v>
      </c>
      <c r="S3" s="128" t="s">
        <v>971</v>
      </c>
      <c r="T3" s="128" t="s">
        <v>972</v>
      </c>
      <c r="U3" s="128" t="s">
        <v>973</v>
      </c>
      <c r="V3" s="128" t="s">
        <v>974</v>
      </c>
      <c r="W3" s="128" t="s">
        <v>975</v>
      </c>
      <c r="X3" s="128" t="s">
        <v>775</v>
      </c>
      <c r="Y3" s="128" t="s">
        <v>209</v>
      </c>
      <c r="Z3" s="128" t="s">
        <v>211</v>
      </c>
      <c r="AA3" s="128" t="s">
        <v>1128</v>
      </c>
      <c r="AB3" s="128" t="s">
        <v>213</v>
      </c>
      <c r="AC3" s="128" t="s">
        <v>214</v>
      </c>
      <c r="AD3" s="128" t="s">
        <v>527</v>
      </c>
      <c r="AE3" s="128" t="s">
        <v>790</v>
      </c>
      <c r="AF3" s="128" t="s">
        <v>1038</v>
      </c>
      <c r="AG3" s="128" t="s">
        <v>938</v>
      </c>
      <c r="AH3" s="128" t="s">
        <v>1129</v>
      </c>
      <c r="AI3" s="128" t="s">
        <v>939</v>
      </c>
      <c r="AJ3" s="128" t="s">
        <v>940</v>
      </c>
      <c r="AK3" s="128" t="s">
        <v>1130</v>
      </c>
      <c r="AL3" s="128" t="s">
        <v>791</v>
      </c>
      <c r="AM3" s="233" t="s">
        <v>941</v>
      </c>
      <c r="AN3" s="233" t="s">
        <v>942</v>
      </c>
      <c r="AO3" s="233" t="s">
        <v>943</v>
      </c>
      <c r="AP3" s="233" t="s">
        <v>944</v>
      </c>
      <c r="AQ3" s="233" t="s">
        <v>792</v>
      </c>
      <c r="AR3" s="233" t="s">
        <v>945</v>
      </c>
      <c r="AS3" s="233" t="s">
        <v>946</v>
      </c>
      <c r="AT3" s="233" t="s">
        <v>947</v>
      </c>
      <c r="AU3" s="233" t="s">
        <v>948</v>
      </c>
      <c r="AV3" s="233" t="s">
        <v>866</v>
      </c>
      <c r="AW3" s="233" t="s">
        <v>949</v>
      </c>
      <c r="AX3" s="233" t="s">
        <v>950</v>
      </c>
      <c r="AY3" s="233" t="s">
        <v>951</v>
      </c>
      <c r="AZ3" s="233" t="s">
        <v>952</v>
      </c>
      <c r="BA3" s="233" t="s">
        <v>867</v>
      </c>
      <c r="BB3" s="233" t="s">
        <v>953</v>
      </c>
      <c r="BC3" s="233" t="s">
        <v>954</v>
      </c>
      <c r="BD3" s="233" t="s">
        <v>955</v>
      </c>
      <c r="BE3" s="233" t="s">
        <v>956</v>
      </c>
      <c r="BF3" s="233" t="s">
        <v>1039</v>
      </c>
      <c r="BG3" s="233" t="s">
        <v>957</v>
      </c>
      <c r="BH3" s="233" t="s">
        <v>958</v>
      </c>
      <c r="BI3" s="233" t="s">
        <v>959</v>
      </c>
      <c r="BJ3" s="233" t="s">
        <v>960</v>
      </c>
      <c r="BK3" s="233" t="s">
        <v>1040</v>
      </c>
      <c r="BL3" s="233" t="s">
        <v>961</v>
      </c>
      <c r="BM3" s="233" t="s">
        <v>962</v>
      </c>
      <c r="BN3" s="233" t="s">
        <v>963</v>
      </c>
      <c r="BO3" s="233" t="s">
        <v>964</v>
      </c>
      <c r="BP3" s="233" t="s">
        <v>1041</v>
      </c>
      <c r="BQ3" s="233" t="s">
        <v>965</v>
      </c>
      <c r="BR3" s="233" t="s">
        <v>966</v>
      </c>
      <c r="BS3" s="233" t="s">
        <v>967</v>
      </c>
      <c r="BT3" s="233" t="s">
        <v>968</v>
      </c>
      <c r="BU3" s="128" t="s">
        <v>1042</v>
      </c>
      <c r="BV3" s="128" t="s">
        <v>309</v>
      </c>
      <c r="BW3" s="128" t="s">
        <v>976</v>
      </c>
      <c r="BX3" s="128" t="s">
        <v>1043</v>
      </c>
      <c r="BY3" s="128" t="s">
        <v>977</v>
      </c>
      <c r="BZ3" s="128" t="s">
        <v>310</v>
      </c>
    </row>
    <row r="4" spans="1:84" ht="13" x14ac:dyDescent="0.3">
      <c r="A4" s="206" t="e">
        <f>#REF!</f>
        <v>#REF!</v>
      </c>
      <c r="B4" s="134"/>
      <c r="C4" s="39" t="e">
        <f>#REF!</f>
        <v>#REF!</v>
      </c>
      <c r="D4" s="39" t="e">
        <f>#REF!</f>
        <v>#REF!</v>
      </c>
      <c r="E4" s="39" t="e">
        <f>#REF!</f>
        <v>#REF!</v>
      </c>
      <c r="F4" s="39" t="e">
        <f>#REF!</f>
        <v>#REF!</v>
      </c>
      <c r="G4" s="133"/>
      <c r="H4" s="39" t="e">
        <f>#REF!</f>
        <v>#REF!</v>
      </c>
      <c r="I4" s="132" t="e">
        <f>#REF!</f>
        <v>#REF!</v>
      </c>
      <c r="J4" s="132" t="e">
        <f>#REF!/#REF!</f>
        <v>#REF!</v>
      </c>
      <c r="K4" s="160" t="e">
        <f>#REF!</f>
        <v>#REF!</v>
      </c>
      <c r="L4" s="276" t="e">
        <f>#REF!</f>
        <v>#REF!</v>
      </c>
      <c r="M4" s="61">
        <f>IF(ISERROR(#REF!),0,#REF!*1)</f>
        <v>0</v>
      </c>
      <c r="N4" s="39" t="e">
        <f>#REF!</f>
        <v>#REF!</v>
      </c>
      <c r="O4" s="277" t="s">
        <v>7</v>
      </c>
      <c r="P4" s="278"/>
      <c r="Q4" s="277" t="s">
        <v>215</v>
      </c>
      <c r="R4" s="277" t="s">
        <v>7</v>
      </c>
      <c r="S4" s="278"/>
      <c r="T4" s="277" t="s">
        <v>1128</v>
      </c>
      <c r="U4" s="277" t="s">
        <v>3</v>
      </c>
      <c r="V4" s="278"/>
      <c r="W4" s="277" t="s">
        <v>209</v>
      </c>
      <c r="X4" s="134"/>
      <c r="Y4" s="209" t="e">
        <f ca="1">science_cap*(1-EXP(-#REF!/(science_param*(OFFSET(#REF!,1,0)-OFFSET(#REF!,1,0)*20)+15000)))*(1+(mason_bonus*#REF!/#REF!))</f>
        <v>#REF!</v>
      </c>
      <c r="Z4" s="209" t="e">
        <f ca="1">keep_cap*(1-EXP(-#REF!/(keep_param*(OFFSET(#REF!,1,0)-OFFSET(#REF!,1,0)*20)+15000)))*(1+(mason_bonus*#REF!/#REF!))</f>
        <v>#REF!</v>
      </c>
      <c r="AA4" s="209" t="e">
        <f ca="1">harbor_towers_cap*(1-EXP(-#REF!/(towers_param*(OFFSET(#REF!,1,0)-OFFSET(#REF!,1,0)*20)+15000)))*(1+(mason_bonus*#REF!/#REF!))</f>
        <v>#REF!</v>
      </c>
      <c r="AB4" s="209" t="e">
        <f ca="1">walls_forges_cap*(1-EXP(-#REF!/(walls_forges_param*(OFFSET(#REF!,1,0)-OFFSET(#REF!,1,0)*20)+15000)))*(1+(mason_bonus*#REF!/#REF!))</f>
        <v>#REF!</v>
      </c>
      <c r="AC4" s="209" t="e">
        <f ca="1">walls_forges_cap*(1-EXP(-#REF!/(walls_forges_param*(OFFSET(#REF!,1,0)-OFFSET(#REF!,1,0)*20)+15000)))*(1+(mason_bonus*#REF!/#REF!))</f>
        <v>#REF!</v>
      </c>
      <c r="AD4" s="209" t="e">
        <f ca="1">harbor_towers_cap*(1-EXP(-#REF!/(harbor_towers_param*(OFFSET(#REF!,1,0)-OFFSET(#REF!,1,0)*20)+15000)))*(1+(mason_bonus*#REF!/#REF!))</f>
        <v>#REF!</v>
      </c>
      <c r="AE4" s="134"/>
      <c r="AF4" s="279" t="e">
        <f>(1+Overview!$I$28)*SUM(#REF!)</f>
        <v>#REF!</v>
      </c>
      <c r="AG4" s="279" t="e">
        <f>(1+Overview!$I$28)*SUM(#REF!)</f>
        <v>#REF!</v>
      </c>
      <c r="AH4" s="279" t="e">
        <f>(1+Overview!$I$28 + tech_7_1*#REF!)*SUM(#REF!)</f>
        <v>#REF!</v>
      </c>
      <c r="AI4" s="279" t="e">
        <f>(1+Overview!$I$28)*SUM(#REF!)</f>
        <v>#REF!</v>
      </c>
      <c r="AJ4" s="279" t="e">
        <f>(1+Overview!$I$28)*SUM(#REF!)</f>
        <v>#REF!</v>
      </c>
      <c r="AK4" s="279" t="e">
        <f>(1+Overview!$I$28 + tech_7_1*#REF!)*SUM(#REF!)</f>
        <v>#REF!</v>
      </c>
      <c r="AL4" s="134"/>
      <c r="AM4" s="57" t="e">
        <f>IF(AND(#REF!=AM$2,#REF!&lt;&gt;""),#REF!) + IF(AND(#REF!=AM$2,#REF!&lt;&gt;""),#REF!) + IF(AND(#REF!=AM$2,#REF!&lt;&gt;""),#REF!)</f>
        <v>#REF!</v>
      </c>
      <c r="AN4" s="57" t="e">
        <f>IF(AND(#REF!=AN$2,#REF!&lt;&gt;""),#REF!) + IF(AND(#REF!=AN$2,#REF!&lt;&gt;""),#REF!) + IF(AND(#REF!=AN$2,#REF!&lt;&gt;""),#REF!)</f>
        <v>#REF!</v>
      </c>
      <c r="AO4" s="57" t="e">
        <f>IF(AND(#REF!=AO$2,#REF!&lt;&gt;""),#REF!) + IF(AND(#REF!=AO$2,#REF!&lt;&gt;""),#REF!) + IF(AND(#REF!=AO$2,#REF!&lt;&gt;""),#REF!)</f>
        <v>#REF!</v>
      </c>
      <c r="AP4" s="57" t="e">
        <f>IF(AND(#REF!=AP$2,#REF!&lt;&gt;""),#REF!) + IF(AND(#REF!=AP$2,#REF!&lt;&gt;""),#REF!) + IF(AND(#REF!=AP$2,#REF!&lt;&gt;""),#REF!)</f>
        <v>#REF!</v>
      </c>
      <c r="AQ4" s="134"/>
      <c r="AR4" s="57" t="e">
        <f>IF(#REF!=AR$2,IF(#REF!=$Y$2,#REF!*plat_invest)) + IF(#REF!=AR$2,IF(#REF!=$Y$2,#REF!*plat_invest)) + IF(#REF!=AR$2,IF(#REF!=$Y$2,#REF!*plat_invest))</f>
        <v>#REF!</v>
      </c>
      <c r="AS4" s="57" t="e">
        <f>IF(#REF!=AS$2,IF(#REF!=$Y$2,#REF!*lumber_invest)) + IF(#REF!=AS$2,IF(#REF!=$Y$2,#REF!*lumber_invest)) + IF(#REF!=AS$2,IF(#REF!=$Y$2,#REF!*lumber_invest))</f>
        <v>#REF!</v>
      </c>
      <c r="AT4" s="57" t="e">
        <f>IF(#REF!=AT$2,IF(#REF!=$Y$2,#REF!*ore_invest)) + IF(#REF!=AT$2,IF(#REF!=$Y$2,#REF!*ore_invest)) + IF(#REF!=AT$2,IF(#REF!=$Y$2,#REF!*ore_invest))</f>
        <v>#REF!</v>
      </c>
      <c r="AU4" s="57" t="e">
        <f>IF(#REF!=AU$2,IF(#REF!=$Y$2,#REF!*gem_invest)) + IF(#REF!=AU$2,IF(#REF!=$Y$2,#REF!*gem_invest)) + IF(#REF!=AU$2,IF(#REF!=$Y$2,#REF!*gem_invest))</f>
        <v>#REF!</v>
      </c>
      <c r="AV4" s="134"/>
      <c r="AW4" s="57" t="e">
        <f>IF(#REF!=AW$2,IF(#REF!=$Z$2,#REF!*plat_invest)) + IF(#REF!=AW$2,IF(#REF!=$Z$2,#REF!*plat_invest)) + IF(#REF!=AW$2,IF(#REF!=$Z$2,#REF!*plat_invest))</f>
        <v>#REF!</v>
      </c>
      <c r="AX4" s="57" t="e">
        <f>IF(#REF!=AX$2,IF(#REF!=$Z$2,#REF!*lumber_invest)) + IF(#REF!=AX$2,IF(#REF!=$Z$2,#REF!*lumber_invest)) + IF(#REF!=AX$2,IF(#REF!=$Z$2,#REF!*lumber_invest))</f>
        <v>#REF!</v>
      </c>
      <c r="AY4" s="57" t="e">
        <f>IF(#REF!=AY$2,IF(#REF!=$Z$2,#REF!*ore_invest)) + IF(#REF!=AY$2,IF(#REF!=$Z$2,#REF!*ore_invest)) + IF(#REF!=AY$2,IF(#REF!=$Z$2,#REF!*ore_invest))</f>
        <v>#REF!</v>
      </c>
      <c r="AZ4" s="57" t="e">
        <f>IF(#REF!=AZ$2,IF(#REF!=$Z$2,#REF!*gem_invest)) + IF(#REF!=AZ$2,IF(#REF!=$Z$2,#REF!*gem_invest)) + IF(#REF!=AZ$2,IF(#REF!=$Z$2,#REF!*gem_invest))</f>
        <v>#REF!</v>
      </c>
      <c r="BA4" s="134"/>
      <c r="BB4" s="57" t="e">
        <f>IF(#REF!=BB$2,IF(#REF!=$AA$2,#REF!*plat_invest)) + IF(#REF!=BB$2,IF(#REF!=$AA$2,#REF!*plat_invest)) + IF(#REF!=BB$2,IF(#REF!=$AA$2,#REF!*plat_invest))</f>
        <v>#REF!</v>
      </c>
      <c r="BC4" s="57" t="e">
        <f>IF(#REF!=BC$2,IF(#REF!=$AA$2,#REF!*lumber_invest)) + IF(#REF!=BC$2,IF(#REF!=$AA$2,#REF!*lumber_invest)) + IF(#REF!=BC$2,IF(#REF!=$AA$2,#REF!*lumber_invest))</f>
        <v>#REF!</v>
      </c>
      <c r="BD4" s="57" t="e">
        <f>IF(#REF!=BD$2,IF(#REF!=$AA$2,#REF!*ore_invest)) + IF(#REF!=BD$2,IF(#REF!=$AA$2,#REF!*ore_invest)) + IF(#REF!=BD$2,IF(#REF!=$AA$2,#REF!*ore_invest))</f>
        <v>#REF!</v>
      </c>
      <c r="BE4" s="57" t="e">
        <f>IF(#REF!=BE$2,IF(#REF!=$AA$2,#REF!*gem_invest)) + IF(#REF!=BE$2,IF(#REF!=$AA$2,#REF!*gem_invest)) + IF(#REF!=BE$2,IF(#REF!=$AA$2,#REF!*gem_invest))</f>
        <v>#REF!</v>
      </c>
      <c r="BF4" s="134"/>
      <c r="BG4" s="57" t="e">
        <f>IF(#REF!=BG$2,IF(#REF!=$AB$2,#REF!*plat_invest)) + IF(#REF!=BG$2,IF(#REF!=$AB$2,#REF!*plat_invest)) + IF(#REF!=BG$2,IF(#REF!=$AB$2,#REF!*plat_invest))</f>
        <v>#REF!</v>
      </c>
      <c r="BH4" s="57" t="e">
        <f>IF(#REF!=BH$2,IF(#REF!=$AB$2,#REF!*lumber_invest)) + IF(#REF!=BH$2,IF(#REF!=$AB$2,#REF!*lumber_invest)) + IF(#REF!=BH$2,IF(#REF!=$AB$2,#REF!*lumber_invest))</f>
        <v>#REF!</v>
      </c>
      <c r="BI4" s="57" t="e">
        <f>IF(#REF!=BI$2,IF(#REF!=$AB$2,#REF!*ore_invest)) + IF(#REF!=BI$2,IF(#REF!=$AB$2,#REF!*ore_invest)) + IF(#REF!=BI$2,IF(#REF!=$AB$2,#REF!*ore_invest))</f>
        <v>#REF!</v>
      </c>
      <c r="BJ4" s="57" t="e">
        <f>IF(#REF!=BJ$2,IF(#REF!=$AB$2,#REF!*gem_invest)) + IF(#REF!=BJ$2,IF(#REF!=$AB$2,#REF!*gem_invest)) + IF(#REF!=BJ$2,IF(#REF!=$AB$2,#REF!*gem_invest))</f>
        <v>#REF!</v>
      </c>
      <c r="BK4" s="134"/>
      <c r="BL4" s="57" t="e">
        <f>IF(#REF!=BL$2,IF(#REF!=$AC$2,#REF!*plat_invest)) + IF(#REF!=BL$2,IF(#REF!=$AC$2,#REF!*plat_invest)) + IF(#REF!=BL$2,IF(#REF!=$AC$2,#REF!*plat_invest))</f>
        <v>#REF!</v>
      </c>
      <c r="BM4" s="57" t="e">
        <f>IF(#REF!=BM$2,IF(#REF!=$AC$2,#REF!*lumber_invest)) + IF(#REF!=BM$2,IF(#REF!=$AC$2,#REF!*lumber_invest)) + IF(#REF!=BM$2,IF(#REF!=$AC$2,#REF!*lumber_invest))</f>
        <v>#REF!</v>
      </c>
      <c r="BN4" s="57" t="e">
        <f>IF(#REF!=BN$2,IF(#REF!=$AC$2,#REF!*ore_invest)) + IF(#REF!=BN$2,IF(#REF!=$AC$2,#REF!*ore_invest)) + IF(#REF!=BN$2,IF(#REF!=$AC$2,#REF!*ore_invest))</f>
        <v>#REF!</v>
      </c>
      <c r="BO4" s="57" t="e">
        <f>IF(#REF!=BO$2,IF(#REF!=$AC$2,#REF!*gem_invest)) + IF(#REF!=BO$2,IF(#REF!=$AC$2,#REF!*gem_invest)) + IF(#REF!=BO$2,IF(#REF!=$AC$2,#REF!*gem_invest))</f>
        <v>#REF!</v>
      </c>
      <c r="BP4" s="134"/>
      <c r="BQ4" s="57" t="e">
        <f>IF(#REF!=BQ$2,IF(#REF!=$AD$2,#REF!*plat_invest)) + IF(#REF!=BQ$2,IF(#REF!=$AD$2,#REF!*plat_invest)) + IF(#REF!=BQ$2,IF(#REF!=$AD$2,#REF!*plat_invest))</f>
        <v>#REF!</v>
      </c>
      <c r="BR4" s="57" t="e">
        <f>IF(#REF!=BR$2,IF(#REF!=$AD$2,#REF!*lumber_invest)) + IF(#REF!=BR$2,IF(#REF!=$AD$2,#REF!*lumber_invest)) + IF(#REF!=BR$2,IF(#REF!=$AD$2,#REF!*lumber_invest))</f>
        <v>#REF!</v>
      </c>
      <c r="BS4" s="57" t="e">
        <f>IF(#REF!=BS$2,IF(#REF!=$AD$2,#REF!*ore_invest)) + IF(#REF!=BS$2,IF(#REF!=$AD$2,#REF!*ore_invest)) + IF(#REF!=BS$2,IF(#REF!=$AD$2,#REF!*ore_invest))</f>
        <v>#REF!</v>
      </c>
      <c r="BT4" s="57" t="e">
        <f>IF(#REF!=BT$2,IF(#REF!=$AD$2,#REF!*gem_invest)) + IF(#REF!=BT$2,IF(#REF!=$AD$2,#REF!*gem_invest)) + IF(#REF!=BT$2,IF(#REF!=$AD$2,#REF!*gem_invest))</f>
        <v>#REF!</v>
      </c>
      <c r="BU4" s="134"/>
      <c r="BV4" s="3" t="e">
        <f>OR(#REF!,#REF!,#REF!,#REF!,#REF!,#REF!,#REF!,#REF!,#REF!)</f>
        <v>#REF!</v>
      </c>
      <c r="BW4" s="61" t="e">
        <f>#REF!</f>
        <v>#REF!</v>
      </c>
      <c r="BX4" s="130"/>
      <c r="BY4" s="280">
        <f>Overview!E15</f>
        <v>45431</v>
      </c>
      <c r="BZ4" s="281">
        <f>Overview!B15</f>
        <v>45431</v>
      </c>
      <c r="CA4" s="57"/>
      <c r="CB4" s="282"/>
      <c r="CC4" s="283"/>
    </row>
    <row r="5" spans="1:84" x14ac:dyDescent="0.25">
      <c r="A5" s="206" t="e">
        <f>#REF!</f>
        <v>#REF!</v>
      </c>
      <c r="B5" s="134"/>
      <c r="C5" s="39" t="e">
        <f>#REF!</f>
        <v>#REF!</v>
      </c>
      <c r="D5" s="39" t="e">
        <f>#REF!</f>
        <v>#REF!</v>
      </c>
      <c r="E5" s="39" t="e">
        <f>#REF!</f>
        <v>#REF!</v>
      </c>
      <c r="F5" s="39" t="e">
        <f>#REF!</f>
        <v>#REF!</v>
      </c>
      <c r="G5" s="133"/>
      <c r="H5" s="39" t="e">
        <f>#REF!</f>
        <v>#REF!</v>
      </c>
      <c r="I5" s="132" t="e">
        <f>#REF!</f>
        <v>#REF!</v>
      </c>
      <c r="J5" s="132" t="e">
        <f>#REF!/#REF!</f>
        <v>#REF!</v>
      </c>
      <c r="K5" s="160" t="e">
        <f>#REF!</f>
        <v>#REF!</v>
      </c>
      <c r="L5" s="276" t="e">
        <f>#REF!</f>
        <v>#REF!</v>
      </c>
      <c r="M5" s="61">
        <f>IF(ISERROR(#REF!),0,#REF!*1)</f>
        <v>0</v>
      </c>
      <c r="N5" s="39" t="e">
        <f>#REF!</f>
        <v>#REF!</v>
      </c>
      <c r="O5" s="277" t="s">
        <v>4</v>
      </c>
      <c r="P5" s="278"/>
      <c r="Q5" s="277" t="s">
        <v>211</v>
      </c>
      <c r="R5" s="277" t="s">
        <v>7</v>
      </c>
      <c r="S5" s="278"/>
      <c r="T5" s="277" t="s">
        <v>211</v>
      </c>
      <c r="U5" s="277" t="s">
        <v>3</v>
      </c>
      <c r="V5" s="278"/>
      <c r="W5" s="277" t="s">
        <v>211</v>
      </c>
      <c r="X5" s="134"/>
      <c r="Y5" s="209" t="e">
        <f ca="1">science_cap*(1-EXP(-#REF!/(science_param*(OFFSET(#REF!,1,0)-OFFSET(#REF!,1,0)*20)+15000)))*(1+(mason_bonus*#REF!/#REF!))</f>
        <v>#REF!</v>
      </c>
      <c r="Z5" s="209" t="e">
        <f ca="1">keep_cap*(1-EXP(-#REF!/(keep_param*(OFFSET(#REF!,1,0)-OFFSET(#REF!,1,0)*20)+15000)))*(1+(mason_bonus*#REF!/#REF!))</f>
        <v>#REF!</v>
      </c>
      <c r="AA5" s="209" t="e">
        <f ca="1">harbor_towers_cap*(1-EXP(-#REF!/(towers_param*(OFFSET(#REF!,1,0)-OFFSET(#REF!,1,0)*20)+15000)))*(1+(mason_bonus*#REF!/#REF!))</f>
        <v>#REF!</v>
      </c>
      <c r="AB5" s="209" t="e">
        <f ca="1">walls_forges_cap*(1-EXP(-#REF!/(walls_forges_param*(OFFSET(#REF!,1,0)-OFFSET(#REF!,1,0)*20)+15000)))*(1+(mason_bonus*#REF!/#REF!))</f>
        <v>#REF!</v>
      </c>
      <c r="AC5" s="209" t="e">
        <f ca="1">walls_forges_cap*(1-EXP(-#REF!/(walls_forges_param*(OFFSET(#REF!,1,0)-OFFSET(#REF!,1,0)*20)+15000)))*(1+(mason_bonus*#REF!/#REF!))</f>
        <v>#REF!</v>
      </c>
      <c r="AD5" s="209" t="e">
        <f ca="1">harbor_towers_cap*(1-EXP(-#REF!/(harbor_towers_param*(OFFSET(#REF!,1,0)-OFFSET(#REF!,1,0)*20)+15000)))*(1+(mason_bonus*#REF!/#REF!))</f>
        <v>#REF!</v>
      </c>
      <c r="AE5" s="134"/>
      <c r="AF5" s="61" t="e">
        <f ca="1">(1+Overview!$I$28)*SUM(#REF!)+OFFSET(#REF!,-1,0)</f>
        <v>#REF!</v>
      </c>
      <c r="AG5" s="61" t="e">
        <f ca="1">(1+Overview!$I$28)*SUM(#REF!)+OFFSET(#REF!,-1,0)</f>
        <v>#REF!</v>
      </c>
      <c r="AH5" s="61" t="e">
        <f ca="1">(1+Overview!$I$28 + tech_7_1*#REF!)*SUM(#REF!)+OFFSET(#REF!,-1,0)</f>
        <v>#REF!</v>
      </c>
      <c r="AI5" s="61" t="e">
        <f ca="1">(1+Overview!$I$28)*SUM(#REF!)+OFFSET(#REF!,-1,0)</f>
        <v>#REF!</v>
      </c>
      <c r="AJ5" s="61" t="e">
        <f ca="1">(1+Overview!$I$28)*SUM(#REF!)+OFFSET(#REF!,-1,0)</f>
        <v>#REF!</v>
      </c>
      <c r="AK5" s="61" t="e">
        <f ca="1">(1+Overview!$I$28 + tech_7_1*#REF!)*SUM(#REF!)+OFFSET(#REF!,-1,0)</f>
        <v>#REF!</v>
      </c>
      <c r="AL5" s="134"/>
      <c r="AM5" s="57" t="e">
        <f>IF(AND(#REF!=AM$2,#REF!&lt;&gt;""),#REF!) + IF(AND(#REF!=AM$2,#REF!&lt;&gt;""),#REF!) + IF(AND(#REF!=AM$2,#REF!&lt;&gt;""),#REF!)</f>
        <v>#REF!</v>
      </c>
      <c r="AN5" s="57" t="e">
        <f>IF(AND(#REF!=AN$2,#REF!&lt;&gt;""),#REF!) + IF(AND(#REF!=AN$2,#REF!&lt;&gt;""),#REF!) + IF(AND(#REF!=AN$2,#REF!&lt;&gt;""),#REF!)</f>
        <v>#REF!</v>
      </c>
      <c r="AO5" s="57" t="e">
        <f>IF(AND(#REF!=AO$2,#REF!&lt;&gt;""),#REF!) + IF(AND(#REF!=AO$2,#REF!&lt;&gt;""),#REF!) + IF(AND(#REF!=AO$2,#REF!&lt;&gt;""),#REF!)</f>
        <v>#REF!</v>
      </c>
      <c r="AP5" s="57" t="e">
        <f>IF(AND(#REF!=AP$2,#REF!&lt;&gt;""),#REF!) + IF(AND(#REF!=AP$2,#REF!&lt;&gt;""),#REF!) + IF(AND(#REF!=AP$2,#REF!&lt;&gt;""),#REF!)</f>
        <v>#REF!</v>
      </c>
      <c r="AQ5" s="134"/>
      <c r="AR5" s="57" t="e">
        <f>IF(#REF!=AR$2,IF(#REF!=$Y$2,#REF!*plat_invest)) + IF(#REF!=AR$2,IF(#REF!=$Y$2,#REF!*plat_invest)) + IF(#REF!=AR$2,IF(#REF!=$Y$2,#REF!*plat_invest))</f>
        <v>#REF!</v>
      </c>
      <c r="AS5" s="57" t="e">
        <f>IF(#REF!=AS$2,IF(#REF!=$Y$2,#REF!*lumber_invest)) + IF(#REF!=AS$2,IF(#REF!=$Y$2,#REF!*lumber_invest)) + IF(#REF!=AS$2,IF(#REF!=$Y$2,#REF!*lumber_invest))</f>
        <v>#REF!</v>
      </c>
      <c r="AT5" s="57" t="e">
        <f>IF(#REF!=AT$2,IF(#REF!=$Y$2,#REF!*ore_invest)) + IF(#REF!=AT$2,IF(#REF!=$Y$2,#REF!*ore_invest)) + IF(#REF!=AT$2,IF(#REF!=$Y$2,#REF!*ore_invest))</f>
        <v>#REF!</v>
      </c>
      <c r="AU5" s="57" t="e">
        <f>IF(#REF!=AU$2,IF(#REF!=$Y$2,#REF!*gem_invest)) + IF(#REF!=AU$2,IF(#REF!=$Y$2,#REF!*gem_invest)) + IF(#REF!=AU$2,IF(#REF!=$Y$2,#REF!*gem_invest))</f>
        <v>#REF!</v>
      </c>
      <c r="AV5" s="134"/>
      <c r="AW5" s="57" t="e">
        <f>IF(#REF!=AW$2,IF(#REF!=$Z$2,#REF!*plat_invest)) + IF(#REF!=AW$2,IF(#REF!=$Z$2,#REF!*plat_invest)) + IF(#REF!=AW$2,IF(#REF!=$Z$2,#REF!*plat_invest))</f>
        <v>#REF!</v>
      </c>
      <c r="AX5" s="57" t="e">
        <f>IF(#REF!=AX$2,IF(#REF!=$Z$2,#REF!*lumber_invest)) + IF(#REF!=AX$2,IF(#REF!=$Z$2,#REF!*lumber_invest)) + IF(#REF!=AX$2,IF(#REF!=$Z$2,#REF!*lumber_invest))</f>
        <v>#REF!</v>
      </c>
      <c r="AY5" s="57" t="e">
        <f>IF(#REF!=AY$2,IF(#REF!=$Z$2,#REF!*ore_invest)) + IF(#REF!=AY$2,IF(#REF!=$Z$2,#REF!*ore_invest)) + IF(#REF!=AY$2,IF(#REF!=$Z$2,#REF!*ore_invest))</f>
        <v>#REF!</v>
      </c>
      <c r="AZ5" s="57" t="e">
        <f>IF(#REF!=AZ$2,IF(#REF!=$Z$2,#REF!*gem_invest)) + IF(#REF!=AZ$2,IF(#REF!=$Z$2,#REF!*gem_invest)) + IF(#REF!=AZ$2,IF(#REF!=$Z$2,#REF!*gem_invest))</f>
        <v>#REF!</v>
      </c>
      <c r="BA5" s="134"/>
      <c r="BB5" s="57" t="e">
        <f>IF(#REF!=BB$2,IF(#REF!=$AA$2,#REF!*plat_invest)) + IF(#REF!=BB$2,IF(#REF!=$AA$2,#REF!*plat_invest)) + IF(#REF!=BB$2,IF(#REF!=$AA$2,#REF!*plat_invest))</f>
        <v>#REF!</v>
      </c>
      <c r="BC5" s="57" t="e">
        <f>IF(#REF!=BC$2,IF(#REF!=$AA$2,#REF!*lumber_invest)) + IF(#REF!=BC$2,IF(#REF!=$AA$2,#REF!*lumber_invest)) + IF(#REF!=BC$2,IF(#REF!=$AA$2,#REF!*lumber_invest))</f>
        <v>#REF!</v>
      </c>
      <c r="BD5" s="57" t="e">
        <f>IF(#REF!=BD$2,IF(#REF!=$AA$2,#REF!*ore_invest)) + IF(#REF!=BD$2,IF(#REF!=$AA$2,#REF!*ore_invest)) + IF(#REF!=BD$2,IF(#REF!=$AA$2,#REF!*ore_invest))</f>
        <v>#REF!</v>
      </c>
      <c r="BE5" s="57" t="e">
        <f>IF(#REF!=BE$2,IF(#REF!=$AA$2,#REF!*gem_invest)) + IF(#REF!=BE$2,IF(#REF!=$AA$2,#REF!*gem_invest)) + IF(#REF!=BE$2,IF(#REF!=$AA$2,#REF!*gem_invest))</f>
        <v>#REF!</v>
      </c>
      <c r="BF5" s="134"/>
      <c r="BG5" s="57" t="e">
        <f>IF(#REF!=BG$2,IF(#REF!=$AB$2,#REF!*plat_invest)) + IF(#REF!=BG$2,IF(#REF!=$AB$2,#REF!*plat_invest)) + IF(#REF!=BG$2,IF(#REF!=$AB$2,#REF!*plat_invest))</f>
        <v>#REF!</v>
      </c>
      <c r="BH5" s="57" t="e">
        <f>IF(#REF!=BH$2,IF(#REF!=$AB$2,#REF!*lumber_invest)) + IF(#REF!=BH$2,IF(#REF!=$AB$2,#REF!*lumber_invest)) + IF(#REF!=BH$2,IF(#REF!=$AB$2,#REF!*lumber_invest))</f>
        <v>#REF!</v>
      </c>
      <c r="BI5" s="57" t="e">
        <f>IF(#REF!=BI$2,IF(#REF!=$AB$2,#REF!*ore_invest)) + IF(#REF!=BI$2,IF(#REF!=$AB$2,#REF!*ore_invest)) + IF(#REF!=BI$2,IF(#REF!=$AB$2,#REF!*ore_invest))</f>
        <v>#REF!</v>
      </c>
      <c r="BJ5" s="57" t="e">
        <f>IF(#REF!=BJ$2,IF(#REF!=$AB$2,#REF!*gem_invest)) + IF(#REF!=BJ$2,IF(#REF!=$AB$2,#REF!*gem_invest)) + IF(#REF!=BJ$2,IF(#REF!=$AB$2,#REF!*gem_invest))</f>
        <v>#REF!</v>
      </c>
      <c r="BK5" s="134"/>
      <c r="BL5" s="57" t="e">
        <f>IF(#REF!=BL$2,IF(#REF!=$AC$2,#REF!*plat_invest)) + IF(#REF!=BL$2,IF(#REF!=$AC$2,#REF!*plat_invest)) + IF(#REF!=BL$2,IF(#REF!=$AC$2,#REF!*plat_invest))</f>
        <v>#REF!</v>
      </c>
      <c r="BM5" s="57" t="e">
        <f>IF(#REF!=BM$2,IF(#REF!=$AC$2,#REF!*lumber_invest)) + IF(#REF!=BM$2,IF(#REF!=$AC$2,#REF!*lumber_invest)) + IF(#REF!=BM$2,IF(#REF!=$AC$2,#REF!*lumber_invest))</f>
        <v>#REF!</v>
      </c>
      <c r="BN5" s="57" t="e">
        <f>IF(#REF!=BN$2,IF(#REF!=$AC$2,#REF!*ore_invest)) + IF(#REF!=BN$2,IF(#REF!=$AC$2,#REF!*ore_invest)) + IF(#REF!=BN$2,IF(#REF!=$AC$2,#REF!*ore_invest))</f>
        <v>#REF!</v>
      </c>
      <c r="BO5" s="57" t="e">
        <f>IF(#REF!=BO$2,IF(#REF!=$AC$2,#REF!*gem_invest)) + IF(#REF!=BO$2,IF(#REF!=$AC$2,#REF!*gem_invest)) + IF(#REF!=BO$2,IF(#REF!=$AC$2,#REF!*gem_invest))</f>
        <v>#REF!</v>
      </c>
      <c r="BP5" s="134"/>
      <c r="BQ5" s="57" t="e">
        <f>IF(#REF!=BQ$2,IF(#REF!=$AD$2,#REF!*plat_invest)) + IF(#REF!=BQ$2,IF(#REF!=$AD$2,#REF!*plat_invest)) + IF(#REF!=BQ$2,IF(#REF!=$AD$2,#REF!*plat_invest))</f>
        <v>#REF!</v>
      </c>
      <c r="BR5" s="57" t="e">
        <f>IF(#REF!=BR$2,IF(#REF!=$AD$2,#REF!*lumber_invest)) + IF(#REF!=BR$2,IF(#REF!=$AD$2,#REF!*lumber_invest)) + IF(#REF!=BR$2,IF(#REF!=$AD$2,#REF!*lumber_invest))</f>
        <v>#REF!</v>
      </c>
      <c r="BS5" s="57" t="e">
        <f>IF(#REF!=BS$2,IF(#REF!=$AD$2,#REF!*ore_invest)) + IF(#REF!=BS$2,IF(#REF!=$AD$2,#REF!*ore_invest)) + IF(#REF!=BS$2,IF(#REF!=$AD$2,#REF!*ore_invest))</f>
        <v>#REF!</v>
      </c>
      <c r="BT5" s="57" t="e">
        <f>IF(#REF!=BT$2,IF(#REF!=$AD$2,#REF!*gem_invest)) + IF(#REF!=BT$2,IF(#REF!=$AD$2,#REF!*gem_invest)) + IF(#REF!=BT$2,IF(#REF!=$AD$2,#REF!*gem_invest))</f>
        <v>#REF!</v>
      </c>
      <c r="BU5" s="134"/>
      <c r="BV5" s="3" t="e">
        <f>OR(#REF!,#REF!,#REF!,#REF!,#REF!,#REF!,#REF!,#REF!,#REF!)</f>
        <v>#REF!</v>
      </c>
      <c r="BW5" s="61" t="e">
        <f>#REF!</f>
        <v>#REF!</v>
      </c>
      <c r="BX5" s="130"/>
      <c r="BY5" s="284" t="e">
        <f ca="1">OFFSET(#REF!,-1,0)+1/24</f>
        <v>#REF!</v>
      </c>
      <c r="BZ5" s="285" t="e">
        <f ca="1">OFFSET(#REF!,-1,0)+1/24</f>
        <v>#REF!</v>
      </c>
      <c r="CA5" s="57"/>
      <c r="CB5" s="283"/>
      <c r="CC5" s="283"/>
    </row>
    <row r="6" spans="1:84" x14ac:dyDescent="0.25">
      <c r="A6" s="206" t="e">
        <f>#REF!</f>
        <v>#REF!</v>
      </c>
      <c r="B6" s="134"/>
      <c r="C6" s="39" t="e">
        <f>#REF!</f>
        <v>#REF!</v>
      </c>
      <c r="D6" s="39" t="e">
        <f>#REF!</f>
        <v>#REF!</v>
      </c>
      <c r="E6" s="39" t="e">
        <f>#REF!</f>
        <v>#REF!</v>
      </c>
      <c r="F6" s="39" t="e">
        <f>#REF!</f>
        <v>#REF!</v>
      </c>
      <c r="G6" s="133"/>
      <c r="H6" s="39" t="e">
        <f>#REF!</f>
        <v>#REF!</v>
      </c>
      <c r="I6" s="132" t="e">
        <f>#REF!</f>
        <v>#REF!</v>
      </c>
      <c r="J6" s="132" t="e">
        <f>#REF!/#REF!</f>
        <v>#REF!</v>
      </c>
      <c r="K6" s="160" t="e">
        <f>#REF!</f>
        <v>#REF!</v>
      </c>
      <c r="L6" s="276" t="e">
        <f>#REF!</f>
        <v>#REF!</v>
      </c>
      <c r="M6" s="61">
        <f>IF(ISERROR(#REF!),0,#REF!*1)</f>
        <v>0</v>
      </c>
      <c r="N6" s="39" t="e">
        <f>#REF!</f>
        <v>#REF!</v>
      </c>
      <c r="O6" s="277" t="s">
        <v>4</v>
      </c>
      <c r="P6" s="278"/>
      <c r="Q6" s="277" t="s">
        <v>211</v>
      </c>
      <c r="R6" s="277" t="s">
        <v>7</v>
      </c>
      <c r="S6" s="278"/>
      <c r="T6" s="277" t="s">
        <v>211</v>
      </c>
      <c r="U6" s="277" t="s">
        <v>3</v>
      </c>
      <c r="V6" s="278"/>
      <c r="W6" s="277" t="s">
        <v>211</v>
      </c>
      <c r="X6" s="134"/>
      <c r="Y6" s="209" t="e">
        <f ca="1">science_cap*(1-EXP(-#REF!/(science_param*(OFFSET(#REF!,1,0)-OFFSET(#REF!,1,0)*20)+15000)))*(1+(mason_bonus*#REF!/#REF!))</f>
        <v>#REF!</v>
      </c>
      <c r="Z6" s="209" t="e">
        <f ca="1">keep_cap*(1-EXP(-#REF!/(keep_param*(OFFSET(#REF!,1,0)-OFFSET(#REF!,1,0)*20)+15000)))*(1+(mason_bonus*#REF!/#REF!))</f>
        <v>#REF!</v>
      </c>
      <c r="AA6" s="209" t="e">
        <f ca="1">harbor_towers_cap*(1-EXP(-#REF!/(towers_param*(OFFSET(#REF!,1,0)-OFFSET(#REF!,1,0)*20)+15000)))*(1+(mason_bonus*#REF!/#REF!))</f>
        <v>#REF!</v>
      </c>
      <c r="AB6" s="209" t="e">
        <f ca="1">walls_forges_cap*(1-EXP(-#REF!/(walls_forges_param*(OFFSET(#REF!,1,0)-OFFSET(#REF!,1,0)*20)+15000)))*(1+(mason_bonus*#REF!/#REF!))</f>
        <v>#REF!</v>
      </c>
      <c r="AC6" s="209" t="e">
        <f ca="1">walls_forges_cap*(1-EXP(-#REF!/(walls_forges_param*(OFFSET(#REF!,1,0)-OFFSET(#REF!,1,0)*20)+15000)))*(1+(mason_bonus*#REF!/#REF!))</f>
        <v>#REF!</v>
      </c>
      <c r="AD6" s="209" t="e">
        <f ca="1">harbor_towers_cap*(1-EXP(-#REF!/(harbor_towers_param*(OFFSET(#REF!,1,0)-OFFSET(#REF!,1,0)*20)+15000)))*(1+(mason_bonus*#REF!/#REF!))</f>
        <v>#REF!</v>
      </c>
      <c r="AE6" s="134"/>
      <c r="AF6" s="61" t="e">
        <f ca="1">(1+Overview!$I$28)*SUM(#REF!)+OFFSET(#REF!,-1,0)</f>
        <v>#REF!</v>
      </c>
      <c r="AG6" s="61" t="e">
        <f ca="1">(1+Overview!$I$28)*SUM(#REF!)+OFFSET(#REF!,-1,0)</f>
        <v>#REF!</v>
      </c>
      <c r="AH6" s="61" t="e">
        <f ca="1">(1+Overview!$I$28 + tech_7_1*#REF!)*SUM(#REF!)+OFFSET(#REF!,-1,0)</f>
        <v>#REF!</v>
      </c>
      <c r="AI6" s="61" t="e">
        <f ca="1">(1+Overview!$I$28)*SUM(#REF!)+OFFSET(#REF!,-1,0)</f>
        <v>#REF!</v>
      </c>
      <c r="AJ6" s="61" t="e">
        <f ca="1">(1+Overview!$I$28)*SUM(#REF!)+OFFSET(#REF!,-1,0)</f>
        <v>#REF!</v>
      </c>
      <c r="AK6" s="61" t="e">
        <f ca="1">(1+Overview!$I$28 + tech_7_1*#REF!)*SUM(#REF!)+OFFSET(#REF!,-1,0)</f>
        <v>#REF!</v>
      </c>
      <c r="AL6" s="134"/>
      <c r="AM6" s="57" t="e">
        <f>IF(AND(#REF!=AM$2,#REF!&lt;&gt;""),#REF!) + IF(AND(#REF!=AM$2,#REF!&lt;&gt;""),#REF!) + IF(AND(#REF!=AM$2,#REF!&lt;&gt;""),#REF!)</f>
        <v>#REF!</v>
      </c>
      <c r="AN6" s="57" t="e">
        <f>IF(AND(#REF!=AN$2,#REF!&lt;&gt;""),#REF!) + IF(AND(#REF!=AN$2,#REF!&lt;&gt;""),#REF!) + IF(AND(#REF!=AN$2,#REF!&lt;&gt;""),#REF!)</f>
        <v>#REF!</v>
      </c>
      <c r="AO6" s="57" t="e">
        <f>IF(AND(#REF!=AO$2,#REF!&lt;&gt;""),#REF!) + IF(AND(#REF!=AO$2,#REF!&lt;&gt;""),#REF!) + IF(AND(#REF!=AO$2,#REF!&lt;&gt;""),#REF!)</f>
        <v>#REF!</v>
      </c>
      <c r="AP6" s="57" t="e">
        <f>IF(AND(#REF!=AP$2,#REF!&lt;&gt;""),#REF!) + IF(AND(#REF!=AP$2,#REF!&lt;&gt;""),#REF!) + IF(AND(#REF!=AP$2,#REF!&lt;&gt;""),#REF!)</f>
        <v>#REF!</v>
      </c>
      <c r="AQ6" s="134"/>
      <c r="AR6" s="57" t="e">
        <f>IF(#REF!=AR$2,IF(#REF!=$Y$2,#REF!*plat_invest)) + IF(#REF!=AR$2,IF(#REF!=$Y$2,#REF!*plat_invest)) + IF(#REF!=AR$2,IF(#REF!=$Y$2,#REF!*plat_invest))</f>
        <v>#REF!</v>
      </c>
      <c r="AS6" s="57" t="e">
        <f>IF(#REF!=AS$2,IF(#REF!=$Y$2,#REF!*lumber_invest)) + IF(#REF!=AS$2,IF(#REF!=$Y$2,#REF!*lumber_invest)) + IF(#REF!=AS$2,IF(#REF!=$Y$2,#REF!*lumber_invest))</f>
        <v>#REF!</v>
      </c>
      <c r="AT6" s="57" t="e">
        <f>IF(#REF!=AT$2,IF(#REF!=$Y$2,#REF!*ore_invest)) + IF(#REF!=AT$2,IF(#REF!=$Y$2,#REF!*ore_invest)) + IF(#REF!=AT$2,IF(#REF!=$Y$2,#REF!*ore_invest))</f>
        <v>#REF!</v>
      </c>
      <c r="AU6" s="57" t="e">
        <f>IF(#REF!=AU$2,IF(#REF!=$Y$2,#REF!*gem_invest)) + IF(#REF!=AU$2,IF(#REF!=$Y$2,#REF!*gem_invest)) + IF(#REF!=AU$2,IF(#REF!=$Y$2,#REF!*gem_invest))</f>
        <v>#REF!</v>
      </c>
      <c r="AV6" s="134"/>
      <c r="AW6" s="57" t="e">
        <f>IF(#REF!=AW$2,IF(#REF!=$Z$2,#REF!*plat_invest)) + IF(#REF!=AW$2,IF(#REF!=$Z$2,#REF!*plat_invest)) + IF(#REF!=AW$2,IF(#REF!=$Z$2,#REF!*plat_invest))</f>
        <v>#REF!</v>
      </c>
      <c r="AX6" s="57" t="e">
        <f>IF(#REF!=AX$2,IF(#REF!=$Z$2,#REF!*lumber_invest)) + IF(#REF!=AX$2,IF(#REF!=$Z$2,#REF!*lumber_invest)) + IF(#REF!=AX$2,IF(#REF!=$Z$2,#REF!*lumber_invest))</f>
        <v>#REF!</v>
      </c>
      <c r="AY6" s="57" t="e">
        <f>IF(#REF!=AY$2,IF(#REF!=$Z$2,#REF!*ore_invest)) + IF(#REF!=AY$2,IF(#REF!=$Z$2,#REF!*ore_invest)) + IF(#REF!=AY$2,IF(#REF!=$Z$2,#REF!*ore_invest))</f>
        <v>#REF!</v>
      </c>
      <c r="AZ6" s="57" t="e">
        <f>IF(#REF!=AZ$2,IF(#REF!=$Z$2,#REF!*gem_invest)) + IF(#REF!=AZ$2,IF(#REF!=$Z$2,#REF!*gem_invest)) + IF(#REF!=AZ$2,IF(#REF!=$Z$2,#REF!*gem_invest))</f>
        <v>#REF!</v>
      </c>
      <c r="BA6" s="134"/>
      <c r="BB6" s="57" t="e">
        <f>IF(#REF!=BB$2,IF(#REF!=$AA$2,#REF!*plat_invest)) + IF(#REF!=BB$2,IF(#REF!=$AA$2,#REF!*plat_invest)) + IF(#REF!=BB$2,IF(#REF!=$AA$2,#REF!*plat_invest))</f>
        <v>#REF!</v>
      </c>
      <c r="BC6" s="57" t="e">
        <f>IF(#REF!=BC$2,IF(#REF!=$AA$2,#REF!*lumber_invest)) + IF(#REF!=BC$2,IF(#REF!=$AA$2,#REF!*lumber_invest)) + IF(#REF!=BC$2,IF(#REF!=$AA$2,#REF!*lumber_invest))</f>
        <v>#REF!</v>
      </c>
      <c r="BD6" s="57" t="e">
        <f>IF(#REF!=BD$2,IF(#REF!=$AA$2,#REF!*ore_invest)) + IF(#REF!=BD$2,IF(#REF!=$AA$2,#REF!*ore_invest)) + IF(#REF!=BD$2,IF(#REF!=$AA$2,#REF!*ore_invest))</f>
        <v>#REF!</v>
      </c>
      <c r="BE6" s="57" t="e">
        <f>IF(#REF!=BE$2,IF(#REF!=$AA$2,#REF!*gem_invest)) + IF(#REF!=BE$2,IF(#REF!=$AA$2,#REF!*gem_invest)) + IF(#REF!=BE$2,IF(#REF!=$AA$2,#REF!*gem_invest))</f>
        <v>#REF!</v>
      </c>
      <c r="BF6" s="134"/>
      <c r="BG6" s="57" t="e">
        <f>IF(#REF!=BG$2,IF(#REF!=$AB$2,#REF!*plat_invest)) + IF(#REF!=BG$2,IF(#REF!=$AB$2,#REF!*plat_invest)) + IF(#REF!=BG$2,IF(#REF!=$AB$2,#REF!*plat_invest))</f>
        <v>#REF!</v>
      </c>
      <c r="BH6" s="57" t="e">
        <f>IF(#REF!=BH$2,IF(#REF!=$AB$2,#REF!*lumber_invest)) + IF(#REF!=BH$2,IF(#REF!=$AB$2,#REF!*lumber_invest)) + IF(#REF!=BH$2,IF(#REF!=$AB$2,#REF!*lumber_invest))</f>
        <v>#REF!</v>
      </c>
      <c r="BI6" s="57" t="e">
        <f>IF(#REF!=BI$2,IF(#REF!=$AB$2,#REF!*ore_invest)) + IF(#REF!=BI$2,IF(#REF!=$AB$2,#REF!*ore_invest)) + IF(#REF!=BI$2,IF(#REF!=$AB$2,#REF!*ore_invest))</f>
        <v>#REF!</v>
      </c>
      <c r="BJ6" s="57" t="e">
        <f>IF(#REF!=BJ$2,IF(#REF!=$AB$2,#REF!*gem_invest)) + IF(#REF!=BJ$2,IF(#REF!=$AB$2,#REF!*gem_invest)) + IF(#REF!=BJ$2,IF(#REF!=$AB$2,#REF!*gem_invest))</f>
        <v>#REF!</v>
      </c>
      <c r="BK6" s="134"/>
      <c r="BL6" s="57" t="e">
        <f>IF(#REF!=BL$2,IF(#REF!=$AC$2,#REF!*plat_invest)) + IF(#REF!=BL$2,IF(#REF!=$AC$2,#REF!*plat_invest)) + IF(#REF!=BL$2,IF(#REF!=$AC$2,#REF!*plat_invest))</f>
        <v>#REF!</v>
      </c>
      <c r="BM6" s="57" t="e">
        <f>IF(#REF!=BM$2,IF(#REF!=$AC$2,#REF!*lumber_invest)) + IF(#REF!=BM$2,IF(#REF!=$AC$2,#REF!*lumber_invest)) + IF(#REF!=BM$2,IF(#REF!=$AC$2,#REF!*lumber_invest))</f>
        <v>#REF!</v>
      </c>
      <c r="BN6" s="57" t="e">
        <f>IF(#REF!=BN$2,IF(#REF!=$AC$2,#REF!*ore_invest)) + IF(#REF!=BN$2,IF(#REF!=$AC$2,#REF!*ore_invest)) + IF(#REF!=BN$2,IF(#REF!=$AC$2,#REF!*ore_invest))</f>
        <v>#REF!</v>
      </c>
      <c r="BO6" s="57" t="e">
        <f>IF(#REF!=BO$2,IF(#REF!=$AC$2,#REF!*gem_invest)) + IF(#REF!=BO$2,IF(#REF!=$AC$2,#REF!*gem_invest)) + IF(#REF!=BO$2,IF(#REF!=$AC$2,#REF!*gem_invest))</f>
        <v>#REF!</v>
      </c>
      <c r="BP6" s="134"/>
      <c r="BQ6" s="57" t="e">
        <f>IF(#REF!=BQ$2,IF(#REF!=$AD$2,#REF!*plat_invest)) + IF(#REF!=BQ$2,IF(#REF!=$AD$2,#REF!*plat_invest)) + IF(#REF!=BQ$2,IF(#REF!=$AD$2,#REF!*plat_invest))</f>
        <v>#REF!</v>
      </c>
      <c r="BR6" s="57" t="e">
        <f>IF(#REF!=BR$2,IF(#REF!=$AD$2,#REF!*lumber_invest)) + IF(#REF!=BR$2,IF(#REF!=$AD$2,#REF!*lumber_invest)) + IF(#REF!=BR$2,IF(#REF!=$AD$2,#REF!*lumber_invest))</f>
        <v>#REF!</v>
      </c>
      <c r="BS6" s="57" t="e">
        <f>IF(#REF!=BS$2,IF(#REF!=$AD$2,#REF!*ore_invest)) + IF(#REF!=BS$2,IF(#REF!=$AD$2,#REF!*ore_invest)) + IF(#REF!=BS$2,IF(#REF!=$AD$2,#REF!*ore_invest))</f>
        <v>#REF!</v>
      </c>
      <c r="BT6" s="57" t="e">
        <f>IF(#REF!=BT$2,IF(#REF!=$AD$2,#REF!*gem_invest)) + IF(#REF!=BT$2,IF(#REF!=$AD$2,#REF!*gem_invest)) + IF(#REF!=BT$2,IF(#REF!=$AD$2,#REF!*gem_invest))</f>
        <v>#REF!</v>
      </c>
      <c r="BU6" s="134"/>
      <c r="BV6" s="3" t="e">
        <f>OR(#REF!,#REF!,#REF!,#REF!,#REF!,#REF!,#REF!,#REF!,#REF!)</f>
        <v>#REF!</v>
      </c>
      <c r="BW6" s="61" t="e">
        <f>#REF!</f>
        <v>#REF!</v>
      </c>
      <c r="BX6" s="130"/>
      <c r="BY6" s="284" t="e">
        <f ca="1">OFFSET(#REF!,-1,0)+1/24</f>
        <v>#REF!</v>
      </c>
      <c r="BZ6" s="285" t="e">
        <f ca="1">OFFSET(#REF!,-1,0)+1/24</f>
        <v>#REF!</v>
      </c>
      <c r="CA6" s="57"/>
      <c r="CB6" s="283"/>
      <c r="CC6" s="283"/>
      <c r="CF6" s="286"/>
    </row>
    <row r="7" spans="1:84" x14ac:dyDescent="0.25">
      <c r="A7" s="206" t="e">
        <f>#REF!</f>
        <v>#REF!</v>
      </c>
      <c r="B7" s="134"/>
      <c r="C7" s="39" t="e">
        <f>#REF!</f>
        <v>#REF!</v>
      </c>
      <c r="D7" s="39" t="e">
        <f>#REF!</f>
        <v>#REF!</v>
      </c>
      <c r="E7" s="39" t="e">
        <f>#REF!</f>
        <v>#REF!</v>
      </c>
      <c r="F7" s="39" t="e">
        <f>#REF!</f>
        <v>#REF!</v>
      </c>
      <c r="G7" s="133"/>
      <c r="H7" s="39" t="e">
        <f>#REF!</f>
        <v>#REF!</v>
      </c>
      <c r="I7" s="132" t="e">
        <f>#REF!</f>
        <v>#REF!</v>
      </c>
      <c r="J7" s="132" t="e">
        <f>#REF!/#REF!</f>
        <v>#REF!</v>
      </c>
      <c r="K7" s="160" t="e">
        <f>#REF!</f>
        <v>#REF!</v>
      </c>
      <c r="L7" s="276" t="e">
        <f>#REF!</f>
        <v>#REF!</v>
      </c>
      <c r="M7" s="61">
        <f>IF(ISERROR(#REF!),0,#REF!*1)</f>
        <v>0</v>
      </c>
      <c r="N7" s="39" t="e">
        <f>#REF!</f>
        <v>#REF!</v>
      </c>
      <c r="O7" s="277" t="s">
        <v>4</v>
      </c>
      <c r="P7" s="278"/>
      <c r="Q7" s="277" t="s">
        <v>211</v>
      </c>
      <c r="R7" s="277" t="s">
        <v>7</v>
      </c>
      <c r="S7" s="278"/>
      <c r="T7" s="277" t="s">
        <v>211</v>
      </c>
      <c r="U7" s="277" t="s">
        <v>3</v>
      </c>
      <c r="V7" s="278"/>
      <c r="W7" s="277" t="s">
        <v>211</v>
      </c>
      <c r="X7" s="134"/>
      <c r="Y7" s="209" t="e">
        <f ca="1">science_cap*(1-EXP(-#REF!/(science_param*(OFFSET(#REF!,1,0)-OFFSET(#REF!,1,0)*20)+15000)))*(1+(mason_bonus*#REF!/#REF!))</f>
        <v>#REF!</v>
      </c>
      <c r="Z7" s="209" t="e">
        <f ca="1">keep_cap*(1-EXP(-#REF!/(keep_param*(OFFSET(#REF!,1,0)-OFFSET(#REF!,1,0)*20)+15000)))*(1+(mason_bonus*#REF!/#REF!))</f>
        <v>#REF!</v>
      </c>
      <c r="AA7" s="209" t="e">
        <f ca="1">harbor_towers_cap*(1-EXP(-#REF!/(towers_param*(OFFSET(#REF!,1,0)-OFFSET(#REF!,1,0)*20)+15000)))*(1+(mason_bonus*#REF!/#REF!))</f>
        <v>#REF!</v>
      </c>
      <c r="AB7" s="209" t="e">
        <f ca="1">walls_forges_cap*(1-EXP(-#REF!/(walls_forges_param*(OFFSET(#REF!,1,0)-OFFSET(#REF!,1,0)*20)+15000)))*(1+(mason_bonus*#REF!/#REF!))</f>
        <v>#REF!</v>
      </c>
      <c r="AC7" s="209" t="e">
        <f ca="1">walls_forges_cap*(1-EXP(-#REF!/(walls_forges_param*(OFFSET(#REF!,1,0)-OFFSET(#REF!,1,0)*20)+15000)))*(1+(mason_bonus*#REF!/#REF!))</f>
        <v>#REF!</v>
      </c>
      <c r="AD7" s="209" t="e">
        <f ca="1">harbor_towers_cap*(1-EXP(-#REF!/(harbor_towers_param*(OFFSET(#REF!,1,0)-OFFSET(#REF!,1,0)*20)+15000)))*(1+(mason_bonus*#REF!/#REF!))</f>
        <v>#REF!</v>
      </c>
      <c r="AE7" s="134"/>
      <c r="AF7" s="61" t="e">
        <f ca="1">(1+Overview!$I$28)*SUM(#REF!)+OFFSET(#REF!,-1,0)</f>
        <v>#REF!</v>
      </c>
      <c r="AG7" s="61" t="e">
        <f ca="1">(1+Overview!$I$28)*SUM(#REF!)+OFFSET(#REF!,-1,0)</f>
        <v>#REF!</v>
      </c>
      <c r="AH7" s="61" t="e">
        <f ca="1">(1+Overview!$I$28 + tech_7_1*#REF!)*SUM(#REF!)+OFFSET(#REF!,-1,0)</f>
        <v>#REF!</v>
      </c>
      <c r="AI7" s="61" t="e">
        <f ca="1">(1+Overview!$I$28)*SUM(#REF!)+OFFSET(#REF!,-1,0)</f>
        <v>#REF!</v>
      </c>
      <c r="AJ7" s="61" t="e">
        <f ca="1">(1+Overview!$I$28)*SUM(#REF!)+OFFSET(#REF!,-1,0)</f>
        <v>#REF!</v>
      </c>
      <c r="AK7" s="61" t="e">
        <f ca="1">(1+Overview!$I$28 + tech_7_1*#REF!)*SUM(#REF!)+OFFSET(#REF!,-1,0)</f>
        <v>#REF!</v>
      </c>
      <c r="AL7" s="134"/>
      <c r="AM7" s="57" t="e">
        <f>IF(AND(#REF!=AM$2,#REF!&lt;&gt;""),#REF!) + IF(AND(#REF!=AM$2,#REF!&lt;&gt;""),#REF!) + IF(AND(#REF!=AM$2,#REF!&lt;&gt;""),#REF!)</f>
        <v>#REF!</v>
      </c>
      <c r="AN7" s="57" t="e">
        <f>IF(AND(#REF!=AN$2,#REF!&lt;&gt;""),#REF!) + IF(AND(#REF!=AN$2,#REF!&lt;&gt;""),#REF!) + IF(AND(#REF!=AN$2,#REF!&lt;&gt;""),#REF!)</f>
        <v>#REF!</v>
      </c>
      <c r="AO7" s="57" t="e">
        <f>IF(AND(#REF!=AO$2,#REF!&lt;&gt;""),#REF!) + IF(AND(#REF!=AO$2,#REF!&lt;&gt;""),#REF!) + IF(AND(#REF!=AO$2,#REF!&lt;&gt;""),#REF!)</f>
        <v>#REF!</v>
      </c>
      <c r="AP7" s="57" t="e">
        <f>IF(AND(#REF!=AP$2,#REF!&lt;&gt;""),#REF!) + IF(AND(#REF!=AP$2,#REF!&lt;&gt;""),#REF!) + IF(AND(#REF!=AP$2,#REF!&lt;&gt;""),#REF!)</f>
        <v>#REF!</v>
      </c>
      <c r="AQ7" s="134"/>
      <c r="AR7" s="57" t="e">
        <f>IF(#REF!=AR$2,IF(#REF!=$Y$2,#REF!*plat_invest)) + IF(#REF!=AR$2,IF(#REF!=$Y$2,#REF!*plat_invest)) + IF(#REF!=AR$2,IF(#REF!=$Y$2,#REF!*plat_invest))</f>
        <v>#REF!</v>
      </c>
      <c r="AS7" s="57" t="e">
        <f>IF(#REF!=AS$2,IF(#REF!=$Y$2,#REF!*lumber_invest)) + IF(#REF!=AS$2,IF(#REF!=$Y$2,#REF!*lumber_invest)) + IF(#REF!=AS$2,IF(#REF!=$Y$2,#REF!*lumber_invest))</f>
        <v>#REF!</v>
      </c>
      <c r="AT7" s="57" t="e">
        <f>IF(#REF!=AT$2,IF(#REF!=$Y$2,#REF!*ore_invest)) + IF(#REF!=AT$2,IF(#REF!=$Y$2,#REF!*ore_invest)) + IF(#REF!=AT$2,IF(#REF!=$Y$2,#REF!*ore_invest))</f>
        <v>#REF!</v>
      </c>
      <c r="AU7" s="57" t="e">
        <f>IF(#REF!=AU$2,IF(#REF!=$Y$2,#REF!*gem_invest)) + IF(#REF!=AU$2,IF(#REF!=$Y$2,#REF!*gem_invest)) + IF(#REF!=AU$2,IF(#REF!=$Y$2,#REF!*gem_invest))</f>
        <v>#REF!</v>
      </c>
      <c r="AV7" s="134"/>
      <c r="AW7" s="57" t="e">
        <f>IF(#REF!=AW$2,IF(#REF!=$Z$2,#REF!*plat_invest)) + IF(#REF!=AW$2,IF(#REF!=$Z$2,#REF!*plat_invest)) + IF(#REF!=AW$2,IF(#REF!=$Z$2,#REF!*plat_invest))</f>
        <v>#REF!</v>
      </c>
      <c r="AX7" s="57" t="e">
        <f>IF(#REF!=AX$2,IF(#REF!=$Z$2,#REF!*lumber_invest)) + IF(#REF!=AX$2,IF(#REF!=$Z$2,#REF!*lumber_invest)) + IF(#REF!=AX$2,IF(#REF!=$Z$2,#REF!*lumber_invest))</f>
        <v>#REF!</v>
      </c>
      <c r="AY7" s="57" t="e">
        <f>IF(#REF!=AY$2,IF(#REF!=$Z$2,#REF!*ore_invest)) + IF(#REF!=AY$2,IF(#REF!=$Z$2,#REF!*ore_invest)) + IF(#REF!=AY$2,IF(#REF!=$Z$2,#REF!*ore_invest))</f>
        <v>#REF!</v>
      </c>
      <c r="AZ7" s="57" t="e">
        <f>IF(#REF!=AZ$2,IF(#REF!=$Z$2,#REF!*gem_invest)) + IF(#REF!=AZ$2,IF(#REF!=$Z$2,#REF!*gem_invest)) + IF(#REF!=AZ$2,IF(#REF!=$Z$2,#REF!*gem_invest))</f>
        <v>#REF!</v>
      </c>
      <c r="BA7" s="134"/>
      <c r="BB7" s="57" t="e">
        <f>IF(#REF!=BB$2,IF(#REF!=$AA$2,#REF!*plat_invest)) + IF(#REF!=BB$2,IF(#REF!=$AA$2,#REF!*plat_invest)) + IF(#REF!=BB$2,IF(#REF!=$AA$2,#REF!*plat_invest))</f>
        <v>#REF!</v>
      </c>
      <c r="BC7" s="57" t="e">
        <f>IF(#REF!=BC$2,IF(#REF!=$AA$2,#REF!*lumber_invest)) + IF(#REF!=BC$2,IF(#REF!=$AA$2,#REF!*lumber_invest)) + IF(#REF!=BC$2,IF(#REF!=$AA$2,#REF!*lumber_invest))</f>
        <v>#REF!</v>
      </c>
      <c r="BD7" s="57" t="e">
        <f>IF(#REF!=BD$2,IF(#REF!=$AA$2,#REF!*ore_invest)) + IF(#REF!=BD$2,IF(#REF!=$AA$2,#REF!*ore_invest)) + IF(#REF!=BD$2,IF(#REF!=$AA$2,#REF!*ore_invest))</f>
        <v>#REF!</v>
      </c>
      <c r="BE7" s="57" t="e">
        <f>IF(#REF!=BE$2,IF(#REF!=$AA$2,#REF!*gem_invest)) + IF(#REF!=BE$2,IF(#REF!=$AA$2,#REF!*gem_invest)) + IF(#REF!=BE$2,IF(#REF!=$AA$2,#REF!*gem_invest))</f>
        <v>#REF!</v>
      </c>
      <c r="BF7" s="134"/>
      <c r="BG7" s="57" t="e">
        <f>IF(#REF!=BG$2,IF(#REF!=$AB$2,#REF!*plat_invest)) + IF(#REF!=BG$2,IF(#REF!=$AB$2,#REF!*plat_invest)) + IF(#REF!=BG$2,IF(#REF!=$AB$2,#REF!*plat_invest))</f>
        <v>#REF!</v>
      </c>
      <c r="BH7" s="57" t="e">
        <f>IF(#REF!=BH$2,IF(#REF!=$AB$2,#REF!*lumber_invest)) + IF(#REF!=BH$2,IF(#REF!=$AB$2,#REF!*lumber_invest)) + IF(#REF!=BH$2,IF(#REF!=$AB$2,#REF!*lumber_invest))</f>
        <v>#REF!</v>
      </c>
      <c r="BI7" s="57" t="e">
        <f>IF(#REF!=BI$2,IF(#REF!=$AB$2,#REF!*ore_invest)) + IF(#REF!=BI$2,IF(#REF!=$AB$2,#REF!*ore_invest)) + IF(#REF!=BI$2,IF(#REF!=$AB$2,#REF!*ore_invest))</f>
        <v>#REF!</v>
      </c>
      <c r="BJ7" s="57" t="e">
        <f>IF(#REF!=BJ$2,IF(#REF!=$AB$2,#REF!*gem_invest)) + IF(#REF!=BJ$2,IF(#REF!=$AB$2,#REF!*gem_invest)) + IF(#REF!=BJ$2,IF(#REF!=$AB$2,#REF!*gem_invest))</f>
        <v>#REF!</v>
      </c>
      <c r="BK7" s="134"/>
      <c r="BL7" s="57" t="e">
        <f>IF(#REF!=BL$2,IF(#REF!=$AC$2,#REF!*plat_invest)) + IF(#REF!=BL$2,IF(#REF!=$AC$2,#REF!*plat_invest)) + IF(#REF!=BL$2,IF(#REF!=$AC$2,#REF!*plat_invest))</f>
        <v>#REF!</v>
      </c>
      <c r="BM7" s="57" t="e">
        <f>IF(#REF!=BM$2,IF(#REF!=$AC$2,#REF!*lumber_invest)) + IF(#REF!=BM$2,IF(#REF!=$AC$2,#REF!*lumber_invest)) + IF(#REF!=BM$2,IF(#REF!=$AC$2,#REF!*lumber_invest))</f>
        <v>#REF!</v>
      </c>
      <c r="BN7" s="57" t="e">
        <f>IF(#REF!=BN$2,IF(#REF!=$AC$2,#REF!*ore_invest)) + IF(#REF!=BN$2,IF(#REF!=$AC$2,#REF!*ore_invest)) + IF(#REF!=BN$2,IF(#REF!=$AC$2,#REF!*ore_invest))</f>
        <v>#REF!</v>
      </c>
      <c r="BO7" s="57" t="e">
        <f>IF(#REF!=BO$2,IF(#REF!=$AC$2,#REF!*gem_invest)) + IF(#REF!=BO$2,IF(#REF!=$AC$2,#REF!*gem_invest)) + IF(#REF!=BO$2,IF(#REF!=$AC$2,#REF!*gem_invest))</f>
        <v>#REF!</v>
      </c>
      <c r="BP7" s="134"/>
      <c r="BQ7" s="57" t="e">
        <f>IF(#REF!=BQ$2,IF(#REF!=$AD$2,#REF!*plat_invest)) + IF(#REF!=BQ$2,IF(#REF!=$AD$2,#REF!*plat_invest)) + IF(#REF!=BQ$2,IF(#REF!=$AD$2,#REF!*plat_invest))</f>
        <v>#REF!</v>
      </c>
      <c r="BR7" s="57" t="e">
        <f>IF(#REF!=BR$2,IF(#REF!=$AD$2,#REF!*lumber_invest)) + IF(#REF!=BR$2,IF(#REF!=$AD$2,#REF!*lumber_invest)) + IF(#REF!=BR$2,IF(#REF!=$AD$2,#REF!*lumber_invest))</f>
        <v>#REF!</v>
      </c>
      <c r="BS7" s="57" t="e">
        <f>IF(#REF!=BS$2,IF(#REF!=$AD$2,#REF!*ore_invest)) + IF(#REF!=BS$2,IF(#REF!=$AD$2,#REF!*ore_invest)) + IF(#REF!=BS$2,IF(#REF!=$AD$2,#REF!*ore_invest))</f>
        <v>#REF!</v>
      </c>
      <c r="BT7" s="57" t="e">
        <f>IF(#REF!=BT$2,IF(#REF!=$AD$2,#REF!*gem_invest)) + IF(#REF!=BT$2,IF(#REF!=$AD$2,#REF!*gem_invest)) + IF(#REF!=BT$2,IF(#REF!=$AD$2,#REF!*gem_invest))</f>
        <v>#REF!</v>
      </c>
      <c r="BU7" s="134"/>
      <c r="BV7" s="3" t="e">
        <f>OR(#REF!,#REF!,#REF!,#REF!,#REF!,#REF!,#REF!,#REF!,#REF!)</f>
        <v>#REF!</v>
      </c>
      <c r="BW7" s="61" t="e">
        <f>#REF!</f>
        <v>#REF!</v>
      </c>
      <c r="BX7" s="130"/>
      <c r="BY7" s="284" t="e">
        <f ca="1">OFFSET(#REF!,-1,0)+1/24</f>
        <v>#REF!</v>
      </c>
      <c r="BZ7" s="285" t="e">
        <f ca="1">OFFSET(#REF!,-1,0)+1/24</f>
        <v>#REF!</v>
      </c>
      <c r="CA7" s="57"/>
      <c r="CB7" s="283"/>
      <c r="CC7" s="283"/>
      <c r="CF7" s="287"/>
    </row>
    <row r="8" spans="1:84" x14ac:dyDescent="0.25">
      <c r="A8" s="206" t="e">
        <f>#REF!</f>
        <v>#REF!</v>
      </c>
      <c r="B8" s="134"/>
      <c r="C8" s="39" t="e">
        <f>#REF!</f>
        <v>#REF!</v>
      </c>
      <c r="D8" s="39" t="e">
        <f>#REF!</f>
        <v>#REF!</v>
      </c>
      <c r="E8" s="39" t="e">
        <f>#REF!</f>
        <v>#REF!</v>
      </c>
      <c r="F8" s="39" t="e">
        <f>#REF!</f>
        <v>#REF!</v>
      </c>
      <c r="G8" s="133"/>
      <c r="H8" s="39" t="e">
        <f>#REF!</f>
        <v>#REF!</v>
      </c>
      <c r="I8" s="132" t="e">
        <f>#REF!</f>
        <v>#REF!</v>
      </c>
      <c r="J8" s="132" t="e">
        <f>#REF!/#REF!</f>
        <v>#REF!</v>
      </c>
      <c r="K8" s="160" t="e">
        <f>#REF!</f>
        <v>#REF!</v>
      </c>
      <c r="L8" s="276" t="e">
        <f>#REF!</f>
        <v>#REF!</v>
      </c>
      <c r="M8" s="61">
        <f>IF(ISERROR(#REF!),0,#REF!*1)</f>
        <v>0</v>
      </c>
      <c r="N8" s="39" t="e">
        <f>#REF!</f>
        <v>#REF!</v>
      </c>
      <c r="O8" s="277" t="s">
        <v>4</v>
      </c>
      <c r="P8" s="278"/>
      <c r="Q8" s="277" t="s">
        <v>211</v>
      </c>
      <c r="R8" s="277" t="s">
        <v>7</v>
      </c>
      <c r="S8" s="278"/>
      <c r="T8" s="277" t="s">
        <v>211</v>
      </c>
      <c r="U8" s="277" t="s">
        <v>3</v>
      </c>
      <c r="V8" s="278"/>
      <c r="W8" s="277" t="s">
        <v>211</v>
      </c>
      <c r="X8" s="134"/>
      <c r="Y8" s="209" t="e">
        <f ca="1">science_cap*(1-EXP(-#REF!/(science_param*(OFFSET(#REF!,1,0)-OFFSET(#REF!,1,0)*20)+15000)))*(1+(mason_bonus*#REF!/#REF!))</f>
        <v>#REF!</v>
      </c>
      <c r="Z8" s="209" t="e">
        <f ca="1">keep_cap*(1-EXP(-#REF!/(keep_param*(OFFSET(#REF!,1,0)-OFFSET(#REF!,1,0)*20)+15000)))*(1+(mason_bonus*#REF!/#REF!))</f>
        <v>#REF!</v>
      </c>
      <c r="AA8" s="209" t="e">
        <f ca="1">harbor_towers_cap*(1-EXP(-#REF!/(towers_param*(OFFSET(#REF!,1,0)-OFFSET(#REF!,1,0)*20)+15000)))*(1+(mason_bonus*#REF!/#REF!))</f>
        <v>#REF!</v>
      </c>
      <c r="AB8" s="209" t="e">
        <f ca="1">walls_forges_cap*(1-EXP(-#REF!/(walls_forges_param*(OFFSET(#REF!,1,0)-OFFSET(#REF!,1,0)*20)+15000)))*(1+(mason_bonus*#REF!/#REF!))</f>
        <v>#REF!</v>
      </c>
      <c r="AC8" s="209" t="e">
        <f ca="1">walls_forges_cap*(1-EXP(-#REF!/(walls_forges_param*(OFFSET(#REF!,1,0)-OFFSET(#REF!,1,0)*20)+15000)))*(1+(mason_bonus*#REF!/#REF!))</f>
        <v>#REF!</v>
      </c>
      <c r="AD8" s="209" t="e">
        <f ca="1">harbor_towers_cap*(1-EXP(-#REF!/(harbor_towers_param*(OFFSET(#REF!,1,0)-OFFSET(#REF!,1,0)*20)+15000)))*(1+(mason_bonus*#REF!/#REF!))</f>
        <v>#REF!</v>
      </c>
      <c r="AE8" s="134"/>
      <c r="AF8" s="61" t="e">
        <f ca="1">(1+Overview!$I$28)*SUM(#REF!)+OFFSET(#REF!,-1,0)</f>
        <v>#REF!</v>
      </c>
      <c r="AG8" s="61" t="e">
        <f ca="1">(1+Overview!$I$28)*SUM(#REF!)+OFFSET(#REF!,-1,0)</f>
        <v>#REF!</v>
      </c>
      <c r="AH8" s="61" t="e">
        <f ca="1">(1+Overview!$I$28 + tech_7_1*#REF!)*SUM(#REF!)+OFFSET(#REF!,-1,0)</f>
        <v>#REF!</v>
      </c>
      <c r="AI8" s="61" t="e">
        <f ca="1">(1+Overview!$I$28)*SUM(#REF!)+OFFSET(#REF!,-1,0)</f>
        <v>#REF!</v>
      </c>
      <c r="AJ8" s="61" t="e">
        <f ca="1">(1+Overview!$I$28)*SUM(#REF!)+OFFSET(#REF!,-1,0)</f>
        <v>#REF!</v>
      </c>
      <c r="AK8" s="61" t="e">
        <f ca="1">(1+Overview!$I$28 + tech_7_1*#REF!)*SUM(#REF!)+OFFSET(#REF!,-1,0)</f>
        <v>#REF!</v>
      </c>
      <c r="AL8" s="134"/>
      <c r="AM8" s="57" t="e">
        <f>IF(AND(#REF!=AM$2,#REF!&lt;&gt;""),#REF!) + IF(AND(#REF!=AM$2,#REF!&lt;&gt;""),#REF!) + IF(AND(#REF!=AM$2,#REF!&lt;&gt;""),#REF!)</f>
        <v>#REF!</v>
      </c>
      <c r="AN8" s="57" t="e">
        <f>IF(AND(#REF!=AN$2,#REF!&lt;&gt;""),#REF!) + IF(AND(#REF!=AN$2,#REF!&lt;&gt;""),#REF!) + IF(AND(#REF!=AN$2,#REF!&lt;&gt;""),#REF!)</f>
        <v>#REF!</v>
      </c>
      <c r="AO8" s="57" t="e">
        <f>IF(AND(#REF!=AO$2,#REF!&lt;&gt;""),#REF!) + IF(AND(#REF!=AO$2,#REF!&lt;&gt;""),#REF!) + IF(AND(#REF!=AO$2,#REF!&lt;&gt;""),#REF!)</f>
        <v>#REF!</v>
      </c>
      <c r="AP8" s="57" t="e">
        <f>IF(AND(#REF!=AP$2,#REF!&lt;&gt;""),#REF!) + IF(AND(#REF!=AP$2,#REF!&lt;&gt;""),#REF!) + IF(AND(#REF!=AP$2,#REF!&lt;&gt;""),#REF!)</f>
        <v>#REF!</v>
      </c>
      <c r="AQ8" s="134"/>
      <c r="AR8" s="57" t="e">
        <f>IF(#REF!=AR$2,IF(#REF!=$Y$2,#REF!*plat_invest)) + IF(#REF!=AR$2,IF(#REF!=$Y$2,#REF!*plat_invest)) + IF(#REF!=AR$2,IF(#REF!=$Y$2,#REF!*plat_invest))</f>
        <v>#REF!</v>
      </c>
      <c r="AS8" s="57" t="e">
        <f>IF(#REF!=AS$2,IF(#REF!=$Y$2,#REF!*lumber_invest)) + IF(#REF!=AS$2,IF(#REF!=$Y$2,#REF!*lumber_invest)) + IF(#REF!=AS$2,IF(#REF!=$Y$2,#REF!*lumber_invest))</f>
        <v>#REF!</v>
      </c>
      <c r="AT8" s="57" t="e">
        <f>IF(#REF!=AT$2,IF(#REF!=$Y$2,#REF!*ore_invest)) + IF(#REF!=AT$2,IF(#REF!=$Y$2,#REF!*ore_invest)) + IF(#REF!=AT$2,IF(#REF!=$Y$2,#REF!*ore_invest))</f>
        <v>#REF!</v>
      </c>
      <c r="AU8" s="57" t="e">
        <f>IF(#REF!=AU$2,IF(#REF!=$Y$2,#REF!*gem_invest)) + IF(#REF!=AU$2,IF(#REF!=$Y$2,#REF!*gem_invest)) + IF(#REF!=AU$2,IF(#REF!=$Y$2,#REF!*gem_invest))</f>
        <v>#REF!</v>
      </c>
      <c r="AV8" s="134"/>
      <c r="AW8" s="57" t="e">
        <f>IF(#REF!=AW$2,IF(#REF!=$Z$2,#REF!*plat_invest)) + IF(#REF!=AW$2,IF(#REF!=$Z$2,#REF!*plat_invest)) + IF(#REF!=AW$2,IF(#REF!=$Z$2,#REF!*plat_invest))</f>
        <v>#REF!</v>
      </c>
      <c r="AX8" s="57" t="e">
        <f>IF(#REF!=AX$2,IF(#REF!=$Z$2,#REF!*lumber_invest)) + IF(#REF!=AX$2,IF(#REF!=$Z$2,#REF!*lumber_invest)) + IF(#REF!=AX$2,IF(#REF!=$Z$2,#REF!*lumber_invest))</f>
        <v>#REF!</v>
      </c>
      <c r="AY8" s="57" t="e">
        <f>IF(#REF!=AY$2,IF(#REF!=$Z$2,#REF!*ore_invest)) + IF(#REF!=AY$2,IF(#REF!=$Z$2,#REF!*ore_invest)) + IF(#REF!=AY$2,IF(#REF!=$Z$2,#REF!*ore_invest))</f>
        <v>#REF!</v>
      </c>
      <c r="AZ8" s="57" t="e">
        <f>IF(#REF!=AZ$2,IF(#REF!=$Z$2,#REF!*gem_invest)) + IF(#REF!=AZ$2,IF(#REF!=$Z$2,#REF!*gem_invest)) + IF(#REF!=AZ$2,IF(#REF!=$Z$2,#REF!*gem_invest))</f>
        <v>#REF!</v>
      </c>
      <c r="BA8" s="134"/>
      <c r="BB8" s="57" t="e">
        <f>IF(#REF!=BB$2,IF(#REF!=$AA$2,#REF!*plat_invest)) + IF(#REF!=BB$2,IF(#REF!=$AA$2,#REF!*plat_invest)) + IF(#REF!=BB$2,IF(#REF!=$AA$2,#REF!*plat_invest))</f>
        <v>#REF!</v>
      </c>
      <c r="BC8" s="57" t="e">
        <f>IF(#REF!=BC$2,IF(#REF!=$AA$2,#REF!*lumber_invest)) + IF(#REF!=BC$2,IF(#REF!=$AA$2,#REF!*lumber_invest)) + IF(#REF!=BC$2,IF(#REF!=$AA$2,#REF!*lumber_invest))</f>
        <v>#REF!</v>
      </c>
      <c r="BD8" s="57" t="e">
        <f>IF(#REF!=BD$2,IF(#REF!=$AA$2,#REF!*ore_invest)) + IF(#REF!=BD$2,IF(#REF!=$AA$2,#REF!*ore_invest)) + IF(#REF!=BD$2,IF(#REF!=$AA$2,#REF!*ore_invest))</f>
        <v>#REF!</v>
      </c>
      <c r="BE8" s="57" t="e">
        <f>IF(#REF!=BE$2,IF(#REF!=$AA$2,#REF!*gem_invest)) + IF(#REF!=BE$2,IF(#REF!=$AA$2,#REF!*gem_invest)) + IF(#REF!=BE$2,IF(#REF!=$AA$2,#REF!*gem_invest))</f>
        <v>#REF!</v>
      </c>
      <c r="BF8" s="134"/>
      <c r="BG8" s="57" t="e">
        <f>IF(#REF!=BG$2,IF(#REF!=$AB$2,#REF!*plat_invest)) + IF(#REF!=BG$2,IF(#REF!=$AB$2,#REF!*plat_invest)) + IF(#REF!=BG$2,IF(#REF!=$AB$2,#REF!*plat_invest))</f>
        <v>#REF!</v>
      </c>
      <c r="BH8" s="57" t="e">
        <f>IF(#REF!=BH$2,IF(#REF!=$AB$2,#REF!*lumber_invest)) + IF(#REF!=BH$2,IF(#REF!=$AB$2,#REF!*lumber_invest)) + IF(#REF!=BH$2,IF(#REF!=$AB$2,#REF!*lumber_invest))</f>
        <v>#REF!</v>
      </c>
      <c r="BI8" s="57" t="e">
        <f>IF(#REF!=BI$2,IF(#REF!=$AB$2,#REF!*ore_invest)) + IF(#REF!=BI$2,IF(#REF!=$AB$2,#REF!*ore_invest)) + IF(#REF!=BI$2,IF(#REF!=$AB$2,#REF!*ore_invest))</f>
        <v>#REF!</v>
      </c>
      <c r="BJ8" s="57" t="e">
        <f>IF(#REF!=BJ$2,IF(#REF!=$AB$2,#REF!*gem_invest)) + IF(#REF!=BJ$2,IF(#REF!=$AB$2,#REF!*gem_invest)) + IF(#REF!=BJ$2,IF(#REF!=$AB$2,#REF!*gem_invest))</f>
        <v>#REF!</v>
      </c>
      <c r="BK8" s="134"/>
      <c r="BL8" s="57" t="e">
        <f>IF(#REF!=BL$2,IF(#REF!=$AC$2,#REF!*plat_invest)) + IF(#REF!=BL$2,IF(#REF!=$AC$2,#REF!*plat_invest)) + IF(#REF!=BL$2,IF(#REF!=$AC$2,#REF!*plat_invest))</f>
        <v>#REF!</v>
      </c>
      <c r="BM8" s="57" t="e">
        <f>IF(#REF!=BM$2,IF(#REF!=$AC$2,#REF!*lumber_invest)) + IF(#REF!=BM$2,IF(#REF!=$AC$2,#REF!*lumber_invest)) + IF(#REF!=BM$2,IF(#REF!=$AC$2,#REF!*lumber_invest))</f>
        <v>#REF!</v>
      </c>
      <c r="BN8" s="57" t="e">
        <f>IF(#REF!=BN$2,IF(#REF!=$AC$2,#REF!*ore_invest)) + IF(#REF!=BN$2,IF(#REF!=$AC$2,#REF!*ore_invest)) + IF(#REF!=BN$2,IF(#REF!=$AC$2,#REF!*ore_invest))</f>
        <v>#REF!</v>
      </c>
      <c r="BO8" s="57" t="e">
        <f>IF(#REF!=BO$2,IF(#REF!=$AC$2,#REF!*gem_invest)) + IF(#REF!=BO$2,IF(#REF!=$AC$2,#REF!*gem_invest)) + IF(#REF!=BO$2,IF(#REF!=$AC$2,#REF!*gem_invest))</f>
        <v>#REF!</v>
      </c>
      <c r="BP8" s="134"/>
      <c r="BQ8" s="57" t="e">
        <f>IF(#REF!=BQ$2,IF(#REF!=$AD$2,#REF!*plat_invest)) + IF(#REF!=BQ$2,IF(#REF!=$AD$2,#REF!*plat_invest)) + IF(#REF!=BQ$2,IF(#REF!=$AD$2,#REF!*plat_invest))</f>
        <v>#REF!</v>
      </c>
      <c r="BR8" s="57" t="e">
        <f>IF(#REF!=BR$2,IF(#REF!=$AD$2,#REF!*lumber_invest)) + IF(#REF!=BR$2,IF(#REF!=$AD$2,#REF!*lumber_invest)) + IF(#REF!=BR$2,IF(#REF!=$AD$2,#REF!*lumber_invest))</f>
        <v>#REF!</v>
      </c>
      <c r="BS8" s="57" t="e">
        <f>IF(#REF!=BS$2,IF(#REF!=$AD$2,#REF!*ore_invest)) + IF(#REF!=BS$2,IF(#REF!=$AD$2,#REF!*ore_invest)) + IF(#REF!=BS$2,IF(#REF!=$AD$2,#REF!*ore_invest))</f>
        <v>#REF!</v>
      </c>
      <c r="BT8" s="57" t="e">
        <f>IF(#REF!=BT$2,IF(#REF!=$AD$2,#REF!*gem_invest)) + IF(#REF!=BT$2,IF(#REF!=$AD$2,#REF!*gem_invest)) + IF(#REF!=BT$2,IF(#REF!=$AD$2,#REF!*gem_invest))</f>
        <v>#REF!</v>
      </c>
      <c r="BU8" s="134"/>
      <c r="BV8" s="3" t="e">
        <f>OR(#REF!,#REF!,#REF!,#REF!,#REF!,#REF!,#REF!,#REF!,#REF!)</f>
        <v>#REF!</v>
      </c>
      <c r="BW8" s="61" t="e">
        <f>#REF!</f>
        <v>#REF!</v>
      </c>
      <c r="BX8" s="130"/>
      <c r="BY8" s="284" t="e">
        <f ca="1">OFFSET(#REF!,-1,0)+1/24</f>
        <v>#REF!</v>
      </c>
      <c r="BZ8" s="285" t="e">
        <f ca="1">OFFSET(#REF!,-1,0)+1/24</f>
        <v>#REF!</v>
      </c>
      <c r="CA8" s="57"/>
      <c r="CB8" s="283"/>
      <c r="CC8" s="283"/>
      <c r="CF8" s="286"/>
    </row>
    <row r="9" spans="1:84" x14ac:dyDescent="0.25">
      <c r="A9" s="206" t="e">
        <f>#REF!</f>
        <v>#REF!</v>
      </c>
      <c r="B9" s="134"/>
      <c r="C9" s="39" t="e">
        <f>#REF!</f>
        <v>#REF!</v>
      </c>
      <c r="D9" s="39" t="e">
        <f>#REF!</f>
        <v>#REF!</v>
      </c>
      <c r="E9" s="39" t="e">
        <f>#REF!</f>
        <v>#REF!</v>
      </c>
      <c r="F9" s="39" t="e">
        <f>#REF!</f>
        <v>#REF!</v>
      </c>
      <c r="G9" s="133"/>
      <c r="H9" s="39" t="e">
        <f>#REF!</f>
        <v>#REF!</v>
      </c>
      <c r="I9" s="132" t="e">
        <f>#REF!</f>
        <v>#REF!</v>
      </c>
      <c r="J9" s="132" t="e">
        <f>#REF!/#REF!</f>
        <v>#REF!</v>
      </c>
      <c r="K9" s="160" t="e">
        <f>#REF!</f>
        <v>#REF!</v>
      </c>
      <c r="L9" s="276" t="e">
        <f>#REF!</f>
        <v>#REF!</v>
      </c>
      <c r="M9" s="61">
        <f>IF(ISERROR(#REF!),0,#REF!*1)</f>
        <v>0</v>
      </c>
      <c r="N9" s="39" t="e">
        <f>#REF!</f>
        <v>#REF!</v>
      </c>
      <c r="O9" s="277" t="s">
        <v>4</v>
      </c>
      <c r="P9" s="278"/>
      <c r="Q9" s="277" t="s">
        <v>211</v>
      </c>
      <c r="R9" s="277" t="s">
        <v>7</v>
      </c>
      <c r="S9" s="278"/>
      <c r="T9" s="277" t="s">
        <v>211</v>
      </c>
      <c r="U9" s="277" t="s">
        <v>3</v>
      </c>
      <c r="V9" s="278"/>
      <c r="W9" s="277" t="s">
        <v>211</v>
      </c>
      <c r="X9" s="134"/>
      <c r="Y9" s="209" t="e">
        <f ca="1">science_cap*(1-EXP(-#REF!/(science_param*(OFFSET(#REF!,1,0)-OFFSET(#REF!,1,0)*20)+15000)))*(1+(mason_bonus*#REF!/#REF!))</f>
        <v>#REF!</v>
      </c>
      <c r="Z9" s="209" t="e">
        <f ca="1">keep_cap*(1-EXP(-#REF!/(keep_param*(OFFSET(#REF!,1,0)-OFFSET(#REF!,1,0)*20)+15000)))*(1+(mason_bonus*#REF!/#REF!))</f>
        <v>#REF!</v>
      </c>
      <c r="AA9" s="209" t="e">
        <f ca="1">harbor_towers_cap*(1-EXP(-#REF!/(towers_param*(OFFSET(#REF!,1,0)-OFFSET(#REF!,1,0)*20)+15000)))*(1+(mason_bonus*#REF!/#REF!))</f>
        <v>#REF!</v>
      </c>
      <c r="AB9" s="209" t="e">
        <f ca="1">walls_forges_cap*(1-EXP(-#REF!/(walls_forges_param*(OFFSET(#REF!,1,0)-OFFSET(#REF!,1,0)*20)+15000)))*(1+(mason_bonus*#REF!/#REF!))</f>
        <v>#REF!</v>
      </c>
      <c r="AC9" s="209" t="e">
        <f ca="1">walls_forges_cap*(1-EXP(-#REF!/(walls_forges_param*(OFFSET(#REF!,1,0)-OFFSET(#REF!,1,0)*20)+15000)))*(1+(mason_bonus*#REF!/#REF!))</f>
        <v>#REF!</v>
      </c>
      <c r="AD9" s="209" t="e">
        <f ca="1">harbor_towers_cap*(1-EXP(-#REF!/(harbor_towers_param*(OFFSET(#REF!,1,0)-OFFSET(#REF!,1,0)*20)+15000)))*(1+(mason_bonus*#REF!/#REF!))</f>
        <v>#REF!</v>
      </c>
      <c r="AE9" s="134"/>
      <c r="AF9" s="61" t="e">
        <f ca="1">(1+Overview!$I$28)*SUM(#REF!)+OFFSET(#REF!,-1,0)</f>
        <v>#REF!</v>
      </c>
      <c r="AG9" s="61" t="e">
        <f ca="1">(1+Overview!$I$28)*SUM(#REF!)+OFFSET(#REF!,-1,0)</f>
        <v>#REF!</v>
      </c>
      <c r="AH9" s="61" t="e">
        <f ca="1">(1+Overview!$I$28 + tech_7_1*#REF!)*SUM(#REF!)+OFFSET(#REF!,-1,0)</f>
        <v>#REF!</v>
      </c>
      <c r="AI9" s="61" t="e">
        <f ca="1">(1+Overview!$I$28)*SUM(#REF!)+OFFSET(#REF!,-1,0)</f>
        <v>#REF!</v>
      </c>
      <c r="AJ9" s="61" t="e">
        <f ca="1">(1+Overview!$I$28)*SUM(#REF!)+OFFSET(#REF!,-1,0)</f>
        <v>#REF!</v>
      </c>
      <c r="AK9" s="61" t="e">
        <f ca="1">(1+Overview!$I$28 + tech_7_1*#REF!)*SUM(#REF!)+OFFSET(#REF!,-1,0)</f>
        <v>#REF!</v>
      </c>
      <c r="AL9" s="134"/>
      <c r="AM9" s="57" t="e">
        <f>IF(AND(#REF!=AM$2,#REF!&lt;&gt;""),#REF!) + IF(AND(#REF!=AM$2,#REF!&lt;&gt;""),#REF!) + IF(AND(#REF!=AM$2,#REF!&lt;&gt;""),#REF!)</f>
        <v>#REF!</v>
      </c>
      <c r="AN9" s="57" t="e">
        <f>IF(AND(#REF!=AN$2,#REF!&lt;&gt;""),#REF!) + IF(AND(#REF!=AN$2,#REF!&lt;&gt;""),#REF!) + IF(AND(#REF!=AN$2,#REF!&lt;&gt;""),#REF!)</f>
        <v>#REF!</v>
      </c>
      <c r="AO9" s="57" t="e">
        <f>IF(AND(#REF!=AO$2,#REF!&lt;&gt;""),#REF!) + IF(AND(#REF!=AO$2,#REF!&lt;&gt;""),#REF!) + IF(AND(#REF!=AO$2,#REF!&lt;&gt;""),#REF!)</f>
        <v>#REF!</v>
      </c>
      <c r="AP9" s="57" t="e">
        <f>IF(AND(#REF!=AP$2,#REF!&lt;&gt;""),#REF!) + IF(AND(#REF!=AP$2,#REF!&lt;&gt;""),#REF!) + IF(AND(#REF!=AP$2,#REF!&lt;&gt;""),#REF!)</f>
        <v>#REF!</v>
      </c>
      <c r="AQ9" s="134"/>
      <c r="AR9" s="57" t="e">
        <f>IF(#REF!=AR$2,IF(#REF!=$Y$2,#REF!*plat_invest)) + IF(#REF!=AR$2,IF(#REF!=$Y$2,#REF!*plat_invest)) + IF(#REF!=AR$2,IF(#REF!=$Y$2,#REF!*plat_invest))</f>
        <v>#REF!</v>
      </c>
      <c r="AS9" s="57" t="e">
        <f>IF(#REF!=AS$2,IF(#REF!=$Y$2,#REF!*lumber_invest)) + IF(#REF!=AS$2,IF(#REF!=$Y$2,#REF!*lumber_invest)) + IF(#REF!=AS$2,IF(#REF!=$Y$2,#REF!*lumber_invest))</f>
        <v>#REF!</v>
      </c>
      <c r="AT9" s="57" t="e">
        <f>IF(#REF!=AT$2,IF(#REF!=$Y$2,#REF!*ore_invest)) + IF(#REF!=AT$2,IF(#REF!=$Y$2,#REF!*ore_invest)) + IF(#REF!=AT$2,IF(#REF!=$Y$2,#REF!*ore_invest))</f>
        <v>#REF!</v>
      </c>
      <c r="AU9" s="57" t="e">
        <f>IF(#REF!=AU$2,IF(#REF!=$Y$2,#REF!*gem_invest)) + IF(#REF!=AU$2,IF(#REF!=$Y$2,#REF!*gem_invest)) + IF(#REF!=AU$2,IF(#REF!=$Y$2,#REF!*gem_invest))</f>
        <v>#REF!</v>
      </c>
      <c r="AV9" s="134"/>
      <c r="AW9" s="57" t="e">
        <f>IF(#REF!=AW$2,IF(#REF!=$Z$2,#REF!*plat_invest)) + IF(#REF!=AW$2,IF(#REF!=$Z$2,#REF!*plat_invest)) + IF(#REF!=AW$2,IF(#REF!=$Z$2,#REF!*plat_invest))</f>
        <v>#REF!</v>
      </c>
      <c r="AX9" s="57" t="e">
        <f>IF(#REF!=AX$2,IF(#REF!=$Z$2,#REF!*lumber_invest)) + IF(#REF!=AX$2,IF(#REF!=$Z$2,#REF!*lumber_invest)) + IF(#REF!=AX$2,IF(#REF!=$Z$2,#REF!*lumber_invest))</f>
        <v>#REF!</v>
      </c>
      <c r="AY9" s="57" t="e">
        <f>IF(#REF!=AY$2,IF(#REF!=$Z$2,#REF!*ore_invest)) + IF(#REF!=AY$2,IF(#REF!=$Z$2,#REF!*ore_invest)) + IF(#REF!=AY$2,IF(#REF!=$Z$2,#REF!*ore_invest))</f>
        <v>#REF!</v>
      </c>
      <c r="AZ9" s="57" t="e">
        <f>IF(#REF!=AZ$2,IF(#REF!=$Z$2,#REF!*gem_invest)) + IF(#REF!=AZ$2,IF(#REF!=$Z$2,#REF!*gem_invest)) + IF(#REF!=AZ$2,IF(#REF!=$Z$2,#REF!*gem_invest))</f>
        <v>#REF!</v>
      </c>
      <c r="BA9" s="134"/>
      <c r="BB9" s="57" t="e">
        <f>IF(#REF!=BB$2,IF(#REF!=$AA$2,#REF!*plat_invest)) + IF(#REF!=BB$2,IF(#REF!=$AA$2,#REF!*plat_invest)) + IF(#REF!=BB$2,IF(#REF!=$AA$2,#REF!*plat_invest))</f>
        <v>#REF!</v>
      </c>
      <c r="BC9" s="57" t="e">
        <f>IF(#REF!=BC$2,IF(#REF!=$AA$2,#REF!*lumber_invest)) + IF(#REF!=BC$2,IF(#REF!=$AA$2,#REF!*lumber_invest)) + IF(#REF!=BC$2,IF(#REF!=$AA$2,#REF!*lumber_invest))</f>
        <v>#REF!</v>
      </c>
      <c r="BD9" s="57" t="e">
        <f>IF(#REF!=BD$2,IF(#REF!=$AA$2,#REF!*ore_invest)) + IF(#REF!=BD$2,IF(#REF!=$AA$2,#REF!*ore_invest)) + IF(#REF!=BD$2,IF(#REF!=$AA$2,#REF!*ore_invest))</f>
        <v>#REF!</v>
      </c>
      <c r="BE9" s="57" t="e">
        <f>IF(#REF!=BE$2,IF(#REF!=$AA$2,#REF!*gem_invest)) + IF(#REF!=BE$2,IF(#REF!=$AA$2,#REF!*gem_invest)) + IF(#REF!=BE$2,IF(#REF!=$AA$2,#REF!*gem_invest))</f>
        <v>#REF!</v>
      </c>
      <c r="BF9" s="134"/>
      <c r="BG9" s="57" t="e">
        <f>IF(#REF!=BG$2,IF(#REF!=$AB$2,#REF!*plat_invest)) + IF(#REF!=BG$2,IF(#REF!=$AB$2,#REF!*plat_invest)) + IF(#REF!=BG$2,IF(#REF!=$AB$2,#REF!*plat_invest))</f>
        <v>#REF!</v>
      </c>
      <c r="BH9" s="57" t="e">
        <f>IF(#REF!=BH$2,IF(#REF!=$AB$2,#REF!*lumber_invest)) + IF(#REF!=BH$2,IF(#REF!=$AB$2,#REF!*lumber_invest)) + IF(#REF!=BH$2,IF(#REF!=$AB$2,#REF!*lumber_invest))</f>
        <v>#REF!</v>
      </c>
      <c r="BI9" s="57" t="e">
        <f>IF(#REF!=BI$2,IF(#REF!=$AB$2,#REF!*ore_invest)) + IF(#REF!=BI$2,IF(#REF!=$AB$2,#REF!*ore_invest)) + IF(#REF!=BI$2,IF(#REF!=$AB$2,#REF!*ore_invest))</f>
        <v>#REF!</v>
      </c>
      <c r="BJ9" s="57" t="e">
        <f>IF(#REF!=BJ$2,IF(#REF!=$AB$2,#REF!*gem_invest)) + IF(#REF!=BJ$2,IF(#REF!=$AB$2,#REF!*gem_invest)) + IF(#REF!=BJ$2,IF(#REF!=$AB$2,#REF!*gem_invest))</f>
        <v>#REF!</v>
      </c>
      <c r="BK9" s="134"/>
      <c r="BL9" s="57" t="e">
        <f>IF(#REF!=BL$2,IF(#REF!=$AC$2,#REF!*plat_invest)) + IF(#REF!=BL$2,IF(#REF!=$AC$2,#REF!*plat_invest)) + IF(#REF!=BL$2,IF(#REF!=$AC$2,#REF!*plat_invest))</f>
        <v>#REF!</v>
      </c>
      <c r="BM9" s="57" t="e">
        <f>IF(#REF!=BM$2,IF(#REF!=$AC$2,#REF!*lumber_invest)) + IF(#REF!=BM$2,IF(#REF!=$AC$2,#REF!*lumber_invest)) + IF(#REF!=BM$2,IF(#REF!=$AC$2,#REF!*lumber_invest))</f>
        <v>#REF!</v>
      </c>
      <c r="BN9" s="57" t="e">
        <f>IF(#REF!=BN$2,IF(#REF!=$AC$2,#REF!*ore_invest)) + IF(#REF!=BN$2,IF(#REF!=$AC$2,#REF!*ore_invest)) + IF(#REF!=BN$2,IF(#REF!=$AC$2,#REF!*ore_invest))</f>
        <v>#REF!</v>
      </c>
      <c r="BO9" s="57" t="e">
        <f>IF(#REF!=BO$2,IF(#REF!=$AC$2,#REF!*gem_invest)) + IF(#REF!=BO$2,IF(#REF!=$AC$2,#REF!*gem_invest)) + IF(#REF!=BO$2,IF(#REF!=$AC$2,#REF!*gem_invest))</f>
        <v>#REF!</v>
      </c>
      <c r="BP9" s="134"/>
      <c r="BQ9" s="57" t="e">
        <f>IF(#REF!=BQ$2,IF(#REF!=$AD$2,#REF!*plat_invest)) + IF(#REF!=BQ$2,IF(#REF!=$AD$2,#REF!*plat_invest)) + IF(#REF!=BQ$2,IF(#REF!=$AD$2,#REF!*plat_invest))</f>
        <v>#REF!</v>
      </c>
      <c r="BR9" s="57" t="e">
        <f>IF(#REF!=BR$2,IF(#REF!=$AD$2,#REF!*lumber_invest)) + IF(#REF!=BR$2,IF(#REF!=$AD$2,#REF!*lumber_invest)) + IF(#REF!=BR$2,IF(#REF!=$AD$2,#REF!*lumber_invest))</f>
        <v>#REF!</v>
      </c>
      <c r="BS9" s="57" t="e">
        <f>IF(#REF!=BS$2,IF(#REF!=$AD$2,#REF!*ore_invest)) + IF(#REF!=BS$2,IF(#REF!=$AD$2,#REF!*ore_invest)) + IF(#REF!=BS$2,IF(#REF!=$AD$2,#REF!*ore_invest))</f>
        <v>#REF!</v>
      </c>
      <c r="BT9" s="57" t="e">
        <f>IF(#REF!=BT$2,IF(#REF!=$AD$2,#REF!*gem_invest)) + IF(#REF!=BT$2,IF(#REF!=$AD$2,#REF!*gem_invest)) + IF(#REF!=BT$2,IF(#REF!=$AD$2,#REF!*gem_invest))</f>
        <v>#REF!</v>
      </c>
      <c r="BU9" s="134"/>
      <c r="BV9" s="3" t="e">
        <f>OR(#REF!,#REF!,#REF!,#REF!,#REF!,#REF!,#REF!,#REF!,#REF!)</f>
        <v>#REF!</v>
      </c>
      <c r="BW9" s="61" t="e">
        <f>#REF!</f>
        <v>#REF!</v>
      </c>
      <c r="BX9" s="130"/>
      <c r="BY9" s="284" t="e">
        <f ca="1">OFFSET(#REF!,-1,0)+1/24</f>
        <v>#REF!</v>
      </c>
      <c r="BZ9" s="285" t="e">
        <f ca="1">OFFSET(#REF!,-1,0)+1/24</f>
        <v>#REF!</v>
      </c>
      <c r="CA9" s="57"/>
      <c r="CB9" s="283"/>
      <c r="CC9" s="283"/>
      <c r="CF9" s="286"/>
    </row>
    <row r="10" spans="1:84" x14ac:dyDescent="0.25">
      <c r="A10" s="206" t="e">
        <f>#REF!</f>
        <v>#REF!</v>
      </c>
      <c r="B10" s="134"/>
      <c r="C10" s="39" t="e">
        <f>#REF!</f>
        <v>#REF!</v>
      </c>
      <c r="D10" s="39" t="e">
        <f>#REF!</f>
        <v>#REF!</v>
      </c>
      <c r="E10" s="39" t="e">
        <f>#REF!</f>
        <v>#REF!</v>
      </c>
      <c r="F10" s="39" t="e">
        <f>#REF!</f>
        <v>#REF!</v>
      </c>
      <c r="G10" s="133"/>
      <c r="H10" s="39" t="e">
        <f>#REF!</f>
        <v>#REF!</v>
      </c>
      <c r="I10" s="132" t="e">
        <f>#REF!</f>
        <v>#REF!</v>
      </c>
      <c r="J10" s="132" t="e">
        <f>#REF!/#REF!</f>
        <v>#REF!</v>
      </c>
      <c r="K10" s="160" t="e">
        <f>#REF!</f>
        <v>#REF!</v>
      </c>
      <c r="L10" s="276" t="e">
        <f>#REF!</f>
        <v>#REF!</v>
      </c>
      <c r="M10" s="61">
        <f>IF(ISERROR(#REF!),0,#REF!*1)</f>
        <v>0</v>
      </c>
      <c r="N10" s="39" t="e">
        <f>#REF!</f>
        <v>#REF!</v>
      </c>
      <c r="O10" s="277" t="s">
        <v>4</v>
      </c>
      <c r="P10" s="278"/>
      <c r="Q10" s="277" t="s">
        <v>211</v>
      </c>
      <c r="R10" s="277" t="s">
        <v>7</v>
      </c>
      <c r="S10" s="278"/>
      <c r="T10" s="277" t="s">
        <v>211</v>
      </c>
      <c r="U10" s="277" t="s">
        <v>3</v>
      </c>
      <c r="V10" s="278"/>
      <c r="W10" s="277" t="s">
        <v>211</v>
      </c>
      <c r="X10" s="134"/>
      <c r="Y10" s="209" t="e">
        <f ca="1">science_cap*(1-EXP(-#REF!/(science_param*(OFFSET(#REF!,1,0)-OFFSET(#REF!,1,0)*20)+15000)))*(1+(mason_bonus*#REF!/#REF!))</f>
        <v>#REF!</v>
      </c>
      <c r="Z10" s="209" t="e">
        <f ca="1">keep_cap*(1-EXP(-#REF!/(keep_param*(OFFSET(#REF!,1,0)-OFFSET(#REF!,1,0)*20)+15000)))*(1+(mason_bonus*#REF!/#REF!))</f>
        <v>#REF!</v>
      </c>
      <c r="AA10" s="209" t="e">
        <f ca="1">harbor_towers_cap*(1-EXP(-#REF!/(towers_param*(OFFSET(#REF!,1,0)-OFFSET(#REF!,1,0)*20)+15000)))*(1+(mason_bonus*#REF!/#REF!))</f>
        <v>#REF!</v>
      </c>
      <c r="AB10" s="209" t="e">
        <f ca="1">walls_forges_cap*(1-EXP(-#REF!/(walls_forges_param*(OFFSET(#REF!,1,0)-OFFSET(#REF!,1,0)*20)+15000)))*(1+(mason_bonus*#REF!/#REF!))</f>
        <v>#REF!</v>
      </c>
      <c r="AC10" s="209" t="e">
        <f ca="1">walls_forges_cap*(1-EXP(-#REF!/(walls_forges_param*(OFFSET(#REF!,1,0)-OFFSET(#REF!,1,0)*20)+15000)))*(1+(mason_bonus*#REF!/#REF!))</f>
        <v>#REF!</v>
      </c>
      <c r="AD10" s="209" t="e">
        <f ca="1">harbor_towers_cap*(1-EXP(-#REF!/(harbor_towers_param*(OFFSET(#REF!,1,0)-OFFSET(#REF!,1,0)*20)+15000)))*(1+(mason_bonus*#REF!/#REF!))</f>
        <v>#REF!</v>
      </c>
      <c r="AE10" s="134"/>
      <c r="AF10" s="61" t="e">
        <f ca="1">(1+Overview!$I$28)*SUM(#REF!)+OFFSET(#REF!,-1,0)</f>
        <v>#REF!</v>
      </c>
      <c r="AG10" s="61" t="e">
        <f ca="1">(1+Overview!$I$28)*SUM(#REF!)+OFFSET(#REF!,-1,0)</f>
        <v>#REF!</v>
      </c>
      <c r="AH10" s="61" t="e">
        <f ca="1">(1+Overview!$I$28 + tech_7_1*#REF!)*SUM(#REF!)+OFFSET(#REF!,-1,0)</f>
        <v>#REF!</v>
      </c>
      <c r="AI10" s="61" t="e">
        <f ca="1">(1+Overview!$I$28)*SUM(#REF!)+OFFSET(#REF!,-1,0)</f>
        <v>#REF!</v>
      </c>
      <c r="AJ10" s="61" t="e">
        <f ca="1">(1+Overview!$I$28)*SUM(#REF!)+OFFSET(#REF!,-1,0)</f>
        <v>#REF!</v>
      </c>
      <c r="AK10" s="61" t="e">
        <f ca="1">(1+Overview!$I$28 + tech_7_1*#REF!)*SUM(#REF!)+OFFSET(#REF!,-1,0)</f>
        <v>#REF!</v>
      </c>
      <c r="AL10" s="134"/>
      <c r="AM10" s="57" t="e">
        <f>IF(AND(#REF!=AM$2,#REF!&lt;&gt;""),#REF!) + IF(AND(#REF!=AM$2,#REF!&lt;&gt;""),#REF!) + IF(AND(#REF!=AM$2,#REF!&lt;&gt;""),#REF!)</f>
        <v>#REF!</v>
      </c>
      <c r="AN10" s="57" t="e">
        <f>IF(AND(#REF!=AN$2,#REF!&lt;&gt;""),#REF!) + IF(AND(#REF!=AN$2,#REF!&lt;&gt;""),#REF!) + IF(AND(#REF!=AN$2,#REF!&lt;&gt;""),#REF!)</f>
        <v>#REF!</v>
      </c>
      <c r="AO10" s="57" t="e">
        <f>IF(AND(#REF!=AO$2,#REF!&lt;&gt;""),#REF!) + IF(AND(#REF!=AO$2,#REF!&lt;&gt;""),#REF!) + IF(AND(#REF!=AO$2,#REF!&lt;&gt;""),#REF!)</f>
        <v>#REF!</v>
      </c>
      <c r="AP10" s="57" t="e">
        <f>IF(AND(#REF!=AP$2,#REF!&lt;&gt;""),#REF!) + IF(AND(#REF!=AP$2,#REF!&lt;&gt;""),#REF!) + IF(AND(#REF!=AP$2,#REF!&lt;&gt;""),#REF!)</f>
        <v>#REF!</v>
      </c>
      <c r="AQ10" s="134"/>
      <c r="AR10" s="57" t="e">
        <f>IF(#REF!=AR$2,IF(#REF!=$Y$2,#REF!*plat_invest)) + IF(#REF!=AR$2,IF(#REF!=$Y$2,#REF!*plat_invest)) + IF(#REF!=AR$2,IF(#REF!=$Y$2,#REF!*plat_invest))</f>
        <v>#REF!</v>
      </c>
      <c r="AS10" s="57" t="e">
        <f>IF(#REF!=AS$2,IF(#REF!=$Y$2,#REF!*lumber_invest)) + IF(#REF!=AS$2,IF(#REF!=$Y$2,#REF!*lumber_invest)) + IF(#REF!=AS$2,IF(#REF!=$Y$2,#REF!*lumber_invest))</f>
        <v>#REF!</v>
      </c>
      <c r="AT10" s="57" t="e">
        <f>IF(#REF!=AT$2,IF(#REF!=$Y$2,#REF!*ore_invest)) + IF(#REF!=AT$2,IF(#REF!=$Y$2,#REF!*ore_invest)) + IF(#REF!=AT$2,IF(#REF!=$Y$2,#REF!*ore_invest))</f>
        <v>#REF!</v>
      </c>
      <c r="AU10" s="57" t="e">
        <f>IF(#REF!=AU$2,IF(#REF!=$Y$2,#REF!*gem_invest)) + IF(#REF!=AU$2,IF(#REF!=$Y$2,#REF!*gem_invest)) + IF(#REF!=AU$2,IF(#REF!=$Y$2,#REF!*gem_invest))</f>
        <v>#REF!</v>
      </c>
      <c r="AV10" s="134"/>
      <c r="AW10" s="57" t="e">
        <f>IF(#REF!=AW$2,IF(#REF!=$Z$2,#REF!*plat_invest)) + IF(#REF!=AW$2,IF(#REF!=$Z$2,#REF!*plat_invest)) + IF(#REF!=AW$2,IF(#REF!=$Z$2,#REF!*plat_invest))</f>
        <v>#REF!</v>
      </c>
      <c r="AX10" s="57" t="e">
        <f>IF(#REF!=AX$2,IF(#REF!=$Z$2,#REF!*lumber_invest)) + IF(#REF!=AX$2,IF(#REF!=$Z$2,#REF!*lumber_invest)) + IF(#REF!=AX$2,IF(#REF!=$Z$2,#REF!*lumber_invest))</f>
        <v>#REF!</v>
      </c>
      <c r="AY10" s="57" t="e">
        <f>IF(#REF!=AY$2,IF(#REF!=$Z$2,#REF!*ore_invest)) + IF(#REF!=AY$2,IF(#REF!=$Z$2,#REF!*ore_invest)) + IF(#REF!=AY$2,IF(#REF!=$Z$2,#REF!*ore_invest))</f>
        <v>#REF!</v>
      </c>
      <c r="AZ10" s="57" t="e">
        <f>IF(#REF!=AZ$2,IF(#REF!=$Z$2,#REF!*gem_invest)) + IF(#REF!=AZ$2,IF(#REF!=$Z$2,#REF!*gem_invest)) + IF(#REF!=AZ$2,IF(#REF!=$Z$2,#REF!*gem_invest))</f>
        <v>#REF!</v>
      </c>
      <c r="BA10" s="134"/>
      <c r="BB10" s="57" t="e">
        <f>IF(#REF!=BB$2,IF(#REF!=$AA$2,#REF!*plat_invest)) + IF(#REF!=BB$2,IF(#REF!=$AA$2,#REF!*plat_invest)) + IF(#REF!=BB$2,IF(#REF!=$AA$2,#REF!*plat_invest))</f>
        <v>#REF!</v>
      </c>
      <c r="BC10" s="57" t="e">
        <f>IF(#REF!=BC$2,IF(#REF!=$AA$2,#REF!*lumber_invest)) + IF(#REF!=BC$2,IF(#REF!=$AA$2,#REF!*lumber_invest)) + IF(#REF!=BC$2,IF(#REF!=$AA$2,#REF!*lumber_invest))</f>
        <v>#REF!</v>
      </c>
      <c r="BD10" s="57" t="e">
        <f>IF(#REF!=BD$2,IF(#REF!=$AA$2,#REF!*ore_invest)) + IF(#REF!=BD$2,IF(#REF!=$AA$2,#REF!*ore_invest)) + IF(#REF!=BD$2,IF(#REF!=$AA$2,#REF!*ore_invest))</f>
        <v>#REF!</v>
      </c>
      <c r="BE10" s="57" t="e">
        <f>IF(#REF!=BE$2,IF(#REF!=$AA$2,#REF!*gem_invest)) + IF(#REF!=BE$2,IF(#REF!=$AA$2,#REF!*gem_invest)) + IF(#REF!=BE$2,IF(#REF!=$AA$2,#REF!*gem_invest))</f>
        <v>#REF!</v>
      </c>
      <c r="BF10" s="134"/>
      <c r="BG10" s="57" t="e">
        <f>IF(#REF!=BG$2,IF(#REF!=$AB$2,#REF!*plat_invest)) + IF(#REF!=BG$2,IF(#REF!=$AB$2,#REF!*plat_invest)) + IF(#REF!=BG$2,IF(#REF!=$AB$2,#REF!*plat_invest))</f>
        <v>#REF!</v>
      </c>
      <c r="BH10" s="57" t="e">
        <f>IF(#REF!=BH$2,IF(#REF!=$AB$2,#REF!*lumber_invest)) + IF(#REF!=BH$2,IF(#REF!=$AB$2,#REF!*lumber_invest)) + IF(#REF!=BH$2,IF(#REF!=$AB$2,#REF!*lumber_invest))</f>
        <v>#REF!</v>
      </c>
      <c r="BI10" s="57" t="e">
        <f>IF(#REF!=BI$2,IF(#REF!=$AB$2,#REF!*ore_invest)) + IF(#REF!=BI$2,IF(#REF!=$AB$2,#REF!*ore_invest)) + IF(#REF!=BI$2,IF(#REF!=$AB$2,#REF!*ore_invest))</f>
        <v>#REF!</v>
      </c>
      <c r="BJ10" s="57" t="e">
        <f>IF(#REF!=BJ$2,IF(#REF!=$AB$2,#REF!*gem_invest)) + IF(#REF!=BJ$2,IF(#REF!=$AB$2,#REF!*gem_invest)) + IF(#REF!=BJ$2,IF(#REF!=$AB$2,#REF!*gem_invest))</f>
        <v>#REF!</v>
      </c>
      <c r="BK10" s="134"/>
      <c r="BL10" s="57" t="e">
        <f>IF(#REF!=BL$2,IF(#REF!=$AC$2,#REF!*plat_invest)) + IF(#REF!=BL$2,IF(#REF!=$AC$2,#REF!*plat_invest)) + IF(#REF!=BL$2,IF(#REF!=$AC$2,#REF!*plat_invest))</f>
        <v>#REF!</v>
      </c>
      <c r="BM10" s="57" t="e">
        <f>IF(#REF!=BM$2,IF(#REF!=$AC$2,#REF!*lumber_invest)) + IF(#REF!=BM$2,IF(#REF!=$AC$2,#REF!*lumber_invest)) + IF(#REF!=BM$2,IF(#REF!=$AC$2,#REF!*lumber_invest))</f>
        <v>#REF!</v>
      </c>
      <c r="BN10" s="57" t="e">
        <f>IF(#REF!=BN$2,IF(#REF!=$AC$2,#REF!*ore_invest)) + IF(#REF!=BN$2,IF(#REF!=$AC$2,#REF!*ore_invest)) + IF(#REF!=BN$2,IF(#REF!=$AC$2,#REF!*ore_invest))</f>
        <v>#REF!</v>
      </c>
      <c r="BO10" s="57" t="e">
        <f>IF(#REF!=BO$2,IF(#REF!=$AC$2,#REF!*gem_invest)) + IF(#REF!=BO$2,IF(#REF!=$AC$2,#REF!*gem_invest)) + IF(#REF!=BO$2,IF(#REF!=$AC$2,#REF!*gem_invest))</f>
        <v>#REF!</v>
      </c>
      <c r="BP10" s="134"/>
      <c r="BQ10" s="57" t="e">
        <f>IF(#REF!=BQ$2,IF(#REF!=$AD$2,#REF!*plat_invest)) + IF(#REF!=BQ$2,IF(#REF!=$AD$2,#REF!*plat_invest)) + IF(#REF!=BQ$2,IF(#REF!=$AD$2,#REF!*plat_invest))</f>
        <v>#REF!</v>
      </c>
      <c r="BR10" s="57" t="e">
        <f>IF(#REF!=BR$2,IF(#REF!=$AD$2,#REF!*lumber_invest)) + IF(#REF!=BR$2,IF(#REF!=$AD$2,#REF!*lumber_invest)) + IF(#REF!=BR$2,IF(#REF!=$AD$2,#REF!*lumber_invest))</f>
        <v>#REF!</v>
      </c>
      <c r="BS10" s="57" t="e">
        <f>IF(#REF!=BS$2,IF(#REF!=$AD$2,#REF!*ore_invest)) + IF(#REF!=BS$2,IF(#REF!=$AD$2,#REF!*ore_invest)) + IF(#REF!=BS$2,IF(#REF!=$AD$2,#REF!*ore_invest))</f>
        <v>#REF!</v>
      </c>
      <c r="BT10" s="57" t="e">
        <f>IF(#REF!=BT$2,IF(#REF!=$AD$2,#REF!*gem_invest)) + IF(#REF!=BT$2,IF(#REF!=$AD$2,#REF!*gem_invest)) + IF(#REF!=BT$2,IF(#REF!=$AD$2,#REF!*gem_invest))</f>
        <v>#REF!</v>
      </c>
      <c r="BU10" s="134"/>
      <c r="BV10" s="3" t="e">
        <f>OR(#REF!,#REF!,#REF!,#REF!,#REF!,#REF!,#REF!,#REF!,#REF!)</f>
        <v>#REF!</v>
      </c>
      <c r="BW10" s="61" t="e">
        <f>#REF!</f>
        <v>#REF!</v>
      </c>
      <c r="BX10" s="130"/>
      <c r="BY10" s="284" t="e">
        <f ca="1">OFFSET(#REF!,-1,0)+1/24</f>
        <v>#REF!</v>
      </c>
      <c r="BZ10" s="285" t="e">
        <f ca="1">OFFSET(#REF!,-1,0)+1/24</f>
        <v>#REF!</v>
      </c>
      <c r="CA10" s="57"/>
      <c r="CB10" s="283"/>
      <c r="CC10" s="283"/>
    </row>
    <row r="11" spans="1:84" x14ac:dyDescent="0.25">
      <c r="A11" s="206" t="e">
        <f>#REF!</f>
        <v>#REF!</v>
      </c>
      <c r="B11" s="134"/>
      <c r="C11" s="39" t="e">
        <f>#REF!</f>
        <v>#REF!</v>
      </c>
      <c r="D11" s="39" t="e">
        <f>#REF!</f>
        <v>#REF!</v>
      </c>
      <c r="E11" s="39" t="e">
        <f>#REF!</f>
        <v>#REF!</v>
      </c>
      <c r="F11" s="39" t="e">
        <f>#REF!</f>
        <v>#REF!</v>
      </c>
      <c r="G11" s="133"/>
      <c r="H11" s="39" t="e">
        <f>#REF!</f>
        <v>#REF!</v>
      </c>
      <c r="I11" s="132" t="e">
        <f>#REF!</f>
        <v>#REF!</v>
      </c>
      <c r="J11" s="132" t="e">
        <f>#REF!/#REF!</f>
        <v>#REF!</v>
      </c>
      <c r="K11" s="160" t="e">
        <f>#REF!</f>
        <v>#REF!</v>
      </c>
      <c r="L11" s="276" t="e">
        <f>#REF!</f>
        <v>#REF!</v>
      </c>
      <c r="M11" s="61">
        <f>IF(ISERROR(#REF!),0,#REF!*1)</f>
        <v>0</v>
      </c>
      <c r="N11" s="39" t="e">
        <f>#REF!</f>
        <v>#REF!</v>
      </c>
      <c r="O11" s="277" t="s">
        <v>4</v>
      </c>
      <c r="P11" s="278"/>
      <c r="Q11" s="277" t="s">
        <v>211</v>
      </c>
      <c r="R11" s="277" t="s">
        <v>7</v>
      </c>
      <c r="S11" s="278"/>
      <c r="T11" s="277" t="s">
        <v>211</v>
      </c>
      <c r="U11" s="277" t="s">
        <v>3</v>
      </c>
      <c r="V11" s="278"/>
      <c r="W11" s="277" t="s">
        <v>211</v>
      </c>
      <c r="X11" s="134"/>
      <c r="Y11" s="209" t="e">
        <f ca="1">science_cap*(1-EXP(-#REF!/(science_param*(OFFSET(#REF!,1,0)-OFFSET(#REF!,1,0)*20)+15000)))*(1+(mason_bonus*#REF!/#REF!))</f>
        <v>#REF!</v>
      </c>
      <c r="Z11" s="209" t="e">
        <f ca="1">keep_cap*(1-EXP(-#REF!/(keep_param*(OFFSET(#REF!,1,0)-OFFSET(#REF!,1,0)*20)+15000)))*(1+(mason_bonus*#REF!/#REF!))</f>
        <v>#REF!</v>
      </c>
      <c r="AA11" s="209" t="e">
        <f ca="1">harbor_towers_cap*(1-EXP(-#REF!/(towers_param*(OFFSET(#REF!,1,0)-OFFSET(#REF!,1,0)*20)+15000)))*(1+(mason_bonus*#REF!/#REF!))</f>
        <v>#REF!</v>
      </c>
      <c r="AB11" s="209" t="e">
        <f ca="1">walls_forges_cap*(1-EXP(-#REF!/(walls_forges_param*(OFFSET(#REF!,1,0)-OFFSET(#REF!,1,0)*20)+15000)))*(1+(mason_bonus*#REF!/#REF!))</f>
        <v>#REF!</v>
      </c>
      <c r="AC11" s="209" t="e">
        <f ca="1">walls_forges_cap*(1-EXP(-#REF!/(walls_forges_param*(OFFSET(#REF!,1,0)-OFFSET(#REF!,1,0)*20)+15000)))*(1+(mason_bonus*#REF!/#REF!))</f>
        <v>#REF!</v>
      </c>
      <c r="AD11" s="209" t="e">
        <f ca="1">harbor_towers_cap*(1-EXP(-#REF!/(harbor_towers_param*(OFFSET(#REF!,1,0)-OFFSET(#REF!,1,0)*20)+15000)))*(1+(mason_bonus*#REF!/#REF!))</f>
        <v>#REF!</v>
      </c>
      <c r="AE11" s="134"/>
      <c r="AF11" s="61" t="e">
        <f ca="1">(1+Overview!$I$28)*SUM(#REF!)+OFFSET(#REF!,-1,0)</f>
        <v>#REF!</v>
      </c>
      <c r="AG11" s="61" t="e">
        <f ca="1">(1+Overview!$I$28)*SUM(#REF!)+OFFSET(#REF!,-1,0)</f>
        <v>#REF!</v>
      </c>
      <c r="AH11" s="61" t="e">
        <f ca="1">(1+Overview!$I$28 + tech_7_1*#REF!)*SUM(#REF!)+OFFSET(#REF!,-1,0)</f>
        <v>#REF!</v>
      </c>
      <c r="AI11" s="61" t="e">
        <f ca="1">(1+Overview!$I$28)*SUM(#REF!)+OFFSET(#REF!,-1,0)</f>
        <v>#REF!</v>
      </c>
      <c r="AJ11" s="61" t="e">
        <f ca="1">(1+Overview!$I$28)*SUM(#REF!)+OFFSET(#REF!,-1,0)</f>
        <v>#REF!</v>
      </c>
      <c r="AK11" s="61" t="e">
        <f ca="1">(1+Overview!$I$28 + tech_7_1*#REF!)*SUM(#REF!)+OFFSET(#REF!,-1,0)</f>
        <v>#REF!</v>
      </c>
      <c r="AL11" s="134"/>
      <c r="AM11" s="57" t="e">
        <f>IF(AND(#REF!=AM$2,#REF!&lt;&gt;""),#REF!) + IF(AND(#REF!=AM$2,#REF!&lt;&gt;""),#REF!) + IF(AND(#REF!=AM$2,#REF!&lt;&gt;""),#REF!)</f>
        <v>#REF!</v>
      </c>
      <c r="AN11" s="57" t="e">
        <f>IF(AND(#REF!=AN$2,#REF!&lt;&gt;""),#REF!) + IF(AND(#REF!=AN$2,#REF!&lt;&gt;""),#REF!) + IF(AND(#REF!=AN$2,#REF!&lt;&gt;""),#REF!)</f>
        <v>#REF!</v>
      </c>
      <c r="AO11" s="57" t="e">
        <f>IF(AND(#REF!=AO$2,#REF!&lt;&gt;""),#REF!) + IF(AND(#REF!=AO$2,#REF!&lt;&gt;""),#REF!) + IF(AND(#REF!=AO$2,#REF!&lt;&gt;""),#REF!)</f>
        <v>#REF!</v>
      </c>
      <c r="AP11" s="57" t="e">
        <f>IF(AND(#REF!=AP$2,#REF!&lt;&gt;""),#REF!) + IF(AND(#REF!=AP$2,#REF!&lt;&gt;""),#REF!) + IF(AND(#REF!=AP$2,#REF!&lt;&gt;""),#REF!)</f>
        <v>#REF!</v>
      </c>
      <c r="AQ11" s="134"/>
      <c r="AR11" s="57" t="e">
        <f>IF(#REF!=AR$2,IF(#REF!=$Y$2,#REF!*plat_invest)) + IF(#REF!=AR$2,IF(#REF!=$Y$2,#REF!*plat_invest)) + IF(#REF!=AR$2,IF(#REF!=$Y$2,#REF!*plat_invest))</f>
        <v>#REF!</v>
      </c>
      <c r="AS11" s="57" t="e">
        <f>IF(#REF!=AS$2,IF(#REF!=$Y$2,#REF!*lumber_invest)) + IF(#REF!=AS$2,IF(#REF!=$Y$2,#REF!*lumber_invest)) + IF(#REF!=AS$2,IF(#REF!=$Y$2,#REF!*lumber_invest))</f>
        <v>#REF!</v>
      </c>
      <c r="AT11" s="57" t="e">
        <f>IF(#REF!=AT$2,IF(#REF!=$Y$2,#REF!*ore_invest)) + IF(#REF!=AT$2,IF(#REF!=$Y$2,#REF!*ore_invest)) + IF(#REF!=AT$2,IF(#REF!=$Y$2,#REF!*ore_invest))</f>
        <v>#REF!</v>
      </c>
      <c r="AU11" s="57" t="e">
        <f>IF(#REF!=AU$2,IF(#REF!=$Y$2,#REF!*gem_invest)) + IF(#REF!=AU$2,IF(#REF!=$Y$2,#REF!*gem_invest)) + IF(#REF!=AU$2,IF(#REF!=$Y$2,#REF!*gem_invest))</f>
        <v>#REF!</v>
      </c>
      <c r="AV11" s="134"/>
      <c r="AW11" s="57" t="e">
        <f>IF(#REF!=AW$2,IF(#REF!=$Z$2,#REF!*plat_invest)) + IF(#REF!=AW$2,IF(#REF!=$Z$2,#REF!*plat_invest)) + IF(#REF!=AW$2,IF(#REF!=$Z$2,#REF!*plat_invest))</f>
        <v>#REF!</v>
      </c>
      <c r="AX11" s="57" t="e">
        <f>IF(#REF!=AX$2,IF(#REF!=$Z$2,#REF!*lumber_invest)) + IF(#REF!=AX$2,IF(#REF!=$Z$2,#REF!*lumber_invest)) + IF(#REF!=AX$2,IF(#REF!=$Z$2,#REF!*lumber_invest))</f>
        <v>#REF!</v>
      </c>
      <c r="AY11" s="57" t="e">
        <f>IF(#REF!=AY$2,IF(#REF!=$Z$2,#REF!*ore_invest)) + IF(#REF!=AY$2,IF(#REF!=$Z$2,#REF!*ore_invest)) + IF(#REF!=AY$2,IF(#REF!=$Z$2,#REF!*ore_invest))</f>
        <v>#REF!</v>
      </c>
      <c r="AZ11" s="57" t="e">
        <f>IF(#REF!=AZ$2,IF(#REF!=$Z$2,#REF!*gem_invest)) + IF(#REF!=AZ$2,IF(#REF!=$Z$2,#REF!*gem_invest)) + IF(#REF!=AZ$2,IF(#REF!=$Z$2,#REF!*gem_invest))</f>
        <v>#REF!</v>
      </c>
      <c r="BA11" s="134"/>
      <c r="BB11" s="57" t="e">
        <f>IF(#REF!=BB$2,IF(#REF!=$AA$2,#REF!*plat_invest)) + IF(#REF!=BB$2,IF(#REF!=$AA$2,#REF!*plat_invest)) + IF(#REF!=BB$2,IF(#REF!=$AA$2,#REF!*plat_invest))</f>
        <v>#REF!</v>
      </c>
      <c r="BC11" s="57" t="e">
        <f>IF(#REF!=BC$2,IF(#REF!=$AA$2,#REF!*lumber_invest)) + IF(#REF!=BC$2,IF(#REF!=$AA$2,#REF!*lumber_invest)) + IF(#REF!=BC$2,IF(#REF!=$AA$2,#REF!*lumber_invest))</f>
        <v>#REF!</v>
      </c>
      <c r="BD11" s="57" t="e">
        <f>IF(#REF!=BD$2,IF(#REF!=$AA$2,#REF!*ore_invest)) + IF(#REF!=BD$2,IF(#REF!=$AA$2,#REF!*ore_invest)) + IF(#REF!=BD$2,IF(#REF!=$AA$2,#REF!*ore_invest))</f>
        <v>#REF!</v>
      </c>
      <c r="BE11" s="57" t="e">
        <f>IF(#REF!=BE$2,IF(#REF!=$AA$2,#REF!*gem_invest)) + IF(#REF!=BE$2,IF(#REF!=$AA$2,#REF!*gem_invest)) + IF(#REF!=BE$2,IF(#REF!=$AA$2,#REF!*gem_invest))</f>
        <v>#REF!</v>
      </c>
      <c r="BF11" s="134"/>
      <c r="BG11" s="57" t="e">
        <f>IF(#REF!=BG$2,IF(#REF!=$AB$2,#REF!*plat_invest)) + IF(#REF!=BG$2,IF(#REF!=$AB$2,#REF!*plat_invest)) + IF(#REF!=BG$2,IF(#REF!=$AB$2,#REF!*plat_invest))</f>
        <v>#REF!</v>
      </c>
      <c r="BH11" s="57" t="e">
        <f>IF(#REF!=BH$2,IF(#REF!=$AB$2,#REF!*lumber_invest)) + IF(#REF!=BH$2,IF(#REF!=$AB$2,#REF!*lumber_invest)) + IF(#REF!=BH$2,IF(#REF!=$AB$2,#REF!*lumber_invest))</f>
        <v>#REF!</v>
      </c>
      <c r="BI11" s="57" t="e">
        <f>IF(#REF!=BI$2,IF(#REF!=$AB$2,#REF!*ore_invest)) + IF(#REF!=BI$2,IF(#REF!=$AB$2,#REF!*ore_invest)) + IF(#REF!=BI$2,IF(#REF!=$AB$2,#REF!*ore_invest))</f>
        <v>#REF!</v>
      </c>
      <c r="BJ11" s="57" t="e">
        <f>IF(#REF!=BJ$2,IF(#REF!=$AB$2,#REF!*gem_invest)) + IF(#REF!=BJ$2,IF(#REF!=$AB$2,#REF!*gem_invest)) + IF(#REF!=BJ$2,IF(#REF!=$AB$2,#REF!*gem_invest))</f>
        <v>#REF!</v>
      </c>
      <c r="BK11" s="134"/>
      <c r="BL11" s="57" t="e">
        <f>IF(#REF!=BL$2,IF(#REF!=$AC$2,#REF!*plat_invest)) + IF(#REF!=BL$2,IF(#REF!=$AC$2,#REF!*plat_invest)) + IF(#REF!=BL$2,IF(#REF!=$AC$2,#REF!*plat_invest))</f>
        <v>#REF!</v>
      </c>
      <c r="BM11" s="57" t="e">
        <f>IF(#REF!=BM$2,IF(#REF!=$AC$2,#REF!*lumber_invest)) + IF(#REF!=BM$2,IF(#REF!=$AC$2,#REF!*lumber_invest)) + IF(#REF!=BM$2,IF(#REF!=$AC$2,#REF!*lumber_invest))</f>
        <v>#REF!</v>
      </c>
      <c r="BN11" s="57" t="e">
        <f>IF(#REF!=BN$2,IF(#REF!=$AC$2,#REF!*ore_invest)) + IF(#REF!=BN$2,IF(#REF!=$AC$2,#REF!*ore_invest)) + IF(#REF!=BN$2,IF(#REF!=$AC$2,#REF!*ore_invest))</f>
        <v>#REF!</v>
      </c>
      <c r="BO11" s="57" t="e">
        <f>IF(#REF!=BO$2,IF(#REF!=$AC$2,#REF!*gem_invest)) + IF(#REF!=BO$2,IF(#REF!=$AC$2,#REF!*gem_invest)) + IF(#REF!=BO$2,IF(#REF!=$AC$2,#REF!*gem_invest))</f>
        <v>#REF!</v>
      </c>
      <c r="BP11" s="134"/>
      <c r="BQ11" s="57" t="e">
        <f>IF(#REF!=BQ$2,IF(#REF!=$AD$2,#REF!*plat_invest)) + IF(#REF!=BQ$2,IF(#REF!=$AD$2,#REF!*plat_invest)) + IF(#REF!=BQ$2,IF(#REF!=$AD$2,#REF!*plat_invest))</f>
        <v>#REF!</v>
      </c>
      <c r="BR11" s="57" t="e">
        <f>IF(#REF!=BR$2,IF(#REF!=$AD$2,#REF!*lumber_invest)) + IF(#REF!=BR$2,IF(#REF!=$AD$2,#REF!*lumber_invest)) + IF(#REF!=BR$2,IF(#REF!=$AD$2,#REF!*lumber_invest))</f>
        <v>#REF!</v>
      </c>
      <c r="BS11" s="57" t="e">
        <f>IF(#REF!=BS$2,IF(#REF!=$AD$2,#REF!*ore_invest)) + IF(#REF!=BS$2,IF(#REF!=$AD$2,#REF!*ore_invest)) + IF(#REF!=BS$2,IF(#REF!=$AD$2,#REF!*ore_invest))</f>
        <v>#REF!</v>
      </c>
      <c r="BT11" s="57" t="e">
        <f>IF(#REF!=BT$2,IF(#REF!=$AD$2,#REF!*gem_invest)) + IF(#REF!=BT$2,IF(#REF!=$AD$2,#REF!*gem_invest)) + IF(#REF!=BT$2,IF(#REF!=$AD$2,#REF!*gem_invest))</f>
        <v>#REF!</v>
      </c>
      <c r="BU11" s="134"/>
      <c r="BV11" s="3" t="e">
        <f>OR(#REF!,#REF!,#REF!,#REF!,#REF!,#REF!,#REF!,#REF!,#REF!)</f>
        <v>#REF!</v>
      </c>
      <c r="BW11" s="61" t="e">
        <f>#REF!</f>
        <v>#REF!</v>
      </c>
      <c r="BX11" s="130"/>
      <c r="BY11" s="284" t="e">
        <f ca="1">OFFSET(#REF!,-1,0)+1/24</f>
        <v>#REF!</v>
      </c>
      <c r="BZ11" s="285" t="e">
        <f ca="1">OFFSET(#REF!,-1,0)+1/24</f>
        <v>#REF!</v>
      </c>
      <c r="CA11" s="57"/>
      <c r="CB11" s="283"/>
      <c r="CC11" s="283"/>
    </row>
    <row r="12" spans="1:84" x14ac:dyDescent="0.25">
      <c r="A12" s="206" t="e">
        <f>#REF!</f>
        <v>#REF!</v>
      </c>
      <c r="B12" s="134"/>
      <c r="C12" s="39" t="e">
        <f>#REF!</f>
        <v>#REF!</v>
      </c>
      <c r="D12" s="39" t="e">
        <f>#REF!</f>
        <v>#REF!</v>
      </c>
      <c r="E12" s="39" t="e">
        <f>#REF!</f>
        <v>#REF!</v>
      </c>
      <c r="F12" s="39" t="e">
        <f>#REF!</f>
        <v>#REF!</v>
      </c>
      <c r="G12" s="133"/>
      <c r="H12" s="39" t="e">
        <f>#REF!</f>
        <v>#REF!</v>
      </c>
      <c r="I12" s="132" t="e">
        <f>#REF!</f>
        <v>#REF!</v>
      </c>
      <c r="J12" s="132" t="e">
        <f>#REF!/#REF!</f>
        <v>#REF!</v>
      </c>
      <c r="K12" s="160" t="e">
        <f>#REF!</f>
        <v>#REF!</v>
      </c>
      <c r="L12" s="276" t="e">
        <f>#REF!</f>
        <v>#REF!</v>
      </c>
      <c r="M12" s="61">
        <f>IF(ISERROR(#REF!),0,#REF!*1)</f>
        <v>0</v>
      </c>
      <c r="N12" s="39" t="e">
        <f>#REF!</f>
        <v>#REF!</v>
      </c>
      <c r="O12" s="277" t="s">
        <v>4</v>
      </c>
      <c r="P12" s="278"/>
      <c r="Q12" s="277" t="s">
        <v>211</v>
      </c>
      <c r="R12" s="277" t="s">
        <v>7</v>
      </c>
      <c r="S12" s="278"/>
      <c r="T12" s="277" t="s">
        <v>211</v>
      </c>
      <c r="U12" s="277" t="s">
        <v>3</v>
      </c>
      <c r="V12" s="278"/>
      <c r="W12" s="277" t="s">
        <v>211</v>
      </c>
      <c r="X12" s="134"/>
      <c r="Y12" s="209" t="e">
        <f ca="1">science_cap*(1-EXP(-#REF!/(science_param*(OFFSET(#REF!,1,0)-OFFSET(#REF!,1,0)*20)+15000)))*(1+(mason_bonus*#REF!/#REF!))</f>
        <v>#REF!</v>
      </c>
      <c r="Z12" s="209" t="e">
        <f ca="1">keep_cap*(1-EXP(-#REF!/(keep_param*(OFFSET(#REF!,1,0)-OFFSET(#REF!,1,0)*20)+15000)))*(1+(mason_bonus*#REF!/#REF!))</f>
        <v>#REF!</v>
      </c>
      <c r="AA12" s="209" t="e">
        <f ca="1">harbor_towers_cap*(1-EXP(-#REF!/(towers_param*(OFFSET(#REF!,1,0)-OFFSET(#REF!,1,0)*20)+15000)))*(1+(mason_bonus*#REF!/#REF!))</f>
        <v>#REF!</v>
      </c>
      <c r="AB12" s="209" t="e">
        <f ca="1">walls_forges_cap*(1-EXP(-#REF!/(walls_forges_param*(OFFSET(#REF!,1,0)-OFFSET(#REF!,1,0)*20)+15000)))*(1+(mason_bonus*#REF!/#REF!))</f>
        <v>#REF!</v>
      </c>
      <c r="AC12" s="209" t="e">
        <f ca="1">walls_forges_cap*(1-EXP(-#REF!/(walls_forges_param*(OFFSET(#REF!,1,0)-OFFSET(#REF!,1,0)*20)+15000)))*(1+(mason_bonus*#REF!/#REF!))</f>
        <v>#REF!</v>
      </c>
      <c r="AD12" s="209" t="e">
        <f ca="1">harbor_towers_cap*(1-EXP(-#REF!/(harbor_towers_param*(OFFSET(#REF!,1,0)-OFFSET(#REF!,1,0)*20)+15000)))*(1+(mason_bonus*#REF!/#REF!))</f>
        <v>#REF!</v>
      </c>
      <c r="AE12" s="134"/>
      <c r="AF12" s="61" t="e">
        <f ca="1">(1+Overview!$I$28)*SUM(#REF!)+OFFSET(#REF!,-1,0)</f>
        <v>#REF!</v>
      </c>
      <c r="AG12" s="61" t="e">
        <f ca="1">(1+Overview!$I$28)*SUM(#REF!)+OFFSET(#REF!,-1,0)</f>
        <v>#REF!</v>
      </c>
      <c r="AH12" s="61" t="e">
        <f ca="1">(1+Overview!$I$28 + tech_7_1*#REF!)*SUM(#REF!)+OFFSET(#REF!,-1,0)</f>
        <v>#REF!</v>
      </c>
      <c r="AI12" s="61" t="e">
        <f ca="1">(1+Overview!$I$28)*SUM(#REF!)+OFFSET(#REF!,-1,0)</f>
        <v>#REF!</v>
      </c>
      <c r="AJ12" s="61" t="e">
        <f ca="1">(1+Overview!$I$28)*SUM(#REF!)+OFFSET(#REF!,-1,0)</f>
        <v>#REF!</v>
      </c>
      <c r="AK12" s="61" t="e">
        <f ca="1">(1+Overview!$I$28 + tech_7_1*#REF!)*SUM(#REF!)+OFFSET(#REF!,-1,0)</f>
        <v>#REF!</v>
      </c>
      <c r="AL12" s="134"/>
      <c r="AM12" s="57" t="e">
        <f>IF(AND(#REF!=AM$2,#REF!&lt;&gt;""),#REF!) + IF(AND(#REF!=AM$2,#REF!&lt;&gt;""),#REF!) + IF(AND(#REF!=AM$2,#REF!&lt;&gt;""),#REF!)</f>
        <v>#REF!</v>
      </c>
      <c r="AN12" s="57" t="e">
        <f>IF(AND(#REF!=AN$2,#REF!&lt;&gt;""),#REF!) + IF(AND(#REF!=AN$2,#REF!&lt;&gt;""),#REF!) + IF(AND(#REF!=AN$2,#REF!&lt;&gt;""),#REF!)</f>
        <v>#REF!</v>
      </c>
      <c r="AO12" s="57" t="e">
        <f>IF(AND(#REF!=AO$2,#REF!&lt;&gt;""),#REF!) + IF(AND(#REF!=AO$2,#REF!&lt;&gt;""),#REF!) + IF(AND(#REF!=AO$2,#REF!&lt;&gt;""),#REF!)</f>
        <v>#REF!</v>
      </c>
      <c r="AP12" s="57" t="e">
        <f>IF(AND(#REF!=AP$2,#REF!&lt;&gt;""),#REF!) + IF(AND(#REF!=AP$2,#REF!&lt;&gt;""),#REF!) + IF(AND(#REF!=AP$2,#REF!&lt;&gt;""),#REF!)</f>
        <v>#REF!</v>
      </c>
      <c r="AQ12" s="134"/>
      <c r="AR12" s="57" t="e">
        <f>IF(#REF!=AR$2,IF(#REF!=$Y$2,#REF!*plat_invest)) + IF(#REF!=AR$2,IF(#REF!=$Y$2,#REF!*plat_invest)) + IF(#REF!=AR$2,IF(#REF!=$Y$2,#REF!*plat_invest))</f>
        <v>#REF!</v>
      </c>
      <c r="AS12" s="57" t="e">
        <f>IF(#REF!=AS$2,IF(#REF!=$Y$2,#REF!*lumber_invest)) + IF(#REF!=AS$2,IF(#REF!=$Y$2,#REF!*lumber_invest)) + IF(#REF!=AS$2,IF(#REF!=$Y$2,#REF!*lumber_invest))</f>
        <v>#REF!</v>
      </c>
      <c r="AT12" s="57" t="e">
        <f>IF(#REF!=AT$2,IF(#REF!=$Y$2,#REF!*ore_invest)) + IF(#REF!=AT$2,IF(#REF!=$Y$2,#REF!*ore_invest)) + IF(#REF!=AT$2,IF(#REF!=$Y$2,#REF!*ore_invest))</f>
        <v>#REF!</v>
      </c>
      <c r="AU12" s="57" t="e">
        <f>IF(#REF!=AU$2,IF(#REF!=$Y$2,#REF!*gem_invest)) + IF(#REF!=AU$2,IF(#REF!=$Y$2,#REF!*gem_invest)) + IF(#REF!=AU$2,IF(#REF!=$Y$2,#REF!*gem_invest))</f>
        <v>#REF!</v>
      </c>
      <c r="AV12" s="134"/>
      <c r="AW12" s="57" t="e">
        <f>IF(#REF!=AW$2,IF(#REF!=$Z$2,#REF!*plat_invest)) + IF(#REF!=AW$2,IF(#REF!=$Z$2,#REF!*plat_invest)) + IF(#REF!=AW$2,IF(#REF!=$Z$2,#REF!*plat_invest))</f>
        <v>#REF!</v>
      </c>
      <c r="AX12" s="57" t="e">
        <f>IF(#REF!=AX$2,IF(#REF!=$Z$2,#REF!*lumber_invest)) + IF(#REF!=AX$2,IF(#REF!=$Z$2,#REF!*lumber_invest)) + IF(#REF!=AX$2,IF(#REF!=$Z$2,#REF!*lumber_invest))</f>
        <v>#REF!</v>
      </c>
      <c r="AY12" s="57" t="e">
        <f>IF(#REF!=AY$2,IF(#REF!=$Z$2,#REF!*ore_invest)) + IF(#REF!=AY$2,IF(#REF!=$Z$2,#REF!*ore_invest)) + IF(#REF!=AY$2,IF(#REF!=$Z$2,#REF!*ore_invest))</f>
        <v>#REF!</v>
      </c>
      <c r="AZ12" s="57" t="e">
        <f>IF(#REF!=AZ$2,IF(#REF!=$Z$2,#REF!*gem_invest)) + IF(#REF!=AZ$2,IF(#REF!=$Z$2,#REF!*gem_invest)) + IF(#REF!=AZ$2,IF(#REF!=$Z$2,#REF!*gem_invest))</f>
        <v>#REF!</v>
      </c>
      <c r="BA12" s="134"/>
      <c r="BB12" s="57" t="e">
        <f>IF(#REF!=BB$2,IF(#REF!=$AA$2,#REF!*plat_invest)) + IF(#REF!=BB$2,IF(#REF!=$AA$2,#REF!*plat_invest)) + IF(#REF!=BB$2,IF(#REF!=$AA$2,#REF!*plat_invest))</f>
        <v>#REF!</v>
      </c>
      <c r="BC12" s="57" t="e">
        <f>IF(#REF!=BC$2,IF(#REF!=$AA$2,#REF!*lumber_invest)) + IF(#REF!=BC$2,IF(#REF!=$AA$2,#REF!*lumber_invest)) + IF(#REF!=BC$2,IF(#REF!=$AA$2,#REF!*lumber_invest))</f>
        <v>#REF!</v>
      </c>
      <c r="BD12" s="57" t="e">
        <f>IF(#REF!=BD$2,IF(#REF!=$AA$2,#REF!*ore_invest)) + IF(#REF!=BD$2,IF(#REF!=$AA$2,#REF!*ore_invest)) + IF(#REF!=BD$2,IF(#REF!=$AA$2,#REF!*ore_invest))</f>
        <v>#REF!</v>
      </c>
      <c r="BE12" s="57" t="e">
        <f>IF(#REF!=BE$2,IF(#REF!=$AA$2,#REF!*gem_invest)) + IF(#REF!=BE$2,IF(#REF!=$AA$2,#REF!*gem_invest)) + IF(#REF!=BE$2,IF(#REF!=$AA$2,#REF!*gem_invest))</f>
        <v>#REF!</v>
      </c>
      <c r="BF12" s="134"/>
      <c r="BG12" s="57" t="e">
        <f>IF(#REF!=BG$2,IF(#REF!=$AB$2,#REF!*plat_invest)) + IF(#REF!=BG$2,IF(#REF!=$AB$2,#REF!*plat_invest)) + IF(#REF!=BG$2,IF(#REF!=$AB$2,#REF!*plat_invest))</f>
        <v>#REF!</v>
      </c>
      <c r="BH12" s="57" t="e">
        <f>IF(#REF!=BH$2,IF(#REF!=$AB$2,#REF!*lumber_invest)) + IF(#REF!=BH$2,IF(#REF!=$AB$2,#REF!*lumber_invest)) + IF(#REF!=BH$2,IF(#REF!=$AB$2,#REF!*lumber_invest))</f>
        <v>#REF!</v>
      </c>
      <c r="BI12" s="57" t="e">
        <f>IF(#REF!=BI$2,IF(#REF!=$AB$2,#REF!*ore_invest)) + IF(#REF!=BI$2,IF(#REF!=$AB$2,#REF!*ore_invest)) + IF(#REF!=BI$2,IF(#REF!=$AB$2,#REF!*ore_invest))</f>
        <v>#REF!</v>
      </c>
      <c r="BJ12" s="57" t="e">
        <f>IF(#REF!=BJ$2,IF(#REF!=$AB$2,#REF!*gem_invest)) + IF(#REF!=BJ$2,IF(#REF!=$AB$2,#REF!*gem_invest)) + IF(#REF!=BJ$2,IF(#REF!=$AB$2,#REF!*gem_invest))</f>
        <v>#REF!</v>
      </c>
      <c r="BK12" s="134"/>
      <c r="BL12" s="57" t="e">
        <f>IF(#REF!=BL$2,IF(#REF!=$AC$2,#REF!*plat_invest)) + IF(#REF!=BL$2,IF(#REF!=$AC$2,#REF!*plat_invest)) + IF(#REF!=BL$2,IF(#REF!=$AC$2,#REF!*plat_invest))</f>
        <v>#REF!</v>
      </c>
      <c r="BM12" s="57" t="e">
        <f>IF(#REF!=BM$2,IF(#REF!=$AC$2,#REF!*lumber_invest)) + IF(#REF!=BM$2,IF(#REF!=$AC$2,#REF!*lumber_invest)) + IF(#REF!=BM$2,IF(#REF!=$AC$2,#REF!*lumber_invest))</f>
        <v>#REF!</v>
      </c>
      <c r="BN12" s="57" t="e">
        <f>IF(#REF!=BN$2,IF(#REF!=$AC$2,#REF!*ore_invest)) + IF(#REF!=BN$2,IF(#REF!=$AC$2,#REF!*ore_invest)) + IF(#REF!=BN$2,IF(#REF!=$AC$2,#REF!*ore_invest))</f>
        <v>#REF!</v>
      </c>
      <c r="BO12" s="57" t="e">
        <f>IF(#REF!=BO$2,IF(#REF!=$AC$2,#REF!*gem_invest)) + IF(#REF!=BO$2,IF(#REF!=$AC$2,#REF!*gem_invest)) + IF(#REF!=BO$2,IF(#REF!=$AC$2,#REF!*gem_invest))</f>
        <v>#REF!</v>
      </c>
      <c r="BP12" s="134"/>
      <c r="BQ12" s="57" t="e">
        <f>IF(#REF!=BQ$2,IF(#REF!=$AD$2,#REF!*plat_invest)) + IF(#REF!=BQ$2,IF(#REF!=$AD$2,#REF!*plat_invest)) + IF(#REF!=BQ$2,IF(#REF!=$AD$2,#REF!*plat_invest))</f>
        <v>#REF!</v>
      </c>
      <c r="BR12" s="57" t="e">
        <f>IF(#REF!=BR$2,IF(#REF!=$AD$2,#REF!*lumber_invest)) + IF(#REF!=BR$2,IF(#REF!=$AD$2,#REF!*lumber_invest)) + IF(#REF!=BR$2,IF(#REF!=$AD$2,#REF!*lumber_invest))</f>
        <v>#REF!</v>
      </c>
      <c r="BS12" s="57" t="e">
        <f>IF(#REF!=BS$2,IF(#REF!=$AD$2,#REF!*ore_invest)) + IF(#REF!=BS$2,IF(#REF!=$AD$2,#REF!*ore_invest)) + IF(#REF!=BS$2,IF(#REF!=$AD$2,#REF!*ore_invest))</f>
        <v>#REF!</v>
      </c>
      <c r="BT12" s="57" t="e">
        <f>IF(#REF!=BT$2,IF(#REF!=$AD$2,#REF!*gem_invest)) + IF(#REF!=BT$2,IF(#REF!=$AD$2,#REF!*gem_invest)) + IF(#REF!=BT$2,IF(#REF!=$AD$2,#REF!*gem_invest))</f>
        <v>#REF!</v>
      </c>
      <c r="BU12" s="134"/>
      <c r="BV12" s="3" t="e">
        <f>OR(#REF!,#REF!,#REF!,#REF!,#REF!,#REF!,#REF!,#REF!,#REF!)</f>
        <v>#REF!</v>
      </c>
      <c r="BW12" s="61" t="e">
        <f>#REF!</f>
        <v>#REF!</v>
      </c>
      <c r="BX12" s="130"/>
      <c r="BY12" s="284" t="e">
        <f ca="1">OFFSET(#REF!,-1,0)+1/24</f>
        <v>#REF!</v>
      </c>
      <c r="BZ12" s="285" t="e">
        <f ca="1">OFFSET(#REF!,-1,0)+1/24</f>
        <v>#REF!</v>
      </c>
      <c r="CA12" s="57"/>
      <c r="CB12" s="283"/>
      <c r="CC12" s="283"/>
    </row>
    <row r="13" spans="1:84" x14ac:dyDescent="0.25">
      <c r="A13" s="206" t="e">
        <f>#REF!</f>
        <v>#REF!</v>
      </c>
      <c r="B13" s="134"/>
      <c r="C13" s="39" t="e">
        <f>#REF!</f>
        <v>#REF!</v>
      </c>
      <c r="D13" s="39" t="e">
        <f>#REF!</f>
        <v>#REF!</v>
      </c>
      <c r="E13" s="39" t="e">
        <f>#REF!</f>
        <v>#REF!</v>
      </c>
      <c r="F13" s="39" t="e">
        <f>#REF!</f>
        <v>#REF!</v>
      </c>
      <c r="G13" s="133"/>
      <c r="H13" s="39" t="e">
        <f>#REF!</f>
        <v>#REF!</v>
      </c>
      <c r="I13" s="132" t="e">
        <f>#REF!</f>
        <v>#REF!</v>
      </c>
      <c r="J13" s="132" t="e">
        <f>#REF!/#REF!</f>
        <v>#REF!</v>
      </c>
      <c r="K13" s="160" t="e">
        <f>#REF!</f>
        <v>#REF!</v>
      </c>
      <c r="L13" s="276" t="e">
        <f>#REF!</f>
        <v>#REF!</v>
      </c>
      <c r="M13" s="61">
        <f>IF(ISERROR(#REF!),0,#REF!*1)</f>
        <v>0</v>
      </c>
      <c r="N13" s="39" t="e">
        <f>#REF!</f>
        <v>#REF!</v>
      </c>
      <c r="O13" s="277" t="s">
        <v>4</v>
      </c>
      <c r="P13" s="278"/>
      <c r="Q13" s="277" t="s">
        <v>211</v>
      </c>
      <c r="R13" s="277" t="s">
        <v>7</v>
      </c>
      <c r="S13" s="278"/>
      <c r="T13" s="277" t="s">
        <v>211</v>
      </c>
      <c r="U13" s="277" t="s">
        <v>3</v>
      </c>
      <c r="V13" s="278"/>
      <c r="W13" s="277" t="s">
        <v>211</v>
      </c>
      <c r="X13" s="134"/>
      <c r="Y13" s="209" t="e">
        <f ca="1">science_cap*(1-EXP(-#REF!/(science_param*(OFFSET(#REF!,1,0)-OFFSET(#REF!,1,0)*20)+15000)))*(1+(mason_bonus*#REF!/#REF!))</f>
        <v>#REF!</v>
      </c>
      <c r="Z13" s="209" t="e">
        <f ca="1">keep_cap*(1-EXP(-#REF!/(keep_param*(OFFSET(#REF!,1,0)-OFFSET(#REF!,1,0)*20)+15000)))*(1+(mason_bonus*#REF!/#REF!))</f>
        <v>#REF!</v>
      </c>
      <c r="AA13" s="209" t="e">
        <f ca="1">harbor_towers_cap*(1-EXP(-#REF!/(towers_param*(OFFSET(#REF!,1,0)-OFFSET(#REF!,1,0)*20)+15000)))*(1+(mason_bonus*#REF!/#REF!))</f>
        <v>#REF!</v>
      </c>
      <c r="AB13" s="209" t="e">
        <f ca="1">walls_forges_cap*(1-EXP(-#REF!/(walls_forges_param*(OFFSET(#REF!,1,0)-OFFSET(#REF!,1,0)*20)+15000)))*(1+(mason_bonus*#REF!/#REF!))</f>
        <v>#REF!</v>
      </c>
      <c r="AC13" s="209" t="e">
        <f ca="1">walls_forges_cap*(1-EXP(-#REF!/(walls_forges_param*(OFFSET(#REF!,1,0)-OFFSET(#REF!,1,0)*20)+15000)))*(1+(mason_bonus*#REF!/#REF!))</f>
        <v>#REF!</v>
      </c>
      <c r="AD13" s="209" t="e">
        <f ca="1">harbor_towers_cap*(1-EXP(-#REF!/(harbor_towers_param*(OFFSET(#REF!,1,0)-OFFSET(#REF!,1,0)*20)+15000)))*(1+(mason_bonus*#REF!/#REF!))</f>
        <v>#REF!</v>
      </c>
      <c r="AE13" s="134"/>
      <c r="AF13" s="61" t="e">
        <f ca="1">(1+Overview!$I$28)*SUM(#REF!)+OFFSET(#REF!,-1,0)</f>
        <v>#REF!</v>
      </c>
      <c r="AG13" s="61" t="e">
        <f ca="1">(1+Overview!$I$28)*SUM(#REF!)+OFFSET(#REF!,-1,0)</f>
        <v>#REF!</v>
      </c>
      <c r="AH13" s="61" t="e">
        <f ca="1">(1+Overview!$I$28 + tech_7_1*#REF!)*SUM(#REF!)+OFFSET(#REF!,-1,0)</f>
        <v>#REF!</v>
      </c>
      <c r="AI13" s="61" t="e">
        <f ca="1">(1+Overview!$I$28)*SUM(#REF!)+OFFSET(#REF!,-1,0)</f>
        <v>#REF!</v>
      </c>
      <c r="AJ13" s="61" t="e">
        <f ca="1">(1+Overview!$I$28)*SUM(#REF!)+OFFSET(#REF!,-1,0)</f>
        <v>#REF!</v>
      </c>
      <c r="AK13" s="61" t="e">
        <f ca="1">(1+Overview!$I$28 + tech_7_1*#REF!)*SUM(#REF!)+OFFSET(#REF!,-1,0)</f>
        <v>#REF!</v>
      </c>
      <c r="AL13" s="134"/>
      <c r="AM13" s="57" t="e">
        <f>IF(AND(#REF!=AM$2,#REF!&lt;&gt;""),#REF!) + IF(AND(#REF!=AM$2,#REF!&lt;&gt;""),#REF!) + IF(AND(#REF!=AM$2,#REF!&lt;&gt;""),#REF!)</f>
        <v>#REF!</v>
      </c>
      <c r="AN13" s="57" t="e">
        <f>IF(AND(#REF!=AN$2,#REF!&lt;&gt;""),#REF!) + IF(AND(#REF!=AN$2,#REF!&lt;&gt;""),#REF!) + IF(AND(#REF!=AN$2,#REF!&lt;&gt;""),#REF!)</f>
        <v>#REF!</v>
      </c>
      <c r="AO13" s="57" t="e">
        <f>IF(AND(#REF!=AO$2,#REF!&lt;&gt;""),#REF!) + IF(AND(#REF!=AO$2,#REF!&lt;&gt;""),#REF!) + IF(AND(#REF!=AO$2,#REF!&lt;&gt;""),#REF!)</f>
        <v>#REF!</v>
      </c>
      <c r="AP13" s="57" t="e">
        <f>IF(AND(#REF!=AP$2,#REF!&lt;&gt;""),#REF!) + IF(AND(#REF!=AP$2,#REF!&lt;&gt;""),#REF!) + IF(AND(#REF!=AP$2,#REF!&lt;&gt;""),#REF!)</f>
        <v>#REF!</v>
      </c>
      <c r="AQ13" s="134"/>
      <c r="AR13" s="57" t="e">
        <f>IF(#REF!=AR$2,IF(#REF!=$Y$2,#REF!*plat_invest)) + IF(#REF!=AR$2,IF(#REF!=$Y$2,#REF!*plat_invest)) + IF(#REF!=AR$2,IF(#REF!=$Y$2,#REF!*plat_invest))</f>
        <v>#REF!</v>
      </c>
      <c r="AS13" s="57" t="e">
        <f>IF(#REF!=AS$2,IF(#REF!=$Y$2,#REF!*lumber_invest)) + IF(#REF!=AS$2,IF(#REF!=$Y$2,#REF!*lumber_invest)) + IF(#REF!=AS$2,IF(#REF!=$Y$2,#REF!*lumber_invest))</f>
        <v>#REF!</v>
      </c>
      <c r="AT13" s="57" t="e">
        <f>IF(#REF!=AT$2,IF(#REF!=$Y$2,#REF!*ore_invest)) + IF(#REF!=AT$2,IF(#REF!=$Y$2,#REF!*ore_invest)) + IF(#REF!=AT$2,IF(#REF!=$Y$2,#REF!*ore_invest))</f>
        <v>#REF!</v>
      </c>
      <c r="AU13" s="57" t="e">
        <f>IF(#REF!=AU$2,IF(#REF!=$Y$2,#REF!*gem_invest)) + IF(#REF!=AU$2,IF(#REF!=$Y$2,#REF!*gem_invest)) + IF(#REF!=AU$2,IF(#REF!=$Y$2,#REF!*gem_invest))</f>
        <v>#REF!</v>
      </c>
      <c r="AV13" s="134"/>
      <c r="AW13" s="57" t="e">
        <f>IF(#REF!=AW$2,IF(#REF!=$Z$2,#REF!*plat_invest)) + IF(#REF!=AW$2,IF(#REF!=$Z$2,#REF!*plat_invest)) + IF(#REF!=AW$2,IF(#REF!=$Z$2,#REF!*plat_invest))</f>
        <v>#REF!</v>
      </c>
      <c r="AX13" s="57" t="e">
        <f>IF(#REF!=AX$2,IF(#REF!=$Z$2,#REF!*lumber_invest)) + IF(#REF!=AX$2,IF(#REF!=$Z$2,#REF!*lumber_invest)) + IF(#REF!=AX$2,IF(#REF!=$Z$2,#REF!*lumber_invest))</f>
        <v>#REF!</v>
      </c>
      <c r="AY13" s="57" t="e">
        <f>IF(#REF!=AY$2,IF(#REF!=$Z$2,#REF!*ore_invest)) + IF(#REF!=AY$2,IF(#REF!=$Z$2,#REF!*ore_invest)) + IF(#REF!=AY$2,IF(#REF!=$Z$2,#REF!*ore_invest))</f>
        <v>#REF!</v>
      </c>
      <c r="AZ13" s="57" t="e">
        <f>IF(#REF!=AZ$2,IF(#REF!=$Z$2,#REF!*gem_invest)) + IF(#REF!=AZ$2,IF(#REF!=$Z$2,#REF!*gem_invest)) + IF(#REF!=AZ$2,IF(#REF!=$Z$2,#REF!*gem_invest))</f>
        <v>#REF!</v>
      </c>
      <c r="BA13" s="134"/>
      <c r="BB13" s="57" t="e">
        <f>IF(#REF!=BB$2,IF(#REF!=$AA$2,#REF!*plat_invest)) + IF(#REF!=BB$2,IF(#REF!=$AA$2,#REF!*plat_invest)) + IF(#REF!=BB$2,IF(#REF!=$AA$2,#REF!*plat_invest))</f>
        <v>#REF!</v>
      </c>
      <c r="BC13" s="57" t="e">
        <f>IF(#REF!=BC$2,IF(#REF!=$AA$2,#REF!*lumber_invest)) + IF(#REF!=BC$2,IF(#REF!=$AA$2,#REF!*lumber_invest)) + IF(#REF!=BC$2,IF(#REF!=$AA$2,#REF!*lumber_invest))</f>
        <v>#REF!</v>
      </c>
      <c r="BD13" s="57" t="e">
        <f>IF(#REF!=BD$2,IF(#REF!=$AA$2,#REF!*ore_invest)) + IF(#REF!=BD$2,IF(#REF!=$AA$2,#REF!*ore_invest)) + IF(#REF!=BD$2,IF(#REF!=$AA$2,#REF!*ore_invest))</f>
        <v>#REF!</v>
      </c>
      <c r="BE13" s="57" t="e">
        <f>IF(#REF!=BE$2,IF(#REF!=$AA$2,#REF!*gem_invest)) + IF(#REF!=BE$2,IF(#REF!=$AA$2,#REF!*gem_invest)) + IF(#REF!=BE$2,IF(#REF!=$AA$2,#REF!*gem_invest))</f>
        <v>#REF!</v>
      </c>
      <c r="BF13" s="134"/>
      <c r="BG13" s="57" t="e">
        <f>IF(#REF!=BG$2,IF(#REF!=$AB$2,#REF!*plat_invest)) + IF(#REF!=BG$2,IF(#REF!=$AB$2,#REF!*plat_invest)) + IF(#REF!=BG$2,IF(#REF!=$AB$2,#REF!*plat_invest))</f>
        <v>#REF!</v>
      </c>
      <c r="BH13" s="57" t="e">
        <f>IF(#REF!=BH$2,IF(#REF!=$AB$2,#REF!*lumber_invest)) + IF(#REF!=BH$2,IF(#REF!=$AB$2,#REF!*lumber_invest)) + IF(#REF!=BH$2,IF(#REF!=$AB$2,#REF!*lumber_invest))</f>
        <v>#REF!</v>
      </c>
      <c r="BI13" s="57" t="e">
        <f>IF(#REF!=BI$2,IF(#REF!=$AB$2,#REF!*ore_invest)) + IF(#REF!=BI$2,IF(#REF!=$AB$2,#REF!*ore_invest)) + IF(#REF!=BI$2,IF(#REF!=$AB$2,#REF!*ore_invest))</f>
        <v>#REF!</v>
      </c>
      <c r="BJ13" s="57" t="e">
        <f>IF(#REF!=BJ$2,IF(#REF!=$AB$2,#REF!*gem_invest)) + IF(#REF!=BJ$2,IF(#REF!=$AB$2,#REF!*gem_invest)) + IF(#REF!=BJ$2,IF(#REF!=$AB$2,#REF!*gem_invest))</f>
        <v>#REF!</v>
      </c>
      <c r="BK13" s="134"/>
      <c r="BL13" s="57" t="e">
        <f>IF(#REF!=BL$2,IF(#REF!=$AC$2,#REF!*plat_invest)) + IF(#REF!=BL$2,IF(#REF!=$AC$2,#REF!*plat_invest)) + IF(#REF!=BL$2,IF(#REF!=$AC$2,#REF!*plat_invest))</f>
        <v>#REF!</v>
      </c>
      <c r="BM13" s="57" t="e">
        <f>IF(#REF!=BM$2,IF(#REF!=$AC$2,#REF!*lumber_invest)) + IF(#REF!=BM$2,IF(#REF!=$AC$2,#REF!*lumber_invest)) + IF(#REF!=BM$2,IF(#REF!=$AC$2,#REF!*lumber_invest))</f>
        <v>#REF!</v>
      </c>
      <c r="BN13" s="57" t="e">
        <f>IF(#REF!=BN$2,IF(#REF!=$AC$2,#REF!*ore_invest)) + IF(#REF!=BN$2,IF(#REF!=$AC$2,#REF!*ore_invest)) + IF(#REF!=BN$2,IF(#REF!=$AC$2,#REF!*ore_invest))</f>
        <v>#REF!</v>
      </c>
      <c r="BO13" s="57" t="e">
        <f>IF(#REF!=BO$2,IF(#REF!=$AC$2,#REF!*gem_invest)) + IF(#REF!=BO$2,IF(#REF!=$AC$2,#REF!*gem_invest)) + IF(#REF!=BO$2,IF(#REF!=$AC$2,#REF!*gem_invest))</f>
        <v>#REF!</v>
      </c>
      <c r="BP13" s="134"/>
      <c r="BQ13" s="57" t="e">
        <f>IF(#REF!=BQ$2,IF(#REF!=$AD$2,#REF!*plat_invest)) + IF(#REF!=BQ$2,IF(#REF!=$AD$2,#REF!*plat_invest)) + IF(#REF!=BQ$2,IF(#REF!=$AD$2,#REF!*plat_invest))</f>
        <v>#REF!</v>
      </c>
      <c r="BR13" s="57" t="e">
        <f>IF(#REF!=BR$2,IF(#REF!=$AD$2,#REF!*lumber_invest)) + IF(#REF!=BR$2,IF(#REF!=$AD$2,#REF!*lumber_invest)) + IF(#REF!=BR$2,IF(#REF!=$AD$2,#REF!*lumber_invest))</f>
        <v>#REF!</v>
      </c>
      <c r="BS13" s="57" t="e">
        <f>IF(#REF!=BS$2,IF(#REF!=$AD$2,#REF!*ore_invest)) + IF(#REF!=BS$2,IF(#REF!=$AD$2,#REF!*ore_invest)) + IF(#REF!=BS$2,IF(#REF!=$AD$2,#REF!*ore_invest))</f>
        <v>#REF!</v>
      </c>
      <c r="BT13" s="57" t="e">
        <f>IF(#REF!=BT$2,IF(#REF!=$AD$2,#REF!*gem_invest)) + IF(#REF!=BT$2,IF(#REF!=$AD$2,#REF!*gem_invest)) + IF(#REF!=BT$2,IF(#REF!=$AD$2,#REF!*gem_invest))</f>
        <v>#REF!</v>
      </c>
      <c r="BU13" s="134"/>
      <c r="BV13" s="3" t="e">
        <f>OR(#REF!,#REF!,#REF!,#REF!,#REF!,#REF!,#REF!,#REF!,#REF!)</f>
        <v>#REF!</v>
      </c>
      <c r="BW13" s="61" t="e">
        <f>#REF!</f>
        <v>#REF!</v>
      </c>
      <c r="BX13" s="130"/>
      <c r="BY13" s="284" t="e">
        <f ca="1">OFFSET(#REF!,-1,0)+1/24</f>
        <v>#REF!</v>
      </c>
      <c r="BZ13" s="285" t="e">
        <f ca="1">OFFSET(#REF!,-1,0)+1/24</f>
        <v>#REF!</v>
      </c>
      <c r="CA13" s="57"/>
      <c r="CB13" s="283"/>
      <c r="CC13" s="283"/>
    </row>
    <row r="14" spans="1:84" x14ac:dyDescent="0.25">
      <c r="A14" s="206" t="e">
        <f>#REF!</f>
        <v>#REF!</v>
      </c>
      <c r="B14" s="134"/>
      <c r="C14" s="39" t="e">
        <f>#REF!</f>
        <v>#REF!</v>
      </c>
      <c r="D14" s="39" t="e">
        <f>#REF!</f>
        <v>#REF!</v>
      </c>
      <c r="E14" s="39" t="e">
        <f>#REF!</f>
        <v>#REF!</v>
      </c>
      <c r="F14" s="39" t="e">
        <f>#REF!</f>
        <v>#REF!</v>
      </c>
      <c r="G14" s="133"/>
      <c r="H14" s="39" t="e">
        <f>#REF!</f>
        <v>#REF!</v>
      </c>
      <c r="I14" s="132" t="e">
        <f>#REF!</f>
        <v>#REF!</v>
      </c>
      <c r="J14" s="132" t="e">
        <f>#REF!/#REF!</f>
        <v>#REF!</v>
      </c>
      <c r="K14" s="160" t="e">
        <f>#REF!</f>
        <v>#REF!</v>
      </c>
      <c r="L14" s="276" t="e">
        <f>#REF!</f>
        <v>#REF!</v>
      </c>
      <c r="M14" s="61">
        <f>IF(ISERROR(#REF!),0,#REF!*1)</f>
        <v>0</v>
      </c>
      <c r="N14" s="39" t="e">
        <f>#REF!</f>
        <v>#REF!</v>
      </c>
      <c r="O14" s="277" t="s">
        <v>4</v>
      </c>
      <c r="P14" s="278"/>
      <c r="Q14" s="277" t="s">
        <v>211</v>
      </c>
      <c r="R14" s="277" t="s">
        <v>7</v>
      </c>
      <c r="S14" s="278"/>
      <c r="T14" s="277" t="s">
        <v>211</v>
      </c>
      <c r="U14" s="277" t="s">
        <v>3</v>
      </c>
      <c r="V14" s="278"/>
      <c r="W14" s="277" t="s">
        <v>211</v>
      </c>
      <c r="X14" s="134"/>
      <c r="Y14" s="209" t="e">
        <f ca="1">science_cap*(1-EXP(-#REF!/(science_param*(OFFSET(#REF!,1,0)-OFFSET(#REF!,1,0)*20)+15000)))*(1+(mason_bonus*#REF!/#REF!))</f>
        <v>#REF!</v>
      </c>
      <c r="Z14" s="209" t="e">
        <f ca="1">keep_cap*(1-EXP(-#REF!/(keep_param*(OFFSET(#REF!,1,0)-OFFSET(#REF!,1,0)*20)+15000)))*(1+(mason_bonus*#REF!/#REF!))</f>
        <v>#REF!</v>
      </c>
      <c r="AA14" s="209" t="e">
        <f ca="1">harbor_towers_cap*(1-EXP(-#REF!/(towers_param*(OFFSET(#REF!,1,0)-OFFSET(#REF!,1,0)*20)+15000)))*(1+(mason_bonus*#REF!/#REF!))</f>
        <v>#REF!</v>
      </c>
      <c r="AB14" s="209" t="e">
        <f ca="1">walls_forges_cap*(1-EXP(-#REF!/(walls_forges_param*(OFFSET(#REF!,1,0)-OFFSET(#REF!,1,0)*20)+15000)))*(1+(mason_bonus*#REF!/#REF!))</f>
        <v>#REF!</v>
      </c>
      <c r="AC14" s="209" t="e">
        <f ca="1">walls_forges_cap*(1-EXP(-#REF!/(walls_forges_param*(OFFSET(#REF!,1,0)-OFFSET(#REF!,1,0)*20)+15000)))*(1+(mason_bonus*#REF!/#REF!))</f>
        <v>#REF!</v>
      </c>
      <c r="AD14" s="209" t="e">
        <f ca="1">harbor_towers_cap*(1-EXP(-#REF!/(harbor_towers_param*(OFFSET(#REF!,1,0)-OFFSET(#REF!,1,0)*20)+15000)))*(1+(mason_bonus*#REF!/#REF!))</f>
        <v>#REF!</v>
      </c>
      <c r="AE14" s="134"/>
      <c r="AF14" s="61" t="e">
        <f ca="1">(1+Overview!$I$28)*SUM(#REF!)+OFFSET(#REF!,-1,0)</f>
        <v>#REF!</v>
      </c>
      <c r="AG14" s="61" t="e">
        <f ca="1">(1+Overview!$I$28)*SUM(#REF!)+OFFSET(#REF!,-1,0)</f>
        <v>#REF!</v>
      </c>
      <c r="AH14" s="61" t="e">
        <f ca="1">(1+Overview!$I$28 + tech_7_1*#REF!)*SUM(#REF!)+OFFSET(#REF!,-1,0)</f>
        <v>#REF!</v>
      </c>
      <c r="AI14" s="61" t="e">
        <f ca="1">(1+Overview!$I$28)*SUM(#REF!)+OFFSET(#REF!,-1,0)</f>
        <v>#REF!</v>
      </c>
      <c r="AJ14" s="61" t="e">
        <f ca="1">(1+Overview!$I$28)*SUM(#REF!)+OFFSET(#REF!,-1,0)</f>
        <v>#REF!</v>
      </c>
      <c r="AK14" s="61" t="e">
        <f ca="1">(1+Overview!$I$28 + tech_7_1*#REF!)*SUM(#REF!)+OFFSET(#REF!,-1,0)</f>
        <v>#REF!</v>
      </c>
      <c r="AL14" s="134"/>
      <c r="AM14" s="57" t="e">
        <f>IF(AND(#REF!=AM$2,#REF!&lt;&gt;""),#REF!) + IF(AND(#REF!=AM$2,#REF!&lt;&gt;""),#REF!) + IF(AND(#REF!=AM$2,#REF!&lt;&gt;""),#REF!)</f>
        <v>#REF!</v>
      </c>
      <c r="AN14" s="57" t="e">
        <f>IF(AND(#REF!=AN$2,#REF!&lt;&gt;""),#REF!) + IF(AND(#REF!=AN$2,#REF!&lt;&gt;""),#REF!) + IF(AND(#REF!=AN$2,#REF!&lt;&gt;""),#REF!)</f>
        <v>#REF!</v>
      </c>
      <c r="AO14" s="57" t="e">
        <f>IF(AND(#REF!=AO$2,#REF!&lt;&gt;""),#REF!) + IF(AND(#REF!=AO$2,#REF!&lt;&gt;""),#REF!) + IF(AND(#REF!=AO$2,#REF!&lt;&gt;""),#REF!)</f>
        <v>#REF!</v>
      </c>
      <c r="AP14" s="57" t="e">
        <f>IF(AND(#REF!=AP$2,#REF!&lt;&gt;""),#REF!) + IF(AND(#REF!=AP$2,#REF!&lt;&gt;""),#REF!) + IF(AND(#REF!=AP$2,#REF!&lt;&gt;""),#REF!)</f>
        <v>#REF!</v>
      </c>
      <c r="AQ14" s="134"/>
      <c r="AR14" s="57" t="e">
        <f>IF(#REF!=AR$2,IF(#REF!=$Y$2,#REF!*plat_invest)) + IF(#REF!=AR$2,IF(#REF!=$Y$2,#REF!*plat_invest)) + IF(#REF!=AR$2,IF(#REF!=$Y$2,#REF!*plat_invest))</f>
        <v>#REF!</v>
      </c>
      <c r="AS14" s="57" t="e">
        <f>IF(#REF!=AS$2,IF(#REF!=$Y$2,#REF!*lumber_invest)) + IF(#REF!=AS$2,IF(#REF!=$Y$2,#REF!*lumber_invest)) + IF(#REF!=AS$2,IF(#REF!=$Y$2,#REF!*lumber_invest))</f>
        <v>#REF!</v>
      </c>
      <c r="AT14" s="57" t="e">
        <f>IF(#REF!=AT$2,IF(#REF!=$Y$2,#REF!*ore_invest)) + IF(#REF!=AT$2,IF(#REF!=$Y$2,#REF!*ore_invest)) + IF(#REF!=AT$2,IF(#REF!=$Y$2,#REF!*ore_invest))</f>
        <v>#REF!</v>
      </c>
      <c r="AU14" s="57" t="e">
        <f>IF(#REF!=AU$2,IF(#REF!=$Y$2,#REF!*gem_invest)) + IF(#REF!=AU$2,IF(#REF!=$Y$2,#REF!*gem_invest)) + IF(#REF!=AU$2,IF(#REF!=$Y$2,#REF!*gem_invest))</f>
        <v>#REF!</v>
      </c>
      <c r="AV14" s="134"/>
      <c r="AW14" s="57" t="e">
        <f>IF(#REF!=AW$2,IF(#REF!=$Z$2,#REF!*plat_invest)) + IF(#REF!=AW$2,IF(#REF!=$Z$2,#REF!*plat_invest)) + IF(#REF!=AW$2,IF(#REF!=$Z$2,#REF!*plat_invest))</f>
        <v>#REF!</v>
      </c>
      <c r="AX14" s="57" t="e">
        <f>IF(#REF!=AX$2,IF(#REF!=$Z$2,#REF!*lumber_invest)) + IF(#REF!=AX$2,IF(#REF!=$Z$2,#REF!*lumber_invest)) + IF(#REF!=AX$2,IF(#REF!=$Z$2,#REF!*lumber_invest))</f>
        <v>#REF!</v>
      </c>
      <c r="AY14" s="57" t="e">
        <f>IF(#REF!=AY$2,IF(#REF!=$Z$2,#REF!*ore_invest)) + IF(#REF!=AY$2,IF(#REF!=$Z$2,#REF!*ore_invest)) + IF(#REF!=AY$2,IF(#REF!=$Z$2,#REF!*ore_invest))</f>
        <v>#REF!</v>
      </c>
      <c r="AZ14" s="57" t="e">
        <f>IF(#REF!=AZ$2,IF(#REF!=$Z$2,#REF!*gem_invest)) + IF(#REF!=AZ$2,IF(#REF!=$Z$2,#REF!*gem_invest)) + IF(#REF!=AZ$2,IF(#REF!=$Z$2,#REF!*gem_invest))</f>
        <v>#REF!</v>
      </c>
      <c r="BA14" s="134"/>
      <c r="BB14" s="57" t="e">
        <f>IF(#REF!=BB$2,IF(#REF!=$AA$2,#REF!*plat_invest)) + IF(#REF!=BB$2,IF(#REF!=$AA$2,#REF!*plat_invest)) + IF(#REF!=BB$2,IF(#REF!=$AA$2,#REF!*plat_invest))</f>
        <v>#REF!</v>
      </c>
      <c r="BC14" s="57" t="e">
        <f>IF(#REF!=BC$2,IF(#REF!=$AA$2,#REF!*lumber_invest)) + IF(#REF!=BC$2,IF(#REF!=$AA$2,#REF!*lumber_invest)) + IF(#REF!=BC$2,IF(#REF!=$AA$2,#REF!*lumber_invest))</f>
        <v>#REF!</v>
      </c>
      <c r="BD14" s="57" t="e">
        <f>IF(#REF!=BD$2,IF(#REF!=$AA$2,#REF!*ore_invest)) + IF(#REF!=BD$2,IF(#REF!=$AA$2,#REF!*ore_invest)) + IF(#REF!=BD$2,IF(#REF!=$AA$2,#REF!*ore_invest))</f>
        <v>#REF!</v>
      </c>
      <c r="BE14" s="57" t="e">
        <f>IF(#REF!=BE$2,IF(#REF!=$AA$2,#REF!*gem_invest)) + IF(#REF!=BE$2,IF(#REF!=$AA$2,#REF!*gem_invest)) + IF(#REF!=BE$2,IF(#REF!=$AA$2,#REF!*gem_invest))</f>
        <v>#REF!</v>
      </c>
      <c r="BF14" s="134"/>
      <c r="BG14" s="57" t="e">
        <f>IF(#REF!=BG$2,IF(#REF!=$AB$2,#REF!*plat_invest)) + IF(#REF!=BG$2,IF(#REF!=$AB$2,#REF!*plat_invest)) + IF(#REF!=BG$2,IF(#REF!=$AB$2,#REF!*plat_invest))</f>
        <v>#REF!</v>
      </c>
      <c r="BH14" s="57" t="e">
        <f>IF(#REF!=BH$2,IF(#REF!=$AB$2,#REF!*lumber_invest)) + IF(#REF!=BH$2,IF(#REF!=$AB$2,#REF!*lumber_invest)) + IF(#REF!=BH$2,IF(#REF!=$AB$2,#REF!*lumber_invest))</f>
        <v>#REF!</v>
      </c>
      <c r="BI14" s="57" t="e">
        <f>IF(#REF!=BI$2,IF(#REF!=$AB$2,#REF!*ore_invest)) + IF(#REF!=BI$2,IF(#REF!=$AB$2,#REF!*ore_invest)) + IF(#REF!=BI$2,IF(#REF!=$AB$2,#REF!*ore_invest))</f>
        <v>#REF!</v>
      </c>
      <c r="BJ14" s="57" t="e">
        <f>IF(#REF!=BJ$2,IF(#REF!=$AB$2,#REF!*gem_invest)) + IF(#REF!=BJ$2,IF(#REF!=$AB$2,#REF!*gem_invest)) + IF(#REF!=BJ$2,IF(#REF!=$AB$2,#REF!*gem_invest))</f>
        <v>#REF!</v>
      </c>
      <c r="BK14" s="134"/>
      <c r="BL14" s="57" t="e">
        <f>IF(#REF!=BL$2,IF(#REF!=$AC$2,#REF!*plat_invest)) + IF(#REF!=BL$2,IF(#REF!=$AC$2,#REF!*plat_invest)) + IF(#REF!=BL$2,IF(#REF!=$AC$2,#REF!*plat_invest))</f>
        <v>#REF!</v>
      </c>
      <c r="BM14" s="57" t="e">
        <f>IF(#REF!=BM$2,IF(#REF!=$AC$2,#REF!*lumber_invest)) + IF(#REF!=BM$2,IF(#REF!=$AC$2,#REF!*lumber_invest)) + IF(#REF!=BM$2,IF(#REF!=$AC$2,#REF!*lumber_invest))</f>
        <v>#REF!</v>
      </c>
      <c r="BN14" s="57" t="e">
        <f>IF(#REF!=BN$2,IF(#REF!=$AC$2,#REF!*ore_invest)) + IF(#REF!=BN$2,IF(#REF!=$AC$2,#REF!*ore_invest)) + IF(#REF!=BN$2,IF(#REF!=$AC$2,#REF!*ore_invest))</f>
        <v>#REF!</v>
      </c>
      <c r="BO14" s="57" t="e">
        <f>IF(#REF!=BO$2,IF(#REF!=$AC$2,#REF!*gem_invest)) + IF(#REF!=BO$2,IF(#REF!=$AC$2,#REF!*gem_invest)) + IF(#REF!=BO$2,IF(#REF!=$AC$2,#REF!*gem_invest))</f>
        <v>#REF!</v>
      </c>
      <c r="BP14" s="134"/>
      <c r="BQ14" s="57" t="e">
        <f>IF(#REF!=BQ$2,IF(#REF!=$AD$2,#REF!*plat_invest)) + IF(#REF!=BQ$2,IF(#REF!=$AD$2,#REF!*plat_invest)) + IF(#REF!=BQ$2,IF(#REF!=$AD$2,#REF!*plat_invest))</f>
        <v>#REF!</v>
      </c>
      <c r="BR14" s="57" t="e">
        <f>IF(#REF!=BR$2,IF(#REF!=$AD$2,#REF!*lumber_invest)) + IF(#REF!=BR$2,IF(#REF!=$AD$2,#REF!*lumber_invest)) + IF(#REF!=BR$2,IF(#REF!=$AD$2,#REF!*lumber_invest))</f>
        <v>#REF!</v>
      </c>
      <c r="BS14" s="57" t="e">
        <f>IF(#REF!=BS$2,IF(#REF!=$AD$2,#REF!*ore_invest)) + IF(#REF!=BS$2,IF(#REF!=$AD$2,#REF!*ore_invest)) + IF(#REF!=BS$2,IF(#REF!=$AD$2,#REF!*ore_invest))</f>
        <v>#REF!</v>
      </c>
      <c r="BT14" s="57" t="e">
        <f>IF(#REF!=BT$2,IF(#REF!=$AD$2,#REF!*gem_invest)) + IF(#REF!=BT$2,IF(#REF!=$AD$2,#REF!*gem_invest)) + IF(#REF!=BT$2,IF(#REF!=$AD$2,#REF!*gem_invest))</f>
        <v>#REF!</v>
      </c>
      <c r="BU14" s="134"/>
      <c r="BV14" s="3" t="e">
        <f>OR(#REF!,#REF!,#REF!,#REF!,#REF!,#REF!,#REF!,#REF!,#REF!)</f>
        <v>#REF!</v>
      </c>
      <c r="BW14" s="61" t="e">
        <f>#REF!</f>
        <v>#REF!</v>
      </c>
      <c r="BX14" s="130"/>
      <c r="BY14" s="284" t="e">
        <f ca="1">OFFSET(#REF!,-1,0)+1/24</f>
        <v>#REF!</v>
      </c>
      <c r="BZ14" s="285" t="e">
        <f ca="1">OFFSET(#REF!,-1,0)+1/24</f>
        <v>#REF!</v>
      </c>
      <c r="CA14" s="57"/>
      <c r="CB14" s="283"/>
      <c r="CC14" s="283"/>
    </row>
    <row r="15" spans="1:84" x14ac:dyDescent="0.25">
      <c r="A15" s="206" t="e">
        <f>#REF!</f>
        <v>#REF!</v>
      </c>
      <c r="B15" s="134"/>
      <c r="C15" s="39" t="e">
        <f>#REF!</f>
        <v>#REF!</v>
      </c>
      <c r="D15" s="39" t="e">
        <f>#REF!</f>
        <v>#REF!</v>
      </c>
      <c r="E15" s="39" t="e">
        <f>#REF!</f>
        <v>#REF!</v>
      </c>
      <c r="F15" s="39" t="e">
        <f>#REF!</f>
        <v>#REF!</v>
      </c>
      <c r="G15" s="133"/>
      <c r="H15" s="39" t="e">
        <f>#REF!</f>
        <v>#REF!</v>
      </c>
      <c r="I15" s="132" t="e">
        <f>#REF!</f>
        <v>#REF!</v>
      </c>
      <c r="J15" s="132" t="e">
        <f>#REF!/#REF!</f>
        <v>#REF!</v>
      </c>
      <c r="K15" s="160" t="e">
        <f>#REF!</f>
        <v>#REF!</v>
      </c>
      <c r="L15" s="276" t="e">
        <f>#REF!</f>
        <v>#REF!</v>
      </c>
      <c r="M15" s="61">
        <f>IF(ISERROR(#REF!),0,#REF!*1)</f>
        <v>0</v>
      </c>
      <c r="N15" s="39" t="e">
        <f>#REF!</f>
        <v>#REF!</v>
      </c>
      <c r="O15" s="277" t="s">
        <v>4</v>
      </c>
      <c r="P15" s="278"/>
      <c r="Q15" s="277" t="s">
        <v>211</v>
      </c>
      <c r="R15" s="277" t="s">
        <v>7</v>
      </c>
      <c r="S15" s="278"/>
      <c r="T15" s="277" t="s">
        <v>211</v>
      </c>
      <c r="U15" s="277" t="s">
        <v>3</v>
      </c>
      <c r="V15" s="278"/>
      <c r="W15" s="277" t="s">
        <v>211</v>
      </c>
      <c r="X15" s="134"/>
      <c r="Y15" s="209" t="e">
        <f ca="1">science_cap*(1-EXP(-#REF!/(science_param*(OFFSET(#REF!,1,0)-OFFSET(#REF!,1,0)*20)+15000)))*(1+(mason_bonus*#REF!/#REF!))</f>
        <v>#REF!</v>
      </c>
      <c r="Z15" s="209" t="e">
        <f ca="1">keep_cap*(1-EXP(-#REF!/(keep_param*(OFFSET(#REF!,1,0)-OFFSET(#REF!,1,0)*20)+15000)))*(1+(mason_bonus*#REF!/#REF!))</f>
        <v>#REF!</v>
      </c>
      <c r="AA15" s="209" t="e">
        <f ca="1">harbor_towers_cap*(1-EXP(-#REF!/(towers_param*(OFFSET(#REF!,1,0)-OFFSET(#REF!,1,0)*20)+15000)))*(1+(mason_bonus*#REF!/#REF!))</f>
        <v>#REF!</v>
      </c>
      <c r="AB15" s="209" t="e">
        <f ca="1">walls_forges_cap*(1-EXP(-#REF!/(walls_forges_param*(OFFSET(#REF!,1,0)-OFFSET(#REF!,1,0)*20)+15000)))*(1+(mason_bonus*#REF!/#REF!))</f>
        <v>#REF!</v>
      </c>
      <c r="AC15" s="209" t="e">
        <f ca="1">walls_forges_cap*(1-EXP(-#REF!/(walls_forges_param*(OFFSET(#REF!,1,0)-OFFSET(#REF!,1,0)*20)+15000)))*(1+(mason_bonus*#REF!/#REF!))</f>
        <v>#REF!</v>
      </c>
      <c r="AD15" s="209" t="e">
        <f ca="1">harbor_towers_cap*(1-EXP(-#REF!/(harbor_towers_param*(OFFSET(#REF!,1,0)-OFFSET(#REF!,1,0)*20)+15000)))*(1+(mason_bonus*#REF!/#REF!))</f>
        <v>#REF!</v>
      </c>
      <c r="AE15" s="134"/>
      <c r="AF15" s="61" t="e">
        <f ca="1">(1+Overview!$I$28)*SUM(#REF!)+OFFSET(#REF!,-1,0)</f>
        <v>#REF!</v>
      </c>
      <c r="AG15" s="61" t="e">
        <f ca="1">(1+Overview!$I$28)*SUM(#REF!)+OFFSET(#REF!,-1,0)</f>
        <v>#REF!</v>
      </c>
      <c r="AH15" s="61" t="e">
        <f ca="1">(1+Overview!$I$28 + tech_7_1*#REF!)*SUM(#REF!)+OFFSET(#REF!,-1,0)</f>
        <v>#REF!</v>
      </c>
      <c r="AI15" s="61" t="e">
        <f ca="1">(1+Overview!$I$28)*SUM(#REF!)+OFFSET(#REF!,-1,0)</f>
        <v>#REF!</v>
      </c>
      <c r="AJ15" s="61" t="e">
        <f ca="1">(1+Overview!$I$28)*SUM(#REF!)+OFFSET(#REF!,-1,0)</f>
        <v>#REF!</v>
      </c>
      <c r="AK15" s="61" t="e">
        <f ca="1">(1+Overview!$I$28 + tech_7_1*#REF!)*SUM(#REF!)+OFFSET(#REF!,-1,0)</f>
        <v>#REF!</v>
      </c>
      <c r="AL15" s="134"/>
      <c r="AM15" s="57" t="e">
        <f>IF(AND(#REF!=AM$2,#REF!&lt;&gt;""),#REF!) + IF(AND(#REF!=AM$2,#REF!&lt;&gt;""),#REF!) + IF(AND(#REF!=AM$2,#REF!&lt;&gt;""),#REF!)</f>
        <v>#REF!</v>
      </c>
      <c r="AN15" s="57" t="e">
        <f>IF(AND(#REF!=AN$2,#REF!&lt;&gt;""),#REF!) + IF(AND(#REF!=AN$2,#REF!&lt;&gt;""),#REF!) + IF(AND(#REF!=AN$2,#REF!&lt;&gt;""),#REF!)</f>
        <v>#REF!</v>
      </c>
      <c r="AO15" s="57" t="e">
        <f>IF(AND(#REF!=AO$2,#REF!&lt;&gt;""),#REF!) + IF(AND(#REF!=AO$2,#REF!&lt;&gt;""),#REF!) + IF(AND(#REF!=AO$2,#REF!&lt;&gt;""),#REF!)</f>
        <v>#REF!</v>
      </c>
      <c r="AP15" s="57" t="e">
        <f>IF(AND(#REF!=AP$2,#REF!&lt;&gt;""),#REF!) + IF(AND(#REF!=AP$2,#REF!&lt;&gt;""),#REF!) + IF(AND(#REF!=AP$2,#REF!&lt;&gt;""),#REF!)</f>
        <v>#REF!</v>
      </c>
      <c r="AQ15" s="134"/>
      <c r="AR15" s="57" t="e">
        <f>IF(#REF!=AR$2,IF(#REF!=$Y$2,#REF!*plat_invest)) + IF(#REF!=AR$2,IF(#REF!=$Y$2,#REF!*plat_invest)) + IF(#REF!=AR$2,IF(#REF!=$Y$2,#REF!*plat_invest))</f>
        <v>#REF!</v>
      </c>
      <c r="AS15" s="57" t="e">
        <f>IF(#REF!=AS$2,IF(#REF!=$Y$2,#REF!*lumber_invest)) + IF(#REF!=AS$2,IF(#REF!=$Y$2,#REF!*lumber_invest)) + IF(#REF!=AS$2,IF(#REF!=$Y$2,#REF!*lumber_invest))</f>
        <v>#REF!</v>
      </c>
      <c r="AT15" s="57" t="e">
        <f>IF(#REF!=AT$2,IF(#REF!=$Y$2,#REF!*ore_invest)) + IF(#REF!=AT$2,IF(#REF!=$Y$2,#REF!*ore_invest)) + IF(#REF!=AT$2,IF(#REF!=$Y$2,#REF!*ore_invest))</f>
        <v>#REF!</v>
      </c>
      <c r="AU15" s="57" t="e">
        <f>IF(#REF!=AU$2,IF(#REF!=$Y$2,#REF!*gem_invest)) + IF(#REF!=AU$2,IF(#REF!=$Y$2,#REF!*gem_invest)) + IF(#REF!=AU$2,IF(#REF!=$Y$2,#REF!*gem_invest))</f>
        <v>#REF!</v>
      </c>
      <c r="AV15" s="134"/>
      <c r="AW15" s="57" t="e">
        <f>IF(#REF!=AW$2,IF(#REF!=$Z$2,#REF!*plat_invest)) + IF(#REF!=AW$2,IF(#REF!=$Z$2,#REF!*plat_invest)) + IF(#REF!=AW$2,IF(#REF!=$Z$2,#REF!*plat_invest))</f>
        <v>#REF!</v>
      </c>
      <c r="AX15" s="57" t="e">
        <f>IF(#REF!=AX$2,IF(#REF!=$Z$2,#REF!*lumber_invest)) + IF(#REF!=AX$2,IF(#REF!=$Z$2,#REF!*lumber_invest)) + IF(#REF!=AX$2,IF(#REF!=$Z$2,#REF!*lumber_invest))</f>
        <v>#REF!</v>
      </c>
      <c r="AY15" s="57" t="e">
        <f>IF(#REF!=AY$2,IF(#REF!=$Z$2,#REF!*ore_invest)) + IF(#REF!=AY$2,IF(#REF!=$Z$2,#REF!*ore_invest)) + IF(#REF!=AY$2,IF(#REF!=$Z$2,#REF!*ore_invest))</f>
        <v>#REF!</v>
      </c>
      <c r="AZ15" s="57" t="e">
        <f>IF(#REF!=AZ$2,IF(#REF!=$Z$2,#REF!*gem_invest)) + IF(#REF!=AZ$2,IF(#REF!=$Z$2,#REF!*gem_invest)) + IF(#REF!=AZ$2,IF(#REF!=$Z$2,#REF!*gem_invest))</f>
        <v>#REF!</v>
      </c>
      <c r="BA15" s="134"/>
      <c r="BB15" s="57" t="e">
        <f>IF(#REF!=BB$2,IF(#REF!=$AA$2,#REF!*plat_invest)) + IF(#REF!=BB$2,IF(#REF!=$AA$2,#REF!*plat_invest)) + IF(#REF!=BB$2,IF(#REF!=$AA$2,#REF!*plat_invest))</f>
        <v>#REF!</v>
      </c>
      <c r="BC15" s="57" t="e">
        <f>IF(#REF!=BC$2,IF(#REF!=$AA$2,#REF!*lumber_invest)) + IF(#REF!=BC$2,IF(#REF!=$AA$2,#REF!*lumber_invest)) + IF(#REF!=BC$2,IF(#REF!=$AA$2,#REF!*lumber_invest))</f>
        <v>#REF!</v>
      </c>
      <c r="BD15" s="57" t="e">
        <f>IF(#REF!=BD$2,IF(#REF!=$AA$2,#REF!*ore_invest)) + IF(#REF!=BD$2,IF(#REF!=$AA$2,#REF!*ore_invest)) + IF(#REF!=BD$2,IF(#REF!=$AA$2,#REF!*ore_invest))</f>
        <v>#REF!</v>
      </c>
      <c r="BE15" s="57" t="e">
        <f>IF(#REF!=BE$2,IF(#REF!=$AA$2,#REF!*gem_invest)) + IF(#REF!=BE$2,IF(#REF!=$AA$2,#REF!*gem_invest)) + IF(#REF!=BE$2,IF(#REF!=$AA$2,#REF!*gem_invest))</f>
        <v>#REF!</v>
      </c>
      <c r="BF15" s="134"/>
      <c r="BG15" s="57" t="e">
        <f>IF(#REF!=BG$2,IF(#REF!=$AB$2,#REF!*plat_invest)) + IF(#REF!=BG$2,IF(#REF!=$AB$2,#REF!*plat_invest)) + IF(#REF!=BG$2,IF(#REF!=$AB$2,#REF!*plat_invest))</f>
        <v>#REF!</v>
      </c>
      <c r="BH15" s="57" t="e">
        <f>IF(#REF!=BH$2,IF(#REF!=$AB$2,#REF!*lumber_invest)) + IF(#REF!=BH$2,IF(#REF!=$AB$2,#REF!*lumber_invest)) + IF(#REF!=BH$2,IF(#REF!=$AB$2,#REF!*lumber_invest))</f>
        <v>#REF!</v>
      </c>
      <c r="BI15" s="57" t="e">
        <f>IF(#REF!=BI$2,IF(#REF!=$AB$2,#REF!*ore_invest)) + IF(#REF!=BI$2,IF(#REF!=$AB$2,#REF!*ore_invest)) + IF(#REF!=BI$2,IF(#REF!=$AB$2,#REF!*ore_invest))</f>
        <v>#REF!</v>
      </c>
      <c r="BJ15" s="57" t="e">
        <f>IF(#REF!=BJ$2,IF(#REF!=$AB$2,#REF!*gem_invest)) + IF(#REF!=BJ$2,IF(#REF!=$AB$2,#REF!*gem_invest)) + IF(#REF!=BJ$2,IF(#REF!=$AB$2,#REF!*gem_invest))</f>
        <v>#REF!</v>
      </c>
      <c r="BK15" s="134"/>
      <c r="BL15" s="57" t="e">
        <f>IF(#REF!=BL$2,IF(#REF!=$AC$2,#REF!*plat_invest)) + IF(#REF!=BL$2,IF(#REF!=$AC$2,#REF!*plat_invest)) + IF(#REF!=BL$2,IF(#REF!=$AC$2,#REF!*plat_invest))</f>
        <v>#REF!</v>
      </c>
      <c r="BM15" s="57" t="e">
        <f>IF(#REF!=BM$2,IF(#REF!=$AC$2,#REF!*lumber_invest)) + IF(#REF!=BM$2,IF(#REF!=$AC$2,#REF!*lumber_invest)) + IF(#REF!=BM$2,IF(#REF!=$AC$2,#REF!*lumber_invest))</f>
        <v>#REF!</v>
      </c>
      <c r="BN15" s="57" t="e">
        <f>IF(#REF!=BN$2,IF(#REF!=$AC$2,#REF!*ore_invest)) + IF(#REF!=BN$2,IF(#REF!=$AC$2,#REF!*ore_invest)) + IF(#REF!=BN$2,IF(#REF!=$AC$2,#REF!*ore_invest))</f>
        <v>#REF!</v>
      </c>
      <c r="BO15" s="57" t="e">
        <f>IF(#REF!=BO$2,IF(#REF!=$AC$2,#REF!*gem_invest)) + IF(#REF!=BO$2,IF(#REF!=$AC$2,#REF!*gem_invest)) + IF(#REF!=BO$2,IF(#REF!=$AC$2,#REF!*gem_invest))</f>
        <v>#REF!</v>
      </c>
      <c r="BP15" s="134"/>
      <c r="BQ15" s="57" t="e">
        <f>IF(#REF!=BQ$2,IF(#REF!=$AD$2,#REF!*plat_invest)) + IF(#REF!=BQ$2,IF(#REF!=$AD$2,#REF!*plat_invest)) + IF(#REF!=BQ$2,IF(#REF!=$AD$2,#REF!*plat_invest))</f>
        <v>#REF!</v>
      </c>
      <c r="BR15" s="57" t="e">
        <f>IF(#REF!=BR$2,IF(#REF!=$AD$2,#REF!*lumber_invest)) + IF(#REF!=BR$2,IF(#REF!=$AD$2,#REF!*lumber_invest)) + IF(#REF!=BR$2,IF(#REF!=$AD$2,#REF!*lumber_invest))</f>
        <v>#REF!</v>
      </c>
      <c r="BS15" s="57" t="e">
        <f>IF(#REF!=BS$2,IF(#REF!=$AD$2,#REF!*ore_invest)) + IF(#REF!=BS$2,IF(#REF!=$AD$2,#REF!*ore_invest)) + IF(#REF!=BS$2,IF(#REF!=$AD$2,#REF!*ore_invest))</f>
        <v>#REF!</v>
      </c>
      <c r="BT15" s="57" t="e">
        <f>IF(#REF!=BT$2,IF(#REF!=$AD$2,#REF!*gem_invest)) + IF(#REF!=BT$2,IF(#REF!=$AD$2,#REF!*gem_invest)) + IF(#REF!=BT$2,IF(#REF!=$AD$2,#REF!*gem_invest))</f>
        <v>#REF!</v>
      </c>
      <c r="BU15" s="134"/>
      <c r="BV15" s="3" t="e">
        <f>OR(#REF!,#REF!,#REF!,#REF!,#REF!,#REF!,#REF!,#REF!,#REF!)</f>
        <v>#REF!</v>
      </c>
      <c r="BW15" s="61" t="e">
        <f>#REF!</f>
        <v>#REF!</v>
      </c>
      <c r="BX15" s="130"/>
      <c r="BY15" s="284" t="e">
        <f ca="1">OFFSET(#REF!,-1,0)+1/24</f>
        <v>#REF!</v>
      </c>
      <c r="BZ15" s="285" t="e">
        <f ca="1">OFFSET(#REF!,-1,0)+1/24</f>
        <v>#REF!</v>
      </c>
      <c r="CA15" s="57"/>
      <c r="CB15" s="283"/>
      <c r="CC15" s="283"/>
    </row>
    <row r="16" spans="1:84" x14ac:dyDescent="0.25">
      <c r="A16" s="206" t="e">
        <f>#REF!</f>
        <v>#REF!</v>
      </c>
      <c r="B16" s="134"/>
      <c r="C16" s="39" t="e">
        <f>#REF!</f>
        <v>#REF!</v>
      </c>
      <c r="D16" s="39" t="e">
        <f>#REF!</f>
        <v>#REF!</v>
      </c>
      <c r="E16" s="39" t="e">
        <f>#REF!</f>
        <v>#REF!</v>
      </c>
      <c r="F16" s="39" t="e">
        <f>#REF!</f>
        <v>#REF!</v>
      </c>
      <c r="G16" s="133"/>
      <c r="H16" s="39" t="e">
        <f>#REF!</f>
        <v>#REF!</v>
      </c>
      <c r="I16" s="132" t="e">
        <f>#REF!</f>
        <v>#REF!</v>
      </c>
      <c r="J16" s="132" t="e">
        <f>#REF!/#REF!</f>
        <v>#REF!</v>
      </c>
      <c r="K16" s="160" t="e">
        <f>#REF!</f>
        <v>#REF!</v>
      </c>
      <c r="L16" s="276" t="e">
        <f>#REF!</f>
        <v>#REF!</v>
      </c>
      <c r="M16" s="61">
        <f>IF(ISERROR(#REF!),0,#REF!*1)</f>
        <v>0</v>
      </c>
      <c r="N16" s="39" t="e">
        <f>#REF!</f>
        <v>#REF!</v>
      </c>
      <c r="O16" s="277" t="s">
        <v>4</v>
      </c>
      <c r="P16" s="278"/>
      <c r="Q16" s="277" t="s">
        <v>211</v>
      </c>
      <c r="R16" s="277" t="s">
        <v>7</v>
      </c>
      <c r="S16" s="278"/>
      <c r="T16" s="277" t="s">
        <v>211</v>
      </c>
      <c r="U16" s="277" t="s">
        <v>3</v>
      </c>
      <c r="V16" s="278"/>
      <c r="W16" s="277" t="s">
        <v>211</v>
      </c>
      <c r="X16" s="134"/>
      <c r="Y16" s="209" t="e">
        <f ca="1">science_cap*(1-EXP(-#REF!/(science_param*(OFFSET(#REF!,1,0)-OFFSET(#REF!,1,0)*20)+15000)))*(1+(mason_bonus*#REF!/#REF!))</f>
        <v>#REF!</v>
      </c>
      <c r="Z16" s="209" t="e">
        <f ca="1">keep_cap*(1-EXP(-#REF!/(keep_param*(OFFSET(#REF!,1,0)-OFFSET(#REF!,1,0)*20)+15000)))*(1+(mason_bonus*#REF!/#REF!))</f>
        <v>#REF!</v>
      </c>
      <c r="AA16" s="209" t="e">
        <f ca="1">harbor_towers_cap*(1-EXP(-#REF!/(towers_param*(OFFSET(#REF!,1,0)-OFFSET(#REF!,1,0)*20)+15000)))*(1+(mason_bonus*#REF!/#REF!))</f>
        <v>#REF!</v>
      </c>
      <c r="AB16" s="209" t="e">
        <f ca="1">walls_forges_cap*(1-EXP(-#REF!/(walls_forges_param*(OFFSET(#REF!,1,0)-OFFSET(#REF!,1,0)*20)+15000)))*(1+(mason_bonus*#REF!/#REF!))</f>
        <v>#REF!</v>
      </c>
      <c r="AC16" s="209" t="e">
        <f ca="1">walls_forges_cap*(1-EXP(-#REF!/(walls_forges_param*(OFFSET(#REF!,1,0)-OFFSET(#REF!,1,0)*20)+15000)))*(1+(mason_bonus*#REF!/#REF!))</f>
        <v>#REF!</v>
      </c>
      <c r="AD16" s="209" t="e">
        <f ca="1">harbor_towers_cap*(1-EXP(-#REF!/(harbor_towers_param*(OFFSET(#REF!,1,0)-OFFSET(#REF!,1,0)*20)+15000)))*(1+(mason_bonus*#REF!/#REF!))</f>
        <v>#REF!</v>
      </c>
      <c r="AE16" s="134"/>
      <c r="AF16" s="61" t="e">
        <f ca="1">(1+Overview!$I$28)*SUM(#REF!)+OFFSET(#REF!,-1,0)</f>
        <v>#REF!</v>
      </c>
      <c r="AG16" s="61" t="e">
        <f ca="1">(1+Overview!$I$28)*SUM(#REF!)+OFFSET(#REF!,-1,0)</f>
        <v>#REF!</v>
      </c>
      <c r="AH16" s="61" t="e">
        <f ca="1">(1+Overview!$I$28 + tech_7_1*#REF!)*SUM(#REF!)+OFFSET(#REF!,-1,0)</f>
        <v>#REF!</v>
      </c>
      <c r="AI16" s="61" t="e">
        <f ca="1">(1+Overview!$I$28)*SUM(#REF!)+OFFSET(#REF!,-1,0)</f>
        <v>#REF!</v>
      </c>
      <c r="AJ16" s="61" t="e">
        <f ca="1">(1+Overview!$I$28)*SUM(#REF!)+OFFSET(#REF!,-1,0)</f>
        <v>#REF!</v>
      </c>
      <c r="AK16" s="61" t="e">
        <f ca="1">(1+Overview!$I$28 + tech_7_1*#REF!)*SUM(#REF!)+OFFSET(#REF!,-1,0)</f>
        <v>#REF!</v>
      </c>
      <c r="AL16" s="134"/>
      <c r="AM16" s="57" t="e">
        <f>IF(AND(#REF!=AM$2,#REF!&lt;&gt;""),#REF!) + IF(AND(#REF!=AM$2,#REF!&lt;&gt;""),#REF!) + IF(AND(#REF!=AM$2,#REF!&lt;&gt;""),#REF!)</f>
        <v>#REF!</v>
      </c>
      <c r="AN16" s="57" t="e">
        <f>IF(AND(#REF!=AN$2,#REF!&lt;&gt;""),#REF!) + IF(AND(#REF!=AN$2,#REF!&lt;&gt;""),#REF!) + IF(AND(#REF!=AN$2,#REF!&lt;&gt;""),#REF!)</f>
        <v>#REF!</v>
      </c>
      <c r="AO16" s="57" t="e">
        <f>IF(AND(#REF!=AO$2,#REF!&lt;&gt;""),#REF!) + IF(AND(#REF!=AO$2,#REF!&lt;&gt;""),#REF!) + IF(AND(#REF!=AO$2,#REF!&lt;&gt;""),#REF!)</f>
        <v>#REF!</v>
      </c>
      <c r="AP16" s="57" t="e">
        <f>IF(AND(#REF!=AP$2,#REF!&lt;&gt;""),#REF!) + IF(AND(#REF!=AP$2,#REF!&lt;&gt;""),#REF!) + IF(AND(#REF!=AP$2,#REF!&lt;&gt;""),#REF!)</f>
        <v>#REF!</v>
      </c>
      <c r="AQ16" s="134"/>
      <c r="AR16" s="57" t="e">
        <f>IF(#REF!=AR$2,IF(#REF!=$Y$2,#REF!*plat_invest)) + IF(#REF!=AR$2,IF(#REF!=$Y$2,#REF!*plat_invest)) + IF(#REF!=AR$2,IF(#REF!=$Y$2,#REF!*plat_invest))</f>
        <v>#REF!</v>
      </c>
      <c r="AS16" s="57" t="e">
        <f>IF(#REF!=AS$2,IF(#REF!=$Y$2,#REF!*lumber_invest)) + IF(#REF!=AS$2,IF(#REF!=$Y$2,#REF!*lumber_invest)) + IF(#REF!=AS$2,IF(#REF!=$Y$2,#REF!*lumber_invest))</f>
        <v>#REF!</v>
      </c>
      <c r="AT16" s="57" t="e">
        <f>IF(#REF!=AT$2,IF(#REF!=$Y$2,#REF!*ore_invest)) + IF(#REF!=AT$2,IF(#REF!=$Y$2,#REF!*ore_invest)) + IF(#REF!=AT$2,IF(#REF!=$Y$2,#REF!*ore_invest))</f>
        <v>#REF!</v>
      </c>
      <c r="AU16" s="57" t="e">
        <f>IF(#REF!=AU$2,IF(#REF!=$Y$2,#REF!*gem_invest)) + IF(#REF!=AU$2,IF(#REF!=$Y$2,#REF!*gem_invest)) + IF(#REF!=AU$2,IF(#REF!=$Y$2,#REF!*gem_invest))</f>
        <v>#REF!</v>
      </c>
      <c r="AV16" s="134"/>
      <c r="AW16" s="57" t="e">
        <f>IF(#REF!=AW$2,IF(#REF!=$Z$2,#REF!*plat_invest)) + IF(#REF!=AW$2,IF(#REF!=$Z$2,#REF!*plat_invest)) + IF(#REF!=AW$2,IF(#REF!=$Z$2,#REF!*plat_invest))</f>
        <v>#REF!</v>
      </c>
      <c r="AX16" s="57" t="e">
        <f>IF(#REF!=AX$2,IF(#REF!=$Z$2,#REF!*lumber_invest)) + IF(#REF!=AX$2,IF(#REF!=$Z$2,#REF!*lumber_invest)) + IF(#REF!=AX$2,IF(#REF!=$Z$2,#REF!*lumber_invest))</f>
        <v>#REF!</v>
      </c>
      <c r="AY16" s="57" t="e">
        <f>IF(#REF!=AY$2,IF(#REF!=$Z$2,#REF!*ore_invest)) + IF(#REF!=AY$2,IF(#REF!=$Z$2,#REF!*ore_invest)) + IF(#REF!=AY$2,IF(#REF!=$Z$2,#REF!*ore_invest))</f>
        <v>#REF!</v>
      </c>
      <c r="AZ16" s="57" t="e">
        <f>IF(#REF!=AZ$2,IF(#REF!=$Z$2,#REF!*gem_invest)) + IF(#REF!=AZ$2,IF(#REF!=$Z$2,#REF!*gem_invest)) + IF(#REF!=AZ$2,IF(#REF!=$Z$2,#REF!*gem_invest))</f>
        <v>#REF!</v>
      </c>
      <c r="BA16" s="134"/>
      <c r="BB16" s="57" t="e">
        <f>IF(#REF!=BB$2,IF(#REF!=$AA$2,#REF!*plat_invest)) + IF(#REF!=BB$2,IF(#REF!=$AA$2,#REF!*plat_invest)) + IF(#REF!=BB$2,IF(#REF!=$AA$2,#REF!*plat_invest))</f>
        <v>#REF!</v>
      </c>
      <c r="BC16" s="57" t="e">
        <f>IF(#REF!=BC$2,IF(#REF!=$AA$2,#REF!*lumber_invest)) + IF(#REF!=BC$2,IF(#REF!=$AA$2,#REF!*lumber_invest)) + IF(#REF!=BC$2,IF(#REF!=$AA$2,#REF!*lumber_invest))</f>
        <v>#REF!</v>
      </c>
      <c r="BD16" s="57" t="e">
        <f>IF(#REF!=BD$2,IF(#REF!=$AA$2,#REF!*ore_invest)) + IF(#REF!=BD$2,IF(#REF!=$AA$2,#REF!*ore_invest)) + IF(#REF!=BD$2,IF(#REF!=$AA$2,#REF!*ore_invest))</f>
        <v>#REF!</v>
      </c>
      <c r="BE16" s="57" t="e">
        <f>IF(#REF!=BE$2,IF(#REF!=$AA$2,#REF!*gem_invest)) + IF(#REF!=BE$2,IF(#REF!=$AA$2,#REF!*gem_invest)) + IF(#REF!=BE$2,IF(#REF!=$AA$2,#REF!*gem_invest))</f>
        <v>#REF!</v>
      </c>
      <c r="BF16" s="134"/>
      <c r="BG16" s="57" t="e">
        <f>IF(#REF!=BG$2,IF(#REF!=$AB$2,#REF!*plat_invest)) + IF(#REF!=BG$2,IF(#REF!=$AB$2,#REF!*plat_invest)) + IF(#REF!=BG$2,IF(#REF!=$AB$2,#REF!*plat_invest))</f>
        <v>#REF!</v>
      </c>
      <c r="BH16" s="57" t="e">
        <f>IF(#REF!=BH$2,IF(#REF!=$AB$2,#REF!*lumber_invest)) + IF(#REF!=BH$2,IF(#REF!=$AB$2,#REF!*lumber_invest)) + IF(#REF!=BH$2,IF(#REF!=$AB$2,#REF!*lumber_invest))</f>
        <v>#REF!</v>
      </c>
      <c r="BI16" s="57" t="e">
        <f>IF(#REF!=BI$2,IF(#REF!=$AB$2,#REF!*ore_invest)) + IF(#REF!=BI$2,IF(#REF!=$AB$2,#REF!*ore_invest)) + IF(#REF!=BI$2,IF(#REF!=$AB$2,#REF!*ore_invest))</f>
        <v>#REF!</v>
      </c>
      <c r="BJ16" s="57" t="e">
        <f>IF(#REF!=BJ$2,IF(#REF!=$AB$2,#REF!*gem_invest)) + IF(#REF!=BJ$2,IF(#REF!=$AB$2,#REF!*gem_invest)) + IF(#REF!=BJ$2,IF(#REF!=$AB$2,#REF!*gem_invest))</f>
        <v>#REF!</v>
      </c>
      <c r="BK16" s="134"/>
      <c r="BL16" s="57" t="e">
        <f>IF(#REF!=BL$2,IF(#REF!=$AC$2,#REF!*plat_invest)) + IF(#REF!=BL$2,IF(#REF!=$AC$2,#REF!*plat_invest)) + IF(#REF!=BL$2,IF(#REF!=$AC$2,#REF!*plat_invest))</f>
        <v>#REF!</v>
      </c>
      <c r="BM16" s="57" t="e">
        <f>IF(#REF!=BM$2,IF(#REF!=$AC$2,#REF!*lumber_invest)) + IF(#REF!=BM$2,IF(#REF!=$AC$2,#REF!*lumber_invest)) + IF(#REF!=BM$2,IF(#REF!=$AC$2,#REF!*lumber_invest))</f>
        <v>#REF!</v>
      </c>
      <c r="BN16" s="57" t="e">
        <f>IF(#REF!=BN$2,IF(#REF!=$AC$2,#REF!*ore_invest)) + IF(#REF!=BN$2,IF(#REF!=$AC$2,#REF!*ore_invest)) + IF(#REF!=BN$2,IF(#REF!=$AC$2,#REF!*ore_invest))</f>
        <v>#REF!</v>
      </c>
      <c r="BO16" s="57" t="e">
        <f>IF(#REF!=BO$2,IF(#REF!=$AC$2,#REF!*gem_invest)) + IF(#REF!=BO$2,IF(#REF!=$AC$2,#REF!*gem_invest)) + IF(#REF!=BO$2,IF(#REF!=$AC$2,#REF!*gem_invest))</f>
        <v>#REF!</v>
      </c>
      <c r="BP16" s="134"/>
      <c r="BQ16" s="57" t="e">
        <f>IF(#REF!=BQ$2,IF(#REF!=$AD$2,#REF!*plat_invest)) + IF(#REF!=BQ$2,IF(#REF!=$AD$2,#REF!*plat_invest)) + IF(#REF!=BQ$2,IF(#REF!=$AD$2,#REF!*plat_invest))</f>
        <v>#REF!</v>
      </c>
      <c r="BR16" s="57" t="e">
        <f>IF(#REF!=BR$2,IF(#REF!=$AD$2,#REF!*lumber_invest)) + IF(#REF!=BR$2,IF(#REF!=$AD$2,#REF!*lumber_invest)) + IF(#REF!=BR$2,IF(#REF!=$AD$2,#REF!*lumber_invest))</f>
        <v>#REF!</v>
      </c>
      <c r="BS16" s="57" t="e">
        <f>IF(#REF!=BS$2,IF(#REF!=$AD$2,#REF!*ore_invest)) + IF(#REF!=BS$2,IF(#REF!=$AD$2,#REF!*ore_invest)) + IF(#REF!=BS$2,IF(#REF!=$AD$2,#REF!*ore_invest))</f>
        <v>#REF!</v>
      </c>
      <c r="BT16" s="57" t="e">
        <f>IF(#REF!=BT$2,IF(#REF!=$AD$2,#REF!*gem_invest)) + IF(#REF!=BT$2,IF(#REF!=$AD$2,#REF!*gem_invest)) + IF(#REF!=BT$2,IF(#REF!=$AD$2,#REF!*gem_invest))</f>
        <v>#REF!</v>
      </c>
      <c r="BU16" s="134"/>
      <c r="BV16" s="3" t="e">
        <f>OR(#REF!,#REF!,#REF!,#REF!,#REF!,#REF!,#REF!,#REF!,#REF!)</f>
        <v>#REF!</v>
      </c>
      <c r="BW16" s="61" t="e">
        <f>#REF!</f>
        <v>#REF!</v>
      </c>
      <c r="BX16" s="130"/>
      <c r="BY16" s="284" t="e">
        <f ca="1">OFFSET(#REF!,-1,0)+1/24</f>
        <v>#REF!</v>
      </c>
      <c r="BZ16" s="285" t="e">
        <f ca="1">OFFSET(#REF!,-1,0)+1/24</f>
        <v>#REF!</v>
      </c>
      <c r="CA16" s="57"/>
      <c r="CB16" s="283"/>
      <c r="CC16" s="283"/>
    </row>
    <row r="17" spans="1:84" x14ac:dyDescent="0.25">
      <c r="A17" s="206" t="e">
        <f>#REF!</f>
        <v>#REF!</v>
      </c>
      <c r="B17" s="134"/>
      <c r="C17" s="39" t="e">
        <f>#REF!</f>
        <v>#REF!</v>
      </c>
      <c r="D17" s="39" t="e">
        <f>#REF!</f>
        <v>#REF!</v>
      </c>
      <c r="E17" s="39" t="e">
        <f>#REF!</f>
        <v>#REF!</v>
      </c>
      <c r="F17" s="39" t="e">
        <f>#REF!</f>
        <v>#REF!</v>
      </c>
      <c r="G17" s="133"/>
      <c r="H17" s="39" t="e">
        <f>#REF!</f>
        <v>#REF!</v>
      </c>
      <c r="I17" s="132" t="e">
        <f>#REF!</f>
        <v>#REF!</v>
      </c>
      <c r="J17" s="132" t="e">
        <f>#REF!/#REF!</f>
        <v>#REF!</v>
      </c>
      <c r="K17" s="160" t="e">
        <f>#REF!</f>
        <v>#REF!</v>
      </c>
      <c r="L17" s="276" t="e">
        <f>#REF!</f>
        <v>#REF!</v>
      </c>
      <c r="M17" s="61">
        <f>IF(ISERROR(#REF!),0,#REF!*1)</f>
        <v>0</v>
      </c>
      <c r="N17" s="39" t="e">
        <f>#REF!</f>
        <v>#REF!</v>
      </c>
      <c r="O17" s="277" t="s">
        <v>4</v>
      </c>
      <c r="P17" s="278"/>
      <c r="Q17" s="277" t="s">
        <v>211</v>
      </c>
      <c r="R17" s="277" t="s">
        <v>7</v>
      </c>
      <c r="S17" s="278"/>
      <c r="T17" s="277" t="s">
        <v>211</v>
      </c>
      <c r="U17" s="277" t="s">
        <v>3</v>
      </c>
      <c r="V17" s="278"/>
      <c r="W17" s="277" t="s">
        <v>211</v>
      </c>
      <c r="X17" s="134"/>
      <c r="Y17" s="209" t="e">
        <f ca="1">science_cap*(1-EXP(-#REF!/(science_param*(OFFSET(#REF!,1,0)-OFFSET(#REF!,1,0)*20)+15000)))*(1+(mason_bonus*#REF!/#REF!))</f>
        <v>#REF!</v>
      </c>
      <c r="Z17" s="209" t="e">
        <f ca="1">keep_cap*(1-EXP(-#REF!/(keep_param*(OFFSET(#REF!,1,0)-OFFSET(#REF!,1,0)*20)+15000)))*(1+(mason_bonus*#REF!/#REF!))</f>
        <v>#REF!</v>
      </c>
      <c r="AA17" s="209" t="e">
        <f ca="1">harbor_towers_cap*(1-EXP(-#REF!/(towers_param*(OFFSET(#REF!,1,0)-OFFSET(#REF!,1,0)*20)+15000)))*(1+(mason_bonus*#REF!/#REF!))</f>
        <v>#REF!</v>
      </c>
      <c r="AB17" s="209" t="e">
        <f ca="1">walls_forges_cap*(1-EXP(-#REF!/(walls_forges_param*(OFFSET(#REF!,1,0)-OFFSET(#REF!,1,0)*20)+15000)))*(1+(mason_bonus*#REF!/#REF!))</f>
        <v>#REF!</v>
      </c>
      <c r="AC17" s="209" t="e">
        <f ca="1">walls_forges_cap*(1-EXP(-#REF!/(walls_forges_param*(OFFSET(#REF!,1,0)-OFFSET(#REF!,1,0)*20)+15000)))*(1+(mason_bonus*#REF!/#REF!))</f>
        <v>#REF!</v>
      </c>
      <c r="AD17" s="209" t="e">
        <f ca="1">harbor_towers_cap*(1-EXP(-#REF!/(harbor_towers_param*(OFFSET(#REF!,1,0)-OFFSET(#REF!,1,0)*20)+15000)))*(1+(mason_bonus*#REF!/#REF!))</f>
        <v>#REF!</v>
      </c>
      <c r="AE17" s="134"/>
      <c r="AF17" s="61" t="e">
        <f ca="1">(1+Overview!$I$28)*SUM(#REF!)+OFFSET(#REF!,-1,0)</f>
        <v>#REF!</v>
      </c>
      <c r="AG17" s="61" t="e">
        <f ca="1">(1+Overview!$I$28)*SUM(#REF!)+OFFSET(#REF!,-1,0)</f>
        <v>#REF!</v>
      </c>
      <c r="AH17" s="61" t="e">
        <f ca="1">(1+Overview!$I$28 + tech_7_1*#REF!)*SUM(#REF!)+OFFSET(#REF!,-1,0)</f>
        <v>#REF!</v>
      </c>
      <c r="AI17" s="61" t="e">
        <f ca="1">(1+Overview!$I$28)*SUM(#REF!)+OFFSET(#REF!,-1,0)</f>
        <v>#REF!</v>
      </c>
      <c r="AJ17" s="61" t="e">
        <f ca="1">(1+Overview!$I$28)*SUM(#REF!)+OFFSET(#REF!,-1,0)</f>
        <v>#REF!</v>
      </c>
      <c r="AK17" s="61" t="e">
        <f ca="1">(1+Overview!$I$28 + tech_7_1*#REF!)*SUM(#REF!)+OFFSET(#REF!,-1,0)</f>
        <v>#REF!</v>
      </c>
      <c r="AL17" s="134"/>
      <c r="AM17" s="57" t="e">
        <f>IF(AND(#REF!=AM$2,#REF!&lt;&gt;""),#REF!) + IF(AND(#REF!=AM$2,#REF!&lt;&gt;""),#REF!) + IF(AND(#REF!=AM$2,#REF!&lt;&gt;""),#REF!)</f>
        <v>#REF!</v>
      </c>
      <c r="AN17" s="57" t="e">
        <f>IF(AND(#REF!=AN$2,#REF!&lt;&gt;""),#REF!) + IF(AND(#REF!=AN$2,#REF!&lt;&gt;""),#REF!) + IF(AND(#REF!=AN$2,#REF!&lt;&gt;""),#REF!)</f>
        <v>#REF!</v>
      </c>
      <c r="AO17" s="57" t="e">
        <f>IF(AND(#REF!=AO$2,#REF!&lt;&gt;""),#REF!) + IF(AND(#REF!=AO$2,#REF!&lt;&gt;""),#REF!) + IF(AND(#REF!=AO$2,#REF!&lt;&gt;""),#REF!)</f>
        <v>#REF!</v>
      </c>
      <c r="AP17" s="57" t="e">
        <f>IF(AND(#REF!=AP$2,#REF!&lt;&gt;""),#REF!) + IF(AND(#REF!=AP$2,#REF!&lt;&gt;""),#REF!) + IF(AND(#REF!=AP$2,#REF!&lt;&gt;""),#REF!)</f>
        <v>#REF!</v>
      </c>
      <c r="AQ17" s="134"/>
      <c r="AR17" s="57" t="e">
        <f>IF(#REF!=AR$2,IF(#REF!=$Y$2,#REF!*plat_invest)) + IF(#REF!=AR$2,IF(#REF!=$Y$2,#REF!*plat_invest)) + IF(#REF!=AR$2,IF(#REF!=$Y$2,#REF!*plat_invest))</f>
        <v>#REF!</v>
      </c>
      <c r="AS17" s="57" t="e">
        <f>IF(#REF!=AS$2,IF(#REF!=$Y$2,#REF!*lumber_invest)) + IF(#REF!=AS$2,IF(#REF!=$Y$2,#REF!*lumber_invest)) + IF(#REF!=AS$2,IF(#REF!=$Y$2,#REF!*lumber_invest))</f>
        <v>#REF!</v>
      </c>
      <c r="AT17" s="57" t="e">
        <f>IF(#REF!=AT$2,IF(#REF!=$Y$2,#REF!*ore_invest)) + IF(#REF!=AT$2,IF(#REF!=$Y$2,#REF!*ore_invest)) + IF(#REF!=AT$2,IF(#REF!=$Y$2,#REF!*ore_invest))</f>
        <v>#REF!</v>
      </c>
      <c r="AU17" s="57" t="e">
        <f>IF(#REF!=AU$2,IF(#REF!=$Y$2,#REF!*gem_invest)) + IF(#REF!=AU$2,IF(#REF!=$Y$2,#REF!*gem_invest)) + IF(#REF!=AU$2,IF(#REF!=$Y$2,#REF!*gem_invest))</f>
        <v>#REF!</v>
      </c>
      <c r="AV17" s="134"/>
      <c r="AW17" s="57" t="e">
        <f>IF(#REF!=AW$2,IF(#REF!=$Z$2,#REF!*plat_invest)) + IF(#REF!=AW$2,IF(#REF!=$Z$2,#REF!*plat_invest)) + IF(#REF!=AW$2,IF(#REF!=$Z$2,#REF!*plat_invest))</f>
        <v>#REF!</v>
      </c>
      <c r="AX17" s="57" t="e">
        <f>IF(#REF!=AX$2,IF(#REF!=$Z$2,#REF!*lumber_invest)) + IF(#REF!=AX$2,IF(#REF!=$Z$2,#REF!*lumber_invest)) + IF(#REF!=AX$2,IF(#REF!=$Z$2,#REF!*lumber_invest))</f>
        <v>#REF!</v>
      </c>
      <c r="AY17" s="57" t="e">
        <f>IF(#REF!=AY$2,IF(#REF!=$Z$2,#REF!*ore_invest)) + IF(#REF!=AY$2,IF(#REF!=$Z$2,#REF!*ore_invest)) + IF(#REF!=AY$2,IF(#REF!=$Z$2,#REF!*ore_invest))</f>
        <v>#REF!</v>
      </c>
      <c r="AZ17" s="57" t="e">
        <f>IF(#REF!=AZ$2,IF(#REF!=$Z$2,#REF!*gem_invest)) + IF(#REF!=AZ$2,IF(#REF!=$Z$2,#REF!*gem_invest)) + IF(#REF!=AZ$2,IF(#REF!=$Z$2,#REF!*gem_invest))</f>
        <v>#REF!</v>
      </c>
      <c r="BA17" s="134"/>
      <c r="BB17" s="57" t="e">
        <f>IF(#REF!=BB$2,IF(#REF!=$AA$2,#REF!*plat_invest)) + IF(#REF!=BB$2,IF(#REF!=$AA$2,#REF!*plat_invest)) + IF(#REF!=BB$2,IF(#REF!=$AA$2,#REF!*plat_invest))</f>
        <v>#REF!</v>
      </c>
      <c r="BC17" s="57" t="e">
        <f>IF(#REF!=BC$2,IF(#REF!=$AA$2,#REF!*lumber_invest)) + IF(#REF!=BC$2,IF(#REF!=$AA$2,#REF!*lumber_invest)) + IF(#REF!=BC$2,IF(#REF!=$AA$2,#REF!*lumber_invest))</f>
        <v>#REF!</v>
      </c>
      <c r="BD17" s="57" t="e">
        <f>IF(#REF!=BD$2,IF(#REF!=$AA$2,#REF!*ore_invest)) + IF(#REF!=BD$2,IF(#REF!=$AA$2,#REF!*ore_invest)) + IF(#REF!=BD$2,IF(#REF!=$AA$2,#REF!*ore_invest))</f>
        <v>#REF!</v>
      </c>
      <c r="BE17" s="57" t="e">
        <f>IF(#REF!=BE$2,IF(#REF!=$AA$2,#REF!*gem_invest)) + IF(#REF!=BE$2,IF(#REF!=$AA$2,#REF!*gem_invest)) + IF(#REF!=BE$2,IF(#REF!=$AA$2,#REF!*gem_invest))</f>
        <v>#REF!</v>
      </c>
      <c r="BF17" s="134"/>
      <c r="BG17" s="57" t="e">
        <f>IF(#REF!=BG$2,IF(#REF!=$AB$2,#REF!*plat_invest)) + IF(#REF!=BG$2,IF(#REF!=$AB$2,#REF!*plat_invest)) + IF(#REF!=BG$2,IF(#REF!=$AB$2,#REF!*plat_invest))</f>
        <v>#REF!</v>
      </c>
      <c r="BH17" s="57" t="e">
        <f>IF(#REF!=BH$2,IF(#REF!=$AB$2,#REF!*lumber_invest)) + IF(#REF!=BH$2,IF(#REF!=$AB$2,#REF!*lumber_invest)) + IF(#REF!=BH$2,IF(#REF!=$AB$2,#REF!*lumber_invest))</f>
        <v>#REF!</v>
      </c>
      <c r="BI17" s="57" t="e">
        <f>IF(#REF!=BI$2,IF(#REF!=$AB$2,#REF!*ore_invest)) + IF(#REF!=BI$2,IF(#REF!=$AB$2,#REF!*ore_invest)) + IF(#REF!=BI$2,IF(#REF!=$AB$2,#REF!*ore_invest))</f>
        <v>#REF!</v>
      </c>
      <c r="BJ17" s="57" t="e">
        <f>IF(#REF!=BJ$2,IF(#REF!=$AB$2,#REF!*gem_invest)) + IF(#REF!=BJ$2,IF(#REF!=$AB$2,#REF!*gem_invest)) + IF(#REF!=BJ$2,IF(#REF!=$AB$2,#REF!*gem_invest))</f>
        <v>#REF!</v>
      </c>
      <c r="BK17" s="134"/>
      <c r="BL17" s="57" t="e">
        <f>IF(#REF!=BL$2,IF(#REF!=$AC$2,#REF!*plat_invest)) + IF(#REF!=BL$2,IF(#REF!=$AC$2,#REF!*plat_invest)) + IF(#REF!=BL$2,IF(#REF!=$AC$2,#REF!*plat_invest))</f>
        <v>#REF!</v>
      </c>
      <c r="BM17" s="57" t="e">
        <f>IF(#REF!=BM$2,IF(#REF!=$AC$2,#REF!*lumber_invest)) + IF(#REF!=BM$2,IF(#REF!=$AC$2,#REF!*lumber_invest)) + IF(#REF!=BM$2,IF(#REF!=$AC$2,#REF!*lumber_invest))</f>
        <v>#REF!</v>
      </c>
      <c r="BN17" s="57" t="e">
        <f>IF(#REF!=BN$2,IF(#REF!=$AC$2,#REF!*ore_invest)) + IF(#REF!=BN$2,IF(#REF!=$AC$2,#REF!*ore_invest)) + IF(#REF!=BN$2,IF(#REF!=$AC$2,#REF!*ore_invest))</f>
        <v>#REF!</v>
      </c>
      <c r="BO17" s="57" t="e">
        <f>IF(#REF!=BO$2,IF(#REF!=$AC$2,#REF!*gem_invest)) + IF(#REF!=BO$2,IF(#REF!=$AC$2,#REF!*gem_invest)) + IF(#REF!=BO$2,IF(#REF!=$AC$2,#REF!*gem_invest))</f>
        <v>#REF!</v>
      </c>
      <c r="BP17" s="134"/>
      <c r="BQ17" s="57" t="e">
        <f>IF(#REF!=BQ$2,IF(#REF!=$AD$2,#REF!*plat_invest)) + IF(#REF!=BQ$2,IF(#REF!=$AD$2,#REF!*plat_invest)) + IF(#REF!=BQ$2,IF(#REF!=$AD$2,#REF!*plat_invest))</f>
        <v>#REF!</v>
      </c>
      <c r="BR17" s="57" t="e">
        <f>IF(#REF!=BR$2,IF(#REF!=$AD$2,#REF!*lumber_invest)) + IF(#REF!=BR$2,IF(#REF!=$AD$2,#REF!*lumber_invest)) + IF(#REF!=BR$2,IF(#REF!=$AD$2,#REF!*lumber_invest))</f>
        <v>#REF!</v>
      </c>
      <c r="BS17" s="57" t="e">
        <f>IF(#REF!=BS$2,IF(#REF!=$AD$2,#REF!*ore_invest)) + IF(#REF!=BS$2,IF(#REF!=$AD$2,#REF!*ore_invest)) + IF(#REF!=BS$2,IF(#REF!=$AD$2,#REF!*ore_invest))</f>
        <v>#REF!</v>
      </c>
      <c r="BT17" s="57" t="e">
        <f>IF(#REF!=BT$2,IF(#REF!=$AD$2,#REF!*gem_invest)) + IF(#REF!=BT$2,IF(#REF!=$AD$2,#REF!*gem_invest)) + IF(#REF!=BT$2,IF(#REF!=$AD$2,#REF!*gem_invest))</f>
        <v>#REF!</v>
      </c>
      <c r="BU17" s="134"/>
      <c r="BV17" s="3" t="e">
        <f>OR(#REF!,#REF!,#REF!,#REF!,#REF!,#REF!,#REF!,#REF!,#REF!)</f>
        <v>#REF!</v>
      </c>
      <c r="BW17" s="61" t="e">
        <f>#REF!</f>
        <v>#REF!</v>
      </c>
      <c r="BX17" s="130"/>
      <c r="BY17" s="284" t="e">
        <f ca="1">OFFSET(#REF!,-1,0)+1/24</f>
        <v>#REF!</v>
      </c>
      <c r="BZ17" s="285" t="e">
        <f ca="1">OFFSET(#REF!,-1,0)+1/24</f>
        <v>#REF!</v>
      </c>
      <c r="CA17" s="57"/>
      <c r="CB17" s="283"/>
      <c r="CC17" s="283"/>
      <c r="CD17" s="147"/>
    </row>
    <row r="18" spans="1:84" x14ac:dyDescent="0.25">
      <c r="A18" s="206" t="e">
        <f>#REF!</f>
        <v>#REF!</v>
      </c>
      <c r="B18" s="134"/>
      <c r="C18" s="39" t="e">
        <f>#REF!</f>
        <v>#REF!</v>
      </c>
      <c r="D18" s="39" t="e">
        <f>#REF!</f>
        <v>#REF!</v>
      </c>
      <c r="E18" s="39" t="e">
        <f>#REF!</f>
        <v>#REF!</v>
      </c>
      <c r="F18" s="39" t="e">
        <f>#REF!</f>
        <v>#REF!</v>
      </c>
      <c r="G18" s="133"/>
      <c r="H18" s="39" t="e">
        <f>#REF!</f>
        <v>#REF!</v>
      </c>
      <c r="I18" s="132" t="e">
        <f>#REF!</f>
        <v>#REF!</v>
      </c>
      <c r="J18" s="132" t="e">
        <f>#REF!/#REF!</f>
        <v>#REF!</v>
      </c>
      <c r="K18" s="160" t="e">
        <f>#REF!</f>
        <v>#REF!</v>
      </c>
      <c r="L18" s="276" t="e">
        <f>#REF!</f>
        <v>#REF!</v>
      </c>
      <c r="M18" s="61">
        <f>IF(ISERROR(#REF!),0,#REF!*1)</f>
        <v>0</v>
      </c>
      <c r="N18" s="39" t="e">
        <f>#REF!</f>
        <v>#REF!</v>
      </c>
      <c r="O18" s="277" t="s">
        <v>4</v>
      </c>
      <c r="P18" s="278"/>
      <c r="Q18" s="277" t="s">
        <v>211</v>
      </c>
      <c r="R18" s="277" t="s">
        <v>7</v>
      </c>
      <c r="S18" s="278"/>
      <c r="T18" s="277" t="s">
        <v>211</v>
      </c>
      <c r="U18" s="277" t="s">
        <v>3</v>
      </c>
      <c r="V18" s="278"/>
      <c r="W18" s="277" t="s">
        <v>211</v>
      </c>
      <c r="X18" s="134"/>
      <c r="Y18" s="209" t="e">
        <f ca="1">science_cap*(1-EXP(-#REF!/(science_param*(OFFSET(#REF!,1,0)-OFFSET(#REF!,1,0)*20)+15000)))*(1+(mason_bonus*#REF!/#REF!))</f>
        <v>#REF!</v>
      </c>
      <c r="Z18" s="209" t="e">
        <f ca="1">keep_cap*(1-EXP(-#REF!/(keep_param*(OFFSET(#REF!,1,0)-OFFSET(#REF!,1,0)*20)+15000)))*(1+(mason_bonus*#REF!/#REF!))</f>
        <v>#REF!</v>
      </c>
      <c r="AA18" s="209" t="e">
        <f ca="1">harbor_towers_cap*(1-EXP(-#REF!/(towers_param*(OFFSET(#REF!,1,0)-OFFSET(#REF!,1,0)*20)+15000)))*(1+(mason_bonus*#REF!/#REF!))</f>
        <v>#REF!</v>
      </c>
      <c r="AB18" s="209" t="e">
        <f ca="1">walls_forges_cap*(1-EXP(-#REF!/(walls_forges_param*(OFFSET(#REF!,1,0)-OFFSET(#REF!,1,0)*20)+15000)))*(1+(mason_bonus*#REF!/#REF!))</f>
        <v>#REF!</v>
      </c>
      <c r="AC18" s="209" t="e">
        <f ca="1">walls_forges_cap*(1-EXP(-#REF!/(walls_forges_param*(OFFSET(#REF!,1,0)-OFFSET(#REF!,1,0)*20)+15000)))*(1+(mason_bonus*#REF!/#REF!))</f>
        <v>#REF!</v>
      </c>
      <c r="AD18" s="209" t="e">
        <f ca="1">harbor_towers_cap*(1-EXP(-#REF!/(harbor_towers_param*(OFFSET(#REF!,1,0)-OFFSET(#REF!,1,0)*20)+15000)))*(1+(mason_bonus*#REF!/#REF!))</f>
        <v>#REF!</v>
      </c>
      <c r="AE18" s="134"/>
      <c r="AF18" s="61" t="e">
        <f ca="1">(1+Overview!$I$28)*SUM(#REF!)+OFFSET(#REF!,-1,0)</f>
        <v>#REF!</v>
      </c>
      <c r="AG18" s="61" t="e">
        <f ca="1">(1+Overview!$I$28)*SUM(#REF!)+OFFSET(#REF!,-1,0)</f>
        <v>#REF!</v>
      </c>
      <c r="AH18" s="61" t="e">
        <f ca="1">(1+Overview!$I$28 + tech_7_1*#REF!)*SUM(#REF!)+OFFSET(#REF!,-1,0)</f>
        <v>#REF!</v>
      </c>
      <c r="AI18" s="61" t="e">
        <f ca="1">(1+Overview!$I$28)*SUM(#REF!)+OFFSET(#REF!,-1,0)</f>
        <v>#REF!</v>
      </c>
      <c r="AJ18" s="61" t="e">
        <f ca="1">(1+Overview!$I$28)*SUM(#REF!)+OFFSET(#REF!,-1,0)</f>
        <v>#REF!</v>
      </c>
      <c r="AK18" s="61" t="e">
        <f ca="1">(1+Overview!$I$28 + tech_7_1*#REF!)*SUM(#REF!)+OFFSET(#REF!,-1,0)</f>
        <v>#REF!</v>
      </c>
      <c r="AL18" s="134"/>
      <c r="AM18" s="57" t="e">
        <f>IF(AND(#REF!=AM$2,#REF!&lt;&gt;""),#REF!) + IF(AND(#REF!=AM$2,#REF!&lt;&gt;""),#REF!) + IF(AND(#REF!=AM$2,#REF!&lt;&gt;""),#REF!)</f>
        <v>#REF!</v>
      </c>
      <c r="AN18" s="57" t="e">
        <f>IF(AND(#REF!=AN$2,#REF!&lt;&gt;""),#REF!) + IF(AND(#REF!=AN$2,#REF!&lt;&gt;""),#REF!) + IF(AND(#REF!=AN$2,#REF!&lt;&gt;""),#REF!)</f>
        <v>#REF!</v>
      </c>
      <c r="AO18" s="57" t="e">
        <f>IF(AND(#REF!=AO$2,#REF!&lt;&gt;""),#REF!) + IF(AND(#REF!=AO$2,#REF!&lt;&gt;""),#REF!) + IF(AND(#REF!=AO$2,#REF!&lt;&gt;""),#REF!)</f>
        <v>#REF!</v>
      </c>
      <c r="AP18" s="57" t="e">
        <f>IF(AND(#REF!=AP$2,#REF!&lt;&gt;""),#REF!) + IF(AND(#REF!=AP$2,#REF!&lt;&gt;""),#REF!) + IF(AND(#REF!=AP$2,#REF!&lt;&gt;""),#REF!)</f>
        <v>#REF!</v>
      </c>
      <c r="AQ18" s="134"/>
      <c r="AR18" s="57" t="e">
        <f>IF(#REF!=AR$2,IF(#REF!=$Y$2,#REF!*plat_invest)) + IF(#REF!=AR$2,IF(#REF!=$Y$2,#REF!*plat_invest)) + IF(#REF!=AR$2,IF(#REF!=$Y$2,#REF!*plat_invest))</f>
        <v>#REF!</v>
      </c>
      <c r="AS18" s="57" t="e">
        <f>IF(#REF!=AS$2,IF(#REF!=$Y$2,#REF!*lumber_invest)) + IF(#REF!=AS$2,IF(#REF!=$Y$2,#REF!*lumber_invest)) + IF(#REF!=AS$2,IF(#REF!=$Y$2,#REF!*lumber_invest))</f>
        <v>#REF!</v>
      </c>
      <c r="AT18" s="57" t="e">
        <f>IF(#REF!=AT$2,IF(#REF!=$Y$2,#REF!*ore_invest)) + IF(#REF!=AT$2,IF(#REF!=$Y$2,#REF!*ore_invest)) + IF(#REF!=AT$2,IF(#REF!=$Y$2,#REF!*ore_invest))</f>
        <v>#REF!</v>
      </c>
      <c r="AU18" s="57" t="e">
        <f>IF(#REF!=AU$2,IF(#REF!=$Y$2,#REF!*gem_invest)) + IF(#REF!=AU$2,IF(#REF!=$Y$2,#REF!*gem_invest)) + IF(#REF!=AU$2,IF(#REF!=$Y$2,#REF!*gem_invest))</f>
        <v>#REF!</v>
      </c>
      <c r="AV18" s="134"/>
      <c r="AW18" s="57" t="e">
        <f>IF(#REF!=AW$2,IF(#REF!=$Z$2,#REF!*plat_invest)) + IF(#REF!=AW$2,IF(#REF!=$Z$2,#REF!*plat_invest)) + IF(#REF!=AW$2,IF(#REF!=$Z$2,#REF!*plat_invest))</f>
        <v>#REF!</v>
      </c>
      <c r="AX18" s="57" t="e">
        <f>IF(#REF!=AX$2,IF(#REF!=$Z$2,#REF!*lumber_invest)) + IF(#REF!=AX$2,IF(#REF!=$Z$2,#REF!*lumber_invest)) + IF(#REF!=AX$2,IF(#REF!=$Z$2,#REF!*lumber_invest))</f>
        <v>#REF!</v>
      </c>
      <c r="AY18" s="57" t="e">
        <f>IF(#REF!=AY$2,IF(#REF!=$Z$2,#REF!*ore_invest)) + IF(#REF!=AY$2,IF(#REF!=$Z$2,#REF!*ore_invest)) + IF(#REF!=AY$2,IF(#REF!=$Z$2,#REF!*ore_invest))</f>
        <v>#REF!</v>
      </c>
      <c r="AZ18" s="57" t="e">
        <f>IF(#REF!=AZ$2,IF(#REF!=$Z$2,#REF!*gem_invest)) + IF(#REF!=AZ$2,IF(#REF!=$Z$2,#REF!*gem_invest)) + IF(#REF!=AZ$2,IF(#REF!=$Z$2,#REF!*gem_invest))</f>
        <v>#REF!</v>
      </c>
      <c r="BA18" s="134"/>
      <c r="BB18" s="57" t="e">
        <f>IF(#REF!=BB$2,IF(#REF!=$AA$2,#REF!*plat_invest)) + IF(#REF!=BB$2,IF(#REF!=$AA$2,#REF!*plat_invest)) + IF(#REF!=BB$2,IF(#REF!=$AA$2,#REF!*plat_invest))</f>
        <v>#REF!</v>
      </c>
      <c r="BC18" s="57" t="e">
        <f>IF(#REF!=BC$2,IF(#REF!=$AA$2,#REF!*lumber_invest)) + IF(#REF!=BC$2,IF(#REF!=$AA$2,#REF!*lumber_invest)) + IF(#REF!=BC$2,IF(#REF!=$AA$2,#REF!*lumber_invest))</f>
        <v>#REF!</v>
      </c>
      <c r="BD18" s="57" t="e">
        <f>IF(#REF!=BD$2,IF(#REF!=$AA$2,#REF!*ore_invest)) + IF(#REF!=BD$2,IF(#REF!=$AA$2,#REF!*ore_invest)) + IF(#REF!=BD$2,IF(#REF!=$AA$2,#REF!*ore_invest))</f>
        <v>#REF!</v>
      </c>
      <c r="BE18" s="57" t="e">
        <f>IF(#REF!=BE$2,IF(#REF!=$AA$2,#REF!*gem_invest)) + IF(#REF!=BE$2,IF(#REF!=$AA$2,#REF!*gem_invest)) + IF(#REF!=BE$2,IF(#REF!=$AA$2,#REF!*gem_invest))</f>
        <v>#REF!</v>
      </c>
      <c r="BF18" s="134"/>
      <c r="BG18" s="57" t="e">
        <f>IF(#REF!=BG$2,IF(#REF!=$AB$2,#REF!*plat_invest)) + IF(#REF!=BG$2,IF(#REF!=$AB$2,#REF!*plat_invest)) + IF(#REF!=BG$2,IF(#REF!=$AB$2,#REF!*plat_invest))</f>
        <v>#REF!</v>
      </c>
      <c r="BH18" s="57" t="e">
        <f>IF(#REF!=BH$2,IF(#REF!=$AB$2,#REF!*lumber_invest)) + IF(#REF!=BH$2,IF(#REF!=$AB$2,#REF!*lumber_invest)) + IF(#REF!=BH$2,IF(#REF!=$AB$2,#REF!*lumber_invest))</f>
        <v>#REF!</v>
      </c>
      <c r="BI18" s="57" t="e">
        <f>IF(#REF!=BI$2,IF(#REF!=$AB$2,#REF!*ore_invest)) + IF(#REF!=BI$2,IF(#REF!=$AB$2,#REF!*ore_invest)) + IF(#REF!=BI$2,IF(#REF!=$AB$2,#REF!*ore_invest))</f>
        <v>#REF!</v>
      </c>
      <c r="BJ18" s="57" t="e">
        <f>IF(#REF!=BJ$2,IF(#REF!=$AB$2,#REF!*gem_invest)) + IF(#REF!=BJ$2,IF(#REF!=$AB$2,#REF!*gem_invest)) + IF(#REF!=BJ$2,IF(#REF!=$AB$2,#REF!*gem_invest))</f>
        <v>#REF!</v>
      </c>
      <c r="BK18" s="134"/>
      <c r="BL18" s="57" t="e">
        <f>IF(#REF!=BL$2,IF(#REF!=$AC$2,#REF!*plat_invest)) + IF(#REF!=BL$2,IF(#REF!=$AC$2,#REF!*plat_invest)) + IF(#REF!=BL$2,IF(#REF!=$AC$2,#REF!*plat_invest))</f>
        <v>#REF!</v>
      </c>
      <c r="BM18" s="57" t="e">
        <f>IF(#REF!=BM$2,IF(#REF!=$AC$2,#REF!*lumber_invest)) + IF(#REF!=BM$2,IF(#REF!=$AC$2,#REF!*lumber_invest)) + IF(#REF!=BM$2,IF(#REF!=$AC$2,#REF!*lumber_invest))</f>
        <v>#REF!</v>
      </c>
      <c r="BN18" s="57" t="e">
        <f>IF(#REF!=BN$2,IF(#REF!=$AC$2,#REF!*ore_invest)) + IF(#REF!=BN$2,IF(#REF!=$AC$2,#REF!*ore_invest)) + IF(#REF!=BN$2,IF(#REF!=$AC$2,#REF!*ore_invest))</f>
        <v>#REF!</v>
      </c>
      <c r="BO18" s="57" t="e">
        <f>IF(#REF!=BO$2,IF(#REF!=$AC$2,#REF!*gem_invest)) + IF(#REF!=BO$2,IF(#REF!=$AC$2,#REF!*gem_invest)) + IF(#REF!=BO$2,IF(#REF!=$AC$2,#REF!*gem_invest))</f>
        <v>#REF!</v>
      </c>
      <c r="BP18" s="134"/>
      <c r="BQ18" s="57" t="e">
        <f>IF(#REF!=BQ$2,IF(#REF!=$AD$2,#REF!*plat_invest)) + IF(#REF!=BQ$2,IF(#REF!=$AD$2,#REF!*plat_invest)) + IF(#REF!=BQ$2,IF(#REF!=$AD$2,#REF!*plat_invest))</f>
        <v>#REF!</v>
      </c>
      <c r="BR18" s="57" t="e">
        <f>IF(#REF!=BR$2,IF(#REF!=$AD$2,#REF!*lumber_invest)) + IF(#REF!=BR$2,IF(#REF!=$AD$2,#REF!*lumber_invest)) + IF(#REF!=BR$2,IF(#REF!=$AD$2,#REF!*lumber_invest))</f>
        <v>#REF!</v>
      </c>
      <c r="BS18" s="57" t="e">
        <f>IF(#REF!=BS$2,IF(#REF!=$AD$2,#REF!*ore_invest)) + IF(#REF!=BS$2,IF(#REF!=$AD$2,#REF!*ore_invest)) + IF(#REF!=BS$2,IF(#REF!=$AD$2,#REF!*ore_invest))</f>
        <v>#REF!</v>
      </c>
      <c r="BT18" s="57" t="e">
        <f>IF(#REF!=BT$2,IF(#REF!=$AD$2,#REF!*gem_invest)) + IF(#REF!=BT$2,IF(#REF!=$AD$2,#REF!*gem_invest)) + IF(#REF!=BT$2,IF(#REF!=$AD$2,#REF!*gem_invest))</f>
        <v>#REF!</v>
      </c>
      <c r="BU18" s="134"/>
      <c r="BV18" s="3" t="e">
        <f>OR(#REF!,#REF!,#REF!,#REF!,#REF!,#REF!,#REF!,#REF!,#REF!)</f>
        <v>#REF!</v>
      </c>
      <c r="BW18" s="61" t="e">
        <f>#REF!</f>
        <v>#REF!</v>
      </c>
      <c r="BX18" s="130"/>
      <c r="BY18" s="284" t="e">
        <f ca="1">OFFSET(#REF!,-1,0)+1/24</f>
        <v>#REF!</v>
      </c>
      <c r="BZ18" s="285" t="e">
        <f ca="1">OFFSET(#REF!,-1,0)+1/24</f>
        <v>#REF!</v>
      </c>
      <c r="CA18" s="288"/>
      <c r="CB18" s="283"/>
      <c r="CC18" s="283"/>
      <c r="CF18" s="286"/>
    </row>
    <row r="19" spans="1:84" x14ac:dyDescent="0.25">
      <c r="A19" s="206" t="e">
        <f>#REF!</f>
        <v>#REF!</v>
      </c>
      <c r="B19" s="134"/>
      <c r="C19" s="39" t="e">
        <f>#REF!</f>
        <v>#REF!</v>
      </c>
      <c r="D19" s="39" t="e">
        <f>#REF!</f>
        <v>#REF!</v>
      </c>
      <c r="E19" s="39" t="e">
        <f>#REF!</f>
        <v>#REF!</v>
      </c>
      <c r="F19" s="39" t="e">
        <f>#REF!</f>
        <v>#REF!</v>
      </c>
      <c r="G19" s="133"/>
      <c r="H19" s="39" t="e">
        <f>#REF!</f>
        <v>#REF!</v>
      </c>
      <c r="I19" s="132" t="e">
        <f>#REF!</f>
        <v>#REF!</v>
      </c>
      <c r="J19" s="132" t="e">
        <f>#REF!/#REF!</f>
        <v>#REF!</v>
      </c>
      <c r="K19" s="160" t="e">
        <f>#REF!</f>
        <v>#REF!</v>
      </c>
      <c r="L19" s="276" t="e">
        <f>#REF!</f>
        <v>#REF!</v>
      </c>
      <c r="M19" s="61">
        <f>IF(ISERROR(#REF!),0,#REF!*1)</f>
        <v>0</v>
      </c>
      <c r="N19" s="39" t="e">
        <f>#REF!</f>
        <v>#REF!</v>
      </c>
      <c r="O19" s="277" t="s">
        <v>4</v>
      </c>
      <c r="P19" s="278"/>
      <c r="Q19" s="277" t="s">
        <v>211</v>
      </c>
      <c r="R19" s="277" t="s">
        <v>7</v>
      </c>
      <c r="S19" s="278"/>
      <c r="T19" s="277" t="s">
        <v>211</v>
      </c>
      <c r="U19" s="277" t="s">
        <v>3</v>
      </c>
      <c r="V19" s="278"/>
      <c r="W19" s="277" t="s">
        <v>211</v>
      </c>
      <c r="X19" s="134"/>
      <c r="Y19" s="209" t="e">
        <f ca="1">science_cap*(1-EXP(-#REF!/(science_param*(OFFSET(#REF!,1,0)-OFFSET(#REF!,1,0)*20)+15000)))*(1+(mason_bonus*#REF!/#REF!))</f>
        <v>#REF!</v>
      </c>
      <c r="Z19" s="209" t="e">
        <f ca="1">keep_cap*(1-EXP(-#REF!/(keep_param*(OFFSET(#REF!,1,0)-OFFSET(#REF!,1,0)*20)+15000)))*(1+(mason_bonus*#REF!/#REF!))</f>
        <v>#REF!</v>
      </c>
      <c r="AA19" s="209" t="e">
        <f ca="1">harbor_towers_cap*(1-EXP(-#REF!/(towers_param*(OFFSET(#REF!,1,0)-OFFSET(#REF!,1,0)*20)+15000)))*(1+(mason_bonus*#REF!/#REF!))</f>
        <v>#REF!</v>
      </c>
      <c r="AB19" s="209" t="e">
        <f ca="1">walls_forges_cap*(1-EXP(-#REF!/(walls_forges_param*(OFFSET(#REF!,1,0)-OFFSET(#REF!,1,0)*20)+15000)))*(1+(mason_bonus*#REF!/#REF!))</f>
        <v>#REF!</v>
      </c>
      <c r="AC19" s="209" t="e">
        <f ca="1">walls_forges_cap*(1-EXP(-#REF!/(walls_forges_param*(OFFSET(#REF!,1,0)-OFFSET(#REF!,1,0)*20)+15000)))*(1+(mason_bonus*#REF!/#REF!))</f>
        <v>#REF!</v>
      </c>
      <c r="AD19" s="209" t="e">
        <f ca="1">harbor_towers_cap*(1-EXP(-#REF!/(harbor_towers_param*(OFFSET(#REF!,1,0)-OFFSET(#REF!,1,0)*20)+15000)))*(1+(mason_bonus*#REF!/#REF!))</f>
        <v>#REF!</v>
      </c>
      <c r="AE19" s="134"/>
      <c r="AF19" s="61" t="e">
        <f ca="1">(1+Overview!$I$28)*SUM(#REF!)+OFFSET(#REF!,-1,0)</f>
        <v>#REF!</v>
      </c>
      <c r="AG19" s="61" t="e">
        <f ca="1">(1+Overview!$I$28)*SUM(#REF!)+OFFSET(#REF!,-1,0)</f>
        <v>#REF!</v>
      </c>
      <c r="AH19" s="61" t="e">
        <f ca="1">(1+Overview!$I$28 + tech_7_1*#REF!)*SUM(#REF!)+OFFSET(#REF!,-1,0)</f>
        <v>#REF!</v>
      </c>
      <c r="AI19" s="61" t="e">
        <f ca="1">(1+Overview!$I$28)*SUM(#REF!)+OFFSET(#REF!,-1,0)</f>
        <v>#REF!</v>
      </c>
      <c r="AJ19" s="61" t="e">
        <f ca="1">(1+Overview!$I$28)*SUM(#REF!)+OFFSET(#REF!,-1,0)</f>
        <v>#REF!</v>
      </c>
      <c r="AK19" s="61" t="e">
        <f ca="1">(1+Overview!$I$28 + tech_7_1*#REF!)*SUM(#REF!)+OFFSET(#REF!,-1,0)</f>
        <v>#REF!</v>
      </c>
      <c r="AL19" s="134"/>
      <c r="AM19" s="57" t="e">
        <f>IF(AND(#REF!=AM$2,#REF!&lt;&gt;""),#REF!) + IF(AND(#REF!=AM$2,#REF!&lt;&gt;""),#REF!) + IF(AND(#REF!=AM$2,#REF!&lt;&gt;""),#REF!)</f>
        <v>#REF!</v>
      </c>
      <c r="AN19" s="57" t="e">
        <f>IF(AND(#REF!=AN$2,#REF!&lt;&gt;""),#REF!) + IF(AND(#REF!=AN$2,#REF!&lt;&gt;""),#REF!) + IF(AND(#REF!=AN$2,#REF!&lt;&gt;""),#REF!)</f>
        <v>#REF!</v>
      </c>
      <c r="AO19" s="57" t="e">
        <f>IF(AND(#REF!=AO$2,#REF!&lt;&gt;""),#REF!) + IF(AND(#REF!=AO$2,#REF!&lt;&gt;""),#REF!) + IF(AND(#REF!=AO$2,#REF!&lt;&gt;""),#REF!)</f>
        <v>#REF!</v>
      </c>
      <c r="AP19" s="57" t="e">
        <f>IF(AND(#REF!=AP$2,#REF!&lt;&gt;""),#REF!) + IF(AND(#REF!=AP$2,#REF!&lt;&gt;""),#REF!) + IF(AND(#REF!=AP$2,#REF!&lt;&gt;""),#REF!)</f>
        <v>#REF!</v>
      </c>
      <c r="AQ19" s="134"/>
      <c r="AR19" s="57" t="e">
        <f>IF(#REF!=AR$2,IF(#REF!=$Y$2,#REF!*plat_invest)) + IF(#REF!=AR$2,IF(#REF!=$Y$2,#REF!*plat_invest)) + IF(#REF!=AR$2,IF(#REF!=$Y$2,#REF!*plat_invest))</f>
        <v>#REF!</v>
      </c>
      <c r="AS19" s="57" t="e">
        <f>IF(#REF!=AS$2,IF(#REF!=$Y$2,#REF!*lumber_invest)) + IF(#REF!=AS$2,IF(#REF!=$Y$2,#REF!*lumber_invest)) + IF(#REF!=AS$2,IF(#REF!=$Y$2,#REF!*lumber_invest))</f>
        <v>#REF!</v>
      </c>
      <c r="AT19" s="57" t="e">
        <f>IF(#REF!=AT$2,IF(#REF!=$Y$2,#REF!*ore_invest)) + IF(#REF!=AT$2,IF(#REF!=$Y$2,#REF!*ore_invest)) + IF(#REF!=AT$2,IF(#REF!=$Y$2,#REF!*ore_invest))</f>
        <v>#REF!</v>
      </c>
      <c r="AU19" s="57" t="e">
        <f>IF(#REF!=AU$2,IF(#REF!=$Y$2,#REF!*gem_invest)) + IF(#REF!=AU$2,IF(#REF!=$Y$2,#REF!*gem_invest)) + IF(#REF!=AU$2,IF(#REF!=$Y$2,#REF!*gem_invest))</f>
        <v>#REF!</v>
      </c>
      <c r="AV19" s="134"/>
      <c r="AW19" s="57" t="e">
        <f>IF(#REF!=AW$2,IF(#REF!=$Z$2,#REF!*plat_invest)) + IF(#REF!=AW$2,IF(#REF!=$Z$2,#REF!*plat_invest)) + IF(#REF!=AW$2,IF(#REF!=$Z$2,#REF!*plat_invest))</f>
        <v>#REF!</v>
      </c>
      <c r="AX19" s="57" t="e">
        <f>IF(#REF!=AX$2,IF(#REF!=$Z$2,#REF!*lumber_invest)) + IF(#REF!=AX$2,IF(#REF!=$Z$2,#REF!*lumber_invest)) + IF(#REF!=AX$2,IF(#REF!=$Z$2,#REF!*lumber_invest))</f>
        <v>#REF!</v>
      </c>
      <c r="AY19" s="57" t="e">
        <f>IF(#REF!=AY$2,IF(#REF!=$Z$2,#REF!*ore_invest)) + IF(#REF!=AY$2,IF(#REF!=$Z$2,#REF!*ore_invest)) + IF(#REF!=AY$2,IF(#REF!=$Z$2,#REF!*ore_invest))</f>
        <v>#REF!</v>
      </c>
      <c r="AZ19" s="57" t="e">
        <f>IF(#REF!=AZ$2,IF(#REF!=$Z$2,#REF!*gem_invest)) + IF(#REF!=AZ$2,IF(#REF!=$Z$2,#REF!*gem_invest)) + IF(#REF!=AZ$2,IF(#REF!=$Z$2,#REF!*gem_invest))</f>
        <v>#REF!</v>
      </c>
      <c r="BA19" s="134"/>
      <c r="BB19" s="57" t="e">
        <f>IF(#REF!=BB$2,IF(#REF!=$AA$2,#REF!*plat_invest)) + IF(#REF!=BB$2,IF(#REF!=$AA$2,#REF!*plat_invest)) + IF(#REF!=BB$2,IF(#REF!=$AA$2,#REF!*plat_invest))</f>
        <v>#REF!</v>
      </c>
      <c r="BC19" s="57" t="e">
        <f>IF(#REF!=BC$2,IF(#REF!=$AA$2,#REF!*lumber_invest)) + IF(#REF!=BC$2,IF(#REF!=$AA$2,#REF!*lumber_invest)) + IF(#REF!=BC$2,IF(#REF!=$AA$2,#REF!*lumber_invest))</f>
        <v>#REF!</v>
      </c>
      <c r="BD19" s="57" t="e">
        <f>IF(#REF!=BD$2,IF(#REF!=$AA$2,#REF!*ore_invest)) + IF(#REF!=BD$2,IF(#REF!=$AA$2,#REF!*ore_invest)) + IF(#REF!=BD$2,IF(#REF!=$AA$2,#REF!*ore_invest))</f>
        <v>#REF!</v>
      </c>
      <c r="BE19" s="57" t="e">
        <f>IF(#REF!=BE$2,IF(#REF!=$AA$2,#REF!*gem_invest)) + IF(#REF!=BE$2,IF(#REF!=$AA$2,#REF!*gem_invest)) + IF(#REF!=BE$2,IF(#REF!=$AA$2,#REF!*gem_invest))</f>
        <v>#REF!</v>
      </c>
      <c r="BF19" s="134"/>
      <c r="BG19" s="57" t="e">
        <f>IF(#REF!=BG$2,IF(#REF!=$AB$2,#REF!*plat_invest)) + IF(#REF!=BG$2,IF(#REF!=$AB$2,#REF!*plat_invest)) + IF(#REF!=BG$2,IF(#REF!=$AB$2,#REF!*plat_invest))</f>
        <v>#REF!</v>
      </c>
      <c r="BH19" s="57" t="e">
        <f>IF(#REF!=BH$2,IF(#REF!=$AB$2,#REF!*lumber_invest)) + IF(#REF!=BH$2,IF(#REF!=$AB$2,#REF!*lumber_invest)) + IF(#REF!=BH$2,IF(#REF!=$AB$2,#REF!*lumber_invest))</f>
        <v>#REF!</v>
      </c>
      <c r="BI19" s="57" t="e">
        <f>IF(#REF!=BI$2,IF(#REF!=$AB$2,#REF!*ore_invest)) + IF(#REF!=BI$2,IF(#REF!=$AB$2,#REF!*ore_invest)) + IF(#REF!=BI$2,IF(#REF!=$AB$2,#REF!*ore_invest))</f>
        <v>#REF!</v>
      </c>
      <c r="BJ19" s="57" t="e">
        <f>IF(#REF!=BJ$2,IF(#REF!=$AB$2,#REF!*gem_invest)) + IF(#REF!=BJ$2,IF(#REF!=$AB$2,#REF!*gem_invest)) + IF(#REF!=BJ$2,IF(#REF!=$AB$2,#REF!*gem_invest))</f>
        <v>#REF!</v>
      </c>
      <c r="BK19" s="134"/>
      <c r="BL19" s="57" t="e">
        <f>IF(#REF!=BL$2,IF(#REF!=$AC$2,#REF!*plat_invest)) + IF(#REF!=BL$2,IF(#REF!=$AC$2,#REF!*plat_invest)) + IF(#REF!=BL$2,IF(#REF!=$AC$2,#REF!*plat_invest))</f>
        <v>#REF!</v>
      </c>
      <c r="BM19" s="57" t="e">
        <f>IF(#REF!=BM$2,IF(#REF!=$AC$2,#REF!*lumber_invest)) + IF(#REF!=BM$2,IF(#REF!=$AC$2,#REF!*lumber_invest)) + IF(#REF!=BM$2,IF(#REF!=$AC$2,#REF!*lumber_invest))</f>
        <v>#REF!</v>
      </c>
      <c r="BN19" s="57" t="e">
        <f>IF(#REF!=BN$2,IF(#REF!=$AC$2,#REF!*ore_invest)) + IF(#REF!=BN$2,IF(#REF!=$AC$2,#REF!*ore_invest)) + IF(#REF!=BN$2,IF(#REF!=$AC$2,#REF!*ore_invest))</f>
        <v>#REF!</v>
      </c>
      <c r="BO19" s="57" t="e">
        <f>IF(#REF!=BO$2,IF(#REF!=$AC$2,#REF!*gem_invest)) + IF(#REF!=BO$2,IF(#REF!=$AC$2,#REF!*gem_invest)) + IF(#REF!=BO$2,IF(#REF!=$AC$2,#REF!*gem_invest))</f>
        <v>#REF!</v>
      </c>
      <c r="BP19" s="134"/>
      <c r="BQ19" s="57" t="e">
        <f>IF(#REF!=BQ$2,IF(#REF!=$AD$2,#REF!*plat_invest)) + IF(#REF!=BQ$2,IF(#REF!=$AD$2,#REF!*plat_invest)) + IF(#REF!=BQ$2,IF(#REF!=$AD$2,#REF!*plat_invest))</f>
        <v>#REF!</v>
      </c>
      <c r="BR19" s="57" t="e">
        <f>IF(#REF!=BR$2,IF(#REF!=$AD$2,#REF!*lumber_invest)) + IF(#REF!=BR$2,IF(#REF!=$AD$2,#REF!*lumber_invest)) + IF(#REF!=BR$2,IF(#REF!=$AD$2,#REF!*lumber_invest))</f>
        <v>#REF!</v>
      </c>
      <c r="BS19" s="57" t="e">
        <f>IF(#REF!=BS$2,IF(#REF!=$AD$2,#REF!*ore_invest)) + IF(#REF!=BS$2,IF(#REF!=$AD$2,#REF!*ore_invest)) + IF(#REF!=BS$2,IF(#REF!=$AD$2,#REF!*ore_invest))</f>
        <v>#REF!</v>
      </c>
      <c r="BT19" s="57" t="e">
        <f>IF(#REF!=BT$2,IF(#REF!=$AD$2,#REF!*gem_invest)) + IF(#REF!=BT$2,IF(#REF!=$AD$2,#REF!*gem_invest)) + IF(#REF!=BT$2,IF(#REF!=$AD$2,#REF!*gem_invest))</f>
        <v>#REF!</v>
      </c>
      <c r="BU19" s="134"/>
      <c r="BV19" s="3" t="e">
        <f>OR(#REF!,#REF!,#REF!,#REF!,#REF!,#REF!,#REF!,#REF!,#REF!)</f>
        <v>#REF!</v>
      </c>
      <c r="BW19" s="61" t="e">
        <f>#REF!</f>
        <v>#REF!</v>
      </c>
      <c r="BX19" s="130"/>
      <c r="BY19" s="284" t="e">
        <f ca="1">OFFSET(#REF!,-1,0)+1/24</f>
        <v>#REF!</v>
      </c>
      <c r="BZ19" s="285" t="e">
        <f ca="1">OFFSET(#REF!,-1,0)+1/24</f>
        <v>#REF!</v>
      </c>
      <c r="CA19" s="57"/>
      <c r="CB19" s="283"/>
      <c r="CC19" s="283"/>
      <c r="CF19" s="287"/>
    </row>
    <row r="20" spans="1:84" x14ac:dyDescent="0.25">
      <c r="A20" s="206" t="e">
        <f>#REF!</f>
        <v>#REF!</v>
      </c>
      <c r="B20" s="134"/>
      <c r="C20" s="39" t="e">
        <f>#REF!</f>
        <v>#REF!</v>
      </c>
      <c r="D20" s="39" t="e">
        <f>#REF!</f>
        <v>#REF!</v>
      </c>
      <c r="E20" s="39" t="e">
        <f>#REF!</f>
        <v>#REF!</v>
      </c>
      <c r="F20" s="39" t="e">
        <f>#REF!</f>
        <v>#REF!</v>
      </c>
      <c r="G20" s="133"/>
      <c r="H20" s="39" t="e">
        <f>#REF!</f>
        <v>#REF!</v>
      </c>
      <c r="I20" s="132" t="e">
        <f>#REF!</f>
        <v>#REF!</v>
      </c>
      <c r="J20" s="132" t="e">
        <f>#REF!/#REF!</f>
        <v>#REF!</v>
      </c>
      <c r="K20" s="160" t="e">
        <f>#REF!</f>
        <v>#REF!</v>
      </c>
      <c r="L20" s="276" t="e">
        <f>#REF!</f>
        <v>#REF!</v>
      </c>
      <c r="M20" s="61">
        <f>IF(ISERROR(#REF!),0,#REF!*1)</f>
        <v>0</v>
      </c>
      <c r="N20" s="39" t="e">
        <f>#REF!</f>
        <v>#REF!</v>
      </c>
      <c r="O20" s="277" t="s">
        <v>4</v>
      </c>
      <c r="P20" s="278"/>
      <c r="Q20" s="277" t="s">
        <v>211</v>
      </c>
      <c r="R20" s="277" t="s">
        <v>7</v>
      </c>
      <c r="S20" s="278"/>
      <c r="T20" s="277" t="s">
        <v>211</v>
      </c>
      <c r="U20" s="277" t="s">
        <v>3</v>
      </c>
      <c r="V20" s="278"/>
      <c r="W20" s="277" t="s">
        <v>211</v>
      </c>
      <c r="X20" s="134"/>
      <c r="Y20" s="209" t="e">
        <f ca="1">science_cap*(1-EXP(-#REF!/(science_param*(OFFSET(#REF!,1,0)-OFFSET(#REF!,1,0)*20)+15000)))*(1+(mason_bonus*#REF!/#REF!))</f>
        <v>#REF!</v>
      </c>
      <c r="Z20" s="209" t="e">
        <f ca="1">keep_cap*(1-EXP(-#REF!/(keep_param*(OFFSET(#REF!,1,0)-OFFSET(#REF!,1,0)*20)+15000)))*(1+(mason_bonus*#REF!/#REF!))</f>
        <v>#REF!</v>
      </c>
      <c r="AA20" s="209" t="e">
        <f ca="1">harbor_towers_cap*(1-EXP(-#REF!/(towers_param*(OFFSET(#REF!,1,0)-OFFSET(#REF!,1,0)*20)+15000)))*(1+(mason_bonus*#REF!/#REF!))</f>
        <v>#REF!</v>
      </c>
      <c r="AB20" s="209" t="e">
        <f ca="1">walls_forges_cap*(1-EXP(-#REF!/(walls_forges_param*(OFFSET(#REF!,1,0)-OFFSET(#REF!,1,0)*20)+15000)))*(1+(mason_bonus*#REF!/#REF!))</f>
        <v>#REF!</v>
      </c>
      <c r="AC20" s="209" t="e">
        <f ca="1">walls_forges_cap*(1-EXP(-#REF!/(walls_forges_param*(OFFSET(#REF!,1,0)-OFFSET(#REF!,1,0)*20)+15000)))*(1+(mason_bonus*#REF!/#REF!))</f>
        <v>#REF!</v>
      </c>
      <c r="AD20" s="209" t="e">
        <f ca="1">harbor_towers_cap*(1-EXP(-#REF!/(harbor_towers_param*(OFFSET(#REF!,1,0)-OFFSET(#REF!,1,0)*20)+15000)))*(1+(mason_bonus*#REF!/#REF!))</f>
        <v>#REF!</v>
      </c>
      <c r="AE20" s="134"/>
      <c r="AF20" s="61" t="e">
        <f ca="1">(1+Overview!$I$28)*SUM(#REF!)+OFFSET(#REF!,-1,0)</f>
        <v>#REF!</v>
      </c>
      <c r="AG20" s="61" t="e">
        <f ca="1">(1+Overview!$I$28)*SUM(#REF!)+OFFSET(#REF!,-1,0)</f>
        <v>#REF!</v>
      </c>
      <c r="AH20" s="61" t="e">
        <f ca="1">(1+Overview!$I$28 + tech_7_1*#REF!)*SUM(#REF!)+OFFSET(#REF!,-1,0)</f>
        <v>#REF!</v>
      </c>
      <c r="AI20" s="61" t="e">
        <f ca="1">(1+Overview!$I$28)*SUM(#REF!)+OFFSET(#REF!,-1,0)</f>
        <v>#REF!</v>
      </c>
      <c r="AJ20" s="61" t="e">
        <f ca="1">(1+Overview!$I$28)*SUM(#REF!)+OFFSET(#REF!,-1,0)</f>
        <v>#REF!</v>
      </c>
      <c r="AK20" s="61" t="e">
        <f ca="1">(1+Overview!$I$28 + tech_7_1*#REF!)*SUM(#REF!)+OFFSET(#REF!,-1,0)</f>
        <v>#REF!</v>
      </c>
      <c r="AL20" s="134"/>
      <c r="AM20" s="57" t="e">
        <f>IF(AND(#REF!=AM$2,#REF!&lt;&gt;""),#REF!) + IF(AND(#REF!=AM$2,#REF!&lt;&gt;""),#REF!) + IF(AND(#REF!=AM$2,#REF!&lt;&gt;""),#REF!)</f>
        <v>#REF!</v>
      </c>
      <c r="AN20" s="57" t="e">
        <f>IF(AND(#REF!=AN$2,#REF!&lt;&gt;""),#REF!) + IF(AND(#REF!=AN$2,#REF!&lt;&gt;""),#REF!) + IF(AND(#REF!=AN$2,#REF!&lt;&gt;""),#REF!)</f>
        <v>#REF!</v>
      </c>
      <c r="AO20" s="57" t="e">
        <f>IF(AND(#REF!=AO$2,#REF!&lt;&gt;""),#REF!) + IF(AND(#REF!=AO$2,#REF!&lt;&gt;""),#REF!) + IF(AND(#REF!=AO$2,#REF!&lt;&gt;""),#REF!)</f>
        <v>#REF!</v>
      </c>
      <c r="AP20" s="57" t="e">
        <f>IF(AND(#REF!=AP$2,#REF!&lt;&gt;""),#REF!) + IF(AND(#REF!=AP$2,#REF!&lt;&gt;""),#REF!) + IF(AND(#REF!=AP$2,#REF!&lt;&gt;""),#REF!)</f>
        <v>#REF!</v>
      </c>
      <c r="AQ20" s="134"/>
      <c r="AR20" s="57" t="e">
        <f>IF(#REF!=AR$2,IF(#REF!=$Y$2,#REF!*plat_invest)) + IF(#REF!=AR$2,IF(#REF!=$Y$2,#REF!*plat_invest)) + IF(#REF!=AR$2,IF(#REF!=$Y$2,#REF!*plat_invest))</f>
        <v>#REF!</v>
      </c>
      <c r="AS20" s="57" t="e">
        <f>IF(#REF!=AS$2,IF(#REF!=$Y$2,#REF!*lumber_invest)) + IF(#REF!=AS$2,IF(#REF!=$Y$2,#REF!*lumber_invest)) + IF(#REF!=AS$2,IF(#REF!=$Y$2,#REF!*lumber_invest))</f>
        <v>#REF!</v>
      </c>
      <c r="AT20" s="57" t="e">
        <f>IF(#REF!=AT$2,IF(#REF!=$Y$2,#REF!*ore_invest)) + IF(#REF!=AT$2,IF(#REF!=$Y$2,#REF!*ore_invest)) + IF(#REF!=AT$2,IF(#REF!=$Y$2,#REF!*ore_invest))</f>
        <v>#REF!</v>
      </c>
      <c r="AU20" s="57" t="e">
        <f>IF(#REF!=AU$2,IF(#REF!=$Y$2,#REF!*gem_invest)) + IF(#REF!=AU$2,IF(#REF!=$Y$2,#REF!*gem_invest)) + IF(#REF!=AU$2,IF(#REF!=$Y$2,#REF!*gem_invest))</f>
        <v>#REF!</v>
      </c>
      <c r="AV20" s="134"/>
      <c r="AW20" s="57" t="e">
        <f>IF(#REF!=AW$2,IF(#REF!=$Z$2,#REF!*plat_invest)) + IF(#REF!=AW$2,IF(#REF!=$Z$2,#REF!*plat_invest)) + IF(#REF!=AW$2,IF(#REF!=$Z$2,#REF!*plat_invest))</f>
        <v>#REF!</v>
      </c>
      <c r="AX20" s="57" t="e">
        <f>IF(#REF!=AX$2,IF(#REF!=$Z$2,#REF!*lumber_invest)) + IF(#REF!=AX$2,IF(#REF!=$Z$2,#REF!*lumber_invest)) + IF(#REF!=AX$2,IF(#REF!=$Z$2,#REF!*lumber_invest))</f>
        <v>#REF!</v>
      </c>
      <c r="AY20" s="57" t="e">
        <f>IF(#REF!=AY$2,IF(#REF!=$Z$2,#REF!*ore_invest)) + IF(#REF!=AY$2,IF(#REF!=$Z$2,#REF!*ore_invest)) + IF(#REF!=AY$2,IF(#REF!=$Z$2,#REF!*ore_invest))</f>
        <v>#REF!</v>
      </c>
      <c r="AZ20" s="57" t="e">
        <f>IF(#REF!=AZ$2,IF(#REF!=$Z$2,#REF!*gem_invest)) + IF(#REF!=AZ$2,IF(#REF!=$Z$2,#REF!*gem_invest)) + IF(#REF!=AZ$2,IF(#REF!=$Z$2,#REF!*gem_invest))</f>
        <v>#REF!</v>
      </c>
      <c r="BA20" s="134"/>
      <c r="BB20" s="57" t="e">
        <f>IF(#REF!=BB$2,IF(#REF!=$AA$2,#REF!*plat_invest)) + IF(#REF!=BB$2,IF(#REF!=$AA$2,#REF!*plat_invest)) + IF(#REF!=BB$2,IF(#REF!=$AA$2,#REF!*plat_invest))</f>
        <v>#REF!</v>
      </c>
      <c r="BC20" s="57" t="e">
        <f>IF(#REF!=BC$2,IF(#REF!=$AA$2,#REF!*lumber_invest)) + IF(#REF!=BC$2,IF(#REF!=$AA$2,#REF!*lumber_invest)) + IF(#REF!=BC$2,IF(#REF!=$AA$2,#REF!*lumber_invest))</f>
        <v>#REF!</v>
      </c>
      <c r="BD20" s="57" t="e">
        <f>IF(#REF!=BD$2,IF(#REF!=$AA$2,#REF!*ore_invest)) + IF(#REF!=BD$2,IF(#REF!=$AA$2,#REF!*ore_invest)) + IF(#REF!=BD$2,IF(#REF!=$AA$2,#REF!*ore_invest))</f>
        <v>#REF!</v>
      </c>
      <c r="BE20" s="57" t="e">
        <f>IF(#REF!=BE$2,IF(#REF!=$AA$2,#REF!*gem_invest)) + IF(#REF!=BE$2,IF(#REF!=$AA$2,#REF!*gem_invest)) + IF(#REF!=BE$2,IF(#REF!=$AA$2,#REF!*gem_invest))</f>
        <v>#REF!</v>
      </c>
      <c r="BF20" s="134"/>
      <c r="BG20" s="57" t="e">
        <f>IF(#REF!=BG$2,IF(#REF!=$AB$2,#REF!*plat_invest)) + IF(#REF!=BG$2,IF(#REF!=$AB$2,#REF!*plat_invest)) + IF(#REF!=BG$2,IF(#REF!=$AB$2,#REF!*plat_invest))</f>
        <v>#REF!</v>
      </c>
      <c r="BH20" s="57" t="e">
        <f>IF(#REF!=BH$2,IF(#REF!=$AB$2,#REF!*lumber_invest)) + IF(#REF!=BH$2,IF(#REF!=$AB$2,#REF!*lumber_invest)) + IF(#REF!=BH$2,IF(#REF!=$AB$2,#REF!*lumber_invest))</f>
        <v>#REF!</v>
      </c>
      <c r="BI20" s="57" t="e">
        <f>IF(#REF!=BI$2,IF(#REF!=$AB$2,#REF!*ore_invest)) + IF(#REF!=BI$2,IF(#REF!=$AB$2,#REF!*ore_invest)) + IF(#REF!=BI$2,IF(#REF!=$AB$2,#REF!*ore_invest))</f>
        <v>#REF!</v>
      </c>
      <c r="BJ20" s="57" t="e">
        <f>IF(#REF!=BJ$2,IF(#REF!=$AB$2,#REF!*gem_invest)) + IF(#REF!=BJ$2,IF(#REF!=$AB$2,#REF!*gem_invest)) + IF(#REF!=BJ$2,IF(#REF!=$AB$2,#REF!*gem_invest))</f>
        <v>#REF!</v>
      </c>
      <c r="BK20" s="134"/>
      <c r="BL20" s="57" t="e">
        <f>IF(#REF!=BL$2,IF(#REF!=$AC$2,#REF!*plat_invest)) + IF(#REF!=BL$2,IF(#REF!=$AC$2,#REF!*plat_invest)) + IF(#REF!=BL$2,IF(#REF!=$AC$2,#REF!*plat_invest))</f>
        <v>#REF!</v>
      </c>
      <c r="BM20" s="57" t="e">
        <f>IF(#REF!=BM$2,IF(#REF!=$AC$2,#REF!*lumber_invest)) + IF(#REF!=BM$2,IF(#REF!=$AC$2,#REF!*lumber_invest)) + IF(#REF!=BM$2,IF(#REF!=$AC$2,#REF!*lumber_invest))</f>
        <v>#REF!</v>
      </c>
      <c r="BN20" s="57" t="e">
        <f>IF(#REF!=BN$2,IF(#REF!=$AC$2,#REF!*ore_invest)) + IF(#REF!=BN$2,IF(#REF!=$AC$2,#REF!*ore_invest)) + IF(#REF!=BN$2,IF(#REF!=$AC$2,#REF!*ore_invest))</f>
        <v>#REF!</v>
      </c>
      <c r="BO20" s="57" t="e">
        <f>IF(#REF!=BO$2,IF(#REF!=$AC$2,#REF!*gem_invest)) + IF(#REF!=BO$2,IF(#REF!=$AC$2,#REF!*gem_invest)) + IF(#REF!=BO$2,IF(#REF!=$AC$2,#REF!*gem_invest))</f>
        <v>#REF!</v>
      </c>
      <c r="BP20" s="134"/>
      <c r="BQ20" s="57" t="e">
        <f>IF(#REF!=BQ$2,IF(#REF!=$AD$2,#REF!*plat_invest)) + IF(#REF!=BQ$2,IF(#REF!=$AD$2,#REF!*plat_invest)) + IF(#REF!=BQ$2,IF(#REF!=$AD$2,#REF!*plat_invest))</f>
        <v>#REF!</v>
      </c>
      <c r="BR20" s="57" t="e">
        <f>IF(#REF!=BR$2,IF(#REF!=$AD$2,#REF!*lumber_invest)) + IF(#REF!=BR$2,IF(#REF!=$AD$2,#REF!*lumber_invest)) + IF(#REF!=BR$2,IF(#REF!=$AD$2,#REF!*lumber_invest))</f>
        <v>#REF!</v>
      </c>
      <c r="BS20" s="57" t="e">
        <f>IF(#REF!=BS$2,IF(#REF!=$AD$2,#REF!*ore_invest)) + IF(#REF!=BS$2,IF(#REF!=$AD$2,#REF!*ore_invest)) + IF(#REF!=BS$2,IF(#REF!=$AD$2,#REF!*ore_invest))</f>
        <v>#REF!</v>
      </c>
      <c r="BT20" s="57" t="e">
        <f>IF(#REF!=BT$2,IF(#REF!=$AD$2,#REF!*gem_invest)) + IF(#REF!=BT$2,IF(#REF!=$AD$2,#REF!*gem_invest)) + IF(#REF!=BT$2,IF(#REF!=$AD$2,#REF!*gem_invest))</f>
        <v>#REF!</v>
      </c>
      <c r="BU20" s="134"/>
      <c r="BV20" s="3" t="e">
        <f>OR(#REF!,#REF!,#REF!,#REF!,#REF!,#REF!,#REF!,#REF!,#REF!)</f>
        <v>#REF!</v>
      </c>
      <c r="BW20" s="61" t="e">
        <f>#REF!</f>
        <v>#REF!</v>
      </c>
      <c r="BX20" s="130"/>
      <c r="BY20" s="284" t="e">
        <f ca="1">OFFSET(#REF!,-1,0)+1/24</f>
        <v>#REF!</v>
      </c>
      <c r="BZ20" s="285" t="e">
        <f ca="1">OFFSET(#REF!,-1,0)+1/24</f>
        <v>#REF!</v>
      </c>
      <c r="CA20" s="57"/>
      <c r="CB20" s="283"/>
      <c r="CC20" s="283"/>
      <c r="CF20" s="286"/>
    </row>
    <row r="21" spans="1:84" x14ac:dyDescent="0.25">
      <c r="A21" s="206" t="e">
        <f>#REF!</f>
        <v>#REF!</v>
      </c>
      <c r="B21" s="134"/>
      <c r="C21" s="39" t="e">
        <f>#REF!</f>
        <v>#REF!</v>
      </c>
      <c r="D21" s="39" t="e">
        <f>#REF!</f>
        <v>#REF!</v>
      </c>
      <c r="E21" s="39" t="e">
        <f>#REF!</f>
        <v>#REF!</v>
      </c>
      <c r="F21" s="39" t="e">
        <f>#REF!</f>
        <v>#REF!</v>
      </c>
      <c r="G21" s="133"/>
      <c r="H21" s="39" t="e">
        <f>#REF!</f>
        <v>#REF!</v>
      </c>
      <c r="I21" s="132" t="e">
        <f>#REF!</f>
        <v>#REF!</v>
      </c>
      <c r="J21" s="132" t="e">
        <f>#REF!/#REF!</f>
        <v>#REF!</v>
      </c>
      <c r="K21" s="160" t="e">
        <f>#REF!</f>
        <v>#REF!</v>
      </c>
      <c r="L21" s="276" t="e">
        <f>#REF!</f>
        <v>#REF!</v>
      </c>
      <c r="M21" s="61">
        <f>IF(ISERROR(#REF!),0,#REF!*1)</f>
        <v>0</v>
      </c>
      <c r="N21" s="39" t="e">
        <f>#REF!</f>
        <v>#REF!</v>
      </c>
      <c r="O21" s="277" t="s">
        <v>4</v>
      </c>
      <c r="P21" s="278"/>
      <c r="Q21" s="277" t="s">
        <v>211</v>
      </c>
      <c r="R21" s="277" t="s">
        <v>7</v>
      </c>
      <c r="S21" s="278"/>
      <c r="T21" s="277" t="s">
        <v>211</v>
      </c>
      <c r="U21" s="277" t="s">
        <v>3</v>
      </c>
      <c r="V21" s="278"/>
      <c r="W21" s="277" t="s">
        <v>211</v>
      </c>
      <c r="X21" s="134"/>
      <c r="Y21" s="209" t="e">
        <f ca="1">science_cap*(1-EXP(-#REF!/(science_param*(OFFSET(#REF!,1,0)-OFFSET(#REF!,1,0)*20)+15000)))*(1+(mason_bonus*#REF!/#REF!))</f>
        <v>#REF!</v>
      </c>
      <c r="Z21" s="209" t="e">
        <f ca="1">keep_cap*(1-EXP(-#REF!/(keep_param*(OFFSET(#REF!,1,0)-OFFSET(#REF!,1,0)*20)+15000)))*(1+(mason_bonus*#REF!/#REF!))</f>
        <v>#REF!</v>
      </c>
      <c r="AA21" s="209" t="e">
        <f ca="1">harbor_towers_cap*(1-EXP(-#REF!/(towers_param*(OFFSET(#REF!,1,0)-OFFSET(#REF!,1,0)*20)+15000)))*(1+(mason_bonus*#REF!/#REF!))</f>
        <v>#REF!</v>
      </c>
      <c r="AB21" s="209" t="e">
        <f ca="1">walls_forges_cap*(1-EXP(-#REF!/(walls_forges_param*(OFFSET(#REF!,1,0)-OFFSET(#REF!,1,0)*20)+15000)))*(1+(mason_bonus*#REF!/#REF!))</f>
        <v>#REF!</v>
      </c>
      <c r="AC21" s="209" t="e">
        <f ca="1">walls_forges_cap*(1-EXP(-#REF!/(walls_forges_param*(OFFSET(#REF!,1,0)-OFFSET(#REF!,1,0)*20)+15000)))*(1+(mason_bonus*#REF!/#REF!))</f>
        <v>#REF!</v>
      </c>
      <c r="AD21" s="209" t="e">
        <f ca="1">harbor_towers_cap*(1-EXP(-#REF!/(harbor_towers_param*(OFFSET(#REF!,1,0)-OFFSET(#REF!,1,0)*20)+15000)))*(1+(mason_bonus*#REF!/#REF!))</f>
        <v>#REF!</v>
      </c>
      <c r="AE21" s="134"/>
      <c r="AF21" s="61" t="e">
        <f ca="1">(1+Overview!$I$28)*SUM(#REF!)+OFFSET(#REF!,-1,0)</f>
        <v>#REF!</v>
      </c>
      <c r="AG21" s="61" t="e">
        <f ca="1">(1+Overview!$I$28)*SUM(#REF!)+OFFSET(#REF!,-1,0)</f>
        <v>#REF!</v>
      </c>
      <c r="AH21" s="61" t="e">
        <f ca="1">(1+Overview!$I$28 + tech_7_1*#REF!)*SUM(#REF!)+OFFSET(#REF!,-1,0)</f>
        <v>#REF!</v>
      </c>
      <c r="AI21" s="61" t="e">
        <f ca="1">(1+Overview!$I$28)*SUM(#REF!)+OFFSET(#REF!,-1,0)</f>
        <v>#REF!</v>
      </c>
      <c r="AJ21" s="61" t="e">
        <f ca="1">(1+Overview!$I$28)*SUM(#REF!)+OFFSET(#REF!,-1,0)</f>
        <v>#REF!</v>
      </c>
      <c r="AK21" s="61" t="e">
        <f ca="1">(1+Overview!$I$28 + tech_7_1*#REF!)*SUM(#REF!)+OFFSET(#REF!,-1,0)</f>
        <v>#REF!</v>
      </c>
      <c r="AL21" s="134"/>
      <c r="AM21" s="57" t="e">
        <f>IF(AND(#REF!=AM$2,#REF!&lt;&gt;""),#REF!) + IF(AND(#REF!=AM$2,#REF!&lt;&gt;""),#REF!) + IF(AND(#REF!=AM$2,#REF!&lt;&gt;""),#REF!)</f>
        <v>#REF!</v>
      </c>
      <c r="AN21" s="57" t="e">
        <f>IF(AND(#REF!=AN$2,#REF!&lt;&gt;""),#REF!) + IF(AND(#REF!=AN$2,#REF!&lt;&gt;""),#REF!) + IF(AND(#REF!=AN$2,#REF!&lt;&gt;""),#REF!)</f>
        <v>#REF!</v>
      </c>
      <c r="AO21" s="57" t="e">
        <f>IF(AND(#REF!=AO$2,#REF!&lt;&gt;""),#REF!) + IF(AND(#REF!=AO$2,#REF!&lt;&gt;""),#REF!) + IF(AND(#REF!=AO$2,#REF!&lt;&gt;""),#REF!)</f>
        <v>#REF!</v>
      </c>
      <c r="AP21" s="57" t="e">
        <f>IF(AND(#REF!=AP$2,#REF!&lt;&gt;""),#REF!) + IF(AND(#REF!=AP$2,#REF!&lt;&gt;""),#REF!) + IF(AND(#REF!=AP$2,#REF!&lt;&gt;""),#REF!)</f>
        <v>#REF!</v>
      </c>
      <c r="AQ21" s="134"/>
      <c r="AR21" s="57" t="e">
        <f>IF(#REF!=AR$2,IF(#REF!=$Y$2,#REF!*plat_invest)) + IF(#REF!=AR$2,IF(#REF!=$Y$2,#REF!*plat_invest)) + IF(#REF!=AR$2,IF(#REF!=$Y$2,#REF!*plat_invest))</f>
        <v>#REF!</v>
      </c>
      <c r="AS21" s="57" t="e">
        <f>IF(#REF!=AS$2,IF(#REF!=$Y$2,#REF!*lumber_invest)) + IF(#REF!=AS$2,IF(#REF!=$Y$2,#REF!*lumber_invest)) + IF(#REF!=AS$2,IF(#REF!=$Y$2,#REF!*lumber_invest))</f>
        <v>#REF!</v>
      </c>
      <c r="AT21" s="57" t="e">
        <f>IF(#REF!=AT$2,IF(#REF!=$Y$2,#REF!*ore_invest)) + IF(#REF!=AT$2,IF(#REF!=$Y$2,#REF!*ore_invest)) + IF(#REF!=AT$2,IF(#REF!=$Y$2,#REF!*ore_invest))</f>
        <v>#REF!</v>
      </c>
      <c r="AU21" s="57" t="e">
        <f>IF(#REF!=AU$2,IF(#REF!=$Y$2,#REF!*gem_invest)) + IF(#REF!=AU$2,IF(#REF!=$Y$2,#REF!*gem_invest)) + IF(#REF!=AU$2,IF(#REF!=$Y$2,#REF!*gem_invest))</f>
        <v>#REF!</v>
      </c>
      <c r="AV21" s="134"/>
      <c r="AW21" s="57" t="e">
        <f>IF(#REF!=AW$2,IF(#REF!=$Z$2,#REF!*plat_invest)) + IF(#REF!=AW$2,IF(#REF!=$Z$2,#REF!*plat_invest)) + IF(#REF!=AW$2,IF(#REF!=$Z$2,#REF!*plat_invest))</f>
        <v>#REF!</v>
      </c>
      <c r="AX21" s="57" t="e">
        <f>IF(#REF!=AX$2,IF(#REF!=$Z$2,#REF!*lumber_invest)) + IF(#REF!=AX$2,IF(#REF!=$Z$2,#REF!*lumber_invest)) + IF(#REF!=AX$2,IF(#REF!=$Z$2,#REF!*lumber_invest))</f>
        <v>#REF!</v>
      </c>
      <c r="AY21" s="57" t="e">
        <f>IF(#REF!=AY$2,IF(#REF!=$Z$2,#REF!*ore_invest)) + IF(#REF!=AY$2,IF(#REF!=$Z$2,#REF!*ore_invest)) + IF(#REF!=AY$2,IF(#REF!=$Z$2,#REF!*ore_invest))</f>
        <v>#REF!</v>
      </c>
      <c r="AZ21" s="57" t="e">
        <f>IF(#REF!=AZ$2,IF(#REF!=$Z$2,#REF!*gem_invest)) + IF(#REF!=AZ$2,IF(#REF!=$Z$2,#REF!*gem_invest)) + IF(#REF!=AZ$2,IF(#REF!=$Z$2,#REF!*gem_invest))</f>
        <v>#REF!</v>
      </c>
      <c r="BA21" s="134"/>
      <c r="BB21" s="57" t="e">
        <f>IF(#REF!=BB$2,IF(#REF!=$AA$2,#REF!*plat_invest)) + IF(#REF!=BB$2,IF(#REF!=$AA$2,#REF!*plat_invest)) + IF(#REF!=BB$2,IF(#REF!=$AA$2,#REF!*plat_invest))</f>
        <v>#REF!</v>
      </c>
      <c r="BC21" s="57" t="e">
        <f>IF(#REF!=BC$2,IF(#REF!=$AA$2,#REF!*lumber_invest)) + IF(#REF!=BC$2,IF(#REF!=$AA$2,#REF!*lumber_invest)) + IF(#REF!=BC$2,IF(#REF!=$AA$2,#REF!*lumber_invest))</f>
        <v>#REF!</v>
      </c>
      <c r="BD21" s="57" t="e">
        <f>IF(#REF!=BD$2,IF(#REF!=$AA$2,#REF!*ore_invest)) + IF(#REF!=BD$2,IF(#REF!=$AA$2,#REF!*ore_invest)) + IF(#REF!=BD$2,IF(#REF!=$AA$2,#REF!*ore_invest))</f>
        <v>#REF!</v>
      </c>
      <c r="BE21" s="57" t="e">
        <f>IF(#REF!=BE$2,IF(#REF!=$AA$2,#REF!*gem_invest)) + IF(#REF!=BE$2,IF(#REF!=$AA$2,#REF!*gem_invest)) + IF(#REF!=BE$2,IF(#REF!=$AA$2,#REF!*gem_invest))</f>
        <v>#REF!</v>
      </c>
      <c r="BF21" s="134"/>
      <c r="BG21" s="57" t="e">
        <f>IF(#REF!=BG$2,IF(#REF!=$AB$2,#REF!*plat_invest)) + IF(#REF!=BG$2,IF(#REF!=$AB$2,#REF!*plat_invest)) + IF(#REF!=BG$2,IF(#REF!=$AB$2,#REF!*plat_invest))</f>
        <v>#REF!</v>
      </c>
      <c r="BH21" s="57" t="e">
        <f>IF(#REF!=BH$2,IF(#REF!=$AB$2,#REF!*lumber_invest)) + IF(#REF!=BH$2,IF(#REF!=$AB$2,#REF!*lumber_invest)) + IF(#REF!=BH$2,IF(#REF!=$AB$2,#REF!*lumber_invest))</f>
        <v>#REF!</v>
      </c>
      <c r="BI21" s="57" t="e">
        <f>IF(#REF!=BI$2,IF(#REF!=$AB$2,#REF!*ore_invest)) + IF(#REF!=BI$2,IF(#REF!=$AB$2,#REF!*ore_invest)) + IF(#REF!=BI$2,IF(#REF!=$AB$2,#REF!*ore_invest))</f>
        <v>#REF!</v>
      </c>
      <c r="BJ21" s="57" t="e">
        <f>IF(#REF!=BJ$2,IF(#REF!=$AB$2,#REF!*gem_invest)) + IF(#REF!=BJ$2,IF(#REF!=$AB$2,#REF!*gem_invest)) + IF(#REF!=BJ$2,IF(#REF!=$AB$2,#REF!*gem_invest))</f>
        <v>#REF!</v>
      </c>
      <c r="BK21" s="134"/>
      <c r="BL21" s="57" t="e">
        <f>IF(#REF!=BL$2,IF(#REF!=$AC$2,#REF!*plat_invest)) + IF(#REF!=BL$2,IF(#REF!=$AC$2,#REF!*plat_invest)) + IF(#REF!=BL$2,IF(#REF!=$AC$2,#REF!*plat_invest))</f>
        <v>#REF!</v>
      </c>
      <c r="BM21" s="57" t="e">
        <f>IF(#REF!=BM$2,IF(#REF!=$AC$2,#REF!*lumber_invest)) + IF(#REF!=BM$2,IF(#REF!=$AC$2,#REF!*lumber_invest)) + IF(#REF!=BM$2,IF(#REF!=$AC$2,#REF!*lumber_invest))</f>
        <v>#REF!</v>
      </c>
      <c r="BN21" s="57" t="e">
        <f>IF(#REF!=BN$2,IF(#REF!=$AC$2,#REF!*ore_invest)) + IF(#REF!=BN$2,IF(#REF!=$AC$2,#REF!*ore_invest)) + IF(#REF!=BN$2,IF(#REF!=$AC$2,#REF!*ore_invest))</f>
        <v>#REF!</v>
      </c>
      <c r="BO21" s="57" t="e">
        <f>IF(#REF!=BO$2,IF(#REF!=$AC$2,#REF!*gem_invest)) + IF(#REF!=BO$2,IF(#REF!=$AC$2,#REF!*gem_invest)) + IF(#REF!=BO$2,IF(#REF!=$AC$2,#REF!*gem_invest))</f>
        <v>#REF!</v>
      </c>
      <c r="BP21" s="134"/>
      <c r="BQ21" s="57" t="e">
        <f>IF(#REF!=BQ$2,IF(#REF!=$AD$2,#REF!*plat_invest)) + IF(#REF!=BQ$2,IF(#REF!=$AD$2,#REF!*plat_invest)) + IF(#REF!=BQ$2,IF(#REF!=$AD$2,#REF!*plat_invest))</f>
        <v>#REF!</v>
      </c>
      <c r="BR21" s="57" t="e">
        <f>IF(#REF!=BR$2,IF(#REF!=$AD$2,#REF!*lumber_invest)) + IF(#REF!=BR$2,IF(#REF!=$AD$2,#REF!*lumber_invest)) + IF(#REF!=BR$2,IF(#REF!=$AD$2,#REF!*lumber_invest))</f>
        <v>#REF!</v>
      </c>
      <c r="BS21" s="57" t="e">
        <f>IF(#REF!=BS$2,IF(#REF!=$AD$2,#REF!*ore_invest)) + IF(#REF!=BS$2,IF(#REF!=$AD$2,#REF!*ore_invest)) + IF(#REF!=BS$2,IF(#REF!=$AD$2,#REF!*ore_invest))</f>
        <v>#REF!</v>
      </c>
      <c r="BT21" s="57" t="e">
        <f>IF(#REF!=BT$2,IF(#REF!=$AD$2,#REF!*gem_invest)) + IF(#REF!=BT$2,IF(#REF!=$AD$2,#REF!*gem_invest)) + IF(#REF!=BT$2,IF(#REF!=$AD$2,#REF!*gem_invest))</f>
        <v>#REF!</v>
      </c>
      <c r="BU21" s="134"/>
      <c r="BV21" s="3" t="e">
        <f>OR(#REF!,#REF!,#REF!,#REF!,#REF!,#REF!,#REF!,#REF!,#REF!)</f>
        <v>#REF!</v>
      </c>
      <c r="BW21" s="61" t="e">
        <f>#REF!</f>
        <v>#REF!</v>
      </c>
      <c r="BX21" s="130"/>
      <c r="BY21" s="284" t="e">
        <f ca="1">OFFSET(#REF!,-1,0)+1/24</f>
        <v>#REF!</v>
      </c>
      <c r="BZ21" s="285" t="e">
        <f ca="1">OFFSET(#REF!,-1,0)+1/24</f>
        <v>#REF!</v>
      </c>
      <c r="CA21" s="57"/>
      <c r="CB21" s="283"/>
      <c r="CC21" s="283"/>
      <c r="CF21" s="286"/>
    </row>
    <row r="22" spans="1:84" x14ac:dyDescent="0.25">
      <c r="A22" s="206" t="e">
        <f>#REF!</f>
        <v>#REF!</v>
      </c>
      <c r="B22" s="134"/>
      <c r="C22" s="39" t="e">
        <f>#REF!</f>
        <v>#REF!</v>
      </c>
      <c r="D22" s="39" t="e">
        <f>#REF!</f>
        <v>#REF!</v>
      </c>
      <c r="E22" s="39" t="e">
        <f>#REF!</f>
        <v>#REF!</v>
      </c>
      <c r="F22" s="39" t="e">
        <f>#REF!</f>
        <v>#REF!</v>
      </c>
      <c r="G22" s="133"/>
      <c r="H22" s="39" t="e">
        <f>#REF!</f>
        <v>#REF!</v>
      </c>
      <c r="I22" s="132" t="e">
        <f>#REF!</f>
        <v>#REF!</v>
      </c>
      <c r="J22" s="132" t="e">
        <f>#REF!/#REF!</f>
        <v>#REF!</v>
      </c>
      <c r="K22" s="160" t="e">
        <f>#REF!</f>
        <v>#REF!</v>
      </c>
      <c r="L22" s="276" t="e">
        <f>#REF!</f>
        <v>#REF!</v>
      </c>
      <c r="M22" s="61">
        <f>IF(ISERROR(#REF!),0,#REF!*1)</f>
        <v>0</v>
      </c>
      <c r="N22" s="39" t="e">
        <f>#REF!</f>
        <v>#REF!</v>
      </c>
      <c r="O22" s="277" t="s">
        <v>4</v>
      </c>
      <c r="P22" s="278"/>
      <c r="Q22" s="277" t="s">
        <v>211</v>
      </c>
      <c r="R22" s="277" t="s">
        <v>7</v>
      </c>
      <c r="S22" s="278"/>
      <c r="T22" s="277" t="s">
        <v>211</v>
      </c>
      <c r="U22" s="277" t="s">
        <v>3</v>
      </c>
      <c r="V22" s="278"/>
      <c r="W22" s="277" t="s">
        <v>211</v>
      </c>
      <c r="X22" s="134"/>
      <c r="Y22" s="209" t="e">
        <f ca="1">science_cap*(1-EXP(-#REF!/(science_param*(OFFSET(#REF!,1,0)-OFFSET(#REF!,1,0)*20)+15000)))*(1+(mason_bonus*#REF!/#REF!))</f>
        <v>#REF!</v>
      </c>
      <c r="Z22" s="209" t="e">
        <f ca="1">keep_cap*(1-EXP(-#REF!/(keep_param*(OFFSET(#REF!,1,0)-OFFSET(#REF!,1,0)*20)+15000)))*(1+(mason_bonus*#REF!/#REF!))</f>
        <v>#REF!</v>
      </c>
      <c r="AA22" s="209" t="e">
        <f ca="1">harbor_towers_cap*(1-EXP(-#REF!/(towers_param*(OFFSET(#REF!,1,0)-OFFSET(#REF!,1,0)*20)+15000)))*(1+(mason_bonus*#REF!/#REF!))</f>
        <v>#REF!</v>
      </c>
      <c r="AB22" s="209" t="e">
        <f ca="1">walls_forges_cap*(1-EXP(-#REF!/(walls_forges_param*(OFFSET(#REF!,1,0)-OFFSET(#REF!,1,0)*20)+15000)))*(1+(mason_bonus*#REF!/#REF!))</f>
        <v>#REF!</v>
      </c>
      <c r="AC22" s="209" t="e">
        <f ca="1">walls_forges_cap*(1-EXP(-#REF!/(walls_forges_param*(OFFSET(#REF!,1,0)-OFFSET(#REF!,1,0)*20)+15000)))*(1+(mason_bonus*#REF!/#REF!))</f>
        <v>#REF!</v>
      </c>
      <c r="AD22" s="209" t="e">
        <f ca="1">harbor_towers_cap*(1-EXP(-#REF!/(harbor_towers_param*(OFFSET(#REF!,1,0)-OFFSET(#REF!,1,0)*20)+15000)))*(1+(mason_bonus*#REF!/#REF!))</f>
        <v>#REF!</v>
      </c>
      <c r="AE22" s="134"/>
      <c r="AF22" s="61" t="e">
        <f ca="1">(1+Overview!$I$28)*SUM(#REF!)+OFFSET(#REF!,-1,0)</f>
        <v>#REF!</v>
      </c>
      <c r="AG22" s="61" t="e">
        <f ca="1">(1+Overview!$I$28)*SUM(#REF!)+OFFSET(#REF!,-1,0)</f>
        <v>#REF!</v>
      </c>
      <c r="AH22" s="61" t="e">
        <f ca="1">(1+Overview!$I$28 + tech_7_1*#REF!)*SUM(#REF!)+OFFSET(#REF!,-1,0)</f>
        <v>#REF!</v>
      </c>
      <c r="AI22" s="61" t="e">
        <f ca="1">(1+Overview!$I$28)*SUM(#REF!)+OFFSET(#REF!,-1,0)</f>
        <v>#REF!</v>
      </c>
      <c r="AJ22" s="61" t="e">
        <f ca="1">(1+Overview!$I$28)*SUM(#REF!)+OFFSET(#REF!,-1,0)</f>
        <v>#REF!</v>
      </c>
      <c r="AK22" s="61" t="e">
        <f ca="1">(1+Overview!$I$28 + tech_7_1*#REF!)*SUM(#REF!)+OFFSET(#REF!,-1,0)</f>
        <v>#REF!</v>
      </c>
      <c r="AL22" s="134"/>
      <c r="AM22" s="57" t="e">
        <f>IF(AND(#REF!=AM$2,#REF!&lt;&gt;""),#REF!) + IF(AND(#REF!=AM$2,#REF!&lt;&gt;""),#REF!) + IF(AND(#REF!=AM$2,#REF!&lt;&gt;""),#REF!)</f>
        <v>#REF!</v>
      </c>
      <c r="AN22" s="57" t="e">
        <f>IF(AND(#REF!=AN$2,#REF!&lt;&gt;""),#REF!) + IF(AND(#REF!=AN$2,#REF!&lt;&gt;""),#REF!) + IF(AND(#REF!=AN$2,#REF!&lt;&gt;""),#REF!)</f>
        <v>#REF!</v>
      </c>
      <c r="AO22" s="57" t="e">
        <f>IF(AND(#REF!=AO$2,#REF!&lt;&gt;""),#REF!) + IF(AND(#REF!=AO$2,#REF!&lt;&gt;""),#REF!) + IF(AND(#REF!=AO$2,#REF!&lt;&gt;""),#REF!)</f>
        <v>#REF!</v>
      </c>
      <c r="AP22" s="57" t="e">
        <f>IF(AND(#REF!=AP$2,#REF!&lt;&gt;""),#REF!) + IF(AND(#REF!=AP$2,#REF!&lt;&gt;""),#REF!) + IF(AND(#REF!=AP$2,#REF!&lt;&gt;""),#REF!)</f>
        <v>#REF!</v>
      </c>
      <c r="AQ22" s="134"/>
      <c r="AR22" s="57" t="e">
        <f>IF(#REF!=AR$2,IF(#REF!=$Y$2,#REF!*plat_invest)) + IF(#REF!=AR$2,IF(#REF!=$Y$2,#REF!*plat_invest)) + IF(#REF!=AR$2,IF(#REF!=$Y$2,#REF!*plat_invest))</f>
        <v>#REF!</v>
      </c>
      <c r="AS22" s="57" t="e">
        <f>IF(#REF!=AS$2,IF(#REF!=$Y$2,#REF!*lumber_invest)) + IF(#REF!=AS$2,IF(#REF!=$Y$2,#REF!*lumber_invest)) + IF(#REF!=AS$2,IF(#REF!=$Y$2,#REF!*lumber_invest))</f>
        <v>#REF!</v>
      </c>
      <c r="AT22" s="57" t="e">
        <f>IF(#REF!=AT$2,IF(#REF!=$Y$2,#REF!*ore_invest)) + IF(#REF!=AT$2,IF(#REF!=$Y$2,#REF!*ore_invest)) + IF(#REF!=AT$2,IF(#REF!=$Y$2,#REF!*ore_invest))</f>
        <v>#REF!</v>
      </c>
      <c r="AU22" s="57" t="e">
        <f>IF(#REF!=AU$2,IF(#REF!=$Y$2,#REF!*gem_invest)) + IF(#REF!=AU$2,IF(#REF!=$Y$2,#REF!*gem_invest)) + IF(#REF!=AU$2,IF(#REF!=$Y$2,#REF!*gem_invest))</f>
        <v>#REF!</v>
      </c>
      <c r="AV22" s="134"/>
      <c r="AW22" s="57" t="e">
        <f>IF(#REF!=AW$2,IF(#REF!=$Z$2,#REF!*plat_invest)) + IF(#REF!=AW$2,IF(#REF!=$Z$2,#REF!*plat_invest)) + IF(#REF!=AW$2,IF(#REF!=$Z$2,#REF!*plat_invest))</f>
        <v>#REF!</v>
      </c>
      <c r="AX22" s="57" t="e">
        <f>IF(#REF!=AX$2,IF(#REF!=$Z$2,#REF!*lumber_invest)) + IF(#REF!=AX$2,IF(#REF!=$Z$2,#REF!*lumber_invest)) + IF(#REF!=AX$2,IF(#REF!=$Z$2,#REF!*lumber_invest))</f>
        <v>#REF!</v>
      </c>
      <c r="AY22" s="57" t="e">
        <f>IF(#REF!=AY$2,IF(#REF!=$Z$2,#REF!*ore_invest)) + IF(#REF!=AY$2,IF(#REF!=$Z$2,#REF!*ore_invest)) + IF(#REF!=AY$2,IF(#REF!=$Z$2,#REF!*ore_invest))</f>
        <v>#REF!</v>
      </c>
      <c r="AZ22" s="57" t="e">
        <f>IF(#REF!=AZ$2,IF(#REF!=$Z$2,#REF!*gem_invest)) + IF(#REF!=AZ$2,IF(#REF!=$Z$2,#REF!*gem_invest)) + IF(#REF!=AZ$2,IF(#REF!=$Z$2,#REF!*gem_invest))</f>
        <v>#REF!</v>
      </c>
      <c r="BA22" s="134"/>
      <c r="BB22" s="57" t="e">
        <f>IF(#REF!=BB$2,IF(#REF!=$AA$2,#REF!*plat_invest)) + IF(#REF!=BB$2,IF(#REF!=$AA$2,#REF!*plat_invest)) + IF(#REF!=BB$2,IF(#REF!=$AA$2,#REF!*plat_invest))</f>
        <v>#REF!</v>
      </c>
      <c r="BC22" s="57" t="e">
        <f>IF(#REF!=BC$2,IF(#REF!=$AA$2,#REF!*lumber_invest)) + IF(#REF!=BC$2,IF(#REF!=$AA$2,#REF!*lumber_invest)) + IF(#REF!=BC$2,IF(#REF!=$AA$2,#REF!*lumber_invest))</f>
        <v>#REF!</v>
      </c>
      <c r="BD22" s="57" t="e">
        <f>IF(#REF!=BD$2,IF(#REF!=$AA$2,#REF!*ore_invest)) + IF(#REF!=BD$2,IF(#REF!=$AA$2,#REF!*ore_invest)) + IF(#REF!=BD$2,IF(#REF!=$AA$2,#REF!*ore_invest))</f>
        <v>#REF!</v>
      </c>
      <c r="BE22" s="57" t="e">
        <f>IF(#REF!=BE$2,IF(#REF!=$AA$2,#REF!*gem_invest)) + IF(#REF!=BE$2,IF(#REF!=$AA$2,#REF!*gem_invest)) + IF(#REF!=BE$2,IF(#REF!=$AA$2,#REF!*gem_invest))</f>
        <v>#REF!</v>
      </c>
      <c r="BF22" s="134"/>
      <c r="BG22" s="57" t="e">
        <f>IF(#REF!=BG$2,IF(#REF!=$AB$2,#REF!*plat_invest)) + IF(#REF!=BG$2,IF(#REF!=$AB$2,#REF!*plat_invest)) + IF(#REF!=BG$2,IF(#REF!=$AB$2,#REF!*plat_invest))</f>
        <v>#REF!</v>
      </c>
      <c r="BH22" s="57" t="e">
        <f>IF(#REF!=BH$2,IF(#REF!=$AB$2,#REF!*lumber_invest)) + IF(#REF!=BH$2,IF(#REF!=$AB$2,#REF!*lumber_invest)) + IF(#REF!=BH$2,IF(#REF!=$AB$2,#REF!*lumber_invest))</f>
        <v>#REF!</v>
      </c>
      <c r="BI22" s="57" t="e">
        <f>IF(#REF!=BI$2,IF(#REF!=$AB$2,#REF!*ore_invest)) + IF(#REF!=BI$2,IF(#REF!=$AB$2,#REF!*ore_invest)) + IF(#REF!=BI$2,IF(#REF!=$AB$2,#REF!*ore_invest))</f>
        <v>#REF!</v>
      </c>
      <c r="BJ22" s="57" t="e">
        <f>IF(#REF!=BJ$2,IF(#REF!=$AB$2,#REF!*gem_invest)) + IF(#REF!=BJ$2,IF(#REF!=$AB$2,#REF!*gem_invest)) + IF(#REF!=BJ$2,IF(#REF!=$AB$2,#REF!*gem_invest))</f>
        <v>#REF!</v>
      </c>
      <c r="BK22" s="134"/>
      <c r="BL22" s="57" t="e">
        <f>IF(#REF!=BL$2,IF(#REF!=$AC$2,#REF!*plat_invest)) + IF(#REF!=BL$2,IF(#REF!=$AC$2,#REF!*plat_invest)) + IF(#REF!=BL$2,IF(#REF!=$AC$2,#REF!*plat_invest))</f>
        <v>#REF!</v>
      </c>
      <c r="BM22" s="57" t="e">
        <f>IF(#REF!=BM$2,IF(#REF!=$AC$2,#REF!*lumber_invest)) + IF(#REF!=BM$2,IF(#REF!=$AC$2,#REF!*lumber_invest)) + IF(#REF!=BM$2,IF(#REF!=$AC$2,#REF!*lumber_invest))</f>
        <v>#REF!</v>
      </c>
      <c r="BN22" s="57" t="e">
        <f>IF(#REF!=BN$2,IF(#REF!=$AC$2,#REF!*ore_invest)) + IF(#REF!=BN$2,IF(#REF!=$AC$2,#REF!*ore_invest)) + IF(#REF!=BN$2,IF(#REF!=$AC$2,#REF!*ore_invest))</f>
        <v>#REF!</v>
      </c>
      <c r="BO22" s="57" t="e">
        <f>IF(#REF!=BO$2,IF(#REF!=$AC$2,#REF!*gem_invest)) + IF(#REF!=BO$2,IF(#REF!=$AC$2,#REF!*gem_invest)) + IF(#REF!=BO$2,IF(#REF!=$AC$2,#REF!*gem_invest))</f>
        <v>#REF!</v>
      </c>
      <c r="BP22" s="134"/>
      <c r="BQ22" s="57" t="e">
        <f>IF(#REF!=BQ$2,IF(#REF!=$AD$2,#REF!*plat_invest)) + IF(#REF!=BQ$2,IF(#REF!=$AD$2,#REF!*plat_invest)) + IF(#REF!=BQ$2,IF(#REF!=$AD$2,#REF!*plat_invest))</f>
        <v>#REF!</v>
      </c>
      <c r="BR22" s="57" t="e">
        <f>IF(#REF!=BR$2,IF(#REF!=$AD$2,#REF!*lumber_invest)) + IF(#REF!=BR$2,IF(#REF!=$AD$2,#REF!*lumber_invest)) + IF(#REF!=BR$2,IF(#REF!=$AD$2,#REF!*lumber_invest))</f>
        <v>#REF!</v>
      </c>
      <c r="BS22" s="57" t="e">
        <f>IF(#REF!=BS$2,IF(#REF!=$AD$2,#REF!*ore_invest)) + IF(#REF!=BS$2,IF(#REF!=$AD$2,#REF!*ore_invest)) + IF(#REF!=BS$2,IF(#REF!=$AD$2,#REF!*ore_invest))</f>
        <v>#REF!</v>
      </c>
      <c r="BT22" s="57" t="e">
        <f>IF(#REF!=BT$2,IF(#REF!=$AD$2,#REF!*gem_invest)) + IF(#REF!=BT$2,IF(#REF!=$AD$2,#REF!*gem_invest)) + IF(#REF!=BT$2,IF(#REF!=$AD$2,#REF!*gem_invest))</f>
        <v>#REF!</v>
      </c>
      <c r="BU22" s="134"/>
      <c r="BV22" s="3" t="e">
        <f>OR(#REF!,#REF!,#REF!,#REF!,#REF!,#REF!,#REF!,#REF!,#REF!)</f>
        <v>#REF!</v>
      </c>
      <c r="BW22" s="61" t="e">
        <f>#REF!</f>
        <v>#REF!</v>
      </c>
      <c r="BX22" s="130"/>
      <c r="BY22" s="284" t="e">
        <f ca="1">OFFSET(#REF!,-1,0)+1/24</f>
        <v>#REF!</v>
      </c>
      <c r="BZ22" s="285" t="e">
        <f ca="1">OFFSET(#REF!,-1,0)+1/24</f>
        <v>#REF!</v>
      </c>
      <c r="CA22" s="57"/>
      <c r="CB22" s="283"/>
      <c r="CC22" s="283"/>
    </row>
    <row r="23" spans="1:84" x14ac:dyDescent="0.25">
      <c r="A23" s="206" t="e">
        <f>#REF!</f>
        <v>#REF!</v>
      </c>
      <c r="B23" s="134"/>
      <c r="C23" s="39" t="e">
        <f>#REF!</f>
        <v>#REF!</v>
      </c>
      <c r="D23" s="39" t="e">
        <f>#REF!</f>
        <v>#REF!</v>
      </c>
      <c r="E23" s="39" t="e">
        <f>#REF!</f>
        <v>#REF!</v>
      </c>
      <c r="F23" s="39" t="e">
        <f>#REF!</f>
        <v>#REF!</v>
      </c>
      <c r="G23" s="133"/>
      <c r="H23" s="39" t="e">
        <f>#REF!</f>
        <v>#REF!</v>
      </c>
      <c r="I23" s="132" t="e">
        <f>#REF!</f>
        <v>#REF!</v>
      </c>
      <c r="J23" s="132" t="e">
        <f>#REF!/#REF!</f>
        <v>#REF!</v>
      </c>
      <c r="K23" s="160" t="e">
        <f>#REF!</f>
        <v>#REF!</v>
      </c>
      <c r="L23" s="276" t="e">
        <f>#REF!</f>
        <v>#REF!</v>
      </c>
      <c r="M23" s="61">
        <f>IF(ISERROR(#REF!),0,#REF!*1)</f>
        <v>0</v>
      </c>
      <c r="N23" s="39" t="e">
        <f>#REF!</f>
        <v>#REF!</v>
      </c>
      <c r="O23" s="277" t="s">
        <v>4</v>
      </c>
      <c r="P23" s="278"/>
      <c r="Q23" s="277" t="s">
        <v>211</v>
      </c>
      <c r="R23" s="277" t="s">
        <v>7</v>
      </c>
      <c r="S23" s="278"/>
      <c r="T23" s="277" t="s">
        <v>211</v>
      </c>
      <c r="U23" s="277" t="s">
        <v>3</v>
      </c>
      <c r="V23" s="278"/>
      <c r="W23" s="277" t="s">
        <v>211</v>
      </c>
      <c r="X23" s="134"/>
      <c r="Y23" s="209" t="e">
        <f ca="1">science_cap*(1-EXP(-#REF!/(science_param*(OFFSET(#REF!,1,0)-OFFSET(#REF!,1,0)*20)+15000)))*(1+(mason_bonus*#REF!/#REF!))</f>
        <v>#REF!</v>
      </c>
      <c r="Z23" s="209" t="e">
        <f ca="1">keep_cap*(1-EXP(-#REF!/(keep_param*(OFFSET(#REF!,1,0)-OFFSET(#REF!,1,0)*20)+15000)))*(1+(mason_bonus*#REF!/#REF!))</f>
        <v>#REF!</v>
      </c>
      <c r="AA23" s="209" t="e">
        <f ca="1">harbor_towers_cap*(1-EXP(-#REF!/(towers_param*(OFFSET(#REF!,1,0)-OFFSET(#REF!,1,0)*20)+15000)))*(1+(mason_bonus*#REF!/#REF!))</f>
        <v>#REF!</v>
      </c>
      <c r="AB23" s="209" t="e">
        <f ca="1">walls_forges_cap*(1-EXP(-#REF!/(walls_forges_param*(OFFSET(#REF!,1,0)-OFFSET(#REF!,1,0)*20)+15000)))*(1+(mason_bonus*#REF!/#REF!))</f>
        <v>#REF!</v>
      </c>
      <c r="AC23" s="209" t="e">
        <f ca="1">walls_forges_cap*(1-EXP(-#REF!/(walls_forges_param*(OFFSET(#REF!,1,0)-OFFSET(#REF!,1,0)*20)+15000)))*(1+(mason_bonus*#REF!/#REF!))</f>
        <v>#REF!</v>
      </c>
      <c r="AD23" s="209" t="e">
        <f ca="1">harbor_towers_cap*(1-EXP(-#REF!/(harbor_towers_param*(OFFSET(#REF!,1,0)-OFFSET(#REF!,1,0)*20)+15000)))*(1+(mason_bonus*#REF!/#REF!))</f>
        <v>#REF!</v>
      </c>
      <c r="AE23" s="134"/>
      <c r="AF23" s="61" t="e">
        <f ca="1">(1+Overview!$I$28)*SUM(#REF!)+OFFSET(#REF!,-1,0)</f>
        <v>#REF!</v>
      </c>
      <c r="AG23" s="61" t="e">
        <f ca="1">(1+Overview!$I$28)*SUM(#REF!)+OFFSET(#REF!,-1,0)</f>
        <v>#REF!</v>
      </c>
      <c r="AH23" s="61" t="e">
        <f ca="1">(1+Overview!$I$28 + tech_7_1*#REF!)*SUM(#REF!)+OFFSET(#REF!,-1,0)</f>
        <v>#REF!</v>
      </c>
      <c r="AI23" s="61" t="e">
        <f ca="1">(1+Overview!$I$28)*SUM(#REF!)+OFFSET(#REF!,-1,0)</f>
        <v>#REF!</v>
      </c>
      <c r="AJ23" s="61" t="e">
        <f ca="1">(1+Overview!$I$28)*SUM(#REF!)+OFFSET(#REF!,-1,0)</f>
        <v>#REF!</v>
      </c>
      <c r="AK23" s="61" t="e">
        <f ca="1">(1+Overview!$I$28 + tech_7_1*#REF!)*SUM(#REF!)+OFFSET(#REF!,-1,0)</f>
        <v>#REF!</v>
      </c>
      <c r="AL23" s="134"/>
      <c r="AM23" s="57" t="e">
        <f>IF(AND(#REF!=AM$2,#REF!&lt;&gt;""),#REF!) + IF(AND(#REF!=AM$2,#REF!&lt;&gt;""),#REF!) + IF(AND(#REF!=AM$2,#REF!&lt;&gt;""),#REF!)</f>
        <v>#REF!</v>
      </c>
      <c r="AN23" s="57" t="e">
        <f>IF(AND(#REF!=AN$2,#REF!&lt;&gt;""),#REF!) + IF(AND(#REF!=AN$2,#REF!&lt;&gt;""),#REF!) + IF(AND(#REF!=AN$2,#REF!&lt;&gt;""),#REF!)</f>
        <v>#REF!</v>
      </c>
      <c r="AO23" s="57" t="e">
        <f>IF(AND(#REF!=AO$2,#REF!&lt;&gt;""),#REF!) + IF(AND(#REF!=AO$2,#REF!&lt;&gt;""),#REF!) + IF(AND(#REF!=AO$2,#REF!&lt;&gt;""),#REF!)</f>
        <v>#REF!</v>
      </c>
      <c r="AP23" s="57" t="e">
        <f>IF(AND(#REF!=AP$2,#REF!&lt;&gt;""),#REF!) + IF(AND(#REF!=AP$2,#REF!&lt;&gt;""),#REF!) + IF(AND(#REF!=AP$2,#REF!&lt;&gt;""),#REF!)</f>
        <v>#REF!</v>
      </c>
      <c r="AQ23" s="134"/>
      <c r="AR23" s="57" t="e">
        <f>IF(#REF!=AR$2,IF(#REF!=$Y$2,#REF!*plat_invest)) + IF(#REF!=AR$2,IF(#REF!=$Y$2,#REF!*plat_invest)) + IF(#REF!=AR$2,IF(#REF!=$Y$2,#REF!*plat_invest))</f>
        <v>#REF!</v>
      </c>
      <c r="AS23" s="57" t="e">
        <f>IF(#REF!=AS$2,IF(#REF!=$Y$2,#REF!*lumber_invest)) + IF(#REF!=AS$2,IF(#REF!=$Y$2,#REF!*lumber_invest)) + IF(#REF!=AS$2,IF(#REF!=$Y$2,#REF!*lumber_invest))</f>
        <v>#REF!</v>
      </c>
      <c r="AT23" s="57" t="e">
        <f>IF(#REF!=AT$2,IF(#REF!=$Y$2,#REF!*ore_invest)) + IF(#REF!=AT$2,IF(#REF!=$Y$2,#REF!*ore_invest)) + IF(#REF!=AT$2,IF(#REF!=$Y$2,#REF!*ore_invest))</f>
        <v>#REF!</v>
      </c>
      <c r="AU23" s="57" t="e">
        <f>IF(#REF!=AU$2,IF(#REF!=$Y$2,#REF!*gem_invest)) + IF(#REF!=AU$2,IF(#REF!=$Y$2,#REF!*gem_invest)) + IF(#REF!=AU$2,IF(#REF!=$Y$2,#REF!*gem_invest))</f>
        <v>#REF!</v>
      </c>
      <c r="AV23" s="134"/>
      <c r="AW23" s="57" t="e">
        <f>IF(#REF!=AW$2,IF(#REF!=$Z$2,#REF!*plat_invest)) + IF(#REF!=AW$2,IF(#REF!=$Z$2,#REF!*plat_invest)) + IF(#REF!=AW$2,IF(#REF!=$Z$2,#REF!*plat_invest))</f>
        <v>#REF!</v>
      </c>
      <c r="AX23" s="57" t="e">
        <f>IF(#REF!=AX$2,IF(#REF!=$Z$2,#REF!*lumber_invest)) + IF(#REF!=AX$2,IF(#REF!=$Z$2,#REF!*lumber_invest)) + IF(#REF!=AX$2,IF(#REF!=$Z$2,#REF!*lumber_invest))</f>
        <v>#REF!</v>
      </c>
      <c r="AY23" s="57" t="e">
        <f>IF(#REF!=AY$2,IF(#REF!=$Z$2,#REF!*ore_invest)) + IF(#REF!=AY$2,IF(#REF!=$Z$2,#REF!*ore_invest)) + IF(#REF!=AY$2,IF(#REF!=$Z$2,#REF!*ore_invest))</f>
        <v>#REF!</v>
      </c>
      <c r="AZ23" s="57" t="e">
        <f>IF(#REF!=AZ$2,IF(#REF!=$Z$2,#REF!*gem_invest)) + IF(#REF!=AZ$2,IF(#REF!=$Z$2,#REF!*gem_invest)) + IF(#REF!=AZ$2,IF(#REF!=$Z$2,#REF!*gem_invest))</f>
        <v>#REF!</v>
      </c>
      <c r="BA23" s="134"/>
      <c r="BB23" s="57" t="e">
        <f>IF(#REF!=BB$2,IF(#REF!=$AA$2,#REF!*plat_invest)) + IF(#REF!=BB$2,IF(#REF!=$AA$2,#REF!*plat_invest)) + IF(#REF!=BB$2,IF(#REF!=$AA$2,#REF!*plat_invest))</f>
        <v>#REF!</v>
      </c>
      <c r="BC23" s="57" t="e">
        <f>IF(#REF!=BC$2,IF(#REF!=$AA$2,#REF!*lumber_invest)) + IF(#REF!=BC$2,IF(#REF!=$AA$2,#REF!*lumber_invest)) + IF(#REF!=BC$2,IF(#REF!=$AA$2,#REF!*lumber_invest))</f>
        <v>#REF!</v>
      </c>
      <c r="BD23" s="57" t="e">
        <f>IF(#REF!=BD$2,IF(#REF!=$AA$2,#REF!*ore_invest)) + IF(#REF!=BD$2,IF(#REF!=$AA$2,#REF!*ore_invest)) + IF(#REF!=BD$2,IF(#REF!=$AA$2,#REF!*ore_invest))</f>
        <v>#REF!</v>
      </c>
      <c r="BE23" s="57" t="e">
        <f>IF(#REF!=BE$2,IF(#REF!=$AA$2,#REF!*gem_invest)) + IF(#REF!=BE$2,IF(#REF!=$AA$2,#REF!*gem_invest)) + IF(#REF!=BE$2,IF(#REF!=$AA$2,#REF!*gem_invest))</f>
        <v>#REF!</v>
      </c>
      <c r="BF23" s="134"/>
      <c r="BG23" s="57" t="e">
        <f>IF(#REF!=BG$2,IF(#REF!=$AB$2,#REF!*plat_invest)) + IF(#REF!=BG$2,IF(#REF!=$AB$2,#REF!*plat_invest)) + IF(#REF!=BG$2,IF(#REF!=$AB$2,#REF!*plat_invest))</f>
        <v>#REF!</v>
      </c>
      <c r="BH23" s="57" t="e">
        <f>IF(#REF!=BH$2,IF(#REF!=$AB$2,#REF!*lumber_invest)) + IF(#REF!=BH$2,IF(#REF!=$AB$2,#REF!*lumber_invest)) + IF(#REF!=BH$2,IF(#REF!=$AB$2,#REF!*lumber_invest))</f>
        <v>#REF!</v>
      </c>
      <c r="BI23" s="57" t="e">
        <f>IF(#REF!=BI$2,IF(#REF!=$AB$2,#REF!*ore_invest)) + IF(#REF!=BI$2,IF(#REF!=$AB$2,#REF!*ore_invest)) + IF(#REF!=BI$2,IF(#REF!=$AB$2,#REF!*ore_invest))</f>
        <v>#REF!</v>
      </c>
      <c r="BJ23" s="57" t="e">
        <f>IF(#REF!=BJ$2,IF(#REF!=$AB$2,#REF!*gem_invest)) + IF(#REF!=BJ$2,IF(#REF!=$AB$2,#REF!*gem_invest)) + IF(#REF!=BJ$2,IF(#REF!=$AB$2,#REF!*gem_invest))</f>
        <v>#REF!</v>
      </c>
      <c r="BK23" s="134"/>
      <c r="BL23" s="57" t="e">
        <f>IF(#REF!=BL$2,IF(#REF!=$AC$2,#REF!*plat_invest)) + IF(#REF!=BL$2,IF(#REF!=$AC$2,#REF!*plat_invest)) + IF(#REF!=BL$2,IF(#REF!=$AC$2,#REF!*plat_invest))</f>
        <v>#REF!</v>
      </c>
      <c r="BM23" s="57" t="e">
        <f>IF(#REF!=BM$2,IF(#REF!=$AC$2,#REF!*lumber_invest)) + IF(#REF!=BM$2,IF(#REF!=$AC$2,#REF!*lumber_invest)) + IF(#REF!=BM$2,IF(#REF!=$AC$2,#REF!*lumber_invest))</f>
        <v>#REF!</v>
      </c>
      <c r="BN23" s="57" t="e">
        <f>IF(#REF!=BN$2,IF(#REF!=$AC$2,#REF!*ore_invest)) + IF(#REF!=BN$2,IF(#REF!=$AC$2,#REF!*ore_invest)) + IF(#REF!=BN$2,IF(#REF!=$AC$2,#REF!*ore_invest))</f>
        <v>#REF!</v>
      </c>
      <c r="BO23" s="57" t="e">
        <f>IF(#REF!=BO$2,IF(#REF!=$AC$2,#REF!*gem_invest)) + IF(#REF!=BO$2,IF(#REF!=$AC$2,#REF!*gem_invest)) + IF(#REF!=BO$2,IF(#REF!=$AC$2,#REF!*gem_invest))</f>
        <v>#REF!</v>
      </c>
      <c r="BP23" s="134"/>
      <c r="BQ23" s="57" t="e">
        <f>IF(#REF!=BQ$2,IF(#REF!=$AD$2,#REF!*plat_invest)) + IF(#REF!=BQ$2,IF(#REF!=$AD$2,#REF!*plat_invest)) + IF(#REF!=BQ$2,IF(#REF!=$AD$2,#REF!*plat_invest))</f>
        <v>#REF!</v>
      </c>
      <c r="BR23" s="57" t="e">
        <f>IF(#REF!=BR$2,IF(#REF!=$AD$2,#REF!*lumber_invest)) + IF(#REF!=BR$2,IF(#REF!=$AD$2,#REF!*lumber_invest)) + IF(#REF!=BR$2,IF(#REF!=$AD$2,#REF!*lumber_invest))</f>
        <v>#REF!</v>
      </c>
      <c r="BS23" s="57" t="e">
        <f>IF(#REF!=BS$2,IF(#REF!=$AD$2,#REF!*ore_invest)) + IF(#REF!=BS$2,IF(#REF!=$AD$2,#REF!*ore_invest)) + IF(#REF!=BS$2,IF(#REF!=$AD$2,#REF!*ore_invest))</f>
        <v>#REF!</v>
      </c>
      <c r="BT23" s="57" t="e">
        <f>IF(#REF!=BT$2,IF(#REF!=$AD$2,#REF!*gem_invest)) + IF(#REF!=BT$2,IF(#REF!=$AD$2,#REF!*gem_invest)) + IF(#REF!=BT$2,IF(#REF!=$AD$2,#REF!*gem_invest))</f>
        <v>#REF!</v>
      </c>
      <c r="BU23" s="134"/>
      <c r="BV23" s="3" t="e">
        <f>OR(#REF!,#REF!,#REF!,#REF!,#REF!,#REF!,#REF!,#REF!,#REF!)</f>
        <v>#REF!</v>
      </c>
      <c r="BW23" s="61" t="e">
        <f>#REF!</f>
        <v>#REF!</v>
      </c>
      <c r="BX23" s="130"/>
      <c r="BY23" s="284" t="e">
        <f ca="1">OFFSET(#REF!,-1,0)+1/24</f>
        <v>#REF!</v>
      </c>
      <c r="BZ23" s="285" t="e">
        <f ca="1">OFFSET(#REF!,-1,0)+1/24</f>
        <v>#REF!</v>
      </c>
      <c r="CA23" s="57"/>
      <c r="CB23" s="283"/>
      <c r="CC23" s="283"/>
    </row>
    <row r="24" spans="1:84" x14ac:dyDescent="0.25">
      <c r="A24" s="206" t="e">
        <f>#REF!</f>
        <v>#REF!</v>
      </c>
      <c r="B24" s="134"/>
      <c r="C24" s="39" t="e">
        <f>#REF!</f>
        <v>#REF!</v>
      </c>
      <c r="D24" s="39" t="e">
        <f>#REF!</f>
        <v>#REF!</v>
      </c>
      <c r="E24" s="39" t="e">
        <f>#REF!</f>
        <v>#REF!</v>
      </c>
      <c r="F24" s="39" t="e">
        <f>#REF!</f>
        <v>#REF!</v>
      </c>
      <c r="G24" s="133"/>
      <c r="H24" s="39" t="e">
        <f>#REF!</f>
        <v>#REF!</v>
      </c>
      <c r="I24" s="132" t="e">
        <f>#REF!</f>
        <v>#REF!</v>
      </c>
      <c r="J24" s="132" t="e">
        <f>#REF!/#REF!</f>
        <v>#REF!</v>
      </c>
      <c r="K24" s="160" t="e">
        <f>#REF!</f>
        <v>#REF!</v>
      </c>
      <c r="L24" s="276" t="e">
        <f>#REF!</f>
        <v>#REF!</v>
      </c>
      <c r="M24" s="61">
        <f>IF(ISERROR(#REF!),0,#REF!*1)</f>
        <v>0</v>
      </c>
      <c r="N24" s="39" t="e">
        <f>#REF!</f>
        <v>#REF!</v>
      </c>
      <c r="O24" s="277" t="s">
        <v>4</v>
      </c>
      <c r="P24" s="278"/>
      <c r="Q24" s="277" t="s">
        <v>211</v>
      </c>
      <c r="R24" s="277" t="s">
        <v>7</v>
      </c>
      <c r="S24" s="278"/>
      <c r="T24" s="277" t="s">
        <v>211</v>
      </c>
      <c r="U24" s="277" t="s">
        <v>3</v>
      </c>
      <c r="V24" s="278"/>
      <c r="W24" s="277" t="s">
        <v>211</v>
      </c>
      <c r="X24" s="134"/>
      <c r="Y24" s="209" t="e">
        <f ca="1">science_cap*(1-EXP(-#REF!/(science_param*(OFFSET(#REF!,1,0)-OFFSET(#REF!,1,0)*20)+15000)))*(1+(mason_bonus*#REF!/#REF!))</f>
        <v>#REF!</v>
      </c>
      <c r="Z24" s="209" t="e">
        <f ca="1">keep_cap*(1-EXP(-#REF!/(keep_param*(OFFSET(#REF!,1,0)-OFFSET(#REF!,1,0)*20)+15000)))*(1+(mason_bonus*#REF!/#REF!))</f>
        <v>#REF!</v>
      </c>
      <c r="AA24" s="209" t="e">
        <f ca="1">harbor_towers_cap*(1-EXP(-#REF!/(towers_param*(OFFSET(#REF!,1,0)-OFFSET(#REF!,1,0)*20)+15000)))*(1+(mason_bonus*#REF!/#REF!))</f>
        <v>#REF!</v>
      </c>
      <c r="AB24" s="209" t="e">
        <f ca="1">walls_forges_cap*(1-EXP(-#REF!/(walls_forges_param*(OFFSET(#REF!,1,0)-OFFSET(#REF!,1,0)*20)+15000)))*(1+(mason_bonus*#REF!/#REF!))</f>
        <v>#REF!</v>
      </c>
      <c r="AC24" s="209" t="e">
        <f ca="1">walls_forges_cap*(1-EXP(-#REF!/(walls_forges_param*(OFFSET(#REF!,1,0)-OFFSET(#REF!,1,0)*20)+15000)))*(1+(mason_bonus*#REF!/#REF!))</f>
        <v>#REF!</v>
      </c>
      <c r="AD24" s="209" t="e">
        <f ca="1">harbor_towers_cap*(1-EXP(-#REF!/(harbor_towers_param*(OFFSET(#REF!,1,0)-OFFSET(#REF!,1,0)*20)+15000)))*(1+(mason_bonus*#REF!/#REF!))</f>
        <v>#REF!</v>
      </c>
      <c r="AE24" s="134"/>
      <c r="AF24" s="61" t="e">
        <f ca="1">(1+Overview!$I$28)*SUM(#REF!)+OFFSET(#REF!,-1,0)</f>
        <v>#REF!</v>
      </c>
      <c r="AG24" s="61" t="e">
        <f ca="1">(1+Overview!$I$28)*SUM(#REF!)+OFFSET(#REF!,-1,0)</f>
        <v>#REF!</v>
      </c>
      <c r="AH24" s="61" t="e">
        <f ca="1">(1+Overview!$I$28 + tech_7_1*#REF!)*SUM(#REF!)+OFFSET(#REF!,-1,0)</f>
        <v>#REF!</v>
      </c>
      <c r="AI24" s="61" t="e">
        <f ca="1">(1+Overview!$I$28)*SUM(#REF!)+OFFSET(#REF!,-1,0)</f>
        <v>#REF!</v>
      </c>
      <c r="AJ24" s="61" t="e">
        <f ca="1">(1+Overview!$I$28)*SUM(#REF!)+OFFSET(#REF!,-1,0)</f>
        <v>#REF!</v>
      </c>
      <c r="AK24" s="61" t="e">
        <f ca="1">(1+Overview!$I$28 + tech_7_1*#REF!)*SUM(#REF!)+OFFSET(#REF!,-1,0)</f>
        <v>#REF!</v>
      </c>
      <c r="AL24" s="134"/>
      <c r="AM24" s="57" t="e">
        <f>IF(AND(#REF!=AM$2,#REF!&lt;&gt;""),#REF!) + IF(AND(#REF!=AM$2,#REF!&lt;&gt;""),#REF!) + IF(AND(#REF!=AM$2,#REF!&lt;&gt;""),#REF!)</f>
        <v>#REF!</v>
      </c>
      <c r="AN24" s="57" t="e">
        <f>IF(AND(#REF!=AN$2,#REF!&lt;&gt;""),#REF!) + IF(AND(#REF!=AN$2,#REF!&lt;&gt;""),#REF!) + IF(AND(#REF!=AN$2,#REF!&lt;&gt;""),#REF!)</f>
        <v>#REF!</v>
      </c>
      <c r="AO24" s="57" t="e">
        <f>IF(AND(#REF!=AO$2,#REF!&lt;&gt;""),#REF!) + IF(AND(#REF!=AO$2,#REF!&lt;&gt;""),#REF!) + IF(AND(#REF!=AO$2,#REF!&lt;&gt;""),#REF!)</f>
        <v>#REF!</v>
      </c>
      <c r="AP24" s="57" t="e">
        <f>IF(AND(#REF!=AP$2,#REF!&lt;&gt;""),#REF!) + IF(AND(#REF!=AP$2,#REF!&lt;&gt;""),#REF!) + IF(AND(#REF!=AP$2,#REF!&lt;&gt;""),#REF!)</f>
        <v>#REF!</v>
      </c>
      <c r="AQ24" s="134"/>
      <c r="AR24" s="57" t="e">
        <f>IF(#REF!=AR$2,IF(#REF!=$Y$2,#REF!*plat_invest)) + IF(#REF!=AR$2,IF(#REF!=$Y$2,#REF!*plat_invest)) + IF(#REF!=AR$2,IF(#REF!=$Y$2,#REF!*plat_invest))</f>
        <v>#REF!</v>
      </c>
      <c r="AS24" s="57" t="e">
        <f>IF(#REF!=AS$2,IF(#REF!=$Y$2,#REF!*lumber_invest)) + IF(#REF!=AS$2,IF(#REF!=$Y$2,#REF!*lumber_invest)) + IF(#REF!=AS$2,IF(#REF!=$Y$2,#REF!*lumber_invest))</f>
        <v>#REF!</v>
      </c>
      <c r="AT24" s="57" t="e">
        <f>IF(#REF!=AT$2,IF(#REF!=$Y$2,#REF!*ore_invest)) + IF(#REF!=AT$2,IF(#REF!=$Y$2,#REF!*ore_invest)) + IF(#REF!=AT$2,IF(#REF!=$Y$2,#REF!*ore_invest))</f>
        <v>#REF!</v>
      </c>
      <c r="AU24" s="57" t="e">
        <f>IF(#REF!=AU$2,IF(#REF!=$Y$2,#REF!*gem_invest)) + IF(#REF!=AU$2,IF(#REF!=$Y$2,#REF!*gem_invest)) + IF(#REF!=AU$2,IF(#REF!=$Y$2,#REF!*gem_invest))</f>
        <v>#REF!</v>
      </c>
      <c r="AV24" s="134"/>
      <c r="AW24" s="57" t="e">
        <f>IF(#REF!=AW$2,IF(#REF!=$Z$2,#REF!*plat_invest)) + IF(#REF!=AW$2,IF(#REF!=$Z$2,#REF!*plat_invest)) + IF(#REF!=AW$2,IF(#REF!=$Z$2,#REF!*plat_invest))</f>
        <v>#REF!</v>
      </c>
      <c r="AX24" s="57" t="e">
        <f>IF(#REF!=AX$2,IF(#REF!=$Z$2,#REF!*lumber_invest)) + IF(#REF!=AX$2,IF(#REF!=$Z$2,#REF!*lumber_invest)) + IF(#REF!=AX$2,IF(#REF!=$Z$2,#REF!*lumber_invest))</f>
        <v>#REF!</v>
      </c>
      <c r="AY24" s="57" t="e">
        <f>IF(#REF!=AY$2,IF(#REF!=$Z$2,#REF!*ore_invest)) + IF(#REF!=AY$2,IF(#REF!=$Z$2,#REF!*ore_invest)) + IF(#REF!=AY$2,IF(#REF!=$Z$2,#REF!*ore_invest))</f>
        <v>#REF!</v>
      </c>
      <c r="AZ24" s="57" t="e">
        <f>IF(#REF!=AZ$2,IF(#REF!=$Z$2,#REF!*gem_invest)) + IF(#REF!=AZ$2,IF(#REF!=$Z$2,#REF!*gem_invest)) + IF(#REF!=AZ$2,IF(#REF!=$Z$2,#REF!*gem_invest))</f>
        <v>#REF!</v>
      </c>
      <c r="BA24" s="134"/>
      <c r="BB24" s="57" t="e">
        <f>IF(#REF!=BB$2,IF(#REF!=$AA$2,#REF!*plat_invest)) + IF(#REF!=BB$2,IF(#REF!=$AA$2,#REF!*plat_invest)) + IF(#REF!=BB$2,IF(#REF!=$AA$2,#REF!*plat_invest))</f>
        <v>#REF!</v>
      </c>
      <c r="BC24" s="57" t="e">
        <f>IF(#REF!=BC$2,IF(#REF!=$AA$2,#REF!*lumber_invest)) + IF(#REF!=BC$2,IF(#REF!=$AA$2,#REF!*lumber_invest)) + IF(#REF!=BC$2,IF(#REF!=$AA$2,#REF!*lumber_invest))</f>
        <v>#REF!</v>
      </c>
      <c r="BD24" s="57" t="e">
        <f>IF(#REF!=BD$2,IF(#REF!=$AA$2,#REF!*ore_invest)) + IF(#REF!=BD$2,IF(#REF!=$AA$2,#REF!*ore_invest)) + IF(#REF!=BD$2,IF(#REF!=$AA$2,#REF!*ore_invest))</f>
        <v>#REF!</v>
      </c>
      <c r="BE24" s="57" t="e">
        <f>IF(#REF!=BE$2,IF(#REF!=$AA$2,#REF!*gem_invest)) + IF(#REF!=BE$2,IF(#REF!=$AA$2,#REF!*gem_invest)) + IF(#REF!=BE$2,IF(#REF!=$AA$2,#REF!*gem_invest))</f>
        <v>#REF!</v>
      </c>
      <c r="BF24" s="134"/>
      <c r="BG24" s="57" t="e">
        <f>IF(#REF!=BG$2,IF(#REF!=$AB$2,#REF!*plat_invest)) + IF(#REF!=BG$2,IF(#REF!=$AB$2,#REF!*plat_invest)) + IF(#REF!=BG$2,IF(#REF!=$AB$2,#REF!*plat_invest))</f>
        <v>#REF!</v>
      </c>
      <c r="BH24" s="57" t="e">
        <f>IF(#REF!=BH$2,IF(#REF!=$AB$2,#REF!*lumber_invest)) + IF(#REF!=BH$2,IF(#REF!=$AB$2,#REF!*lumber_invest)) + IF(#REF!=BH$2,IF(#REF!=$AB$2,#REF!*lumber_invest))</f>
        <v>#REF!</v>
      </c>
      <c r="BI24" s="57" t="e">
        <f>IF(#REF!=BI$2,IF(#REF!=$AB$2,#REF!*ore_invest)) + IF(#REF!=BI$2,IF(#REF!=$AB$2,#REF!*ore_invest)) + IF(#REF!=BI$2,IF(#REF!=$AB$2,#REF!*ore_invest))</f>
        <v>#REF!</v>
      </c>
      <c r="BJ24" s="57" t="e">
        <f>IF(#REF!=BJ$2,IF(#REF!=$AB$2,#REF!*gem_invest)) + IF(#REF!=BJ$2,IF(#REF!=$AB$2,#REF!*gem_invest)) + IF(#REF!=BJ$2,IF(#REF!=$AB$2,#REF!*gem_invest))</f>
        <v>#REF!</v>
      </c>
      <c r="BK24" s="134"/>
      <c r="BL24" s="57" t="e">
        <f>IF(#REF!=BL$2,IF(#REF!=$AC$2,#REF!*plat_invest)) + IF(#REF!=BL$2,IF(#REF!=$AC$2,#REF!*plat_invest)) + IF(#REF!=BL$2,IF(#REF!=$AC$2,#REF!*plat_invest))</f>
        <v>#REF!</v>
      </c>
      <c r="BM24" s="57" t="e">
        <f>IF(#REF!=BM$2,IF(#REF!=$AC$2,#REF!*lumber_invest)) + IF(#REF!=BM$2,IF(#REF!=$AC$2,#REF!*lumber_invest)) + IF(#REF!=BM$2,IF(#REF!=$AC$2,#REF!*lumber_invest))</f>
        <v>#REF!</v>
      </c>
      <c r="BN24" s="57" t="e">
        <f>IF(#REF!=BN$2,IF(#REF!=$AC$2,#REF!*ore_invest)) + IF(#REF!=BN$2,IF(#REF!=$AC$2,#REF!*ore_invest)) + IF(#REF!=BN$2,IF(#REF!=$AC$2,#REF!*ore_invest))</f>
        <v>#REF!</v>
      </c>
      <c r="BO24" s="57" t="e">
        <f>IF(#REF!=BO$2,IF(#REF!=$AC$2,#REF!*gem_invest)) + IF(#REF!=BO$2,IF(#REF!=$AC$2,#REF!*gem_invest)) + IF(#REF!=BO$2,IF(#REF!=$AC$2,#REF!*gem_invest))</f>
        <v>#REF!</v>
      </c>
      <c r="BP24" s="134"/>
      <c r="BQ24" s="57" t="e">
        <f>IF(#REF!=BQ$2,IF(#REF!=$AD$2,#REF!*plat_invest)) + IF(#REF!=BQ$2,IF(#REF!=$AD$2,#REF!*plat_invest)) + IF(#REF!=BQ$2,IF(#REF!=$AD$2,#REF!*plat_invest))</f>
        <v>#REF!</v>
      </c>
      <c r="BR24" s="57" t="e">
        <f>IF(#REF!=BR$2,IF(#REF!=$AD$2,#REF!*lumber_invest)) + IF(#REF!=BR$2,IF(#REF!=$AD$2,#REF!*lumber_invest)) + IF(#REF!=BR$2,IF(#REF!=$AD$2,#REF!*lumber_invest))</f>
        <v>#REF!</v>
      </c>
      <c r="BS24" s="57" t="e">
        <f>IF(#REF!=BS$2,IF(#REF!=$AD$2,#REF!*ore_invest)) + IF(#REF!=BS$2,IF(#REF!=$AD$2,#REF!*ore_invest)) + IF(#REF!=BS$2,IF(#REF!=$AD$2,#REF!*ore_invest))</f>
        <v>#REF!</v>
      </c>
      <c r="BT24" s="57" t="e">
        <f>IF(#REF!=BT$2,IF(#REF!=$AD$2,#REF!*gem_invest)) + IF(#REF!=BT$2,IF(#REF!=$AD$2,#REF!*gem_invest)) + IF(#REF!=BT$2,IF(#REF!=$AD$2,#REF!*gem_invest))</f>
        <v>#REF!</v>
      </c>
      <c r="BU24" s="134"/>
      <c r="BV24" s="3" t="e">
        <f>OR(#REF!,#REF!,#REF!,#REF!,#REF!,#REF!,#REF!,#REF!,#REF!)</f>
        <v>#REF!</v>
      </c>
      <c r="BW24" s="61" t="e">
        <f>#REF!</f>
        <v>#REF!</v>
      </c>
      <c r="BX24" s="130"/>
      <c r="BY24" s="284" t="e">
        <f ca="1">OFFSET(#REF!,-1,0)+1/24</f>
        <v>#REF!</v>
      </c>
      <c r="BZ24" s="285" t="e">
        <f ca="1">OFFSET(#REF!,-1,0)+1/24</f>
        <v>#REF!</v>
      </c>
      <c r="CA24" s="57"/>
      <c r="CB24" s="283"/>
      <c r="CC24" s="283"/>
    </row>
    <row r="25" spans="1:84" x14ac:dyDescent="0.25">
      <c r="A25" s="206" t="e">
        <f>#REF!</f>
        <v>#REF!</v>
      </c>
      <c r="B25" s="134"/>
      <c r="C25" s="39" t="e">
        <f>#REF!</f>
        <v>#REF!</v>
      </c>
      <c r="D25" s="39" t="e">
        <f>#REF!</f>
        <v>#REF!</v>
      </c>
      <c r="E25" s="39" t="e">
        <f>#REF!</f>
        <v>#REF!</v>
      </c>
      <c r="F25" s="39" t="e">
        <f>#REF!</f>
        <v>#REF!</v>
      </c>
      <c r="G25" s="133"/>
      <c r="H25" s="39" t="e">
        <f>#REF!</f>
        <v>#REF!</v>
      </c>
      <c r="I25" s="132" t="e">
        <f>#REF!</f>
        <v>#REF!</v>
      </c>
      <c r="J25" s="132" t="e">
        <f>#REF!/#REF!</f>
        <v>#REF!</v>
      </c>
      <c r="K25" s="160" t="e">
        <f>#REF!</f>
        <v>#REF!</v>
      </c>
      <c r="L25" s="276" t="e">
        <f>#REF!</f>
        <v>#REF!</v>
      </c>
      <c r="M25" s="61">
        <f>IF(ISERROR(#REF!),0,#REF!*1)</f>
        <v>0</v>
      </c>
      <c r="N25" s="39" t="e">
        <f>#REF!</f>
        <v>#REF!</v>
      </c>
      <c r="O25" s="277" t="s">
        <v>4</v>
      </c>
      <c r="P25" s="278"/>
      <c r="Q25" s="277" t="s">
        <v>211</v>
      </c>
      <c r="R25" s="277" t="s">
        <v>7</v>
      </c>
      <c r="S25" s="278"/>
      <c r="T25" s="277" t="s">
        <v>211</v>
      </c>
      <c r="U25" s="277" t="s">
        <v>3</v>
      </c>
      <c r="V25" s="278"/>
      <c r="W25" s="277" t="s">
        <v>211</v>
      </c>
      <c r="X25" s="134"/>
      <c r="Y25" s="209" t="e">
        <f ca="1">science_cap*(1-EXP(-#REF!/(science_param*(OFFSET(#REF!,1,0)-OFFSET(#REF!,1,0)*20)+15000)))*(1+(mason_bonus*#REF!/#REF!))</f>
        <v>#REF!</v>
      </c>
      <c r="Z25" s="209" t="e">
        <f ca="1">keep_cap*(1-EXP(-#REF!/(keep_param*(OFFSET(#REF!,1,0)-OFFSET(#REF!,1,0)*20)+15000)))*(1+(mason_bonus*#REF!/#REF!))</f>
        <v>#REF!</v>
      </c>
      <c r="AA25" s="209" t="e">
        <f ca="1">harbor_towers_cap*(1-EXP(-#REF!/(towers_param*(OFFSET(#REF!,1,0)-OFFSET(#REF!,1,0)*20)+15000)))*(1+(mason_bonus*#REF!/#REF!))</f>
        <v>#REF!</v>
      </c>
      <c r="AB25" s="209" t="e">
        <f ca="1">walls_forges_cap*(1-EXP(-#REF!/(walls_forges_param*(OFFSET(#REF!,1,0)-OFFSET(#REF!,1,0)*20)+15000)))*(1+(mason_bonus*#REF!/#REF!))</f>
        <v>#REF!</v>
      </c>
      <c r="AC25" s="209" t="e">
        <f ca="1">walls_forges_cap*(1-EXP(-#REF!/(walls_forges_param*(OFFSET(#REF!,1,0)-OFFSET(#REF!,1,0)*20)+15000)))*(1+(mason_bonus*#REF!/#REF!))</f>
        <v>#REF!</v>
      </c>
      <c r="AD25" s="209" t="e">
        <f ca="1">harbor_towers_cap*(1-EXP(-#REF!/(harbor_towers_param*(OFFSET(#REF!,1,0)-OFFSET(#REF!,1,0)*20)+15000)))*(1+(mason_bonus*#REF!/#REF!))</f>
        <v>#REF!</v>
      </c>
      <c r="AE25" s="134"/>
      <c r="AF25" s="61" t="e">
        <f ca="1">(1+Overview!$I$28)*SUM(#REF!)+OFFSET(#REF!,-1,0)</f>
        <v>#REF!</v>
      </c>
      <c r="AG25" s="61" t="e">
        <f ca="1">(1+Overview!$I$28)*SUM(#REF!)+OFFSET(#REF!,-1,0)</f>
        <v>#REF!</v>
      </c>
      <c r="AH25" s="61" t="e">
        <f ca="1">(1+Overview!$I$28 + tech_7_1*#REF!)*SUM(#REF!)+OFFSET(#REF!,-1,0)</f>
        <v>#REF!</v>
      </c>
      <c r="AI25" s="61" t="e">
        <f ca="1">(1+Overview!$I$28)*SUM(#REF!)+OFFSET(#REF!,-1,0)</f>
        <v>#REF!</v>
      </c>
      <c r="AJ25" s="61" t="e">
        <f ca="1">(1+Overview!$I$28)*SUM(#REF!)+OFFSET(#REF!,-1,0)</f>
        <v>#REF!</v>
      </c>
      <c r="AK25" s="61" t="e">
        <f ca="1">(1+Overview!$I$28 + tech_7_1*#REF!)*SUM(#REF!)+OFFSET(#REF!,-1,0)</f>
        <v>#REF!</v>
      </c>
      <c r="AL25" s="134"/>
      <c r="AM25" s="57" t="e">
        <f>IF(AND(#REF!=AM$2,#REF!&lt;&gt;""),#REF!) + IF(AND(#REF!=AM$2,#REF!&lt;&gt;""),#REF!) + IF(AND(#REF!=AM$2,#REF!&lt;&gt;""),#REF!)</f>
        <v>#REF!</v>
      </c>
      <c r="AN25" s="57" t="e">
        <f>IF(AND(#REF!=AN$2,#REF!&lt;&gt;""),#REF!) + IF(AND(#REF!=AN$2,#REF!&lt;&gt;""),#REF!) + IF(AND(#REF!=AN$2,#REF!&lt;&gt;""),#REF!)</f>
        <v>#REF!</v>
      </c>
      <c r="AO25" s="57" t="e">
        <f>IF(AND(#REF!=AO$2,#REF!&lt;&gt;""),#REF!) + IF(AND(#REF!=AO$2,#REF!&lt;&gt;""),#REF!) + IF(AND(#REF!=AO$2,#REF!&lt;&gt;""),#REF!)</f>
        <v>#REF!</v>
      </c>
      <c r="AP25" s="57" t="e">
        <f>IF(AND(#REF!=AP$2,#REF!&lt;&gt;""),#REF!) + IF(AND(#REF!=AP$2,#REF!&lt;&gt;""),#REF!) + IF(AND(#REF!=AP$2,#REF!&lt;&gt;""),#REF!)</f>
        <v>#REF!</v>
      </c>
      <c r="AQ25" s="134"/>
      <c r="AR25" s="57" t="e">
        <f>IF(#REF!=AR$2,IF(#REF!=$Y$2,#REF!*plat_invest)) + IF(#REF!=AR$2,IF(#REF!=$Y$2,#REF!*plat_invest)) + IF(#REF!=AR$2,IF(#REF!=$Y$2,#REF!*plat_invest))</f>
        <v>#REF!</v>
      </c>
      <c r="AS25" s="57" t="e">
        <f>IF(#REF!=AS$2,IF(#REF!=$Y$2,#REF!*lumber_invest)) + IF(#REF!=AS$2,IF(#REF!=$Y$2,#REF!*lumber_invest)) + IF(#REF!=AS$2,IF(#REF!=$Y$2,#REF!*lumber_invest))</f>
        <v>#REF!</v>
      </c>
      <c r="AT25" s="57" t="e">
        <f>IF(#REF!=AT$2,IF(#REF!=$Y$2,#REF!*ore_invest)) + IF(#REF!=AT$2,IF(#REF!=$Y$2,#REF!*ore_invest)) + IF(#REF!=AT$2,IF(#REF!=$Y$2,#REF!*ore_invest))</f>
        <v>#REF!</v>
      </c>
      <c r="AU25" s="57" t="e">
        <f>IF(#REF!=AU$2,IF(#REF!=$Y$2,#REF!*gem_invest)) + IF(#REF!=AU$2,IF(#REF!=$Y$2,#REF!*gem_invest)) + IF(#REF!=AU$2,IF(#REF!=$Y$2,#REF!*gem_invest))</f>
        <v>#REF!</v>
      </c>
      <c r="AV25" s="134"/>
      <c r="AW25" s="57" t="e">
        <f>IF(#REF!=AW$2,IF(#REF!=$Z$2,#REF!*plat_invest)) + IF(#REF!=AW$2,IF(#REF!=$Z$2,#REF!*plat_invest)) + IF(#REF!=AW$2,IF(#REF!=$Z$2,#REF!*plat_invest))</f>
        <v>#REF!</v>
      </c>
      <c r="AX25" s="57" t="e">
        <f>IF(#REF!=AX$2,IF(#REF!=$Z$2,#REF!*lumber_invest)) + IF(#REF!=AX$2,IF(#REF!=$Z$2,#REF!*lumber_invest)) + IF(#REF!=AX$2,IF(#REF!=$Z$2,#REF!*lumber_invest))</f>
        <v>#REF!</v>
      </c>
      <c r="AY25" s="57" t="e">
        <f>IF(#REF!=AY$2,IF(#REF!=$Z$2,#REF!*ore_invest)) + IF(#REF!=AY$2,IF(#REF!=$Z$2,#REF!*ore_invest)) + IF(#REF!=AY$2,IF(#REF!=$Z$2,#REF!*ore_invest))</f>
        <v>#REF!</v>
      </c>
      <c r="AZ25" s="57" t="e">
        <f>IF(#REF!=AZ$2,IF(#REF!=$Z$2,#REF!*gem_invest)) + IF(#REF!=AZ$2,IF(#REF!=$Z$2,#REF!*gem_invest)) + IF(#REF!=AZ$2,IF(#REF!=$Z$2,#REF!*gem_invest))</f>
        <v>#REF!</v>
      </c>
      <c r="BA25" s="134"/>
      <c r="BB25" s="57" t="e">
        <f>IF(#REF!=BB$2,IF(#REF!=$AA$2,#REF!*plat_invest)) + IF(#REF!=BB$2,IF(#REF!=$AA$2,#REF!*plat_invest)) + IF(#REF!=BB$2,IF(#REF!=$AA$2,#REF!*plat_invest))</f>
        <v>#REF!</v>
      </c>
      <c r="BC25" s="57" t="e">
        <f>IF(#REF!=BC$2,IF(#REF!=$AA$2,#REF!*lumber_invest)) + IF(#REF!=BC$2,IF(#REF!=$AA$2,#REF!*lumber_invest)) + IF(#REF!=BC$2,IF(#REF!=$AA$2,#REF!*lumber_invest))</f>
        <v>#REF!</v>
      </c>
      <c r="BD25" s="57" t="e">
        <f>IF(#REF!=BD$2,IF(#REF!=$AA$2,#REF!*ore_invest)) + IF(#REF!=BD$2,IF(#REF!=$AA$2,#REF!*ore_invest)) + IF(#REF!=BD$2,IF(#REF!=$AA$2,#REF!*ore_invest))</f>
        <v>#REF!</v>
      </c>
      <c r="BE25" s="57" t="e">
        <f>IF(#REF!=BE$2,IF(#REF!=$AA$2,#REF!*gem_invest)) + IF(#REF!=BE$2,IF(#REF!=$AA$2,#REF!*gem_invest)) + IF(#REF!=BE$2,IF(#REF!=$AA$2,#REF!*gem_invest))</f>
        <v>#REF!</v>
      </c>
      <c r="BF25" s="134"/>
      <c r="BG25" s="57" t="e">
        <f>IF(#REF!=BG$2,IF(#REF!=$AB$2,#REF!*plat_invest)) + IF(#REF!=BG$2,IF(#REF!=$AB$2,#REF!*plat_invest)) + IF(#REF!=BG$2,IF(#REF!=$AB$2,#REF!*plat_invest))</f>
        <v>#REF!</v>
      </c>
      <c r="BH25" s="57" t="e">
        <f>IF(#REF!=BH$2,IF(#REF!=$AB$2,#REF!*lumber_invest)) + IF(#REF!=BH$2,IF(#REF!=$AB$2,#REF!*lumber_invest)) + IF(#REF!=BH$2,IF(#REF!=$AB$2,#REF!*lumber_invest))</f>
        <v>#REF!</v>
      </c>
      <c r="BI25" s="57" t="e">
        <f>IF(#REF!=BI$2,IF(#REF!=$AB$2,#REF!*ore_invest)) + IF(#REF!=BI$2,IF(#REF!=$AB$2,#REF!*ore_invest)) + IF(#REF!=BI$2,IF(#REF!=$AB$2,#REF!*ore_invest))</f>
        <v>#REF!</v>
      </c>
      <c r="BJ25" s="57" t="e">
        <f>IF(#REF!=BJ$2,IF(#REF!=$AB$2,#REF!*gem_invest)) + IF(#REF!=BJ$2,IF(#REF!=$AB$2,#REF!*gem_invest)) + IF(#REF!=BJ$2,IF(#REF!=$AB$2,#REF!*gem_invest))</f>
        <v>#REF!</v>
      </c>
      <c r="BK25" s="134"/>
      <c r="BL25" s="57" t="e">
        <f>IF(#REF!=BL$2,IF(#REF!=$AC$2,#REF!*plat_invest)) + IF(#REF!=BL$2,IF(#REF!=$AC$2,#REF!*plat_invest)) + IF(#REF!=BL$2,IF(#REF!=$AC$2,#REF!*plat_invest))</f>
        <v>#REF!</v>
      </c>
      <c r="BM25" s="57" t="e">
        <f>IF(#REF!=BM$2,IF(#REF!=$AC$2,#REF!*lumber_invest)) + IF(#REF!=BM$2,IF(#REF!=$AC$2,#REF!*lumber_invest)) + IF(#REF!=BM$2,IF(#REF!=$AC$2,#REF!*lumber_invest))</f>
        <v>#REF!</v>
      </c>
      <c r="BN25" s="57" t="e">
        <f>IF(#REF!=BN$2,IF(#REF!=$AC$2,#REF!*ore_invest)) + IF(#REF!=BN$2,IF(#REF!=$AC$2,#REF!*ore_invest)) + IF(#REF!=BN$2,IF(#REF!=$AC$2,#REF!*ore_invest))</f>
        <v>#REF!</v>
      </c>
      <c r="BO25" s="57" t="e">
        <f>IF(#REF!=BO$2,IF(#REF!=$AC$2,#REF!*gem_invest)) + IF(#REF!=BO$2,IF(#REF!=$AC$2,#REF!*gem_invest)) + IF(#REF!=BO$2,IF(#REF!=$AC$2,#REF!*gem_invest))</f>
        <v>#REF!</v>
      </c>
      <c r="BP25" s="134"/>
      <c r="BQ25" s="57" t="e">
        <f>IF(#REF!=BQ$2,IF(#REF!=$AD$2,#REF!*plat_invest)) + IF(#REF!=BQ$2,IF(#REF!=$AD$2,#REF!*plat_invest)) + IF(#REF!=BQ$2,IF(#REF!=$AD$2,#REF!*plat_invest))</f>
        <v>#REF!</v>
      </c>
      <c r="BR25" s="57" t="e">
        <f>IF(#REF!=BR$2,IF(#REF!=$AD$2,#REF!*lumber_invest)) + IF(#REF!=BR$2,IF(#REF!=$AD$2,#REF!*lumber_invest)) + IF(#REF!=BR$2,IF(#REF!=$AD$2,#REF!*lumber_invest))</f>
        <v>#REF!</v>
      </c>
      <c r="BS25" s="57" t="e">
        <f>IF(#REF!=BS$2,IF(#REF!=$AD$2,#REF!*ore_invest)) + IF(#REF!=BS$2,IF(#REF!=$AD$2,#REF!*ore_invest)) + IF(#REF!=BS$2,IF(#REF!=$AD$2,#REF!*ore_invest))</f>
        <v>#REF!</v>
      </c>
      <c r="BT25" s="57" t="e">
        <f>IF(#REF!=BT$2,IF(#REF!=$AD$2,#REF!*gem_invest)) + IF(#REF!=BT$2,IF(#REF!=$AD$2,#REF!*gem_invest)) + IF(#REF!=BT$2,IF(#REF!=$AD$2,#REF!*gem_invest))</f>
        <v>#REF!</v>
      </c>
      <c r="BU25" s="134"/>
      <c r="BV25" s="3" t="e">
        <f>OR(#REF!,#REF!,#REF!,#REF!,#REF!,#REF!,#REF!,#REF!,#REF!)</f>
        <v>#REF!</v>
      </c>
      <c r="BW25" s="61" t="e">
        <f>#REF!</f>
        <v>#REF!</v>
      </c>
      <c r="BX25" s="130"/>
      <c r="BY25" s="284" t="e">
        <f ca="1">OFFSET(#REF!,-1,0)+1/24</f>
        <v>#REF!</v>
      </c>
      <c r="BZ25" s="285" t="e">
        <f ca="1">OFFSET(#REF!,-1,0)+1/24</f>
        <v>#REF!</v>
      </c>
      <c r="CA25" s="57"/>
      <c r="CB25" s="283"/>
      <c r="CC25" s="283"/>
    </row>
    <row r="26" spans="1:84" x14ac:dyDescent="0.25">
      <c r="A26" s="206" t="e">
        <f>#REF!</f>
        <v>#REF!</v>
      </c>
      <c r="B26" s="134"/>
      <c r="C26" s="39" t="e">
        <f>#REF!</f>
        <v>#REF!</v>
      </c>
      <c r="D26" s="39" t="e">
        <f>#REF!</f>
        <v>#REF!</v>
      </c>
      <c r="E26" s="39" t="e">
        <f>#REF!</f>
        <v>#REF!</v>
      </c>
      <c r="F26" s="39" t="e">
        <f>#REF!</f>
        <v>#REF!</v>
      </c>
      <c r="G26" s="133"/>
      <c r="H26" s="39" t="e">
        <f>#REF!</f>
        <v>#REF!</v>
      </c>
      <c r="I26" s="132" t="e">
        <f>#REF!</f>
        <v>#REF!</v>
      </c>
      <c r="J26" s="132" t="e">
        <f>#REF!/#REF!</f>
        <v>#REF!</v>
      </c>
      <c r="K26" s="160" t="e">
        <f>#REF!</f>
        <v>#REF!</v>
      </c>
      <c r="L26" s="276" t="e">
        <f>#REF!</f>
        <v>#REF!</v>
      </c>
      <c r="M26" s="61">
        <f>IF(ISERROR(#REF!),0,#REF!*1)</f>
        <v>0</v>
      </c>
      <c r="N26" s="39" t="e">
        <f>#REF!</f>
        <v>#REF!</v>
      </c>
      <c r="O26" s="277" t="s">
        <v>4</v>
      </c>
      <c r="P26" s="278"/>
      <c r="Q26" s="277" t="s">
        <v>211</v>
      </c>
      <c r="R26" s="277" t="s">
        <v>7</v>
      </c>
      <c r="S26" s="278"/>
      <c r="T26" s="277" t="s">
        <v>211</v>
      </c>
      <c r="U26" s="277" t="s">
        <v>3</v>
      </c>
      <c r="V26" s="278"/>
      <c r="W26" s="277" t="s">
        <v>211</v>
      </c>
      <c r="X26" s="134"/>
      <c r="Y26" s="209" t="e">
        <f ca="1">science_cap*(1-EXP(-#REF!/(science_param*(OFFSET(#REF!,1,0)-OFFSET(#REF!,1,0)*20)+15000)))*(1+(mason_bonus*#REF!/#REF!))</f>
        <v>#REF!</v>
      </c>
      <c r="Z26" s="209" t="e">
        <f ca="1">keep_cap*(1-EXP(-#REF!/(keep_param*(OFFSET(#REF!,1,0)-OFFSET(#REF!,1,0)*20)+15000)))*(1+(mason_bonus*#REF!/#REF!))</f>
        <v>#REF!</v>
      </c>
      <c r="AA26" s="209" t="e">
        <f ca="1">harbor_towers_cap*(1-EXP(-#REF!/(towers_param*(OFFSET(#REF!,1,0)-OFFSET(#REF!,1,0)*20)+15000)))*(1+(mason_bonus*#REF!/#REF!))</f>
        <v>#REF!</v>
      </c>
      <c r="AB26" s="209" t="e">
        <f ca="1">walls_forges_cap*(1-EXP(-#REF!/(walls_forges_param*(OFFSET(#REF!,1,0)-OFFSET(#REF!,1,0)*20)+15000)))*(1+(mason_bonus*#REF!/#REF!))</f>
        <v>#REF!</v>
      </c>
      <c r="AC26" s="209" t="e">
        <f ca="1">walls_forges_cap*(1-EXP(-#REF!/(walls_forges_param*(OFFSET(#REF!,1,0)-OFFSET(#REF!,1,0)*20)+15000)))*(1+(mason_bonus*#REF!/#REF!))</f>
        <v>#REF!</v>
      </c>
      <c r="AD26" s="209" t="e">
        <f ca="1">harbor_towers_cap*(1-EXP(-#REF!/(harbor_towers_param*(OFFSET(#REF!,1,0)-OFFSET(#REF!,1,0)*20)+15000)))*(1+(mason_bonus*#REF!/#REF!))</f>
        <v>#REF!</v>
      </c>
      <c r="AE26" s="134"/>
      <c r="AF26" s="61" t="e">
        <f ca="1">(1+Overview!$I$28)*SUM(#REF!)+OFFSET(#REF!,-1,0)</f>
        <v>#REF!</v>
      </c>
      <c r="AG26" s="61" t="e">
        <f ca="1">(1+Overview!$I$28)*SUM(#REF!)+OFFSET(#REF!,-1,0)</f>
        <v>#REF!</v>
      </c>
      <c r="AH26" s="61" t="e">
        <f ca="1">(1+Overview!$I$28 + tech_7_1*#REF!)*SUM(#REF!)+OFFSET(#REF!,-1,0)</f>
        <v>#REF!</v>
      </c>
      <c r="AI26" s="61" t="e">
        <f ca="1">(1+Overview!$I$28)*SUM(#REF!)+OFFSET(#REF!,-1,0)</f>
        <v>#REF!</v>
      </c>
      <c r="AJ26" s="61" t="e">
        <f ca="1">(1+Overview!$I$28)*SUM(#REF!)+OFFSET(#REF!,-1,0)</f>
        <v>#REF!</v>
      </c>
      <c r="AK26" s="61" t="e">
        <f ca="1">(1+Overview!$I$28 + tech_7_1*#REF!)*SUM(#REF!)+OFFSET(#REF!,-1,0)</f>
        <v>#REF!</v>
      </c>
      <c r="AL26" s="134"/>
      <c r="AM26" s="57" t="e">
        <f>IF(AND(#REF!=AM$2,#REF!&lt;&gt;""),#REF!) + IF(AND(#REF!=AM$2,#REF!&lt;&gt;""),#REF!) + IF(AND(#REF!=AM$2,#REF!&lt;&gt;""),#REF!)</f>
        <v>#REF!</v>
      </c>
      <c r="AN26" s="57" t="e">
        <f>IF(AND(#REF!=AN$2,#REF!&lt;&gt;""),#REF!) + IF(AND(#REF!=AN$2,#REF!&lt;&gt;""),#REF!) + IF(AND(#REF!=AN$2,#REF!&lt;&gt;""),#REF!)</f>
        <v>#REF!</v>
      </c>
      <c r="AO26" s="57" t="e">
        <f>IF(AND(#REF!=AO$2,#REF!&lt;&gt;""),#REF!) + IF(AND(#REF!=AO$2,#REF!&lt;&gt;""),#REF!) + IF(AND(#REF!=AO$2,#REF!&lt;&gt;""),#REF!)</f>
        <v>#REF!</v>
      </c>
      <c r="AP26" s="57" t="e">
        <f>IF(AND(#REF!=AP$2,#REF!&lt;&gt;""),#REF!) + IF(AND(#REF!=AP$2,#REF!&lt;&gt;""),#REF!) + IF(AND(#REF!=AP$2,#REF!&lt;&gt;""),#REF!)</f>
        <v>#REF!</v>
      </c>
      <c r="AQ26" s="134"/>
      <c r="AR26" s="57" t="e">
        <f>IF(#REF!=AR$2,IF(#REF!=$Y$2,#REF!*plat_invest)) + IF(#REF!=AR$2,IF(#REF!=$Y$2,#REF!*plat_invest)) + IF(#REF!=AR$2,IF(#REF!=$Y$2,#REF!*plat_invest))</f>
        <v>#REF!</v>
      </c>
      <c r="AS26" s="57" t="e">
        <f>IF(#REF!=AS$2,IF(#REF!=$Y$2,#REF!*lumber_invest)) + IF(#REF!=AS$2,IF(#REF!=$Y$2,#REF!*lumber_invest)) + IF(#REF!=AS$2,IF(#REF!=$Y$2,#REF!*lumber_invest))</f>
        <v>#REF!</v>
      </c>
      <c r="AT26" s="57" t="e">
        <f>IF(#REF!=AT$2,IF(#REF!=$Y$2,#REF!*ore_invest)) + IF(#REF!=AT$2,IF(#REF!=$Y$2,#REF!*ore_invest)) + IF(#REF!=AT$2,IF(#REF!=$Y$2,#REF!*ore_invest))</f>
        <v>#REF!</v>
      </c>
      <c r="AU26" s="57" t="e">
        <f>IF(#REF!=AU$2,IF(#REF!=$Y$2,#REF!*gem_invest)) + IF(#REF!=AU$2,IF(#REF!=$Y$2,#REF!*gem_invest)) + IF(#REF!=AU$2,IF(#REF!=$Y$2,#REF!*gem_invest))</f>
        <v>#REF!</v>
      </c>
      <c r="AV26" s="134"/>
      <c r="AW26" s="57" t="e">
        <f>IF(#REF!=AW$2,IF(#REF!=$Z$2,#REF!*plat_invest)) + IF(#REF!=AW$2,IF(#REF!=$Z$2,#REF!*plat_invest)) + IF(#REF!=AW$2,IF(#REF!=$Z$2,#REF!*plat_invest))</f>
        <v>#REF!</v>
      </c>
      <c r="AX26" s="57" t="e">
        <f>IF(#REF!=AX$2,IF(#REF!=$Z$2,#REF!*lumber_invest)) + IF(#REF!=AX$2,IF(#REF!=$Z$2,#REF!*lumber_invest)) + IF(#REF!=AX$2,IF(#REF!=$Z$2,#REF!*lumber_invest))</f>
        <v>#REF!</v>
      </c>
      <c r="AY26" s="57" t="e">
        <f>IF(#REF!=AY$2,IF(#REF!=$Z$2,#REF!*ore_invest)) + IF(#REF!=AY$2,IF(#REF!=$Z$2,#REF!*ore_invest)) + IF(#REF!=AY$2,IF(#REF!=$Z$2,#REF!*ore_invest))</f>
        <v>#REF!</v>
      </c>
      <c r="AZ26" s="57" t="e">
        <f>IF(#REF!=AZ$2,IF(#REF!=$Z$2,#REF!*gem_invest)) + IF(#REF!=AZ$2,IF(#REF!=$Z$2,#REF!*gem_invest)) + IF(#REF!=AZ$2,IF(#REF!=$Z$2,#REF!*gem_invest))</f>
        <v>#REF!</v>
      </c>
      <c r="BA26" s="134"/>
      <c r="BB26" s="57" t="e">
        <f>IF(#REF!=BB$2,IF(#REF!=$AA$2,#REF!*plat_invest)) + IF(#REF!=BB$2,IF(#REF!=$AA$2,#REF!*plat_invest)) + IF(#REF!=BB$2,IF(#REF!=$AA$2,#REF!*plat_invest))</f>
        <v>#REF!</v>
      </c>
      <c r="BC26" s="57" t="e">
        <f>IF(#REF!=BC$2,IF(#REF!=$AA$2,#REF!*lumber_invest)) + IF(#REF!=BC$2,IF(#REF!=$AA$2,#REF!*lumber_invest)) + IF(#REF!=BC$2,IF(#REF!=$AA$2,#REF!*lumber_invest))</f>
        <v>#REF!</v>
      </c>
      <c r="BD26" s="57" t="e">
        <f>IF(#REF!=BD$2,IF(#REF!=$AA$2,#REF!*ore_invest)) + IF(#REF!=BD$2,IF(#REF!=$AA$2,#REF!*ore_invest)) + IF(#REF!=BD$2,IF(#REF!=$AA$2,#REF!*ore_invest))</f>
        <v>#REF!</v>
      </c>
      <c r="BE26" s="57" t="e">
        <f>IF(#REF!=BE$2,IF(#REF!=$AA$2,#REF!*gem_invest)) + IF(#REF!=BE$2,IF(#REF!=$AA$2,#REF!*gem_invest)) + IF(#REF!=BE$2,IF(#REF!=$AA$2,#REF!*gem_invest))</f>
        <v>#REF!</v>
      </c>
      <c r="BF26" s="134"/>
      <c r="BG26" s="57" t="e">
        <f>IF(#REF!=BG$2,IF(#REF!=$AB$2,#REF!*plat_invest)) + IF(#REF!=BG$2,IF(#REF!=$AB$2,#REF!*plat_invest)) + IF(#REF!=BG$2,IF(#REF!=$AB$2,#REF!*plat_invest))</f>
        <v>#REF!</v>
      </c>
      <c r="BH26" s="57" t="e">
        <f>IF(#REF!=BH$2,IF(#REF!=$AB$2,#REF!*lumber_invest)) + IF(#REF!=BH$2,IF(#REF!=$AB$2,#REF!*lumber_invest)) + IF(#REF!=BH$2,IF(#REF!=$AB$2,#REF!*lumber_invest))</f>
        <v>#REF!</v>
      </c>
      <c r="BI26" s="57" t="e">
        <f>IF(#REF!=BI$2,IF(#REF!=$AB$2,#REF!*ore_invest)) + IF(#REF!=BI$2,IF(#REF!=$AB$2,#REF!*ore_invest)) + IF(#REF!=BI$2,IF(#REF!=$AB$2,#REF!*ore_invest))</f>
        <v>#REF!</v>
      </c>
      <c r="BJ26" s="57" t="e">
        <f>IF(#REF!=BJ$2,IF(#REF!=$AB$2,#REF!*gem_invest)) + IF(#REF!=BJ$2,IF(#REF!=$AB$2,#REF!*gem_invest)) + IF(#REF!=BJ$2,IF(#REF!=$AB$2,#REF!*gem_invest))</f>
        <v>#REF!</v>
      </c>
      <c r="BK26" s="134"/>
      <c r="BL26" s="57" t="e">
        <f>IF(#REF!=BL$2,IF(#REF!=$AC$2,#REF!*plat_invest)) + IF(#REF!=BL$2,IF(#REF!=$AC$2,#REF!*plat_invest)) + IF(#REF!=BL$2,IF(#REF!=$AC$2,#REF!*plat_invest))</f>
        <v>#REF!</v>
      </c>
      <c r="BM26" s="57" t="e">
        <f>IF(#REF!=BM$2,IF(#REF!=$AC$2,#REF!*lumber_invest)) + IF(#REF!=BM$2,IF(#REF!=$AC$2,#REF!*lumber_invest)) + IF(#REF!=BM$2,IF(#REF!=$AC$2,#REF!*lumber_invest))</f>
        <v>#REF!</v>
      </c>
      <c r="BN26" s="57" t="e">
        <f>IF(#REF!=BN$2,IF(#REF!=$AC$2,#REF!*ore_invest)) + IF(#REF!=BN$2,IF(#REF!=$AC$2,#REF!*ore_invest)) + IF(#REF!=BN$2,IF(#REF!=$AC$2,#REF!*ore_invest))</f>
        <v>#REF!</v>
      </c>
      <c r="BO26" s="57" t="e">
        <f>IF(#REF!=BO$2,IF(#REF!=$AC$2,#REF!*gem_invest)) + IF(#REF!=BO$2,IF(#REF!=$AC$2,#REF!*gem_invest)) + IF(#REF!=BO$2,IF(#REF!=$AC$2,#REF!*gem_invest))</f>
        <v>#REF!</v>
      </c>
      <c r="BP26" s="134"/>
      <c r="BQ26" s="57" t="e">
        <f>IF(#REF!=BQ$2,IF(#REF!=$AD$2,#REF!*plat_invest)) + IF(#REF!=BQ$2,IF(#REF!=$AD$2,#REF!*plat_invest)) + IF(#REF!=BQ$2,IF(#REF!=$AD$2,#REF!*plat_invest))</f>
        <v>#REF!</v>
      </c>
      <c r="BR26" s="57" t="e">
        <f>IF(#REF!=BR$2,IF(#REF!=$AD$2,#REF!*lumber_invest)) + IF(#REF!=BR$2,IF(#REF!=$AD$2,#REF!*lumber_invest)) + IF(#REF!=BR$2,IF(#REF!=$AD$2,#REF!*lumber_invest))</f>
        <v>#REF!</v>
      </c>
      <c r="BS26" s="57" t="e">
        <f>IF(#REF!=BS$2,IF(#REF!=$AD$2,#REF!*ore_invest)) + IF(#REF!=BS$2,IF(#REF!=$AD$2,#REF!*ore_invest)) + IF(#REF!=BS$2,IF(#REF!=$AD$2,#REF!*ore_invest))</f>
        <v>#REF!</v>
      </c>
      <c r="BT26" s="57" t="e">
        <f>IF(#REF!=BT$2,IF(#REF!=$AD$2,#REF!*gem_invest)) + IF(#REF!=BT$2,IF(#REF!=$AD$2,#REF!*gem_invest)) + IF(#REF!=BT$2,IF(#REF!=$AD$2,#REF!*gem_invest))</f>
        <v>#REF!</v>
      </c>
      <c r="BU26" s="134"/>
      <c r="BV26" s="3" t="e">
        <f>OR(#REF!,#REF!,#REF!,#REF!,#REF!,#REF!,#REF!,#REF!,#REF!)</f>
        <v>#REF!</v>
      </c>
      <c r="BW26" s="61" t="e">
        <f>#REF!</f>
        <v>#REF!</v>
      </c>
      <c r="BX26" s="130"/>
      <c r="BY26" s="284" t="e">
        <f ca="1">OFFSET(#REF!,-1,0)+1/24</f>
        <v>#REF!</v>
      </c>
      <c r="BZ26" s="285" t="e">
        <f ca="1">OFFSET(#REF!,-1,0)+1/24</f>
        <v>#REF!</v>
      </c>
      <c r="CA26" s="57"/>
      <c r="CB26" s="283"/>
      <c r="CC26" s="283"/>
    </row>
    <row r="27" spans="1:84" x14ac:dyDescent="0.25">
      <c r="A27" s="206" t="e">
        <f>#REF!</f>
        <v>#REF!</v>
      </c>
      <c r="B27" s="134"/>
      <c r="C27" s="39" t="e">
        <f>#REF!</f>
        <v>#REF!</v>
      </c>
      <c r="D27" s="39" t="e">
        <f>#REF!</f>
        <v>#REF!</v>
      </c>
      <c r="E27" s="39" t="e">
        <f>#REF!</f>
        <v>#REF!</v>
      </c>
      <c r="F27" s="39" t="e">
        <f>#REF!</f>
        <v>#REF!</v>
      </c>
      <c r="G27" s="133"/>
      <c r="H27" s="39" t="e">
        <f>#REF!</f>
        <v>#REF!</v>
      </c>
      <c r="I27" s="132" t="e">
        <f>#REF!</f>
        <v>#REF!</v>
      </c>
      <c r="J27" s="132" t="e">
        <f>#REF!/#REF!</f>
        <v>#REF!</v>
      </c>
      <c r="K27" s="160" t="e">
        <f>#REF!</f>
        <v>#REF!</v>
      </c>
      <c r="L27" s="276" t="e">
        <f>#REF!</f>
        <v>#REF!</v>
      </c>
      <c r="M27" s="61">
        <f>IF(ISERROR(#REF!),0,#REF!*1)</f>
        <v>0</v>
      </c>
      <c r="N27" s="39" t="e">
        <f>#REF!</f>
        <v>#REF!</v>
      </c>
      <c r="O27" s="277" t="s">
        <v>4</v>
      </c>
      <c r="P27" s="278"/>
      <c r="Q27" s="277" t="s">
        <v>211</v>
      </c>
      <c r="R27" s="277" t="s">
        <v>7</v>
      </c>
      <c r="S27" s="278"/>
      <c r="T27" s="277" t="s">
        <v>211</v>
      </c>
      <c r="U27" s="277" t="s">
        <v>3</v>
      </c>
      <c r="V27" s="278"/>
      <c r="W27" s="277" t="s">
        <v>211</v>
      </c>
      <c r="X27" s="134"/>
      <c r="Y27" s="209" t="e">
        <f ca="1">science_cap*(1-EXP(-#REF!/(science_param*(OFFSET(#REF!,1,0)-OFFSET(#REF!,1,0)*20)+15000)))*(1+(mason_bonus*#REF!/#REF!))</f>
        <v>#REF!</v>
      </c>
      <c r="Z27" s="209" t="e">
        <f ca="1">keep_cap*(1-EXP(-#REF!/(keep_param*(OFFSET(#REF!,1,0)-OFFSET(#REF!,1,0)*20)+15000)))*(1+(mason_bonus*#REF!/#REF!))</f>
        <v>#REF!</v>
      </c>
      <c r="AA27" s="209" t="e">
        <f ca="1">harbor_towers_cap*(1-EXP(-#REF!/(towers_param*(OFFSET(#REF!,1,0)-OFFSET(#REF!,1,0)*20)+15000)))*(1+(mason_bonus*#REF!/#REF!))</f>
        <v>#REF!</v>
      </c>
      <c r="AB27" s="209" t="e">
        <f ca="1">walls_forges_cap*(1-EXP(-#REF!/(walls_forges_param*(OFFSET(#REF!,1,0)-OFFSET(#REF!,1,0)*20)+15000)))*(1+(mason_bonus*#REF!/#REF!))</f>
        <v>#REF!</v>
      </c>
      <c r="AC27" s="209" t="e">
        <f ca="1">walls_forges_cap*(1-EXP(-#REF!/(walls_forges_param*(OFFSET(#REF!,1,0)-OFFSET(#REF!,1,0)*20)+15000)))*(1+(mason_bonus*#REF!/#REF!))</f>
        <v>#REF!</v>
      </c>
      <c r="AD27" s="209" t="e">
        <f ca="1">harbor_towers_cap*(1-EXP(-#REF!/(harbor_towers_param*(OFFSET(#REF!,1,0)-OFFSET(#REF!,1,0)*20)+15000)))*(1+(mason_bonus*#REF!/#REF!))</f>
        <v>#REF!</v>
      </c>
      <c r="AE27" s="134"/>
      <c r="AF27" s="61" t="e">
        <f ca="1">(1+Overview!$I$28)*SUM(#REF!)+OFFSET(#REF!,-1,0)</f>
        <v>#REF!</v>
      </c>
      <c r="AG27" s="61" t="e">
        <f ca="1">(1+Overview!$I$28)*SUM(#REF!)+OFFSET(#REF!,-1,0)</f>
        <v>#REF!</v>
      </c>
      <c r="AH27" s="61" t="e">
        <f ca="1">(1+Overview!$I$28 + tech_7_1*#REF!)*SUM(#REF!)+OFFSET(#REF!,-1,0)</f>
        <v>#REF!</v>
      </c>
      <c r="AI27" s="61" t="e">
        <f ca="1">(1+Overview!$I$28)*SUM(#REF!)+OFFSET(#REF!,-1,0)</f>
        <v>#REF!</v>
      </c>
      <c r="AJ27" s="61" t="e">
        <f ca="1">(1+Overview!$I$28)*SUM(#REF!)+OFFSET(#REF!,-1,0)</f>
        <v>#REF!</v>
      </c>
      <c r="AK27" s="61" t="e">
        <f ca="1">(1+Overview!$I$28 + tech_7_1*#REF!)*SUM(#REF!)+OFFSET(#REF!,-1,0)</f>
        <v>#REF!</v>
      </c>
      <c r="AL27" s="134"/>
      <c r="AM27" s="57" t="e">
        <f>IF(AND(#REF!=AM$2,#REF!&lt;&gt;""),#REF!) + IF(AND(#REF!=AM$2,#REF!&lt;&gt;""),#REF!) + IF(AND(#REF!=AM$2,#REF!&lt;&gt;""),#REF!)</f>
        <v>#REF!</v>
      </c>
      <c r="AN27" s="57" t="e">
        <f>IF(AND(#REF!=AN$2,#REF!&lt;&gt;""),#REF!) + IF(AND(#REF!=AN$2,#REF!&lt;&gt;""),#REF!) + IF(AND(#REF!=AN$2,#REF!&lt;&gt;""),#REF!)</f>
        <v>#REF!</v>
      </c>
      <c r="AO27" s="57" t="e">
        <f>IF(AND(#REF!=AO$2,#REF!&lt;&gt;""),#REF!) + IF(AND(#REF!=AO$2,#REF!&lt;&gt;""),#REF!) + IF(AND(#REF!=AO$2,#REF!&lt;&gt;""),#REF!)</f>
        <v>#REF!</v>
      </c>
      <c r="AP27" s="57" t="e">
        <f>IF(AND(#REF!=AP$2,#REF!&lt;&gt;""),#REF!) + IF(AND(#REF!=AP$2,#REF!&lt;&gt;""),#REF!) + IF(AND(#REF!=AP$2,#REF!&lt;&gt;""),#REF!)</f>
        <v>#REF!</v>
      </c>
      <c r="AQ27" s="134"/>
      <c r="AR27" s="57" t="e">
        <f>IF(#REF!=AR$2,IF(#REF!=$Y$2,#REF!*plat_invest)) + IF(#REF!=AR$2,IF(#REF!=$Y$2,#REF!*plat_invest)) + IF(#REF!=AR$2,IF(#REF!=$Y$2,#REF!*plat_invest))</f>
        <v>#REF!</v>
      </c>
      <c r="AS27" s="57" t="e">
        <f>IF(#REF!=AS$2,IF(#REF!=$Y$2,#REF!*lumber_invest)) + IF(#REF!=AS$2,IF(#REF!=$Y$2,#REF!*lumber_invest)) + IF(#REF!=AS$2,IF(#REF!=$Y$2,#REF!*lumber_invest))</f>
        <v>#REF!</v>
      </c>
      <c r="AT27" s="57" t="e">
        <f>IF(#REF!=AT$2,IF(#REF!=$Y$2,#REF!*ore_invest)) + IF(#REF!=AT$2,IF(#REF!=$Y$2,#REF!*ore_invest)) + IF(#REF!=AT$2,IF(#REF!=$Y$2,#REF!*ore_invest))</f>
        <v>#REF!</v>
      </c>
      <c r="AU27" s="57" t="e">
        <f>IF(#REF!=AU$2,IF(#REF!=$Y$2,#REF!*gem_invest)) + IF(#REF!=AU$2,IF(#REF!=$Y$2,#REF!*gem_invest)) + IF(#REF!=AU$2,IF(#REF!=$Y$2,#REF!*gem_invest))</f>
        <v>#REF!</v>
      </c>
      <c r="AV27" s="134"/>
      <c r="AW27" s="57" t="e">
        <f>IF(#REF!=AW$2,IF(#REF!=$Z$2,#REF!*plat_invest)) + IF(#REF!=AW$2,IF(#REF!=$Z$2,#REF!*plat_invest)) + IF(#REF!=AW$2,IF(#REF!=$Z$2,#REF!*plat_invest))</f>
        <v>#REF!</v>
      </c>
      <c r="AX27" s="57" t="e">
        <f>IF(#REF!=AX$2,IF(#REF!=$Z$2,#REF!*lumber_invest)) + IF(#REF!=AX$2,IF(#REF!=$Z$2,#REF!*lumber_invest)) + IF(#REF!=AX$2,IF(#REF!=$Z$2,#REF!*lumber_invest))</f>
        <v>#REF!</v>
      </c>
      <c r="AY27" s="57" t="e">
        <f>IF(#REF!=AY$2,IF(#REF!=$Z$2,#REF!*ore_invest)) + IF(#REF!=AY$2,IF(#REF!=$Z$2,#REF!*ore_invest)) + IF(#REF!=AY$2,IF(#REF!=$Z$2,#REF!*ore_invest))</f>
        <v>#REF!</v>
      </c>
      <c r="AZ27" s="57" t="e">
        <f>IF(#REF!=AZ$2,IF(#REF!=$Z$2,#REF!*gem_invest)) + IF(#REF!=AZ$2,IF(#REF!=$Z$2,#REF!*gem_invest)) + IF(#REF!=AZ$2,IF(#REF!=$Z$2,#REF!*gem_invest))</f>
        <v>#REF!</v>
      </c>
      <c r="BA27" s="134"/>
      <c r="BB27" s="57" t="e">
        <f>IF(#REF!=BB$2,IF(#REF!=$AA$2,#REF!*plat_invest)) + IF(#REF!=BB$2,IF(#REF!=$AA$2,#REF!*plat_invest)) + IF(#REF!=BB$2,IF(#REF!=$AA$2,#REF!*plat_invest))</f>
        <v>#REF!</v>
      </c>
      <c r="BC27" s="57" t="e">
        <f>IF(#REF!=BC$2,IF(#REF!=$AA$2,#REF!*lumber_invest)) + IF(#REF!=BC$2,IF(#REF!=$AA$2,#REF!*lumber_invest)) + IF(#REF!=BC$2,IF(#REF!=$AA$2,#REF!*lumber_invest))</f>
        <v>#REF!</v>
      </c>
      <c r="BD27" s="57" t="e">
        <f>IF(#REF!=BD$2,IF(#REF!=$AA$2,#REF!*ore_invest)) + IF(#REF!=BD$2,IF(#REF!=$AA$2,#REF!*ore_invest)) + IF(#REF!=BD$2,IF(#REF!=$AA$2,#REF!*ore_invest))</f>
        <v>#REF!</v>
      </c>
      <c r="BE27" s="57" t="e">
        <f>IF(#REF!=BE$2,IF(#REF!=$AA$2,#REF!*gem_invest)) + IF(#REF!=BE$2,IF(#REF!=$AA$2,#REF!*gem_invest)) + IF(#REF!=BE$2,IF(#REF!=$AA$2,#REF!*gem_invest))</f>
        <v>#REF!</v>
      </c>
      <c r="BF27" s="134"/>
      <c r="BG27" s="57" t="e">
        <f>IF(#REF!=BG$2,IF(#REF!=$AB$2,#REF!*plat_invest)) + IF(#REF!=BG$2,IF(#REF!=$AB$2,#REF!*plat_invest)) + IF(#REF!=BG$2,IF(#REF!=$AB$2,#REF!*plat_invest))</f>
        <v>#REF!</v>
      </c>
      <c r="BH27" s="57" t="e">
        <f>IF(#REF!=BH$2,IF(#REF!=$AB$2,#REF!*lumber_invest)) + IF(#REF!=BH$2,IF(#REF!=$AB$2,#REF!*lumber_invest)) + IF(#REF!=BH$2,IF(#REF!=$AB$2,#REF!*lumber_invest))</f>
        <v>#REF!</v>
      </c>
      <c r="BI27" s="57" t="e">
        <f>IF(#REF!=BI$2,IF(#REF!=$AB$2,#REF!*ore_invest)) + IF(#REF!=BI$2,IF(#REF!=$AB$2,#REF!*ore_invest)) + IF(#REF!=BI$2,IF(#REF!=$AB$2,#REF!*ore_invest))</f>
        <v>#REF!</v>
      </c>
      <c r="BJ27" s="57" t="e">
        <f>IF(#REF!=BJ$2,IF(#REF!=$AB$2,#REF!*gem_invest)) + IF(#REF!=BJ$2,IF(#REF!=$AB$2,#REF!*gem_invest)) + IF(#REF!=BJ$2,IF(#REF!=$AB$2,#REF!*gem_invest))</f>
        <v>#REF!</v>
      </c>
      <c r="BK27" s="134"/>
      <c r="BL27" s="57" t="e">
        <f>IF(#REF!=BL$2,IF(#REF!=$AC$2,#REF!*plat_invest)) + IF(#REF!=BL$2,IF(#REF!=$AC$2,#REF!*plat_invest)) + IF(#REF!=BL$2,IF(#REF!=$AC$2,#REF!*plat_invest))</f>
        <v>#REF!</v>
      </c>
      <c r="BM27" s="57" t="e">
        <f>IF(#REF!=BM$2,IF(#REF!=$AC$2,#REF!*lumber_invest)) + IF(#REF!=BM$2,IF(#REF!=$AC$2,#REF!*lumber_invest)) + IF(#REF!=BM$2,IF(#REF!=$AC$2,#REF!*lumber_invest))</f>
        <v>#REF!</v>
      </c>
      <c r="BN27" s="57" t="e">
        <f>IF(#REF!=BN$2,IF(#REF!=$AC$2,#REF!*ore_invest)) + IF(#REF!=BN$2,IF(#REF!=$AC$2,#REF!*ore_invest)) + IF(#REF!=BN$2,IF(#REF!=$AC$2,#REF!*ore_invest))</f>
        <v>#REF!</v>
      </c>
      <c r="BO27" s="57" t="e">
        <f>IF(#REF!=BO$2,IF(#REF!=$AC$2,#REF!*gem_invest)) + IF(#REF!=BO$2,IF(#REF!=$AC$2,#REF!*gem_invest)) + IF(#REF!=BO$2,IF(#REF!=$AC$2,#REF!*gem_invest))</f>
        <v>#REF!</v>
      </c>
      <c r="BP27" s="134"/>
      <c r="BQ27" s="57" t="e">
        <f>IF(#REF!=BQ$2,IF(#REF!=$AD$2,#REF!*plat_invest)) + IF(#REF!=BQ$2,IF(#REF!=$AD$2,#REF!*plat_invest)) + IF(#REF!=BQ$2,IF(#REF!=$AD$2,#REF!*plat_invest))</f>
        <v>#REF!</v>
      </c>
      <c r="BR27" s="57" t="e">
        <f>IF(#REF!=BR$2,IF(#REF!=$AD$2,#REF!*lumber_invest)) + IF(#REF!=BR$2,IF(#REF!=$AD$2,#REF!*lumber_invest)) + IF(#REF!=BR$2,IF(#REF!=$AD$2,#REF!*lumber_invest))</f>
        <v>#REF!</v>
      </c>
      <c r="BS27" s="57" t="e">
        <f>IF(#REF!=BS$2,IF(#REF!=$AD$2,#REF!*ore_invest)) + IF(#REF!=BS$2,IF(#REF!=$AD$2,#REF!*ore_invest)) + IF(#REF!=BS$2,IF(#REF!=$AD$2,#REF!*ore_invest))</f>
        <v>#REF!</v>
      </c>
      <c r="BT27" s="57" t="e">
        <f>IF(#REF!=BT$2,IF(#REF!=$AD$2,#REF!*gem_invest)) + IF(#REF!=BT$2,IF(#REF!=$AD$2,#REF!*gem_invest)) + IF(#REF!=BT$2,IF(#REF!=$AD$2,#REF!*gem_invest))</f>
        <v>#REF!</v>
      </c>
      <c r="BU27" s="134"/>
      <c r="BV27" s="3" t="e">
        <f>OR(#REF!,#REF!,#REF!,#REF!,#REF!,#REF!,#REF!,#REF!,#REF!)</f>
        <v>#REF!</v>
      </c>
      <c r="BW27" s="61" t="e">
        <f>#REF!</f>
        <v>#REF!</v>
      </c>
      <c r="BX27" s="130"/>
      <c r="BY27" s="284" t="e">
        <f ca="1">OFFSET(#REF!,-1,0)+1/24</f>
        <v>#REF!</v>
      </c>
      <c r="BZ27" s="285" t="e">
        <f ca="1">OFFSET(#REF!,-1,0)+1/24</f>
        <v>#REF!</v>
      </c>
      <c r="CA27" s="57"/>
      <c r="CB27" s="283"/>
      <c r="CC27" s="283"/>
    </row>
    <row r="28" spans="1:84" x14ac:dyDescent="0.25">
      <c r="A28" s="206" t="e">
        <f>#REF!</f>
        <v>#REF!</v>
      </c>
      <c r="B28" s="134"/>
      <c r="C28" s="39" t="e">
        <f>#REF!</f>
        <v>#REF!</v>
      </c>
      <c r="D28" s="39" t="e">
        <f>#REF!</f>
        <v>#REF!</v>
      </c>
      <c r="E28" s="39" t="e">
        <f>#REF!</f>
        <v>#REF!</v>
      </c>
      <c r="F28" s="39" t="e">
        <f>#REF!</f>
        <v>#REF!</v>
      </c>
      <c r="G28" s="133"/>
      <c r="H28" s="39" t="e">
        <f>#REF!</f>
        <v>#REF!</v>
      </c>
      <c r="I28" s="132" t="e">
        <f>#REF!</f>
        <v>#REF!</v>
      </c>
      <c r="J28" s="132" t="e">
        <f>#REF!/#REF!</f>
        <v>#REF!</v>
      </c>
      <c r="K28" s="160" t="e">
        <f>#REF!</f>
        <v>#REF!</v>
      </c>
      <c r="L28" s="276" t="e">
        <f>#REF!</f>
        <v>#REF!</v>
      </c>
      <c r="M28" s="61">
        <f>IF(ISERROR(#REF!),0,#REF!*1)</f>
        <v>0</v>
      </c>
      <c r="N28" s="39" t="e">
        <f>#REF!</f>
        <v>#REF!</v>
      </c>
      <c r="O28" s="277" t="s">
        <v>4</v>
      </c>
      <c r="P28" s="278"/>
      <c r="Q28" s="277" t="s">
        <v>211</v>
      </c>
      <c r="R28" s="277" t="s">
        <v>7</v>
      </c>
      <c r="S28" s="278"/>
      <c r="T28" s="277" t="s">
        <v>211</v>
      </c>
      <c r="U28" s="277" t="s">
        <v>3</v>
      </c>
      <c r="V28" s="278"/>
      <c r="W28" s="277" t="s">
        <v>211</v>
      </c>
      <c r="X28" s="134"/>
      <c r="Y28" s="209" t="e">
        <f ca="1">science_cap*(1-EXP(-#REF!/(science_param*(OFFSET(#REF!,1,0)-OFFSET(#REF!,1,0)*20)+15000)))*(1+(mason_bonus*#REF!/#REF!))</f>
        <v>#REF!</v>
      </c>
      <c r="Z28" s="209" t="e">
        <f ca="1">keep_cap*(1-EXP(-#REF!/(keep_param*(OFFSET(#REF!,1,0)-OFFSET(#REF!,1,0)*20)+15000)))*(1+(mason_bonus*#REF!/#REF!))</f>
        <v>#REF!</v>
      </c>
      <c r="AA28" s="209" t="e">
        <f ca="1">harbor_towers_cap*(1-EXP(-#REF!/(towers_param*(OFFSET(#REF!,1,0)-OFFSET(#REF!,1,0)*20)+15000)))*(1+(mason_bonus*#REF!/#REF!))</f>
        <v>#REF!</v>
      </c>
      <c r="AB28" s="209" t="e">
        <f ca="1">walls_forges_cap*(1-EXP(-#REF!/(walls_forges_param*(OFFSET(#REF!,1,0)-OFFSET(#REF!,1,0)*20)+15000)))*(1+(mason_bonus*#REF!/#REF!))</f>
        <v>#REF!</v>
      </c>
      <c r="AC28" s="209" t="e">
        <f ca="1">walls_forges_cap*(1-EXP(-#REF!/(walls_forges_param*(OFFSET(#REF!,1,0)-OFFSET(#REF!,1,0)*20)+15000)))*(1+(mason_bonus*#REF!/#REF!))</f>
        <v>#REF!</v>
      </c>
      <c r="AD28" s="209" t="e">
        <f ca="1">harbor_towers_cap*(1-EXP(-#REF!/(harbor_towers_param*(OFFSET(#REF!,1,0)-OFFSET(#REF!,1,0)*20)+15000)))*(1+(mason_bonus*#REF!/#REF!))</f>
        <v>#REF!</v>
      </c>
      <c r="AE28" s="134"/>
      <c r="AF28" s="61" t="e">
        <f ca="1">(1+Overview!$I$28)*SUM(#REF!)+OFFSET(#REF!,-1,0)</f>
        <v>#REF!</v>
      </c>
      <c r="AG28" s="61" t="e">
        <f ca="1">(1+Overview!$I$28)*SUM(#REF!)+OFFSET(#REF!,-1,0)</f>
        <v>#REF!</v>
      </c>
      <c r="AH28" s="61" t="e">
        <f ca="1">(1+Overview!$I$28 + tech_7_1*#REF!)*SUM(#REF!)+OFFSET(#REF!,-1,0)</f>
        <v>#REF!</v>
      </c>
      <c r="AI28" s="61" t="e">
        <f ca="1">(1+Overview!$I$28)*SUM(#REF!)+OFFSET(#REF!,-1,0)</f>
        <v>#REF!</v>
      </c>
      <c r="AJ28" s="61" t="e">
        <f ca="1">(1+Overview!$I$28)*SUM(#REF!)+OFFSET(#REF!,-1,0)</f>
        <v>#REF!</v>
      </c>
      <c r="AK28" s="61" t="e">
        <f ca="1">(1+Overview!$I$28 + tech_7_1*#REF!)*SUM(#REF!)+OFFSET(#REF!,-1,0)</f>
        <v>#REF!</v>
      </c>
      <c r="AL28" s="134"/>
      <c r="AM28" s="57" t="e">
        <f>IF(AND(#REF!=AM$2,#REF!&lt;&gt;""),#REF!) + IF(AND(#REF!=AM$2,#REF!&lt;&gt;""),#REF!) + IF(AND(#REF!=AM$2,#REF!&lt;&gt;""),#REF!)</f>
        <v>#REF!</v>
      </c>
      <c r="AN28" s="57" t="e">
        <f>IF(AND(#REF!=AN$2,#REF!&lt;&gt;""),#REF!) + IF(AND(#REF!=AN$2,#REF!&lt;&gt;""),#REF!) + IF(AND(#REF!=AN$2,#REF!&lt;&gt;""),#REF!)</f>
        <v>#REF!</v>
      </c>
      <c r="AO28" s="57" t="e">
        <f>IF(AND(#REF!=AO$2,#REF!&lt;&gt;""),#REF!) + IF(AND(#REF!=AO$2,#REF!&lt;&gt;""),#REF!) + IF(AND(#REF!=AO$2,#REF!&lt;&gt;""),#REF!)</f>
        <v>#REF!</v>
      </c>
      <c r="AP28" s="57" t="e">
        <f>IF(AND(#REF!=AP$2,#REF!&lt;&gt;""),#REF!) + IF(AND(#REF!=AP$2,#REF!&lt;&gt;""),#REF!) + IF(AND(#REF!=AP$2,#REF!&lt;&gt;""),#REF!)</f>
        <v>#REF!</v>
      </c>
      <c r="AQ28" s="134"/>
      <c r="AR28" s="57" t="e">
        <f>IF(#REF!=AR$2,IF(#REF!=$Y$2,#REF!*plat_invest)) + IF(#REF!=AR$2,IF(#REF!=$Y$2,#REF!*plat_invest)) + IF(#REF!=AR$2,IF(#REF!=$Y$2,#REF!*plat_invest))</f>
        <v>#REF!</v>
      </c>
      <c r="AS28" s="57" t="e">
        <f>IF(#REF!=AS$2,IF(#REF!=$Y$2,#REF!*lumber_invest)) + IF(#REF!=AS$2,IF(#REF!=$Y$2,#REF!*lumber_invest)) + IF(#REF!=AS$2,IF(#REF!=$Y$2,#REF!*lumber_invest))</f>
        <v>#REF!</v>
      </c>
      <c r="AT28" s="57" t="e">
        <f>IF(#REF!=AT$2,IF(#REF!=$Y$2,#REF!*ore_invest)) + IF(#REF!=AT$2,IF(#REF!=$Y$2,#REF!*ore_invest)) + IF(#REF!=AT$2,IF(#REF!=$Y$2,#REF!*ore_invest))</f>
        <v>#REF!</v>
      </c>
      <c r="AU28" s="57" t="e">
        <f>IF(#REF!=AU$2,IF(#REF!=$Y$2,#REF!*gem_invest)) + IF(#REF!=AU$2,IF(#REF!=$Y$2,#REF!*gem_invest)) + IF(#REF!=AU$2,IF(#REF!=$Y$2,#REF!*gem_invest))</f>
        <v>#REF!</v>
      </c>
      <c r="AV28" s="134"/>
      <c r="AW28" s="57" t="e">
        <f>IF(#REF!=AW$2,IF(#REF!=$Z$2,#REF!*plat_invest)) + IF(#REF!=AW$2,IF(#REF!=$Z$2,#REF!*plat_invest)) + IF(#REF!=AW$2,IF(#REF!=$Z$2,#REF!*plat_invest))</f>
        <v>#REF!</v>
      </c>
      <c r="AX28" s="57" t="e">
        <f>IF(#REF!=AX$2,IF(#REF!=$Z$2,#REF!*lumber_invest)) + IF(#REF!=AX$2,IF(#REF!=$Z$2,#REF!*lumber_invest)) + IF(#REF!=AX$2,IF(#REF!=$Z$2,#REF!*lumber_invest))</f>
        <v>#REF!</v>
      </c>
      <c r="AY28" s="57" t="e">
        <f>IF(#REF!=AY$2,IF(#REF!=$Z$2,#REF!*ore_invest)) + IF(#REF!=AY$2,IF(#REF!=$Z$2,#REF!*ore_invest)) + IF(#REF!=AY$2,IF(#REF!=$Z$2,#REF!*ore_invest))</f>
        <v>#REF!</v>
      </c>
      <c r="AZ28" s="57" t="e">
        <f>IF(#REF!=AZ$2,IF(#REF!=$Z$2,#REF!*gem_invest)) + IF(#REF!=AZ$2,IF(#REF!=$Z$2,#REF!*gem_invest)) + IF(#REF!=AZ$2,IF(#REF!=$Z$2,#REF!*gem_invest))</f>
        <v>#REF!</v>
      </c>
      <c r="BA28" s="134"/>
      <c r="BB28" s="57" t="e">
        <f>IF(#REF!=BB$2,IF(#REF!=$AA$2,#REF!*plat_invest)) + IF(#REF!=BB$2,IF(#REF!=$AA$2,#REF!*plat_invest)) + IF(#REF!=BB$2,IF(#REF!=$AA$2,#REF!*plat_invest))</f>
        <v>#REF!</v>
      </c>
      <c r="BC28" s="57" t="e">
        <f>IF(#REF!=BC$2,IF(#REF!=$AA$2,#REF!*lumber_invest)) + IF(#REF!=BC$2,IF(#REF!=$AA$2,#REF!*lumber_invest)) + IF(#REF!=BC$2,IF(#REF!=$AA$2,#REF!*lumber_invest))</f>
        <v>#REF!</v>
      </c>
      <c r="BD28" s="57" t="e">
        <f>IF(#REF!=BD$2,IF(#REF!=$AA$2,#REF!*ore_invest)) + IF(#REF!=BD$2,IF(#REF!=$AA$2,#REF!*ore_invest)) + IF(#REF!=BD$2,IF(#REF!=$AA$2,#REF!*ore_invest))</f>
        <v>#REF!</v>
      </c>
      <c r="BE28" s="57" t="e">
        <f>IF(#REF!=BE$2,IF(#REF!=$AA$2,#REF!*gem_invest)) + IF(#REF!=BE$2,IF(#REF!=$AA$2,#REF!*gem_invest)) + IF(#REF!=BE$2,IF(#REF!=$AA$2,#REF!*gem_invest))</f>
        <v>#REF!</v>
      </c>
      <c r="BF28" s="134"/>
      <c r="BG28" s="57" t="e">
        <f>IF(#REF!=BG$2,IF(#REF!=$AB$2,#REF!*plat_invest)) + IF(#REF!=BG$2,IF(#REF!=$AB$2,#REF!*plat_invest)) + IF(#REF!=BG$2,IF(#REF!=$AB$2,#REF!*plat_invest))</f>
        <v>#REF!</v>
      </c>
      <c r="BH28" s="57" t="e">
        <f>IF(#REF!=BH$2,IF(#REF!=$AB$2,#REF!*lumber_invest)) + IF(#REF!=BH$2,IF(#REF!=$AB$2,#REF!*lumber_invest)) + IF(#REF!=BH$2,IF(#REF!=$AB$2,#REF!*lumber_invest))</f>
        <v>#REF!</v>
      </c>
      <c r="BI28" s="57" t="e">
        <f>IF(#REF!=BI$2,IF(#REF!=$AB$2,#REF!*ore_invest)) + IF(#REF!=BI$2,IF(#REF!=$AB$2,#REF!*ore_invest)) + IF(#REF!=BI$2,IF(#REF!=$AB$2,#REF!*ore_invest))</f>
        <v>#REF!</v>
      </c>
      <c r="BJ28" s="57" t="e">
        <f>IF(#REF!=BJ$2,IF(#REF!=$AB$2,#REF!*gem_invest)) + IF(#REF!=BJ$2,IF(#REF!=$AB$2,#REF!*gem_invest)) + IF(#REF!=BJ$2,IF(#REF!=$AB$2,#REF!*gem_invest))</f>
        <v>#REF!</v>
      </c>
      <c r="BK28" s="134"/>
      <c r="BL28" s="57" t="e">
        <f>IF(#REF!=BL$2,IF(#REF!=$AC$2,#REF!*plat_invest)) + IF(#REF!=BL$2,IF(#REF!=$AC$2,#REF!*plat_invest)) + IF(#REF!=BL$2,IF(#REF!=$AC$2,#REF!*plat_invest))</f>
        <v>#REF!</v>
      </c>
      <c r="BM28" s="57" t="e">
        <f>IF(#REF!=BM$2,IF(#REF!=$AC$2,#REF!*lumber_invest)) + IF(#REF!=BM$2,IF(#REF!=$AC$2,#REF!*lumber_invest)) + IF(#REF!=BM$2,IF(#REF!=$AC$2,#REF!*lumber_invest))</f>
        <v>#REF!</v>
      </c>
      <c r="BN28" s="57" t="e">
        <f>IF(#REF!=BN$2,IF(#REF!=$AC$2,#REF!*ore_invest)) + IF(#REF!=BN$2,IF(#REF!=$AC$2,#REF!*ore_invest)) + IF(#REF!=BN$2,IF(#REF!=$AC$2,#REF!*ore_invest))</f>
        <v>#REF!</v>
      </c>
      <c r="BO28" s="57" t="e">
        <f>IF(#REF!=BO$2,IF(#REF!=$AC$2,#REF!*gem_invest)) + IF(#REF!=BO$2,IF(#REF!=$AC$2,#REF!*gem_invest)) + IF(#REF!=BO$2,IF(#REF!=$AC$2,#REF!*gem_invest))</f>
        <v>#REF!</v>
      </c>
      <c r="BP28" s="134"/>
      <c r="BQ28" s="57" t="e">
        <f>IF(#REF!=BQ$2,IF(#REF!=$AD$2,#REF!*plat_invest)) + IF(#REF!=BQ$2,IF(#REF!=$AD$2,#REF!*plat_invest)) + IF(#REF!=BQ$2,IF(#REF!=$AD$2,#REF!*plat_invest))</f>
        <v>#REF!</v>
      </c>
      <c r="BR28" s="57" t="e">
        <f>IF(#REF!=BR$2,IF(#REF!=$AD$2,#REF!*lumber_invest)) + IF(#REF!=BR$2,IF(#REF!=$AD$2,#REF!*lumber_invest)) + IF(#REF!=BR$2,IF(#REF!=$AD$2,#REF!*lumber_invest))</f>
        <v>#REF!</v>
      </c>
      <c r="BS28" s="57" t="e">
        <f>IF(#REF!=BS$2,IF(#REF!=$AD$2,#REF!*ore_invest)) + IF(#REF!=BS$2,IF(#REF!=$AD$2,#REF!*ore_invest)) + IF(#REF!=BS$2,IF(#REF!=$AD$2,#REF!*ore_invest))</f>
        <v>#REF!</v>
      </c>
      <c r="BT28" s="57" t="e">
        <f>IF(#REF!=BT$2,IF(#REF!=$AD$2,#REF!*gem_invest)) + IF(#REF!=BT$2,IF(#REF!=$AD$2,#REF!*gem_invest)) + IF(#REF!=BT$2,IF(#REF!=$AD$2,#REF!*gem_invest))</f>
        <v>#REF!</v>
      </c>
      <c r="BU28" s="134"/>
      <c r="BV28" s="3" t="e">
        <f>OR(#REF!,#REF!,#REF!,#REF!,#REF!,#REF!,#REF!,#REF!,#REF!)</f>
        <v>#REF!</v>
      </c>
      <c r="BW28" s="61" t="e">
        <f>#REF!</f>
        <v>#REF!</v>
      </c>
      <c r="BX28" s="130"/>
      <c r="BY28" s="284" t="e">
        <f ca="1">OFFSET(#REF!,-1,0)+1/24</f>
        <v>#REF!</v>
      </c>
      <c r="BZ28" s="285" t="e">
        <f ca="1">OFFSET(#REF!,-1,0)+1/24</f>
        <v>#REF!</v>
      </c>
      <c r="CA28" s="57"/>
      <c r="CB28" s="283"/>
      <c r="CC28" s="283"/>
    </row>
    <row r="29" spans="1:84" x14ac:dyDescent="0.25">
      <c r="A29" s="206" t="e">
        <f>#REF!</f>
        <v>#REF!</v>
      </c>
      <c r="B29" s="134"/>
      <c r="C29" s="39" t="e">
        <f>#REF!</f>
        <v>#REF!</v>
      </c>
      <c r="D29" s="39" t="e">
        <f>#REF!</f>
        <v>#REF!</v>
      </c>
      <c r="E29" s="39" t="e">
        <f>#REF!</f>
        <v>#REF!</v>
      </c>
      <c r="F29" s="39" t="e">
        <f>#REF!</f>
        <v>#REF!</v>
      </c>
      <c r="G29" s="133"/>
      <c r="H29" s="39" t="e">
        <f>#REF!</f>
        <v>#REF!</v>
      </c>
      <c r="I29" s="132" t="e">
        <f>#REF!</f>
        <v>#REF!</v>
      </c>
      <c r="J29" s="132" t="e">
        <f>#REF!/#REF!</f>
        <v>#REF!</v>
      </c>
      <c r="K29" s="160" t="e">
        <f>#REF!</f>
        <v>#REF!</v>
      </c>
      <c r="L29" s="276" t="e">
        <f>#REF!</f>
        <v>#REF!</v>
      </c>
      <c r="M29" s="61">
        <f>IF(ISERROR(#REF!),0,#REF!*1)</f>
        <v>0</v>
      </c>
      <c r="N29" s="39" t="e">
        <f>#REF!</f>
        <v>#REF!</v>
      </c>
      <c r="O29" s="277" t="s">
        <v>4</v>
      </c>
      <c r="P29" s="278"/>
      <c r="Q29" s="277" t="s">
        <v>211</v>
      </c>
      <c r="R29" s="277" t="s">
        <v>7</v>
      </c>
      <c r="S29" s="278"/>
      <c r="T29" s="277" t="s">
        <v>211</v>
      </c>
      <c r="U29" s="277" t="s">
        <v>3</v>
      </c>
      <c r="V29" s="278"/>
      <c r="W29" s="277" t="s">
        <v>211</v>
      </c>
      <c r="X29" s="134"/>
      <c r="Y29" s="209" t="e">
        <f ca="1">science_cap*(1-EXP(-#REF!/(science_param*(OFFSET(#REF!,1,0)-OFFSET(#REF!,1,0)*20)+15000)))*(1+(mason_bonus*#REF!/#REF!))</f>
        <v>#REF!</v>
      </c>
      <c r="Z29" s="209" t="e">
        <f ca="1">keep_cap*(1-EXP(-#REF!/(keep_param*(OFFSET(#REF!,1,0)-OFFSET(#REF!,1,0)*20)+15000)))*(1+(mason_bonus*#REF!/#REF!))</f>
        <v>#REF!</v>
      </c>
      <c r="AA29" s="209" t="e">
        <f ca="1">harbor_towers_cap*(1-EXP(-#REF!/(towers_param*(OFFSET(#REF!,1,0)-OFFSET(#REF!,1,0)*20)+15000)))*(1+(mason_bonus*#REF!/#REF!))</f>
        <v>#REF!</v>
      </c>
      <c r="AB29" s="209" t="e">
        <f ca="1">walls_forges_cap*(1-EXP(-#REF!/(walls_forges_param*(OFFSET(#REF!,1,0)-OFFSET(#REF!,1,0)*20)+15000)))*(1+(mason_bonus*#REF!/#REF!))</f>
        <v>#REF!</v>
      </c>
      <c r="AC29" s="209" t="e">
        <f ca="1">walls_forges_cap*(1-EXP(-#REF!/(walls_forges_param*(OFFSET(#REF!,1,0)-OFFSET(#REF!,1,0)*20)+15000)))*(1+(mason_bonus*#REF!/#REF!))</f>
        <v>#REF!</v>
      </c>
      <c r="AD29" s="209" t="e">
        <f ca="1">harbor_towers_cap*(1-EXP(-#REF!/(harbor_towers_param*(OFFSET(#REF!,1,0)-OFFSET(#REF!,1,0)*20)+15000)))*(1+(mason_bonus*#REF!/#REF!))</f>
        <v>#REF!</v>
      </c>
      <c r="AE29" s="134"/>
      <c r="AF29" s="61" t="e">
        <f ca="1">(1+Overview!$I$28)*SUM(#REF!)+OFFSET(#REF!,-1,0)</f>
        <v>#REF!</v>
      </c>
      <c r="AG29" s="61" t="e">
        <f ca="1">(1+Overview!$I$28)*SUM(#REF!)+OFFSET(#REF!,-1,0)</f>
        <v>#REF!</v>
      </c>
      <c r="AH29" s="61" t="e">
        <f ca="1">(1+Overview!$I$28 + tech_7_1*#REF!)*SUM(#REF!)+OFFSET(#REF!,-1,0)</f>
        <v>#REF!</v>
      </c>
      <c r="AI29" s="61" t="e">
        <f ca="1">(1+Overview!$I$28)*SUM(#REF!)+OFFSET(#REF!,-1,0)</f>
        <v>#REF!</v>
      </c>
      <c r="AJ29" s="61" t="e">
        <f ca="1">(1+Overview!$I$28)*SUM(#REF!)+OFFSET(#REF!,-1,0)</f>
        <v>#REF!</v>
      </c>
      <c r="AK29" s="61" t="e">
        <f ca="1">(1+Overview!$I$28 + tech_7_1*#REF!)*SUM(#REF!)+OFFSET(#REF!,-1,0)</f>
        <v>#REF!</v>
      </c>
      <c r="AL29" s="134"/>
      <c r="AM29" s="57" t="e">
        <f>IF(AND(#REF!=AM$2,#REF!&lt;&gt;""),#REF!) + IF(AND(#REF!=AM$2,#REF!&lt;&gt;""),#REF!) + IF(AND(#REF!=AM$2,#REF!&lt;&gt;""),#REF!)</f>
        <v>#REF!</v>
      </c>
      <c r="AN29" s="57" t="e">
        <f>IF(AND(#REF!=AN$2,#REF!&lt;&gt;""),#REF!) + IF(AND(#REF!=AN$2,#REF!&lt;&gt;""),#REF!) + IF(AND(#REF!=AN$2,#REF!&lt;&gt;""),#REF!)</f>
        <v>#REF!</v>
      </c>
      <c r="AO29" s="57" t="e">
        <f>IF(AND(#REF!=AO$2,#REF!&lt;&gt;""),#REF!) + IF(AND(#REF!=AO$2,#REF!&lt;&gt;""),#REF!) + IF(AND(#REF!=AO$2,#REF!&lt;&gt;""),#REF!)</f>
        <v>#REF!</v>
      </c>
      <c r="AP29" s="57" t="e">
        <f>IF(AND(#REF!=AP$2,#REF!&lt;&gt;""),#REF!) + IF(AND(#REF!=AP$2,#REF!&lt;&gt;""),#REF!) + IF(AND(#REF!=AP$2,#REF!&lt;&gt;""),#REF!)</f>
        <v>#REF!</v>
      </c>
      <c r="AQ29" s="134"/>
      <c r="AR29" s="57" t="e">
        <f>IF(#REF!=AR$2,IF(#REF!=$Y$2,#REF!*plat_invest)) + IF(#REF!=AR$2,IF(#REF!=$Y$2,#REF!*plat_invest)) + IF(#REF!=AR$2,IF(#REF!=$Y$2,#REF!*plat_invest))</f>
        <v>#REF!</v>
      </c>
      <c r="AS29" s="57" t="e">
        <f>IF(#REF!=AS$2,IF(#REF!=$Y$2,#REF!*lumber_invest)) + IF(#REF!=AS$2,IF(#REF!=$Y$2,#REF!*lumber_invest)) + IF(#REF!=AS$2,IF(#REF!=$Y$2,#REF!*lumber_invest))</f>
        <v>#REF!</v>
      </c>
      <c r="AT29" s="57" t="e">
        <f>IF(#REF!=AT$2,IF(#REF!=$Y$2,#REF!*ore_invest)) + IF(#REF!=AT$2,IF(#REF!=$Y$2,#REF!*ore_invest)) + IF(#REF!=AT$2,IF(#REF!=$Y$2,#REF!*ore_invest))</f>
        <v>#REF!</v>
      </c>
      <c r="AU29" s="57" t="e">
        <f>IF(#REF!=AU$2,IF(#REF!=$Y$2,#REF!*gem_invest)) + IF(#REF!=AU$2,IF(#REF!=$Y$2,#REF!*gem_invest)) + IF(#REF!=AU$2,IF(#REF!=$Y$2,#REF!*gem_invest))</f>
        <v>#REF!</v>
      </c>
      <c r="AV29" s="134"/>
      <c r="AW29" s="57" t="e">
        <f>IF(#REF!=AW$2,IF(#REF!=$Z$2,#REF!*plat_invest)) + IF(#REF!=AW$2,IF(#REF!=$Z$2,#REF!*plat_invest)) + IF(#REF!=AW$2,IF(#REF!=$Z$2,#REF!*plat_invest))</f>
        <v>#REF!</v>
      </c>
      <c r="AX29" s="57" t="e">
        <f>IF(#REF!=AX$2,IF(#REF!=$Z$2,#REF!*lumber_invest)) + IF(#REF!=AX$2,IF(#REF!=$Z$2,#REF!*lumber_invest)) + IF(#REF!=AX$2,IF(#REF!=$Z$2,#REF!*lumber_invest))</f>
        <v>#REF!</v>
      </c>
      <c r="AY29" s="57" t="e">
        <f>IF(#REF!=AY$2,IF(#REF!=$Z$2,#REF!*ore_invest)) + IF(#REF!=AY$2,IF(#REF!=$Z$2,#REF!*ore_invest)) + IF(#REF!=AY$2,IF(#REF!=$Z$2,#REF!*ore_invest))</f>
        <v>#REF!</v>
      </c>
      <c r="AZ29" s="57" t="e">
        <f>IF(#REF!=AZ$2,IF(#REF!=$Z$2,#REF!*gem_invest)) + IF(#REF!=AZ$2,IF(#REF!=$Z$2,#REF!*gem_invest)) + IF(#REF!=AZ$2,IF(#REF!=$Z$2,#REF!*gem_invest))</f>
        <v>#REF!</v>
      </c>
      <c r="BA29" s="134"/>
      <c r="BB29" s="57" t="e">
        <f>IF(#REF!=BB$2,IF(#REF!=$AA$2,#REF!*plat_invest)) + IF(#REF!=BB$2,IF(#REF!=$AA$2,#REF!*plat_invest)) + IF(#REF!=BB$2,IF(#REF!=$AA$2,#REF!*plat_invest))</f>
        <v>#REF!</v>
      </c>
      <c r="BC29" s="57" t="e">
        <f>IF(#REF!=BC$2,IF(#REF!=$AA$2,#REF!*lumber_invest)) + IF(#REF!=BC$2,IF(#REF!=$AA$2,#REF!*lumber_invest)) + IF(#REF!=BC$2,IF(#REF!=$AA$2,#REF!*lumber_invest))</f>
        <v>#REF!</v>
      </c>
      <c r="BD29" s="57" t="e">
        <f>IF(#REF!=BD$2,IF(#REF!=$AA$2,#REF!*ore_invest)) + IF(#REF!=BD$2,IF(#REF!=$AA$2,#REF!*ore_invest)) + IF(#REF!=BD$2,IF(#REF!=$AA$2,#REF!*ore_invest))</f>
        <v>#REF!</v>
      </c>
      <c r="BE29" s="57" t="e">
        <f>IF(#REF!=BE$2,IF(#REF!=$AA$2,#REF!*gem_invest)) + IF(#REF!=BE$2,IF(#REF!=$AA$2,#REF!*gem_invest)) + IF(#REF!=BE$2,IF(#REF!=$AA$2,#REF!*gem_invest))</f>
        <v>#REF!</v>
      </c>
      <c r="BF29" s="134"/>
      <c r="BG29" s="57" t="e">
        <f>IF(#REF!=BG$2,IF(#REF!=$AB$2,#REF!*plat_invest)) + IF(#REF!=BG$2,IF(#REF!=$AB$2,#REF!*plat_invest)) + IF(#REF!=BG$2,IF(#REF!=$AB$2,#REF!*plat_invest))</f>
        <v>#REF!</v>
      </c>
      <c r="BH29" s="57" t="e">
        <f>IF(#REF!=BH$2,IF(#REF!=$AB$2,#REF!*lumber_invest)) + IF(#REF!=BH$2,IF(#REF!=$AB$2,#REF!*lumber_invest)) + IF(#REF!=BH$2,IF(#REF!=$AB$2,#REF!*lumber_invest))</f>
        <v>#REF!</v>
      </c>
      <c r="BI29" s="57" t="e">
        <f>IF(#REF!=BI$2,IF(#REF!=$AB$2,#REF!*ore_invest)) + IF(#REF!=BI$2,IF(#REF!=$AB$2,#REF!*ore_invest)) + IF(#REF!=BI$2,IF(#REF!=$AB$2,#REF!*ore_invest))</f>
        <v>#REF!</v>
      </c>
      <c r="BJ29" s="57" t="e">
        <f>IF(#REF!=BJ$2,IF(#REF!=$AB$2,#REF!*gem_invest)) + IF(#REF!=BJ$2,IF(#REF!=$AB$2,#REF!*gem_invest)) + IF(#REF!=BJ$2,IF(#REF!=$AB$2,#REF!*gem_invest))</f>
        <v>#REF!</v>
      </c>
      <c r="BK29" s="134"/>
      <c r="BL29" s="57" t="e">
        <f>IF(#REF!=BL$2,IF(#REF!=$AC$2,#REF!*plat_invest)) + IF(#REF!=BL$2,IF(#REF!=$AC$2,#REF!*plat_invest)) + IF(#REF!=BL$2,IF(#REF!=$AC$2,#REF!*plat_invest))</f>
        <v>#REF!</v>
      </c>
      <c r="BM29" s="57" t="e">
        <f>IF(#REF!=BM$2,IF(#REF!=$AC$2,#REF!*lumber_invest)) + IF(#REF!=BM$2,IF(#REF!=$AC$2,#REF!*lumber_invest)) + IF(#REF!=BM$2,IF(#REF!=$AC$2,#REF!*lumber_invest))</f>
        <v>#REF!</v>
      </c>
      <c r="BN29" s="57" t="e">
        <f>IF(#REF!=BN$2,IF(#REF!=$AC$2,#REF!*ore_invest)) + IF(#REF!=BN$2,IF(#REF!=$AC$2,#REF!*ore_invest)) + IF(#REF!=BN$2,IF(#REF!=$AC$2,#REF!*ore_invest))</f>
        <v>#REF!</v>
      </c>
      <c r="BO29" s="57" t="e">
        <f>IF(#REF!=BO$2,IF(#REF!=$AC$2,#REF!*gem_invest)) + IF(#REF!=BO$2,IF(#REF!=$AC$2,#REF!*gem_invest)) + IF(#REF!=BO$2,IF(#REF!=$AC$2,#REF!*gem_invest))</f>
        <v>#REF!</v>
      </c>
      <c r="BP29" s="134"/>
      <c r="BQ29" s="57" t="e">
        <f>IF(#REF!=BQ$2,IF(#REF!=$AD$2,#REF!*plat_invest)) + IF(#REF!=BQ$2,IF(#REF!=$AD$2,#REF!*plat_invest)) + IF(#REF!=BQ$2,IF(#REF!=$AD$2,#REF!*plat_invest))</f>
        <v>#REF!</v>
      </c>
      <c r="BR29" s="57" t="e">
        <f>IF(#REF!=BR$2,IF(#REF!=$AD$2,#REF!*lumber_invest)) + IF(#REF!=BR$2,IF(#REF!=$AD$2,#REF!*lumber_invest)) + IF(#REF!=BR$2,IF(#REF!=$AD$2,#REF!*lumber_invest))</f>
        <v>#REF!</v>
      </c>
      <c r="BS29" s="57" t="e">
        <f>IF(#REF!=BS$2,IF(#REF!=$AD$2,#REF!*ore_invest)) + IF(#REF!=BS$2,IF(#REF!=$AD$2,#REF!*ore_invest)) + IF(#REF!=BS$2,IF(#REF!=$AD$2,#REF!*ore_invest))</f>
        <v>#REF!</v>
      </c>
      <c r="BT29" s="57" t="e">
        <f>IF(#REF!=BT$2,IF(#REF!=$AD$2,#REF!*gem_invest)) + IF(#REF!=BT$2,IF(#REF!=$AD$2,#REF!*gem_invest)) + IF(#REF!=BT$2,IF(#REF!=$AD$2,#REF!*gem_invest))</f>
        <v>#REF!</v>
      </c>
      <c r="BU29" s="134"/>
      <c r="BV29" s="3" t="e">
        <f>OR(#REF!,#REF!,#REF!,#REF!,#REF!,#REF!,#REF!,#REF!,#REF!)</f>
        <v>#REF!</v>
      </c>
      <c r="BW29" s="61" t="e">
        <f>#REF!</f>
        <v>#REF!</v>
      </c>
      <c r="BX29" s="130"/>
      <c r="BY29" s="284" t="e">
        <f ca="1">OFFSET(#REF!,-1,0)+1/24</f>
        <v>#REF!</v>
      </c>
      <c r="BZ29" s="285" t="e">
        <f ca="1">OFFSET(#REF!,-1,0)+1/24</f>
        <v>#REF!</v>
      </c>
      <c r="CA29" s="57"/>
      <c r="CB29" s="283"/>
      <c r="CC29" s="283"/>
    </row>
    <row r="30" spans="1:84" x14ac:dyDescent="0.25">
      <c r="A30" s="206" t="e">
        <f>#REF!</f>
        <v>#REF!</v>
      </c>
      <c r="B30" s="134"/>
      <c r="C30" s="39" t="e">
        <f>#REF!</f>
        <v>#REF!</v>
      </c>
      <c r="D30" s="39" t="e">
        <f>#REF!</f>
        <v>#REF!</v>
      </c>
      <c r="E30" s="39" t="e">
        <f>#REF!</f>
        <v>#REF!</v>
      </c>
      <c r="F30" s="39" t="e">
        <f>#REF!</f>
        <v>#REF!</v>
      </c>
      <c r="G30" s="133"/>
      <c r="H30" s="39" t="e">
        <f>#REF!</f>
        <v>#REF!</v>
      </c>
      <c r="I30" s="132" t="e">
        <f>#REF!</f>
        <v>#REF!</v>
      </c>
      <c r="J30" s="132" t="e">
        <f>#REF!/#REF!</f>
        <v>#REF!</v>
      </c>
      <c r="K30" s="160" t="e">
        <f>#REF!</f>
        <v>#REF!</v>
      </c>
      <c r="L30" s="276" t="e">
        <f>#REF!</f>
        <v>#REF!</v>
      </c>
      <c r="M30" s="61">
        <f>IF(ISERROR(#REF!),0,#REF!*1)</f>
        <v>0</v>
      </c>
      <c r="N30" s="39" t="e">
        <f>#REF!</f>
        <v>#REF!</v>
      </c>
      <c r="O30" s="277" t="s">
        <v>4</v>
      </c>
      <c r="P30" s="278"/>
      <c r="Q30" s="277" t="s">
        <v>211</v>
      </c>
      <c r="R30" s="277" t="s">
        <v>7</v>
      </c>
      <c r="S30" s="278"/>
      <c r="T30" s="277" t="s">
        <v>211</v>
      </c>
      <c r="U30" s="277" t="s">
        <v>3</v>
      </c>
      <c r="V30" s="278"/>
      <c r="W30" s="277" t="s">
        <v>211</v>
      </c>
      <c r="X30" s="134"/>
      <c r="Y30" s="209" t="e">
        <f ca="1">science_cap*(1-EXP(-#REF!/(science_param*(OFFSET(#REF!,1,0)-OFFSET(#REF!,1,0)*20)+15000)))*(1+(mason_bonus*#REF!/#REF!))</f>
        <v>#REF!</v>
      </c>
      <c r="Z30" s="209" t="e">
        <f ca="1">keep_cap*(1-EXP(-#REF!/(keep_param*(OFFSET(#REF!,1,0)-OFFSET(#REF!,1,0)*20)+15000)))*(1+(mason_bonus*#REF!/#REF!))</f>
        <v>#REF!</v>
      </c>
      <c r="AA30" s="209" t="e">
        <f ca="1">harbor_towers_cap*(1-EXP(-#REF!/(towers_param*(OFFSET(#REF!,1,0)-OFFSET(#REF!,1,0)*20)+15000)))*(1+(mason_bonus*#REF!/#REF!))</f>
        <v>#REF!</v>
      </c>
      <c r="AB30" s="209" t="e">
        <f ca="1">walls_forges_cap*(1-EXP(-#REF!/(walls_forges_param*(OFFSET(#REF!,1,0)-OFFSET(#REF!,1,0)*20)+15000)))*(1+(mason_bonus*#REF!/#REF!))</f>
        <v>#REF!</v>
      </c>
      <c r="AC30" s="209" t="e">
        <f ca="1">walls_forges_cap*(1-EXP(-#REF!/(walls_forges_param*(OFFSET(#REF!,1,0)-OFFSET(#REF!,1,0)*20)+15000)))*(1+(mason_bonus*#REF!/#REF!))</f>
        <v>#REF!</v>
      </c>
      <c r="AD30" s="209" t="e">
        <f ca="1">harbor_towers_cap*(1-EXP(-#REF!/(harbor_towers_param*(OFFSET(#REF!,1,0)-OFFSET(#REF!,1,0)*20)+15000)))*(1+(mason_bonus*#REF!/#REF!))</f>
        <v>#REF!</v>
      </c>
      <c r="AE30" s="134"/>
      <c r="AF30" s="61" t="e">
        <f ca="1">(1+Overview!$I$28)*SUM(#REF!)+OFFSET(#REF!,-1,0)</f>
        <v>#REF!</v>
      </c>
      <c r="AG30" s="61" t="e">
        <f ca="1">(1+Overview!$I$28)*SUM(#REF!)+OFFSET(#REF!,-1,0)</f>
        <v>#REF!</v>
      </c>
      <c r="AH30" s="61" t="e">
        <f ca="1">(1+Overview!$I$28 + tech_7_1*#REF!)*SUM(#REF!)+OFFSET(#REF!,-1,0)</f>
        <v>#REF!</v>
      </c>
      <c r="AI30" s="61" t="e">
        <f ca="1">(1+Overview!$I$28)*SUM(#REF!)+OFFSET(#REF!,-1,0)</f>
        <v>#REF!</v>
      </c>
      <c r="AJ30" s="61" t="e">
        <f ca="1">(1+Overview!$I$28)*SUM(#REF!)+OFFSET(#REF!,-1,0)</f>
        <v>#REF!</v>
      </c>
      <c r="AK30" s="61" t="e">
        <f ca="1">(1+Overview!$I$28 + tech_7_1*#REF!)*SUM(#REF!)+OFFSET(#REF!,-1,0)</f>
        <v>#REF!</v>
      </c>
      <c r="AL30" s="134"/>
      <c r="AM30" s="57" t="e">
        <f>IF(AND(#REF!=AM$2,#REF!&lt;&gt;""),#REF!) + IF(AND(#REF!=AM$2,#REF!&lt;&gt;""),#REF!) + IF(AND(#REF!=AM$2,#REF!&lt;&gt;""),#REF!)</f>
        <v>#REF!</v>
      </c>
      <c r="AN30" s="57" t="e">
        <f>IF(AND(#REF!=AN$2,#REF!&lt;&gt;""),#REF!) + IF(AND(#REF!=AN$2,#REF!&lt;&gt;""),#REF!) + IF(AND(#REF!=AN$2,#REF!&lt;&gt;""),#REF!)</f>
        <v>#REF!</v>
      </c>
      <c r="AO30" s="57" t="e">
        <f>IF(AND(#REF!=AO$2,#REF!&lt;&gt;""),#REF!) + IF(AND(#REF!=AO$2,#REF!&lt;&gt;""),#REF!) + IF(AND(#REF!=AO$2,#REF!&lt;&gt;""),#REF!)</f>
        <v>#REF!</v>
      </c>
      <c r="AP30" s="57" t="e">
        <f>IF(AND(#REF!=AP$2,#REF!&lt;&gt;""),#REF!) + IF(AND(#REF!=AP$2,#REF!&lt;&gt;""),#REF!) + IF(AND(#REF!=AP$2,#REF!&lt;&gt;""),#REF!)</f>
        <v>#REF!</v>
      </c>
      <c r="AQ30" s="134"/>
      <c r="AR30" s="57" t="e">
        <f>IF(#REF!=AR$2,IF(#REF!=$Y$2,#REF!*plat_invest)) + IF(#REF!=AR$2,IF(#REF!=$Y$2,#REF!*plat_invest)) + IF(#REF!=AR$2,IF(#REF!=$Y$2,#REF!*plat_invest))</f>
        <v>#REF!</v>
      </c>
      <c r="AS30" s="57" t="e">
        <f>IF(#REF!=AS$2,IF(#REF!=$Y$2,#REF!*lumber_invest)) + IF(#REF!=AS$2,IF(#REF!=$Y$2,#REF!*lumber_invest)) + IF(#REF!=AS$2,IF(#REF!=$Y$2,#REF!*lumber_invest))</f>
        <v>#REF!</v>
      </c>
      <c r="AT30" s="57" t="e">
        <f>IF(#REF!=AT$2,IF(#REF!=$Y$2,#REF!*ore_invest)) + IF(#REF!=AT$2,IF(#REF!=$Y$2,#REF!*ore_invest)) + IF(#REF!=AT$2,IF(#REF!=$Y$2,#REF!*ore_invest))</f>
        <v>#REF!</v>
      </c>
      <c r="AU30" s="57" t="e">
        <f>IF(#REF!=AU$2,IF(#REF!=$Y$2,#REF!*gem_invest)) + IF(#REF!=AU$2,IF(#REF!=$Y$2,#REF!*gem_invest)) + IF(#REF!=AU$2,IF(#REF!=$Y$2,#REF!*gem_invest))</f>
        <v>#REF!</v>
      </c>
      <c r="AV30" s="134"/>
      <c r="AW30" s="57" t="e">
        <f>IF(#REF!=AW$2,IF(#REF!=$Z$2,#REF!*plat_invest)) + IF(#REF!=AW$2,IF(#REF!=$Z$2,#REF!*plat_invest)) + IF(#REF!=AW$2,IF(#REF!=$Z$2,#REF!*plat_invest))</f>
        <v>#REF!</v>
      </c>
      <c r="AX30" s="57" t="e">
        <f>IF(#REF!=AX$2,IF(#REF!=$Z$2,#REF!*lumber_invest)) + IF(#REF!=AX$2,IF(#REF!=$Z$2,#REF!*lumber_invest)) + IF(#REF!=AX$2,IF(#REF!=$Z$2,#REF!*lumber_invest))</f>
        <v>#REF!</v>
      </c>
      <c r="AY30" s="57" t="e">
        <f>IF(#REF!=AY$2,IF(#REF!=$Z$2,#REF!*ore_invest)) + IF(#REF!=AY$2,IF(#REF!=$Z$2,#REF!*ore_invest)) + IF(#REF!=AY$2,IF(#REF!=$Z$2,#REF!*ore_invest))</f>
        <v>#REF!</v>
      </c>
      <c r="AZ30" s="57" t="e">
        <f>IF(#REF!=AZ$2,IF(#REF!=$Z$2,#REF!*gem_invest)) + IF(#REF!=AZ$2,IF(#REF!=$Z$2,#REF!*gem_invest)) + IF(#REF!=AZ$2,IF(#REF!=$Z$2,#REF!*gem_invest))</f>
        <v>#REF!</v>
      </c>
      <c r="BA30" s="134"/>
      <c r="BB30" s="57" t="e">
        <f>IF(#REF!=BB$2,IF(#REF!=$AA$2,#REF!*plat_invest)) + IF(#REF!=BB$2,IF(#REF!=$AA$2,#REF!*plat_invest)) + IF(#REF!=BB$2,IF(#REF!=$AA$2,#REF!*plat_invest))</f>
        <v>#REF!</v>
      </c>
      <c r="BC30" s="57" t="e">
        <f>IF(#REF!=BC$2,IF(#REF!=$AA$2,#REF!*lumber_invest)) + IF(#REF!=BC$2,IF(#REF!=$AA$2,#REF!*lumber_invest)) + IF(#REF!=BC$2,IF(#REF!=$AA$2,#REF!*lumber_invest))</f>
        <v>#REF!</v>
      </c>
      <c r="BD30" s="57" t="e">
        <f>IF(#REF!=BD$2,IF(#REF!=$AA$2,#REF!*ore_invest)) + IF(#REF!=BD$2,IF(#REF!=$AA$2,#REF!*ore_invest)) + IF(#REF!=BD$2,IF(#REF!=$AA$2,#REF!*ore_invest))</f>
        <v>#REF!</v>
      </c>
      <c r="BE30" s="57" t="e">
        <f>IF(#REF!=BE$2,IF(#REF!=$AA$2,#REF!*gem_invest)) + IF(#REF!=BE$2,IF(#REF!=$AA$2,#REF!*gem_invest)) + IF(#REF!=BE$2,IF(#REF!=$AA$2,#REF!*gem_invest))</f>
        <v>#REF!</v>
      </c>
      <c r="BF30" s="134"/>
      <c r="BG30" s="57" t="e">
        <f>IF(#REF!=BG$2,IF(#REF!=$AB$2,#REF!*plat_invest)) + IF(#REF!=BG$2,IF(#REF!=$AB$2,#REF!*plat_invest)) + IF(#REF!=BG$2,IF(#REF!=$AB$2,#REF!*plat_invest))</f>
        <v>#REF!</v>
      </c>
      <c r="BH30" s="57" t="e">
        <f>IF(#REF!=BH$2,IF(#REF!=$AB$2,#REF!*lumber_invest)) + IF(#REF!=BH$2,IF(#REF!=$AB$2,#REF!*lumber_invest)) + IF(#REF!=BH$2,IF(#REF!=$AB$2,#REF!*lumber_invest))</f>
        <v>#REF!</v>
      </c>
      <c r="BI30" s="57" t="e">
        <f>IF(#REF!=BI$2,IF(#REF!=$AB$2,#REF!*ore_invest)) + IF(#REF!=BI$2,IF(#REF!=$AB$2,#REF!*ore_invest)) + IF(#REF!=BI$2,IF(#REF!=$AB$2,#REF!*ore_invest))</f>
        <v>#REF!</v>
      </c>
      <c r="BJ30" s="57" t="e">
        <f>IF(#REF!=BJ$2,IF(#REF!=$AB$2,#REF!*gem_invest)) + IF(#REF!=BJ$2,IF(#REF!=$AB$2,#REF!*gem_invest)) + IF(#REF!=BJ$2,IF(#REF!=$AB$2,#REF!*gem_invest))</f>
        <v>#REF!</v>
      </c>
      <c r="BK30" s="134"/>
      <c r="BL30" s="57" t="e">
        <f>IF(#REF!=BL$2,IF(#REF!=$AC$2,#REF!*plat_invest)) + IF(#REF!=BL$2,IF(#REF!=$AC$2,#REF!*plat_invest)) + IF(#REF!=BL$2,IF(#REF!=$AC$2,#REF!*plat_invest))</f>
        <v>#REF!</v>
      </c>
      <c r="BM30" s="57" t="e">
        <f>IF(#REF!=BM$2,IF(#REF!=$AC$2,#REF!*lumber_invest)) + IF(#REF!=BM$2,IF(#REF!=$AC$2,#REF!*lumber_invest)) + IF(#REF!=BM$2,IF(#REF!=$AC$2,#REF!*lumber_invest))</f>
        <v>#REF!</v>
      </c>
      <c r="BN30" s="57" t="e">
        <f>IF(#REF!=BN$2,IF(#REF!=$AC$2,#REF!*ore_invest)) + IF(#REF!=BN$2,IF(#REF!=$AC$2,#REF!*ore_invest)) + IF(#REF!=BN$2,IF(#REF!=$AC$2,#REF!*ore_invest))</f>
        <v>#REF!</v>
      </c>
      <c r="BO30" s="57" t="e">
        <f>IF(#REF!=BO$2,IF(#REF!=$AC$2,#REF!*gem_invest)) + IF(#REF!=BO$2,IF(#REF!=$AC$2,#REF!*gem_invest)) + IF(#REF!=BO$2,IF(#REF!=$AC$2,#REF!*gem_invest))</f>
        <v>#REF!</v>
      </c>
      <c r="BP30" s="134"/>
      <c r="BQ30" s="57" t="e">
        <f>IF(#REF!=BQ$2,IF(#REF!=$AD$2,#REF!*plat_invest)) + IF(#REF!=BQ$2,IF(#REF!=$AD$2,#REF!*plat_invest)) + IF(#REF!=BQ$2,IF(#REF!=$AD$2,#REF!*plat_invest))</f>
        <v>#REF!</v>
      </c>
      <c r="BR30" s="57" t="e">
        <f>IF(#REF!=BR$2,IF(#REF!=$AD$2,#REF!*lumber_invest)) + IF(#REF!=BR$2,IF(#REF!=$AD$2,#REF!*lumber_invest)) + IF(#REF!=BR$2,IF(#REF!=$AD$2,#REF!*lumber_invest))</f>
        <v>#REF!</v>
      </c>
      <c r="BS30" s="57" t="e">
        <f>IF(#REF!=BS$2,IF(#REF!=$AD$2,#REF!*ore_invest)) + IF(#REF!=BS$2,IF(#REF!=$AD$2,#REF!*ore_invest)) + IF(#REF!=BS$2,IF(#REF!=$AD$2,#REF!*ore_invest))</f>
        <v>#REF!</v>
      </c>
      <c r="BT30" s="57" t="e">
        <f>IF(#REF!=BT$2,IF(#REF!=$AD$2,#REF!*gem_invest)) + IF(#REF!=BT$2,IF(#REF!=$AD$2,#REF!*gem_invest)) + IF(#REF!=BT$2,IF(#REF!=$AD$2,#REF!*gem_invest))</f>
        <v>#REF!</v>
      </c>
      <c r="BU30" s="134"/>
      <c r="BV30" s="3" t="e">
        <f>OR(#REF!,#REF!,#REF!,#REF!,#REF!,#REF!,#REF!,#REF!,#REF!)</f>
        <v>#REF!</v>
      </c>
      <c r="BW30" s="61" t="e">
        <f>#REF!</f>
        <v>#REF!</v>
      </c>
      <c r="BX30" s="130"/>
      <c r="BY30" s="284" t="e">
        <f ca="1">OFFSET(#REF!,-1,0)+1/24</f>
        <v>#REF!</v>
      </c>
      <c r="BZ30" s="285" t="e">
        <f ca="1">OFFSET(#REF!,-1,0)+1/24</f>
        <v>#REF!</v>
      </c>
      <c r="CA30" s="57"/>
      <c r="CB30" s="283"/>
      <c r="CC30" s="283"/>
      <c r="CD30" s="3" t="s">
        <v>4</v>
      </c>
    </row>
    <row r="31" spans="1:84" x14ac:dyDescent="0.25">
      <c r="A31" s="206" t="e">
        <f>#REF!</f>
        <v>#REF!</v>
      </c>
      <c r="B31" s="134"/>
      <c r="C31" s="39" t="e">
        <f>#REF!</f>
        <v>#REF!</v>
      </c>
      <c r="D31" s="39" t="e">
        <f>#REF!</f>
        <v>#REF!</v>
      </c>
      <c r="E31" s="39" t="e">
        <f>#REF!</f>
        <v>#REF!</v>
      </c>
      <c r="F31" s="39" t="e">
        <f>#REF!</f>
        <v>#REF!</v>
      </c>
      <c r="G31" s="133"/>
      <c r="H31" s="39" t="e">
        <f>#REF!</f>
        <v>#REF!</v>
      </c>
      <c r="I31" s="132" t="e">
        <f>#REF!</f>
        <v>#REF!</v>
      </c>
      <c r="J31" s="132" t="e">
        <f>#REF!/#REF!</f>
        <v>#REF!</v>
      </c>
      <c r="K31" s="160" t="e">
        <f>#REF!</f>
        <v>#REF!</v>
      </c>
      <c r="L31" s="276" t="e">
        <f>#REF!</f>
        <v>#REF!</v>
      </c>
      <c r="M31" s="61">
        <f>IF(ISERROR(#REF!),0,#REF!*1)</f>
        <v>0</v>
      </c>
      <c r="N31" s="39" t="e">
        <f>#REF!</f>
        <v>#REF!</v>
      </c>
      <c r="O31" s="277" t="s">
        <v>4</v>
      </c>
      <c r="P31" s="278"/>
      <c r="Q31" s="277" t="s">
        <v>211</v>
      </c>
      <c r="R31" s="277" t="s">
        <v>7</v>
      </c>
      <c r="S31" s="278"/>
      <c r="T31" s="277" t="s">
        <v>211</v>
      </c>
      <c r="U31" s="277" t="s">
        <v>3</v>
      </c>
      <c r="V31" s="278"/>
      <c r="W31" s="277" t="s">
        <v>211</v>
      </c>
      <c r="X31" s="134"/>
      <c r="Y31" s="209" t="e">
        <f ca="1">science_cap*(1-EXP(-#REF!/(science_param*(OFFSET(#REF!,1,0)-OFFSET(#REF!,1,0)*20)+15000)))*(1+(mason_bonus*#REF!/#REF!))</f>
        <v>#REF!</v>
      </c>
      <c r="Z31" s="209" t="e">
        <f ca="1">keep_cap*(1-EXP(-#REF!/(keep_param*(OFFSET(#REF!,1,0)-OFFSET(#REF!,1,0)*20)+15000)))*(1+(mason_bonus*#REF!/#REF!))</f>
        <v>#REF!</v>
      </c>
      <c r="AA31" s="209" t="e">
        <f ca="1">harbor_towers_cap*(1-EXP(-#REF!/(towers_param*(OFFSET(#REF!,1,0)-OFFSET(#REF!,1,0)*20)+15000)))*(1+(mason_bonus*#REF!/#REF!))</f>
        <v>#REF!</v>
      </c>
      <c r="AB31" s="209" t="e">
        <f ca="1">walls_forges_cap*(1-EXP(-#REF!/(walls_forges_param*(OFFSET(#REF!,1,0)-OFFSET(#REF!,1,0)*20)+15000)))*(1+(mason_bonus*#REF!/#REF!))</f>
        <v>#REF!</v>
      </c>
      <c r="AC31" s="209" t="e">
        <f ca="1">walls_forges_cap*(1-EXP(-#REF!/(walls_forges_param*(OFFSET(#REF!,1,0)-OFFSET(#REF!,1,0)*20)+15000)))*(1+(mason_bonus*#REF!/#REF!))</f>
        <v>#REF!</v>
      </c>
      <c r="AD31" s="209" t="e">
        <f ca="1">harbor_towers_cap*(1-EXP(-#REF!/(harbor_towers_param*(OFFSET(#REF!,1,0)-OFFSET(#REF!,1,0)*20)+15000)))*(1+(mason_bonus*#REF!/#REF!))</f>
        <v>#REF!</v>
      </c>
      <c r="AE31" s="134"/>
      <c r="AF31" s="61" t="e">
        <f ca="1">(1+Overview!$I$28)*SUM(#REF!)+OFFSET(#REF!,-1,0)</f>
        <v>#REF!</v>
      </c>
      <c r="AG31" s="61" t="e">
        <f ca="1">(1+Overview!$I$28)*SUM(#REF!)+OFFSET(#REF!,-1,0)</f>
        <v>#REF!</v>
      </c>
      <c r="AH31" s="61" t="e">
        <f ca="1">(1+Overview!$I$28 + tech_7_1*#REF!)*SUM(#REF!)+OFFSET(#REF!,-1,0)</f>
        <v>#REF!</v>
      </c>
      <c r="AI31" s="61" t="e">
        <f ca="1">(1+Overview!$I$28)*SUM(#REF!)+OFFSET(#REF!,-1,0)</f>
        <v>#REF!</v>
      </c>
      <c r="AJ31" s="61" t="e">
        <f ca="1">(1+Overview!$I$28)*SUM(#REF!)+OFFSET(#REF!,-1,0)</f>
        <v>#REF!</v>
      </c>
      <c r="AK31" s="61" t="e">
        <f ca="1">(1+Overview!$I$28 + tech_7_1*#REF!)*SUM(#REF!)+OFFSET(#REF!,-1,0)</f>
        <v>#REF!</v>
      </c>
      <c r="AL31" s="134"/>
      <c r="AM31" s="57" t="e">
        <f>IF(AND(#REF!=AM$2,#REF!&lt;&gt;""),#REF!) + IF(AND(#REF!=AM$2,#REF!&lt;&gt;""),#REF!) + IF(AND(#REF!=AM$2,#REF!&lt;&gt;""),#REF!)</f>
        <v>#REF!</v>
      </c>
      <c r="AN31" s="57" t="e">
        <f>IF(AND(#REF!=AN$2,#REF!&lt;&gt;""),#REF!) + IF(AND(#REF!=AN$2,#REF!&lt;&gt;""),#REF!) + IF(AND(#REF!=AN$2,#REF!&lt;&gt;""),#REF!)</f>
        <v>#REF!</v>
      </c>
      <c r="AO31" s="57" t="e">
        <f>IF(AND(#REF!=AO$2,#REF!&lt;&gt;""),#REF!) + IF(AND(#REF!=AO$2,#REF!&lt;&gt;""),#REF!) + IF(AND(#REF!=AO$2,#REF!&lt;&gt;""),#REF!)</f>
        <v>#REF!</v>
      </c>
      <c r="AP31" s="57" t="e">
        <f>IF(AND(#REF!=AP$2,#REF!&lt;&gt;""),#REF!) + IF(AND(#REF!=AP$2,#REF!&lt;&gt;""),#REF!) + IF(AND(#REF!=AP$2,#REF!&lt;&gt;""),#REF!)</f>
        <v>#REF!</v>
      </c>
      <c r="AQ31" s="134"/>
      <c r="AR31" s="57" t="e">
        <f>IF(#REF!=AR$2,IF(#REF!=$Y$2,#REF!*plat_invest)) + IF(#REF!=AR$2,IF(#REF!=$Y$2,#REF!*plat_invest)) + IF(#REF!=AR$2,IF(#REF!=$Y$2,#REF!*plat_invest))</f>
        <v>#REF!</v>
      </c>
      <c r="AS31" s="57" t="e">
        <f>IF(#REF!=AS$2,IF(#REF!=$Y$2,#REF!*lumber_invest)) + IF(#REF!=AS$2,IF(#REF!=$Y$2,#REF!*lumber_invest)) + IF(#REF!=AS$2,IF(#REF!=$Y$2,#REF!*lumber_invest))</f>
        <v>#REF!</v>
      </c>
      <c r="AT31" s="57" t="e">
        <f>IF(#REF!=AT$2,IF(#REF!=$Y$2,#REF!*ore_invest)) + IF(#REF!=AT$2,IF(#REF!=$Y$2,#REF!*ore_invest)) + IF(#REF!=AT$2,IF(#REF!=$Y$2,#REF!*ore_invest))</f>
        <v>#REF!</v>
      </c>
      <c r="AU31" s="57" t="e">
        <f>IF(#REF!=AU$2,IF(#REF!=$Y$2,#REF!*gem_invest)) + IF(#REF!=AU$2,IF(#REF!=$Y$2,#REF!*gem_invest)) + IF(#REF!=AU$2,IF(#REF!=$Y$2,#REF!*gem_invest))</f>
        <v>#REF!</v>
      </c>
      <c r="AV31" s="134"/>
      <c r="AW31" s="57" t="e">
        <f>IF(#REF!=AW$2,IF(#REF!=$Z$2,#REF!*plat_invest)) + IF(#REF!=AW$2,IF(#REF!=$Z$2,#REF!*plat_invest)) + IF(#REF!=AW$2,IF(#REF!=$Z$2,#REF!*plat_invest))</f>
        <v>#REF!</v>
      </c>
      <c r="AX31" s="57" t="e">
        <f>IF(#REF!=AX$2,IF(#REF!=$Z$2,#REF!*lumber_invest)) + IF(#REF!=AX$2,IF(#REF!=$Z$2,#REF!*lumber_invest)) + IF(#REF!=AX$2,IF(#REF!=$Z$2,#REF!*lumber_invest))</f>
        <v>#REF!</v>
      </c>
      <c r="AY31" s="57" t="e">
        <f>IF(#REF!=AY$2,IF(#REF!=$Z$2,#REF!*ore_invest)) + IF(#REF!=AY$2,IF(#REF!=$Z$2,#REF!*ore_invest)) + IF(#REF!=AY$2,IF(#REF!=$Z$2,#REF!*ore_invest))</f>
        <v>#REF!</v>
      </c>
      <c r="AZ31" s="57" t="e">
        <f>IF(#REF!=AZ$2,IF(#REF!=$Z$2,#REF!*gem_invest)) + IF(#REF!=AZ$2,IF(#REF!=$Z$2,#REF!*gem_invest)) + IF(#REF!=AZ$2,IF(#REF!=$Z$2,#REF!*gem_invest))</f>
        <v>#REF!</v>
      </c>
      <c r="BA31" s="134"/>
      <c r="BB31" s="57" t="e">
        <f>IF(#REF!=BB$2,IF(#REF!=$AA$2,#REF!*plat_invest)) + IF(#REF!=BB$2,IF(#REF!=$AA$2,#REF!*plat_invest)) + IF(#REF!=BB$2,IF(#REF!=$AA$2,#REF!*plat_invest))</f>
        <v>#REF!</v>
      </c>
      <c r="BC31" s="57" t="e">
        <f>IF(#REF!=BC$2,IF(#REF!=$AA$2,#REF!*lumber_invest)) + IF(#REF!=BC$2,IF(#REF!=$AA$2,#REF!*lumber_invest)) + IF(#REF!=BC$2,IF(#REF!=$AA$2,#REF!*lumber_invest))</f>
        <v>#REF!</v>
      </c>
      <c r="BD31" s="57" t="e">
        <f>IF(#REF!=BD$2,IF(#REF!=$AA$2,#REF!*ore_invest)) + IF(#REF!=BD$2,IF(#REF!=$AA$2,#REF!*ore_invest)) + IF(#REF!=BD$2,IF(#REF!=$AA$2,#REF!*ore_invest))</f>
        <v>#REF!</v>
      </c>
      <c r="BE31" s="57" t="e">
        <f>IF(#REF!=BE$2,IF(#REF!=$AA$2,#REF!*gem_invest)) + IF(#REF!=BE$2,IF(#REF!=$AA$2,#REF!*gem_invest)) + IF(#REF!=BE$2,IF(#REF!=$AA$2,#REF!*gem_invest))</f>
        <v>#REF!</v>
      </c>
      <c r="BF31" s="134"/>
      <c r="BG31" s="57" t="e">
        <f>IF(#REF!=BG$2,IF(#REF!=$AB$2,#REF!*plat_invest)) + IF(#REF!=BG$2,IF(#REF!=$AB$2,#REF!*plat_invest)) + IF(#REF!=BG$2,IF(#REF!=$AB$2,#REF!*plat_invest))</f>
        <v>#REF!</v>
      </c>
      <c r="BH31" s="57" t="e">
        <f>IF(#REF!=BH$2,IF(#REF!=$AB$2,#REF!*lumber_invest)) + IF(#REF!=BH$2,IF(#REF!=$AB$2,#REF!*lumber_invest)) + IF(#REF!=BH$2,IF(#REF!=$AB$2,#REF!*lumber_invest))</f>
        <v>#REF!</v>
      </c>
      <c r="BI31" s="57" t="e">
        <f>IF(#REF!=BI$2,IF(#REF!=$AB$2,#REF!*ore_invest)) + IF(#REF!=BI$2,IF(#REF!=$AB$2,#REF!*ore_invest)) + IF(#REF!=BI$2,IF(#REF!=$AB$2,#REF!*ore_invest))</f>
        <v>#REF!</v>
      </c>
      <c r="BJ31" s="57" t="e">
        <f>IF(#REF!=BJ$2,IF(#REF!=$AB$2,#REF!*gem_invest)) + IF(#REF!=BJ$2,IF(#REF!=$AB$2,#REF!*gem_invest)) + IF(#REF!=BJ$2,IF(#REF!=$AB$2,#REF!*gem_invest))</f>
        <v>#REF!</v>
      </c>
      <c r="BK31" s="134"/>
      <c r="BL31" s="57" t="e">
        <f>IF(#REF!=BL$2,IF(#REF!=$AC$2,#REF!*plat_invest)) + IF(#REF!=BL$2,IF(#REF!=$AC$2,#REF!*plat_invest)) + IF(#REF!=BL$2,IF(#REF!=$AC$2,#REF!*plat_invest))</f>
        <v>#REF!</v>
      </c>
      <c r="BM31" s="57" t="e">
        <f>IF(#REF!=BM$2,IF(#REF!=$AC$2,#REF!*lumber_invest)) + IF(#REF!=BM$2,IF(#REF!=$AC$2,#REF!*lumber_invest)) + IF(#REF!=BM$2,IF(#REF!=$AC$2,#REF!*lumber_invest))</f>
        <v>#REF!</v>
      </c>
      <c r="BN31" s="57" t="e">
        <f>IF(#REF!=BN$2,IF(#REF!=$AC$2,#REF!*ore_invest)) + IF(#REF!=BN$2,IF(#REF!=$AC$2,#REF!*ore_invest)) + IF(#REF!=BN$2,IF(#REF!=$AC$2,#REF!*ore_invest))</f>
        <v>#REF!</v>
      </c>
      <c r="BO31" s="57" t="e">
        <f>IF(#REF!=BO$2,IF(#REF!=$AC$2,#REF!*gem_invest)) + IF(#REF!=BO$2,IF(#REF!=$AC$2,#REF!*gem_invest)) + IF(#REF!=BO$2,IF(#REF!=$AC$2,#REF!*gem_invest))</f>
        <v>#REF!</v>
      </c>
      <c r="BP31" s="134"/>
      <c r="BQ31" s="57" t="e">
        <f>IF(#REF!=BQ$2,IF(#REF!=$AD$2,#REF!*plat_invest)) + IF(#REF!=BQ$2,IF(#REF!=$AD$2,#REF!*plat_invest)) + IF(#REF!=BQ$2,IF(#REF!=$AD$2,#REF!*plat_invest))</f>
        <v>#REF!</v>
      </c>
      <c r="BR31" s="57" t="e">
        <f>IF(#REF!=BR$2,IF(#REF!=$AD$2,#REF!*lumber_invest)) + IF(#REF!=BR$2,IF(#REF!=$AD$2,#REF!*lumber_invest)) + IF(#REF!=BR$2,IF(#REF!=$AD$2,#REF!*lumber_invest))</f>
        <v>#REF!</v>
      </c>
      <c r="BS31" s="57" t="e">
        <f>IF(#REF!=BS$2,IF(#REF!=$AD$2,#REF!*ore_invest)) + IF(#REF!=BS$2,IF(#REF!=$AD$2,#REF!*ore_invest)) + IF(#REF!=BS$2,IF(#REF!=$AD$2,#REF!*ore_invest))</f>
        <v>#REF!</v>
      </c>
      <c r="BT31" s="57" t="e">
        <f>IF(#REF!=BT$2,IF(#REF!=$AD$2,#REF!*gem_invest)) + IF(#REF!=BT$2,IF(#REF!=$AD$2,#REF!*gem_invest)) + IF(#REF!=BT$2,IF(#REF!=$AD$2,#REF!*gem_invest))</f>
        <v>#REF!</v>
      </c>
      <c r="BU31" s="134"/>
      <c r="BV31" s="3" t="e">
        <f>OR(#REF!,#REF!,#REF!,#REF!,#REF!,#REF!,#REF!,#REF!,#REF!)</f>
        <v>#REF!</v>
      </c>
      <c r="BW31" s="61" t="e">
        <f>#REF!</f>
        <v>#REF!</v>
      </c>
      <c r="BX31" s="130"/>
      <c r="BY31" s="284" t="e">
        <f ca="1">OFFSET(#REF!,-1,0)+1/24</f>
        <v>#REF!</v>
      </c>
      <c r="BZ31" s="285" t="e">
        <f ca="1">OFFSET(#REF!,-1,0)+1/24</f>
        <v>#REF!</v>
      </c>
      <c r="CA31" s="57"/>
      <c r="CB31" s="283"/>
      <c r="CC31" s="283"/>
      <c r="CD31" s="3" t="s">
        <v>7</v>
      </c>
    </row>
    <row r="32" spans="1:84" x14ac:dyDescent="0.25">
      <c r="A32" s="206" t="e">
        <f>#REF!</f>
        <v>#REF!</v>
      </c>
      <c r="B32" s="134"/>
      <c r="C32" s="39" t="e">
        <f>#REF!</f>
        <v>#REF!</v>
      </c>
      <c r="D32" s="39" t="e">
        <f>#REF!</f>
        <v>#REF!</v>
      </c>
      <c r="E32" s="39" t="e">
        <f>#REF!</f>
        <v>#REF!</v>
      </c>
      <c r="F32" s="39" t="e">
        <f>#REF!</f>
        <v>#REF!</v>
      </c>
      <c r="G32" s="133"/>
      <c r="H32" s="39" t="e">
        <f>#REF!</f>
        <v>#REF!</v>
      </c>
      <c r="I32" s="132" t="e">
        <f>#REF!</f>
        <v>#REF!</v>
      </c>
      <c r="J32" s="132" t="e">
        <f>#REF!/#REF!</f>
        <v>#REF!</v>
      </c>
      <c r="K32" s="160" t="e">
        <f>#REF!</f>
        <v>#REF!</v>
      </c>
      <c r="L32" s="276" t="e">
        <f>#REF!</f>
        <v>#REF!</v>
      </c>
      <c r="M32" s="61">
        <f>IF(ISERROR(#REF!),0,#REF!*1)</f>
        <v>0</v>
      </c>
      <c r="N32" s="39" t="e">
        <f>#REF!</f>
        <v>#REF!</v>
      </c>
      <c r="O32" s="277" t="s">
        <v>4</v>
      </c>
      <c r="P32" s="278"/>
      <c r="Q32" s="277" t="s">
        <v>211</v>
      </c>
      <c r="R32" s="277" t="s">
        <v>7</v>
      </c>
      <c r="S32" s="278"/>
      <c r="T32" s="277" t="s">
        <v>211</v>
      </c>
      <c r="U32" s="277" t="s">
        <v>3</v>
      </c>
      <c r="V32" s="278"/>
      <c r="W32" s="277" t="s">
        <v>211</v>
      </c>
      <c r="X32" s="134"/>
      <c r="Y32" s="209" t="e">
        <f ca="1">science_cap*(1-EXP(-#REF!/(science_param*(OFFSET(#REF!,1,0)-OFFSET(#REF!,1,0)*20)+15000)))*(1+(mason_bonus*#REF!/#REF!))</f>
        <v>#REF!</v>
      </c>
      <c r="Z32" s="209" t="e">
        <f ca="1">keep_cap*(1-EXP(-#REF!/(keep_param*(OFFSET(#REF!,1,0)-OFFSET(#REF!,1,0)*20)+15000)))*(1+(mason_bonus*#REF!/#REF!))</f>
        <v>#REF!</v>
      </c>
      <c r="AA32" s="209" t="e">
        <f ca="1">harbor_towers_cap*(1-EXP(-#REF!/(towers_param*(OFFSET(#REF!,1,0)-OFFSET(#REF!,1,0)*20)+15000)))*(1+(mason_bonus*#REF!/#REF!))</f>
        <v>#REF!</v>
      </c>
      <c r="AB32" s="209" t="e">
        <f ca="1">walls_forges_cap*(1-EXP(-#REF!/(walls_forges_param*(OFFSET(#REF!,1,0)-OFFSET(#REF!,1,0)*20)+15000)))*(1+(mason_bonus*#REF!/#REF!))</f>
        <v>#REF!</v>
      </c>
      <c r="AC32" s="209" t="e">
        <f ca="1">walls_forges_cap*(1-EXP(-#REF!/(walls_forges_param*(OFFSET(#REF!,1,0)-OFFSET(#REF!,1,0)*20)+15000)))*(1+(mason_bonus*#REF!/#REF!))</f>
        <v>#REF!</v>
      </c>
      <c r="AD32" s="209" t="e">
        <f ca="1">harbor_towers_cap*(1-EXP(-#REF!/(harbor_towers_param*(OFFSET(#REF!,1,0)-OFFSET(#REF!,1,0)*20)+15000)))*(1+(mason_bonus*#REF!/#REF!))</f>
        <v>#REF!</v>
      </c>
      <c r="AE32" s="134"/>
      <c r="AF32" s="61" t="e">
        <f ca="1">(1+Overview!$I$28)*SUM(#REF!)+OFFSET(#REF!,-1,0)</f>
        <v>#REF!</v>
      </c>
      <c r="AG32" s="61" t="e">
        <f ca="1">(1+Overview!$I$28)*SUM(#REF!)+OFFSET(#REF!,-1,0)</f>
        <v>#REF!</v>
      </c>
      <c r="AH32" s="61" t="e">
        <f ca="1">(1+Overview!$I$28 + tech_7_1*#REF!)*SUM(#REF!)+OFFSET(#REF!,-1,0)</f>
        <v>#REF!</v>
      </c>
      <c r="AI32" s="61" t="e">
        <f ca="1">(1+Overview!$I$28)*SUM(#REF!)+OFFSET(#REF!,-1,0)</f>
        <v>#REF!</v>
      </c>
      <c r="AJ32" s="61" t="e">
        <f ca="1">(1+Overview!$I$28)*SUM(#REF!)+OFFSET(#REF!,-1,0)</f>
        <v>#REF!</v>
      </c>
      <c r="AK32" s="61" t="e">
        <f ca="1">(1+Overview!$I$28 + tech_7_1*#REF!)*SUM(#REF!)+OFFSET(#REF!,-1,0)</f>
        <v>#REF!</v>
      </c>
      <c r="AL32" s="134"/>
      <c r="AM32" s="57" t="e">
        <f>IF(AND(#REF!=AM$2,#REF!&lt;&gt;""),#REF!) + IF(AND(#REF!=AM$2,#REF!&lt;&gt;""),#REF!) + IF(AND(#REF!=AM$2,#REF!&lt;&gt;""),#REF!)</f>
        <v>#REF!</v>
      </c>
      <c r="AN32" s="57" t="e">
        <f>IF(AND(#REF!=AN$2,#REF!&lt;&gt;""),#REF!) + IF(AND(#REF!=AN$2,#REF!&lt;&gt;""),#REF!) + IF(AND(#REF!=AN$2,#REF!&lt;&gt;""),#REF!)</f>
        <v>#REF!</v>
      </c>
      <c r="AO32" s="57" t="e">
        <f>IF(AND(#REF!=AO$2,#REF!&lt;&gt;""),#REF!) + IF(AND(#REF!=AO$2,#REF!&lt;&gt;""),#REF!) + IF(AND(#REF!=AO$2,#REF!&lt;&gt;""),#REF!)</f>
        <v>#REF!</v>
      </c>
      <c r="AP32" s="57" t="e">
        <f>IF(AND(#REF!=AP$2,#REF!&lt;&gt;""),#REF!) + IF(AND(#REF!=AP$2,#REF!&lt;&gt;""),#REF!) + IF(AND(#REF!=AP$2,#REF!&lt;&gt;""),#REF!)</f>
        <v>#REF!</v>
      </c>
      <c r="AQ32" s="134"/>
      <c r="AR32" s="57" t="e">
        <f>IF(#REF!=AR$2,IF(#REF!=$Y$2,#REF!*plat_invest)) + IF(#REF!=AR$2,IF(#REF!=$Y$2,#REF!*plat_invest)) + IF(#REF!=AR$2,IF(#REF!=$Y$2,#REF!*plat_invest))</f>
        <v>#REF!</v>
      </c>
      <c r="AS32" s="57" t="e">
        <f>IF(#REF!=AS$2,IF(#REF!=$Y$2,#REF!*lumber_invest)) + IF(#REF!=AS$2,IF(#REF!=$Y$2,#REF!*lumber_invest)) + IF(#REF!=AS$2,IF(#REF!=$Y$2,#REF!*lumber_invest))</f>
        <v>#REF!</v>
      </c>
      <c r="AT32" s="57" t="e">
        <f>IF(#REF!=AT$2,IF(#REF!=$Y$2,#REF!*ore_invest)) + IF(#REF!=AT$2,IF(#REF!=$Y$2,#REF!*ore_invest)) + IF(#REF!=AT$2,IF(#REF!=$Y$2,#REF!*ore_invest))</f>
        <v>#REF!</v>
      </c>
      <c r="AU32" s="57" t="e">
        <f>IF(#REF!=AU$2,IF(#REF!=$Y$2,#REF!*gem_invest)) + IF(#REF!=AU$2,IF(#REF!=$Y$2,#REF!*gem_invest)) + IF(#REF!=AU$2,IF(#REF!=$Y$2,#REF!*gem_invest))</f>
        <v>#REF!</v>
      </c>
      <c r="AV32" s="134"/>
      <c r="AW32" s="57" t="e">
        <f>IF(#REF!=AW$2,IF(#REF!=$Z$2,#REF!*plat_invest)) + IF(#REF!=AW$2,IF(#REF!=$Z$2,#REF!*plat_invest)) + IF(#REF!=AW$2,IF(#REF!=$Z$2,#REF!*plat_invest))</f>
        <v>#REF!</v>
      </c>
      <c r="AX32" s="57" t="e">
        <f>IF(#REF!=AX$2,IF(#REF!=$Z$2,#REF!*lumber_invest)) + IF(#REF!=AX$2,IF(#REF!=$Z$2,#REF!*lumber_invest)) + IF(#REF!=AX$2,IF(#REF!=$Z$2,#REF!*lumber_invest))</f>
        <v>#REF!</v>
      </c>
      <c r="AY32" s="57" t="e">
        <f>IF(#REF!=AY$2,IF(#REF!=$Z$2,#REF!*ore_invest)) + IF(#REF!=AY$2,IF(#REF!=$Z$2,#REF!*ore_invest)) + IF(#REF!=AY$2,IF(#REF!=$Z$2,#REF!*ore_invest))</f>
        <v>#REF!</v>
      </c>
      <c r="AZ32" s="57" t="e">
        <f>IF(#REF!=AZ$2,IF(#REF!=$Z$2,#REF!*gem_invest)) + IF(#REF!=AZ$2,IF(#REF!=$Z$2,#REF!*gem_invest)) + IF(#REF!=AZ$2,IF(#REF!=$Z$2,#REF!*gem_invest))</f>
        <v>#REF!</v>
      </c>
      <c r="BA32" s="134"/>
      <c r="BB32" s="57" t="e">
        <f>IF(#REF!=BB$2,IF(#REF!=$AA$2,#REF!*plat_invest)) + IF(#REF!=BB$2,IF(#REF!=$AA$2,#REF!*plat_invest)) + IF(#REF!=BB$2,IF(#REF!=$AA$2,#REF!*plat_invest))</f>
        <v>#REF!</v>
      </c>
      <c r="BC32" s="57" t="e">
        <f>IF(#REF!=BC$2,IF(#REF!=$AA$2,#REF!*lumber_invest)) + IF(#REF!=BC$2,IF(#REF!=$AA$2,#REF!*lumber_invest)) + IF(#REF!=BC$2,IF(#REF!=$AA$2,#REF!*lumber_invest))</f>
        <v>#REF!</v>
      </c>
      <c r="BD32" s="57" t="e">
        <f>IF(#REF!=BD$2,IF(#REF!=$AA$2,#REF!*ore_invest)) + IF(#REF!=BD$2,IF(#REF!=$AA$2,#REF!*ore_invest)) + IF(#REF!=BD$2,IF(#REF!=$AA$2,#REF!*ore_invest))</f>
        <v>#REF!</v>
      </c>
      <c r="BE32" s="57" t="e">
        <f>IF(#REF!=BE$2,IF(#REF!=$AA$2,#REF!*gem_invest)) + IF(#REF!=BE$2,IF(#REF!=$AA$2,#REF!*gem_invest)) + IF(#REF!=BE$2,IF(#REF!=$AA$2,#REF!*gem_invest))</f>
        <v>#REF!</v>
      </c>
      <c r="BF32" s="134"/>
      <c r="BG32" s="57" t="e">
        <f>IF(#REF!=BG$2,IF(#REF!=$AB$2,#REF!*plat_invest)) + IF(#REF!=BG$2,IF(#REF!=$AB$2,#REF!*plat_invest)) + IF(#REF!=BG$2,IF(#REF!=$AB$2,#REF!*plat_invest))</f>
        <v>#REF!</v>
      </c>
      <c r="BH32" s="57" t="e">
        <f>IF(#REF!=BH$2,IF(#REF!=$AB$2,#REF!*lumber_invest)) + IF(#REF!=BH$2,IF(#REF!=$AB$2,#REF!*lumber_invest)) + IF(#REF!=BH$2,IF(#REF!=$AB$2,#REF!*lumber_invest))</f>
        <v>#REF!</v>
      </c>
      <c r="BI32" s="57" t="e">
        <f>IF(#REF!=BI$2,IF(#REF!=$AB$2,#REF!*ore_invest)) + IF(#REF!=BI$2,IF(#REF!=$AB$2,#REF!*ore_invest)) + IF(#REF!=BI$2,IF(#REF!=$AB$2,#REF!*ore_invest))</f>
        <v>#REF!</v>
      </c>
      <c r="BJ32" s="57" t="e">
        <f>IF(#REF!=BJ$2,IF(#REF!=$AB$2,#REF!*gem_invest)) + IF(#REF!=BJ$2,IF(#REF!=$AB$2,#REF!*gem_invest)) + IF(#REF!=BJ$2,IF(#REF!=$AB$2,#REF!*gem_invest))</f>
        <v>#REF!</v>
      </c>
      <c r="BK32" s="134"/>
      <c r="BL32" s="57" t="e">
        <f>IF(#REF!=BL$2,IF(#REF!=$AC$2,#REF!*plat_invest)) + IF(#REF!=BL$2,IF(#REF!=$AC$2,#REF!*plat_invest)) + IF(#REF!=BL$2,IF(#REF!=$AC$2,#REF!*plat_invest))</f>
        <v>#REF!</v>
      </c>
      <c r="BM32" s="57" t="e">
        <f>IF(#REF!=BM$2,IF(#REF!=$AC$2,#REF!*lumber_invest)) + IF(#REF!=BM$2,IF(#REF!=$AC$2,#REF!*lumber_invest)) + IF(#REF!=BM$2,IF(#REF!=$AC$2,#REF!*lumber_invest))</f>
        <v>#REF!</v>
      </c>
      <c r="BN32" s="57" t="e">
        <f>IF(#REF!=BN$2,IF(#REF!=$AC$2,#REF!*ore_invest)) + IF(#REF!=BN$2,IF(#REF!=$AC$2,#REF!*ore_invest)) + IF(#REF!=BN$2,IF(#REF!=$AC$2,#REF!*ore_invest))</f>
        <v>#REF!</v>
      </c>
      <c r="BO32" s="57" t="e">
        <f>IF(#REF!=BO$2,IF(#REF!=$AC$2,#REF!*gem_invest)) + IF(#REF!=BO$2,IF(#REF!=$AC$2,#REF!*gem_invest)) + IF(#REF!=BO$2,IF(#REF!=$AC$2,#REF!*gem_invest))</f>
        <v>#REF!</v>
      </c>
      <c r="BP32" s="134"/>
      <c r="BQ32" s="57" t="e">
        <f>IF(#REF!=BQ$2,IF(#REF!=$AD$2,#REF!*plat_invest)) + IF(#REF!=BQ$2,IF(#REF!=$AD$2,#REF!*plat_invest)) + IF(#REF!=BQ$2,IF(#REF!=$AD$2,#REF!*plat_invest))</f>
        <v>#REF!</v>
      </c>
      <c r="BR32" s="57" t="e">
        <f>IF(#REF!=BR$2,IF(#REF!=$AD$2,#REF!*lumber_invest)) + IF(#REF!=BR$2,IF(#REF!=$AD$2,#REF!*lumber_invest)) + IF(#REF!=BR$2,IF(#REF!=$AD$2,#REF!*lumber_invest))</f>
        <v>#REF!</v>
      </c>
      <c r="BS32" s="57" t="e">
        <f>IF(#REF!=BS$2,IF(#REF!=$AD$2,#REF!*ore_invest)) + IF(#REF!=BS$2,IF(#REF!=$AD$2,#REF!*ore_invest)) + IF(#REF!=BS$2,IF(#REF!=$AD$2,#REF!*ore_invest))</f>
        <v>#REF!</v>
      </c>
      <c r="BT32" s="57" t="e">
        <f>IF(#REF!=BT$2,IF(#REF!=$AD$2,#REF!*gem_invest)) + IF(#REF!=BT$2,IF(#REF!=$AD$2,#REF!*gem_invest)) + IF(#REF!=BT$2,IF(#REF!=$AD$2,#REF!*gem_invest))</f>
        <v>#REF!</v>
      </c>
      <c r="BU32" s="134"/>
      <c r="BV32" s="3" t="e">
        <f>OR(#REF!,#REF!,#REF!,#REF!,#REF!,#REF!,#REF!,#REF!,#REF!)</f>
        <v>#REF!</v>
      </c>
      <c r="BW32" s="61" t="e">
        <f>#REF!</f>
        <v>#REF!</v>
      </c>
      <c r="BX32" s="130"/>
      <c r="BY32" s="284" t="e">
        <f ca="1">OFFSET(#REF!,-1,0)+1/24</f>
        <v>#REF!</v>
      </c>
      <c r="BZ32" s="285" t="e">
        <f ca="1">OFFSET(#REF!,-1,0)+1/24</f>
        <v>#REF!</v>
      </c>
      <c r="CA32" s="57"/>
      <c r="CB32" s="283"/>
      <c r="CC32" s="283"/>
      <c r="CD32" s="3" t="s">
        <v>3</v>
      </c>
    </row>
    <row r="33" spans="1:82" x14ac:dyDescent="0.25">
      <c r="A33" s="206" t="e">
        <f>#REF!</f>
        <v>#REF!</v>
      </c>
      <c r="B33" s="134"/>
      <c r="C33" s="39" t="e">
        <f>#REF!</f>
        <v>#REF!</v>
      </c>
      <c r="D33" s="39" t="e">
        <f>#REF!</f>
        <v>#REF!</v>
      </c>
      <c r="E33" s="39" t="e">
        <f>#REF!</f>
        <v>#REF!</v>
      </c>
      <c r="F33" s="39" t="e">
        <f>#REF!</f>
        <v>#REF!</v>
      </c>
      <c r="G33" s="133"/>
      <c r="H33" s="39" t="e">
        <f>#REF!</f>
        <v>#REF!</v>
      </c>
      <c r="I33" s="132" t="e">
        <f>#REF!</f>
        <v>#REF!</v>
      </c>
      <c r="J33" s="132" t="e">
        <f>#REF!/#REF!</f>
        <v>#REF!</v>
      </c>
      <c r="K33" s="160" t="e">
        <f>#REF!</f>
        <v>#REF!</v>
      </c>
      <c r="L33" s="276" t="e">
        <f>#REF!</f>
        <v>#REF!</v>
      </c>
      <c r="M33" s="61">
        <f>IF(ISERROR(#REF!),0,#REF!*1)</f>
        <v>0</v>
      </c>
      <c r="N33" s="39" t="e">
        <f>#REF!</f>
        <v>#REF!</v>
      </c>
      <c r="O33" s="277" t="s">
        <v>4</v>
      </c>
      <c r="P33" s="278"/>
      <c r="Q33" s="277" t="s">
        <v>211</v>
      </c>
      <c r="R33" s="277" t="s">
        <v>7</v>
      </c>
      <c r="S33" s="278"/>
      <c r="T33" s="277" t="s">
        <v>211</v>
      </c>
      <c r="U33" s="277" t="s">
        <v>3</v>
      </c>
      <c r="V33" s="278"/>
      <c r="W33" s="277" t="s">
        <v>211</v>
      </c>
      <c r="X33" s="134"/>
      <c r="Y33" s="209" t="e">
        <f ca="1">science_cap*(1-EXP(-#REF!/(science_param*(OFFSET(#REF!,1,0)-OFFSET(#REF!,1,0)*20)+15000)))*(1+(mason_bonus*#REF!/#REF!))</f>
        <v>#REF!</v>
      </c>
      <c r="Z33" s="209" t="e">
        <f ca="1">keep_cap*(1-EXP(-#REF!/(keep_param*(OFFSET(#REF!,1,0)-OFFSET(#REF!,1,0)*20)+15000)))*(1+(mason_bonus*#REF!/#REF!))</f>
        <v>#REF!</v>
      </c>
      <c r="AA33" s="209" t="e">
        <f ca="1">harbor_towers_cap*(1-EXP(-#REF!/(towers_param*(OFFSET(#REF!,1,0)-OFFSET(#REF!,1,0)*20)+15000)))*(1+(mason_bonus*#REF!/#REF!))</f>
        <v>#REF!</v>
      </c>
      <c r="AB33" s="209" t="e">
        <f ca="1">walls_forges_cap*(1-EXP(-#REF!/(walls_forges_param*(OFFSET(#REF!,1,0)-OFFSET(#REF!,1,0)*20)+15000)))*(1+(mason_bonus*#REF!/#REF!))</f>
        <v>#REF!</v>
      </c>
      <c r="AC33" s="209" t="e">
        <f ca="1">walls_forges_cap*(1-EXP(-#REF!/(walls_forges_param*(OFFSET(#REF!,1,0)-OFFSET(#REF!,1,0)*20)+15000)))*(1+(mason_bonus*#REF!/#REF!))</f>
        <v>#REF!</v>
      </c>
      <c r="AD33" s="209" t="e">
        <f ca="1">harbor_towers_cap*(1-EXP(-#REF!/(harbor_towers_param*(OFFSET(#REF!,1,0)-OFFSET(#REF!,1,0)*20)+15000)))*(1+(mason_bonus*#REF!/#REF!))</f>
        <v>#REF!</v>
      </c>
      <c r="AE33" s="134"/>
      <c r="AF33" s="61" t="e">
        <f ca="1">(1+Overview!$I$28)*SUM(#REF!)+OFFSET(#REF!,-1,0)</f>
        <v>#REF!</v>
      </c>
      <c r="AG33" s="61" t="e">
        <f ca="1">(1+Overview!$I$28)*SUM(#REF!)+OFFSET(#REF!,-1,0)</f>
        <v>#REF!</v>
      </c>
      <c r="AH33" s="61" t="e">
        <f ca="1">(1+Overview!$I$28 + tech_7_1*#REF!)*SUM(#REF!)+OFFSET(#REF!,-1,0)</f>
        <v>#REF!</v>
      </c>
      <c r="AI33" s="61" t="e">
        <f ca="1">(1+Overview!$I$28)*SUM(#REF!)+OFFSET(#REF!,-1,0)</f>
        <v>#REF!</v>
      </c>
      <c r="AJ33" s="61" t="e">
        <f ca="1">(1+Overview!$I$28)*SUM(#REF!)+OFFSET(#REF!,-1,0)</f>
        <v>#REF!</v>
      </c>
      <c r="AK33" s="61" t="e">
        <f ca="1">(1+Overview!$I$28 + tech_7_1*#REF!)*SUM(#REF!)+OFFSET(#REF!,-1,0)</f>
        <v>#REF!</v>
      </c>
      <c r="AL33" s="134"/>
      <c r="AM33" s="57" t="e">
        <f>IF(AND(#REF!=AM$2,#REF!&lt;&gt;""),#REF!) + IF(AND(#REF!=AM$2,#REF!&lt;&gt;""),#REF!) + IF(AND(#REF!=AM$2,#REF!&lt;&gt;""),#REF!)</f>
        <v>#REF!</v>
      </c>
      <c r="AN33" s="57" t="e">
        <f>IF(AND(#REF!=AN$2,#REF!&lt;&gt;""),#REF!) + IF(AND(#REF!=AN$2,#REF!&lt;&gt;""),#REF!) + IF(AND(#REF!=AN$2,#REF!&lt;&gt;""),#REF!)</f>
        <v>#REF!</v>
      </c>
      <c r="AO33" s="57" t="e">
        <f>IF(AND(#REF!=AO$2,#REF!&lt;&gt;""),#REF!) + IF(AND(#REF!=AO$2,#REF!&lt;&gt;""),#REF!) + IF(AND(#REF!=AO$2,#REF!&lt;&gt;""),#REF!)</f>
        <v>#REF!</v>
      </c>
      <c r="AP33" s="57" t="e">
        <f>IF(AND(#REF!=AP$2,#REF!&lt;&gt;""),#REF!) + IF(AND(#REF!=AP$2,#REF!&lt;&gt;""),#REF!) + IF(AND(#REF!=AP$2,#REF!&lt;&gt;""),#REF!)</f>
        <v>#REF!</v>
      </c>
      <c r="AQ33" s="134"/>
      <c r="AR33" s="57" t="e">
        <f>IF(#REF!=AR$2,IF(#REF!=$Y$2,#REF!*plat_invest)) + IF(#REF!=AR$2,IF(#REF!=$Y$2,#REF!*plat_invest)) + IF(#REF!=AR$2,IF(#REF!=$Y$2,#REF!*plat_invest))</f>
        <v>#REF!</v>
      </c>
      <c r="AS33" s="57" t="e">
        <f>IF(#REF!=AS$2,IF(#REF!=$Y$2,#REF!*lumber_invest)) + IF(#REF!=AS$2,IF(#REF!=$Y$2,#REF!*lumber_invest)) + IF(#REF!=AS$2,IF(#REF!=$Y$2,#REF!*lumber_invest))</f>
        <v>#REF!</v>
      </c>
      <c r="AT33" s="57" t="e">
        <f>IF(#REF!=AT$2,IF(#REF!=$Y$2,#REF!*ore_invest)) + IF(#REF!=AT$2,IF(#REF!=$Y$2,#REF!*ore_invest)) + IF(#REF!=AT$2,IF(#REF!=$Y$2,#REF!*ore_invest))</f>
        <v>#REF!</v>
      </c>
      <c r="AU33" s="57" t="e">
        <f>IF(#REF!=AU$2,IF(#REF!=$Y$2,#REF!*gem_invest)) + IF(#REF!=AU$2,IF(#REF!=$Y$2,#REF!*gem_invest)) + IF(#REF!=AU$2,IF(#REF!=$Y$2,#REF!*gem_invest))</f>
        <v>#REF!</v>
      </c>
      <c r="AV33" s="134"/>
      <c r="AW33" s="57" t="e">
        <f>IF(#REF!=AW$2,IF(#REF!=$Z$2,#REF!*plat_invest)) + IF(#REF!=AW$2,IF(#REF!=$Z$2,#REF!*plat_invest)) + IF(#REF!=AW$2,IF(#REF!=$Z$2,#REF!*plat_invest))</f>
        <v>#REF!</v>
      </c>
      <c r="AX33" s="57" t="e">
        <f>IF(#REF!=AX$2,IF(#REF!=$Z$2,#REF!*lumber_invest)) + IF(#REF!=AX$2,IF(#REF!=$Z$2,#REF!*lumber_invest)) + IF(#REF!=AX$2,IF(#REF!=$Z$2,#REF!*lumber_invest))</f>
        <v>#REF!</v>
      </c>
      <c r="AY33" s="57" t="e">
        <f>IF(#REF!=AY$2,IF(#REF!=$Z$2,#REF!*ore_invest)) + IF(#REF!=AY$2,IF(#REF!=$Z$2,#REF!*ore_invest)) + IF(#REF!=AY$2,IF(#REF!=$Z$2,#REF!*ore_invest))</f>
        <v>#REF!</v>
      </c>
      <c r="AZ33" s="57" t="e">
        <f>IF(#REF!=AZ$2,IF(#REF!=$Z$2,#REF!*gem_invest)) + IF(#REF!=AZ$2,IF(#REF!=$Z$2,#REF!*gem_invest)) + IF(#REF!=AZ$2,IF(#REF!=$Z$2,#REF!*gem_invest))</f>
        <v>#REF!</v>
      </c>
      <c r="BA33" s="134"/>
      <c r="BB33" s="57" t="e">
        <f>IF(#REF!=BB$2,IF(#REF!=$AA$2,#REF!*plat_invest)) + IF(#REF!=BB$2,IF(#REF!=$AA$2,#REF!*plat_invest)) + IF(#REF!=BB$2,IF(#REF!=$AA$2,#REF!*plat_invest))</f>
        <v>#REF!</v>
      </c>
      <c r="BC33" s="57" t="e">
        <f>IF(#REF!=BC$2,IF(#REF!=$AA$2,#REF!*lumber_invest)) + IF(#REF!=BC$2,IF(#REF!=$AA$2,#REF!*lumber_invest)) + IF(#REF!=BC$2,IF(#REF!=$AA$2,#REF!*lumber_invest))</f>
        <v>#REF!</v>
      </c>
      <c r="BD33" s="57" t="e">
        <f>IF(#REF!=BD$2,IF(#REF!=$AA$2,#REF!*ore_invest)) + IF(#REF!=BD$2,IF(#REF!=$AA$2,#REF!*ore_invest)) + IF(#REF!=BD$2,IF(#REF!=$AA$2,#REF!*ore_invest))</f>
        <v>#REF!</v>
      </c>
      <c r="BE33" s="57" t="e">
        <f>IF(#REF!=BE$2,IF(#REF!=$AA$2,#REF!*gem_invest)) + IF(#REF!=BE$2,IF(#REF!=$AA$2,#REF!*gem_invest)) + IF(#REF!=BE$2,IF(#REF!=$AA$2,#REF!*gem_invest))</f>
        <v>#REF!</v>
      </c>
      <c r="BF33" s="134"/>
      <c r="BG33" s="57" t="e">
        <f>IF(#REF!=BG$2,IF(#REF!=$AB$2,#REF!*plat_invest)) + IF(#REF!=BG$2,IF(#REF!=$AB$2,#REF!*plat_invest)) + IF(#REF!=BG$2,IF(#REF!=$AB$2,#REF!*plat_invest))</f>
        <v>#REF!</v>
      </c>
      <c r="BH33" s="57" t="e">
        <f>IF(#REF!=BH$2,IF(#REF!=$AB$2,#REF!*lumber_invest)) + IF(#REF!=BH$2,IF(#REF!=$AB$2,#REF!*lumber_invest)) + IF(#REF!=BH$2,IF(#REF!=$AB$2,#REF!*lumber_invest))</f>
        <v>#REF!</v>
      </c>
      <c r="BI33" s="57" t="e">
        <f>IF(#REF!=BI$2,IF(#REF!=$AB$2,#REF!*ore_invest)) + IF(#REF!=BI$2,IF(#REF!=$AB$2,#REF!*ore_invest)) + IF(#REF!=BI$2,IF(#REF!=$AB$2,#REF!*ore_invest))</f>
        <v>#REF!</v>
      </c>
      <c r="BJ33" s="57" t="e">
        <f>IF(#REF!=BJ$2,IF(#REF!=$AB$2,#REF!*gem_invest)) + IF(#REF!=BJ$2,IF(#REF!=$AB$2,#REF!*gem_invest)) + IF(#REF!=BJ$2,IF(#REF!=$AB$2,#REF!*gem_invest))</f>
        <v>#REF!</v>
      </c>
      <c r="BK33" s="134"/>
      <c r="BL33" s="57" t="e">
        <f>IF(#REF!=BL$2,IF(#REF!=$AC$2,#REF!*plat_invest)) + IF(#REF!=BL$2,IF(#REF!=$AC$2,#REF!*plat_invest)) + IF(#REF!=BL$2,IF(#REF!=$AC$2,#REF!*plat_invest))</f>
        <v>#REF!</v>
      </c>
      <c r="BM33" s="57" t="e">
        <f>IF(#REF!=BM$2,IF(#REF!=$AC$2,#REF!*lumber_invest)) + IF(#REF!=BM$2,IF(#REF!=$AC$2,#REF!*lumber_invest)) + IF(#REF!=BM$2,IF(#REF!=$AC$2,#REF!*lumber_invest))</f>
        <v>#REF!</v>
      </c>
      <c r="BN33" s="57" t="e">
        <f>IF(#REF!=BN$2,IF(#REF!=$AC$2,#REF!*ore_invest)) + IF(#REF!=BN$2,IF(#REF!=$AC$2,#REF!*ore_invest)) + IF(#REF!=BN$2,IF(#REF!=$AC$2,#REF!*ore_invest))</f>
        <v>#REF!</v>
      </c>
      <c r="BO33" s="57" t="e">
        <f>IF(#REF!=BO$2,IF(#REF!=$AC$2,#REF!*gem_invest)) + IF(#REF!=BO$2,IF(#REF!=$AC$2,#REF!*gem_invest)) + IF(#REF!=BO$2,IF(#REF!=$AC$2,#REF!*gem_invest))</f>
        <v>#REF!</v>
      </c>
      <c r="BP33" s="134"/>
      <c r="BQ33" s="57" t="e">
        <f>IF(#REF!=BQ$2,IF(#REF!=$AD$2,#REF!*plat_invest)) + IF(#REF!=BQ$2,IF(#REF!=$AD$2,#REF!*plat_invest)) + IF(#REF!=BQ$2,IF(#REF!=$AD$2,#REF!*plat_invest))</f>
        <v>#REF!</v>
      </c>
      <c r="BR33" s="57" t="e">
        <f>IF(#REF!=BR$2,IF(#REF!=$AD$2,#REF!*lumber_invest)) + IF(#REF!=BR$2,IF(#REF!=$AD$2,#REF!*lumber_invest)) + IF(#REF!=BR$2,IF(#REF!=$AD$2,#REF!*lumber_invest))</f>
        <v>#REF!</v>
      </c>
      <c r="BS33" s="57" t="e">
        <f>IF(#REF!=BS$2,IF(#REF!=$AD$2,#REF!*ore_invest)) + IF(#REF!=BS$2,IF(#REF!=$AD$2,#REF!*ore_invest)) + IF(#REF!=BS$2,IF(#REF!=$AD$2,#REF!*ore_invest))</f>
        <v>#REF!</v>
      </c>
      <c r="BT33" s="57" t="e">
        <f>IF(#REF!=BT$2,IF(#REF!=$AD$2,#REF!*gem_invest)) + IF(#REF!=BT$2,IF(#REF!=$AD$2,#REF!*gem_invest)) + IF(#REF!=BT$2,IF(#REF!=$AD$2,#REF!*gem_invest))</f>
        <v>#REF!</v>
      </c>
      <c r="BU33" s="134"/>
      <c r="BV33" s="3" t="e">
        <f>OR(#REF!,#REF!,#REF!,#REF!,#REF!,#REF!,#REF!,#REF!,#REF!)</f>
        <v>#REF!</v>
      </c>
      <c r="BW33" s="61" t="e">
        <f>#REF!</f>
        <v>#REF!</v>
      </c>
      <c r="BX33" s="130"/>
      <c r="BY33" s="284" t="e">
        <f ca="1">OFFSET(#REF!,-1,0)+1/24</f>
        <v>#REF!</v>
      </c>
      <c r="BZ33" s="285" t="e">
        <f ca="1">OFFSET(#REF!,-1,0)+1/24</f>
        <v>#REF!</v>
      </c>
      <c r="CA33" s="57"/>
      <c r="CB33" s="283"/>
      <c r="CC33" s="283"/>
      <c r="CD33" s="3" t="s">
        <v>2</v>
      </c>
    </row>
    <row r="34" spans="1:82" x14ac:dyDescent="0.25">
      <c r="A34" s="206" t="e">
        <f>#REF!</f>
        <v>#REF!</v>
      </c>
      <c r="B34" s="134"/>
      <c r="C34" s="39" t="e">
        <f>#REF!</f>
        <v>#REF!</v>
      </c>
      <c r="D34" s="39" t="e">
        <f>#REF!</f>
        <v>#REF!</v>
      </c>
      <c r="E34" s="39" t="e">
        <f>#REF!</f>
        <v>#REF!</v>
      </c>
      <c r="F34" s="39" t="e">
        <f>#REF!</f>
        <v>#REF!</v>
      </c>
      <c r="G34" s="133"/>
      <c r="H34" s="39" t="e">
        <f>#REF!</f>
        <v>#REF!</v>
      </c>
      <c r="I34" s="132" t="e">
        <f>#REF!</f>
        <v>#REF!</v>
      </c>
      <c r="J34" s="132" t="e">
        <f>#REF!/#REF!</f>
        <v>#REF!</v>
      </c>
      <c r="K34" s="160" t="e">
        <f>#REF!</f>
        <v>#REF!</v>
      </c>
      <c r="L34" s="276" t="e">
        <f>#REF!</f>
        <v>#REF!</v>
      </c>
      <c r="M34" s="61">
        <f>IF(ISERROR(#REF!),0,#REF!*1)</f>
        <v>0</v>
      </c>
      <c r="N34" s="39" t="e">
        <f>#REF!</f>
        <v>#REF!</v>
      </c>
      <c r="O34" s="277" t="s">
        <v>4</v>
      </c>
      <c r="P34" s="278"/>
      <c r="Q34" s="277" t="s">
        <v>211</v>
      </c>
      <c r="R34" s="277" t="s">
        <v>7</v>
      </c>
      <c r="S34" s="278"/>
      <c r="T34" s="277" t="s">
        <v>211</v>
      </c>
      <c r="U34" s="277" t="s">
        <v>3</v>
      </c>
      <c r="V34" s="278"/>
      <c r="W34" s="277" t="s">
        <v>211</v>
      </c>
      <c r="X34" s="134"/>
      <c r="Y34" s="209" t="e">
        <f ca="1">science_cap*(1-EXP(-#REF!/(science_param*(OFFSET(#REF!,1,0)-OFFSET(#REF!,1,0)*20)+15000)))*(1+(mason_bonus*#REF!/#REF!))</f>
        <v>#REF!</v>
      </c>
      <c r="Z34" s="209" t="e">
        <f ca="1">keep_cap*(1-EXP(-#REF!/(keep_param*(OFFSET(#REF!,1,0)-OFFSET(#REF!,1,0)*20)+15000)))*(1+(mason_bonus*#REF!/#REF!))</f>
        <v>#REF!</v>
      </c>
      <c r="AA34" s="209" t="e">
        <f ca="1">harbor_towers_cap*(1-EXP(-#REF!/(towers_param*(OFFSET(#REF!,1,0)-OFFSET(#REF!,1,0)*20)+15000)))*(1+(mason_bonus*#REF!/#REF!))</f>
        <v>#REF!</v>
      </c>
      <c r="AB34" s="209" t="e">
        <f ca="1">walls_forges_cap*(1-EXP(-#REF!/(walls_forges_param*(OFFSET(#REF!,1,0)-OFFSET(#REF!,1,0)*20)+15000)))*(1+(mason_bonus*#REF!/#REF!))</f>
        <v>#REF!</v>
      </c>
      <c r="AC34" s="209" t="e">
        <f ca="1">walls_forges_cap*(1-EXP(-#REF!/(walls_forges_param*(OFFSET(#REF!,1,0)-OFFSET(#REF!,1,0)*20)+15000)))*(1+(mason_bonus*#REF!/#REF!))</f>
        <v>#REF!</v>
      </c>
      <c r="AD34" s="209" t="e">
        <f ca="1">harbor_towers_cap*(1-EXP(-#REF!/(harbor_towers_param*(OFFSET(#REF!,1,0)-OFFSET(#REF!,1,0)*20)+15000)))*(1+(mason_bonus*#REF!/#REF!))</f>
        <v>#REF!</v>
      </c>
      <c r="AE34" s="134"/>
      <c r="AF34" s="61" t="e">
        <f ca="1">(1+Overview!$I$28)*SUM(#REF!)+OFFSET(#REF!,-1,0)</f>
        <v>#REF!</v>
      </c>
      <c r="AG34" s="61" t="e">
        <f ca="1">(1+Overview!$I$28)*SUM(#REF!)+OFFSET(#REF!,-1,0)</f>
        <v>#REF!</v>
      </c>
      <c r="AH34" s="61" t="e">
        <f ca="1">(1+Overview!$I$28 + tech_7_1*#REF!)*SUM(#REF!)+OFFSET(#REF!,-1,0)</f>
        <v>#REF!</v>
      </c>
      <c r="AI34" s="61" t="e">
        <f ca="1">(1+Overview!$I$28)*SUM(#REF!)+OFFSET(#REF!,-1,0)</f>
        <v>#REF!</v>
      </c>
      <c r="AJ34" s="61" t="e">
        <f ca="1">(1+Overview!$I$28)*SUM(#REF!)+OFFSET(#REF!,-1,0)</f>
        <v>#REF!</v>
      </c>
      <c r="AK34" s="61" t="e">
        <f ca="1">(1+Overview!$I$28 + tech_7_1*#REF!)*SUM(#REF!)+OFFSET(#REF!,-1,0)</f>
        <v>#REF!</v>
      </c>
      <c r="AL34" s="134"/>
      <c r="AM34" s="57" t="e">
        <f>IF(AND(#REF!=AM$2,#REF!&lt;&gt;""),#REF!) + IF(AND(#REF!=AM$2,#REF!&lt;&gt;""),#REF!) + IF(AND(#REF!=AM$2,#REF!&lt;&gt;""),#REF!)</f>
        <v>#REF!</v>
      </c>
      <c r="AN34" s="57" t="e">
        <f>IF(AND(#REF!=AN$2,#REF!&lt;&gt;""),#REF!) + IF(AND(#REF!=AN$2,#REF!&lt;&gt;""),#REF!) + IF(AND(#REF!=AN$2,#REF!&lt;&gt;""),#REF!)</f>
        <v>#REF!</v>
      </c>
      <c r="AO34" s="57" t="e">
        <f>IF(AND(#REF!=AO$2,#REF!&lt;&gt;""),#REF!) + IF(AND(#REF!=AO$2,#REF!&lt;&gt;""),#REF!) + IF(AND(#REF!=AO$2,#REF!&lt;&gt;""),#REF!)</f>
        <v>#REF!</v>
      </c>
      <c r="AP34" s="57" t="e">
        <f>IF(AND(#REF!=AP$2,#REF!&lt;&gt;""),#REF!) + IF(AND(#REF!=AP$2,#REF!&lt;&gt;""),#REF!) + IF(AND(#REF!=AP$2,#REF!&lt;&gt;""),#REF!)</f>
        <v>#REF!</v>
      </c>
      <c r="AQ34" s="134"/>
      <c r="AR34" s="57" t="e">
        <f>IF(#REF!=AR$2,IF(#REF!=$Y$2,#REF!*plat_invest)) + IF(#REF!=AR$2,IF(#REF!=$Y$2,#REF!*plat_invest)) + IF(#REF!=AR$2,IF(#REF!=$Y$2,#REF!*plat_invest))</f>
        <v>#REF!</v>
      </c>
      <c r="AS34" s="57" t="e">
        <f>IF(#REF!=AS$2,IF(#REF!=$Y$2,#REF!*lumber_invest)) + IF(#REF!=AS$2,IF(#REF!=$Y$2,#REF!*lumber_invest)) + IF(#REF!=AS$2,IF(#REF!=$Y$2,#REF!*lumber_invest))</f>
        <v>#REF!</v>
      </c>
      <c r="AT34" s="57" t="e">
        <f>IF(#REF!=AT$2,IF(#REF!=$Y$2,#REF!*ore_invest)) + IF(#REF!=AT$2,IF(#REF!=$Y$2,#REF!*ore_invest)) + IF(#REF!=AT$2,IF(#REF!=$Y$2,#REF!*ore_invest))</f>
        <v>#REF!</v>
      </c>
      <c r="AU34" s="57" t="e">
        <f>IF(#REF!=AU$2,IF(#REF!=$Y$2,#REF!*gem_invest)) + IF(#REF!=AU$2,IF(#REF!=$Y$2,#REF!*gem_invest)) + IF(#REF!=AU$2,IF(#REF!=$Y$2,#REF!*gem_invest))</f>
        <v>#REF!</v>
      </c>
      <c r="AV34" s="134"/>
      <c r="AW34" s="57" t="e">
        <f>IF(#REF!=AW$2,IF(#REF!=$Z$2,#REF!*plat_invest)) + IF(#REF!=AW$2,IF(#REF!=$Z$2,#REF!*plat_invest)) + IF(#REF!=AW$2,IF(#REF!=$Z$2,#REF!*plat_invest))</f>
        <v>#REF!</v>
      </c>
      <c r="AX34" s="57" t="e">
        <f>IF(#REF!=AX$2,IF(#REF!=$Z$2,#REF!*lumber_invest)) + IF(#REF!=AX$2,IF(#REF!=$Z$2,#REF!*lumber_invest)) + IF(#REF!=AX$2,IF(#REF!=$Z$2,#REF!*lumber_invest))</f>
        <v>#REF!</v>
      </c>
      <c r="AY34" s="57" t="e">
        <f>IF(#REF!=AY$2,IF(#REF!=$Z$2,#REF!*ore_invest)) + IF(#REF!=AY$2,IF(#REF!=$Z$2,#REF!*ore_invest)) + IF(#REF!=AY$2,IF(#REF!=$Z$2,#REF!*ore_invest))</f>
        <v>#REF!</v>
      </c>
      <c r="AZ34" s="57" t="e">
        <f>IF(#REF!=AZ$2,IF(#REF!=$Z$2,#REF!*gem_invest)) + IF(#REF!=AZ$2,IF(#REF!=$Z$2,#REF!*gem_invest)) + IF(#REF!=AZ$2,IF(#REF!=$Z$2,#REF!*gem_invest))</f>
        <v>#REF!</v>
      </c>
      <c r="BA34" s="134"/>
      <c r="BB34" s="57" t="e">
        <f>IF(#REF!=BB$2,IF(#REF!=$AA$2,#REF!*plat_invest)) + IF(#REF!=BB$2,IF(#REF!=$AA$2,#REF!*plat_invest)) + IF(#REF!=BB$2,IF(#REF!=$AA$2,#REF!*plat_invest))</f>
        <v>#REF!</v>
      </c>
      <c r="BC34" s="57" t="e">
        <f>IF(#REF!=BC$2,IF(#REF!=$AA$2,#REF!*lumber_invest)) + IF(#REF!=BC$2,IF(#REF!=$AA$2,#REF!*lumber_invest)) + IF(#REF!=BC$2,IF(#REF!=$AA$2,#REF!*lumber_invest))</f>
        <v>#REF!</v>
      </c>
      <c r="BD34" s="57" t="e">
        <f>IF(#REF!=BD$2,IF(#REF!=$AA$2,#REF!*ore_invest)) + IF(#REF!=BD$2,IF(#REF!=$AA$2,#REF!*ore_invest)) + IF(#REF!=BD$2,IF(#REF!=$AA$2,#REF!*ore_invest))</f>
        <v>#REF!</v>
      </c>
      <c r="BE34" s="57" t="e">
        <f>IF(#REF!=BE$2,IF(#REF!=$AA$2,#REF!*gem_invest)) + IF(#REF!=BE$2,IF(#REF!=$AA$2,#REF!*gem_invest)) + IF(#REF!=BE$2,IF(#REF!=$AA$2,#REF!*gem_invest))</f>
        <v>#REF!</v>
      </c>
      <c r="BF34" s="134"/>
      <c r="BG34" s="57" t="e">
        <f>IF(#REF!=BG$2,IF(#REF!=$AB$2,#REF!*plat_invest)) + IF(#REF!=BG$2,IF(#REF!=$AB$2,#REF!*plat_invest)) + IF(#REF!=BG$2,IF(#REF!=$AB$2,#REF!*plat_invest))</f>
        <v>#REF!</v>
      </c>
      <c r="BH34" s="57" t="e">
        <f>IF(#REF!=BH$2,IF(#REF!=$AB$2,#REF!*lumber_invest)) + IF(#REF!=BH$2,IF(#REF!=$AB$2,#REF!*lumber_invest)) + IF(#REF!=BH$2,IF(#REF!=$AB$2,#REF!*lumber_invest))</f>
        <v>#REF!</v>
      </c>
      <c r="BI34" s="57" t="e">
        <f>IF(#REF!=BI$2,IF(#REF!=$AB$2,#REF!*ore_invest)) + IF(#REF!=BI$2,IF(#REF!=$AB$2,#REF!*ore_invest)) + IF(#REF!=BI$2,IF(#REF!=$AB$2,#REF!*ore_invest))</f>
        <v>#REF!</v>
      </c>
      <c r="BJ34" s="57" t="e">
        <f>IF(#REF!=BJ$2,IF(#REF!=$AB$2,#REF!*gem_invest)) + IF(#REF!=BJ$2,IF(#REF!=$AB$2,#REF!*gem_invest)) + IF(#REF!=BJ$2,IF(#REF!=$AB$2,#REF!*gem_invest))</f>
        <v>#REF!</v>
      </c>
      <c r="BK34" s="134"/>
      <c r="BL34" s="57" t="e">
        <f>IF(#REF!=BL$2,IF(#REF!=$AC$2,#REF!*plat_invest)) + IF(#REF!=BL$2,IF(#REF!=$AC$2,#REF!*plat_invest)) + IF(#REF!=BL$2,IF(#REF!=$AC$2,#REF!*plat_invest))</f>
        <v>#REF!</v>
      </c>
      <c r="BM34" s="57" t="e">
        <f>IF(#REF!=BM$2,IF(#REF!=$AC$2,#REF!*lumber_invest)) + IF(#REF!=BM$2,IF(#REF!=$AC$2,#REF!*lumber_invest)) + IF(#REF!=BM$2,IF(#REF!=$AC$2,#REF!*lumber_invest))</f>
        <v>#REF!</v>
      </c>
      <c r="BN34" s="57" t="e">
        <f>IF(#REF!=BN$2,IF(#REF!=$AC$2,#REF!*ore_invest)) + IF(#REF!=BN$2,IF(#REF!=$AC$2,#REF!*ore_invest)) + IF(#REF!=BN$2,IF(#REF!=$AC$2,#REF!*ore_invest))</f>
        <v>#REF!</v>
      </c>
      <c r="BO34" s="57" t="e">
        <f>IF(#REF!=BO$2,IF(#REF!=$AC$2,#REF!*gem_invest)) + IF(#REF!=BO$2,IF(#REF!=$AC$2,#REF!*gem_invest)) + IF(#REF!=BO$2,IF(#REF!=$AC$2,#REF!*gem_invest))</f>
        <v>#REF!</v>
      </c>
      <c r="BP34" s="134"/>
      <c r="BQ34" s="57" t="e">
        <f>IF(#REF!=BQ$2,IF(#REF!=$AD$2,#REF!*plat_invest)) + IF(#REF!=BQ$2,IF(#REF!=$AD$2,#REF!*plat_invest)) + IF(#REF!=BQ$2,IF(#REF!=$AD$2,#REF!*plat_invest))</f>
        <v>#REF!</v>
      </c>
      <c r="BR34" s="57" t="e">
        <f>IF(#REF!=BR$2,IF(#REF!=$AD$2,#REF!*lumber_invest)) + IF(#REF!=BR$2,IF(#REF!=$AD$2,#REF!*lumber_invest)) + IF(#REF!=BR$2,IF(#REF!=$AD$2,#REF!*lumber_invest))</f>
        <v>#REF!</v>
      </c>
      <c r="BS34" s="57" t="e">
        <f>IF(#REF!=BS$2,IF(#REF!=$AD$2,#REF!*ore_invest)) + IF(#REF!=BS$2,IF(#REF!=$AD$2,#REF!*ore_invest)) + IF(#REF!=BS$2,IF(#REF!=$AD$2,#REF!*ore_invest))</f>
        <v>#REF!</v>
      </c>
      <c r="BT34" s="57" t="e">
        <f>IF(#REF!=BT$2,IF(#REF!=$AD$2,#REF!*gem_invest)) + IF(#REF!=BT$2,IF(#REF!=$AD$2,#REF!*gem_invest)) + IF(#REF!=BT$2,IF(#REF!=$AD$2,#REF!*gem_invest))</f>
        <v>#REF!</v>
      </c>
      <c r="BU34" s="134"/>
      <c r="BV34" s="3" t="e">
        <f>OR(#REF!,#REF!,#REF!,#REF!,#REF!,#REF!,#REF!,#REF!,#REF!)</f>
        <v>#REF!</v>
      </c>
      <c r="BW34" s="61" t="e">
        <f>#REF!</f>
        <v>#REF!</v>
      </c>
      <c r="BX34" s="130"/>
      <c r="BY34" s="284" t="e">
        <f ca="1">OFFSET(#REF!,-1,0)+1/24</f>
        <v>#REF!</v>
      </c>
      <c r="BZ34" s="285" t="e">
        <f ca="1">OFFSET(#REF!,-1,0)+1/24</f>
        <v>#REF!</v>
      </c>
      <c r="CA34" s="57"/>
      <c r="CB34" s="283"/>
      <c r="CC34" s="283"/>
    </row>
    <row r="35" spans="1:82" x14ac:dyDescent="0.25">
      <c r="A35" s="206" t="e">
        <f>#REF!</f>
        <v>#REF!</v>
      </c>
      <c r="B35" s="134"/>
      <c r="C35" s="39" t="e">
        <f>#REF!</f>
        <v>#REF!</v>
      </c>
      <c r="D35" s="39" t="e">
        <f>#REF!</f>
        <v>#REF!</v>
      </c>
      <c r="E35" s="39" t="e">
        <f>#REF!</f>
        <v>#REF!</v>
      </c>
      <c r="F35" s="39" t="e">
        <f>#REF!</f>
        <v>#REF!</v>
      </c>
      <c r="G35" s="133"/>
      <c r="H35" s="39" t="e">
        <f>#REF!</f>
        <v>#REF!</v>
      </c>
      <c r="I35" s="132" t="e">
        <f>#REF!</f>
        <v>#REF!</v>
      </c>
      <c r="J35" s="132" t="e">
        <f>#REF!/#REF!</f>
        <v>#REF!</v>
      </c>
      <c r="K35" s="160" t="e">
        <f>#REF!</f>
        <v>#REF!</v>
      </c>
      <c r="L35" s="276" t="e">
        <f>#REF!</f>
        <v>#REF!</v>
      </c>
      <c r="M35" s="61">
        <f>IF(ISERROR(#REF!),0,#REF!*1)</f>
        <v>0</v>
      </c>
      <c r="N35" s="39" t="e">
        <f>#REF!</f>
        <v>#REF!</v>
      </c>
      <c r="O35" s="277" t="s">
        <v>4</v>
      </c>
      <c r="P35" s="278"/>
      <c r="Q35" s="277" t="s">
        <v>211</v>
      </c>
      <c r="R35" s="277" t="s">
        <v>7</v>
      </c>
      <c r="S35" s="278"/>
      <c r="T35" s="277" t="s">
        <v>211</v>
      </c>
      <c r="U35" s="277" t="s">
        <v>3</v>
      </c>
      <c r="V35" s="278"/>
      <c r="W35" s="277" t="s">
        <v>211</v>
      </c>
      <c r="X35" s="134"/>
      <c r="Y35" s="209" t="e">
        <f ca="1">science_cap*(1-EXP(-#REF!/(science_param*(OFFSET(#REF!,1,0)-OFFSET(#REF!,1,0)*20)+15000)))*(1+(mason_bonus*#REF!/#REF!))</f>
        <v>#REF!</v>
      </c>
      <c r="Z35" s="209" t="e">
        <f ca="1">keep_cap*(1-EXP(-#REF!/(keep_param*(OFFSET(#REF!,1,0)-OFFSET(#REF!,1,0)*20)+15000)))*(1+(mason_bonus*#REF!/#REF!))</f>
        <v>#REF!</v>
      </c>
      <c r="AA35" s="209" t="e">
        <f ca="1">harbor_towers_cap*(1-EXP(-#REF!/(towers_param*(OFFSET(#REF!,1,0)-OFFSET(#REF!,1,0)*20)+15000)))*(1+(mason_bonus*#REF!/#REF!))</f>
        <v>#REF!</v>
      </c>
      <c r="AB35" s="209" t="e">
        <f ca="1">walls_forges_cap*(1-EXP(-#REF!/(walls_forges_param*(OFFSET(#REF!,1,0)-OFFSET(#REF!,1,0)*20)+15000)))*(1+(mason_bonus*#REF!/#REF!))</f>
        <v>#REF!</v>
      </c>
      <c r="AC35" s="209" t="e">
        <f ca="1">walls_forges_cap*(1-EXP(-#REF!/(walls_forges_param*(OFFSET(#REF!,1,0)-OFFSET(#REF!,1,0)*20)+15000)))*(1+(mason_bonus*#REF!/#REF!))</f>
        <v>#REF!</v>
      </c>
      <c r="AD35" s="209" t="e">
        <f ca="1">harbor_towers_cap*(1-EXP(-#REF!/(harbor_towers_param*(OFFSET(#REF!,1,0)-OFFSET(#REF!,1,0)*20)+15000)))*(1+(mason_bonus*#REF!/#REF!))</f>
        <v>#REF!</v>
      </c>
      <c r="AE35" s="134"/>
      <c r="AF35" s="61" t="e">
        <f ca="1">(1+Overview!$I$28)*SUM(#REF!)+OFFSET(#REF!,-1,0)</f>
        <v>#REF!</v>
      </c>
      <c r="AG35" s="61" t="e">
        <f ca="1">(1+Overview!$I$28)*SUM(#REF!)+OFFSET(#REF!,-1,0)</f>
        <v>#REF!</v>
      </c>
      <c r="AH35" s="61" t="e">
        <f ca="1">(1+Overview!$I$28 + tech_7_1*#REF!)*SUM(#REF!)+OFFSET(#REF!,-1,0)</f>
        <v>#REF!</v>
      </c>
      <c r="AI35" s="61" t="e">
        <f ca="1">(1+Overview!$I$28)*SUM(#REF!)+OFFSET(#REF!,-1,0)</f>
        <v>#REF!</v>
      </c>
      <c r="AJ35" s="61" t="e">
        <f ca="1">(1+Overview!$I$28)*SUM(#REF!)+OFFSET(#REF!,-1,0)</f>
        <v>#REF!</v>
      </c>
      <c r="AK35" s="61" t="e">
        <f ca="1">(1+Overview!$I$28 + tech_7_1*#REF!)*SUM(#REF!)+OFFSET(#REF!,-1,0)</f>
        <v>#REF!</v>
      </c>
      <c r="AL35" s="134"/>
      <c r="AM35" s="57" t="e">
        <f>IF(AND(#REF!=AM$2,#REF!&lt;&gt;""),#REF!) + IF(AND(#REF!=AM$2,#REF!&lt;&gt;""),#REF!) + IF(AND(#REF!=AM$2,#REF!&lt;&gt;""),#REF!)</f>
        <v>#REF!</v>
      </c>
      <c r="AN35" s="57" t="e">
        <f>IF(AND(#REF!=AN$2,#REF!&lt;&gt;""),#REF!) + IF(AND(#REF!=AN$2,#REF!&lt;&gt;""),#REF!) + IF(AND(#REF!=AN$2,#REF!&lt;&gt;""),#REF!)</f>
        <v>#REF!</v>
      </c>
      <c r="AO35" s="57" t="e">
        <f>IF(AND(#REF!=AO$2,#REF!&lt;&gt;""),#REF!) + IF(AND(#REF!=AO$2,#REF!&lt;&gt;""),#REF!) + IF(AND(#REF!=AO$2,#REF!&lt;&gt;""),#REF!)</f>
        <v>#REF!</v>
      </c>
      <c r="AP35" s="57" t="e">
        <f>IF(AND(#REF!=AP$2,#REF!&lt;&gt;""),#REF!) + IF(AND(#REF!=AP$2,#REF!&lt;&gt;""),#REF!) + IF(AND(#REF!=AP$2,#REF!&lt;&gt;""),#REF!)</f>
        <v>#REF!</v>
      </c>
      <c r="AQ35" s="134"/>
      <c r="AR35" s="57" t="e">
        <f>IF(#REF!=AR$2,IF(#REF!=$Y$2,#REF!*plat_invest)) + IF(#REF!=AR$2,IF(#REF!=$Y$2,#REF!*plat_invest)) + IF(#REF!=AR$2,IF(#REF!=$Y$2,#REF!*plat_invest))</f>
        <v>#REF!</v>
      </c>
      <c r="AS35" s="57" t="e">
        <f>IF(#REF!=AS$2,IF(#REF!=$Y$2,#REF!*lumber_invest)) + IF(#REF!=AS$2,IF(#REF!=$Y$2,#REF!*lumber_invest)) + IF(#REF!=AS$2,IF(#REF!=$Y$2,#REF!*lumber_invest))</f>
        <v>#REF!</v>
      </c>
      <c r="AT35" s="57" t="e">
        <f>IF(#REF!=AT$2,IF(#REF!=$Y$2,#REF!*ore_invest)) + IF(#REF!=AT$2,IF(#REF!=$Y$2,#REF!*ore_invest)) + IF(#REF!=AT$2,IF(#REF!=$Y$2,#REF!*ore_invest))</f>
        <v>#REF!</v>
      </c>
      <c r="AU35" s="57" t="e">
        <f>IF(#REF!=AU$2,IF(#REF!=$Y$2,#REF!*gem_invest)) + IF(#REF!=AU$2,IF(#REF!=$Y$2,#REF!*gem_invest)) + IF(#REF!=AU$2,IF(#REF!=$Y$2,#REF!*gem_invest))</f>
        <v>#REF!</v>
      </c>
      <c r="AV35" s="134"/>
      <c r="AW35" s="57" t="e">
        <f>IF(#REF!=AW$2,IF(#REF!=$Z$2,#REF!*plat_invest)) + IF(#REF!=AW$2,IF(#REF!=$Z$2,#REF!*plat_invest)) + IF(#REF!=AW$2,IF(#REF!=$Z$2,#REF!*plat_invest))</f>
        <v>#REF!</v>
      </c>
      <c r="AX35" s="57" t="e">
        <f>IF(#REF!=AX$2,IF(#REF!=$Z$2,#REF!*lumber_invest)) + IF(#REF!=AX$2,IF(#REF!=$Z$2,#REF!*lumber_invest)) + IF(#REF!=AX$2,IF(#REF!=$Z$2,#REF!*lumber_invest))</f>
        <v>#REF!</v>
      </c>
      <c r="AY35" s="57" t="e">
        <f>IF(#REF!=AY$2,IF(#REF!=$Z$2,#REF!*ore_invest)) + IF(#REF!=AY$2,IF(#REF!=$Z$2,#REF!*ore_invest)) + IF(#REF!=AY$2,IF(#REF!=$Z$2,#REF!*ore_invest))</f>
        <v>#REF!</v>
      </c>
      <c r="AZ35" s="57" t="e">
        <f>IF(#REF!=AZ$2,IF(#REF!=$Z$2,#REF!*gem_invest)) + IF(#REF!=AZ$2,IF(#REF!=$Z$2,#REF!*gem_invest)) + IF(#REF!=AZ$2,IF(#REF!=$Z$2,#REF!*gem_invest))</f>
        <v>#REF!</v>
      </c>
      <c r="BA35" s="134"/>
      <c r="BB35" s="57" t="e">
        <f>IF(#REF!=BB$2,IF(#REF!=$AA$2,#REF!*plat_invest)) + IF(#REF!=BB$2,IF(#REF!=$AA$2,#REF!*plat_invest)) + IF(#REF!=BB$2,IF(#REF!=$AA$2,#REF!*plat_invest))</f>
        <v>#REF!</v>
      </c>
      <c r="BC35" s="57" t="e">
        <f>IF(#REF!=BC$2,IF(#REF!=$AA$2,#REF!*lumber_invest)) + IF(#REF!=BC$2,IF(#REF!=$AA$2,#REF!*lumber_invest)) + IF(#REF!=BC$2,IF(#REF!=$AA$2,#REF!*lumber_invest))</f>
        <v>#REF!</v>
      </c>
      <c r="BD35" s="57" t="e">
        <f>IF(#REF!=BD$2,IF(#REF!=$AA$2,#REF!*ore_invest)) + IF(#REF!=BD$2,IF(#REF!=$AA$2,#REF!*ore_invest)) + IF(#REF!=BD$2,IF(#REF!=$AA$2,#REF!*ore_invest))</f>
        <v>#REF!</v>
      </c>
      <c r="BE35" s="57" t="e">
        <f>IF(#REF!=BE$2,IF(#REF!=$AA$2,#REF!*gem_invest)) + IF(#REF!=BE$2,IF(#REF!=$AA$2,#REF!*gem_invest)) + IF(#REF!=BE$2,IF(#REF!=$AA$2,#REF!*gem_invest))</f>
        <v>#REF!</v>
      </c>
      <c r="BF35" s="134"/>
      <c r="BG35" s="57" t="e">
        <f>IF(#REF!=BG$2,IF(#REF!=$AB$2,#REF!*plat_invest)) + IF(#REF!=BG$2,IF(#REF!=$AB$2,#REF!*plat_invest)) + IF(#REF!=BG$2,IF(#REF!=$AB$2,#REF!*plat_invest))</f>
        <v>#REF!</v>
      </c>
      <c r="BH35" s="57" t="e">
        <f>IF(#REF!=BH$2,IF(#REF!=$AB$2,#REF!*lumber_invest)) + IF(#REF!=BH$2,IF(#REF!=$AB$2,#REF!*lumber_invest)) + IF(#REF!=BH$2,IF(#REF!=$AB$2,#REF!*lumber_invest))</f>
        <v>#REF!</v>
      </c>
      <c r="BI35" s="57" t="e">
        <f>IF(#REF!=BI$2,IF(#REF!=$AB$2,#REF!*ore_invest)) + IF(#REF!=BI$2,IF(#REF!=$AB$2,#REF!*ore_invest)) + IF(#REF!=BI$2,IF(#REF!=$AB$2,#REF!*ore_invest))</f>
        <v>#REF!</v>
      </c>
      <c r="BJ35" s="57" t="e">
        <f>IF(#REF!=BJ$2,IF(#REF!=$AB$2,#REF!*gem_invest)) + IF(#REF!=BJ$2,IF(#REF!=$AB$2,#REF!*gem_invest)) + IF(#REF!=BJ$2,IF(#REF!=$AB$2,#REF!*gem_invest))</f>
        <v>#REF!</v>
      </c>
      <c r="BK35" s="134"/>
      <c r="BL35" s="57" t="e">
        <f>IF(#REF!=BL$2,IF(#REF!=$AC$2,#REF!*plat_invest)) + IF(#REF!=BL$2,IF(#REF!=$AC$2,#REF!*plat_invest)) + IF(#REF!=BL$2,IF(#REF!=$AC$2,#REF!*plat_invest))</f>
        <v>#REF!</v>
      </c>
      <c r="BM35" s="57" t="e">
        <f>IF(#REF!=BM$2,IF(#REF!=$AC$2,#REF!*lumber_invest)) + IF(#REF!=BM$2,IF(#REF!=$AC$2,#REF!*lumber_invest)) + IF(#REF!=BM$2,IF(#REF!=$AC$2,#REF!*lumber_invest))</f>
        <v>#REF!</v>
      </c>
      <c r="BN35" s="57" t="e">
        <f>IF(#REF!=BN$2,IF(#REF!=$AC$2,#REF!*ore_invest)) + IF(#REF!=BN$2,IF(#REF!=$AC$2,#REF!*ore_invest)) + IF(#REF!=BN$2,IF(#REF!=$AC$2,#REF!*ore_invest))</f>
        <v>#REF!</v>
      </c>
      <c r="BO35" s="57" t="e">
        <f>IF(#REF!=BO$2,IF(#REF!=$AC$2,#REF!*gem_invest)) + IF(#REF!=BO$2,IF(#REF!=$AC$2,#REF!*gem_invest)) + IF(#REF!=BO$2,IF(#REF!=$AC$2,#REF!*gem_invest))</f>
        <v>#REF!</v>
      </c>
      <c r="BP35" s="134"/>
      <c r="BQ35" s="57" t="e">
        <f>IF(#REF!=BQ$2,IF(#REF!=$AD$2,#REF!*plat_invest)) + IF(#REF!=BQ$2,IF(#REF!=$AD$2,#REF!*plat_invest)) + IF(#REF!=BQ$2,IF(#REF!=$AD$2,#REF!*plat_invest))</f>
        <v>#REF!</v>
      </c>
      <c r="BR35" s="57" t="e">
        <f>IF(#REF!=BR$2,IF(#REF!=$AD$2,#REF!*lumber_invest)) + IF(#REF!=BR$2,IF(#REF!=$AD$2,#REF!*lumber_invest)) + IF(#REF!=BR$2,IF(#REF!=$AD$2,#REF!*lumber_invest))</f>
        <v>#REF!</v>
      </c>
      <c r="BS35" s="57" t="e">
        <f>IF(#REF!=BS$2,IF(#REF!=$AD$2,#REF!*ore_invest)) + IF(#REF!=BS$2,IF(#REF!=$AD$2,#REF!*ore_invest)) + IF(#REF!=BS$2,IF(#REF!=$AD$2,#REF!*ore_invest))</f>
        <v>#REF!</v>
      </c>
      <c r="BT35" s="57" t="e">
        <f>IF(#REF!=BT$2,IF(#REF!=$AD$2,#REF!*gem_invest)) + IF(#REF!=BT$2,IF(#REF!=$AD$2,#REF!*gem_invest)) + IF(#REF!=BT$2,IF(#REF!=$AD$2,#REF!*gem_invest))</f>
        <v>#REF!</v>
      </c>
      <c r="BU35" s="134"/>
      <c r="BV35" s="3" t="e">
        <f>OR(#REF!,#REF!,#REF!,#REF!,#REF!,#REF!,#REF!,#REF!,#REF!)</f>
        <v>#REF!</v>
      </c>
      <c r="BW35" s="61" t="e">
        <f>#REF!</f>
        <v>#REF!</v>
      </c>
      <c r="BX35" s="130"/>
      <c r="BY35" s="284" t="e">
        <f ca="1">OFFSET(#REF!,-1,0)+1/24</f>
        <v>#REF!</v>
      </c>
      <c r="BZ35" s="285" t="e">
        <f ca="1">OFFSET(#REF!,-1,0)+1/24</f>
        <v>#REF!</v>
      </c>
      <c r="CA35" s="57"/>
      <c r="CB35" s="283"/>
      <c r="CC35" s="283"/>
      <c r="CD35" s="3" t="s">
        <v>209</v>
      </c>
    </row>
    <row r="36" spans="1:82" x14ac:dyDescent="0.25">
      <c r="A36" s="206" t="e">
        <f>#REF!</f>
        <v>#REF!</v>
      </c>
      <c r="B36" s="134"/>
      <c r="C36" s="39" t="e">
        <f>#REF!</f>
        <v>#REF!</v>
      </c>
      <c r="D36" s="39" t="e">
        <f>#REF!</f>
        <v>#REF!</v>
      </c>
      <c r="E36" s="39" t="e">
        <f>#REF!</f>
        <v>#REF!</v>
      </c>
      <c r="F36" s="39" t="e">
        <f>#REF!</f>
        <v>#REF!</v>
      </c>
      <c r="G36" s="133"/>
      <c r="H36" s="39" t="e">
        <f>#REF!</f>
        <v>#REF!</v>
      </c>
      <c r="I36" s="132" t="e">
        <f>#REF!</f>
        <v>#REF!</v>
      </c>
      <c r="J36" s="132" t="e">
        <f>#REF!/#REF!</f>
        <v>#REF!</v>
      </c>
      <c r="K36" s="160" t="e">
        <f>#REF!</f>
        <v>#REF!</v>
      </c>
      <c r="L36" s="276" t="e">
        <f>#REF!</f>
        <v>#REF!</v>
      </c>
      <c r="M36" s="61">
        <f>IF(ISERROR(#REF!),0,#REF!*1)</f>
        <v>0</v>
      </c>
      <c r="N36" s="39" t="e">
        <f>#REF!</f>
        <v>#REF!</v>
      </c>
      <c r="O36" s="277" t="s">
        <v>4</v>
      </c>
      <c r="P36" s="278"/>
      <c r="Q36" s="277" t="s">
        <v>211</v>
      </c>
      <c r="R36" s="277" t="s">
        <v>7</v>
      </c>
      <c r="S36" s="278"/>
      <c r="T36" s="277" t="s">
        <v>211</v>
      </c>
      <c r="U36" s="277" t="s">
        <v>3</v>
      </c>
      <c r="V36" s="278"/>
      <c r="W36" s="277" t="s">
        <v>211</v>
      </c>
      <c r="X36" s="134"/>
      <c r="Y36" s="209" t="e">
        <f ca="1">science_cap*(1-EXP(-#REF!/(science_param*(OFFSET(#REF!,1,0)-OFFSET(#REF!,1,0)*20)+15000)))*(1+(mason_bonus*#REF!/#REF!))</f>
        <v>#REF!</v>
      </c>
      <c r="Z36" s="209" t="e">
        <f ca="1">keep_cap*(1-EXP(-#REF!/(keep_param*(OFFSET(#REF!,1,0)-OFFSET(#REF!,1,0)*20)+15000)))*(1+(mason_bonus*#REF!/#REF!))</f>
        <v>#REF!</v>
      </c>
      <c r="AA36" s="209" t="e">
        <f ca="1">harbor_towers_cap*(1-EXP(-#REF!/(towers_param*(OFFSET(#REF!,1,0)-OFFSET(#REF!,1,0)*20)+15000)))*(1+(mason_bonus*#REF!/#REF!))</f>
        <v>#REF!</v>
      </c>
      <c r="AB36" s="209" t="e">
        <f ca="1">walls_forges_cap*(1-EXP(-#REF!/(walls_forges_param*(OFFSET(#REF!,1,0)-OFFSET(#REF!,1,0)*20)+15000)))*(1+(mason_bonus*#REF!/#REF!))</f>
        <v>#REF!</v>
      </c>
      <c r="AC36" s="209" t="e">
        <f ca="1">walls_forges_cap*(1-EXP(-#REF!/(walls_forges_param*(OFFSET(#REF!,1,0)-OFFSET(#REF!,1,0)*20)+15000)))*(1+(mason_bonus*#REF!/#REF!))</f>
        <v>#REF!</v>
      </c>
      <c r="AD36" s="209" t="e">
        <f ca="1">harbor_towers_cap*(1-EXP(-#REF!/(harbor_towers_param*(OFFSET(#REF!,1,0)-OFFSET(#REF!,1,0)*20)+15000)))*(1+(mason_bonus*#REF!/#REF!))</f>
        <v>#REF!</v>
      </c>
      <c r="AE36" s="134"/>
      <c r="AF36" s="61" t="e">
        <f ca="1">(1+Overview!$I$28)*SUM(#REF!)+OFFSET(#REF!,-1,0)</f>
        <v>#REF!</v>
      </c>
      <c r="AG36" s="61" t="e">
        <f ca="1">(1+Overview!$I$28)*SUM(#REF!)+OFFSET(#REF!,-1,0)</f>
        <v>#REF!</v>
      </c>
      <c r="AH36" s="61" t="e">
        <f ca="1">(1+Overview!$I$28 + tech_7_1*#REF!)*SUM(#REF!)+OFFSET(#REF!,-1,0)</f>
        <v>#REF!</v>
      </c>
      <c r="AI36" s="61" t="e">
        <f ca="1">(1+Overview!$I$28)*SUM(#REF!)+OFFSET(#REF!,-1,0)</f>
        <v>#REF!</v>
      </c>
      <c r="AJ36" s="61" t="e">
        <f ca="1">(1+Overview!$I$28)*SUM(#REF!)+OFFSET(#REF!,-1,0)</f>
        <v>#REF!</v>
      </c>
      <c r="AK36" s="61" t="e">
        <f ca="1">(1+Overview!$I$28 + tech_7_1*#REF!)*SUM(#REF!)+OFFSET(#REF!,-1,0)</f>
        <v>#REF!</v>
      </c>
      <c r="AL36" s="134"/>
      <c r="AM36" s="57" t="e">
        <f>IF(AND(#REF!=AM$2,#REF!&lt;&gt;""),#REF!) + IF(AND(#REF!=AM$2,#REF!&lt;&gt;""),#REF!) + IF(AND(#REF!=AM$2,#REF!&lt;&gt;""),#REF!)</f>
        <v>#REF!</v>
      </c>
      <c r="AN36" s="57" t="e">
        <f>IF(AND(#REF!=AN$2,#REF!&lt;&gt;""),#REF!) + IF(AND(#REF!=AN$2,#REF!&lt;&gt;""),#REF!) + IF(AND(#REF!=AN$2,#REF!&lt;&gt;""),#REF!)</f>
        <v>#REF!</v>
      </c>
      <c r="AO36" s="57" t="e">
        <f>IF(AND(#REF!=AO$2,#REF!&lt;&gt;""),#REF!) + IF(AND(#REF!=AO$2,#REF!&lt;&gt;""),#REF!) + IF(AND(#REF!=AO$2,#REF!&lt;&gt;""),#REF!)</f>
        <v>#REF!</v>
      </c>
      <c r="AP36" s="57" t="e">
        <f>IF(AND(#REF!=AP$2,#REF!&lt;&gt;""),#REF!) + IF(AND(#REF!=AP$2,#REF!&lt;&gt;""),#REF!) + IF(AND(#REF!=AP$2,#REF!&lt;&gt;""),#REF!)</f>
        <v>#REF!</v>
      </c>
      <c r="AQ36" s="134"/>
      <c r="AR36" s="57" t="e">
        <f>IF(#REF!=AR$2,IF(#REF!=$Y$2,#REF!*plat_invest)) + IF(#REF!=AR$2,IF(#REF!=$Y$2,#REF!*plat_invest)) + IF(#REF!=AR$2,IF(#REF!=$Y$2,#REF!*plat_invest))</f>
        <v>#REF!</v>
      </c>
      <c r="AS36" s="57" t="e">
        <f>IF(#REF!=AS$2,IF(#REF!=$Y$2,#REF!*lumber_invest)) + IF(#REF!=AS$2,IF(#REF!=$Y$2,#REF!*lumber_invest)) + IF(#REF!=AS$2,IF(#REF!=$Y$2,#REF!*lumber_invest))</f>
        <v>#REF!</v>
      </c>
      <c r="AT36" s="57" t="e">
        <f>IF(#REF!=AT$2,IF(#REF!=$Y$2,#REF!*ore_invest)) + IF(#REF!=AT$2,IF(#REF!=$Y$2,#REF!*ore_invest)) + IF(#REF!=AT$2,IF(#REF!=$Y$2,#REF!*ore_invest))</f>
        <v>#REF!</v>
      </c>
      <c r="AU36" s="57" t="e">
        <f>IF(#REF!=AU$2,IF(#REF!=$Y$2,#REF!*gem_invest)) + IF(#REF!=AU$2,IF(#REF!=$Y$2,#REF!*gem_invest)) + IF(#REF!=AU$2,IF(#REF!=$Y$2,#REF!*gem_invest))</f>
        <v>#REF!</v>
      </c>
      <c r="AV36" s="134"/>
      <c r="AW36" s="57" t="e">
        <f>IF(#REF!=AW$2,IF(#REF!=$Z$2,#REF!*plat_invest)) + IF(#REF!=AW$2,IF(#REF!=$Z$2,#REF!*plat_invest)) + IF(#REF!=AW$2,IF(#REF!=$Z$2,#REF!*plat_invest))</f>
        <v>#REF!</v>
      </c>
      <c r="AX36" s="57" t="e">
        <f>IF(#REF!=AX$2,IF(#REF!=$Z$2,#REF!*lumber_invest)) + IF(#REF!=AX$2,IF(#REF!=$Z$2,#REF!*lumber_invest)) + IF(#REF!=AX$2,IF(#REF!=$Z$2,#REF!*lumber_invest))</f>
        <v>#REF!</v>
      </c>
      <c r="AY36" s="57" t="e">
        <f>IF(#REF!=AY$2,IF(#REF!=$Z$2,#REF!*ore_invest)) + IF(#REF!=AY$2,IF(#REF!=$Z$2,#REF!*ore_invest)) + IF(#REF!=AY$2,IF(#REF!=$Z$2,#REF!*ore_invest))</f>
        <v>#REF!</v>
      </c>
      <c r="AZ36" s="57" t="e">
        <f>IF(#REF!=AZ$2,IF(#REF!=$Z$2,#REF!*gem_invest)) + IF(#REF!=AZ$2,IF(#REF!=$Z$2,#REF!*gem_invest)) + IF(#REF!=AZ$2,IF(#REF!=$Z$2,#REF!*gem_invest))</f>
        <v>#REF!</v>
      </c>
      <c r="BA36" s="134"/>
      <c r="BB36" s="57" t="e">
        <f>IF(#REF!=BB$2,IF(#REF!=$AA$2,#REF!*plat_invest)) + IF(#REF!=BB$2,IF(#REF!=$AA$2,#REF!*plat_invest)) + IF(#REF!=BB$2,IF(#REF!=$AA$2,#REF!*plat_invest))</f>
        <v>#REF!</v>
      </c>
      <c r="BC36" s="57" t="e">
        <f>IF(#REF!=BC$2,IF(#REF!=$AA$2,#REF!*lumber_invest)) + IF(#REF!=BC$2,IF(#REF!=$AA$2,#REF!*lumber_invest)) + IF(#REF!=BC$2,IF(#REF!=$AA$2,#REF!*lumber_invest))</f>
        <v>#REF!</v>
      </c>
      <c r="BD36" s="57" t="e">
        <f>IF(#REF!=BD$2,IF(#REF!=$AA$2,#REF!*ore_invest)) + IF(#REF!=BD$2,IF(#REF!=$AA$2,#REF!*ore_invest)) + IF(#REF!=BD$2,IF(#REF!=$AA$2,#REF!*ore_invest))</f>
        <v>#REF!</v>
      </c>
      <c r="BE36" s="57" t="e">
        <f>IF(#REF!=BE$2,IF(#REF!=$AA$2,#REF!*gem_invest)) + IF(#REF!=BE$2,IF(#REF!=$AA$2,#REF!*gem_invest)) + IF(#REF!=BE$2,IF(#REF!=$AA$2,#REF!*gem_invest))</f>
        <v>#REF!</v>
      </c>
      <c r="BF36" s="134"/>
      <c r="BG36" s="57" t="e">
        <f>IF(#REF!=BG$2,IF(#REF!=$AB$2,#REF!*plat_invest)) + IF(#REF!=BG$2,IF(#REF!=$AB$2,#REF!*plat_invest)) + IF(#REF!=BG$2,IF(#REF!=$AB$2,#REF!*plat_invest))</f>
        <v>#REF!</v>
      </c>
      <c r="BH36" s="57" t="e">
        <f>IF(#REF!=BH$2,IF(#REF!=$AB$2,#REF!*lumber_invest)) + IF(#REF!=BH$2,IF(#REF!=$AB$2,#REF!*lumber_invest)) + IF(#REF!=BH$2,IF(#REF!=$AB$2,#REF!*lumber_invest))</f>
        <v>#REF!</v>
      </c>
      <c r="BI36" s="57" t="e">
        <f>IF(#REF!=BI$2,IF(#REF!=$AB$2,#REF!*ore_invest)) + IF(#REF!=BI$2,IF(#REF!=$AB$2,#REF!*ore_invest)) + IF(#REF!=BI$2,IF(#REF!=$AB$2,#REF!*ore_invest))</f>
        <v>#REF!</v>
      </c>
      <c r="BJ36" s="57" t="e">
        <f>IF(#REF!=BJ$2,IF(#REF!=$AB$2,#REF!*gem_invest)) + IF(#REF!=BJ$2,IF(#REF!=$AB$2,#REF!*gem_invest)) + IF(#REF!=BJ$2,IF(#REF!=$AB$2,#REF!*gem_invest))</f>
        <v>#REF!</v>
      </c>
      <c r="BK36" s="134"/>
      <c r="BL36" s="57" t="e">
        <f>IF(#REF!=BL$2,IF(#REF!=$AC$2,#REF!*plat_invest)) + IF(#REF!=BL$2,IF(#REF!=$AC$2,#REF!*plat_invest)) + IF(#REF!=BL$2,IF(#REF!=$AC$2,#REF!*plat_invest))</f>
        <v>#REF!</v>
      </c>
      <c r="BM36" s="57" t="e">
        <f>IF(#REF!=BM$2,IF(#REF!=$AC$2,#REF!*lumber_invest)) + IF(#REF!=BM$2,IF(#REF!=$AC$2,#REF!*lumber_invest)) + IF(#REF!=BM$2,IF(#REF!=$AC$2,#REF!*lumber_invest))</f>
        <v>#REF!</v>
      </c>
      <c r="BN36" s="57" t="e">
        <f>IF(#REF!=BN$2,IF(#REF!=$AC$2,#REF!*ore_invest)) + IF(#REF!=BN$2,IF(#REF!=$AC$2,#REF!*ore_invest)) + IF(#REF!=BN$2,IF(#REF!=$AC$2,#REF!*ore_invest))</f>
        <v>#REF!</v>
      </c>
      <c r="BO36" s="57" t="e">
        <f>IF(#REF!=BO$2,IF(#REF!=$AC$2,#REF!*gem_invest)) + IF(#REF!=BO$2,IF(#REF!=$AC$2,#REF!*gem_invest)) + IF(#REF!=BO$2,IF(#REF!=$AC$2,#REF!*gem_invest))</f>
        <v>#REF!</v>
      </c>
      <c r="BP36" s="134"/>
      <c r="BQ36" s="57" t="e">
        <f>IF(#REF!=BQ$2,IF(#REF!=$AD$2,#REF!*plat_invest)) + IF(#REF!=BQ$2,IF(#REF!=$AD$2,#REF!*plat_invest)) + IF(#REF!=BQ$2,IF(#REF!=$AD$2,#REF!*plat_invest))</f>
        <v>#REF!</v>
      </c>
      <c r="BR36" s="57" t="e">
        <f>IF(#REF!=BR$2,IF(#REF!=$AD$2,#REF!*lumber_invest)) + IF(#REF!=BR$2,IF(#REF!=$AD$2,#REF!*lumber_invest)) + IF(#REF!=BR$2,IF(#REF!=$AD$2,#REF!*lumber_invest))</f>
        <v>#REF!</v>
      </c>
      <c r="BS36" s="57" t="e">
        <f>IF(#REF!=BS$2,IF(#REF!=$AD$2,#REF!*ore_invest)) + IF(#REF!=BS$2,IF(#REF!=$AD$2,#REF!*ore_invest)) + IF(#REF!=BS$2,IF(#REF!=$AD$2,#REF!*ore_invest))</f>
        <v>#REF!</v>
      </c>
      <c r="BT36" s="57" t="e">
        <f>IF(#REF!=BT$2,IF(#REF!=$AD$2,#REF!*gem_invest)) + IF(#REF!=BT$2,IF(#REF!=$AD$2,#REF!*gem_invest)) + IF(#REF!=BT$2,IF(#REF!=$AD$2,#REF!*gem_invest))</f>
        <v>#REF!</v>
      </c>
      <c r="BU36" s="134"/>
      <c r="BV36" s="3" t="e">
        <f>OR(#REF!,#REF!,#REF!,#REF!,#REF!,#REF!,#REF!,#REF!,#REF!)</f>
        <v>#REF!</v>
      </c>
      <c r="BW36" s="61" t="e">
        <f>#REF!</f>
        <v>#REF!</v>
      </c>
      <c r="BX36" s="130"/>
      <c r="BY36" s="284" t="e">
        <f ca="1">OFFSET(#REF!,-1,0)+1/24</f>
        <v>#REF!</v>
      </c>
      <c r="BZ36" s="285" t="e">
        <f ca="1">OFFSET(#REF!,-1,0)+1/24</f>
        <v>#REF!</v>
      </c>
      <c r="CA36" s="57"/>
      <c r="CB36" s="283"/>
      <c r="CC36" s="283"/>
      <c r="CD36" s="3" t="s">
        <v>211</v>
      </c>
    </row>
    <row r="37" spans="1:82" x14ac:dyDescent="0.25">
      <c r="A37" s="206" t="e">
        <f>#REF!</f>
        <v>#REF!</v>
      </c>
      <c r="B37" s="134"/>
      <c r="C37" s="39" t="e">
        <f>#REF!</f>
        <v>#REF!</v>
      </c>
      <c r="D37" s="39" t="e">
        <f>#REF!</f>
        <v>#REF!</v>
      </c>
      <c r="E37" s="39" t="e">
        <f>#REF!</f>
        <v>#REF!</v>
      </c>
      <c r="F37" s="39" t="e">
        <f>#REF!</f>
        <v>#REF!</v>
      </c>
      <c r="G37" s="133"/>
      <c r="H37" s="39" t="e">
        <f>#REF!</f>
        <v>#REF!</v>
      </c>
      <c r="I37" s="132" t="e">
        <f>#REF!</f>
        <v>#REF!</v>
      </c>
      <c r="J37" s="132" t="e">
        <f>#REF!/#REF!</f>
        <v>#REF!</v>
      </c>
      <c r="K37" s="160" t="e">
        <f>#REF!</f>
        <v>#REF!</v>
      </c>
      <c r="L37" s="276" t="e">
        <f>#REF!</f>
        <v>#REF!</v>
      </c>
      <c r="M37" s="61">
        <f>IF(ISERROR(#REF!),0,#REF!*1)</f>
        <v>0</v>
      </c>
      <c r="N37" s="39" t="e">
        <f>#REF!</f>
        <v>#REF!</v>
      </c>
      <c r="O37" s="277" t="s">
        <v>4</v>
      </c>
      <c r="P37" s="278"/>
      <c r="Q37" s="277" t="s">
        <v>211</v>
      </c>
      <c r="R37" s="277" t="s">
        <v>7</v>
      </c>
      <c r="S37" s="278"/>
      <c r="T37" s="277" t="s">
        <v>211</v>
      </c>
      <c r="U37" s="277" t="s">
        <v>3</v>
      </c>
      <c r="V37" s="278"/>
      <c r="W37" s="277" t="s">
        <v>211</v>
      </c>
      <c r="X37" s="134"/>
      <c r="Y37" s="209" t="e">
        <f ca="1">science_cap*(1-EXP(-#REF!/(science_param*(OFFSET(#REF!,1,0)-OFFSET(#REF!,1,0)*20)+15000)))*(1+(mason_bonus*#REF!/#REF!))</f>
        <v>#REF!</v>
      </c>
      <c r="Z37" s="209" t="e">
        <f ca="1">keep_cap*(1-EXP(-#REF!/(keep_param*(OFFSET(#REF!,1,0)-OFFSET(#REF!,1,0)*20)+15000)))*(1+(mason_bonus*#REF!/#REF!))</f>
        <v>#REF!</v>
      </c>
      <c r="AA37" s="209" t="e">
        <f ca="1">harbor_towers_cap*(1-EXP(-#REF!/(towers_param*(OFFSET(#REF!,1,0)-OFFSET(#REF!,1,0)*20)+15000)))*(1+(mason_bonus*#REF!/#REF!))</f>
        <v>#REF!</v>
      </c>
      <c r="AB37" s="209" t="e">
        <f ca="1">walls_forges_cap*(1-EXP(-#REF!/(walls_forges_param*(OFFSET(#REF!,1,0)-OFFSET(#REF!,1,0)*20)+15000)))*(1+(mason_bonus*#REF!/#REF!))</f>
        <v>#REF!</v>
      </c>
      <c r="AC37" s="209" t="e">
        <f ca="1">walls_forges_cap*(1-EXP(-#REF!/(walls_forges_param*(OFFSET(#REF!,1,0)-OFFSET(#REF!,1,0)*20)+15000)))*(1+(mason_bonus*#REF!/#REF!))</f>
        <v>#REF!</v>
      </c>
      <c r="AD37" s="209" t="e">
        <f ca="1">harbor_towers_cap*(1-EXP(-#REF!/(harbor_towers_param*(OFFSET(#REF!,1,0)-OFFSET(#REF!,1,0)*20)+15000)))*(1+(mason_bonus*#REF!/#REF!))</f>
        <v>#REF!</v>
      </c>
      <c r="AE37" s="134"/>
      <c r="AF37" s="61" t="e">
        <f ca="1">(1+Overview!$I$28)*SUM(#REF!)+OFFSET(#REF!,-1,0)</f>
        <v>#REF!</v>
      </c>
      <c r="AG37" s="61" t="e">
        <f ca="1">(1+Overview!$I$28)*SUM(#REF!)+OFFSET(#REF!,-1,0)</f>
        <v>#REF!</v>
      </c>
      <c r="AH37" s="61" t="e">
        <f ca="1">(1+Overview!$I$28 + tech_7_1*#REF!)*SUM(#REF!)+OFFSET(#REF!,-1,0)</f>
        <v>#REF!</v>
      </c>
      <c r="AI37" s="61" t="e">
        <f ca="1">(1+Overview!$I$28)*SUM(#REF!)+OFFSET(#REF!,-1,0)</f>
        <v>#REF!</v>
      </c>
      <c r="AJ37" s="61" t="e">
        <f ca="1">(1+Overview!$I$28)*SUM(#REF!)+OFFSET(#REF!,-1,0)</f>
        <v>#REF!</v>
      </c>
      <c r="AK37" s="61" t="e">
        <f ca="1">(1+Overview!$I$28 + tech_7_1*#REF!)*SUM(#REF!)+OFFSET(#REF!,-1,0)</f>
        <v>#REF!</v>
      </c>
      <c r="AL37" s="134"/>
      <c r="AM37" s="57" t="e">
        <f>IF(AND(#REF!=AM$2,#REF!&lt;&gt;""),#REF!) + IF(AND(#REF!=AM$2,#REF!&lt;&gt;""),#REF!) + IF(AND(#REF!=AM$2,#REF!&lt;&gt;""),#REF!)</f>
        <v>#REF!</v>
      </c>
      <c r="AN37" s="57" t="e">
        <f>IF(AND(#REF!=AN$2,#REF!&lt;&gt;""),#REF!) + IF(AND(#REF!=AN$2,#REF!&lt;&gt;""),#REF!) + IF(AND(#REF!=AN$2,#REF!&lt;&gt;""),#REF!)</f>
        <v>#REF!</v>
      </c>
      <c r="AO37" s="57" t="e">
        <f>IF(AND(#REF!=AO$2,#REF!&lt;&gt;""),#REF!) + IF(AND(#REF!=AO$2,#REF!&lt;&gt;""),#REF!) + IF(AND(#REF!=AO$2,#REF!&lt;&gt;""),#REF!)</f>
        <v>#REF!</v>
      </c>
      <c r="AP37" s="57" t="e">
        <f>IF(AND(#REF!=AP$2,#REF!&lt;&gt;""),#REF!) + IF(AND(#REF!=AP$2,#REF!&lt;&gt;""),#REF!) + IF(AND(#REF!=AP$2,#REF!&lt;&gt;""),#REF!)</f>
        <v>#REF!</v>
      </c>
      <c r="AQ37" s="134"/>
      <c r="AR37" s="57" t="e">
        <f>IF(#REF!=AR$2,IF(#REF!=$Y$2,#REF!*plat_invest)) + IF(#REF!=AR$2,IF(#REF!=$Y$2,#REF!*plat_invest)) + IF(#REF!=AR$2,IF(#REF!=$Y$2,#REF!*plat_invest))</f>
        <v>#REF!</v>
      </c>
      <c r="AS37" s="57" t="e">
        <f>IF(#REF!=AS$2,IF(#REF!=$Y$2,#REF!*lumber_invest)) + IF(#REF!=AS$2,IF(#REF!=$Y$2,#REF!*lumber_invest)) + IF(#REF!=AS$2,IF(#REF!=$Y$2,#REF!*lumber_invest))</f>
        <v>#REF!</v>
      </c>
      <c r="AT37" s="57" t="e">
        <f>IF(#REF!=AT$2,IF(#REF!=$Y$2,#REF!*ore_invest)) + IF(#REF!=AT$2,IF(#REF!=$Y$2,#REF!*ore_invest)) + IF(#REF!=AT$2,IF(#REF!=$Y$2,#REF!*ore_invest))</f>
        <v>#REF!</v>
      </c>
      <c r="AU37" s="57" t="e">
        <f>IF(#REF!=AU$2,IF(#REF!=$Y$2,#REF!*gem_invest)) + IF(#REF!=AU$2,IF(#REF!=$Y$2,#REF!*gem_invest)) + IF(#REF!=AU$2,IF(#REF!=$Y$2,#REF!*gem_invest))</f>
        <v>#REF!</v>
      </c>
      <c r="AV37" s="134"/>
      <c r="AW37" s="57" t="e">
        <f>IF(#REF!=AW$2,IF(#REF!=$Z$2,#REF!*plat_invest)) + IF(#REF!=AW$2,IF(#REF!=$Z$2,#REF!*plat_invest)) + IF(#REF!=AW$2,IF(#REF!=$Z$2,#REF!*plat_invest))</f>
        <v>#REF!</v>
      </c>
      <c r="AX37" s="57" t="e">
        <f>IF(#REF!=AX$2,IF(#REF!=$Z$2,#REF!*lumber_invest)) + IF(#REF!=AX$2,IF(#REF!=$Z$2,#REF!*lumber_invest)) + IF(#REF!=AX$2,IF(#REF!=$Z$2,#REF!*lumber_invest))</f>
        <v>#REF!</v>
      </c>
      <c r="AY37" s="57" t="e">
        <f>IF(#REF!=AY$2,IF(#REF!=$Z$2,#REF!*ore_invest)) + IF(#REF!=AY$2,IF(#REF!=$Z$2,#REF!*ore_invest)) + IF(#REF!=AY$2,IF(#REF!=$Z$2,#REF!*ore_invest))</f>
        <v>#REF!</v>
      </c>
      <c r="AZ37" s="57" t="e">
        <f>IF(#REF!=AZ$2,IF(#REF!=$Z$2,#REF!*gem_invest)) + IF(#REF!=AZ$2,IF(#REF!=$Z$2,#REF!*gem_invest)) + IF(#REF!=AZ$2,IF(#REF!=$Z$2,#REF!*gem_invest))</f>
        <v>#REF!</v>
      </c>
      <c r="BA37" s="134"/>
      <c r="BB37" s="57" t="e">
        <f>IF(#REF!=BB$2,IF(#REF!=$AA$2,#REF!*plat_invest)) + IF(#REF!=BB$2,IF(#REF!=$AA$2,#REF!*plat_invest)) + IF(#REF!=BB$2,IF(#REF!=$AA$2,#REF!*plat_invest))</f>
        <v>#REF!</v>
      </c>
      <c r="BC37" s="57" t="e">
        <f>IF(#REF!=BC$2,IF(#REF!=$AA$2,#REF!*lumber_invest)) + IF(#REF!=BC$2,IF(#REF!=$AA$2,#REF!*lumber_invest)) + IF(#REF!=BC$2,IF(#REF!=$AA$2,#REF!*lumber_invest))</f>
        <v>#REF!</v>
      </c>
      <c r="BD37" s="57" t="e">
        <f>IF(#REF!=BD$2,IF(#REF!=$AA$2,#REF!*ore_invest)) + IF(#REF!=BD$2,IF(#REF!=$AA$2,#REF!*ore_invest)) + IF(#REF!=BD$2,IF(#REF!=$AA$2,#REF!*ore_invest))</f>
        <v>#REF!</v>
      </c>
      <c r="BE37" s="57" t="e">
        <f>IF(#REF!=BE$2,IF(#REF!=$AA$2,#REF!*gem_invest)) + IF(#REF!=BE$2,IF(#REF!=$AA$2,#REF!*gem_invest)) + IF(#REF!=BE$2,IF(#REF!=$AA$2,#REF!*gem_invest))</f>
        <v>#REF!</v>
      </c>
      <c r="BF37" s="134"/>
      <c r="BG37" s="57" t="e">
        <f>IF(#REF!=BG$2,IF(#REF!=$AB$2,#REF!*plat_invest)) + IF(#REF!=BG$2,IF(#REF!=$AB$2,#REF!*plat_invest)) + IF(#REF!=BG$2,IF(#REF!=$AB$2,#REF!*plat_invest))</f>
        <v>#REF!</v>
      </c>
      <c r="BH37" s="57" t="e">
        <f>IF(#REF!=BH$2,IF(#REF!=$AB$2,#REF!*lumber_invest)) + IF(#REF!=BH$2,IF(#REF!=$AB$2,#REF!*lumber_invest)) + IF(#REF!=BH$2,IF(#REF!=$AB$2,#REF!*lumber_invest))</f>
        <v>#REF!</v>
      </c>
      <c r="BI37" s="57" t="e">
        <f>IF(#REF!=BI$2,IF(#REF!=$AB$2,#REF!*ore_invest)) + IF(#REF!=BI$2,IF(#REF!=$AB$2,#REF!*ore_invest)) + IF(#REF!=BI$2,IF(#REF!=$AB$2,#REF!*ore_invest))</f>
        <v>#REF!</v>
      </c>
      <c r="BJ37" s="57" t="e">
        <f>IF(#REF!=BJ$2,IF(#REF!=$AB$2,#REF!*gem_invest)) + IF(#REF!=BJ$2,IF(#REF!=$AB$2,#REF!*gem_invest)) + IF(#REF!=BJ$2,IF(#REF!=$AB$2,#REF!*gem_invest))</f>
        <v>#REF!</v>
      </c>
      <c r="BK37" s="134"/>
      <c r="BL37" s="57" t="e">
        <f>IF(#REF!=BL$2,IF(#REF!=$AC$2,#REF!*plat_invest)) + IF(#REF!=BL$2,IF(#REF!=$AC$2,#REF!*plat_invest)) + IF(#REF!=BL$2,IF(#REF!=$AC$2,#REF!*plat_invest))</f>
        <v>#REF!</v>
      </c>
      <c r="BM37" s="57" t="e">
        <f>IF(#REF!=BM$2,IF(#REF!=$AC$2,#REF!*lumber_invest)) + IF(#REF!=BM$2,IF(#REF!=$AC$2,#REF!*lumber_invest)) + IF(#REF!=BM$2,IF(#REF!=$AC$2,#REF!*lumber_invest))</f>
        <v>#REF!</v>
      </c>
      <c r="BN37" s="57" t="e">
        <f>IF(#REF!=BN$2,IF(#REF!=$AC$2,#REF!*ore_invest)) + IF(#REF!=BN$2,IF(#REF!=$AC$2,#REF!*ore_invest)) + IF(#REF!=BN$2,IF(#REF!=$AC$2,#REF!*ore_invest))</f>
        <v>#REF!</v>
      </c>
      <c r="BO37" s="57" t="e">
        <f>IF(#REF!=BO$2,IF(#REF!=$AC$2,#REF!*gem_invest)) + IF(#REF!=BO$2,IF(#REF!=$AC$2,#REF!*gem_invest)) + IF(#REF!=BO$2,IF(#REF!=$AC$2,#REF!*gem_invest))</f>
        <v>#REF!</v>
      </c>
      <c r="BP37" s="134"/>
      <c r="BQ37" s="57" t="e">
        <f>IF(#REF!=BQ$2,IF(#REF!=$AD$2,#REF!*plat_invest)) + IF(#REF!=BQ$2,IF(#REF!=$AD$2,#REF!*plat_invest)) + IF(#REF!=BQ$2,IF(#REF!=$AD$2,#REF!*plat_invest))</f>
        <v>#REF!</v>
      </c>
      <c r="BR37" s="57" t="e">
        <f>IF(#REF!=BR$2,IF(#REF!=$AD$2,#REF!*lumber_invest)) + IF(#REF!=BR$2,IF(#REF!=$AD$2,#REF!*lumber_invest)) + IF(#REF!=BR$2,IF(#REF!=$AD$2,#REF!*lumber_invest))</f>
        <v>#REF!</v>
      </c>
      <c r="BS37" s="57" t="e">
        <f>IF(#REF!=BS$2,IF(#REF!=$AD$2,#REF!*ore_invest)) + IF(#REF!=BS$2,IF(#REF!=$AD$2,#REF!*ore_invest)) + IF(#REF!=BS$2,IF(#REF!=$AD$2,#REF!*ore_invest))</f>
        <v>#REF!</v>
      </c>
      <c r="BT37" s="57" t="e">
        <f>IF(#REF!=BT$2,IF(#REF!=$AD$2,#REF!*gem_invest)) + IF(#REF!=BT$2,IF(#REF!=$AD$2,#REF!*gem_invest)) + IF(#REF!=BT$2,IF(#REF!=$AD$2,#REF!*gem_invest))</f>
        <v>#REF!</v>
      </c>
      <c r="BU37" s="134"/>
      <c r="BV37" s="3" t="e">
        <f>OR(#REF!,#REF!,#REF!,#REF!,#REF!,#REF!,#REF!,#REF!,#REF!)</f>
        <v>#REF!</v>
      </c>
      <c r="BW37" s="61" t="e">
        <f>#REF!</f>
        <v>#REF!</v>
      </c>
      <c r="BX37" s="130"/>
      <c r="BY37" s="284" t="e">
        <f ca="1">OFFSET(#REF!,-1,0)+1/24</f>
        <v>#REF!</v>
      </c>
      <c r="BZ37" s="285" t="e">
        <f ca="1">OFFSET(#REF!,-1,0)+1/24</f>
        <v>#REF!</v>
      </c>
      <c r="CA37" s="57"/>
      <c r="CB37" s="283"/>
      <c r="CC37" s="283"/>
      <c r="CD37" s="3" t="s">
        <v>1128</v>
      </c>
    </row>
    <row r="38" spans="1:82" x14ac:dyDescent="0.25">
      <c r="A38" s="206" t="e">
        <f>#REF!</f>
        <v>#REF!</v>
      </c>
      <c r="B38" s="134"/>
      <c r="C38" s="39" t="e">
        <f>#REF!</f>
        <v>#REF!</v>
      </c>
      <c r="D38" s="39" t="e">
        <f>#REF!</f>
        <v>#REF!</v>
      </c>
      <c r="E38" s="39" t="e">
        <f>#REF!</f>
        <v>#REF!</v>
      </c>
      <c r="F38" s="39" t="e">
        <f>#REF!</f>
        <v>#REF!</v>
      </c>
      <c r="G38" s="133"/>
      <c r="H38" s="39" t="e">
        <f>#REF!</f>
        <v>#REF!</v>
      </c>
      <c r="I38" s="132" t="e">
        <f>#REF!</f>
        <v>#REF!</v>
      </c>
      <c r="J38" s="132" t="e">
        <f>#REF!/#REF!</f>
        <v>#REF!</v>
      </c>
      <c r="K38" s="160" t="e">
        <f>#REF!</f>
        <v>#REF!</v>
      </c>
      <c r="L38" s="276" t="e">
        <f>#REF!</f>
        <v>#REF!</v>
      </c>
      <c r="M38" s="61">
        <f>IF(ISERROR(#REF!),0,#REF!*1)</f>
        <v>0</v>
      </c>
      <c r="N38" s="39" t="e">
        <f>#REF!</f>
        <v>#REF!</v>
      </c>
      <c r="O38" s="277" t="s">
        <v>4</v>
      </c>
      <c r="P38" s="278"/>
      <c r="Q38" s="277" t="s">
        <v>211</v>
      </c>
      <c r="R38" s="277" t="s">
        <v>7</v>
      </c>
      <c r="S38" s="278"/>
      <c r="T38" s="277" t="s">
        <v>211</v>
      </c>
      <c r="U38" s="277" t="s">
        <v>3</v>
      </c>
      <c r="V38" s="278"/>
      <c r="W38" s="277" t="s">
        <v>211</v>
      </c>
      <c r="X38" s="134"/>
      <c r="Y38" s="209" t="e">
        <f ca="1">science_cap*(1-EXP(-#REF!/(science_param*(OFFSET(#REF!,1,0)-OFFSET(#REF!,1,0)*20)+15000)))*(1+(mason_bonus*#REF!/#REF!))</f>
        <v>#REF!</v>
      </c>
      <c r="Z38" s="209" t="e">
        <f ca="1">keep_cap*(1-EXP(-#REF!/(keep_param*(OFFSET(#REF!,1,0)-OFFSET(#REF!,1,0)*20)+15000)))*(1+(mason_bonus*#REF!/#REF!))</f>
        <v>#REF!</v>
      </c>
      <c r="AA38" s="209" t="e">
        <f ca="1">harbor_towers_cap*(1-EXP(-#REF!/(towers_param*(OFFSET(#REF!,1,0)-OFFSET(#REF!,1,0)*20)+15000)))*(1+(mason_bonus*#REF!/#REF!))</f>
        <v>#REF!</v>
      </c>
      <c r="AB38" s="209" t="e">
        <f ca="1">walls_forges_cap*(1-EXP(-#REF!/(walls_forges_param*(OFFSET(#REF!,1,0)-OFFSET(#REF!,1,0)*20)+15000)))*(1+(mason_bonus*#REF!/#REF!))</f>
        <v>#REF!</v>
      </c>
      <c r="AC38" s="209" t="e">
        <f ca="1">walls_forges_cap*(1-EXP(-#REF!/(walls_forges_param*(OFFSET(#REF!,1,0)-OFFSET(#REF!,1,0)*20)+15000)))*(1+(mason_bonus*#REF!/#REF!))</f>
        <v>#REF!</v>
      </c>
      <c r="AD38" s="209" t="e">
        <f ca="1">harbor_towers_cap*(1-EXP(-#REF!/(harbor_towers_param*(OFFSET(#REF!,1,0)-OFFSET(#REF!,1,0)*20)+15000)))*(1+(mason_bonus*#REF!/#REF!))</f>
        <v>#REF!</v>
      </c>
      <c r="AE38" s="134"/>
      <c r="AF38" s="61" t="e">
        <f ca="1">(1+Overview!$I$28)*SUM(#REF!)+OFFSET(#REF!,-1,0)</f>
        <v>#REF!</v>
      </c>
      <c r="AG38" s="61" t="e">
        <f ca="1">(1+Overview!$I$28)*SUM(#REF!)+OFFSET(#REF!,-1,0)</f>
        <v>#REF!</v>
      </c>
      <c r="AH38" s="61" t="e">
        <f ca="1">(1+Overview!$I$28 + tech_7_1*#REF!)*SUM(#REF!)+OFFSET(#REF!,-1,0)</f>
        <v>#REF!</v>
      </c>
      <c r="AI38" s="61" t="e">
        <f ca="1">(1+Overview!$I$28)*SUM(#REF!)+OFFSET(#REF!,-1,0)</f>
        <v>#REF!</v>
      </c>
      <c r="AJ38" s="61" t="e">
        <f ca="1">(1+Overview!$I$28)*SUM(#REF!)+OFFSET(#REF!,-1,0)</f>
        <v>#REF!</v>
      </c>
      <c r="AK38" s="61" t="e">
        <f ca="1">(1+Overview!$I$28 + tech_7_1*#REF!)*SUM(#REF!)+OFFSET(#REF!,-1,0)</f>
        <v>#REF!</v>
      </c>
      <c r="AL38" s="134"/>
      <c r="AM38" s="57" t="e">
        <f>IF(AND(#REF!=AM$2,#REF!&lt;&gt;""),#REF!) + IF(AND(#REF!=AM$2,#REF!&lt;&gt;""),#REF!) + IF(AND(#REF!=AM$2,#REF!&lt;&gt;""),#REF!)</f>
        <v>#REF!</v>
      </c>
      <c r="AN38" s="57" t="e">
        <f>IF(AND(#REF!=AN$2,#REF!&lt;&gt;""),#REF!) + IF(AND(#REF!=AN$2,#REF!&lt;&gt;""),#REF!) + IF(AND(#REF!=AN$2,#REF!&lt;&gt;""),#REF!)</f>
        <v>#REF!</v>
      </c>
      <c r="AO38" s="57" t="e">
        <f>IF(AND(#REF!=AO$2,#REF!&lt;&gt;""),#REF!) + IF(AND(#REF!=AO$2,#REF!&lt;&gt;""),#REF!) + IF(AND(#REF!=AO$2,#REF!&lt;&gt;""),#REF!)</f>
        <v>#REF!</v>
      </c>
      <c r="AP38" s="57" t="e">
        <f>IF(AND(#REF!=AP$2,#REF!&lt;&gt;""),#REF!) + IF(AND(#REF!=AP$2,#REF!&lt;&gt;""),#REF!) + IF(AND(#REF!=AP$2,#REF!&lt;&gt;""),#REF!)</f>
        <v>#REF!</v>
      </c>
      <c r="AQ38" s="134"/>
      <c r="AR38" s="57" t="e">
        <f>IF(#REF!=AR$2,IF(#REF!=$Y$2,#REF!*plat_invest)) + IF(#REF!=AR$2,IF(#REF!=$Y$2,#REF!*plat_invest)) + IF(#REF!=AR$2,IF(#REF!=$Y$2,#REF!*plat_invest))</f>
        <v>#REF!</v>
      </c>
      <c r="AS38" s="57" t="e">
        <f>IF(#REF!=AS$2,IF(#REF!=$Y$2,#REF!*lumber_invest)) + IF(#REF!=AS$2,IF(#REF!=$Y$2,#REF!*lumber_invest)) + IF(#REF!=AS$2,IF(#REF!=$Y$2,#REF!*lumber_invest))</f>
        <v>#REF!</v>
      </c>
      <c r="AT38" s="57" t="e">
        <f>IF(#REF!=AT$2,IF(#REF!=$Y$2,#REF!*ore_invest)) + IF(#REF!=AT$2,IF(#REF!=$Y$2,#REF!*ore_invest)) + IF(#REF!=AT$2,IF(#REF!=$Y$2,#REF!*ore_invest))</f>
        <v>#REF!</v>
      </c>
      <c r="AU38" s="57" t="e">
        <f>IF(#REF!=AU$2,IF(#REF!=$Y$2,#REF!*gem_invest)) + IF(#REF!=AU$2,IF(#REF!=$Y$2,#REF!*gem_invest)) + IF(#REF!=AU$2,IF(#REF!=$Y$2,#REF!*gem_invest))</f>
        <v>#REF!</v>
      </c>
      <c r="AV38" s="134"/>
      <c r="AW38" s="57" t="e">
        <f>IF(#REF!=AW$2,IF(#REF!=$Z$2,#REF!*plat_invest)) + IF(#REF!=AW$2,IF(#REF!=$Z$2,#REF!*plat_invest)) + IF(#REF!=AW$2,IF(#REF!=$Z$2,#REF!*plat_invest))</f>
        <v>#REF!</v>
      </c>
      <c r="AX38" s="57" t="e">
        <f>IF(#REF!=AX$2,IF(#REF!=$Z$2,#REF!*lumber_invest)) + IF(#REF!=AX$2,IF(#REF!=$Z$2,#REF!*lumber_invest)) + IF(#REF!=AX$2,IF(#REF!=$Z$2,#REF!*lumber_invest))</f>
        <v>#REF!</v>
      </c>
      <c r="AY38" s="57" t="e">
        <f>IF(#REF!=AY$2,IF(#REF!=$Z$2,#REF!*ore_invest)) + IF(#REF!=AY$2,IF(#REF!=$Z$2,#REF!*ore_invest)) + IF(#REF!=AY$2,IF(#REF!=$Z$2,#REF!*ore_invest))</f>
        <v>#REF!</v>
      </c>
      <c r="AZ38" s="57" t="e">
        <f>IF(#REF!=AZ$2,IF(#REF!=$Z$2,#REF!*gem_invest)) + IF(#REF!=AZ$2,IF(#REF!=$Z$2,#REF!*gem_invest)) + IF(#REF!=AZ$2,IF(#REF!=$Z$2,#REF!*gem_invest))</f>
        <v>#REF!</v>
      </c>
      <c r="BA38" s="134"/>
      <c r="BB38" s="57" t="e">
        <f>IF(#REF!=BB$2,IF(#REF!=$AA$2,#REF!*plat_invest)) + IF(#REF!=BB$2,IF(#REF!=$AA$2,#REF!*plat_invest)) + IF(#REF!=BB$2,IF(#REF!=$AA$2,#REF!*plat_invest))</f>
        <v>#REF!</v>
      </c>
      <c r="BC38" s="57" t="e">
        <f>IF(#REF!=BC$2,IF(#REF!=$AA$2,#REF!*lumber_invest)) + IF(#REF!=BC$2,IF(#REF!=$AA$2,#REF!*lumber_invest)) + IF(#REF!=BC$2,IF(#REF!=$AA$2,#REF!*lumber_invest))</f>
        <v>#REF!</v>
      </c>
      <c r="BD38" s="57" t="e">
        <f>IF(#REF!=BD$2,IF(#REF!=$AA$2,#REF!*ore_invest)) + IF(#REF!=BD$2,IF(#REF!=$AA$2,#REF!*ore_invest)) + IF(#REF!=BD$2,IF(#REF!=$AA$2,#REF!*ore_invest))</f>
        <v>#REF!</v>
      </c>
      <c r="BE38" s="57" t="e">
        <f>IF(#REF!=BE$2,IF(#REF!=$AA$2,#REF!*gem_invest)) + IF(#REF!=BE$2,IF(#REF!=$AA$2,#REF!*gem_invest)) + IF(#REF!=BE$2,IF(#REF!=$AA$2,#REF!*gem_invest))</f>
        <v>#REF!</v>
      </c>
      <c r="BF38" s="134"/>
      <c r="BG38" s="57" t="e">
        <f>IF(#REF!=BG$2,IF(#REF!=$AB$2,#REF!*plat_invest)) + IF(#REF!=BG$2,IF(#REF!=$AB$2,#REF!*plat_invest)) + IF(#REF!=BG$2,IF(#REF!=$AB$2,#REF!*plat_invest))</f>
        <v>#REF!</v>
      </c>
      <c r="BH38" s="57" t="e">
        <f>IF(#REF!=BH$2,IF(#REF!=$AB$2,#REF!*lumber_invest)) + IF(#REF!=BH$2,IF(#REF!=$AB$2,#REF!*lumber_invest)) + IF(#REF!=BH$2,IF(#REF!=$AB$2,#REF!*lumber_invest))</f>
        <v>#REF!</v>
      </c>
      <c r="BI38" s="57" t="e">
        <f>IF(#REF!=BI$2,IF(#REF!=$AB$2,#REF!*ore_invest)) + IF(#REF!=BI$2,IF(#REF!=$AB$2,#REF!*ore_invest)) + IF(#REF!=BI$2,IF(#REF!=$AB$2,#REF!*ore_invest))</f>
        <v>#REF!</v>
      </c>
      <c r="BJ38" s="57" t="e">
        <f>IF(#REF!=BJ$2,IF(#REF!=$AB$2,#REF!*gem_invest)) + IF(#REF!=BJ$2,IF(#REF!=$AB$2,#REF!*gem_invest)) + IF(#REF!=BJ$2,IF(#REF!=$AB$2,#REF!*gem_invest))</f>
        <v>#REF!</v>
      </c>
      <c r="BK38" s="134"/>
      <c r="BL38" s="57" t="e">
        <f>IF(#REF!=BL$2,IF(#REF!=$AC$2,#REF!*plat_invest)) + IF(#REF!=BL$2,IF(#REF!=$AC$2,#REF!*plat_invest)) + IF(#REF!=BL$2,IF(#REF!=$AC$2,#REF!*plat_invest))</f>
        <v>#REF!</v>
      </c>
      <c r="BM38" s="57" t="e">
        <f>IF(#REF!=BM$2,IF(#REF!=$AC$2,#REF!*lumber_invest)) + IF(#REF!=BM$2,IF(#REF!=$AC$2,#REF!*lumber_invest)) + IF(#REF!=BM$2,IF(#REF!=$AC$2,#REF!*lumber_invest))</f>
        <v>#REF!</v>
      </c>
      <c r="BN38" s="57" t="e">
        <f>IF(#REF!=BN$2,IF(#REF!=$AC$2,#REF!*ore_invest)) + IF(#REF!=BN$2,IF(#REF!=$AC$2,#REF!*ore_invest)) + IF(#REF!=BN$2,IF(#REF!=$AC$2,#REF!*ore_invest))</f>
        <v>#REF!</v>
      </c>
      <c r="BO38" s="57" t="e">
        <f>IF(#REF!=BO$2,IF(#REF!=$AC$2,#REF!*gem_invest)) + IF(#REF!=BO$2,IF(#REF!=$AC$2,#REF!*gem_invest)) + IF(#REF!=BO$2,IF(#REF!=$AC$2,#REF!*gem_invest))</f>
        <v>#REF!</v>
      </c>
      <c r="BP38" s="134"/>
      <c r="BQ38" s="57" t="e">
        <f>IF(#REF!=BQ$2,IF(#REF!=$AD$2,#REF!*plat_invest)) + IF(#REF!=BQ$2,IF(#REF!=$AD$2,#REF!*plat_invest)) + IF(#REF!=BQ$2,IF(#REF!=$AD$2,#REF!*plat_invest))</f>
        <v>#REF!</v>
      </c>
      <c r="BR38" s="57" t="e">
        <f>IF(#REF!=BR$2,IF(#REF!=$AD$2,#REF!*lumber_invest)) + IF(#REF!=BR$2,IF(#REF!=$AD$2,#REF!*lumber_invest)) + IF(#REF!=BR$2,IF(#REF!=$AD$2,#REF!*lumber_invest))</f>
        <v>#REF!</v>
      </c>
      <c r="BS38" s="57" t="e">
        <f>IF(#REF!=BS$2,IF(#REF!=$AD$2,#REF!*ore_invest)) + IF(#REF!=BS$2,IF(#REF!=$AD$2,#REF!*ore_invest)) + IF(#REF!=BS$2,IF(#REF!=$AD$2,#REF!*ore_invest))</f>
        <v>#REF!</v>
      </c>
      <c r="BT38" s="57" t="e">
        <f>IF(#REF!=BT$2,IF(#REF!=$AD$2,#REF!*gem_invest)) + IF(#REF!=BT$2,IF(#REF!=$AD$2,#REF!*gem_invest)) + IF(#REF!=BT$2,IF(#REF!=$AD$2,#REF!*gem_invest))</f>
        <v>#REF!</v>
      </c>
      <c r="BU38" s="134"/>
      <c r="BV38" s="3" t="e">
        <f>OR(#REF!,#REF!,#REF!,#REF!,#REF!,#REF!,#REF!,#REF!,#REF!)</f>
        <v>#REF!</v>
      </c>
      <c r="BW38" s="61" t="e">
        <f>#REF!</f>
        <v>#REF!</v>
      </c>
      <c r="BX38" s="130"/>
      <c r="BY38" s="284" t="e">
        <f ca="1">OFFSET(#REF!,-1,0)+1/24</f>
        <v>#REF!</v>
      </c>
      <c r="BZ38" s="285" t="e">
        <f ca="1">OFFSET(#REF!,-1,0)+1/24</f>
        <v>#REF!</v>
      </c>
      <c r="CA38" s="57"/>
      <c r="CB38" s="283"/>
      <c r="CC38" s="283"/>
      <c r="CD38" s="3" t="s">
        <v>213</v>
      </c>
    </row>
    <row r="39" spans="1:82" x14ac:dyDescent="0.25">
      <c r="A39" s="206" t="e">
        <f>#REF!</f>
        <v>#REF!</v>
      </c>
      <c r="B39" s="134"/>
      <c r="C39" s="39" t="e">
        <f>#REF!</f>
        <v>#REF!</v>
      </c>
      <c r="D39" s="39" t="e">
        <f>#REF!</f>
        <v>#REF!</v>
      </c>
      <c r="E39" s="39" t="e">
        <f>#REF!</f>
        <v>#REF!</v>
      </c>
      <c r="F39" s="39" t="e">
        <f>#REF!</f>
        <v>#REF!</v>
      </c>
      <c r="G39" s="133"/>
      <c r="H39" s="39" t="e">
        <f>#REF!</f>
        <v>#REF!</v>
      </c>
      <c r="I39" s="132" t="e">
        <f>#REF!</f>
        <v>#REF!</v>
      </c>
      <c r="J39" s="132" t="e">
        <f>#REF!/#REF!</f>
        <v>#REF!</v>
      </c>
      <c r="K39" s="160" t="e">
        <f>#REF!</f>
        <v>#REF!</v>
      </c>
      <c r="L39" s="276" t="e">
        <f>#REF!</f>
        <v>#REF!</v>
      </c>
      <c r="M39" s="61">
        <f>IF(ISERROR(#REF!),0,#REF!*1)</f>
        <v>0</v>
      </c>
      <c r="N39" s="39" t="e">
        <f>#REF!</f>
        <v>#REF!</v>
      </c>
      <c r="O39" s="277" t="s">
        <v>4</v>
      </c>
      <c r="P39" s="278"/>
      <c r="Q39" s="277" t="s">
        <v>211</v>
      </c>
      <c r="R39" s="277" t="s">
        <v>7</v>
      </c>
      <c r="S39" s="278"/>
      <c r="T39" s="277" t="s">
        <v>211</v>
      </c>
      <c r="U39" s="277" t="s">
        <v>3</v>
      </c>
      <c r="V39" s="278"/>
      <c r="W39" s="277" t="s">
        <v>211</v>
      </c>
      <c r="X39" s="134"/>
      <c r="Y39" s="209" t="e">
        <f ca="1">science_cap*(1-EXP(-#REF!/(science_param*(OFFSET(#REF!,1,0)-OFFSET(#REF!,1,0)*20)+15000)))*(1+(mason_bonus*#REF!/#REF!))</f>
        <v>#REF!</v>
      </c>
      <c r="Z39" s="209" t="e">
        <f ca="1">keep_cap*(1-EXP(-#REF!/(keep_param*(OFFSET(#REF!,1,0)-OFFSET(#REF!,1,0)*20)+15000)))*(1+(mason_bonus*#REF!/#REF!))</f>
        <v>#REF!</v>
      </c>
      <c r="AA39" s="209" t="e">
        <f ca="1">harbor_towers_cap*(1-EXP(-#REF!/(towers_param*(OFFSET(#REF!,1,0)-OFFSET(#REF!,1,0)*20)+15000)))*(1+(mason_bonus*#REF!/#REF!))</f>
        <v>#REF!</v>
      </c>
      <c r="AB39" s="209" t="e">
        <f ca="1">walls_forges_cap*(1-EXP(-#REF!/(walls_forges_param*(OFFSET(#REF!,1,0)-OFFSET(#REF!,1,0)*20)+15000)))*(1+(mason_bonus*#REF!/#REF!))</f>
        <v>#REF!</v>
      </c>
      <c r="AC39" s="209" t="e">
        <f ca="1">walls_forges_cap*(1-EXP(-#REF!/(walls_forges_param*(OFFSET(#REF!,1,0)-OFFSET(#REF!,1,0)*20)+15000)))*(1+(mason_bonus*#REF!/#REF!))</f>
        <v>#REF!</v>
      </c>
      <c r="AD39" s="209" t="e">
        <f ca="1">harbor_towers_cap*(1-EXP(-#REF!/(harbor_towers_param*(OFFSET(#REF!,1,0)-OFFSET(#REF!,1,0)*20)+15000)))*(1+(mason_bonus*#REF!/#REF!))</f>
        <v>#REF!</v>
      </c>
      <c r="AE39" s="134"/>
      <c r="AF39" s="61" t="e">
        <f ca="1">(1+Overview!$I$28)*SUM(#REF!)+OFFSET(#REF!,-1,0)</f>
        <v>#REF!</v>
      </c>
      <c r="AG39" s="61" t="e">
        <f ca="1">(1+Overview!$I$28)*SUM(#REF!)+OFFSET(#REF!,-1,0)</f>
        <v>#REF!</v>
      </c>
      <c r="AH39" s="61" t="e">
        <f ca="1">(1+Overview!$I$28 + tech_7_1*#REF!)*SUM(#REF!)+OFFSET(#REF!,-1,0)</f>
        <v>#REF!</v>
      </c>
      <c r="AI39" s="61" t="e">
        <f ca="1">(1+Overview!$I$28)*SUM(#REF!)+OFFSET(#REF!,-1,0)</f>
        <v>#REF!</v>
      </c>
      <c r="AJ39" s="61" t="e">
        <f ca="1">(1+Overview!$I$28)*SUM(#REF!)+OFFSET(#REF!,-1,0)</f>
        <v>#REF!</v>
      </c>
      <c r="AK39" s="61" t="e">
        <f ca="1">(1+Overview!$I$28 + tech_7_1*#REF!)*SUM(#REF!)+OFFSET(#REF!,-1,0)</f>
        <v>#REF!</v>
      </c>
      <c r="AL39" s="134"/>
      <c r="AM39" s="57" t="e">
        <f>IF(AND(#REF!=AM$2,#REF!&lt;&gt;""),#REF!) + IF(AND(#REF!=AM$2,#REF!&lt;&gt;""),#REF!) + IF(AND(#REF!=AM$2,#REF!&lt;&gt;""),#REF!)</f>
        <v>#REF!</v>
      </c>
      <c r="AN39" s="57" t="e">
        <f>IF(AND(#REF!=AN$2,#REF!&lt;&gt;""),#REF!) + IF(AND(#REF!=AN$2,#REF!&lt;&gt;""),#REF!) + IF(AND(#REF!=AN$2,#REF!&lt;&gt;""),#REF!)</f>
        <v>#REF!</v>
      </c>
      <c r="AO39" s="57" t="e">
        <f>IF(AND(#REF!=AO$2,#REF!&lt;&gt;""),#REF!) + IF(AND(#REF!=AO$2,#REF!&lt;&gt;""),#REF!) + IF(AND(#REF!=AO$2,#REF!&lt;&gt;""),#REF!)</f>
        <v>#REF!</v>
      </c>
      <c r="AP39" s="57" t="e">
        <f>IF(AND(#REF!=AP$2,#REF!&lt;&gt;""),#REF!) + IF(AND(#REF!=AP$2,#REF!&lt;&gt;""),#REF!) + IF(AND(#REF!=AP$2,#REF!&lt;&gt;""),#REF!)</f>
        <v>#REF!</v>
      </c>
      <c r="AQ39" s="134"/>
      <c r="AR39" s="57" t="e">
        <f>IF(#REF!=AR$2,IF(#REF!=$Y$2,#REF!*plat_invest)) + IF(#REF!=AR$2,IF(#REF!=$Y$2,#REF!*plat_invest)) + IF(#REF!=AR$2,IF(#REF!=$Y$2,#REF!*plat_invest))</f>
        <v>#REF!</v>
      </c>
      <c r="AS39" s="57" t="e">
        <f>IF(#REF!=AS$2,IF(#REF!=$Y$2,#REF!*lumber_invest)) + IF(#REF!=AS$2,IF(#REF!=$Y$2,#REF!*lumber_invest)) + IF(#REF!=AS$2,IF(#REF!=$Y$2,#REF!*lumber_invest))</f>
        <v>#REF!</v>
      </c>
      <c r="AT39" s="57" t="e">
        <f>IF(#REF!=AT$2,IF(#REF!=$Y$2,#REF!*ore_invest)) + IF(#REF!=AT$2,IF(#REF!=$Y$2,#REF!*ore_invest)) + IF(#REF!=AT$2,IF(#REF!=$Y$2,#REF!*ore_invest))</f>
        <v>#REF!</v>
      </c>
      <c r="AU39" s="57" t="e">
        <f>IF(#REF!=AU$2,IF(#REF!=$Y$2,#REF!*gem_invest)) + IF(#REF!=AU$2,IF(#REF!=$Y$2,#REF!*gem_invest)) + IF(#REF!=AU$2,IF(#REF!=$Y$2,#REF!*gem_invest))</f>
        <v>#REF!</v>
      </c>
      <c r="AV39" s="134"/>
      <c r="AW39" s="57" t="e">
        <f>IF(#REF!=AW$2,IF(#REF!=$Z$2,#REF!*plat_invest)) + IF(#REF!=AW$2,IF(#REF!=$Z$2,#REF!*plat_invest)) + IF(#REF!=AW$2,IF(#REF!=$Z$2,#REF!*plat_invest))</f>
        <v>#REF!</v>
      </c>
      <c r="AX39" s="57" t="e">
        <f>IF(#REF!=AX$2,IF(#REF!=$Z$2,#REF!*lumber_invest)) + IF(#REF!=AX$2,IF(#REF!=$Z$2,#REF!*lumber_invest)) + IF(#REF!=AX$2,IF(#REF!=$Z$2,#REF!*lumber_invest))</f>
        <v>#REF!</v>
      </c>
      <c r="AY39" s="57" t="e">
        <f>IF(#REF!=AY$2,IF(#REF!=$Z$2,#REF!*ore_invest)) + IF(#REF!=AY$2,IF(#REF!=$Z$2,#REF!*ore_invest)) + IF(#REF!=AY$2,IF(#REF!=$Z$2,#REF!*ore_invest))</f>
        <v>#REF!</v>
      </c>
      <c r="AZ39" s="57" t="e">
        <f>IF(#REF!=AZ$2,IF(#REF!=$Z$2,#REF!*gem_invest)) + IF(#REF!=AZ$2,IF(#REF!=$Z$2,#REF!*gem_invest)) + IF(#REF!=AZ$2,IF(#REF!=$Z$2,#REF!*gem_invest))</f>
        <v>#REF!</v>
      </c>
      <c r="BA39" s="134"/>
      <c r="BB39" s="57" t="e">
        <f>IF(#REF!=BB$2,IF(#REF!=$AA$2,#REF!*plat_invest)) + IF(#REF!=BB$2,IF(#REF!=$AA$2,#REF!*plat_invest)) + IF(#REF!=BB$2,IF(#REF!=$AA$2,#REF!*plat_invest))</f>
        <v>#REF!</v>
      </c>
      <c r="BC39" s="57" t="e">
        <f>IF(#REF!=BC$2,IF(#REF!=$AA$2,#REF!*lumber_invest)) + IF(#REF!=BC$2,IF(#REF!=$AA$2,#REF!*lumber_invest)) + IF(#REF!=BC$2,IF(#REF!=$AA$2,#REF!*lumber_invest))</f>
        <v>#REF!</v>
      </c>
      <c r="BD39" s="57" t="e">
        <f>IF(#REF!=BD$2,IF(#REF!=$AA$2,#REF!*ore_invest)) + IF(#REF!=BD$2,IF(#REF!=$AA$2,#REF!*ore_invest)) + IF(#REF!=BD$2,IF(#REF!=$AA$2,#REF!*ore_invest))</f>
        <v>#REF!</v>
      </c>
      <c r="BE39" s="57" t="e">
        <f>IF(#REF!=BE$2,IF(#REF!=$AA$2,#REF!*gem_invest)) + IF(#REF!=BE$2,IF(#REF!=$AA$2,#REF!*gem_invest)) + IF(#REF!=BE$2,IF(#REF!=$AA$2,#REF!*gem_invest))</f>
        <v>#REF!</v>
      </c>
      <c r="BF39" s="134"/>
      <c r="BG39" s="57" t="e">
        <f>IF(#REF!=BG$2,IF(#REF!=$AB$2,#REF!*plat_invest)) + IF(#REF!=BG$2,IF(#REF!=$AB$2,#REF!*plat_invest)) + IF(#REF!=BG$2,IF(#REF!=$AB$2,#REF!*plat_invest))</f>
        <v>#REF!</v>
      </c>
      <c r="BH39" s="57" t="e">
        <f>IF(#REF!=BH$2,IF(#REF!=$AB$2,#REF!*lumber_invest)) + IF(#REF!=BH$2,IF(#REF!=$AB$2,#REF!*lumber_invest)) + IF(#REF!=BH$2,IF(#REF!=$AB$2,#REF!*lumber_invest))</f>
        <v>#REF!</v>
      </c>
      <c r="BI39" s="57" t="e">
        <f>IF(#REF!=BI$2,IF(#REF!=$AB$2,#REF!*ore_invest)) + IF(#REF!=BI$2,IF(#REF!=$AB$2,#REF!*ore_invest)) + IF(#REF!=BI$2,IF(#REF!=$AB$2,#REF!*ore_invest))</f>
        <v>#REF!</v>
      </c>
      <c r="BJ39" s="57" t="e">
        <f>IF(#REF!=BJ$2,IF(#REF!=$AB$2,#REF!*gem_invest)) + IF(#REF!=BJ$2,IF(#REF!=$AB$2,#REF!*gem_invest)) + IF(#REF!=BJ$2,IF(#REF!=$AB$2,#REF!*gem_invest))</f>
        <v>#REF!</v>
      </c>
      <c r="BK39" s="134"/>
      <c r="BL39" s="57" t="e">
        <f>IF(#REF!=BL$2,IF(#REF!=$AC$2,#REF!*plat_invest)) + IF(#REF!=BL$2,IF(#REF!=$AC$2,#REF!*plat_invest)) + IF(#REF!=BL$2,IF(#REF!=$AC$2,#REF!*plat_invest))</f>
        <v>#REF!</v>
      </c>
      <c r="BM39" s="57" t="e">
        <f>IF(#REF!=BM$2,IF(#REF!=$AC$2,#REF!*lumber_invest)) + IF(#REF!=BM$2,IF(#REF!=$AC$2,#REF!*lumber_invest)) + IF(#REF!=BM$2,IF(#REF!=$AC$2,#REF!*lumber_invest))</f>
        <v>#REF!</v>
      </c>
      <c r="BN39" s="57" t="e">
        <f>IF(#REF!=BN$2,IF(#REF!=$AC$2,#REF!*ore_invest)) + IF(#REF!=BN$2,IF(#REF!=$AC$2,#REF!*ore_invest)) + IF(#REF!=BN$2,IF(#REF!=$AC$2,#REF!*ore_invest))</f>
        <v>#REF!</v>
      </c>
      <c r="BO39" s="57" t="e">
        <f>IF(#REF!=BO$2,IF(#REF!=$AC$2,#REF!*gem_invest)) + IF(#REF!=BO$2,IF(#REF!=$AC$2,#REF!*gem_invest)) + IF(#REF!=BO$2,IF(#REF!=$AC$2,#REF!*gem_invest))</f>
        <v>#REF!</v>
      </c>
      <c r="BP39" s="134"/>
      <c r="BQ39" s="57" t="e">
        <f>IF(#REF!=BQ$2,IF(#REF!=$AD$2,#REF!*plat_invest)) + IF(#REF!=BQ$2,IF(#REF!=$AD$2,#REF!*plat_invest)) + IF(#REF!=BQ$2,IF(#REF!=$AD$2,#REF!*plat_invest))</f>
        <v>#REF!</v>
      </c>
      <c r="BR39" s="57" t="e">
        <f>IF(#REF!=BR$2,IF(#REF!=$AD$2,#REF!*lumber_invest)) + IF(#REF!=BR$2,IF(#REF!=$AD$2,#REF!*lumber_invest)) + IF(#REF!=BR$2,IF(#REF!=$AD$2,#REF!*lumber_invest))</f>
        <v>#REF!</v>
      </c>
      <c r="BS39" s="57" t="e">
        <f>IF(#REF!=BS$2,IF(#REF!=$AD$2,#REF!*ore_invest)) + IF(#REF!=BS$2,IF(#REF!=$AD$2,#REF!*ore_invest)) + IF(#REF!=BS$2,IF(#REF!=$AD$2,#REF!*ore_invest))</f>
        <v>#REF!</v>
      </c>
      <c r="BT39" s="57" t="e">
        <f>IF(#REF!=BT$2,IF(#REF!=$AD$2,#REF!*gem_invest)) + IF(#REF!=BT$2,IF(#REF!=$AD$2,#REF!*gem_invest)) + IF(#REF!=BT$2,IF(#REF!=$AD$2,#REF!*gem_invest))</f>
        <v>#REF!</v>
      </c>
      <c r="BU39" s="134"/>
      <c r="BV39" s="3" t="e">
        <f>OR(#REF!,#REF!,#REF!,#REF!,#REF!,#REF!,#REF!,#REF!,#REF!)</f>
        <v>#REF!</v>
      </c>
      <c r="BW39" s="61" t="e">
        <f>#REF!</f>
        <v>#REF!</v>
      </c>
      <c r="BX39" s="130"/>
      <c r="BY39" s="284" t="e">
        <f ca="1">OFFSET(#REF!,-1,0)+1/24</f>
        <v>#REF!</v>
      </c>
      <c r="BZ39" s="285" t="e">
        <f ca="1">OFFSET(#REF!,-1,0)+1/24</f>
        <v>#REF!</v>
      </c>
      <c r="CA39" s="57"/>
      <c r="CB39" s="283"/>
      <c r="CC39" s="283"/>
      <c r="CD39" s="3" t="s">
        <v>214</v>
      </c>
    </row>
    <row r="40" spans="1:82" x14ac:dyDescent="0.25">
      <c r="A40" s="206" t="e">
        <f>#REF!</f>
        <v>#REF!</v>
      </c>
      <c r="B40" s="134"/>
      <c r="C40" s="39" t="e">
        <f>#REF!</f>
        <v>#REF!</v>
      </c>
      <c r="D40" s="39" t="e">
        <f>#REF!</f>
        <v>#REF!</v>
      </c>
      <c r="E40" s="39" t="e">
        <f>#REF!</f>
        <v>#REF!</v>
      </c>
      <c r="F40" s="39" t="e">
        <f>#REF!</f>
        <v>#REF!</v>
      </c>
      <c r="G40" s="133"/>
      <c r="H40" s="39" t="e">
        <f>#REF!</f>
        <v>#REF!</v>
      </c>
      <c r="I40" s="132" t="e">
        <f>#REF!</f>
        <v>#REF!</v>
      </c>
      <c r="J40" s="132" t="e">
        <f>#REF!/#REF!</f>
        <v>#REF!</v>
      </c>
      <c r="K40" s="160" t="e">
        <f>#REF!</f>
        <v>#REF!</v>
      </c>
      <c r="L40" s="276" t="e">
        <f>#REF!</f>
        <v>#REF!</v>
      </c>
      <c r="M40" s="61">
        <f>IF(ISERROR(#REF!),0,#REF!*1)</f>
        <v>0</v>
      </c>
      <c r="N40" s="39" t="e">
        <f>#REF!</f>
        <v>#REF!</v>
      </c>
      <c r="O40" s="277" t="s">
        <v>4</v>
      </c>
      <c r="P40" s="278"/>
      <c r="Q40" s="277" t="s">
        <v>211</v>
      </c>
      <c r="R40" s="277" t="s">
        <v>7</v>
      </c>
      <c r="S40" s="278"/>
      <c r="T40" s="277" t="s">
        <v>211</v>
      </c>
      <c r="U40" s="277" t="s">
        <v>3</v>
      </c>
      <c r="V40" s="278"/>
      <c r="W40" s="277" t="s">
        <v>211</v>
      </c>
      <c r="X40" s="134"/>
      <c r="Y40" s="209" t="e">
        <f ca="1">science_cap*(1-EXP(-#REF!/(science_param*(OFFSET(#REF!,1,0)-OFFSET(#REF!,1,0)*20)+15000)))*(1+(mason_bonus*#REF!/#REF!))</f>
        <v>#REF!</v>
      </c>
      <c r="Z40" s="209" t="e">
        <f ca="1">keep_cap*(1-EXP(-#REF!/(keep_param*(OFFSET(#REF!,1,0)-OFFSET(#REF!,1,0)*20)+15000)))*(1+(mason_bonus*#REF!/#REF!))</f>
        <v>#REF!</v>
      </c>
      <c r="AA40" s="209" t="e">
        <f ca="1">harbor_towers_cap*(1-EXP(-#REF!/(towers_param*(OFFSET(#REF!,1,0)-OFFSET(#REF!,1,0)*20)+15000)))*(1+(mason_bonus*#REF!/#REF!))</f>
        <v>#REF!</v>
      </c>
      <c r="AB40" s="209" t="e">
        <f ca="1">walls_forges_cap*(1-EXP(-#REF!/(walls_forges_param*(OFFSET(#REF!,1,0)-OFFSET(#REF!,1,0)*20)+15000)))*(1+(mason_bonus*#REF!/#REF!))</f>
        <v>#REF!</v>
      </c>
      <c r="AC40" s="209" t="e">
        <f ca="1">walls_forges_cap*(1-EXP(-#REF!/(walls_forges_param*(OFFSET(#REF!,1,0)-OFFSET(#REF!,1,0)*20)+15000)))*(1+(mason_bonus*#REF!/#REF!))</f>
        <v>#REF!</v>
      </c>
      <c r="AD40" s="209" t="e">
        <f ca="1">harbor_towers_cap*(1-EXP(-#REF!/(harbor_towers_param*(OFFSET(#REF!,1,0)-OFFSET(#REF!,1,0)*20)+15000)))*(1+(mason_bonus*#REF!/#REF!))</f>
        <v>#REF!</v>
      </c>
      <c r="AE40" s="134"/>
      <c r="AF40" s="61" t="e">
        <f ca="1">(1+Overview!$I$28)*SUM(#REF!)+OFFSET(#REF!,-1,0)</f>
        <v>#REF!</v>
      </c>
      <c r="AG40" s="61" t="e">
        <f ca="1">(1+Overview!$I$28)*SUM(#REF!)+OFFSET(#REF!,-1,0)</f>
        <v>#REF!</v>
      </c>
      <c r="AH40" s="61" t="e">
        <f ca="1">(1+Overview!$I$28 + tech_7_1*#REF!)*SUM(#REF!)+OFFSET(#REF!,-1,0)</f>
        <v>#REF!</v>
      </c>
      <c r="AI40" s="61" t="e">
        <f ca="1">(1+Overview!$I$28)*SUM(#REF!)+OFFSET(#REF!,-1,0)</f>
        <v>#REF!</v>
      </c>
      <c r="AJ40" s="61" t="e">
        <f ca="1">(1+Overview!$I$28)*SUM(#REF!)+OFFSET(#REF!,-1,0)</f>
        <v>#REF!</v>
      </c>
      <c r="AK40" s="61" t="e">
        <f ca="1">(1+Overview!$I$28 + tech_7_1*#REF!)*SUM(#REF!)+OFFSET(#REF!,-1,0)</f>
        <v>#REF!</v>
      </c>
      <c r="AL40" s="134"/>
      <c r="AM40" s="57" t="e">
        <f>IF(AND(#REF!=AM$2,#REF!&lt;&gt;""),#REF!) + IF(AND(#REF!=AM$2,#REF!&lt;&gt;""),#REF!) + IF(AND(#REF!=AM$2,#REF!&lt;&gt;""),#REF!)</f>
        <v>#REF!</v>
      </c>
      <c r="AN40" s="57" t="e">
        <f>IF(AND(#REF!=AN$2,#REF!&lt;&gt;""),#REF!) + IF(AND(#REF!=AN$2,#REF!&lt;&gt;""),#REF!) + IF(AND(#REF!=AN$2,#REF!&lt;&gt;""),#REF!)</f>
        <v>#REF!</v>
      </c>
      <c r="AO40" s="57" t="e">
        <f>IF(AND(#REF!=AO$2,#REF!&lt;&gt;""),#REF!) + IF(AND(#REF!=AO$2,#REF!&lt;&gt;""),#REF!) + IF(AND(#REF!=AO$2,#REF!&lt;&gt;""),#REF!)</f>
        <v>#REF!</v>
      </c>
      <c r="AP40" s="57" t="e">
        <f>IF(AND(#REF!=AP$2,#REF!&lt;&gt;""),#REF!) + IF(AND(#REF!=AP$2,#REF!&lt;&gt;""),#REF!) + IF(AND(#REF!=AP$2,#REF!&lt;&gt;""),#REF!)</f>
        <v>#REF!</v>
      </c>
      <c r="AQ40" s="134"/>
      <c r="AR40" s="57" t="e">
        <f>IF(#REF!=AR$2,IF(#REF!=$Y$2,#REF!*plat_invest)) + IF(#REF!=AR$2,IF(#REF!=$Y$2,#REF!*plat_invest)) + IF(#REF!=AR$2,IF(#REF!=$Y$2,#REF!*plat_invest))</f>
        <v>#REF!</v>
      </c>
      <c r="AS40" s="57" t="e">
        <f>IF(#REF!=AS$2,IF(#REF!=$Y$2,#REF!*lumber_invest)) + IF(#REF!=AS$2,IF(#REF!=$Y$2,#REF!*lumber_invest)) + IF(#REF!=AS$2,IF(#REF!=$Y$2,#REF!*lumber_invest))</f>
        <v>#REF!</v>
      </c>
      <c r="AT40" s="57" t="e">
        <f>IF(#REF!=AT$2,IF(#REF!=$Y$2,#REF!*ore_invest)) + IF(#REF!=AT$2,IF(#REF!=$Y$2,#REF!*ore_invest)) + IF(#REF!=AT$2,IF(#REF!=$Y$2,#REF!*ore_invest))</f>
        <v>#REF!</v>
      </c>
      <c r="AU40" s="57" t="e">
        <f>IF(#REF!=AU$2,IF(#REF!=$Y$2,#REF!*gem_invest)) + IF(#REF!=AU$2,IF(#REF!=$Y$2,#REF!*gem_invest)) + IF(#REF!=AU$2,IF(#REF!=$Y$2,#REF!*gem_invest))</f>
        <v>#REF!</v>
      </c>
      <c r="AV40" s="134"/>
      <c r="AW40" s="57" t="e">
        <f>IF(#REF!=AW$2,IF(#REF!=$Z$2,#REF!*plat_invest)) + IF(#REF!=AW$2,IF(#REF!=$Z$2,#REF!*plat_invest)) + IF(#REF!=AW$2,IF(#REF!=$Z$2,#REF!*plat_invest))</f>
        <v>#REF!</v>
      </c>
      <c r="AX40" s="57" t="e">
        <f>IF(#REF!=AX$2,IF(#REF!=$Z$2,#REF!*lumber_invest)) + IF(#REF!=AX$2,IF(#REF!=$Z$2,#REF!*lumber_invest)) + IF(#REF!=AX$2,IF(#REF!=$Z$2,#REF!*lumber_invest))</f>
        <v>#REF!</v>
      </c>
      <c r="AY40" s="57" t="e">
        <f>IF(#REF!=AY$2,IF(#REF!=$Z$2,#REF!*ore_invest)) + IF(#REF!=AY$2,IF(#REF!=$Z$2,#REF!*ore_invest)) + IF(#REF!=AY$2,IF(#REF!=$Z$2,#REF!*ore_invest))</f>
        <v>#REF!</v>
      </c>
      <c r="AZ40" s="57" t="e">
        <f>IF(#REF!=AZ$2,IF(#REF!=$Z$2,#REF!*gem_invest)) + IF(#REF!=AZ$2,IF(#REF!=$Z$2,#REF!*gem_invest)) + IF(#REF!=AZ$2,IF(#REF!=$Z$2,#REF!*gem_invest))</f>
        <v>#REF!</v>
      </c>
      <c r="BA40" s="134"/>
      <c r="BB40" s="57" t="e">
        <f>IF(#REF!=BB$2,IF(#REF!=$AA$2,#REF!*plat_invest)) + IF(#REF!=BB$2,IF(#REF!=$AA$2,#REF!*plat_invest)) + IF(#REF!=BB$2,IF(#REF!=$AA$2,#REF!*plat_invest))</f>
        <v>#REF!</v>
      </c>
      <c r="BC40" s="57" t="e">
        <f>IF(#REF!=BC$2,IF(#REF!=$AA$2,#REF!*lumber_invest)) + IF(#REF!=BC$2,IF(#REF!=$AA$2,#REF!*lumber_invest)) + IF(#REF!=BC$2,IF(#REF!=$AA$2,#REF!*lumber_invest))</f>
        <v>#REF!</v>
      </c>
      <c r="BD40" s="57" t="e">
        <f>IF(#REF!=BD$2,IF(#REF!=$AA$2,#REF!*ore_invest)) + IF(#REF!=BD$2,IF(#REF!=$AA$2,#REF!*ore_invest)) + IF(#REF!=BD$2,IF(#REF!=$AA$2,#REF!*ore_invest))</f>
        <v>#REF!</v>
      </c>
      <c r="BE40" s="57" t="e">
        <f>IF(#REF!=BE$2,IF(#REF!=$AA$2,#REF!*gem_invest)) + IF(#REF!=BE$2,IF(#REF!=$AA$2,#REF!*gem_invest)) + IF(#REF!=BE$2,IF(#REF!=$AA$2,#REF!*gem_invest))</f>
        <v>#REF!</v>
      </c>
      <c r="BF40" s="134"/>
      <c r="BG40" s="57" t="e">
        <f>IF(#REF!=BG$2,IF(#REF!=$AB$2,#REF!*plat_invest)) + IF(#REF!=BG$2,IF(#REF!=$AB$2,#REF!*plat_invest)) + IF(#REF!=BG$2,IF(#REF!=$AB$2,#REF!*plat_invest))</f>
        <v>#REF!</v>
      </c>
      <c r="BH40" s="57" t="e">
        <f>IF(#REF!=BH$2,IF(#REF!=$AB$2,#REF!*lumber_invest)) + IF(#REF!=BH$2,IF(#REF!=$AB$2,#REF!*lumber_invest)) + IF(#REF!=BH$2,IF(#REF!=$AB$2,#REF!*lumber_invest))</f>
        <v>#REF!</v>
      </c>
      <c r="BI40" s="57" t="e">
        <f>IF(#REF!=BI$2,IF(#REF!=$AB$2,#REF!*ore_invest)) + IF(#REF!=BI$2,IF(#REF!=$AB$2,#REF!*ore_invest)) + IF(#REF!=BI$2,IF(#REF!=$AB$2,#REF!*ore_invest))</f>
        <v>#REF!</v>
      </c>
      <c r="BJ40" s="57" t="e">
        <f>IF(#REF!=BJ$2,IF(#REF!=$AB$2,#REF!*gem_invest)) + IF(#REF!=BJ$2,IF(#REF!=$AB$2,#REF!*gem_invest)) + IF(#REF!=BJ$2,IF(#REF!=$AB$2,#REF!*gem_invest))</f>
        <v>#REF!</v>
      </c>
      <c r="BK40" s="134"/>
      <c r="BL40" s="57" t="e">
        <f>IF(#REF!=BL$2,IF(#REF!=$AC$2,#REF!*plat_invest)) + IF(#REF!=BL$2,IF(#REF!=$AC$2,#REF!*plat_invest)) + IF(#REF!=BL$2,IF(#REF!=$AC$2,#REF!*plat_invest))</f>
        <v>#REF!</v>
      </c>
      <c r="BM40" s="57" t="e">
        <f>IF(#REF!=BM$2,IF(#REF!=$AC$2,#REF!*lumber_invest)) + IF(#REF!=BM$2,IF(#REF!=$AC$2,#REF!*lumber_invest)) + IF(#REF!=BM$2,IF(#REF!=$AC$2,#REF!*lumber_invest))</f>
        <v>#REF!</v>
      </c>
      <c r="BN40" s="57" t="e">
        <f>IF(#REF!=BN$2,IF(#REF!=$AC$2,#REF!*ore_invest)) + IF(#REF!=BN$2,IF(#REF!=$AC$2,#REF!*ore_invest)) + IF(#REF!=BN$2,IF(#REF!=$AC$2,#REF!*ore_invest))</f>
        <v>#REF!</v>
      </c>
      <c r="BO40" s="57" t="e">
        <f>IF(#REF!=BO$2,IF(#REF!=$AC$2,#REF!*gem_invest)) + IF(#REF!=BO$2,IF(#REF!=$AC$2,#REF!*gem_invest)) + IF(#REF!=BO$2,IF(#REF!=$AC$2,#REF!*gem_invest))</f>
        <v>#REF!</v>
      </c>
      <c r="BP40" s="134"/>
      <c r="BQ40" s="57" t="e">
        <f>IF(#REF!=BQ$2,IF(#REF!=$AD$2,#REF!*plat_invest)) + IF(#REF!=BQ$2,IF(#REF!=$AD$2,#REF!*plat_invest)) + IF(#REF!=BQ$2,IF(#REF!=$AD$2,#REF!*plat_invest))</f>
        <v>#REF!</v>
      </c>
      <c r="BR40" s="57" t="e">
        <f>IF(#REF!=BR$2,IF(#REF!=$AD$2,#REF!*lumber_invest)) + IF(#REF!=BR$2,IF(#REF!=$AD$2,#REF!*lumber_invest)) + IF(#REF!=BR$2,IF(#REF!=$AD$2,#REF!*lumber_invest))</f>
        <v>#REF!</v>
      </c>
      <c r="BS40" s="57" t="e">
        <f>IF(#REF!=BS$2,IF(#REF!=$AD$2,#REF!*ore_invest)) + IF(#REF!=BS$2,IF(#REF!=$AD$2,#REF!*ore_invest)) + IF(#REF!=BS$2,IF(#REF!=$AD$2,#REF!*ore_invest))</f>
        <v>#REF!</v>
      </c>
      <c r="BT40" s="57" t="e">
        <f>IF(#REF!=BT$2,IF(#REF!=$AD$2,#REF!*gem_invest)) + IF(#REF!=BT$2,IF(#REF!=$AD$2,#REF!*gem_invest)) + IF(#REF!=BT$2,IF(#REF!=$AD$2,#REF!*gem_invest))</f>
        <v>#REF!</v>
      </c>
      <c r="BU40" s="134"/>
      <c r="BV40" s="3" t="e">
        <f>OR(#REF!,#REF!,#REF!,#REF!,#REF!,#REF!,#REF!,#REF!,#REF!)</f>
        <v>#REF!</v>
      </c>
      <c r="BW40" s="61" t="e">
        <f>#REF!</f>
        <v>#REF!</v>
      </c>
      <c r="BX40" s="130"/>
      <c r="BY40" s="284" t="e">
        <f ca="1">OFFSET(#REF!,-1,0)+1/24</f>
        <v>#REF!</v>
      </c>
      <c r="BZ40" s="285" t="e">
        <f ca="1">OFFSET(#REF!,-1,0)+1/24</f>
        <v>#REF!</v>
      </c>
      <c r="CA40" s="57"/>
      <c r="CB40" s="283"/>
      <c r="CC40" s="283"/>
      <c r="CD40" s="3" t="s">
        <v>527</v>
      </c>
    </row>
    <row r="41" spans="1:82" x14ac:dyDescent="0.25">
      <c r="A41" s="206" t="e">
        <f>#REF!</f>
        <v>#REF!</v>
      </c>
      <c r="B41" s="134"/>
      <c r="C41" s="39" t="e">
        <f>#REF!</f>
        <v>#REF!</v>
      </c>
      <c r="D41" s="39" t="e">
        <f>#REF!</f>
        <v>#REF!</v>
      </c>
      <c r="E41" s="39" t="e">
        <f>#REF!</f>
        <v>#REF!</v>
      </c>
      <c r="F41" s="39" t="e">
        <f>#REF!</f>
        <v>#REF!</v>
      </c>
      <c r="G41" s="133"/>
      <c r="H41" s="39" t="e">
        <f>#REF!</f>
        <v>#REF!</v>
      </c>
      <c r="I41" s="132" t="e">
        <f>#REF!</f>
        <v>#REF!</v>
      </c>
      <c r="J41" s="132" t="e">
        <f>#REF!/#REF!</f>
        <v>#REF!</v>
      </c>
      <c r="K41" s="160" t="e">
        <f>#REF!</f>
        <v>#REF!</v>
      </c>
      <c r="L41" s="276" t="e">
        <f>#REF!</f>
        <v>#REF!</v>
      </c>
      <c r="M41" s="61">
        <f>IF(ISERROR(#REF!),0,#REF!*1)</f>
        <v>0</v>
      </c>
      <c r="N41" s="39" t="e">
        <f>#REF!</f>
        <v>#REF!</v>
      </c>
      <c r="O41" s="277" t="s">
        <v>4</v>
      </c>
      <c r="P41" s="278"/>
      <c r="Q41" s="277" t="s">
        <v>211</v>
      </c>
      <c r="R41" s="277" t="s">
        <v>7</v>
      </c>
      <c r="S41" s="278"/>
      <c r="T41" s="277" t="s">
        <v>211</v>
      </c>
      <c r="U41" s="277" t="s">
        <v>3</v>
      </c>
      <c r="V41" s="278"/>
      <c r="W41" s="277" t="s">
        <v>211</v>
      </c>
      <c r="X41" s="134"/>
      <c r="Y41" s="209" t="e">
        <f ca="1">science_cap*(1-EXP(-#REF!/(science_param*(OFFSET(#REF!,1,0)-OFFSET(#REF!,1,0)*20)+15000)))*(1+(mason_bonus*#REF!/#REF!))</f>
        <v>#REF!</v>
      </c>
      <c r="Z41" s="209" t="e">
        <f ca="1">keep_cap*(1-EXP(-#REF!/(keep_param*(OFFSET(#REF!,1,0)-OFFSET(#REF!,1,0)*20)+15000)))*(1+(mason_bonus*#REF!/#REF!))</f>
        <v>#REF!</v>
      </c>
      <c r="AA41" s="209" t="e">
        <f ca="1">harbor_towers_cap*(1-EXP(-#REF!/(towers_param*(OFFSET(#REF!,1,0)-OFFSET(#REF!,1,0)*20)+15000)))*(1+(mason_bonus*#REF!/#REF!))</f>
        <v>#REF!</v>
      </c>
      <c r="AB41" s="209" t="e">
        <f ca="1">walls_forges_cap*(1-EXP(-#REF!/(walls_forges_param*(OFFSET(#REF!,1,0)-OFFSET(#REF!,1,0)*20)+15000)))*(1+(mason_bonus*#REF!/#REF!))</f>
        <v>#REF!</v>
      </c>
      <c r="AC41" s="209" t="e">
        <f ca="1">walls_forges_cap*(1-EXP(-#REF!/(walls_forges_param*(OFFSET(#REF!,1,0)-OFFSET(#REF!,1,0)*20)+15000)))*(1+(mason_bonus*#REF!/#REF!))</f>
        <v>#REF!</v>
      </c>
      <c r="AD41" s="209" t="e">
        <f ca="1">harbor_towers_cap*(1-EXP(-#REF!/(harbor_towers_param*(OFFSET(#REF!,1,0)-OFFSET(#REF!,1,0)*20)+15000)))*(1+(mason_bonus*#REF!/#REF!))</f>
        <v>#REF!</v>
      </c>
      <c r="AE41" s="134"/>
      <c r="AF41" s="61" t="e">
        <f ca="1">(1+Overview!$I$28)*SUM(#REF!)+OFFSET(#REF!,-1,0)</f>
        <v>#REF!</v>
      </c>
      <c r="AG41" s="61" t="e">
        <f ca="1">(1+Overview!$I$28)*SUM(#REF!)+OFFSET(#REF!,-1,0)</f>
        <v>#REF!</v>
      </c>
      <c r="AH41" s="61" t="e">
        <f ca="1">(1+Overview!$I$28 + tech_7_1*#REF!)*SUM(#REF!)+OFFSET(#REF!,-1,0)</f>
        <v>#REF!</v>
      </c>
      <c r="AI41" s="61" t="e">
        <f ca="1">(1+Overview!$I$28)*SUM(#REF!)+OFFSET(#REF!,-1,0)</f>
        <v>#REF!</v>
      </c>
      <c r="AJ41" s="61" t="e">
        <f ca="1">(1+Overview!$I$28)*SUM(#REF!)+OFFSET(#REF!,-1,0)</f>
        <v>#REF!</v>
      </c>
      <c r="AK41" s="61" t="e">
        <f ca="1">(1+Overview!$I$28 + tech_7_1*#REF!)*SUM(#REF!)+OFFSET(#REF!,-1,0)</f>
        <v>#REF!</v>
      </c>
      <c r="AL41" s="134"/>
      <c r="AM41" s="57" t="e">
        <f>IF(AND(#REF!=AM$2,#REF!&lt;&gt;""),#REF!) + IF(AND(#REF!=AM$2,#REF!&lt;&gt;""),#REF!) + IF(AND(#REF!=AM$2,#REF!&lt;&gt;""),#REF!)</f>
        <v>#REF!</v>
      </c>
      <c r="AN41" s="57" t="e">
        <f>IF(AND(#REF!=AN$2,#REF!&lt;&gt;""),#REF!) + IF(AND(#REF!=AN$2,#REF!&lt;&gt;""),#REF!) + IF(AND(#REF!=AN$2,#REF!&lt;&gt;""),#REF!)</f>
        <v>#REF!</v>
      </c>
      <c r="AO41" s="57" t="e">
        <f>IF(AND(#REF!=AO$2,#REF!&lt;&gt;""),#REF!) + IF(AND(#REF!=AO$2,#REF!&lt;&gt;""),#REF!) + IF(AND(#REF!=AO$2,#REF!&lt;&gt;""),#REF!)</f>
        <v>#REF!</v>
      </c>
      <c r="AP41" s="57" t="e">
        <f>IF(AND(#REF!=AP$2,#REF!&lt;&gt;""),#REF!) + IF(AND(#REF!=AP$2,#REF!&lt;&gt;""),#REF!) + IF(AND(#REF!=AP$2,#REF!&lt;&gt;""),#REF!)</f>
        <v>#REF!</v>
      </c>
      <c r="AQ41" s="134"/>
      <c r="AR41" s="57" t="e">
        <f>IF(#REF!=AR$2,IF(#REF!=$Y$2,#REF!*plat_invest)) + IF(#REF!=AR$2,IF(#REF!=$Y$2,#REF!*plat_invest)) + IF(#REF!=AR$2,IF(#REF!=$Y$2,#REF!*plat_invest))</f>
        <v>#REF!</v>
      </c>
      <c r="AS41" s="57" t="e">
        <f>IF(#REF!=AS$2,IF(#REF!=$Y$2,#REF!*lumber_invest)) + IF(#REF!=AS$2,IF(#REF!=$Y$2,#REF!*lumber_invest)) + IF(#REF!=AS$2,IF(#REF!=$Y$2,#REF!*lumber_invest))</f>
        <v>#REF!</v>
      </c>
      <c r="AT41" s="57" t="e">
        <f>IF(#REF!=AT$2,IF(#REF!=$Y$2,#REF!*ore_invest)) + IF(#REF!=AT$2,IF(#REF!=$Y$2,#REF!*ore_invest)) + IF(#REF!=AT$2,IF(#REF!=$Y$2,#REF!*ore_invest))</f>
        <v>#REF!</v>
      </c>
      <c r="AU41" s="57" t="e">
        <f>IF(#REF!=AU$2,IF(#REF!=$Y$2,#REF!*gem_invest)) + IF(#REF!=AU$2,IF(#REF!=$Y$2,#REF!*gem_invest)) + IF(#REF!=AU$2,IF(#REF!=$Y$2,#REF!*gem_invest))</f>
        <v>#REF!</v>
      </c>
      <c r="AV41" s="134"/>
      <c r="AW41" s="57" t="e">
        <f>IF(#REF!=AW$2,IF(#REF!=$Z$2,#REF!*plat_invest)) + IF(#REF!=AW$2,IF(#REF!=$Z$2,#REF!*plat_invest)) + IF(#REF!=AW$2,IF(#REF!=$Z$2,#REF!*plat_invest))</f>
        <v>#REF!</v>
      </c>
      <c r="AX41" s="57" t="e">
        <f>IF(#REF!=AX$2,IF(#REF!=$Z$2,#REF!*lumber_invest)) + IF(#REF!=AX$2,IF(#REF!=$Z$2,#REF!*lumber_invest)) + IF(#REF!=AX$2,IF(#REF!=$Z$2,#REF!*lumber_invest))</f>
        <v>#REF!</v>
      </c>
      <c r="AY41" s="57" t="e">
        <f>IF(#REF!=AY$2,IF(#REF!=$Z$2,#REF!*ore_invest)) + IF(#REF!=AY$2,IF(#REF!=$Z$2,#REF!*ore_invest)) + IF(#REF!=AY$2,IF(#REF!=$Z$2,#REF!*ore_invest))</f>
        <v>#REF!</v>
      </c>
      <c r="AZ41" s="57" t="e">
        <f>IF(#REF!=AZ$2,IF(#REF!=$Z$2,#REF!*gem_invest)) + IF(#REF!=AZ$2,IF(#REF!=$Z$2,#REF!*gem_invest)) + IF(#REF!=AZ$2,IF(#REF!=$Z$2,#REF!*gem_invest))</f>
        <v>#REF!</v>
      </c>
      <c r="BA41" s="134"/>
      <c r="BB41" s="57" t="e">
        <f>IF(#REF!=BB$2,IF(#REF!=$AA$2,#REF!*plat_invest)) + IF(#REF!=BB$2,IF(#REF!=$AA$2,#REF!*plat_invest)) + IF(#REF!=BB$2,IF(#REF!=$AA$2,#REF!*plat_invest))</f>
        <v>#REF!</v>
      </c>
      <c r="BC41" s="57" t="e">
        <f>IF(#REF!=BC$2,IF(#REF!=$AA$2,#REF!*lumber_invest)) + IF(#REF!=BC$2,IF(#REF!=$AA$2,#REF!*lumber_invest)) + IF(#REF!=BC$2,IF(#REF!=$AA$2,#REF!*lumber_invest))</f>
        <v>#REF!</v>
      </c>
      <c r="BD41" s="57" t="e">
        <f>IF(#REF!=BD$2,IF(#REF!=$AA$2,#REF!*ore_invest)) + IF(#REF!=BD$2,IF(#REF!=$AA$2,#REF!*ore_invest)) + IF(#REF!=BD$2,IF(#REF!=$AA$2,#REF!*ore_invest))</f>
        <v>#REF!</v>
      </c>
      <c r="BE41" s="57" t="e">
        <f>IF(#REF!=BE$2,IF(#REF!=$AA$2,#REF!*gem_invest)) + IF(#REF!=BE$2,IF(#REF!=$AA$2,#REF!*gem_invest)) + IF(#REF!=BE$2,IF(#REF!=$AA$2,#REF!*gem_invest))</f>
        <v>#REF!</v>
      </c>
      <c r="BF41" s="134"/>
      <c r="BG41" s="57" t="e">
        <f>IF(#REF!=BG$2,IF(#REF!=$AB$2,#REF!*plat_invest)) + IF(#REF!=BG$2,IF(#REF!=$AB$2,#REF!*plat_invest)) + IF(#REF!=BG$2,IF(#REF!=$AB$2,#REF!*plat_invest))</f>
        <v>#REF!</v>
      </c>
      <c r="BH41" s="57" t="e">
        <f>IF(#REF!=BH$2,IF(#REF!=$AB$2,#REF!*lumber_invest)) + IF(#REF!=BH$2,IF(#REF!=$AB$2,#REF!*lumber_invest)) + IF(#REF!=BH$2,IF(#REF!=$AB$2,#REF!*lumber_invest))</f>
        <v>#REF!</v>
      </c>
      <c r="BI41" s="57" t="e">
        <f>IF(#REF!=BI$2,IF(#REF!=$AB$2,#REF!*ore_invest)) + IF(#REF!=BI$2,IF(#REF!=$AB$2,#REF!*ore_invest)) + IF(#REF!=BI$2,IF(#REF!=$AB$2,#REF!*ore_invest))</f>
        <v>#REF!</v>
      </c>
      <c r="BJ41" s="57" t="e">
        <f>IF(#REF!=BJ$2,IF(#REF!=$AB$2,#REF!*gem_invest)) + IF(#REF!=BJ$2,IF(#REF!=$AB$2,#REF!*gem_invest)) + IF(#REF!=BJ$2,IF(#REF!=$AB$2,#REF!*gem_invest))</f>
        <v>#REF!</v>
      </c>
      <c r="BK41" s="134"/>
      <c r="BL41" s="57" t="e">
        <f>IF(#REF!=BL$2,IF(#REF!=$AC$2,#REF!*plat_invest)) + IF(#REF!=BL$2,IF(#REF!=$AC$2,#REF!*plat_invest)) + IF(#REF!=BL$2,IF(#REF!=$AC$2,#REF!*plat_invest))</f>
        <v>#REF!</v>
      </c>
      <c r="BM41" s="57" t="e">
        <f>IF(#REF!=BM$2,IF(#REF!=$AC$2,#REF!*lumber_invest)) + IF(#REF!=BM$2,IF(#REF!=$AC$2,#REF!*lumber_invest)) + IF(#REF!=BM$2,IF(#REF!=$AC$2,#REF!*lumber_invest))</f>
        <v>#REF!</v>
      </c>
      <c r="BN41" s="57" t="e">
        <f>IF(#REF!=BN$2,IF(#REF!=$AC$2,#REF!*ore_invest)) + IF(#REF!=BN$2,IF(#REF!=$AC$2,#REF!*ore_invest)) + IF(#REF!=BN$2,IF(#REF!=$AC$2,#REF!*ore_invest))</f>
        <v>#REF!</v>
      </c>
      <c r="BO41" s="57" t="e">
        <f>IF(#REF!=BO$2,IF(#REF!=$AC$2,#REF!*gem_invest)) + IF(#REF!=BO$2,IF(#REF!=$AC$2,#REF!*gem_invest)) + IF(#REF!=BO$2,IF(#REF!=$AC$2,#REF!*gem_invest))</f>
        <v>#REF!</v>
      </c>
      <c r="BP41" s="134"/>
      <c r="BQ41" s="57" t="e">
        <f>IF(#REF!=BQ$2,IF(#REF!=$AD$2,#REF!*plat_invest)) + IF(#REF!=BQ$2,IF(#REF!=$AD$2,#REF!*plat_invest)) + IF(#REF!=BQ$2,IF(#REF!=$AD$2,#REF!*plat_invest))</f>
        <v>#REF!</v>
      </c>
      <c r="BR41" s="57" t="e">
        <f>IF(#REF!=BR$2,IF(#REF!=$AD$2,#REF!*lumber_invest)) + IF(#REF!=BR$2,IF(#REF!=$AD$2,#REF!*lumber_invest)) + IF(#REF!=BR$2,IF(#REF!=$AD$2,#REF!*lumber_invest))</f>
        <v>#REF!</v>
      </c>
      <c r="BS41" s="57" t="e">
        <f>IF(#REF!=BS$2,IF(#REF!=$AD$2,#REF!*ore_invest)) + IF(#REF!=BS$2,IF(#REF!=$AD$2,#REF!*ore_invest)) + IF(#REF!=BS$2,IF(#REF!=$AD$2,#REF!*ore_invest))</f>
        <v>#REF!</v>
      </c>
      <c r="BT41" s="57" t="e">
        <f>IF(#REF!=BT$2,IF(#REF!=$AD$2,#REF!*gem_invest)) + IF(#REF!=BT$2,IF(#REF!=$AD$2,#REF!*gem_invest)) + IF(#REF!=BT$2,IF(#REF!=$AD$2,#REF!*gem_invest))</f>
        <v>#REF!</v>
      </c>
      <c r="BU41" s="134"/>
      <c r="BV41" s="3" t="e">
        <f>OR(#REF!,#REF!,#REF!,#REF!,#REF!,#REF!,#REF!,#REF!,#REF!)</f>
        <v>#REF!</v>
      </c>
      <c r="BW41" s="61" t="e">
        <f>#REF!</f>
        <v>#REF!</v>
      </c>
      <c r="BX41" s="130"/>
      <c r="BY41" s="284" t="e">
        <f ca="1">OFFSET(#REF!,-1,0)+1/24</f>
        <v>#REF!</v>
      </c>
      <c r="BZ41" s="285" t="e">
        <f ca="1">OFFSET(#REF!,-1,0)+1/24</f>
        <v>#REF!</v>
      </c>
      <c r="CA41" s="57"/>
      <c r="CB41" s="283"/>
      <c r="CC41" s="283"/>
    </row>
    <row r="42" spans="1:82" x14ac:dyDescent="0.25">
      <c r="A42" s="206" t="e">
        <f>#REF!</f>
        <v>#REF!</v>
      </c>
      <c r="B42" s="134"/>
      <c r="C42" s="39" t="e">
        <f>#REF!</f>
        <v>#REF!</v>
      </c>
      <c r="D42" s="39" t="e">
        <f>#REF!</f>
        <v>#REF!</v>
      </c>
      <c r="E42" s="39" t="e">
        <f>#REF!</f>
        <v>#REF!</v>
      </c>
      <c r="F42" s="39" t="e">
        <f>#REF!</f>
        <v>#REF!</v>
      </c>
      <c r="G42" s="133"/>
      <c r="H42" s="39" t="e">
        <f>#REF!</f>
        <v>#REF!</v>
      </c>
      <c r="I42" s="132" t="e">
        <f>#REF!</f>
        <v>#REF!</v>
      </c>
      <c r="J42" s="132" t="e">
        <f>#REF!/#REF!</f>
        <v>#REF!</v>
      </c>
      <c r="K42" s="160" t="e">
        <f>#REF!</f>
        <v>#REF!</v>
      </c>
      <c r="L42" s="276" t="e">
        <f>#REF!</f>
        <v>#REF!</v>
      </c>
      <c r="M42" s="61">
        <f>IF(ISERROR(#REF!),0,#REF!*1)</f>
        <v>0</v>
      </c>
      <c r="N42" s="39" t="e">
        <f>#REF!</f>
        <v>#REF!</v>
      </c>
      <c r="O42" s="277" t="s">
        <v>4</v>
      </c>
      <c r="P42" s="278"/>
      <c r="Q42" s="277" t="s">
        <v>211</v>
      </c>
      <c r="R42" s="277" t="s">
        <v>7</v>
      </c>
      <c r="S42" s="278"/>
      <c r="T42" s="277" t="s">
        <v>211</v>
      </c>
      <c r="U42" s="277" t="s">
        <v>3</v>
      </c>
      <c r="V42" s="278"/>
      <c r="W42" s="277" t="s">
        <v>211</v>
      </c>
      <c r="X42" s="134"/>
      <c r="Y42" s="209" t="e">
        <f ca="1">science_cap*(1-EXP(-#REF!/(science_param*(OFFSET(#REF!,1,0)-OFFSET(#REF!,1,0)*20)+15000)))*(1+(mason_bonus*#REF!/#REF!))</f>
        <v>#REF!</v>
      </c>
      <c r="Z42" s="209" t="e">
        <f ca="1">keep_cap*(1-EXP(-#REF!/(keep_param*(OFFSET(#REF!,1,0)-OFFSET(#REF!,1,0)*20)+15000)))*(1+(mason_bonus*#REF!/#REF!))</f>
        <v>#REF!</v>
      </c>
      <c r="AA42" s="209" t="e">
        <f ca="1">harbor_towers_cap*(1-EXP(-#REF!/(towers_param*(OFFSET(#REF!,1,0)-OFFSET(#REF!,1,0)*20)+15000)))*(1+(mason_bonus*#REF!/#REF!))</f>
        <v>#REF!</v>
      </c>
      <c r="AB42" s="209" t="e">
        <f ca="1">walls_forges_cap*(1-EXP(-#REF!/(walls_forges_param*(OFFSET(#REF!,1,0)-OFFSET(#REF!,1,0)*20)+15000)))*(1+(mason_bonus*#REF!/#REF!))</f>
        <v>#REF!</v>
      </c>
      <c r="AC42" s="209" t="e">
        <f ca="1">walls_forges_cap*(1-EXP(-#REF!/(walls_forges_param*(OFFSET(#REF!,1,0)-OFFSET(#REF!,1,0)*20)+15000)))*(1+(mason_bonus*#REF!/#REF!))</f>
        <v>#REF!</v>
      </c>
      <c r="AD42" s="209" t="e">
        <f ca="1">harbor_towers_cap*(1-EXP(-#REF!/(harbor_towers_param*(OFFSET(#REF!,1,0)-OFFSET(#REF!,1,0)*20)+15000)))*(1+(mason_bonus*#REF!/#REF!))</f>
        <v>#REF!</v>
      </c>
      <c r="AE42" s="134"/>
      <c r="AF42" s="61" t="e">
        <f ca="1">(1+Overview!$I$28)*SUM(#REF!)+OFFSET(#REF!,-1,0)</f>
        <v>#REF!</v>
      </c>
      <c r="AG42" s="61" t="e">
        <f ca="1">(1+Overview!$I$28)*SUM(#REF!)+OFFSET(#REF!,-1,0)</f>
        <v>#REF!</v>
      </c>
      <c r="AH42" s="61" t="e">
        <f ca="1">(1+Overview!$I$28 + tech_7_1*#REF!)*SUM(#REF!)+OFFSET(#REF!,-1,0)</f>
        <v>#REF!</v>
      </c>
      <c r="AI42" s="61" t="e">
        <f ca="1">(1+Overview!$I$28)*SUM(#REF!)+OFFSET(#REF!,-1,0)</f>
        <v>#REF!</v>
      </c>
      <c r="AJ42" s="61" t="e">
        <f ca="1">(1+Overview!$I$28)*SUM(#REF!)+OFFSET(#REF!,-1,0)</f>
        <v>#REF!</v>
      </c>
      <c r="AK42" s="61" t="e">
        <f ca="1">(1+Overview!$I$28 + tech_7_1*#REF!)*SUM(#REF!)+OFFSET(#REF!,-1,0)</f>
        <v>#REF!</v>
      </c>
      <c r="AL42" s="134"/>
      <c r="AM42" s="57" t="e">
        <f>IF(AND(#REF!=AM$2,#REF!&lt;&gt;""),#REF!) + IF(AND(#REF!=AM$2,#REF!&lt;&gt;""),#REF!) + IF(AND(#REF!=AM$2,#REF!&lt;&gt;""),#REF!)</f>
        <v>#REF!</v>
      </c>
      <c r="AN42" s="57" t="e">
        <f>IF(AND(#REF!=AN$2,#REF!&lt;&gt;""),#REF!) + IF(AND(#REF!=AN$2,#REF!&lt;&gt;""),#REF!) + IF(AND(#REF!=AN$2,#REF!&lt;&gt;""),#REF!)</f>
        <v>#REF!</v>
      </c>
      <c r="AO42" s="57" t="e">
        <f>IF(AND(#REF!=AO$2,#REF!&lt;&gt;""),#REF!) + IF(AND(#REF!=AO$2,#REF!&lt;&gt;""),#REF!) + IF(AND(#REF!=AO$2,#REF!&lt;&gt;""),#REF!)</f>
        <v>#REF!</v>
      </c>
      <c r="AP42" s="57" t="e">
        <f>IF(AND(#REF!=AP$2,#REF!&lt;&gt;""),#REF!) + IF(AND(#REF!=AP$2,#REF!&lt;&gt;""),#REF!) + IF(AND(#REF!=AP$2,#REF!&lt;&gt;""),#REF!)</f>
        <v>#REF!</v>
      </c>
      <c r="AQ42" s="134"/>
      <c r="AR42" s="57" t="e">
        <f>IF(#REF!=AR$2,IF(#REF!=$Y$2,#REF!*plat_invest)) + IF(#REF!=AR$2,IF(#REF!=$Y$2,#REF!*plat_invest)) + IF(#REF!=AR$2,IF(#REF!=$Y$2,#REF!*plat_invest))</f>
        <v>#REF!</v>
      </c>
      <c r="AS42" s="57" t="e">
        <f>IF(#REF!=AS$2,IF(#REF!=$Y$2,#REF!*lumber_invest)) + IF(#REF!=AS$2,IF(#REF!=$Y$2,#REF!*lumber_invest)) + IF(#REF!=AS$2,IF(#REF!=$Y$2,#REF!*lumber_invest))</f>
        <v>#REF!</v>
      </c>
      <c r="AT42" s="57" t="e">
        <f>IF(#REF!=AT$2,IF(#REF!=$Y$2,#REF!*ore_invest)) + IF(#REF!=AT$2,IF(#REF!=$Y$2,#REF!*ore_invest)) + IF(#REF!=AT$2,IF(#REF!=$Y$2,#REF!*ore_invest))</f>
        <v>#REF!</v>
      </c>
      <c r="AU42" s="57" t="e">
        <f>IF(#REF!=AU$2,IF(#REF!=$Y$2,#REF!*gem_invest)) + IF(#REF!=AU$2,IF(#REF!=$Y$2,#REF!*gem_invest)) + IF(#REF!=AU$2,IF(#REF!=$Y$2,#REF!*gem_invest))</f>
        <v>#REF!</v>
      </c>
      <c r="AV42" s="134"/>
      <c r="AW42" s="57" t="e">
        <f>IF(#REF!=AW$2,IF(#REF!=$Z$2,#REF!*plat_invest)) + IF(#REF!=AW$2,IF(#REF!=$Z$2,#REF!*plat_invest)) + IF(#REF!=AW$2,IF(#REF!=$Z$2,#REF!*plat_invest))</f>
        <v>#REF!</v>
      </c>
      <c r="AX42" s="57" t="e">
        <f>IF(#REF!=AX$2,IF(#REF!=$Z$2,#REF!*lumber_invest)) + IF(#REF!=AX$2,IF(#REF!=$Z$2,#REF!*lumber_invest)) + IF(#REF!=AX$2,IF(#REF!=$Z$2,#REF!*lumber_invest))</f>
        <v>#REF!</v>
      </c>
      <c r="AY42" s="57" t="e">
        <f>IF(#REF!=AY$2,IF(#REF!=$Z$2,#REF!*ore_invest)) + IF(#REF!=AY$2,IF(#REF!=$Z$2,#REF!*ore_invest)) + IF(#REF!=AY$2,IF(#REF!=$Z$2,#REF!*ore_invest))</f>
        <v>#REF!</v>
      </c>
      <c r="AZ42" s="57" t="e">
        <f>IF(#REF!=AZ$2,IF(#REF!=$Z$2,#REF!*gem_invest)) + IF(#REF!=AZ$2,IF(#REF!=$Z$2,#REF!*gem_invest)) + IF(#REF!=AZ$2,IF(#REF!=$Z$2,#REF!*gem_invest))</f>
        <v>#REF!</v>
      </c>
      <c r="BA42" s="134"/>
      <c r="BB42" s="57" t="e">
        <f>IF(#REF!=BB$2,IF(#REF!=$AA$2,#REF!*plat_invest)) + IF(#REF!=BB$2,IF(#REF!=$AA$2,#REF!*plat_invest)) + IF(#REF!=BB$2,IF(#REF!=$AA$2,#REF!*plat_invest))</f>
        <v>#REF!</v>
      </c>
      <c r="BC42" s="57" t="e">
        <f>IF(#REF!=BC$2,IF(#REF!=$AA$2,#REF!*lumber_invest)) + IF(#REF!=BC$2,IF(#REF!=$AA$2,#REF!*lumber_invest)) + IF(#REF!=BC$2,IF(#REF!=$AA$2,#REF!*lumber_invest))</f>
        <v>#REF!</v>
      </c>
      <c r="BD42" s="57" t="e">
        <f>IF(#REF!=BD$2,IF(#REF!=$AA$2,#REF!*ore_invest)) + IF(#REF!=BD$2,IF(#REF!=$AA$2,#REF!*ore_invest)) + IF(#REF!=BD$2,IF(#REF!=$AA$2,#REF!*ore_invest))</f>
        <v>#REF!</v>
      </c>
      <c r="BE42" s="57" t="e">
        <f>IF(#REF!=BE$2,IF(#REF!=$AA$2,#REF!*gem_invest)) + IF(#REF!=BE$2,IF(#REF!=$AA$2,#REF!*gem_invest)) + IF(#REF!=BE$2,IF(#REF!=$AA$2,#REF!*gem_invest))</f>
        <v>#REF!</v>
      </c>
      <c r="BF42" s="134"/>
      <c r="BG42" s="57" t="e">
        <f>IF(#REF!=BG$2,IF(#REF!=$AB$2,#REF!*plat_invest)) + IF(#REF!=BG$2,IF(#REF!=$AB$2,#REF!*plat_invest)) + IF(#REF!=BG$2,IF(#REF!=$AB$2,#REF!*plat_invest))</f>
        <v>#REF!</v>
      </c>
      <c r="BH42" s="57" t="e">
        <f>IF(#REF!=BH$2,IF(#REF!=$AB$2,#REF!*lumber_invest)) + IF(#REF!=BH$2,IF(#REF!=$AB$2,#REF!*lumber_invest)) + IF(#REF!=BH$2,IF(#REF!=$AB$2,#REF!*lumber_invest))</f>
        <v>#REF!</v>
      </c>
      <c r="BI42" s="57" t="e">
        <f>IF(#REF!=BI$2,IF(#REF!=$AB$2,#REF!*ore_invest)) + IF(#REF!=BI$2,IF(#REF!=$AB$2,#REF!*ore_invest)) + IF(#REF!=BI$2,IF(#REF!=$AB$2,#REF!*ore_invest))</f>
        <v>#REF!</v>
      </c>
      <c r="BJ42" s="57" t="e">
        <f>IF(#REF!=BJ$2,IF(#REF!=$AB$2,#REF!*gem_invest)) + IF(#REF!=BJ$2,IF(#REF!=$AB$2,#REF!*gem_invest)) + IF(#REF!=BJ$2,IF(#REF!=$AB$2,#REF!*gem_invest))</f>
        <v>#REF!</v>
      </c>
      <c r="BK42" s="134"/>
      <c r="BL42" s="57" t="e">
        <f>IF(#REF!=BL$2,IF(#REF!=$AC$2,#REF!*plat_invest)) + IF(#REF!=BL$2,IF(#REF!=$AC$2,#REF!*plat_invest)) + IF(#REF!=BL$2,IF(#REF!=$AC$2,#REF!*plat_invest))</f>
        <v>#REF!</v>
      </c>
      <c r="BM42" s="57" t="e">
        <f>IF(#REF!=BM$2,IF(#REF!=$AC$2,#REF!*lumber_invest)) + IF(#REF!=BM$2,IF(#REF!=$AC$2,#REF!*lumber_invest)) + IF(#REF!=BM$2,IF(#REF!=$AC$2,#REF!*lumber_invest))</f>
        <v>#REF!</v>
      </c>
      <c r="BN42" s="57" t="e">
        <f>IF(#REF!=BN$2,IF(#REF!=$AC$2,#REF!*ore_invest)) + IF(#REF!=BN$2,IF(#REF!=$AC$2,#REF!*ore_invest)) + IF(#REF!=BN$2,IF(#REF!=$AC$2,#REF!*ore_invest))</f>
        <v>#REF!</v>
      </c>
      <c r="BO42" s="57" t="e">
        <f>IF(#REF!=BO$2,IF(#REF!=$AC$2,#REF!*gem_invest)) + IF(#REF!=BO$2,IF(#REF!=$AC$2,#REF!*gem_invest)) + IF(#REF!=BO$2,IF(#REF!=$AC$2,#REF!*gem_invest))</f>
        <v>#REF!</v>
      </c>
      <c r="BP42" s="134"/>
      <c r="BQ42" s="57" t="e">
        <f>IF(#REF!=BQ$2,IF(#REF!=$AD$2,#REF!*plat_invest)) + IF(#REF!=BQ$2,IF(#REF!=$AD$2,#REF!*plat_invest)) + IF(#REF!=BQ$2,IF(#REF!=$AD$2,#REF!*plat_invest))</f>
        <v>#REF!</v>
      </c>
      <c r="BR42" s="57" t="e">
        <f>IF(#REF!=BR$2,IF(#REF!=$AD$2,#REF!*lumber_invest)) + IF(#REF!=BR$2,IF(#REF!=$AD$2,#REF!*lumber_invest)) + IF(#REF!=BR$2,IF(#REF!=$AD$2,#REF!*lumber_invest))</f>
        <v>#REF!</v>
      </c>
      <c r="BS42" s="57" t="e">
        <f>IF(#REF!=BS$2,IF(#REF!=$AD$2,#REF!*ore_invest)) + IF(#REF!=BS$2,IF(#REF!=$AD$2,#REF!*ore_invest)) + IF(#REF!=BS$2,IF(#REF!=$AD$2,#REF!*ore_invest))</f>
        <v>#REF!</v>
      </c>
      <c r="BT42" s="57" t="e">
        <f>IF(#REF!=BT$2,IF(#REF!=$AD$2,#REF!*gem_invest)) + IF(#REF!=BT$2,IF(#REF!=$AD$2,#REF!*gem_invest)) + IF(#REF!=BT$2,IF(#REF!=$AD$2,#REF!*gem_invest))</f>
        <v>#REF!</v>
      </c>
      <c r="BU42" s="134"/>
      <c r="BV42" s="3" t="e">
        <f>OR(#REF!,#REF!,#REF!,#REF!,#REF!,#REF!,#REF!,#REF!,#REF!)</f>
        <v>#REF!</v>
      </c>
      <c r="BW42" s="61" t="e">
        <f>#REF!</f>
        <v>#REF!</v>
      </c>
      <c r="BX42" s="130"/>
      <c r="BY42" s="284" t="e">
        <f ca="1">OFFSET(#REF!,-1,0)+1/24</f>
        <v>#REF!</v>
      </c>
      <c r="BZ42" s="285" t="e">
        <f ca="1">OFFSET(#REF!,-1,0)+1/24</f>
        <v>#REF!</v>
      </c>
      <c r="CA42" s="288"/>
      <c r="CB42" s="283"/>
      <c r="CC42" s="283"/>
    </row>
    <row r="43" spans="1:82" x14ac:dyDescent="0.25">
      <c r="A43" s="206" t="e">
        <f>#REF!</f>
        <v>#REF!</v>
      </c>
      <c r="B43" s="134"/>
      <c r="C43" s="39" t="e">
        <f>#REF!</f>
        <v>#REF!</v>
      </c>
      <c r="D43" s="39" t="e">
        <f>#REF!</f>
        <v>#REF!</v>
      </c>
      <c r="E43" s="39" t="e">
        <f>#REF!</f>
        <v>#REF!</v>
      </c>
      <c r="F43" s="39" t="e">
        <f>#REF!</f>
        <v>#REF!</v>
      </c>
      <c r="G43" s="133"/>
      <c r="H43" s="39" t="e">
        <f>#REF!</f>
        <v>#REF!</v>
      </c>
      <c r="I43" s="132" t="e">
        <f>#REF!</f>
        <v>#REF!</v>
      </c>
      <c r="J43" s="132" t="e">
        <f>#REF!/#REF!</f>
        <v>#REF!</v>
      </c>
      <c r="K43" s="160" t="e">
        <f>#REF!</f>
        <v>#REF!</v>
      </c>
      <c r="L43" s="276" t="e">
        <f>#REF!</f>
        <v>#REF!</v>
      </c>
      <c r="M43" s="61">
        <f>IF(ISERROR(#REF!),0,#REF!*1)</f>
        <v>0</v>
      </c>
      <c r="N43" s="39" t="e">
        <f>#REF!</f>
        <v>#REF!</v>
      </c>
      <c r="O43" s="277" t="s">
        <v>4</v>
      </c>
      <c r="P43" s="278"/>
      <c r="Q43" s="277" t="s">
        <v>211</v>
      </c>
      <c r="R43" s="277" t="s">
        <v>7</v>
      </c>
      <c r="S43" s="278"/>
      <c r="T43" s="277" t="s">
        <v>211</v>
      </c>
      <c r="U43" s="277" t="s">
        <v>3</v>
      </c>
      <c r="V43" s="278"/>
      <c r="W43" s="277" t="s">
        <v>211</v>
      </c>
      <c r="X43" s="134"/>
      <c r="Y43" s="209" t="e">
        <f ca="1">science_cap*(1-EXP(-#REF!/(science_param*(OFFSET(#REF!,1,0)-OFFSET(#REF!,1,0)*20)+15000)))*(1+(mason_bonus*#REF!/#REF!))</f>
        <v>#REF!</v>
      </c>
      <c r="Z43" s="209" t="e">
        <f ca="1">keep_cap*(1-EXP(-#REF!/(keep_param*(OFFSET(#REF!,1,0)-OFFSET(#REF!,1,0)*20)+15000)))*(1+(mason_bonus*#REF!/#REF!))</f>
        <v>#REF!</v>
      </c>
      <c r="AA43" s="209" t="e">
        <f ca="1">harbor_towers_cap*(1-EXP(-#REF!/(towers_param*(OFFSET(#REF!,1,0)-OFFSET(#REF!,1,0)*20)+15000)))*(1+(mason_bonus*#REF!/#REF!))</f>
        <v>#REF!</v>
      </c>
      <c r="AB43" s="209" t="e">
        <f ca="1">walls_forges_cap*(1-EXP(-#REF!/(walls_forges_param*(OFFSET(#REF!,1,0)-OFFSET(#REF!,1,0)*20)+15000)))*(1+(mason_bonus*#REF!/#REF!))</f>
        <v>#REF!</v>
      </c>
      <c r="AC43" s="209" t="e">
        <f ca="1">walls_forges_cap*(1-EXP(-#REF!/(walls_forges_param*(OFFSET(#REF!,1,0)-OFFSET(#REF!,1,0)*20)+15000)))*(1+(mason_bonus*#REF!/#REF!))</f>
        <v>#REF!</v>
      </c>
      <c r="AD43" s="209" t="e">
        <f ca="1">harbor_towers_cap*(1-EXP(-#REF!/(harbor_towers_param*(OFFSET(#REF!,1,0)-OFFSET(#REF!,1,0)*20)+15000)))*(1+(mason_bonus*#REF!/#REF!))</f>
        <v>#REF!</v>
      </c>
      <c r="AE43" s="134"/>
      <c r="AF43" s="61" t="e">
        <f ca="1">(1+Overview!$I$28)*SUM(#REF!)+OFFSET(#REF!,-1,0)</f>
        <v>#REF!</v>
      </c>
      <c r="AG43" s="61" t="e">
        <f ca="1">(1+Overview!$I$28)*SUM(#REF!)+OFFSET(#REF!,-1,0)</f>
        <v>#REF!</v>
      </c>
      <c r="AH43" s="61" t="e">
        <f ca="1">(1+Overview!$I$28 + tech_7_1*#REF!)*SUM(#REF!)+OFFSET(#REF!,-1,0)</f>
        <v>#REF!</v>
      </c>
      <c r="AI43" s="61" t="e">
        <f ca="1">(1+Overview!$I$28)*SUM(#REF!)+OFFSET(#REF!,-1,0)</f>
        <v>#REF!</v>
      </c>
      <c r="AJ43" s="61" t="e">
        <f ca="1">(1+Overview!$I$28)*SUM(#REF!)+OFFSET(#REF!,-1,0)</f>
        <v>#REF!</v>
      </c>
      <c r="AK43" s="61" t="e">
        <f ca="1">(1+Overview!$I$28 + tech_7_1*#REF!)*SUM(#REF!)+OFFSET(#REF!,-1,0)</f>
        <v>#REF!</v>
      </c>
      <c r="AL43" s="134"/>
      <c r="AM43" s="57" t="e">
        <f>IF(AND(#REF!=AM$2,#REF!&lt;&gt;""),#REF!) + IF(AND(#REF!=AM$2,#REF!&lt;&gt;""),#REF!) + IF(AND(#REF!=AM$2,#REF!&lt;&gt;""),#REF!)</f>
        <v>#REF!</v>
      </c>
      <c r="AN43" s="57" t="e">
        <f>IF(AND(#REF!=AN$2,#REF!&lt;&gt;""),#REF!) + IF(AND(#REF!=AN$2,#REF!&lt;&gt;""),#REF!) + IF(AND(#REF!=AN$2,#REF!&lt;&gt;""),#REF!)</f>
        <v>#REF!</v>
      </c>
      <c r="AO43" s="57" t="e">
        <f>IF(AND(#REF!=AO$2,#REF!&lt;&gt;""),#REF!) + IF(AND(#REF!=AO$2,#REF!&lt;&gt;""),#REF!) + IF(AND(#REF!=AO$2,#REF!&lt;&gt;""),#REF!)</f>
        <v>#REF!</v>
      </c>
      <c r="AP43" s="57" t="e">
        <f>IF(AND(#REF!=AP$2,#REF!&lt;&gt;""),#REF!) + IF(AND(#REF!=AP$2,#REF!&lt;&gt;""),#REF!) + IF(AND(#REF!=AP$2,#REF!&lt;&gt;""),#REF!)</f>
        <v>#REF!</v>
      </c>
      <c r="AQ43" s="134"/>
      <c r="AR43" s="57" t="e">
        <f>IF(#REF!=AR$2,IF(#REF!=$Y$2,#REF!*plat_invest)) + IF(#REF!=AR$2,IF(#REF!=$Y$2,#REF!*plat_invest)) + IF(#REF!=AR$2,IF(#REF!=$Y$2,#REF!*plat_invest))</f>
        <v>#REF!</v>
      </c>
      <c r="AS43" s="57" t="e">
        <f>IF(#REF!=AS$2,IF(#REF!=$Y$2,#REF!*lumber_invest)) + IF(#REF!=AS$2,IF(#REF!=$Y$2,#REF!*lumber_invest)) + IF(#REF!=AS$2,IF(#REF!=$Y$2,#REF!*lumber_invest))</f>
        <v>#REF!</v>
      </c>
      <c r="AT43" s="57" t="e">
        <f>IF(#REF!=AT$2,IF(#REF!=$Y$2,#REF!*ore_invest)) + IF(#REF!=AT$2,IF(#REF!=$Y$2,#REF!*ore_invest)) + IF(#REF!=AT$2,IF(#REF!=$Y$2,#REF!*ore_invest))</f>
        <v>#REF!</v>
      </c>
      <c r="AU43" s="57" t="e">
        <f>IF(#REF!=AU$2,IF(#REF!=$Y$2,#REF!*gem_invest)) + IF(#REF!=AU$2,IF(#REF!=$Y$2,#REF!*gem_invest)) + IF(#REF!=AU$2,IF(#REF!=$Y$2,#REF!*gem_invest))</f>
        <v>#REF!</v>
      </c>
      <c r="AV43" s="134"/>
      <c r="AW43" s="57" t="e">
        <f>IF(#REF!=AW$2,IF(#REF!=$Z$2,#REF!*plat_invest)) + IF(#REF!=AW$2,IF(#REF!=$Z$2,#REF!*plat_invest)) + IF(#REF!=AW$2,IF(#REF!=$Z$2,#REF!*plat_invest))</f>
        <v>#REF!</v>
      </c>
      <c r="AX43" s="57" t="e">
        <f>IF(#REF!=AX$2,IF(#REF!=$Z$2,#REF!*lumber_invest)) + IF(#REF!=AX$2,IF(#REF!=$Z$2,#REF!*lumber_invest)) + IF(#REF!=AX$2,IF(#REF!=$Z$2,#REF!*lumber_invest))</f>
        <v>#REF!</v>
      </c>
      <c r="AY43" s="57" t="e">
        <f>IF(#REF!=AY$2,IF(#REF!=$Z$2,#REF!*ore_invest)) + IF(#REF!=AY$2,IF(#REF!=$Z$2,#REF!*ore_invest)) + IF(#REF!=AY$2,IF(#REF!=$Z$2,#REF!*ore_invest))</f>
        <v>#REF!</v>
      </c>
      <c r="AZ43" s="57" t="e">
        <f>IF(#REF!=AZ$2,IF(#REF!=$Z$2,#REF!*gem_invest)) + IF(#REF!=AZ$2,IF(#REF!=$Z$2,#REF!*gem_invest)) + IF(#REF!=AZ$2,IF(#REF!=$Z$2,#REF!*gem_invest))</f>
        <v>#REF!</v>
      </c>
      <c r="BA43" s="134"/>
      <c r="BB43" s="57" t="e">
        <f>IF(#REF!=BB$2,IF(#REF!=$AA$2,#REF!*plat_invest)) + IF(#REF!=BB$2,IF(#REF!=$AA$2,#REF!*plat_invest)) + IF(#REF!=BB$2,IF(#REF!=$AA$2,#REF!*plat_invest))</f>
        <v>#REF!</v>
      </c>
      <c r="BC43" s="57" t="e">
        <f>IF(#REF!=BC$2,IF(#REF!=$AA$2,#REF!*lumber_invest)) + IF(#REF!=BC$2,IF(#REF!=$AA$2,#REF!*lumber_invest)) + IF(#REF!=BC$2,IF(#REF!=$AA$2,#REF!*lumber_invest))</f>
        <v>#REF!</v>
      </c>
      <c r="BD43" s="57" t="e">
        <f>IF(#REF!=BD$2,IF(#REF!=$AA$2,#REF!*ore_invest)) + IF(#REF!=BD$2,IF(#REF!=$AA$2,#REF!*ore_invest)) + IF(#REF!=BD$2,IF(#REF!=$AA$2,#REF!*ore_invest))</f>
        <v>#REF!</v>
      </c>
      <c r="BE43" s="57" t="e">
        <f>IF(#REF!=BE$2,IF(#REF!=$AA$2,#REF!*gem_invest)) + IF(#REF!=BE$2,IF(#REF!=$AA$2,#REF!*gem_invest)) + IF(#REF!=BE$2,IF(#REF!=$AA$2,#REF!*gem_invest))</f>
        <v>#REF!</v>
      </c>
      <c r="BF43" s="134"/>
      <c r="BG43" s="57" t="e">
        <f>IF(#REF!=BG$2,IF(#REF!=$AB$2,#REF!*plat_invest)) + IF(#REF!=BG$2,IF(#REF!=$AB$2,#REF!*plat_invest)) + IF(#REF!=BG$2,IF(#REF!=$AB$2,#REF!*plat_invest))</f>
        <v>#REF!</v>
      </c>
      <c r="BH43" s="57" t="e">
        <f>IF(#REF!=BH$2,IF(#REF!=$AB$2,#REF!*lumber_invest)) + IF(#REF!=BH$2,IF(#REF!=$AB$2,#REF!*lumber_invest)) + IF(#REF!=BH$2,IF(#REF!=$AB$2,#REF!*lumber_invest))</f>
        <v>#REF!</v>
      </c>
      <c r="BI43" s="57" t="e">
        <f>IF(#REF!=BI$2,IF(#REF!=$AB$2,#REF!*ore_invest)) + IF(#REF!=BI$2,IF(#REF!=$AB$2,#REF!*ore_invest)) + IF(#REF!=BI$2,IF(#REF!=$AB$2,#REF!*ore_invest))</f>
        <v>#REF!</v>
      </c>
      <c r="BJ43" s="57" t="e">
        <f>IF(#REF!=BJ$2,IF(#REF!=$AB$2,#REF!*gem_invest)) + IF(#REF!=BJ$2,IF(#REF!=$AB$2,#REF!*gem_invest)) + IF(#REF!=BJ$2,IF(#REF!=$AB$2,#REF!*gem_invest))</f>
        <v>#REF!</v>
      </c>
      <c r="BK43" s="134"/>
      <c r="BL43" s="57" t="e">
        <f>IF(#REF!=BL$2,IF(#REF!=$AC$2,#REF!*plat_invest)) + IF(#REF!=BL$2,IF(#REF!=$AC$2,#REF!*plat_invest)) + IF(#REF!=BL$2,IF(#REF!=$AC$2,#REF!*plat_invest))</f>
        <v>#REF!</v>
      </c>
      <c r="BM43" s="57" t="e">
        <f>IF(#REF!=BM$2,IF(#REF!=$AC$2,#REF!*lumber_invest)) + IF(#REF!=BM$2,IF(#REF!=$AC$2,#REF!*lumber_invest)) + IF(#REF!=BM$2,IF(#REF!=$AC$2,#REF!*lumber_invest))</f>
        <v>#REF!</v>
      </c>
      <c r="BN43" s="57" t="e">
        <f>IF(#REF!=BN$2,IF(#REF!=$AC$2,#REF!*ore_invest)) + IF(#REF!=BN$2,IF(#REF!=$AC$2,#REF!*ore_invest)) + IF(#REF!=BN$2,IF(#REF!=$AC$2,#REF!*ore_invest))</f>
        <v>#REF!</v>
      </c>
      <c r="BO43" s="57" t="e">
        <f>IF(#REF!=BO$2,IF(#REF!=$AC$2,#REF!*gem_invest)) + IF(#REF!=BO$2,IF(#REF!=$AC$2,#REF!*gem_invest)) + IF(#REF!=BO$2,IF(#REF!=$AC$2,#REF!*gem_invest))</f>
        <v>#REF!</v>
      </c>
      <c r="BP43" s="134"/>
      <c r="BQ43" s="57" t="e">
        <f>IF(#REF!=BQ$2,IF(#REF!=$AD$2,#REF!*plat_invest)) + IF(#REF!=BQ$2,IF(#REF!=$AD$2,#REF!*plat_invest)) + IF(#REF!=BQ$2,IF(#REF!=$AD$2,#REF!*plat_invest))</f>
        <v>#REF!</v>
      </c>
      <c r="BR43" s="57" t="e">
        <f>IF(#REF!=BR$2,IF(#REF!=$AD$2,#REF!*lumber_invest)) + IF(#REF!=BR$2,IF(#REF!=$AD$2,#REF!*lumber_invest)) + IF(#REF!=BR$2,IF(#REF!=$AD$2,#REF!*lumber_invest))</f>
        <v>#REF!</v>
      </c>
      <c r="BS43" s="57" t="e">
        <f>IF(#REF!=BS$2,IF(#REF!=$AD$2,#REF!*ore_invest)) + IF(#REF!=BS$2,IF(#REF!=$AD$2,#REF!*ore_invest)) + IF(#REF!=BS$2,IF(#REF!=$AD$2,#REF!*ore_invest))</f>
        <v>#REF!</v>
      </c>
      <c r="BT43" s="57" t="e">
        <f>IF(#REF!=BT$2,IF(#REF!=$AD$2,#REF!*gem_invest)) + IF(#REF!=BT$2,IF(#REF!=$AD$2,#REF!*gem_invest)) + IF(#REF!=BT$2,IF(#REF!=$AD$2,#REF!*gem_invest))</f>
        <v>#REF!</v>
      </c>
      <c r="BU43" s="134"/>
      <c r="BV43" s="3" t="e">
        <f>OR(#REF!,#REF!,#REF!,#REF!,#REF!,#REF!,#REF!,#REF!,#REF!)</f>
        <v>#REF!</v>
      </c>
      <c r="BW43" s="61" t="e">
        <f>#REF!</f>
        <v>#REF!</v>
      </c>
      <c r="BX43" s="130"/>
      <c r="BY43" s="284" t="e">
        <f ca="1">OFFSET(#REF!,-1,0)+1/24</f>
        <v>#REF!</v>
      </c>
      <c r="BZ43" s="285" t="e">
        <f ca="1">OFFSET(#REF!,-1,0)+1/24</f>
        <v>#REF!</v>
      </c>
      <c r="CA43" s="57"/>
      <c r="CB43" s="283"/>
      <c r="CC43" s="283"/>
    </row>
    <row r="44" spans="1:82" x14ac:dyDescent="0.25">
      <c r="A44" s="206" t="e">
        <f>#REF!</f>
        <v>#REF!</v>
      </c>
      <c r="B44" s="134"/>
      <c r="C44" s="39" t="e">
        <f>#REF!</f>
        <v>#REF!</v>
      </c>
      <c r="D44" s="39" t="e">
        <f>#REF!</f>
        <v>#REF!</v>
      </c>
      <c r="E44" s="39" t="e">
        <f>#REF!</f>
        <v>#REF!</v>
      </c>
      <c r="F44" s="39" t="e">
        <f>#REF!</f>
        <v>#REF!</v>
      </c>
      <c r="G44" s="133"/>
      <c r="H44" s="39" t="e">
        <f>#REF!</f>
        <v>#REF!</v>
      </c>
      <c r="I44" s="132" t="e">
        <f>#REF!</f>
        <v>#REF!</v>
      </c>
      <c r="J44" s="132" t="e">
        <f>#REF!/#REF!</f>
        <v>#REF!</v>
      </c>
      <c r="K44" s="160" t="e">
        <f>#REF!</f>
        <v>#REF!</v>
      </c>
      <c r="L44" s="276" t="e">
        <f>#REF!</f>
        <v>#REF!</v>
      </c>
      <c r="M44" s="61">
        <f>IF(ISERROR(#REF!),0,#REF!*1)</f>
        <v>0</v>
      </c>
      <c r="N44" s="39" t="e">
        <f>#REF!</f>
        <v>#REF!</v>
      </c>
      <c r="O44" s="277" t="s">
        <v>4</v>
      </c>
      <c r="P44" s="278"/>
      <c r="Q44" s="277" t="s">
        <v>211</v>
      </c>
      <c r="R44" s="277" t="s">
        <v>7</v>
      </c>
      <c r="S44" s="278"/>
      <c r="T44" s="277" t="s">
        <v>211</v>
      </c>
      <c r="U44" s="277" t="s">
        <v>3</v>
      </c>
      <c r="V44" s="278"/>
      <c r="W44" s="277" t="s">
        <v>211</v>
      </c>
      <c r="X44" s="134"/>
      <c r="Y44" s="209" t="e">
        <f ca="1">science_cap*(1-EXP(-#REF!/(science_param*(OFFSET(#REF!,1,0)-OFFSET(#REF!,1,0)*20)+15000)))*(1+(mason_bonus*#REF!/#REF!))</f>
        <v>#REF!</v>
      </c>
      <c r="Z44" s="209" t="e">
        <f ca="1">keep_cap*(1-EXP(-#REF!/(keep_param*(OFFSET(#REF!,1,0)-OFFSET(#REF!,1,0)*20)+15000)))*(1+(mason_bonus*#REF!/#REF!))</f>
        <v>#REF!</v>
      </c>
      <c r="AA44" s="209" t="e">
        <f ca="1">harbor_towers_cap*(1-EXP(-#REF!/(towers_param*(OFFSET(#REF!,1,0)-OFFSET(#REF!,1,0)*20)+15000)))*(1+(mason_bonus*#REF!/#REF!))</f>
        <v>#REF!</v>
      </c>
      <c r="AB44" s="209" t="e">
        <f ca="1">walls_forges_cap*(1-EXP(-#REF!/(walls_forges_param*(OFFSET(#REF!,1,0)-OFFSET(#REF!,1,0)*20)+15000)))*(1+(mason_bonus*#REF!/#REF!))</f>
        <v>#REF!</v>
      </c>
      <c r="AC44" s="209" t="e">
        <f ca="1">walls_forges_cap*(1-EXP(-#REF!/(walls_forges_param*(OFFSET(#REF!,1,0)-OFFSET(#REF!,1,0)*20)+15000)))*(1+(mason_bonus*#REF!/#REF!))</f>
        <v>#REF!</v>
      </c>
      <c r="AD44" s="209" t="e">
        <f ca="1">harbor_towers_cap*(1-EXP(-#REF!/(harbor_towers_param*(OFFSET(#REF!,1,0)-OFFSET(#REF!,1,0)*20)+15000)))*(1+(mason_bonus*#REF!/#REF!))</f>
        <v>#REF!</v>
      </c>
      <c r="AE44" s="134"/>
      <c r="AF44" s="61" t="e">
        <f ca="1">(1+Overview!$I$28)*SUM(#REF!)+OFFSET(#REF!,-1,0)</f>
        <v>#REF!</v>
      </c>
      <c r="AG44" s="61" t="e">
        <f ca="1">(1+Overview!$I$28)*SUM(#REF!)+OFFSET(#REF!,-1,0)</f>
        <v>#REF!</v>
      </c>
      <c r="AH44" s="61" t="e">
        <f ca="1">(1+Overview!$I$28 + tech_7_1*#REF!)*SUM(#REF!)+OFFSET(#REF!,-1,0)</f>
        <v>#REF!</v>
      </c>
      <c r="AI44" s="61" t="e">
        <f ca="1">(1+Overview!$I$28)*SUM(#REF!)+OFFSET(#REF!,-1,0)</f>
        <v>#REF!</v>
      </c>
      <c r="AJ44" s="61" t="e">
        <f ca="1">(1+Overview!$I$28)*SUM(#REF!)+OFFSET(#REF!,-1,0)</f>
        <v>#REF!</v>
      </c>
      <c r="AK44" s="61" t="e">
        <f ca="1">(1+Overview!$I$28 + tech_7_1*#REF!)*SUM(#REF!)+OFFSET(#REF!,-1,0)</f>
        <v>#REF!</v>
      </c>
      <c r="AL44" s="134"/>
      <c r="AM44" s="57" t="e">
        <f>IF(AND(#REF!=AM$2,#REF!&lt;&gt;""),#REF!) + IF(AND(#REF!=AM$2,#REF!&lt;&gt;""),#REF!) + IF(AND(#REF!=AM$2,#REF!&lt;&gt;""),#REF!)</f>
        <v>#REF!</v>
      </c>
      <c r="AN44" s="57" t="e">
        <f>IF(AND(#REF!=AN$2,#REF!&lt;&gt;""),#REF!) + IF(AND(#REF!=AN$2,#REF!&lt;&gt;""),#REF!) + IF(AND(#REF!=AN$2,#REF!&lt;&gt;""),#REF!)</f>
        <v>#REF!</v>
      </c>
      <c r="AO44" s="57" t="e">
        <f>IF(AND(#REF!=AO$2,#REF!&lt;&gt;""),#REF!) + IF(AND(#REF!=AO$2,#REF!&lt;&gt;""),#REF!) + IF(AND(#REF!=AO$2,#REF!&lt;&gt;""),#REF!)</f>
        <v>#REF!</v>
      </c>
      <c r="AP44" s="57" t="e">
        <f>IF(AND(#REF!=AP$2,#REF!&lt;&gt;""),#REF!) + IF(AND(#REF!=AP$2,#REF!&lt;&gt;""),#REF!) + IF(AND(#REF!=AP$2,#REF!&lt;&gt;""),#REF!)</f>
        <v>#REF!</v>
      </c>
      <c r="AQ44" s="134"/>
      <c r="AR44" s="57" t="e">
        <f>IF(#REF!=AR$2,IF(#REF!=$Y$2,#REF!*plat_invest)) + IF(#REF!=AR$2,IF(#REF!=$Y$2,#REF!*plat_invest)) + IF(#REF!=AR$2,IF(#REF!=$Y$2,#REF!*plat_invest))</f>
        <v>#REF!</v>
      </c>
      <c r="AS44" s="57" t="e">
        <f>IF(#REF!=AS$2,IF(#REF!=$Y$2,#REF!*lumber_invest)) + IF(#REF!=AS$2,IF(#REF!=$Y$2,#REF!*lumber_invest)) + IF(#REF!=AS$2,IF(#REF!=$Y$2,#REF!*lumber_invest))</f>
        <v>#REF!</v>
      </c>
      <c r="AT44" s="57" t="e">
        <f>IF(#REF!=AT$2,IF(#REF!=$Y$2,#REF!*ore_invest)) + IF(#REF!=AT$2,IF(#REF!=$Y$2,#REF!*ore_invest)) + IF(#REF!=AT$2,IF(#REF!=$Y$2,#REF!*ore_invest))</f>
        <v>#REF!</v>
      </c>
      <c r="AU44" s="57" t="e">
        <f>IF(#REF!=AU$2,IF(#REF!=$Y$2,#REF!*gem_invest)) + IF(#REF!=AU$2,IF(#REF!=$Y$2,#REF!*gem_invest)) + IF(#REF!=AU$2,IF(#REF!=$Y$2,#REF!*gem_invest))</f>
        <v>#REF!</v>
      </c>
      <c r="AV44" s="134"/>
      <c r="AW44" s="57" t="e">
        <f>IF(#REF!=AW$2,IF(#REF!=$Z$2,#REF!*plat_invest)) + IF(#REF!=AW$2,IF(#REF!=$Z$2,#REF!*plat_invest)) + IF(#REF!=AW$2,IF(#REF!=$Z$2,#REF!*plat_invest))</f>
        <v>#REF!</v>
      </c>
      <c r="AX44" s="57" t="e">
        <f>IF(#REF!=AX$2,IF(#REF!=$Z$2,#REF!*lumber_invest)) + IF(#REF!=AX$2,IF(#REF!=$Z$2,#REF!*lumber_invest)) + IF(#REF!=AX$2,IF(#REF!=$Z$2,#REF!*lumber_invest))</f>
        <v>#REF!</v>
      </c>
      <c r="AY44" s="57" t="e">
        <f>IF(#REF!=AY$2,IF(#REF!=$Z$2,#REF!*ore_invest)) + IF(#REF!=AY$2,IF(#REF!=$Z$2,#REF!*ore_invest)) + IF(#REF!=AY$2,IF(#REF!=$Z$2,#REF!*ore_invest))</f>
        <v>#REF!</v>
      </c>
      <c r="AZ44" s="57" t="e">
        <f>IF(#REF!=AZ$2,IF(#REF!=$Z$2,#REF!*gem_invest)) + IF(#REF!=AZ$2,IF(#REF!=$Z$2,#REF!*gem_invest)) + IF(#REF!=AZ$2,IF(#REF!=$Z$2,#REF!*gem_invest))</f>
        <v>#REF!</v>
      </c>
      <c r="BA44" s="134"/>
      <c r="BB44" s="57" t="e">
        <f>IF(#REF!=BB$2,IF(#REF!=$AA$2,#REF!*plat_invest)) + IF(#REF!=BB$2,IF(#REF!=$AA$2,#REF!*plat_invest)) + IF(#REF!=BB$2,IF(#REF!=$AA$2,#REF!*plat_invest))</f>
        <v>#REF!</v>
      </c>
      <c r="BC44" s="57" t="e">
        <f>IF(#REF!=BC$2,IF(#REF!=$AA$2,#REF!*lumber_invest)) + IF(#REF!=BC$2,IF(#REF!=$AA$2,#REF!*lumber_invest)) + IF(#REF!=BC$2,IF(#REF!=$AA$2,#REF!*lumber_invest))</f>
        <v>#REF!</v>
      </c>
      <c r="BD44" s="57" t="e">
        <f>IF(#REF!=BD$2,IF(#REF!=$AA$2,#REF!*ore_invest)) + IF(#REF!=BD$2,IF(#REF!=$AA$2,#REF!*ore_invest)) + IF(#REF!=BD$2,IF(#REF!=$AA$2,#REF!*ore_invest))</f>
        <v>#REF!</v>
      </c>
      <c r="BE44" s="57" t="e">
        <f>IF(#REF!=BE$2,IF(#REF!=$AA$2,#REF!*gem_invest)) + IF(#REF!=BE$2,IF(#REF!=$AA$2,#REF!*gem_invest)) + IF(#REF!=BE$2,IF(#REF!=$AA$2,#REF!*gem_invest))</f>
        <v>#REF!</v>
      </c>
      <c r="BF44" s="134"/>
      <c r="BG44" s="57" t="e">
        <f>IF(#REF!=BG$2,IF(#REF!=$AB$2,#REF!*plat_invest)) + IF(#REF!=BG$2,IF(#REF!=$AB$2,#REF!*plat_invest)) + IF(#REF!=BG$2,IF(#REF!=$AB$2,#REF!*plat_invest))</f>
        <v>#REF!</v>
      </c>
      <c r="BH44" s="57" t="e">
        <f>IF(#REF!=BH$2,IF(#REF!=$AB$2,#REF!*lumber_invest)) + IF(#REF!=BH$2,IF(#REF!=$AB$2,#REF!*lumber_invest)) + IF(#REF!=BH$2,IF(#REF!=$AB$2,#REF!*lumber_invest))</f>
        <v>#REF!</v>
      </c>
      <c r="BI44" s="57" t="e">
        <f>IF(#REF!=BI$2,IF(#REF!=$AB$2,#REF!*ore_invest)) + IF(#REF!=BI$2,IF(#REF!=$AB$2,#REF!*ore_invest)) + IF(#REF!=BI$2,IF(#REF!=$AB$2,#REF!*ore_invest))</f>
        <v>#REF!</v>
      </c>
      <c r="BJ44" s="57" t="e">
        <f>IF(#REF!=BJ$2,IF(#REF!=$AB$2,#REF!*gem_invest)) + IF(#REF!=BJ$2,IF(#REF!=$AB$2,#REF!*gem_invest)) + IF(#REF!=BJ$2,IF(#REF!=$AB$2,#REF!*gem_invest))</f>
        <v>#REF!</v>
      </c>
      <c r="BK44" s="134"/>
      <c r="BL44" s="57" t="e">
        <f>IF(#REF!=BL$2,IF(#REF!=$AC$2,#REF!*plat_invest)) + IF(#REF!=BL$2,IF(#REF!=$AC$2,#REF!*plat_invest)) + IF(#REF!=BL$2,IF(#REF!=$AC$2,#REF!*plat_invest))</f>
        <v>#REF!</v>
      </c>
      <c r="BM44" s="57" t="e">
        <f>IF(#REF!=BM$2,IF(#REF!=$AC$2,#REF!*lumber_invest)) + IF(#REF!=BM$2,IF(#REF!=$AC$2,#REF!*lumber_invest)) + IF(#REF!=BM$2,IF(#REF!=$AC$2,#REF!*lumber_invest))</f>
        <v>#REF!</v>
      </c>
      <c r="BN44" s="57" t="e">
        <f>IF(#REF!=BN$2,IF(#REF!=$AC$2,#REF!*ore_invest)) + IF(#REF!=BN$2,IF(#REF!=$AC$2,#REF!*ore_invest)) + IF(#REF!=BN$2,IF(#REF!=$AC$2,#REF!*ore_invest))</f>
        <v>#REF!</v>
      </c>
      <c r="BO44" s="57" t="e">
        <f>IF(#REF!=BO$2,IF(#REF!=$AC$2,#REF!*gem_invest)) + IF(#REF!=BO$2,IF(#REF!=$AC$2,#REF!*gem_invest)) + IF(#REF!=BO$2,IF(#REF!=$AC$2,#REF!*gem_invest))</f>
        <v>#REF!</v>
      </c>
      <c r="BP44" s="134"/>
      <c r="BQ44" s="57" t="e">
        <f>IF(#REF!=BQ$2,IF(#REF!=$AD$2,#REF!*plat_invest)) + IF(#REF!=BQ$2,IF(#REF!=$AD$2,#REF!*plat_invest)) + IF(#REF!=BQ$2,IF(#REF!=$AD$2,#REF!*plat_invest))</f>
        <v>#REF!</v>
      </c>
      <c r="BR44" s="57" t="e">
        <f>IF(#REF!=BR$2,IF(#REF!=$AD$2,#REF!*lumber_invest)) + IF(#REF!=BR$2,IF(#REF!=$AD$2,#REF!*lumber_invest)) + IF(#REF!=BR$2,IF(#REF!=$AD$2,#REF!*lumber_invest))</f>
        <v>#REF!</v>
      </c>
      <c r="BS44" s="57" t="e">
        <f>IF(#REF!=BS$2,IF(#REF!=$AD$2,#REF!*ore_invest)) + IF(#REF!=BS$2,IF(#REF!=$AD$2,#REF!*ore_invest)) + IF(#REF!=BS$2,IF(#REF!=$AD$2,#REF!*ore_invest))</f>
        <v>#REF!</v>
      </c>
      <c r="BT44" s="57" t="e">
        <f>IF(#REF!=BT$2,IF(#REF!=$AD$2,#REF!*gem_invest)) + IF(#REF!=BT$2,IF(#REF!=$AD$2,#REF!*gem_invest)) + IF(#REF!=BT$2,IF(#REF!=$AD$2,#REF!*gem_invest))</f>
        <v>#REF!</v>
      </c>
      <c r="BU44" s="134"/>
      <c r="BV44" s="3" t="e">
        <f>OR(#REF!,#REF!,#REF!,#REF!,#REF!,#REF!,#REF!,#REF!,#REF!)</f>
        <v>#REF!</v>
      </c>
      <c r="BW44" s="61" t="e">
        <f>#REF!</f>
        <v>#REF!</v>
      </c>
      <c r="BX44" s="130"/>
      <c r="BY44" s="284" t="e">
        <f ca="1">OFFSET(#REF!,-1,0)+1/24</f>
        <v>#REF!</v>
      </c>
      <c r="BZ44" s="285" t="e">
        <f ca="1">OFFSET(#REF!,-1,0)+1/24</f>
        <v>#REF!</v>
      </c>
      <c r="CA44" s="57"/>
      <c r="CB44" s="283"/>
      <c r="CC44" s="283"/>
    </row>
    <row r="45" spans="1:82" x14ac:dyDescent="0.25">
      <c r="A45" s="206" t="e">
        <f>#REF!</f>
        <v>#REF!</v>
      </c>
      <c r="B45" s="134"/>
      <c r="C45" s="39" t="e">
        <f>#REF!</f>
        <v>#REF!</v>
      </c>
      <c r="D45" s="39" t="e">
        <f>#REF!</f>
        <v>#REF!</v>
      </c>
      <c r="E45" s="39" t="e">
        <f>#REF!</f>
        <v>#REF!</v>
      </c>
      <c r="F45" s="39" t="e">
        <f>#REF!</f>
        <v>#REF!</v>
      </c>
      <c r="G45" s="133"/>
      <c r="H45" s="39" t="e">
        <f>#REF!</f>
        <v>#REF!</v>
      </c>
      <c r="I45" s="132" t="e">
        <f>#REF!</f>
        <v>#REF!</v>
      </c>
      <c r="J45" s="132" t="e">
        <f>#REF!/#REF!</f>
        <v>#REF!</v>
      </c>
      <c r="K45" s="160" t="e">
        <f>#REF!</f>
        <v>#REF!</v>
      </c>
      <c r="L45" s="276" t="e">
        <f>#REF!</f>
        <v>#REF!</v>
      </c>
      <c r="M45" s="61">
        <f>IF(ISERROR(#REF!),0,#REF!*1)</f>
        <v>0</v>
      </c>
      <c r="N45" s="39" t="e">
        <f>#REF!</f>
        <v>#REF!</v>
      </c>
      <c r="O45" s="277" t="s">
        <v>4</v>
      </c>
      <c r="P45" s="278"/>
      <c r="Q45" s="277" t="s">
        <v>211</v>
      </c>
      <c r="R45" s="277" t="s">
        <v>7</v>
      </c>
      <c r="S45" s="278"/>
      <c r="T45" s="277" t="s">
        <v>211</v>
      </c>
      <c r="U45" s="277" t="s">
        <v>3</v>
      </c>
      <c r="V45" s="278"/>
      <c r="W45" s="277" t="s">
        <v>211</v>
      </c>
      <c r="X45" s="134"/>
      <c r="Y45" s="209" t="e">
        <f ca="1">science_cap*(1-EXP(-#REF!/(science_param*(OFFSET(#REF!,1,0)-OFFSET(#REF!,1,0)*20)+15000)))*(1+(mason_bonus*#REF!/#REF!))</f>
        <v>#REF!</v>
      </c>
      <c r="Z45" s="209" t="e">
        <f ca="1">keep_cap*(1-EXP(-#REF!/(keep_param*(OFFSET(#REF!,1,0)-OFFSET(#REF!,1,0)*20)+15000)))*(1+(mason_bonus*#REF!/#REF!))</f>
        <v>#REF!</v>
      </c>
      <c r="AA45" s="209" t="e">
        <f ca="1">harbor_towers_cap*(1-EXP(-#REF!/(towers_param*(OFFSET(#REF!,1,0)-OFFSET(#REF!,1,0)*20)+15000)))*(1+(mason_bonus*#REF!/#REF!))</f>
        <v>#REF!</v>
      </c>
      <c r="AB45" s="209" t="e">
        <f ca="1">walls_forges_cap*(1-EXP(-#REF!/(walls_forges_param*(OFFSET(#REF!,1,0)-OFFSET(#REF!,1,0)*20)+15000)))*(1+(mason_bonus*#REF!/#REF!))</f>
        <v>#REF!</v>
      </c>
      <c r="AC45" s="209" t="e">
        <f ca="1">walls_forges_cap*(1-EXP(-#REF!/(walls_forges_param*(OFFSET(#REF!,1,0)-OFFSET(#REF!,1,0)*20)+15000)))*(1+(mason_bonus*#REF!/#REF!))</f>
        <v>#REF!</v>
      </c>
      <c r="AD45" s="209" t="e">
        <f ca="1">harbor_towers_cap*(1-EXP(-#REF!/(harbor_towers_param*(OFFSET(#REF!,1,0)-OFFSET(#REF!,1,0)*20)+15000)))*(1+(mason_bonus*#REF!/#REF!))</f>
        <v>#REF!</v>
      </c>
      <c r="AE45" s="134"/>
      <c r="AF45" s="61" t="e">
        <f ca="1">(1+Overview!$I$28)*SUM(#REF!)+OFFSET(#REF!,-1,0)</f>
        <v>#REF!</v>
      </c>
      <c r="AG45" s="61" t="e">
        <f ca="1">(1+Overview!$I$28)*SUM(#REF!)+OFFSET(#REF!,-1,0)</f>
        <v>#REF!</v>
      </c>
      <c r="AH45" s="61" t="e">
        <f ca="1">(1+Overview!$I$28 + tech_7_1*#REF!)*SUM(#REF!)+OFFSET(#REF!,-1,0)</f>
        <v>#REF!</v>
      </c>
      <c r="AI45" s="61" t="e">
        <f ca="1">(1+Overview!$I$28)*SUM(#REF!)+OFFSET(#REF!,-1,0)</f>
        <v>#REF!</v>
      </c>
      <c r="AJ45" s="61" t="e">
        <f ca="1">(1+Overview!$I$28)*SUM(#REF!)+OFFSET(#REF!,-1,0)</f>
        <v>#REF!</v>
      </c>
      <c r="AK45" s="61" t="e">
        <f ca="1">(1+Overview!$I$28 + tech_7_1*#REF!)*SUM(#REF!)+OFFSET(#REF!,-1,0)</f>
        <v>#REF!</v>
      </c>
      <c r="AL45" s="134"/>
      <c r="AM45" s="57" t="e">
        <f>IF(AND(#REF!=AM$2,#REF!&lt;&gt;""),#REF!) + IF(AND(#REF!=AM$2,#REF!&lt;&gt;""),#REF!) + IF(AND(#REF!=AM$2,#REF!&lt;&gt;""),#REF!)</f>
        <v>#REF!</v>
      </c>
      <c r="AN45" s="57" t="e">
        <f>IF(AND(#REF!=AN$2,#REF!&lt;&gt;""),#REF!) + IF(AND(#REF!=AN$2,#REF!&lt;&gt;""),#REF!) + IF(AND(#REF!=AN$2,#REF!&lt;&gt;""),#REF!)</f>
        <v>#REF!</v>
      </c>
      <c r="AO45" s="57" t="e">
        <f>IF(AND(#REF!=AO$2,#REF!&lt;&gt;""),#REF!) + IF(AND(#REF!=AO$2,#REF!&lt;&gt;""),#REF!) + IF(AND(#REF!=AO$2,#REF!&lt;&gt;""),#REF!)</f>
        <v>#REF!</v>
      </c>
      <c r="AP45" s="57" t="e">
        <f>IF(AND(#REF!=AP$2,#REF!&lt;&gt;""),#REF!) + IF(AND(#REF!=AP$2,#REF!&lt;&gt;""),#REF!) + IF(AND(#REF!=AP$2,#REF!&lt;&gt;""),#REF!)</f>
        <v>#REF!</v>
      </c>
      <c r="AQ45" s="134"/>
      <c r="AR45" s="57" t="e">
        <f>IF(#REF!=AR$2,IF(#REF!=$Y$2,#REF!*plat_invest)) + IF(#REF!=AR$2,IF(#REF!=$Y$2,#REF!*plat_invest)) + IF(#REF!=AR$2,IF(#REF!=$Y$2,#REF!*plat_invest))</f>
        <v>#REF!</v>
      </c>
      <c r="AS45" s="57" t="e">
        <f>IF(#REF!=AS$2,IF(#REF!=$Y$2,#REF!*lumber_invest)) + IF(#REF!=AS$2,IF(#REF!=$Y$2,#REF!*lumber_invest)) + IF(#REF!=AS$2,IF(#REF!=$Y$2,#REF!*lumber_invest))</f>
        <v>#REF!</v>
      </c>
      <c r="AT45" s="57" t="e">
        <f>IF(#REF!=AT$2,IF(#REF!=$Y$2,#REF!*ore_invest)) + IF(#REF!=AT$2,IF(#REF!=$Y$2,#REF!*ore_invest)) + IF(#REF!=AT$2,IF(#REF!=$Y$2,#REF!*ore_invest))</f>
        <v>#REF!</v>
      </c>
      <c r="AU45" s="57" t="e">
        <f>IF(#REF!=AU$2,IF(#REF!=$Y$2,#REF!*gem_invest)) + IF(#REF!=AU$2,IF(#REF!=$Y$2,#REF!*gem_invest)) + IF(#REF!=AU$2,IF(#REF!=$Y$2,#REF!*gem_invest))</f>
        <v>#REF!</v>
      </c>
      <c r="AV45" s="134"/>
      <c r="AW45" s="57" t="e">
        <f>IF(#REF!=AW$2,IF(#REF!=$Z$2,#REF!*plat_invest)) + IF(#REF!=AW$2,IF(#REF!=$Z$2,#REF!*plat_invest)) + IF(#REF!=AW$2,IF(#REF!=$Z$2,#REF!*plat_invest))</f>
        <v>#REF!</v>
      </c>
      <c r="AX45" s="57" t="e">
        <f>IF(#REF!=AX$2,IF(#REF!=$Z$2,#REF!*lumber_invest)) + IF(#REF!=AX$2,IF(#REF!=$Z$2,#REF!*lumber_invest)) + IF(#REF!=AX$2,IF(#REF!=$Z$2,#REF!*lumber_invest))</f>
        <v>#REF!</v>
      </c>
      <c r="AY45" s="57" t="e">
        <f>IF(#REF!=AY$2,IF(#REF!=$Z$2,#REF!*ore_invest)) + IF(#REF!=AY$2,IF(#REF!=$Z$2,#REF!*ore_invest)) + IF(#REF!=AY$2,IF(#REF!=$Z$2,#REF!*ore_invest))</f>
        <v>#REF!</v>
      </c>
      <c r="AZ45" s="57" t="e">
        <f>IF(#REF!=AZ$2,IF(#REF!=$Z$2,#REF!*gem_invest)) + IF(#REF!=AZ$2,IF(#REF!=$Z$2,#REF!*gem_invest)) + IF(#REF!=AZ$2,IF(#REF!=$Z$2,#REF!*gem_invest))</f>
        <v>#REF!</v>
      </c>
      <c r="BA45" s="134"/>
      <c r="BB45" s="57" t="e">
        <f>IF(#REF!=BB$2,IF(#REF!=$AA$2,#REF!*plat_invest)) + IF(#REF!=BB$2,IF(#REF!=$AA$2,#REF!*plat_invest)) + IF(#REF!=BB$2,IF(#REF!=$AA$2,#REF!*plat_invest))</f>
        <v>#REF!</v>
      </c>
      <c r="BC45" s="57" t="e">
        <f>IF(#REF!=BC$2,IF(#REF!=$AA$2,#REF!*lumber_invest)) + IF(#REF!=BC$2,IF(#REF!=$AA$2,#REF!*lumber_invest)) + IF(#REF!=BC$2,IF(#REF!=$AA$2,#REF!*lumber_invest))</f>
        <v>#REF!</v>
      </c>
      <c r="BD45" s="57" t="e">
        <f>IF(#REF!=BD$2,IF(#REF!=$AA$2,#REF!*ore_invest)) + IF(#REF!=BD$2,IF(#REF!=$AA$2,#REF!*ore_invest)) + IF(#REF!=BD$2,IF(#REF!=$AA$2,#REF!*ore_invest))</f>
        <v>#REF!</v>
      </c>
      <c r="BE45" s="57" t="e">
        <f>IF(#REF!=BE$2,IF(#REF!=$AA$2,#REF!*gem_invest)) + IF(#REF!=BE$2,IF(#REF!=$AA$2,#REF!*gem_invest)) + IF(#REF!=BE$2,IF(#REF!=$AA$2,#REF!*gem_invest))</f>
        <v>#REF!</v>
      </c>
      <c r="BF45" s="134"/>
      <c r="BG45" s="57" t="e">
        <f>IF(#REF!=BG$2,IF(#REF!=$AB$2,#REF!*plat_invest)) + IF(#REF!=BG$2,IF(#REF!=$AB$2,#REF!*plat_invest)) + IF(#REF!=BG$2,IF(#REF!=$AB$2,#REF!*plat_invest))</f>
        <v>#REF!</v>
      </c>
      <c r="BH45" s="57" t="e">
        <f>IF(#REF!=BH$2,IF(#REF!=$AB$2,#REF!*lumber_invest)) + IF(#REF!=BH$2,IF(#REF!=$AB$2,#REF!*lumber_invest)) + IF(#REF!=BH$2,IF(#REF!=$AB$2,#REF!*lumber_invest))</f>
        <v>#REF!</v>
      </c>
      <c r="BI45" s="57" t="e">
        <f>IF(#REF!=BI$2,IF(#REF!=$AB$2,#REF!*ore_invest)) + IF(#REF!=BI$2,IF(#REF!=$AB$2,#REF!*ore_invest)) + IF(#REF!=BI$2,IF(#REF!=$AB$2,#REF!*ore_invest))</f>
        <v>#REF!</v>
      </c>
      <c r="BJ45" s="57" t="e">
        <f>IF(#REF!=BJ$2,IF(#REF!=$AB$2,#REF!*gem_invest)) + IF(#REF!=BJ$2,IF(#REF!=$AB$2,#REF!*gem_invest)) + IF(#REF!=BJ$2,IF(#REF!=$AB$2,#REF!*gem_invest))</f>
        <v>#REF!</v>
      </c>
      <c r="BK45" s="134"/>
      <c r="BL45" s="57" t="e">
        <f>IF(#REF!=BL$2,IF(#REF!=$AC$2,#REF!*plat_invest)) + IF(#REF!=BL$2,IF(#REF!=$AC$2,#REF!*plat_invest)) + IF(#REF!=BL$2,IF(#REF!=$AC$2,#REF!*plat_invest))</f>
        <v>#REF!</v>
      </c>
      <c r="BM45" s="57" t="e">
        <f>IF(#REF!=BM$2,IF(#REF!=$AC$2,#REF!*lumber_invest)) + IF(#REF!=BM$2,IF(#REF!=$AC$2,#REF!*lumber_invest)) + IF(#REF!=BM$2,IF(#REF!=$AC$2,#REF!*lumber_invest))</f>
        <v>#REF!</v>
      </c>
      <c r="BN45" s="57" t="e">
        <f>IF(#REF!=BN$2,IF(#REF!=$AC$2,#REF!*ore_invest)) + IF(#REF!=BN$2,IF(#REF!=$AC$2,#REF!*ore_invest)) + IF(#REF!=BN$2,IF(#REF!=$AC$2,#REF!*ore_invest))</f>
        <v>#REF!</v>
      </c>
      <c r="BO45" s="57" t="e">
        <f>IF(#REF!=BO$2,IF(#REF!=$AC$2,#REF!*gem_invest)) + IF(#REF!=BO$2,IF(#REF!=$AC$2,#REF!*gem_invest)) + IF(#REF!=BO$2,IF(#REF!=$AC$2,#REF!*gem_invest))</f>
        <v>#REF!</v>
      </c>
      <c r="BP45" s="134"/>
      <c r="BQ45" s="57" t="e">
        <f>IF(#REF!=BQ$2,IF(#REF!=$AD$2,#REF!*plat_invest)) + IF(#REF!=BQ$2,IF(#REF!=$AD$2,#REF!*plat_invest)) + IF(#REF!=BQ$2,IF(#REF!=$AD$2,#REF!*plat_invest))</f>
        <v>#REF!</v>
      </c>
      <c r="BR45" s="57" t="e">
        <f>IF(#REF!=BR$2,IF(#REF!=$AD$2,#REF!*lumber_invest)) + IF(#REF!=BR$2,IF(#REF!=$AD$2,#REF!*lumber_invest)) + IF(#REF!=BR$2,IF(#REF!=$AD$2,#REF!*lumber_invest))</f>
        <v>#REF!</v>
      </c>
      <c r="BS45" s="57" t="e">
        <f>IF(#REF!=BS$2,IF(#REF!=$AD$2,#REF!*ore_invest)) + IF(#REF!=BS$2,IF(#REF!=$AD$2,#REF!*ore_invest)) + IF(#REF!=BS$2,IF(#REF!=$AD$2,#REF!*ore_invest))</f>
        <v>#REF!</v>
      </c>
      <c r="BT45" s="57" t="e">
        <f>IF(#REF!=BT$2,IF(#REF!=$AD$2,#REF!*gem_invest)) + IF(#REF!=BT$2,IF(#REF!=$AD$2,#REF!*gem_invest)) + IF(#REF!=BT$2,IF(#REF!=$AD$2,#REF!*gem_invest))</f>
        <v>#REF!</v>
      </c>
      <c r="BU45" s="134"/>
      <c r="BV45" s="3" t="e">
        <f>OR(#REF!,#REF!,#REF!,#REF!,#REF!,#REF!,#REF!,#REF!,#REF!)</f>
        <v>#REF!</v>
      </c>
      <c r="BW45" s="61" t="e">
        <f>#REF!</f>
        <v>#REF!</v>
      </c>
      <c r="BX45" s="130"/>
      <c r="BY45" s="284" t="e">
        <f ca="1">OFFSET(#REF!,-1,0)+1/24</f>
        <v>#REF!</v>
      </c>
      <c r="BZ45" s="285" t="e">
        <f ca="1">OFFSET(#REF!,-1,0)+1/24</f>
        <v>#REF!</v>
      </c>
      <c r="CA45" s="57"/>
      <c r="CB45" s="283"/>
      <c r="CC45" s="283"/>
    </row>
    <row r="46" spans="1:82" x14ac:dyDescent="0.25">
      <c r="A46" s="206" t="e">
        <f>#REF!</f>
        <v>#REF!</v>
      </c>
      <c r="B46" s="134"/>
      <c r="C46" s="39" t="e">
        <f>#REF!</f>
        <v>#REF!</v>
      </c>
      <c r="D46" s="39" t="e">
        <f>#REF!</f>
        <v>#REF!</v>
      </c>
      <c r="E46" s="39" t="e">
        <f>#REF!</f>
        <v>#REF!</v>
      </c>
      <c r="F46" s="39" t="e">
        <f>#REF!</f>
        <v>#REF!</v>
      </c>
      <c r="G46" s="133"/>
      <c r="H46" s="39" t="e">
        <f>#REF!</f>
        <v>#REF!</v>
      </c>
      <c r="I46" s="132" t="e">
        <f>#REF!</f>
        <v>#REF!</v>
      </c>
      <c r="J46" s="132" t="e">
        <f>#REF!/#REF!</f>
        <v>#REF!</v>
      </c>
      <c r="K46" s="160" t="e">
        <f>#REF!</f>
        <v>#REF!</v>
      </c>
      <c r="L46" s="276" t="e">
        <f>#REF!</f>
        <v>#REF!</v>
      </c>
      <c r="M46" s="61">
        <f>IF(ISERROR(#REF!),0,#REF!*1)</f>
        <v>0</v>
      </c>
      <c r="N46" s="39" t="e">
        <f>#REF!</f>
        <v>#REF!</v>
      </c>
      <c r="O46" s="277" t="s">
        <v>4</v>
      </c>
      <c r="P46" s="278"/>
      <c r="Q46" s="277" t="s">
        <v>211</v>
      </c>
      <c r="R46" s="277" t="s">
        <v>7</v>
      </c>
      <c r="S46" s="278"/>
      <c r="T46" s="277" t="s">
        <v>211</v>
      </c>
      <c r="U46" s="277" t="s">
        <v>3</v>
      </c>
      <c r="V46" s="278"/>
      <c r="W46" s="277" t="s">
        <v>211</v>
      </c>
      <c r="X46" s="134"/>
      <c r="Y46" s="209" t="e">
        <f ca="1">science_cap*(1-EXP(-#REF!/(science_param*(OFFSET(#REF!,1,0)-OFFSET(#REF!,1,0)*20)+15000)))*(1+(mason_bonus*#REF!/#REF!))</f>
        <v>#REF!</v>
      </c>
      <c r="Z46" s="209" t="e">
        <f ca="1">keep_cap*(1-EXP(-#REF!/(keep_param*(OFFSET(#REF!,1,0)-OFFSET(#REF!,1,0)*20)+15000)))*(1+(mason_bonus*#REF!/#REF!))</f>
        <v>#REF!</v>
      </c>
      <c r="AA46" s="209" t="e">
        <f ca="1">harbor_towers_cap*(1-EXP(-#REF!/(towers_param*(OFFSET(#REF!,1,0)-OFFSET(#REF!,1,0)*20)+15000)))*(1+(mason_bonus*#REF!/#REF!))</f>
        <v>#REF!</v>
      </c>
      <c r="AB46" s="209" t="e">
        <f ca="1">walls_forges_cap*(1-EXP(-#REF!/(walls_forges_param*(OFFSET(#REF!,1,0)-OFFSET(#REF!,1,0)*20)+15000)))*(1+(mason_bonus*#REF!/#REF!))</f>
        <v>#REF!</v>
      </c>
      <c r="AC46" s="209" t="e">
        <f ca="1">walls_forges_cap*(1-EXP(-#REF!/(walls_forges_param*(OFFSET(#REF!,1,0)-OFFSET(#REF!,1,0)*20)+15000)))*(1+(mason_bonus*#REF!/#REF!))</f>
        <v>#REF!</v>
      </c>
      <c r="AD46" s="209" t="e">
        <f ca="1">harbor_towers_cap*(1-EXP(-#REF!/(harbor_towers_param*(OFFSET(#REF!,1,0)-OFFSET(#REF!,1,0)*20)+15000)))*(1+(mason_bonus*#REF!/#REF!))</f>
        <v>#REF!</v>
      </c>
      <c r="AE46" s="134"/>
      <c r="AF46" s="61" t="e">
        <f ca="1">(1+Overview!$I$28)*SUM(#REF!)+OFFSET(#REF!,-1,0)</f>
        <v>#REF!</v>
      </c>
      <c r="AG46" s="61" t="e">
        <f ca="1">(1+Overview!$I$28)*SUM(#REF!)+OFFSET(#REF!,-1,0)</f>
        <v>#REF!</v>
      </c>
      <c r="AH46" s="61" t="e">
        <f ca="1">(1+Overview!$I$28 + tech_7_1*#REF!)*SUM(#REF!)+OFFSET(#REF!,-1,0)</f>
        <v>#REF!</v>
      </c>
      <c r="AI46" s="61" t="e">
        <f ca="1">(1+Overview!$I$28)*SUM(#REF!)+OFFSET(#REF!,-1,0)</f>
        <v>#REF!</v>
      </c>
      <c r="AJ46" s="61" t="e">
        <f ca="1">(1+Overview!$I$28)*SUM(#REF!)+OFFSET(#REF!,-1,0)</f>
        <v>#REF!</v>
      </c>
      <c r="AK46" s="61" t="e">
        <f ca="1">(1+Overview!$I$28 + tech_7_1*#REF!)*SUM(#REF!)+OFFSET(#REF!,-1,0)</f>
        <v>#REF!</v>
      </c>
      <c r="AL46" s="134"/>
      <c r="AM46" s="57" t="e">
        <f>IF(AND(#REF!=AM$2,#REF!&lt;&gt;""),#REF!) + IF(AND(#REF!=AM$2,#REF!&lt;&gt;""),#REF!) + IF(AND(#REF!=AM$2,#REF!&lt;&gt;""),#REF!)</f>
        <v>#REF!</v>
      </c>
      <c r="AN46" s="57" t="e">
        <f>IF(AND(#REF!=AN$2,#REF!&lt;&gt;""),#REF!) + IF(AND(#REF!=AN$2,#REF!&lt;&gt;""),#REF!) + IF(AND(#REF!=AN$2,#REF!&lt;&gt;""),#REF!)</f>
        <v>#REF!</v>
      </c>
      <c r="AO46" s="57" t="e">
        <f>IF(AND(#REF!=AO$2,#REF!&lt;&gt;""),#REF!) + IF(AND(#REF!=AO$2,#REF!&lt;&gt;""),#REF!) + IF(AND(#REF!=AO$2,#REF!&lt;&gt;""),#REF!)</f>
        <v>#REF!</v>
      </c>
      <c r="AP46" s="57" t="e">
        <f>IF(AND(#REF!=AP$2,#REF!&lt;&gt;""),#REF!) + IF(AND(#REF!=AP$2,#REF!&lt;&gt;""),#REF!) + IF(AND(#REF!=AP$2,#REF!&lt;&gt;""),#REF!)</f>
        <v>#REF!</v>
      </c>
      <c r="AQ46" s="134"/>
      <c r="AR46" s="57" t="e">
        <f>IF(#REF!=AR$2,IF(#REF!=$Y$2,#REF!*plat_invest)) + IF(#REF!=AR$2,IF(#REF!=$Y$2,#REF!*plat_invest)) + IF(#REF!=AR$2,IF(#REF!=$Y$2,#REF!*plat_invest))</f>
        <v>#REF!</v>
      </c>
      <c r="AS46" s="57" t="e">
        <f>IF(#REF!=AS$2,IF(#REF!=$Y$2,#REF!*lumber_invest)) + IF(#REF!=AS$2,IF(#REF!=$Y$2,#REF!*lumber_invest)) + IF(#REF!=AS$2,IF(#REF!=$Y$2,#REF!*lumber_invest))</f>
        <v>#REF!</v>
      </c>
      <c r="AT46" s="57" t="e">
        <f>IF(#REF!=AT$2,IF(#REF!=$Y$2,#REF!*ore_invest)) + IF(#REF!=AT$2,IF(#REF!=$Y$2,#REF!*ore_invest)) + IF(#REF!=AT$2,IF(#REF!=$Y$2,#REF!*ore_invest))</f>
        <v>#REF!</v>
      </c>
      <c r="AU46" s="57" t="e">
        <f>IF(#REF!=AU$2,IF(#REF!=$Y$2,#REF!*gem_invest)) + IF(#REF!=AU$2,IF(#REF!=$Y$2,#REF!*gem_invest)) + IF(#REF!=AU$2,IF(#REF!=$Y$2,#REF!*gem_invest))</f>
        <v>#REF!</v>
      </c>
      <c r="AV46" s="134"/>
      <c r="AW46" s="57" t="e">
        <f>IF(#REF!=AW$2,IF(#REF!=$Z$2,#REF!*plat_invest)) + IF(#REF!=AW$2,IF(#REF!=$Z$2,#REF!*plat_invest)) + IF(#REF!=AW$2,IF(#REF!=$Z$2,#REF!*plat_invest))</f>
        <v>#REF!</v>
      </c>
      <c r="AX46" s="57" t="e">
        <f>IF(#REF!=AX$2,IF(#REF!=$Z$2,#REF!*lumber_invest)) + IF(#REF!=AX$2,IF(#REF!=$Z$2,#REF!*lumber_invest)) + IF(#REF!=AX$2,IF(#REF!=$Z$2,#REF!*lumber_invest))</f>
        <v>#REF!</v>
      </c>
      <c r="AY46" s="57" t="e">
        <f>IF(#REF!=AY$2,IF(#REF!=$Z$2,#REF!*ore_invest)) + IF(#REF!=AY$2,IF(#REF!=$Z$2,#REF!*ore_invest)) + IF(#REF!=AY$2,IF(#REF!=$Z$2,#REF!*ore_invest))</f>
        <v>#REF!</v>
      </c>
      <c r="AZ46" s="57" t="e">
        <f>IF(#REF!=AZ$2,IF(#REF!=$Z$2,#REF!*gem_invest)) + IF(#REF!=AZ$2,IF(#REF!=$Z$2,#REF!*gem_invest)) + IF(#REF!=AZ$2,IF(#REF!=$Z$2,#REF!*gem_invest))</f>
        <v>#REF!</v>
      </c>
      <c r="BA46" s="134"/>
      <c r="BB46" s="57" t="e">
        <f>IF(#REF!=BB$2,IF(#REF!=$AA$2,#REF!*plat_invest)) + IF(#REF!=BB$2,IF(#REF!=$AA$2,#REF!*plat_invest)) + IF(#REF!=BB$2,IF(#REF!=$AA$2,#REF!*plat_invest))</f>
        <v>#REF!</v>
      </c>
      <c r="BC46" s="57" t="e">
        <f>IF(#REF!=BC$2,IF(#REF!=$AA$2,#REF!*lumber_invest)) + IF(#REF!=BC$2,IF(#REF!=$AA$2,#REF!*lumber_invest)) + IF(#REF!=BC$2,IF(#REF!=$AA$2,#REF!*lumber_invest))</f>
        <v>#REF!</v>
      </c>
      <c r="BD46" s="57" t="e">
        <f>IF(#REF!=BD$2,IF(#REF!=$AA$2,#REF!*ore_invest)) + IF(#REF!=BD$2,IF(#REF!=$AA$2,#REF!*ore_invest)) + IF(#REF!=BD$2,IF(#REF!=$AA$2,#REF!*ore_invest))</f>
        <v>#REF!</v>
      </c>
      <c r="BE46" s="57" t="e">
        <f>IF(#REF!=BE$2,IF(#REF!=$AA$2,#REF!*gem_invest)) + IF(#REF!=BE$2,IF(#REF!=$AA$2,#REF!*gem_invest)) + IF(#REF!=BE$2,IF(#REF!=$AA$2,#REF!*gem_invest))</f>
        <v>#REF!</v>
      </c>
      <c r="BF46" s="134"/>
      <c r="BG46" s="57" t="e">
        <f>IF(#REF!=BG$2,IF(#REF!=$AB$2,#REF!*plat_invest)) + IF(#REF!=BG$2,IF(#REF!=$AB$2,#REF!*plat_invest)) + IF(#REF!=BG$2,IF(#REF!=$AB$2,#REF!*plat_invest))</f>
        <v>#REF!</v>
      </c>
      <c r="BH46" s="57" t="e">
        <f>IF(#REF!=BH$2,IF(#REF!=$AB$2,#REF!*lumber_invest)) + IF(#REF!=BH$2,IF(#REF!=$AB$2,#REF!*lumber_invest)) + IF(#REF!=BH$2,IF(#REF!=$AB$2,#REF!*lumber_invest))</f>
        <v>#REF!</v>
      </c>
      <c r="BI46" s="57" t="e">
        <f>IF(#REF!=BI$2,IF(#REF!=$AB$2,#REF!*ore_invest)) + IF(#REF!=BI$2,IF(#REF!=$AB$2,#REF!*ore_invest)) + IF(#REF!=BI$2,IF(#REF!=$AB$2,#REF!*ore_invest))</f>
        <v>#REF!</v>
      </c>
      <c r="BJ46" s="57" t="e">
        <f>IF(#REF!=BJ$2,IF(#REF!=$AB$2,#REF!*gem_invest)) + IF(#REF!=BJ$2,IF(#REF!=$AB$2,#REF!*gem_invest)) + IF(#REF!=BJ$2,IF(#REF!=$AB$2,#REF!*gem_invest))</f>
        <v>#REF!</v>
      </c>
      <c r="BK46" s="134"/>
      <c r="BL46" s="57" t="e">
        <f>IF(#REF!=BL$2,IF(#REF!=$AC$2,#REF!*plat_invest)) + IF(#REF!=BL$2,IF(#REF!=$AC$2,#REF!*plat_invest)) + IF(#REF!=BL$2,IF(#REF!=$AC$2,#REF!*plat_invest))</f>
        <v>#REF!</v>
      </c>
      <c r="BM46" s="57" t="e">
        <f>IF(#REF!=BM$2,IF(#REF!=$AC$2,#REF!*lumber_invest)) + IF(#REF!=BM$2,IF(#REF!=$AC$2,#REF!*lumber_invest)) + IF(#REF!=BM$2,IF(#REF!=$AC$2,#REF!*lumber_invest))</f>
        <v>#REF!</v>
      </c>
      <c r="BN46" s="57" t="e">
        <f>IF(#REF!=BN$2,IF(#REF!=$AC$2,#REF!*ore_invest)) + IF(#REF!=BN$2,IF(#REF!=$AC$2,#REF!*ore_invest)) + IF(#REF!=BN$2,IF(#REF!=$AC$2,#REF!*ore_invest))</f>
        <v>#REF!</v>
      </c>
      <c r="BO46" s="57" t="e">
        <f>IF(#REF!=BO$2,IF(#REF!=$AC$2,#REF!*gem_invest)) + IF(#REF!=BO$2,IF(#REF!=$AC$2,#REF!*gem_invest)) + IF(#REF!=BO$2,IF(#REF!=$AC$2,#REF!*gem_invest))</f>
        <v>#REF!</v>
      </c>
      <c r="BP46" s="134"/>
      <c r="BQ46" s="57" t="e">
        <f>IF(#REF!=BQ$2,IF(#REF!=$AD$2,#REF!*plat_invest)) + IF(#REF!=BQ$2,IF(#REF!=$AD$2,#REF!*plat_invest)) + IF(#REF!=BQ$2,IF(#REF!=$AD$2,#REF!*plat_invest))</f>
        <v>#REF!</v>
      </c>
      <c r="BR46" s="57" t="e">
        <f>IF(#REF!=BR$2,IF(#REF!=$AD$2,#REF!*lumber_invest)) + IF(#REF!=BR$2,IF(#REF!=$AD$2,#REF!*lumber_invest)) + IF(#REF!=BR$2,IF(#REF!=$AD$2,#REF!*lumber_invest))</f>
        <v>#REF!</v>
      </c>
      <c r="BS46" s="57" t="e">
        <f>IF(#REF!=BS$2,IF(#REF!=$AD$2,#REF!*ore_invest)) + IF(#REF!=BS$2,IF(#REF!=$AD$2,#REF!*ore_invest)) + IF(#REF!=BS$2,IF(#REF!=$AD$2,#REF!*ore_invest))</f>
        <v>#REF!</v>
      </c>
      <c r="BT46" s="57" t="e">
        <f>IF(#REF!=BT$2,IF(#REF!=$AD$2,#REF!*gem_invest)) + IF(#REF!=BT$2,IF(#REF!=$AD$2,#REF!*gem_invest)) + IF(#REF!=BT$2,IF(#REF!=$AD$2,#REF!*gem_invest))</f>
        <v>#REF!</v>
      </c>
      <c r="BU46" s="134"/>
      <c r="BV46" s="3" t="e">
        <f>OR(#REF!,#REF!,#REF!,#REF!,#REF!,#REF!,#REF!,#REF!,#REF!)</f>
        <v>#REF!</v>
      </c>
      <c r="BW46" s="61" t="e">
        <f>#REF!</f>
        <v>#REF!</v>
      </c>
      <c r="BX46" s="130"/>
      <c r="BY46" s="284" t="e">
        <f ca="1">OFFSET(#REF!,-1,0)+1/24</f>
        <v>#REF!</v>
      </c>
      <c r="BZ46" s="285" t="e">
        <f ca="1">OFFSET(#REF!,-1,0)+1/24</f>
        <v>#REF!</v>
      </c>
      <c r="CA46" s="57"/>
      <c r="CB46" s="283"/>
      <c r="CC46" s="283"/>
    </row>
    <row r="47" spans="1:82" x14ac:dyDescent="0.25">
      <c r="A47" s="206" t="e">
        <f>#REF!</f>
        <v>#REF!</v>
      </c>
      <c r="B47" s="134"/>
      <c r="C47" s="39" t="e">
        <f>#REF!</f>
        <v>#REF!</v>
      </c>
      <c r="D47" s="39" t="e">
        <f>#REF!</f>
        <v>#REF!</v>
      </c>
      <c r="E47" s="39" t="e">
        <f>#REF!</f>
        <v>#REF!</v>
      </c>
      <c r="F47" s="39" t="e">
        <f>#REF!</f>
        <v>#REF!</v>
      </c>
      <c r="G47" s="133"/>
      <c r="H47" s="39" t="e">
        <f>#REF!</f>
        <v>#REF!</v>
      </c>
      <c r="I47" s="132" t="e">
        <f>#REF!</f>
        <v>#REF!</v>
      </c>
      <c r="J47" s="132" t="e">
        <f>#REF!/#REF!</f>
        <v>#REF!</v>
      </c>
      <c r="K47" s="160" t="e">
        <f>#REF!</f>
        <v>#REF!</v>
      </c>
      <c r="L47" s="276" t="e">
        <f>#REF!</f>
        <v>#REF!</v>
      </c>
      <c r="M47" s="61">
        <f>IF(ISERROR(#REF!),0,#REF!*1)</f>
        <v>0</v>
      </c>
      <c r="N47" s="39" t="e">
        <f>#REF!</f>
        <v>#REF!</v>
      </c>
      <c r="O47" s="277" t="s">
        <v>4</v>
      </c>
      <c r="P47" s="278"/>
      <c r="Q47" s="277" t="s">
        <v>211</v>
      </c>
      <c r="R47" s="277" t="s">
        <v>7</v>
      </c>
      <c r="S47" s="278"/>
      <c r="T47" s="277" t="s">
        <v>211</v>
      </c>
      <c r="U47" s="277" t="s">
        <v>3</v>
      </c>
      <c r="V47" s="278"/>
      <c r="W47" s="277" t="s">
        <v>211</v>
      </c>
      <c r="X47" s="134"/>
      <c r="Y47" s="209" t="e">
        <f ca="1">science_cap*(1-EXP(-#REF!/(science_param*(OFFSET(#REF!,1,0)-OFFSET(#REF!,1,0)*20)+15000)))*(1+(mason_bonus*#REF!/#REF!))</f>
        <v>#REF!</v>
      </c>
      <c r="Z47" s="209" t="e">
        <f ca="1">keep_cap*(1-EXP(-#REF!/(keep_param*(OFFSET(#REF!,1,0)-OFFSET(#REF!,1,0)*20)+15000)))*(1+(mason_bonus*#REF!/#REF!))</f>
        <v>#REF!</v>
      </c>
      <c r="AA47" s="209" t="e">
        <f ca="1">harbor_towers_cap*(1-EXP(-#REF!/(towers_param*(OFFSET(#REF!,1,0)-OFFSET(#REF!,1,0)*20)+15000)))*(1+(mason_bonus*#REF!/#REF!))</f>
        <v>#REF!</v>
      </c>
      <c r="AB47" s="209" t="e">
        <f ca="1">walls_forges_cap*(1-EXP(-#REF!/(walls_forges_param*(OFFSET(#REF!,1,0)-OFFSET(#REF!,1,0)*20)+15000)))*(1+(mason_bonus*#REF!/#REF!))</f>
        <v>#REF!</v>
      </c>
      <c r="AC47" s="209" t="e">
        <f ca="1">walls_forges_cap*(1-EXP(-#REF!/(walls_forges_param*(OFFSET(#REF!,1,0)-OFFSET(#REF!,1,0)*20)+15000)))*(1+(mason_bonus*#REF!/#REF!))</f>
        <v>#REF!</v>
      </c>
      <c r="AD47" s="209" t="e">
        <f ca="1">harbor_towers_cap*(1-EXP(-#REF!/(harbor_towers_param*(OFFSET(#REF!,1,0)-OFFSET(#REF!,1,0)*20)+15000)))*(1+(mason_bonus*#REF!/#REF!))</f>
        <v>#REF!</v>
      </c>
      <c r="AE47" s="134"/>
      <c r="AF47" s="61" t="e">
        <f ca="1">(1+Overview!$I$28)*SUM(#REF!)+OFFSET(#REF!,-1,0)</f>
        <v>#REF!</v>
      </c>
      <c r="AG47" s="61" t="e">
        <f ca="1">(1+Overview!$I$28)*SUM(#REF!)+OFFSET(#REF!,-1,0)</f>
        <v>#REF!</v>
      </c>
      <c r="AH47" s="61" t="e">
        <f ca="1">(1+Overview!$I$28 + tech_7_1*#REF!)*SUM(#REF!)+OFFSET(#REF!,-1,0)</f>
        <v>#REF!</v>
      </c>
      <c r="AI47" s="61" t="e">
        <f ca="1">(1+Overview!$I$28)*SUM(#REF!)+OFFSET(#REF!,-1,0)</f>
        <v>#REF!</v>
      </c>
      <c r="AJ47" s="61" t="e">
        <f ca="1">(1+Overview!$I$28)*SUM(#REF!)+OFFSET(#REF!,-1,0)</f>
        <v>#REF!</v>
      </c>
      <c r="AK47" s="61" t="e">
        <f ca="1">(1+Overview!$I$28 + tech_7_1*#REF!)*SUM(#REF!)+OFFSET(#REF!,-1,0)</f>
        <v>#REF!</v>
      </c>
      <c r="AL47" s="134"/>
      <c r="AM47" s="57" t="e">
        <f>IF(AND(#REF!=AM$2,#REF!&lt;&gt;""),#REF!) + IF(AND(#REF!=AM$2,#REF!&lt;&gt;""),#REF!) + IF(AND(#REF!=AM$2,#REF!&lt;&gt;""),#REF!)</f>
        <v>#REF!</v>
      </c>
      <c r="AN47" s="57" t="e">
        <f>IF(AND(#REF!=AN$2,#REF!&lt;&gt;""),#REF!) + IF(AND(#REF!=AN$2,#REF!&lt;&gt;""),#REF!) + IF(AND(#REF!=AN$2,#REF!&lt;&gt;""),#REF!)</f>
        <v>#REF!</v>
      </c>
      <c r="AO47" s="57" t="e">
        <f>IF(AND(#REF!=AO$2,#REF!&lt;&gt;""),#REF!) + IF(AND(#REF!=AO$2,#REF!&lt;&gt;""),#REF!) + IF(AND(#REF!=AO$2,#REF!&lt;&gt;""),#REF!)</f>
        <v>#REF!</v>
      </c>
      <c r="AP47" s="57" t="e">
        <f>IF(AND(#REF!=AP$2,#REF!&lt;&gt;""),#REF!) + IF(AND(#REF!=AP$2,#REF!&lt;&gt;""),#REF!) + IF(AND(#REF!=AP$2,#REF!&lt;&gt;""),#REF!)</f>
        <v>#REF!</v>
      </c>
      <c r="AQ47" s="134"/>
      <c r="AR47" s="57" t="e">
        <f>IF(#REF!=AR$2,IF(#REF!=$Y$2,#REF!*plat_invest)) + IF(#REF!=AR$2,IF(#REF!=$Y$2,#REF!*plat_invest)) + IF(#REF!=AR$2,IF(#REF!=$Y$2,#REF!*plat_invest))</f>
        <v>#REF!</v>
      </c>
      <c r="AS47" s="57" t="e">
        <f>IF(#REF!=AS$2,IF(#REF!=$Y$2,#REF!*lumber_invest)) + IF(#REF!=AS$2,IF(#REF!=$Y$2,#REF!*lumber_invest)) + IF(#REF!=AS$2,IF(#REF!=$Y$2,#REF!*lumber_invest))</f>
        <v>#REF!</v>
      </c>
      <c r="AT47" s="57" t="e">
        <f>IF(#REF!=AT$2,IF(#REF!=$Y$2,#REF!*ore_invest)) + IF(#REF!=AT$2,IF(#REF!=$Y$2,#REF!*ore_invest)) + IF(#REF!=AT$2,IF(#REF!=$Y$2,#REF!*ore_invest))</f>
        <v>#REF!</v>
      </c>
      <c r="AU47" s="57" t="e">
        <f>IF(#REF!=AU$2,IF(#REF!=$Y$2,#REF!*gem_invest)) + IF(#REF!=AU$2,IF(#REF!=$Y$2,#REF!*gem_invest)) + IF(#REF!=AU$2,IF(#REF!=$Y$2,#REF!*gem_invest))</f>
        <v>#REF!</v>
      </c>
      <c r="AV47" s="134"/>
      <c r="AW47" s="57" t="e">
        <f>IF(#REF!=AW$2,IF(#REF!=$Z$2,#REF!*plat_invest)) + IF(#REF!=AW$2,IF(#REF!=$Z$2,#REF!*plat_invest)) + IF(#REF!=AW$2,IF(#REF!=$Z$2,#REF!*plat_invest))</f>
        <v>#REF!</v>
      </c>
      <c r="AX47" s="57" t="e">
        <f>IF(#REF!=AX$2,IF(#REF!=$Z$2,#REF!*lumber_invest)) + IF(#REF!=AX$2,IF(#REF!=$Z$2,#REF!*lumber_invest)) + IF(#REF!=AX$2,IF(#REF!=$Z$2,#REF!*lumber_invest))</f>
        <v>#REF!</v>
      </c>
      <c r="AY47" s="57" t="e">
        <f>IF(#REF!=AY$2,IF(#REF!=$Z$2,#REF!*ore_invest)) + IF(#REF!=AY$2,IF(#REF!=$Z$2,#REF!*ore_invest)) + IF(#REF!=AY$2,IF(#REF!=$Z$2,#REF!*ore_invest))</f>
        <v>#REF!</v>
      </c>
      <c r="AZ47" s="57" t="e">
        <f>IF(#REF!=AZ$2,IF(#REF!=$Z$2,#REF!*gem_invest)) + IF(#REF!=AZ$2,IF(#REF!=$Z$2,#REF!*gem_invest)) + IF(#REF!=AZ$2,IF(#REF!=$Z$2,#REF!*gem_invest))</f>
        <v>#REF!</v>
      </c>
      <c r="BA47" s="134"/>
      <c r="BB47" s="57" t="e">
        <f>IF(#REF!=BB$2,IF(#REF!=$AA$2,#REF!*plat_invest)) + IF(#REF!=BB$2,IF(#REF!=$AA$2,#REF!*plat_invest)) + IF(#REF!=BB$2,IF(#REF!=$AA$2,#REF!*plat_invest))</f>
        <v>#REF!</v>
      </c>
      <c r="BC47" s="57" t="e">
        <f>IF(#REF!=BC$2,IF(#REF!=$AA$2,#REF!*lumber_invest)) + IF(#REF!=BC$2,IF(#REF!=$AA$2,#REF!*lumber_invest)) + IF(#REF!=BC$2,IF(#REF!=$AA$2,#REF!*lumber_invest))</f>
        <v>#REF!</v>
      </c>
      <c r="BD47" s="57" t="e">
        <f>IF(#REF!=BD$2,IF(#REF!=$AA$2,#REF!*ore_invest)) + IF(#REF!=BD$2,IF(#REF!=$AA$2,#REF!*ore_invest)) + IF(#REF!=BD$2,IF(#REF!=$AA$2,#REF!*ore_invest))</f>
        <v>#REF!</v>
      </c>
      <c r="BE47" s="57" t="e">
        <f>IF(#REF!=BE$2,IF(#REF!=$AA$2,#REF!*gem_invest)) + IF(#REF!=BE$2,IF(#REF!=$AA$2,#REF!*gem_invest)) + IF(#REF!=BE$2,IF(#REF!=$AA$2,#REF!*gem_invest))</f>
        <v>#REF!</v>
      </c>
      <c r="BF47" s="134"/>
      <c r="BG47" s="57" t="e">
        <f>IF(#REF!=BG$2,IF(#REF!=$AB$2,#REF!*plat_invest)) + IF(#REF!=BG$2,IF(#REF!=$AB$2,#REF!*plat_invest)) + IF(#REF!=BG$2,IF(#REF!=$AB$2,#REF!*plat_invest))</f>
        <v>#REF!</v>
      </c>
      <c r="BH47" s="57" t="e">
        <f>IF(#REF!=BH$2,IF(#REF!=$AB$2,#REF!*lumber_invest)) + IF(#REF!=BH$2,IF(#REF!=$AB$2,#REF!*lumber_invest)) + IF(#REF!=BH$2,IF(#REF!=$AB$2,#REF!*lumber_invest))</f>
        <v>#REF!</v>
      </c>
      <c r="BI47" s="57" t="e">
        <f>IF(#REF!=BI$2,IF(#REF!=$AB$2,#REF!*ore_invest)) + IF(#REF!=BI$2,IF(#REF!=$AB$2,#REF!*ore_invest)) + IF(#REF!=BI$2,IF(#REF!=$AB$2,#REF!*ore_invest))</f>
        <v>#REF!</v>
      </c>
      <c r="BJ47" s="57" t="e">
        <f>IF(#REF!=BJ$2,IF(#REF!=$AB$2,#REF!*gem_invest)) + IF(#REF!=BJ$2,IF(#REF!=$AB$2,#REF!*gem_invest)) + IF(#REF!=BJ$2,IF(#REF!=$AB$2,#REF!*gem_invest))</f>
        <v>#REF!</v>
      </c>
      <c r="BK47" s="134"/>
      <c r="BL47" s="57" t="e">
        <f>IF(#REF!=BL$2,IF(#REF!=$AC$2,#REF!*plat_invest)) + IF(#REF!=BL$2,IF(#REF!=$AC$2,#REF!*plat_invest)) + IF(#REF!=BL$2,IF(#REF!=$AC$2,#REF!*plat_invest))</f>
        <v>#REF!</v>
      </c>
      <c r="BM47" s="57" t="e">
        <f>IF(#REF!=BM$2,IF(#REF!=$AC$2,#REF!*lumber_invest)) + IF(#REF!=BM$2,IF(#REF!=$AC$2,#REF!*lumber_invest)) + IF(#REF!=BM$2,IF(#REF!=$AC$2,#REF!*lumber_invest))</f>
        <v>#REF!</v>
      </c>
      <c r="BN47" s="57" t="e">
        <f>IF(#REF!=BN$2,IF(#REF!=$AC$2,#REF!*ore_invest)) + IF(#REF!=BN$2,IF(#REF!=$AC$2,#REF!*ore_invest)) + IF(#REF!=BN$2,IF(#REF!=$AC$2,#REF!*ore_invest))</f>
        <v>#REF!</v>
      </c>
      <c r="BO47" s="57" t="e">
        <f>IF(#REF!=BO$2,IF(#REF!=$AC$2,#REF!*gem_invest)) + IF(#REF!=BO$2,IF(#REF!=$AC$2,#REF!*gem_invest)) + IF(#REF!=BO$2,IF(#REF!=$AC$2,#REF!*gem_invest))</f>
        <v>#REF!</v>
      </c>
      <c r="BP47" s="134"/>
      <c r="BQ47" s="57" t="e">
        <f>IF(#REF!=BQ$2,IF(#REF!=$AD$2,#REF!*plat_invest)) + IF(#REF!=BQ$2,IF(#REF!=$AD$2,#REF!*plat_invest)) + IF(#REF!=BQ$2,IF(#REF!=$AD$2,#REF!*plat_invest))</f>
        <v>#REF!</v>
      </c>
      <c r="BR47" s="57" t="e">
        <f>IF(#REF!=BR$2,IF(#REF!=$AD$2,#REF!*lumber_invest)) + IF(#REF!=BR$2,IF(#REF!=$AD$2,#REF!*lumber_invest)) + IF(#REF!=BR$2,IF(#REF!=$AD$2,#REF!*lumber_invest))</f>
        <v>#REF!</v>
      </c>
      <c r="BS47" s="57" t="e">
        <f>IF(#REF!=BS$2,IF(#REF!=$AD$2,#REF!*ore_invest)) + IF(#REF!=BS$2,IF(#REF!=$AD$2,#REF!*ore_invest)) + IF(#REF!=BS$2,IF(#REF!=$AD$2,#REF!*ore_invest))</f>
        <v>#REF!</v>
      </c>
      <c r="BT47" s="57" t="e">
        <f>IF(#REF!=BT$2,IF(#REF!=$AD$2,#REF!*gem_invest)) + IF(#REF!=BT$2,IF(#REF!=$AD$2,#REF!*gem_invest)) + IF(#REF!=BT$2,IF(#REF!=$AD$2,#REF!*gem_invest))</f>
        <v>#REF!</v>
      </c>
      <c r="BU47" s="134"/>
      <c r="BV47" s="3" t="e">
        <f>OR(#REF!,#REF!,#REF!,#REF!,#REF!,#REF!,#REF!,#REF!,#REF!)</f>
        <v>#REF!</v>
      </c>
      <c r="BW47" s="61" t="e">
        <f>#REF!</f>
        <v>#REF!</v>
      </c>
      <c r="BX47" s="130"/>
      <c r="BY47" s="284" t="e">
        <f ca="1">OFFSET(#REF!,-1,0)+1/24</f>
        <v>#REF!</v>
      </c>
      <c r="BZ47" s="285" t="e">
        <f ca="1">OFFSET(#REF!,-1,0)+1/24</f>
        <v>#REF!</v>
      </c>
      <c r="CA47" s="57"/>
      <c r="CB47" s="283"/>
      <c r="CC47" s="283"/>
    </row>
    <row r="48" spans="1:82" x14ac:dyDescent="0.25">
      <c r="A48" s="206" t="e">
        <f>#REF!</f>
        <v>#REF!</v>
      </c>
      <c r="B48" s="134"/>
      <c r="C48" s="39" t="e">
        <f>#REF!</f>
        <v>#REF!</v>
      </c>
      <c r="D48" s="39" t="e">
        <f>#REF!</f>
        <v>#REF!</v>
      </c>
      <c r="E48" s="39" t="e">
        <f>#REF!</f>
        <v>#REF!</v>
      </c>
      <c r="F48" s="39" t="e">
        <f>#REF!</f>
        <v>#REF!</v>
      </c>
      <c r="G48" s="133"/>
      <c r="H48" s="39" t="e">
        <f>#REF!</f>
        <v>#REF!</v>
      </c>
      <c r="I48" s="132" t="e">
        <f>#REF!</f>
        <v>#REF!</v>
      </c>
      <c r="J48" s="132" t="e">
        <f>#REF!/#REF!</f>
        <v>#REF!</v>
      </c>
      <c r="K48" s="160" t="e">
        <f>#REF!</f>
        <v>#REF!</v>
      </c>
      <c r="L48" s="276" t="e">
        <f>#REF!</f>
        <v>#REF!</v>
      </c>
      <c r="M48" s="61">
        <f>IF(ISERROR(#REF!),0,#REF!*1)</f>
        <v>0</v>
      </c>
      <c r="N48" s="39" t="e">
        <f>#REF!</f>
        <v>#REF!</v>
      </c>
      <c r="O48" s="277" t="s">
        <v>4</v>
      </c>
      <c r="P48" s="278"/>
      <c r="Q48" s="277" t="s">
        <v>211</v>
      </c>
      <c r="R48" s="277" t="s">
        <v>7</v>
      </c>
      <c r="S48" s="278"/>
      <c r="T48" s="277" t="s">
        <v>211</v>
      </c>
      <c r="U48" s="277" t="s">
        <v>3</v>
      </c>
      <c r="V48" s="278"/>
      <c r="W48" s="277" t="s">
        <v>211</v>
      </c>
      <c r="X48" s="134"/>
      <c r="Y48" s="209" t="e">
        <f ca="1">science_cap*(1-EXP(-#REF!/(science_param*(OFFSET(#REF!,1,0)-OFFSET(#REF!,1,0)*20)+15000)))*(1+(mason_bonus*#REF!/#REF!))</f>
        <v>#REF!</v>
      </c>
      <c r="Z48" s="209" t="e">
        <f ca="1">keep_cap*(1-EXP(-#REF!/(keep_param*(OFFSET(#REF!,1,0)-OFFSET(#REF!,1,0)*20)+15000)))*(1+(mason_bonus*#REF!/#REF!))</f>
        <v>#REF!</v>
      </c>
      <c r="AA48" s="209" t="e">
        <f ca="1">harbor_towers_cap*(1-EXP(-#REF!/(towers_param*(OFFSET(#REF!,1,0)-OFFSET(#REF!,1,0)*20)+15000)))*(1+(mason_bonus*#REF!/#REF!))</f>
        <v>#REF!</v>
      </c>
      <c r="AB48" s="209" t="e">
        <f ca="1">walls_forges_cap*(1-EXP(-#REF!/(walls_forges_param*(OFFSET(#REF!,1,0)-OFFSET(#REF!,1,0)*20)+15000)))*(1+(mason_bonus*#REF!/#REF!))</f>
        <v>#REF!</v>
      </c>
      <c r="AC48" s="209" t="e">
        <f ca="1">walls_forges_cap*(1-EXP(-#REF!/(walls_forges_param*(OFFSET(#REF!,1,0)-OFFSET(#REF!,1,0)*20)+15000)))*(1+(mason_bonus*#REF!/#REF!))</f>
        <v>#REF!</v>
      </c>
      <c r="AD48" s="209" t="e">
        <f ca="1">harbor_towers_cap*(1-EXP(-#REF!/(harbor_towers_param*(OFFSET(#REF!,1,0)-OFFSET(#REF!,1,0)*20)+15000)))*(1+(mason_bonus*#REF!/#REF!))</f>
        <v>#REF!</v>
      </c>
      <c r="AE48" s="134"/>
      <c r="AF48" s="61" t="e">
        <f ca="1">(1+Overview!$I$28)*SUM(#REF!)+OFFSET(#REF!,-1,0)</f>
        <v>#REF!</v>
      </c>
      <c r="AG48" s="61" t="e">
        <f ca="1">(1+Overview!$I$28)*SUM(#REF!)+OFFSET(#REF!,-1,0)</f>
        <v>#REF!</v>
      </c>
      <c r="AH48" s="61" t="e">
        <f ca="1">(1+Overview!$I$28 + tech_7_1*#REF!)*SUM(#REF!)+OFFSET(#REF!,-1,0)</f>
        <v>#REF!</v>
      </c>
      <c r="AI48" s="61" t="e">
        <f ca="1">(1+Overview!$I$28)*SUM(#REF!)+OFFSET(#REF!,-1,0)</f>
        <v>#REF!</v>
      </c>
      <c r="AJ48" s="61" t="e">
        <f ca="1">(1+Overview!$I$28)*SUM(#REF!)+OFFSET(#REF!,-1,0)</f>
        <v>#REF!</v>
      </c>
      <c r="AK48" s="61" t="e">
        <f ca="1">(1+Overview!$I$28 + tech_7_1*#REF!)*SUM(#REF!)+OFFSET(#REF!,-1,0)</f>
        <v>#REF!</v>
      </c>
      <c r="AL48" s="134"/>
      <c r="AM48" s="57" t="e">
        <f>IF(AND(#REF!=AM$2,#REF!&lt;&gt;""),#REF!) + IF(AND(#REF!=AM$2,#REF!&lt;&gt;""),#REF!) + IF(AND(#REF!=AM$2,#REF!&lt;&gt;""),#REF!)</f>
        <v>#REF!</v>
      </c>
      <c r="AN48" s="57" t="e">
        <f>IF(AND(#REF!=AN$2,#REF!&lt;&gt;""),#REF!) + IF(AND(#REF!=AN$2,#REF!&lt;&gt;""),#REF!) + IF(AND(#REF!=AN$2,#REF!&lt;&gt;""),#REF!)</f>
        <v>#REF!</v>
      </c>
      <c r="AO48" s="57" t="e">
        <f>IF(AND(#REF!=AO$2,#REF!&lt;&gt;""),#REF!) + IF(AND(#REF!=AO$2,#REF!&lt;&gt;""),#REF!) + IF(AND(#REF!=AO$2,#REF!&lt;&gt;""),#REF!)</f>
        <v>#REF!</v>
      </c>
      <c r="AP48" s="57" t="e">
        <f>IF(AND(#REF!=AP$2,#REF!&lt;&gt;""),#REF!) + IF(AND(#REF!=AP$2,#REF!&lt;&gt;""),#REF!) + IF(AND(#REF!=AP$2,#REF!&lt;&gt;""),#REF!)</f>
        <v>#REF!</v>
      </c>
      <c r="AQ48" s="134"/>
      <c r="AR48" s="57" t="e">
        <f>IF(#REF!=AR$2,IF(#REF!=$Y$2,#REF!*plat_invest)) + IF(#REF!=AR$2,IF(#REF!=$Y$2,#REF!*plat_invest)) + IF(#REF!=AR$2,IF(#REF!=$Y$2,#REF!*plat_invest))</f>
        <v>#REF!</v>
      </c>
      <c r="AS48" s="57" t="e">
        <f>IF(#REF!=AS$2,IF(#REF!=$Y$2,#REF!*lumber_invest)) + IF(#REF!=AS$2,IF(#REF!=$Y$2,#REF!*lumber_invest)) + IF(#REF!=AS$2,IF(#REF!=$Y$2,#REF!*lumber_invest))</f>
        <v>#REF!</v>
      </c>
      <c r="AT48" s="57" t="e">
        <f>IF(#REF!=AT$2,IF(#REF!=$Y$2,#REF!*ore_invest)) + IF(#REF!=AT$2,IF(#REF!=$Y$2,#REF!*ore_invest)) + IF(#REF!=AT$2,IF(#REF!=$Y$2,#REF!*ore_invest))</f>
        <v>#REF!</v>
      </c>
      <c r="AU48" s="57" t="e">
        <f>IF(#REF!=AU$2,IF(#REF!=$Y$2,#REF!*gem_invest)) + IF(#REF!=AU$2,IF(#REF!=$Y$2,#REF!*gem_invest)) + IF(#REF!=AU$2,IF(#REF!=$Y$2,#REF!*gem_invest))</f>
        <v>#REF!</v>
      </c>
      <c r="AV48" s="134"/>
      <c r="AW48" s="57" t="e">
        <f>IF(#REF!=AW$2,IF(#REF!=$Z$2,#REF!*plat_invest)) + IF(#REF!=AW$2,IF(#REF!=$Z$2,#REF!*plat_invest)) + IF(#REF!=AW$2,IF(#REF!=$Z$2,#REF!*plat_invest))</f>
        <v>#REF!</v>
      </c>
      <c r="AX48" s="57" t="e">
        <f>IF(#REF!=AX$2,IF(#REF!=$Z$2,#REF!*lumber_invest)) + IF(#REF!=AX$2,IF(#REF!=$Z$2,#REF!*lumber_invest)) + IF(#REF!=AX$2,IF(#REF!=$Z$2,#REF!*lumber_invest))</f>
        <v>#REF!</v>
      </c>
      <c r="AY48" s="57" t="e">
        <f>IF(#REF!=AY$2,IF(#REF!=$Z$2,#REF!*ore_invest)) + IF(#REF!=AY$2,IF(#REF!=$Z$2,#REF!*ore_invest)) + IF(#REF!=AY$2,IF(#REF!=$Z$2,#REF!*ore_invest))</f>
        <v>#REF!</v>
      </c>
      <c r="AZ48" s="57" t="e">
        <f>IF(#REF!=AZ$2,IF(#REF!=$Z$2,#REF!*gem_invest)) + IF(#REF!=AZ$2,IF(#REF!=$Z$2,#REF!*gem_invest)) + IF(#REF!=AZ$2,IF(#REF!=$Z$2,#REF!*gem_invest))</f>
        <v>#REF!</v>
      </c>
      <c r="BA48" s="134"/>
      <c r="BB48" s="57" t="e">
        <f>IF(#REF!=BB$2,IF(#REF!=$AA$2,#REF!*plat_invest)) + IF(#REF!=BB$2,IF(#REF!=$AA$2,#REF!*plat_invest)) + IF(#REF!=BB$2,IF(#REF!=$AA$2,#REF!*plat_invest))</f>
        <v>#REF!</v>
      </c>
      <c r="BC48" s="57" t="e">
        <f>IF(#REF!=BC$2,IF(#REF!=$AA$2,#REF!*lumber_invest)) + IF(#REF!=BC$2,IF(#REF!=$AA$2,#REF!*lumber_invest)) + IF(#REF!=BC$2,IF(#REF!=$AA$2,#REF!*lumber_invest))</f>
        <v>#REF!</v>
      </c>
      <c r="BD48" s="57" t="e">
        <f>IF(#REF!=BD$2,IF(#REF!=$AA$2,#REF!*ore_invest)) + IF(#REF!=BD$2,IF(#REF!=$AA$2,#REF!*ore_invest)) + IF(#REF!=BD$2,IF(#REF!=$AA$2,#REF!*ore_invest))</f>
        <v>#REF!</v>
      </c>
      <c r="BE48" s="57" t="e">
        <f>IF(#REF!=BE$2,IF(#REF!=$AA$2,#REF!*gem_invest)) + IF(#REF!=BE$2,IF(#REF!=$AA$2,#REF!*gem_invest)) + IF(#REF!=BE$2,IF(#REF!=$AA$2,#REF!*gem_invest))</f>
        <v>#REF!</v>
      </c>
      <c r="BF48" s="134"/>
      <c r="BG48" s="57" t="e">
        <f>IF(#REF!=BG$2,IF(#REF!=$AB$2,#REF!*plat_invest)) + IF(#REF!=BG$2,IF(#REF!=$AB$2,#REF!*plat_invest)) + IF(#REF!=BG$2,IF(#REF!=$AB$2,#REF!*plat_invest))</f>
        <v>#REF!</v>
      </c>
      <c r="BH48" s="57" t="e">
        <f>IF(#REF!=BH$2,IF(#REF!=$AB$2,#REF!*lumber_invest)) + IF(#REF!=BH$2,IF(#REF!=$AB$2,#REF!*lumber_invest)) + IF(#REF!=BH$2,IF(#REF!=$AB$2,#REF!*lumber_invest))</f>
        <v>#REF!</v>
      </c>
      <c r="BI48" s="57" t="e">
        <f>IF(#REF!=BI$2,IF(#REF!=$AB$2,#REF!*ore_invest)) + IF(#REF!=BI$2,IF(#REF!=$AB$2,#REF!*ore_invest)) + IF(#REF!=BI$2,IF(#REF!=$AB$2,#REF!*ore_invest))</f>
        <v>#REF!</v>
      </c>
      <c r="BJ48" s="57" t="e">
        <f>IF(#REF!=BJ$2,IF(#REF!=$AB$2,#REF!*gem_invest)) + IF(#REF!=BJ$2,IF(#REF!=$AB$2,#REF!*gem_invest)) + IF(#REF!=BJ$2,IF(#REF!=$AB$2,#REF!*gem_invest))</f>
        <v>#REF!</v>
      </c>
      <c r="BK48" s="134"/>
      <c r="BL48" s="57" t="e">
        <f>IF(#REF!=BL$2,IF(#REF!=$AC$2,#REF!*plat_invest)) + IF(#REF!=BL$2,IF(#REF!=$AC$2,#REF!*plat_invest)) + IF(#REF!=BL$2,IF(#REF!=$AC$2,#REF!*plat_invest))</f>
        <v>#REF!</v>
      </c>
      <c r="BM48" s="57" t="e">
        <f>IF(#REF!=BM$2,IF(#REF!=$AC$2,#REF!*lumber_invest)) + IF(#REF!=BM$2,IF(#REF!=$AC$2,#REF!*lumber_invest)) + IF(#REF!=BM$2,IF(#REF!=$AC$2,#REF!*lumber_invest))</f>
        <v>#REF!</v>
      </c>
      <c r="BN48" s="57" t="e">
        <f>IF(#REF!=BN$2,IF(#REF!=$AC$2,#REF!*ore_invest)) + IF(#REF!=BN$2,IF(#REF!=$AC$2,#REF!*ore_invest)) + IF(#REF!=BN$2,IF(#REF!=$AC$2,#REF!*ore_invest))</f>
        <v>#REF!</v>
      </c>
      <c r="BO48" s="57" t="e">
        <f>IF(#REF!=BO$2,IF(#REF!=$AC$2,#REF!*gem_invest)) + IF(#REF!=BO$2,IF(#REF!=$AC$2,#REF!*gem_invest)) + IF(#REF!=BO$2,IF(#REF!=$AC$2,#REF!*gem_invest))</f>
        <v>#REF!</v>
      </c>
      <c r="BP48" s="134"/>
      <c r="BQ48" s="57" t="e">
        <f>IF(#REF!=BQ$2,IF(#REF!=$AD$2,#REF!*plat_invest)) + IF(#REF!=BQ$2,IF(#REF!=$AD$2,#REF!*plat_invest)) + IF(#REF!=BQ$2,IF(#REF!=$AD$2,#REF!*plat_invest))</f>
        <v>#REF!</v>
      </c>
      <c r="BR48" s="57" t="e">
        <f>IF(#REF!=BR$2,IF(#REF!=$AD$2,#REF!*lumber_invest)) + IF(#REF!=BR$2,IF(#REF!=$AD$2,#REF!*lumber_invest)) + IF(#REF!=BR$2,IF(#REF!=$AD$2,#REF!*lumber_invest))</f>
        <v>#REF!</v>
      </c>
      <c r="BS48" s="57" t="e">
        <f>IF(#REF!=BS$2,IF(#REF!=$AD$2,#REF!*ore_invest)) + IF(#REF!=BS$2,IF(#REF!=$AD$2,#REF!*ore_invest)) + IF(#REF!=BS$2,IF(#REF!=$AD$2,#REF!*ore_invest))</f>
        <v>#REF!</v>
      </c>
      <c r="BT48" s="57" t="e">
        <f>IF(#REF!=BT$2,IF(#REF!=$AD$2,#REF!*gem_invest)) + IF(#REF!=BT$2,IF(#REF!=$AD$2,#REF!*gem_invest)) + IF(#REF!=BT$2,IF(#REF!=$AD$2,#REF!*gem_invest))</f>
        <v>#REF!</v>
      </c>
      <c r="BU48" s="134"/>
      <c r="BV48" s="3" t="e">
        <f>OR(#REF!,#REF!,#REF!,#REF!,#REF!,#REF!,#REF!,#REF!,#REF!)</f>
        <v>#REF!</v>
      </c>
      <c r="BW48" s="61" t="e">
        <f>#REF!</f>
        <v>#REF!</v>
      </c>
      <c r="BX48" s="130"/>
      <c r="BY48" s="284" t="e">
        <f ca="1">OFFSET(#REF!,-1,0)+1/24</f>
        <v>#REF!</v>
      </c>
      <c r="BZ48" s="285" t="e">
        <f ca="1">OFFSET(#REF!,-1,0)+1/24</f>
        <v>#REF!</v>
      </c>
      <c r="CA48" s="57"/>
      <c r="CB48" s="283"/>
      <c r="CC48" s="283"/>
    </row>
    <row r="49" spans="1:81" x14ac:dyDescent="0.25">
      <c r="A49" s="206" t="e">
        <f>#REF!</f>
        <v>#REF!</v>
      </c>
      <c r="B49" s="134"/>
      <c r="C49" s="39" t="e">
        <f>#REF!</f>
        <v>#REF!</v>
      </c>
      <c r="D49" s="39" t="e">
        <f>#REF!</f>
        <v>#REF!</v>
      </c>
      <c r="E49" s="39" t="e">
        <f>#REF!</f>
        <v>#REF!</v>
      </c>
      <c r="F49" s="39" t="e">
        <f>#REF!</f>
        <v>#REF!</v>
      </c>
      <c r="G49" s="133"/>
      <c r="H49" s="39" t="e">
        <f>#REF!</f>
        <v>#REF!</v>
      </c>
      <c r="I49" s="132" t="e">
        <f>#REF!</f>
        <v>#REF!</v>
      </c>
      <c r="J49" s="132" t="e">
        <f>#REF!/#REF!</f>
        <v>#REF!</v>
      </c>
      <c r="K49" s="160" t="e">
        <f>#REF!</f>
        <v>#REF!</v>
      </c>
      <c r="L49" s="276" t="e">
        <f>#REF!</f>
        <v>#REF!</v>
      </c>
      <c r="M49" s="61">
        <f>IF(ISERROR(#REF!),0,#REF!*1)</f>
        <v>0</v>
      </c>
      <c r="N49" s="39" t="e">
        <f>#REF!</f>
        <v>#REF!</v>
      </c>
      <c r="O49" s="277" t="s">
        <v>4</v>
      </c>
      <c r="P49" s="278"/>
      <c r="Q49" s="277" t="s">
        <v>211</v>
      </c>
      <c r="R49" s="277" t="s">
        <v>7</v>
      </c>
      <c r="S49" s="278"/>
      <c r="T49" s="277" t="s">
        <v>211</v>
      </c>
      <c r="U49" s="277" t="s">
        <v>3</v>
      </c>
      <c r="V49" s="278"/>
      <c r="W49" s="277" t="s">
        <v>211</v>
      </c>
      <c r="X49" s="134"/>
      <c r="Y49" s="209" t="e">
        <f ca="1">science_cap*(1-EXP(-#REF!/(science_param*(OFFSET(#REF!,1,0)-OFFSET(#REF!,1,0)*20)+15000)))*(1+(mason_bonus*#REF!/#REF!))</f>
        <v>#REF!</v>
      </c>
      <c r="Z49" s="209" t="e">
        <f ca="1">keep_cap*(1-EXP(-#REF!/(keep_param*(OFFSET(#REF!,1,0)-OFFSET(#REF!,1,0)*20)+15000)))*(1+(mason_bonus*#REF!/#REF!))</f>
        <v>#REF!</v>
      </c>
      <c r="AA49" s="209" t="e">
        <f ca="1">harbor_towers_cap*(1-EXP(-#REF!/(towers_param*(OFFSET(#REF!,1,0)-OFFSET(#REF!,1,0)*20)+15000)))*(1+(mason_bonus*#REF!/#REF!))</f>
        <v>#REF!</v>
      </c>
      <c r="AB49" s="209" t="e">
        <f ca="1">walls_forges_cap*(1-EXP(-#REF!/(walls_forges_param*(OFFSET(#REF!,1,0)-OFFSET(#REF!,1,0)*20)+15000)))*(1+(mason_bonus*#REF!/#REF!))</f>
        <v>#REF!</v>
      </c>
      <c r="AC49" s="209" t="e">
        <f ca="1">walls_forges_cap*(1-EXP(-#REF!/(walls_forges_param*(OFFSET(#REF!,1,0)-OFFSET(#REF!,1,0)*20)+15000)))*(1+(mason_bonus*#REF!/#REF!))</f>
        <v>#REF!</v>
      </c>
      <c r="AD49" s="209" t="e">
        <f ca="1">harbor_towers_cap*(1-EXP(-#REF!/(harbor_towers_param*(OFFSET(#REF!,1,0)-OFFSET(#REF!,1,0)*20)+15000)))*(1+(mason_bonus*#REF!/#REF!))</f>
        <v>#REF!</v>
      </c>
      <c r="AE49" s="134"/>
      <c r="AF49" s="61" t="e">
        <f ca="1">(1+Overview!$I$28)*SUM(#REF!)+OFFSET(#REF!,-1,0)</f>
        <v>#REF!</v>
      </c>
      <c r="AG49" s="61" t="e">
        <f ca="1">(1+Overview!$I$28)*SUM(#REF!)+OFFSET(#REF!,-1,0)</f>
        <v>#REF!</v>
      </c>
      <c r="AH49" s="61" t="e">
        <f ca="1">(1+Overview!$I$28 + tech_7_1*#REF!)*SUM(#REF!)+OFFSET(#REF!,-1,0)</f>
        <v>#REF!</v>
      </c>
      <c r="AI49" s="61" t="e">
        <f ca="1">(1+Overview!$I$28)*SUM(#REF!)+OFFSET(#REF!,-1,0)</f>
        <v>#REF!</v>
      </c>
      <c r="AJ49" s="61" t="e">
        <f ca="1">(1+Overview!$I$28)*SUM(#REF!)+OFFSET(#REF!,-1,0)</f>
        <v>#REF!</v>
      </c>
      <c r="AK49" s="61" t="e">
        <f ca="1">(1+Overview!$I$28 + tech_7_1*#REF!)*SUM(#REF!)+OFFSET(#REF!,-1,0)</f>
        <v>#REF!</v>
      </c>
      <c r="AL49" s="134"/>
      <c r="AM49" s="57" t="e">
        <f>IF(AND(#REF!=AM$2,#REF!&lt;&gt;""),#REF!) + IF(AND(#REF!=AM$2,#REF!&lt;&gt;""),#REF!) + IF(AND(#REF!=AM$2,#REF!&lt;&gt;""),#REF!)</f>
        <v>#REF!</v>
      </c>
      <c r="AN49" s="57" t="e">
        <f>IF(AND(#REF!=AN$2,#REF!&lt;&gt;""),#REF!) + IF(AND(#REF!=AN$2,#REF!&lt;&gt;""),#REF!) + IF(AND(#REF!=AN$2,#REF!&lt;&gt;""),#REF!)</f>
        <v>#REF!</v>
      </c>
      <c r="AO49" s="57" t="e">
        <f>IF(AND(#REF!=AO$2,#REF!&lt;&gt;""),#REF!) + IF(AND(#REF!=AO$2,#REF!&lt;&gt;""),#REF!) + IF(AND(#REF!=AO$2,#REF!&lt;&gt;""),#REF!)</f>
        <v>#REF!</v>
      </c>
      <c r="AP49" s="57" t="e">
        <f>IF(AND(#REF!=AP$2,#REF!&lt;&gt;""),#REF!) + IF(AND(#REF!=AP$2,#REF!&lt;&gt;""),#REF!) + IF(AND(#REF!=AP$2,#REF!&lt;&gt;""),#REF!)</f>
        <v>#REF!</v>
      </c>
      <c r="AQ49" s="134"/>
      <c r="AR49" s="57" t="e">
        <f>IF(#REF!=AR$2,IF(#REF!=$Y$2,#REF!*plat_invest)) + IF(#REF!=AR$2,IF(#REF!=$Y$2,#REF!*plat_invest)) + IF(#REF!=AR$2,IF(#REF!=$Y$2,#REF!*plat_invest))</f>
        <v>#REF!</v>
      </c>
      <c r="AS49" s="57" t="e">
        <f>IF(#REF!=AS$2,IF(#REF!=$Y$2,#REF!*lumber_invest)) + IF(#REF!=AS$2,IF(#REF!=$Y$2,#REF!*lumber_invest)) + IF(#REF!=AS$2,IF(#REF!=$Y$2,#REF!*lumber_invest))</f>
        <v>#REF!</v>
      </c>
      <c r="AT49" s="57" t="e">
        <f>IF(#REF!=AT$2,IF(#REF!=$Y$2,#REF!*ore_invest)) + IF(#REF!=AT$2,IF(#REF!=$Y$2,#REF!*ore_invest)) + IF(#REF!=AT$2,IF(#REF!=$Y$2,#REF!*ore_invest))</f>
        <v>#REF!</v>
      </c>
      <c r="AU49" s="57" t="e">
        <f>IF(#REF!=AU$2,IF(#REF!=$Y$2,#REF!*gem_invest)) + IF(#REF!=AU$2,IF(#REF!=$Y$2,#REF!*gem_invest)) + IF(#REF!=AU$2,IF(#REF!=$Y$2,#REF!*gem_invest))</f>
        <v>#REF!</v>
      </c>
      <c r="AV49" s="134"/>
      <c r="AW49" s="57" t="e">
        <f>IF(#REF!=AW$2,IF(#REF!=$Z$2,#REF!*plat_invest)) + IF(#REF!=AW$2,IF(#REF!=$Z$2,#REF!*plat_invest)) + IF(#REF!=AW$2,IF(#REF!=$Z$2,#REF!*plat_invest))</f>
        <v>#REF!</v>
      </c>
      <c r="AX49" s="57" t="e">
        <f>IF(#REF!=AX$2,IF(#REF!=$Z$2,#REF!*lumber_invest)) + IF(#REF!=AX$2,IF(#REF!=$Z$2,#REF!*lumber_invest)) + IF(#REF!=AX$2,IF(#REF!=$Z$2,#REF!*lumber_invest))</f>
        <v>#REF!</v>
      </c>
      <c r="AY49" s="57" t="e">
        <f>IF(#REF!=AY$2,IF(#REF!=$Z$2,#REF!*ore_invest)) + IF(#REF!=AY$2,IF(#REF!=$Z$2,#REF!*ore_invest)) + IF(#REF!=AY$2,IF(#REF!=$Z$2,#REF!*ore_invest))</f>
        <v>#REF!</v>
      </c>
      <c r="AZ49" s="57" t="e">
        <f>IF(#REF!=AZ$2,IF(#REF!=$Z$2,#REF!*gem_invest)) + IF(#REF!=AZ$2,IF(#REF!=$Z$2,#REF!*gem_invest)) + IF(#REF!=AZ$2,IF(#REF!=$Z$2,#REF!*gem_invest))</f>
        <v>#REF!</v>
      </c>
      <c r="BA49" s="134"/>
      <c r="BB49" s="57" t="e">
        <f>IF(#REF!=BB$2,IF(#REF!=$AA$2,#REF!*plat_invest)) + IF(#REF!=BB$2,IF(#REF!=$AA$2,#REF!*plat_invest)) + IF(#REF!=BB$2,IF(#REF!=$AA$2,#REF!*plat_invest))</f>
        <v>#REF!</v>
      </c>
      <c r="BC49" s="57" t="e">
        <f>IF(#REF!=BC$2,IF(#REF!=$AA$2,#REF!*lumber_invest)) + IF(#REF!=BC$2,IF(#REF!=$AA$2,#REF!*lumber_invest)) + IF(#REF!=BC$2,IF(#REF!=$AA$2,#REF!*lumber_invest))</f>
        <v>#REF!</v>
      </c>
      <c r="BD49" s="57" t="e">
        <f>IF(#REF!=BD$2,IF(#REF!=$AA$2,#REF!*ore_invest)) + IF(#REF!=BD$2,IF(#REF!=$AA$2,#REF!*ore_invest)) + IF(#REF!=BD$2,IF(#REF!=$AA$2,#REF!*ore_invest))</f>
        <v>#REF!</v>
      </c>
      <c r="BE49" s="57" t="e">
        <f>IF(#REF!=BE$2,IF(#REF!=$AA$2,#REF!*gem_invest)) + IF(#REF!=BE$2,IF(#REF!=$AA$2,#REF!*gem_invest)) + IF(#REF!=BE$2,IF(#REF!=$AA$2,#REF!*gem_invest))</f>
        <v>#REF!</v>
      </c>
      <c r="BF49" s="134"/>
      <c r="BG49" s="57" t="e">
        <f>IF(#REF!=BG$2,IF(#REF!=$AB$2,#REF!*plat_invest)) + IF(#REF!=BG$2,IF(#REF!=$AB$2,#REF!*plat_invest)) + IF(#REF!=BG$2,IF(#REF!=$AB$2,#REF!*plat_invest))</f>
        <v>#REF!</v>
      </c>
      <c r="BH49" s="57" t="e">
        <f>IF(#REF!=BH$2,IF(#REF!=$AB$2,#REF!*lumber_invest)) + IF(#REF!=BH$2,IF(#REF!=$AB$2,#REF!*lumber_invest)) + IF(#REF!=BH$2,IF(#REF!=$AB$2,#REF!*lumber_invest))</f>
        <v>#REF!</v>
      </c>
      <c r="BI49" s="57" t="e">
        <f>IF(#REF!=BI$2,IF(#REF!=$AB$2,#REF!*ore_invest)) + IF(#REF!=BI$2,IF(#REF!=$AB$2,#REF!*ore_invest)) + IF(#REF!=BI$2,IF(#REF!=$AB$2,#REF!*ore_invest))</f>
        <v>#REF!</v>
      </c>
      <c r="BJ49" s="57" t="e">
        <f>IF(#REF!=BJ$2,IF(#REF!=$AB$2,#REF!*gem_invest)) + IF(#REF!=BJ$2,IF(#REF!=$AB$2,#REF!*gem_invest)) + IF(#REF!=BJ$2,IF(#REF!=$AB$2,#REF!*gem_invest))</f>
        <v>#REF!</v>
      </c>
      <c r="BK49" s="134"/>
      <c r="BL49" s="57" t="e">
        <f>IF(#REF!=BL$2,IF(#REF!=$AC$2,#REF!*plat_invest)) + IF(#REF!=BL$2,IF(#REF!=$AC$2,#REF!*plat_invest)) + IF(#REF!=BL$2,IF(#REF!=$AC$2,#REF!*plat_invest))</f>
        <v>#REF!</v>
      </c>
      <c r="BM49" s="57" t="e">
        <f>IF(#REF!=BM$2,IF(#REF!=$AC$2,#REF!*lumber_invest)) + IF(#REF!=BM$2,IF(#REF!=$AC$2,#REF!*lumber_invest)) + IF(#REF!=BM$2,IF(#REF!=$AC$2,#REF!*lumber_invest))</f>
        <v>#REF!</v>
      </c>
      <c r="BN49" s="57" t="e">
        <f>IF(#REF!=BN$2,IF(#REF!=$AC$2,#REF!*ore_invest)) + IF(#REF!=BN$2,IF(#REF!=$AC$2,#REF!*ore_invest)) + IF(#REF!=BN$2,IF(#REF!=$AC$2,#REF!*ore_invest))</f>
        <v>#REF!</v>
      </c>
      <c r="BO49" s="57" t="e">
        <f>IF(#REF!=BO$2,IF(#REF!=$AC$2,#REF!*gem_invest)) + IF(#REF!=BO$2,IF(#REF!=$AC$2,#REF!*gem_invest)) + IF(#REF!=BO$2,IF(#REF!=$AC$2,#REF!*gem_invest))</f>
        <v>#REF!</v>
      </c>
      <c r="BP49" s="134"/>
      <c r="BQ49" s="57" t="e">
        <f>IF(#REF!=BQ$2,IF(#REF!=$AD$2,#REF!*plat_invest)) + IF(#REF!=BQ$2,IF(#REF!=$AD$2,#REF!*plat_invest)) + IF(#REF!=BQ$2,IF(#REF!=$AD$2,#REF!*plat_invest))</f>
        <v>#REF!</v>
      </c>
      <c r="BR49" s="57" t="e">
        <f>IF(#REF!=BR$2,IF(#REF!=$AD$2,#REF!*lumber_invest)) + IF(#REF!=BR$2,IF(#REF!=$AD$2,#REF!*lumber_invest)) + IF(#REF!=BR$2,IF(#REF!=$AD$2,#REF!*lumber_invest))</f>
        <v>#REF!</v>
      </c>
      <c r="BS49" s="57" t="e">
        <f>IF(#REF!=BS$2,IF(#REF!=$AD$2,#REF!*ore_invest)) + IF(#REF!=BS$2,IF(#REF!=$AD$2,#REF!*ore_invest)) + IF(#REF!=BS$2,IF(#REF!=$AD$2,#REF!*ore_invest))</f>
        <v>#REF!</v>
      </c>
      <c r="BT49" s="57" t="e">
        <f>IF(#REF!=BT$2,IF(#REF!=$AD$2,#REF!*gem_invest)) + IF(#REF!=BT$2,IF(#REF!=$AD$2,#REF!*gem_invest)) + IF(#REF!=BT$2,IF(#REF!=$AD$2,#REF!*gem_invest))</f>
        <v>#REF!</v>
      </c>
      <c r="BU49" s="134"/>
      <c r="BV49" s="3" t="e">
        <f>OR(#REF!,#REF!,#REF!,#REF!,#REF!,#REF!,#REF!,#REF!,#REF!)</f>
        <v>#REF!</v>
      </c>
      <c r="BW49" s="61" t="e">
        <f>#REF!</f>
        <v>#REF!</v>
      </c>
      <c r="BX49" s="130"/>
      <c r="BY49" s="284" t="e">
        <f ca="1">OFFSET(#REF!,-1,0)+1/24</f>
        <v>#REF!</v>
      </c>
      <c r="BZ49" s="285" t="e">
        <f ca="1">OFFSET(#REF!,-1,0)+1/24</f>
        <v>#REF!</v>
      </c>
      <c r="CA49" s="57"/>
      <c r="CB49" s="283"/>
      <c r="CC49" s="283"/>
    </row>
    <row r="50" spans="1:81" x14ac:dyDescent="0.25">
      <c r="A50" s="206" t="e">
        <f>#REF!</f>
        <v>#REF!</v>
      </c>
      <c r="B50" s="134"/>
      <c r="C50" s="39" t="e">
        <f>#REF!</f>
        <v>#REF!</v>
      </c>
      <c r="D50" s="39" t="e">
        <f>#REF!</f>
        <v>#REF!</v>
      </c>
      <c r="E50" s="39" t="e">
        <f>#REF!</f>
        <v>#REF!</v>
      </c>
      <c r="F50" s="39" t="e">
        <f>#REF!</f>
        <v>#REF!</v>
      </c>
      <c r="G50" s="133"/>
      <c r="H50" s="39" t="e">
        <f>#REF!</f>
        <v>#REF!</v>
      </c>
      <c r="I50" s="132" t="e">
        <f>#REF!</f>
        <v>#REF!</v>
      </c>
      <c r="J50" s="132" t="e">
        <f>#REF!/#REF!</f>
        <v>#REF!</v>
      </c>
      <c r="K50" s="160" t="e">
        <f>#REF!</f>
        <v>#REF!</v>
      </c>
      <c r="L50" s="276" t="e">
        <f>#REF!</f>
        <v>#REF!</v>
      </c>
      <c r="M50" s="61">
        <f>IF(ISERROR(#REF!),0,#REF!*1)</f>
        <v>0</v>
      </c>
      <c r="N50" s="39" t="e">
        <f>#REF!</f>
        <v>#REF!</v>
      </c>
      <c r="O50" s="277" t="s">
        <v>4</v>
      </c>
      <c r="P50" s="278"/>
      <c r="Q50" s="277" t="s">
        <v>211</v>
      </c>
      <c r="R50" s="277" t="s">
        <v>7</v>
      </c>
      <c r="S50" s="278"/>
      <c r="T50" s="277" t="s">
        <v>211</v>
      </c>
      <c r="U50" s="277" t="s">
        <v>3</v>
      </c>
      <c r="V50" s="278"/>
      <c r="W50" s="277" t="s">
        <v>211</v>
      </c>
      <c r="X50" s="134"/>
      <c r="Y50" s="209" t="e">
        <f ca="1">science_cap*(1-EXP(-#REF!/(science_param*(OFFSET(#REF!,1,0)-OFFSET(#REF!,1,0)*20)+15000)))*(1+(mason_bonus*#REF!/#REF!))</f>
        <v>#REF!</v>
      </c>
      <c r="Z50" s="209" t="e">
        <f ca="1">keep_cap*(1-EXP(-#REF!/(keep_param*(OFFSET(#REF!,1,0)-OFFSET(#REF!,1,0)*20)+15000)))*(1+(mason_bonus*#REF!/#REF!))</f>
        <v>#REF!</v>
      </c>
      <c r="AA50" s="209" t="e">
        <f ca="1">harbor_towers_cap*(1-EXP(-#REF!/(towers_param*(OFFSET(#REF!,1,0)-OFFSET(#REF!,1,0)*20)+15000)))*(1+(mason_bonus*#REF!/#REF!))</f>
        <v>#REF!</v>
      </c>
      <c r="AB50" s="209" t="e">
        <f ca="1">walls_forges_cap*(1-EXP(-#REF!/(walls_forges_param*(OFFSET(#REF!,1,0)-OFFSET(#REF!,1,0)*20)+15000)))*(1+(mason_bonus*#REF!/#REF!))</f>
        <v>#REF!</v>
      </c>
      <c r="AC50" s="209" t="e">
        <f ca="1">walls_forges_cap*(1-EXP(-#REF!/(walls_forges_param*(OFFSET(#REF!,1,0)-OFFSET(#REF!,1,0)*20)+15000)))*(1+(mason_bonus*#REF!/#REF!))</f>
        <v>#REF!</v>
      </c>
      <c r="AD50" s="209" t="e">
        <f ca="1">harbor_towers_cap*(1-EXP(-#REF!/(harbor_towers_param*(OFFSET(#REF!,1,0)-OFFSET(#REF!,1,0)*20)+15000)))*(1+(mason_bonus*#REF!/#REF!))</f>
        <v>#REF!</v>
      </c>
      <c r="AE50" s="134"/>
      <c r="AF50" s="61" t="e">
        <f ca="1">(1+Overview!$I$28)*SUM(#REF!)+OFFSET(#REF!,-1,0)</f>
        <v>#REF!</v>
      </c>
      <c r="AG50" s="61" t="e">
        <f ca="1">(1+Overview!$I$28)*SUM(#REF!)+OFFSET(#REF!,-1,0)</f>
        <v>#REF!</v>
      </c>
      <c r="AH50" s="61" t="e">
        <f ca="1">(1+Overview!$I$28 + tech_7_1*#REF!)*SUM(#REF!)+OFFSET(#REF!,-1,0)</f>
        <v>#REF!</v>
      </c>
      <c r="AI50" s="61" t="e">
        <f ca="1">(1+Overview!$I$28)*SUM(#REF!)+OFFSET(#REF!,-1,0)</f>
        <v>#REF!</v>
      </c>
      <c r="AJ50" s="61" t="e">
        <f ca="1">(1+Overview!$I$28)*SUM(#REF!)+OFFSET(#REF!,-1,0)</f>
        <v>#REF!</v>
      </c>
      <c r="AK50" s="61" t="e">
        <f ca="1">(1+Overview!$I$28 + tech_7_1*#REF!)*SUM(#REF!)+OFFSET(#REF!,-1,0)</f>
        <v>#REF!</v>
      </c>
      <c r="AL50" s="134"/>
      <c r="AM50" s="57" t="e">
        <f>IF(AND(#REF!=AM$2,#REF!&lt;&gt;""),#REF!) + IF(AND(#REF!=AM$2,#REF!&lt;&gt;""),#REF!) + IF(AND(#REF!=AM$2,#REF!&lt;&gt;""),#REF!)</f>
        <v>#REF!</v>
      </c>
      <c r="AN50" s="57" t="e">
        <f>IF(AND(#REF!=AN$2,#REF!&lt;&gt;""),#REF!) + IF(AND(#REF!=AN$2,#REF!&lt;&gt;""),#REF!) + IF(AND(#REF!=AN$2,#REF!&lt;&gt;""),#REF!)</f>
        <v>#REF!</v>
      </c>
      <c r="AO50" s="57" t="e">
        <f>IF(AND(#REF!=AO$2,#REF!&lt;&gt;""),#REF!) + IF(AND(#REF!=AO$2,#REF!&lt;&gt;""),#REF!) + IF(AND(#REF!=AO$2,#REF!&lt;&gt;""),#REF!)</f>
        <v>#REF!</v>
      </c>
      <c r="AP50" s="57" t="e">
        <f>IF(AND(#REF!=AP$2,#REF!&lt;&gt;""),#REF!) + IF(AND(#REF!=AP$2,#REF!&lt;&gt;""),#REF!) + IF(AND(#REF!=AP$2,#REF!&lt;&gt;""),#REF!)</f>
        <v>#REF!</v>
      </c>
      <c r="AQ50" s="134"/>
      <c r="AR50" s="57" t="e">
        <f>IF(#REF!=AR$2,IF(#REF!=$Y$2,#REF!*plat_invest)) + IF(#REF!=AR$2,IF(#REF!=$Y$2,#REF!*plat_invest)) + IF(#REF!=AR$2,IF(#REF!=$Y$2,#REF!*plat_invest))</f>
        <v>#REF!</v>
      </c>
      <c r="AS50" s="57" t="e">
        <f>IF(#REF!=AS$2,IF(#REF!=$Y$2,#REF!*lumber_invest)) + IF(#REF!=AS$2,IF(#REF!=$Y$2,#REF!*lumber_invest)) + IF(#REF!=AS$2,IF(#REF!=$Y$2,#REF!*lumber_invest))</f>
        <v>#REF!</v>
      </c>
      <c r="AT50" s="57" t="e">
        <f>IF(#REF!=AT$2,IF(#REF!=$Y$2,#REF!*ore_invest)) + IF(#REF!=AT$2,IF(#REF!=$Y$2,#REF!*ore_invest)) + IF(#REF!=AT$2,IF(#REF!=$Y$2,#REF!*ore_invest))</f>
        <v>#REF!</v>
      </c>
      <c r="AU50" s="57" t="e">
        <f>IF(#REF!=AU$2,IF(#REF!=$Y$2,#REF!*gem_invest)) + IF(#REF!=AU$2,IF(#REF!=$Y$2,#REF!*gem_invest)) + IF(#REF!=AU$2,IF(#REF!=$Y$2,#REF!*gem_invest))</f>
        <v>#REF!</v>
      </c>
      <c r="AV50" s="134"/>
      <c r="AW50" s="57" t="e">
        <f>IF(#REF!=AW$2,IF(#REF!=$Z$2,#REF!*plat_invest)) + IF(#REF!=AW$2,IF(#REF!=$Z$2,#REF!*plat_invest)) + IF(#REF!=AW$2,IF(#REF!=$Z$2,#REF!*plat_invest))</f>
        <v>#REF!</v>
      </c>
      <c r="AX50" s="57" t="e">
        <f>IF(#REF!=AX$2,IF(#REF!=$Z$2,#REF!*lumber_invest)) + IF(#REF!=AX$2,IF(#REF!=$Z$2,#REF!*lumber_invest)) + IF(#REF!=AX$2,IF(#REF!=$Z$2,#REF!*lumber_invest))</f>
        <v>#REF!</v>
      </c>
      <c r="AY50" s="57" t="e">
        <f>IF(#REF!=AY$2,IF(#REF!=$Z$2,#REF!*ore_invest)) + IF(#REF!=AY$2,IF(#REF!=$Z$2,#REF!*ore_invest)) + IF(#REF!=AY$2,IF(#REF!=$Z$2,#REF!*ore_invest))</f>
        <v>#REF!</v>
      </c>
      <c r="AZ50" s="57" t="e">
        <f>IF(#REF!=AZ$2,IF(#REF!=$Z$2,#REF!*gem_invest)) + IF(#REF!=AZ$2,IF(#REF!=$Z$2,#REF!*gem_invest)) + IF(#REF!=AZ$2,IF(#REF!=$Z$2,#REF!*gem_invest))</f>
        <v>#REF!</v>
      </c>
      <c r="BA50" s="134"/>
      <c r="BB50" s="57" t="e">
        <f>IF(#REF!=BB$2,IF(#REF!=$AA$2,#REF!*plat_invest)) + IF(#REF!=BB$2,IF(#REF!=$AA$2,#REF!*plat_invest)) + IF(#REF!=BB$2,IF(#REF!=$AA$2,#REF!*plat_invest))</f>
        <v>#REF!</v>
      </c>
      <c r="BC50" s="57" t="e">
        <f>IF(#REF!=BC$2,IF(#REF!=$AA$2,#REF!*lumber_invest)) + IF(#REF!=BC$2,IF(#REF!=$AA$2,#REF!*lumber_invest)) + IF(#REF!=BC$2,IF(#REF!=$AA$2,#REF!*lumber_invest))</f>
        <v>#REF!</v>
      </c>
      <c r="BD50" s="57" t="e">
        <f>IF(#REF!=BD$2,IF(#REF!=$AA$2,#REF!*ore_invest)) + IF(#REF!=BD$2,IF(#REF!=$AA$2,#REF!*ore_invest)) + IF(#REF!=BD$2,IF(#REF!=$AA$2,#REF!*ore_invest))</f>
        <v>#REF!</v>
      </c>
      <c r="BE50" s="57" t="e">
        <f>IF(#REF!=BE$2,IF(#REF!=$AA$2,#REF!*gem_invest)) + IF(#REF!=BE$2,IF(#REF!=$AA$2,#REF!*gem_invest)) + IF(#REF!=BE$2,IF(#REF!=$AA$2,#REF!*gem_invest))</f>
        <v>#REF!</v>
      </c>
      <c r="BF50" s="134"/>
      <c r="BG50" s="57" t="e">
        <f>IF(#REF!=BG$2,IF(#REF!=$AB$2,#REF!*plat_invest)) + IF(#REF!=BG$2,IF(#REF!=$AB$2,#REF!*plat_invest)) + IF(#REF!=BG$2,IF(#REF!=$AB$2,#REF!*plat_invest))</f>
        <v>#REF!</v>
      </c>
      <c r="BH50" s="57" t="e">
        <f>IF(#REF!=BH$2,IF(#REF!=$AB$2,#REF!*lumber_invest)) + IF(#REF!=BH$2,IF(#REF!=$AB$2,#REF!*lumber_invest)) + IF(#REF!=BH$2,IF(#REF!=$AB$2,#REF!*lumber_invest))</f>
        <v>#REF!</v>
      </c>
      <c r="BI50" s="57" t="e">
        <f>IF(#REF!=BI$2,IF(#REF!=$AB$2,#REF!*ore_invest)) + IF(#REF!=BI$2,IF(#REF!=$AB$2,#REF!*ore_invest)) + IF(#REF!=BI$2,IF(#REF!=$AB$2,#REF!*ore_invest))</f>
        <v>#REF!</v>
      </c>
      <c r="BJ50" s="57" t="e">
        <f>IF(#REF!=BJ$2,IF(#REF!=$AB$2,#REF!*gem_invest)) + IF(#REF!=BJ$2,IF(#REF!=$AB$2,#REF!*gem_invest)) + IF(#REF!=BJ$2,IF(#REF!=$AB$2,#REF!*gem_invest))</f>
        <v>#REF!</v>
      </c>
      <c r="BK50" s="134"/>
      <c r="BL50" s="57" t="e">
        <f>IF(#REF!=BL$2,IF(#REF!=$AC$2,#REF!*plat_invest)) + IF(#REF!=BL$2,IF(#REF!=$AC$2,#REF!*plat_invest)) + IF(#REF!=BL$2,IF(#REF!=$AC$2,#REF!*plat_invest))</f>
        <v>#REF!</v>
      </c>
      <c r="BM50" s="57" t="e">
        <f>IF(#REF!=BM$2,IF(#REF!=$AC$2,#REF!*lumber_invest)) + IF(#REF!=BM$2,IF(#REF!=$AC$2,#REF!*lumber_invest)) + IF(#REF!=BM$2,IF(#REF!=$AC$2,#REF!*lumber_invest))</f>
        <v>#REF!</v>
      </c>
      <c r="BN50" s="57" t="e">
        <f>IF(#REF!=BN$2,IF(#REF!=$AC$2,#REF!*ore_invest)) + IF(#REF!=BN$2,IF(#REF!=$AC$2,#REF!*ore_invest)) + IF(#REF!=BN$2,IF(#REF!=$AC$2,#REF!*ore_invest))</f>
        <v>#REF!</v>
      </c>
      <c r="BO50" s="57" t="e">
        <f>IF(#REF!=BO$2,IF(#REF!=$AC$2,#REF!*gem_invest)) + IF(#REF!=BO$2,IF(#REF!=$AC$2,#REF!*gem_invest)) + IF(#REF!=BO$2,IF(#REF!=$AC$2,#REF!*gem_invest))</f>
        <v>#REF!</v>
      </c>
      <c r="BP50" s="134"/>
      <c r="BQ50" s="57" t="e">
        <f>IF(#REF!=BQ$2,IF(#REF!=$AD$2,#REF!*plat_invest)) + IF(#REF!=BQ$2,IF(#REF!=$AD$2,#REF!*plat_invest)) + IF(#REF!=BQ$2,IF(#REF!=$AD$2,#REF!*plat_invest))</f>
        <v>#REF!</v>
      </c>
      <c r="BR50" s="57" t="e">
        <f>IF(#REF!=BR$2,IF(#REF!=$AD$2,#REF!*lumber_invest)) + IF(#REF!=BR$2,IF(#REF!=$AD$2,#REF!*lumber_invest)) + IF(#REF!=BR$2,IF(#REF!=$AD$2,#REF!*lumber_invest))</f>
        <v>#REF!</v>
      </c>
      <c r="BS50" s="57" t="e">
        <f>IF(#REF!=BS$2,IF(#REF!=$AD$2,#REF!*ore_invest)) + IF(#REF!=BS$2,IF(#REF!=$AD$2,#REF!*ore_invest)) + IF(#REF!=BS$2,IF(#REF!=$AD$2,#REF!*ore_invest))</f>
        <v>#REF!</v>
      </c>
      <c r="BT50" s="57" t="e">
        <f>IF(#REF!=BT$2,IF(#REF!=$AD$2,#REF!*gem_invest)) + IF(#REF!=BT$2,IF(#REF!=$AD$2,#REF!*gem_invest)) + IF(#REF!=BT$2,IF(#REF!=$AD$2,#REF!*gem_invest))</f>
        <v>#REF!</v>
      </c>
      <c r="BU50" s="134"/>
      <c r="BV50" s="3" t="e">
        <f>OR(#REF!,#REF!,#REF!,#REF!,#REF!,#REF!,#REF!,#REF!,#REF!)</f>
        <v>#REF!</v>
      </c>
      <c r="BW50" s="61" t="e">
        <f>#REF!</f>
        <v>#REF!</v>
      </c>
      <c r="BX50" s="130"/>
      <c r="BY50" s="284" t="e">
        <f ca="1">OFFSET(#REF!,-1,0)+1/24</f>
        <v>#REF!</v>
      </c>
      <c r="BZ50" s="285" t="e">
        <f ca="1">OFFSET(#REF!,-1,0)+1/24</f>
        <v>#REF!</v>
      </c>
      <c r="CA50" s="57"/>
      <c r="CB50" s="283"/>
      <c r="CC50" s="283"/>
    </row>
    <row r="51" spans="1:81" x14ac:dyDescent="0.25">
      <c r="A51" s="206" t="e">
        <f>#REF!</f>
        <v>#REF!</v>
      </c>
      <c r="B51" s="134"/>
      <c r="C51" s="39" t="e">
        <f>#REF!</f>
        <v>#REF!</v>
      </c>
      <c r="D51" s="39" t="e">
        <f>#REF!</f>
        <v>#REF!</v>
      </c>
      <c r="E51" s="39" t="e">
        <f>#REF!</f>
        <v>#REF!</v>
      </c>
      <c r="F51" s="39" t="e">
        <f>#REF!</f>
        <v>#REF!</v>
      </c>
      <c r="G51" s="133"/>
      <c r="H51" s="39" t="e">
        <f>#REF!</f>
        <v>#REF!</v>
      </c>
      <c r="I51" s="132" t="e">
        <f>#REF!</f>
        <v>#REF!</v>
      </c>
      <c r="J51" s="132" t="e">
        <f>#REF!/#REF!</f>
        <v>#REF!</v>
      </c>
      <c r="K51" s="160" t="e">
        <f>#REF!</f>
        <v>#REF!</v>
      </c>
      <c r="L51" s="276" t="e">
        <f>#REF!</f>
        <v>#REF!</v>
      </c>
      <c r="M51" s="61">
        <f>IF(ISERROR(#REF!),0,#REF!*1)</f>
        <v>0</v>
      </c>
      <c r="N51" s="39" t="e">
        <f>#REF!</f>
        <v>#REF!</v>
      </c>
      <c r="O51" s="277" t="s">
        <v>4</v>
      </c>
      <c r="P51" s="278"/>
      <c r="Q51" s="277" t="s">
        <v>211</v>
      </c>
      <c r="R51" s="277" t="s">
        <v>7</v>
      </c>
      <c r="S51" s="278"/>
      <c r="T51" s="277" t="s">
        <v>211</v>
      </c>
      <c r="U51" s="277" t="s">
        <v>3</v>
      </c>
      <c r="V51" s="278"/>
      <c r="W51" s="277" t="s">
        <v>211</v>
      </c>
      <c r="X51" s="134"/>
      <c r="Y51" s="209" t="e">
        <f ca="1">science_cap*(1-EXP(-#REF!/(science_param*(OFFSET(#REF!,1,0)-OFFSET(#REF!,1,0)*20)+15000)))*(1+(mason_bonus*#REF!/#REF!))</f>
        <v>#REF!</v>
      </c>
      <c r="Z51" s="209" t="e">
        <f ca="1">keep_cap*(1-EXP(-#REF!/(keep_param*(OFFSET(#REF!,1,0)-OFFSET(#REF!,1,0)*20)+15000)))*(1+(mason_bonus*#REF!/#REF!))</f>
        <v>#REF!</v>
      </c>
      <c r="AA51" s="209" t="e">
        <f ca="1">harbor_towers_cap*(1-EXP(-#REF!/(towers_param*(OFFSET(#REF!,1,0)-OFFSET(#REF!,1,0)*20)+15000)))*(1+(mason_bonus*#REF!/#REF!))</f>
        <v>#REF!</v>
      </c>
      <c r="AB51" s="209" t="e">
        <f ca="1">walls_forges_cap*(1-EXP(-#REF!/(walls_forges_param*(OFFSET(#REF!,1,0)-OFFSET(#REF!,1,0)*20)+15000)))*(1+(mason_bonus*#REF!/#REF!))</f>
        <v>#REF!</v>
      </c>
      <c r="AC51" s="209" t="e">
        <f ca="1">walls_forges_cap*(1-EXP(-#REF!/(walls_forges_param*(OFFSET(#REF!,1,0)-OFFSET(#REF!,1,0)*20)+15000)))*(1+(mason_bonus*#REF!/#REF!))</f>
        <v>#REF!</v>
      </c>
      <c r="AD51" s="209" t="e">
        <f ca="1">harbor_towers_cap*(1-EXP(-#REF!/(harbor_towers_param*(OFFSET(#REF!,1,0)-OFFSET(#REF!,1,0)*20)+15000)))*(1+(mason_bonus*#REF!/#REF!))</f>
        <v>#REF!</v>
      </c>
      <c r="AE51" s="134"/>
      <c r="AF51" s="61" t="e">
        <f ca="1">(1+Overview!$I$28)*SUM(#REF!)+OFFSET(#REF!,-1,0)</f>
        <v>#REF!</v>
      </c>
      <c r="AG51" s="61" t="e">
        <f ca="1">(1+Overview!$I$28)*SUM(#REF!)+OFFSET(#REF!,-1,0)</f>
        <v>#REF!</v>
      </c>
      <c r="AH51" s="61" t="e">
        <f ca="1">(1+Overview!$I$28 + tech_7_1*#REF!)*SUM(#REF!)+OFFSET(#REF!,-1,0)</f>
        <v>#REF!</v>
      </c>
      <c r="AI51" s="61" t="e">
        <f ca="1">(1+Overview!$I$28)*SUM(#REF!)+OFFSET(#REF!,-1,0)</f>
        <v>#REF!</v>
      </c>
      <c r="AJ51" s="61" t="e">
        <f ca="1">(1+Overview!$I$28)*SUM(#REF!)+OFFSET(#REF!,-1,0)</f>
        <v>#REF!</v>
      </c>
      <c r="AK51" s="61" t="e">
        <f ca="1">(1+Overview!$I$28 + tech_7_1*#REF!)*SUM(#REF!)+OFFSET(#REF!,-1,0)</f>
        <v>#REF!</v>
      </c>
      <c r="AL51" s="134"/>
      <c r="AM51" s="57" t="e">
        <f>IF(AND(#REF!=AM$2,#REF!&lt;&gt;""),#REF!) + IF(AND(#REF!=AM$2,#REF!&lt;&gt;""),#REF!) + IF(AND(#REF!=AM$2,#REF!&lt;&gt;""),#REF!)</f>
        <v>#REF!</v>
      </c>
      <c r="AN51" s="57" t="e">
        <f>IF(AND(#REF!=AN$2,#REF!&lt;&gt;""),#REF!) + IF(AND(#REF!=AN$2,#REF!&lt;&gt;""),#REF!) + IF(AND(#REF!=AN$2,#REF!&lt;&gt;""),#REF!)</f>
        <v>#REF!</v>
      </c>
      <c r="AO51" s="57" t="e">
        <f>IF(AND(#REF!=AO$2,#REF!&lt;&gt;""),#REF!) + IF(AND(#REF!=AO$2,#REF!&lt;&gt;""),#REF!) + IF(AND(#REF!=AO$2,#REF!&lt;&gt;""),#REF!)</f>
        <v>#REF!</v>
      </c>
      <c r="AP51" s="57" t="e">
        <f>IF(AND(#REF!=AP$2,#REF!&lt;&gt;""),#REF!) + IF(AND(#REF!=AP$2,#REF!&lt;&gt;""),#REF!) + IF(AND(#REF!=AP$2,#REF!&lt;&gt;""),#REF!)</f>
        <v>#REF!</v>
      </c>
      <c r="AQ51" s="134"/>
      <c r="AR51" s="57" t="e">
        <f>IF(#REF!=AR$2,IF(#REF!=$Y$2,#REF!*plat_invest)) + IF(#REF!=AR$2,IF(#REF!=$Y$2,#REF!*plat_invest)) + IF(#REF!=AR$2,IF(#REF!=$Y$2,#REF!*plat_invest))</f>
        <v>#REF!</v>
      </c>
      <c r="AS51" s="57" t="e">
        <f>IF(#REF!=AS$2,IF(#REF!=$Y$2,#REF!*lumber_invest)) + IF(#REF!=AS$2,IF(#REF!=$Y$2,#REF!*lumber_invest)) + IF(#REF!=AS$2,IF(#REF!=$Y$2,#REF!*lumber_invest))</f>
        <v>#REF!</v>
      </c>
      <c r="AT51" s="57" t="e">
        <f>IF(#REF!=AT$2,IF(#REF!=$Y$2,#REF!*ore_invest)) + IF(#REF!=AT$2,IF(#REF!=$Y$2,#REF!*ore_invest)) + IF(#REF!=AT$2,IF(#REF!=$Y$2,#REF!*ore_invest))</f>
        <v>#REF!</v>
      </c>
      <c r="AU51" s="57" t="e">
        <f>IF(#REF!=AU$2,IF(#REF!=$Y$2,#REF!*gem_invest)) + IF(#REF!=AU$2,IF(#REF!=$Y$2,#REF!*gem_invest)) + IF(#REF!=AU$2,IF(#REF!=$Y$2,#REF!*gem_invest))</f>
        <v>#REF!</v>
      </c>
      <c r="AV51" s="134"/>
      <c r="AW51" s="57" t="e">
        <f>IF(#REF!=AW$2,IF(#REF!=$Z$2,#REF!*plat_invest)) + IF(#REF!=AW$2,IF(#REF!=$Z$2,#REF!*plat_invest)) + IF(#REF!=AW$2,IF(#REF!=$Z$2,#REF!*plat_invest))</f>
        <v>#REF!</v>
      </c>
      <c r="AX51" s="57" t="e">
        <f>IF(#REF!=AX$2,IF(#REF!=$Z$2,#REF!*lumber_invest)) + IF(#REF!=AX$2,IF(#REF!=$Z$2,#REF!*lumber_invest)) + IF(#REF!=AX$2,IF(#REF!=$Z$2,#REF!*lumber_invest))</f>
        <v>#REF!</v>
      </c>
      <c r="AY51" s="57" t="e">
        <f>IF(#REF!=AY$2,IF(#REF!=$Z$2,#REF!*ore_invest)) + IF(#REF!=AY$2,IF(#REF!=$Z$2,#REF!*ore_invest)) + IF(#REF!=AY$2,IF(#REF!=$Z$2,#REF!*ore_invest))</f>
        <v>#REF!</v>
      </c>
      <c r="AZ51" s="57" t="e">
        <f>IF(#REF!=AZ$2,IF(#REF!=$Z$2,#REF!*gem_invest)) + IF(#REF!=AZ$2,IF(#REF!=$Z$2,#REF!*gem_invest)) + IF(#REF!=AZ$2,IF(#REF!=$Z$2,#REF!*gem_invest))</f>
        <v>#REF!</v>
      </c>
      <c r="BA51" s="134"/>
      <c r="BB51" s="57" t="e">
        <f>IF(#REF!=BB$2,IF(#REF!=$AA$2,#REF!*plat_invest)) + IF(#REF!=BB$2,IF(#REF!=$AA$2,#REF!*plat_invest)) + IF(#REF!=BB$2,IF(#REF!=$AA$2,#REF!*plat_invest))</f>
        <v>#REF!</v>
      </c>
      <c r="BC51" s="57" t="e">
        <f>IF(#REF!=BC$2,IF(#REF!=$AA$2,#REF!*lumber_invest)) + IF(#REF!=BC$2,IF(#REF!=$AA$2,#REF!*lumber_invest)) + IF(#REF!=BC$2,IF(#REF!=$AA$2,#REF!*lumber_invest))</f>
        <v>#REF!</v>
      </c>
      <c r="BD51" s="57" t="e">
        <f>IF(#REF!=BD$2,IF(#REF!=$AA$2,#REF!*ore_invest)) + IF(#REF!=BD$2,IF(#REF!=$AA$2,#REF!*ore_invest)) + IF(#REF!=BD$2,IF(#REF!=$AA$2,#REF!*ore_invest))</f>
        <v>#REF!</v>
      </c>
      <c r="BE51" s="57" t="e">
        <f>IF(#REF!=BE$2,IF(#REF!=$AA$2,#REF!*gem_invest)) + IF(#REF!=BE$2,IF(#REF!=$AA$2,#REF!*gem_invest)) + IF(#REF!=BE$2,IF(#REF!=$AA$2,#REF!*gem_invest))</f>
        <v>#REF!</v>
      </c>
      <c r="BF51" s="134"/>
      <c r="BG51" s="57" t="e">
        <f>IF(#REF!=BG$2,IF(#REF!=$AB$2,#REF!*plat_invest)) + IF(#REF!=BG$2,IF(#REF!=$AB$2,#REF!*plat_invest)) + IF(#REF!=BG$2,IF(#REF!=$AB$2,#REF!*plat_invest))</f>
        <v>#REF!</v>
      </c>
      <c r="BH51" s="57" t="e">
        <f>IF(#REF!=BH$2,IF(#REF!=$AB$2,#REF!*lumber_invest)) + IF(#REF!=BH$2,IF(#REF!=$AB$2,#REF!*lumber_invest)) + IF(#REF!=BH$2,IF(#REF!=$AB$2,#REF!*lumber_invest))</f>
        <v>#REF!</v>
      </c>
      <c r="BI51" s="57" t="e">
        <f>IF(#REF!=BI$2,IF(#REF!=$AB$2,#REF!*ore_invest)) + IF(#REF!=BI$2,IF(#REF!=$AB$2,#REF!*ore_invest)) + IF(#REF!=BI$2,IF(#REF!=$AB$2,#REF!*ore_invest))</f>
        <v>#REF!</v>
      </c>
      <c r="BJ51" s="57" t="e">
        <f>IF(#REF!=BJ$2,IF(#REF!=$AB$2,#REF!*gem_invest)) + IF(#REF!=BJ$2,IF(#REF!=$AB$2,#REF!*gem_invest)) + IF(#REF!=BJ$2,IF(#REF!=$AB$2,#REF!*gem_invest))</f>
        <v>#REF!</v>
      </c>
      <c r="BK51" s="134"/>
      <c r="BL51" s="57" t="e">
        <f>IF(#REF!=BL$2,IF(#REF!=$AC$2,#REF!*plat_invest)) + IF(#REF!=BL$2,IF(#REF!=$AC$2,#REF!*plat_invest)) + IF(#REF!=BL$2,IF(#REF!=$AC$2,#REF!*plat_invest))</f>
        <v>#REF!</v>
      </c>
      <c r="BM51" s="57" t="e">
        <f>IF(#REF!=BM$2,IF(#REF!=$AC$2,#REF!*lumber_invest)) + IF(#REF!=BM$2,IF(#REF!=$AC$2,#REF!*lumber_invest)) + IF(#REF!=BM$2,IF(#REF!=$AC$2,#REF!*lumber_invest))</f>
        <v>#REF!</v>
      </c>
      <c r="BN51" s="57" t="e">
        <f>IF(#REF!=BN$2,IF(#REF!=$AC$2,#REF!*ore_invest)) + IF(#REF!=BN$2,IF(#REF!=$AC$2,#REF!*ore_invest)) + IF(#REF!=BN$2,IF(#REF!=$AC$2,#REF!*ore_invest))</f>
        <v>#REF!</v>
      </c>
      <c r="BO51" s="57" t="e">
        <f>IF(#REF!=BO$2,IF(#REF!=$AC$2,#REF!*gem_invest)) + IF(#REF!=BO$2,IF(#REF!=$AC$2,#REF!*gem_invest)) + IF(#REF!=BO$2,IF(#REF!=$AC$2,#REF!*gem_invest))</f>
        <v>#REF!</v>
      </c>
      <c r="BP51" s="134"/>
      <c r="BQ51" s="57" t="e">
        <f>IF(#REF!=BQ$2,IF(#REF!=$AD$2,#REF!*plat_invest)) + IF(#REF!=BQ$2,IF(#REF!=$AD$2,#REF!*plat_invest)) + IF(#REF!=BQ$2,IF(#REF!=$AD$2,#REF!*plat_invest))</f>
        <v>#REF!</v>
      </c>
      <c r="BR51" s="57" t="e">
        <f>IF(#REF!=BR$2,IF(#REF!=$AD$2,#REF!*lumber_invest)) + IF(#REF!=BR$2,IF(#REF!=$AD$2,#REF!*lumber_invest)) + IF(#REF!=BR$2,IF(#REF!=$AD$2,#REF!*lumber_invest))</f>
        <v>#REF!</v>
      </c>
      <c r="BS51" s="57" t="e">
        <f>IF(#REF!=BS$2,IF(#REF!=$AD$2,#REF!*ore_invest)) + IF(#REF!=BS$2,IF(#REF!=$AD$2,#REF!*ore_invest)) + IF(#REF!=BS$2,IF(#REF!=$AD$2,#REF!*ore_invest))</f>
        <v>#REF!</v>
      </c>
      <c r="BT51" s="57" t="e">
        <f>IF(#REF!=BT$2,IF(#REF!=$AD$2,#REF!*gem_invest)) + IF(#REF!=BT$2,IF(#REF!=$AD$2,#REF!*gem_invest)) + IF(#REF!=BT$2,IF(#REF!=$AD$2,#REF!*gem_invest))</f>
        <v>#REF!</v>
      </c>
      <c r="BU51" s="134"/>
      <c r="BV51" s="3" t="e">
        <f>OR(#REF!,#REF!,#REF!,#REF!,#REF!,#REF!,#REF!,#REF!,#REF!)</f>
        <v>#REF!</v>
      </c>
      <c r="BW51" s="61" t="e">
        <f>#REF!</f>
        <v>#REF!</v>
      </c>
      <c r="BX51" s="130"/>
      <c r="BY51" s="284" t="e">
        <f ca="1">OFFSET(#REF!,-1,0)+1/24</f>
        <v>#REF!</v>
      </c>
      <c r="BZ51" s="285" t="e">
        <f ca="1">OFFSET(#REF!,-1,0)+1/24</f>
        <v>#REF!</v>
      </c>
      <c r="CA51" s="57"/>
      <c r="CB51" s="283"/>
      <c r="CC51" s="283"/>
    </row>
    <row r="52" spans="1:81" x14ac:dyDescent="0.25">
      <c r="A52" s="206" t="e">
        <f>#REF!</f>
        <v>#REF!</v>
      </c>
      <c r="B52" s="134"/>
      <c r="C52" s="39" t="e">
        <f>#REF!</f>
        <v>#REF!</v>
      </c>
      <c r="D52" s="39" t="e">
        <f>#REF!</f>
        <v>#REF!</v>
      </c>
      <c r="E52" s="39" t="e">
        <f>#REF!</f>
        <v>#REF!</v>
      </c>
      <c r="F52" s="39" t="e">
        <f>#REF!</f>
        <v>#REF!</v>
      </c>
      <c r="G52" s="133"/>
      <c r="H52" s="39" t="e">
        <f>#REF!</f>
        <v>#REF!</v>
      </c>
      <c r="I52" s="132" t="e">
        <f>#REF!</f>
        <v>#REF!</v>
      </c>
      <c r="J52" s="132" t="e">
        <f>#REF!/#REF!</f>
        <v>#REF!</v>
      </c>
      <c r="K52" s="160" t="e">
        <f>#REF!</f>
        <v>#REF!</v>
      </c>
      <c r="L52" s="276" t="e">
        <f>#REF!</f>
        <v>#REF!</v>
      </c>
      <c r="M52" s="61">
        <f>IF(ISERROR(#REF!),0,#REF!*1)</f>
        <v>0</v>
      </c>
      <c r="N52" s="39" t="e">
        <f>#REF!</f>
        <v>#REF!</v>
      </c>
      <c r="O52" s="277" t="s">
        <v>4</v>
      </c>
      <c r="P52" s="278"/>
      <c r="Q52" s="277" t="s">
        <v>211</v>
      </c>
      <c r="R52" s="277" t="s">
        <v>7</v>
      </c>
      <c r="S52" s="278"/>
      <c r="T52" s="277" t="s">
        <v>211</v>
      </c>
      <c r="U52" s="277" t="s">
        <v>3</v>
      </c>
      <c r="V52" s="278"/>
      <c r="W52" s="277" t="s">
        <v>211</v>
      </c>
      <c r="X52" s="134"/>
      <c r="Y52" s="209" t="e">
        <f ca="1">science_cap*(1-EXP(-#REF!/(science_param*(OFFSET(#REF!,1,0)-OFFSET(#REF!,1,0)*20)+15000)))*(1+(mason_bonus*#REF!/#REF!))</f>
        <v>#REF!</v>
      </c>
      <c r="Z52" s="209" t="e">
        <f ca="1">keep_cap*(1-EXP(-#REF!/(keep_param*(OFFSET(#REF!,1,0)-OFFSET(#REF!,1,0)*20)+15000)))*(1+(mason_bonus*#REF!/#REF!))</f>
        <v>#REF!</v>
      </c>
      <c r="AA52" s="209" t="e">
        <f ca="1">harbor_towers_cap*(1-EXP(-#REF!/(towers_param*(OFFSET(#REF!,1,0)-OFFSET(#REF!,1,0)*20)+15000)))*(1+(mason_bonus*#REF!/#REF!))</f>
        <v>#REF!</v>
      </c>
      <c r="AB52" s="209" t="e">
        <f ca="1">walls_forges_cap*(1-EXP(-#REF!/(walls_forges_param*(OFFSET(#REF!,1,0)-OFFSET(#REF!,1,0)*20)+15000)))*(1+(mason_bonus*#REF!/#REF!))</f>
        <v>#REF!</v>
      </c>
      <c r="AC52" s="209" t="e">
        <f ca="1">walls_forges_cap*(1-EXP(-#REF!/(walls_forges_param*(OFFSET(#REF!,1,0)-OFFSET(#REF!,1,0)*20)+15000)))*(1+(mason_bonus*#REF!/#REF!))</f>
        <v>#REF!</v>
      </c>
      <c r="AD52" s="209" t="e">
        <f ca="1">harbor_towers_cap*(1-EXP(-#REF!/(harbor_towers_param*(OFFSET(#REF!,1,0)-OFFSET(#REF!,1,0)*20)+15000)))*(1+(mason_bonus*#REF!/#REF!))</f>
        <v>#REF!</v>
      </c>
      <c r="AE52" s="134"/>
      <c r="AF52" s="61" t="e">
        <f ca="1">(1+Overview!$I$28)*SUM(#REF!)+OFFSET(#REF!,-1,0)</f>
        <v>#REF!</v>
      </c>
      <c r="AG52" s="61" t="e">
        <f ca="1">(1+Overview!$I$28)*SUM(#REF!)+OFFSET(#REF!,-1,0)</f>
        <v>#REF!</v>
      </c>
      <c r="AH52" s="61" t="e">
        <f ca="1">(1+Overview!$I$28 + tech_7_1*#REF!)*SUM(#REF!)+OFFSET(#REF!,-1,0)</f>
        <v>#REF!</v>
      </c>
      <c r="AI52" s="61" t="e">
        <f ca="1">(1+Overview!$I$28)*SUM(#REF!)+OFFSET(#REF!,-1,0)</f>
        <v>#REF!</v>
      </c>
      <c r="AJ52" s="61" t="e">
        <f ca="1">(1+Overview!$I$28)*SUM(#REF!)+OFFSET(#REF!,-1,0)</f>
        <v>#REF!</v>
      </c>
      <c r="AK52" s="61" t="e">
        <f ca="1">(1+Overview!$I$28 + tech_7_1*#REF!)*SUM(#REF!)+OFFSET(#REF!,-1,0)</f>
        <v>#REF!</v>
      </c>
      <c r="AL52" s="134"/>
      <c r="AM52" s="57" t="e">
        <f>IF(AND(#REF!=AM$2,#REF!&lt;&gt;""),#REF!) + IF(AND(#REF!=AM$2,#REF!&lt;&gt;""),#REF!) + IF(AND(#REF!=AM$2,#REF!&lt;&gt;""),#REF!)</f>
        <v>#REF!</v>
      </c>
      <c r="AN52" s="57" t="e">
        <f>IF(AND(#REF!=AN$2,#REF!&lt;&gt;""),#REF!) + IF(AND(#REF!=AN$2,#REF!&lt;&gt;""),#REF!) + IF(AND(#REF!=AN$2,#REF!&lt;&gt;""),#REF!)</f>
        <v>#REF!</v>
      </c>
      <c r="AO52" s="57" t="e">
        <f>IF(AND(#REF!=AO$2,#REF!&lt;&gt;""),#REF!) + IF(AND(#REF!=AO$2,#REF!&lt;&gt;""),#REF!) + IF(AND(#REF!=AO$2,#REF!&lt;&gt;""),#REF!)</f>
        <v>#REF!</v>
      </c>
      <c r="AP52" s="57" t="e">
        <f>IF(AND(#REF!=AP$2,#REF!&lt;&gt;""),#REF!) + IF(AND(#REF!=AP$2,#REF!&lt;&gt;""),#REF!) + IF(AND(#REF!=AP$2,#REF!&lt;&gt;""),#REF!)</f>
        <v>#REF!</v>
      </c>
      <c r="AQ52" s="134"/>
      <c r="AR52" s="57" t="e">
        <f>IF(#REF!=AR$2,IF(#REF!=$Y$2,#REF!*plat_invest)) + IF(#REF!=AR$2,IF(#REF!=$Y$2,#REF!*plat_invest)) + IF(#REF!=AR$2,IF(#REF!=$Y$2,#REF!*plat_invest))</f>
        <v>#REF!</v>
      </c>
      <c r="AS52" s="57" t="e">
        <f>IF(#REF!=AS$2,IF(#REF!=$Y$2,#REF!*lumber_invest)) + IF(#REF!=AS$2,IF(#REF!=$Y$2,#REF!*lumber_invest)) + IF(#REF!=AS$2,IF(#REF!=$Y$2,#REF!*lumber_invest))</f>
        <v>#REF!</v>
      </c>
      <c r="AT52" s="57" t="e">
        <f>IF(#REF!=AT$2,IF(#REF!=$Y$2,#REF!*ore_invest)) + IF(#REF!=AT$2,IF(#REF!=$Y$2,#REF!*ore_invest)) + IF(#REF!=AT$2,IF(#REF!=$Y$2,#REF!*ore_invest))</f>
        <v>#REF!</v>
      </c>
      <c r="AU52" s="57" t="e">
        <f>IF(#REF!=AU$2,IF(#REF!=$Y$2,#REF!*gem_invest)) + IF(#REF!=AU$2,IF(#REF!=$Y$2,#REF!*gem_invest)) + IF(#REF!=AU$2,IF(#REF!=$Y$2,#REF!*gem_invest))</f>
        <v>#REF!</v>
      </c>
      <c r="AV52" s="134"/>
      <c r="AW52" s="57" t="e">
        <f>IF(#REF!=AW$2,IF(#REF!=$Z$2,#REF!*plat_invest)) + IF(#REF!=AW$2,IF(#REF!=$Z$2,#REF!*plat_invest)) + IF(#REF!=AW$2,IF(#REF!=$Z$2,#REF!*plat_invest))</f>
        <v>#REF!</v>
      </c>
      <c r="AX52" s="57" t="e">
        <f>IF(#REF!=AX$2,IF(#REF!=$Z$2,#REF!*lumber_invest)) + IF(#REF!=AX$2,IF(#REF!=$Z$2,#REF!*lumber_invest)) + IF(#REF!=AX$2,IF(#REF!=$Z$2,#REF!*lumber_invest))</f>
        <v>#REF!</v>
      </c>
      <c r="AY52" s="57" t="e">
        <f>IF(#REF!=AY$2,IF(#REF!=$Z$2,#REF!*ore_invest)) + IF(#REF!=AY$2,IF(#REF!=$Z$2,#REF!*ore_invest)) + IF(#REF!=AY$2,IF(#REF!=$Z$2,#REF!*ore_invest))</f>
        <v>#REF!</v>
      </c>
      <c r="AZ52" s="57" t="e">
        <f>IF(#REF!=AZ$2,IF(#REF!=$Z$2,#REF!*gem_invest)) + IF(#REF!=AZ$2,IF(#REF!=$Z$2,#REF!*gem_invest)) + IF(#REF!=AZ$2,IF(#REF!=$Z$2,#REF!*gem_invest))</f>
        <v>#REF!</v>
      </c>
      <c r="BA52" s="134"/>
      <c r="BB52" s="57" t="e">
        <f>IF(#REF!=BB$2,IF(#REF!=$AA$2,#REF!*plat_invest)) + IF(#REF!=BB$2,IF(#REF!=$AA$2,#REF!*plat_invest)) + IF(#REF!=BB$2,IF(#REF!=$AA$2,#REF!*plat_invest))</f>
        <v>#REF!</v>
      </c>
      <c r="BC52" s="57" t="e">
        <f>IF(#REF!=BC$2,IF(#REF!=$AA$2,#REF!*lumber_invest)) + IF(#REF!=BC$2,IF(#REF!=$AA$2,#REF!*lumber_invest)) + IF(#REF!=BC$2,IF(#REF!=$AA$2,#REF!*lumber_invest))</f>
        <v>#REF!</v>
      </c>
      <c r="BD52" s="57" t="e">
        <f>IF(#REF!=BD$2,IF(#REF!=$AA$2,#REF!*ore_invest)) + IF(#REF!=BD$2,IF(#REF!=$AA$2,#REF!*ore_invest)) + IF(#REF!=BD$2,IF(#REF!=$AA$2,#REF!*ore_invest))</f>
        <v>#REF!</v>
      </c>
      <c r="BE52" s="57" t="e">
        <f>IF(#REF!=BE$2,IF(#REF!=$AA$2,#REF!*gem_invest)) + IF(#REF!=BE$2,IF(#REF!=$AA$2,#REF!*gem_invest)) + IF(#REF!=BE$2,IF(#REF!=$AA$2,#REF!*gem_invest))</f>
        <v>#REF!</v>
      </c>
      <c r="BF52" s="134"/>
      <c r="BG52" s="57" t="e">
        <f>IF(#REF!=BG$2,IF(#REF!=$AB$2,#REF!*plat_invest)) + IF(#REF!=BG$2,IF(#REF!=$AB$2,#REF!*plat_invest)) + IF(#REF!=BG$2,IF(#REF!=$AB$2,#REF!*plat_invest))</f>
        <v>#REF!</v>
      </c>
      <c r="BH52" s="57" t="e">
        <f>IF(#REF!=BH$2,IF(#REF!=$AB$2,#REF!*lumber_invest)) + IF(#REF!=BH$2,IF(#REF!=$AB$2,#REF!*lumber_invest)) + IF(#REF!=BH$2,IF(#REF!=$AB$2,#REF!*lumber_invest))</f>
        <v>#REF!</v>
      </c>
      <c r="BI52" s="57" t="e">
        <f>IF(#REF!=BI$2,IF(#REF!=$AB$2,#REF!*ore_invest)) + IF(#REF!=BI$2,IF(#REF!=$AB$2,#REF!*ore_invest)) + IF(#REF!=BI$2,IF(#REF!=$AB$2,#REF!*ore_invest))</f>
        <v>#REF!</v>
      </c>
      <c r="BJ52" s="57" t="e">
        <f>IF(#REF!=BJ$2,IF(#REF!=$AB$2,#REF!*gem_invest)) + IF(#REF!=BJ$2,IF(#REF!=$AB$2,#REF!*gem_invest)) + IF(#REF!=BJ$2,IF(#REF!=$AB$2,#REF!*gem_invest))</f>
        <v>#REF!</v>
      </c>
      <c r="BK52" s="134"/>
      <c r="BL52" s="57" t="e">
        <f>IF(#REF!=BL$2,IF(#REF!=$AC$2,#REF!*plat_invest)) + IF(#REF!=BL$2,IF(#REF!=$AC$2,#REF!*plat_invest)) + IF(#REF!=BL$2,IF(#REF!=$AC$2,#REF!*plat_invest))</f>
        <v>#REF!</v>
      </c>
      <c r="BM52" s="57" t="e">
        <f>IF(#REF!=BM$2,IF(#REF!=$AC$2,#REF!*lumber_invest)) + IF(#REF!=BM$2,IF(#REF!=$AC$2,#REF!*lumber_invest)) + IF(#REF!=BM$2,IF(#REF!=$AC$2,#REF!*lumber_invest))</f>
        <v>#REF!</v>
      </c>
      <c r="BN52" s="57" t="e">
        <f>IF(#REF!=BN$2,IF(#REF!=$AC$2,#REF!*ore_invest)) + IF(#REF!=BN$2,IF(#REF!=$AC$2,#REF!*ore_invest)) + IF(#REF!=BN$2,IF(#REF!=$AC$2,#REF!*ore_invest))</f>
        <v>#REF!</v>
      </c>
      <c r="BO52" s="57" t="e">
        <f>IF(#REF!=BO$2,IF(#REF!=$AC$2,#REF!*gem_invest)) + IF(#REF!=BO$2,IF(#REF!=$AC$2,#REF!*gem_invest)) + IF(#REF!=BO$2,IF(#REF!=$AC$2,#REF!*gem_invest))</f>
        <v>#REF!</v>
      </c>
      <c r="BP52" s="134"/>
      <c r="BQ52" s="57" t="e">
        <f>IF(#REF!=BQ$2,IF(#REF!=$AD$2,#REF!*plat_invest)) + IF(#REF!=BQ$2,IF(#REF!=$AD$2,#REF!*plat_invest)) + IF(#REF!=BQ$2,IF(#REF!=$AD$2,#REF!*plat_invest))</f>
        <v>#REF!</v>
      </c>
      <c r="BR52" s="57" t="e">
        <f>IF(#REF!=BR$2,IF(#REF!=$AD$2,#REF!*lumber_invest)) + IF(#REF!=BR$2,IF(#REF!=$AD$2,#REF!*lumber_invest)) + IF(#REF!=BR$2,IF(#REF!=$AD$2,#REF!*lumber_invest))</f>
        <v>#REF!</v>
      </c>
      <c r="BS52" s="57" t="e">
        <f>IF(#REF!=BS$2,IF(#REF!=$AD$2,#REF!*ore_invest)) + IF(#REF!=BS$2,IF(#REF!=$AD$2,#REF!*ore_invest)) + IF(#REF!=BS$2,IF(#REF!=$AD$2,#REF!*ore_invest))</f>
        <v>#REF!</v>
      </c>
      <c r="BT52" s="57" t="e">
        <f>IF(#REF!=BT$2,IF(#REF!=$AD$2,#REF!*gem_invest)) + IF(#REF!=BT$2,IF(#REF!=$AD$2,#REF!*gem_invest)) + IF(#REF!=BT$2,IF(#REF!=$AD$2,#REF!*gem_invest))</f>
        <v>#REF!</v>
      </c>
      <c r="BU52" s="134"/>
      <c r="BV52" s="3" t="e">
        <f>OR(#REF!,#REF!,#REF!,#REF!,#REF!,#REF!,#REF!,#REF!,#REF!)</f>
        <v>#REF!</v>
      </c>
      <c r="BW52" s="61" t="e">
        <f>#REF!</f>
        <v>#REF!</v>
      </c>
      <c r="BX52" s="130"/>
      <c r="BY52" s="284" t="e">
        <f ca="1">OFFSET(#REF!,-1,0)+1/24</f>
        <v>#REF!</v>
      </c>
      <c r="BZ52" s="285" t="e">
        <f ca="1">OFFSET(#REF!,-1,0)+1/24</f>
        <v>#REF!</v>
      </c>
      <c r="CA52" s="57"/>
      <c r="CB52" s="283"/>
      <c r="CC52" s="283"/>
    </row>
    <row r="53" spans="1:81" x14ac:dyDescent="0.25">
      <c r="A53" s="206" t="e">
        <f>#REF!</f>
        <v>#REF!</v>
      </c>
      <c r="B53" s="134"/>
      <c r="C53" s="39" t="e">
        <f>#REF!</f>
        <v>#REF!</v>
      </c>
      <c r="D53" s="39" t="e">
        <f>#REF!</f>
        <v>#REF!</v>
      </c>
      <c r="E53" s="39" t="e">
        <f>#REF!</f>
        <v>#REF!</v>
      </c>
      <c r="F53" s="39" t="e">
        <f>#REF!</f>
        <v>#REF!</v>
      </c>
      <c r="G53" s="133"/>
      <c r="H53" s="39" t="e">
        <f>#REF!</f>
        <v>#REF!</v>
      </c>
      <c r="I53" s="132" t="e">
        <f>#REF!</f>
        <v>#REF!</v>
      </c>
      <c r="J53" s="132" t="e">
        <f>#REF!/#REF!</f>
        <v>#REF!</v>
      </c>
      <c r="K53" s="160" t="e">
        <f>#REF!</f>
        <v>#REF!</v>
      </c>
      <c r="L53" s="276" t="e">
        <f>#REF!</f>
        <v>#REF!</v>
      </c>
      <c r="M53" s="61">
        <f>IF(ISERROR(#REF!),0,#REF!*1)</f>
        <v>0</v>
      </c>
      <c r="N53" s="39" t="e">
        <f>#REF!</f>
        <v>#REF!</v>
      </c>
      <c r="O53" s="277" t="s">
        <v>4</v>
      </c>
      <c r="P53" s="278"/>
      <c r="Q53" s="277" t="s">
        <v>211</v>
      </c>
      <c r="R53" s="277" t="s">
        <v>7</v>
      </c>
      <c r="S53" s="278"/>
      <c r="T53" s="277" t="s">
        <v>211</v>
      </c>
      <c r="U53" s="277" t="s">
        <v>3</v>
      </c>
      <c r="V53" s="278"/>
      <c r="W53" s="277" t="s">
        <v>211</v>
      </c>
      <c r="X53" s="134"/>
      <c r="Y53" s="209" t="e">
        <f ca="1">science_cap*(1-EXP(-#REF!/(science_param*(OFFSET(#REF!,1,0)-OFFSET(#REF!,1,0)*20)+15000)))*(1+(mason_bonus*#REF!/#REF!))</f>
        <v>#REF!</v>
      </c>
      <c r="Z53" s="209" t="e">
        <f ca="1">keep_cap*(1-EXP(-#REF!/(keep_param*(OFFSET(#REF!,1,0)-OFFSET(#REF!,1,0)*20)+15000)))*(1+(mason_bonus*#REF!/#REF!))</f>
        <v>#REF!</v>
      </c>
      <c r="AA53" s="209" t="e">
        <f ca="1">harbor_towers_cap*(1-EXP(-#REF!/(towers_param*(OFFSET(#REF!,1,0)-OFFSET(#REF!,1,0)*20)+15000)))*(1+(mason_bonus*#REF!/#REF!))</f>
        <v>#REF!</v>
      </c>
      <c r="AB53" s="209" t="e">
        <f ca="1">walls_forges_cap*(1-EXP(-#REF!/(walls_forges_param*(OFFSET(#REF!,1,0)-OFFSET(#REF!,1,0)*20)+15000)))*(1+(mason_bonus*#REF!/#REF!))</f>
        <v>#REF!</v>
      </c>
      <c r="AC53" s="209" t="e">
        <f ca="1">walls_forges_cap*(1-EXP(-#REF!/(walls_forges_param*(OFFSET(#REF!,1,0)-OFFSET(#REF!,1,0)*20)+15000)))*(1+(mason_bonus*#REF!/#REF!))</f>
        <v>#REF!</v>
      </c>
      <c r="AD53" s="209" t="e">
        <f ca="1">harbor_towers_cap*(1-EXP(-#REF!/(harbor_towers_param*(OFFSET(#REF!,1,0)-OFFSET(#REF!,1,0)*20)+15000)))*(1+(mason_bonus*#REF!/#REF!))</f>
        <v>#REF!</v>
      </c>
      <c r="AE53" s="134"/>
      <c r="AF53" s="61" t="e">
        <f ca="1">(1+Overview!$I$28)*SUM(#REF!)+OFFSET(#REF!,-1,0)</f>
        <v>#REF!</v>
      </c>
      <c r="AG53" s="61" t="e">
        <f ca="1">(1+Overview!$I$28)*SUM(#REF!)+OFFSET(#REF!,-1,0)</f>
        <v>#REF!</v>
      </c>
      <c r="AH53" s="61" t="e">
        <f ca="1">(1+Overview!$I$28 + tech_7_1*#REF!)*SUM(#REF!)+OFFSET(#REF!,-1,0)</f>
        <v>#REF!</v>
      </c>
      <c r="AI53" s="61" t="e">
        <f ca="1">(1+Overview!$I$28)*SUM(#REF!)+OFFSET(#REF!,-1,0)</f>
        <v>#REF!</v>
      </c>
      <c r="AJ53" s="61" t="e">
        <f ca="1">(1+Overview!$I$28)*SUM(#REF!)+OFFSET(#REF!,-1,0)</f>
        <v>#REF!</v>
      </c>
      <c r="AK53" s="61" t="e">
        <f ca="1">(1+Overview!$I$28 + tech_7_1*#REF!)*SUM(#REF!)+OFFSET(#REF!,-1,0)</f>
        <v>#REF!</v>
      </c>
      <c r="AL53" s="134"/>
      <c r="AM53" s="57" t="e">
        <f>IF(AND(#REF!=AM$2,#REF!&lt;&gt;""),#REF!) + IF(AND(#REF!=AM$2,#REF!&lt;&gt;""),#REF!) + IF(AND(#REF!=AM$2,#REF!&lt;&gt;""),#REF!)</f>
        <v>#REF!</v>
      </c>
      <c r="AN53" s="57" t="e">
        <f>IF(AND(#REF!=AN$2,#REF!&lt;&gt;""),#REF!) + IF(AND(#REF!=AN$2,#REF!&lt;&gt;""),#REF!) + IF(AND(#REF!=AN$2,#REF!&lt;&gt;""),#REF!)</f>
        <v>#REF!</v>
      </c>
      <c r="AO53" s="57" t="e">
        <f>IF(AND(#REF!=AO$2,#REF!&lt;&gt;""),#REF!) + IF(AND(#REF!=AO$2,#REF!&lt;&gt;""),#REF!) + IF(AND(#REF!=AO$2,#REF!&lt;&gt;""),#REF!)</f>
        <v>#REF!</v>
      </c>
      <c r="AP53" s="57" t="e">
        <f>IF(AND(#REF!=AP$2,#REF!&lt;&gt;""),#REF!) + IF(AND(#REF!=AP$2,#REF!&lt;&gt;""),#REF!) + IF(AND(#REF!=AP$2,#REF!&lt;&gt;""),#REF!)</f>
        <v>#REF!</v>
      </c>
      <c r="AQ53" s="134"/>
      <c r="AR53" s="57" t="e">
        <f>IF(#REF!=AR$2,IF(#REF!=$Y$2,#REF!*plat_invest)) + IF(#REF!=AR$2,IF(#REF!=$Y$2,#REF!*plat_invest)) + IF(#REF!=AR$2,IF(#REF!=$Y$2,#REF!*plat_invest))</f>
        <v>#REF!</v>
      </c>
      <c r="AS53" s="57" t="e">
        <f>IF(#REF!=AS$2,IF(#REF!=$Y$2,#REF!*lumber_invest)) + IF(#REF!=AS$2,IF(#REF!=$Y$2,#REF!*lumber_invest)) + IF(#REF!=AS$2,IF(#REF!=$Y$2,#REF!*lumber_invest))</f>
        <v>#REF!</v>
      </c>
      <c r="AT53" s="57" t="e">
        <f>IF(#REF!=AT$2,IF(#REF!=$Y$2,#REF!*ore_invest)) + IF(#REF!=AT$2,IF(#REF!=$Y$2,#REF!*ore_invest)) + IF(#REF!=AT$2,IF(#REF!=$Y$2,#REF!*ore_invest))</f>
        <v>#REF!</v>
      </c>
      <c r="AU53" s="57" t="e">
        <f>IF(#REF!=AU$2,IF(#REF!=$Y$2,#REF!*gem_invest)) + IF(#REF!=AU$2,IF(#REF!=$Y$2,#REF!*gem_invest)) + IF(#REF!=AU$2,IF(#REF!=$Y$2,#REF!*gem_invest))</f>
        <v>#REF!</v>
      </c>
      <c r="AV53" s="134"/>
      <c r="AW53" s="57" t="e">
        <f>IF(#REF!=AW$2,IF(#REF!=$Z$2,#REF!*plat_invest)) + IF(#REF!=AW$2,IF(#REF!=$Z$2,#REF!*plat_invest)) + IF(#REF!=AW$2,IF(#REF!=$Z$2,#REF!*plat_invest))</f>
        <v>#REF!</v>
      </c>
      <c r="AX53" s="57" t="e">
        <f>IF(#REF!=AX$2,IF(#REF!=$Z$2,#REF!*lumber_invest)) + IF(#REF!=AX$2,IF(#REF!=$Z$2,#REF!*lumber_invest)) + IF(#REF!=AX$2,IF(#REF!=$Z$2,#REF!*lumber_invest))</f>
        <v>#REF!</v>
      </c>
      <c r="AY53" s="57" t="e">
        <f>IF(#REF!=AY$2,IF(#REF!=$Z$2,#REF!*ore_invest)) + IF(#REF!=AY$2,IF(#REF!=$Z$2,#REF!*ore_invest)) + IF(#REF!=AY$2,IF(#REF!=$Z$2,#REF!*ore_invest))</f>
        <v>#REF!</v>
      </c>
      <c r="AZ53" s="57" t="e">
        <f>IF(#REF!=AZ$2,IF(#REF!=$Z$2,#REF!*gem_invest)) + IF(#REF!=AZ$2,IF(#REF!=$Z$2,#REF!*gem_invest)) + IF(#REF!=AZ$2,IF(#REF!=$Z$2,#REF!*gem_invest))</f>
        <v>#REF!</v>
      </c>
      <c r="BA53" s="134"/>
      <c r="BB53" s="57" t="e">
        <f>IF(#REF!=BB$2,IF(#REF!=$AA$2,#REF!*plat_invest)) + IF(#REF!=BB$2,IF(#REF!=$AA$2,#REF!*plat_invest)) + IF(#REF!=BB$2,IF(#REF!=$AA$2,#REF!*plat_invest))</f>
        <v>#REF!</v>
      </c>
      <c r="BC53" s="57" t="e">
        <f>IF(#REF!=BC$2,IF(#REF!=$AA$2,#REF!*lumber_invest)) + IF(#REF!=BC$2,IF(#REF!=$AA$2,#REF!*lumber_invest)) + IF(#REF!=BC$2,IF(#REF!=$AA$2,#REF!*lumber_invest))</f>
        <v>#REF!</v>
      </c>
      <c r="BD53" s="57" t="e">
        <f>IF(#REF!=BD$2,IF(#REF!=$AA$2,#REF!*ore_invest)) + IF(#REF!=BD$2,IF(#REF!=$AA$2,#REF!*ore_invest)) + IF(#REF!=BD$2,IF(#REF!=$AA$2,#REF!*ore_invest))</f>
        <v>#REF!</v>
      </c>
      <c r="BE53" s="57" t="e">
        <f>IF(#REF!=BE$2,IF(#REF!=$AA$2,#REF!*gem_invest)) + IF(#REF!=BE$2,IF(#REF!=$AA$2,#REF!*gem_invest)) + IF(#REF!=BE$2,IF(#REF!=$AA$2,#REF!*gem_invest))</f>
        <v>#REF!</v>
      </c>
      <c r="BF53" s="134"/>
      <c r="BG53" s="57" t="e">
        <f>IF(#REF!=BG$2,IF(#REF!=$AB$2,#REF!*plat_invest)) + IF(#REF!=BG$2,IF(#REF!=$AB$2,#REF!*plat_invest)) + IF(#REF!=BG$2,IF(#REF!=$AB$2,#REF!*plat_invest))</f>
        <v>#REF!</v>
      </c>
      <c r="BH53" s="57" t="e">
        <f>IF(#REF!=BH$2,IF(#REF!=$AB$2,#REF!*lumber_invest)) + IF(#REF!=BH$2,IF(#REF!=$AB$2,#REF!*lumber_invest)) + IF(#REF!=BH$2,IF(#REF!=$AB$2,#REF!*lumber_invest))</f>
        <v>#REF!</v>
      </c>
      <c r="BI53" s="57" t="e">
        <f>IF(#REF!=BI$2,IF(#REF!=$AB$2,#REF!*ore_invest)) + IF(#REF!=BI$2,IF(#REF!=$AB$2,#REF!*ore_invest)) + IF(#REF!=BI$2,IF(#REF!=$AB$2,#REF!*ore_invest))</f>
        <v>#REF!</v>
      </c>
      <c r="BJ53" s="57" t="e">
        <f>IF(#REF!=BJ$2,IF(#REF!=$AB$2,#REF!*gem_invest)) + IF(#REF!=BJ$2,IF(#REF!=$AB$2,#REF!*gem_invest)) + IF(#REF!=BJ$2,IF(#REF!=$AB$2,#REF!*gem_invest))</f>
        <v>#REF!</v>
      </c>
      <c r="BK53" s="134"/>
      <c r="BL53" s="57" t="e">
        <f>IF(#REF!=BL$2,IF(#REF!=$AC$2,#REF!*plat_invest)) + IF(#REF!=BL$2,IF(#REF!=$AC$2,#REF!*plat_invest)) + IF(#REF!=BL$2,IF(#REF!=$AC$2,#REF!*plat_invest))</f>
        <v>#REF!</v>
      </c>
      <c r="BM53" s="57" t="e">
        <f>IF(#REF!=BM$2,IF(#REF!=$AC$2,#REF!*lumber_invest)) + IF(#REF!=BM$2,IF(#REF!=$AC$2,#REF!*lumber_invest)) + IF(#REF!=BM$2,IF(#REF!=$AC$2,#REF!*lumber_invest))</f>
        <v>#REF!</v>
      </c>
      <c r="BN53" s="57" t="e">
        <f>IF(#REF!=BN$2,IF(#REF!=$AC$2,#REF!*ore_invest)) + IF(#REF!=BN$2,IF(#REF!=$AC$2,#REF!*ore_invest)) + IF(#REF!=BN$2,IF(#REF!=$AC$2,#REF!*ore_invest))</f>
        <v>#REF!</v>
      </c>
      <c r="BO53" s="57" t="e">
        <f>IF(#REF!=BO$2,IF(#REF!=$AC$2,#REF!*gem_invest)) + IF(#REF!=BO$2,IF(#REF!=$AC$2,#REF!*gem_invest)) + IF(#REF!=BO$2,IF(#REF!=$AC$2,#REF!*gem_invest))</f>
        <v>#REF!</v>
      </c>
      <c r="BP53" s="134"/>
      <c r="BQ53" s="57" t="e">
        <f>IF(#REF!=BQ$2,IF(#REF!=$AD$2,#REF!*plat_invest)) + IF(#REF!=BQ$2,IF(#REF!=$AD$2,#REF!*plat_invest)) + IF(#REF!=BQ$2,IF(#REF!=$AD$2,#REF!*plat_invest))</f>
        <v>#REF!</v>
      </c>
      <c r="BR53" s="57" t="e">
        <f>IF(#REF!=BR$2,IF(#REF!=$AD$2,#REF!*lumber_invest)) + IF(#REF!=BR$2,IF(#REF!=$AD$2,#REF!*lumber_invest)) + IF(#REF!=BR$2,IF(#REF!=$AD$2,#REF!*lumber_invest))</f>
        <v>#REF!</v>
      </c>
      <c r="BS53" s="57" t="e">
        <f>IF(#REF!=BS$2,IF(#REF!=$AD$2,#REF!*ore_invest)) + IF(#REF!=BS$2,IF(#REF!=$AD$2,#REF!*ore_invest)) + IF(#REF!=BS$2,IF(#REF!=$AD$2,#REF!*ore_invest))</f>
        <v>#REF!</v>
      </c>
      <c r="BT53" s="57" t="e">
        <f>IF(#REF!=BT$2,IF(#REF!=$AD$2,#REF!*gem_invest)) + IF(#REF!=BT$2,IF(#REF!=$AD$2,#REF!*gem_invest)) + IF(#REF!=BT$2,IF(#REF!=$AD$2,#REF!*gem_invest))</f>
        <v>#REF!</v>
      </c>
      <c r="BU53" s="134"/>
      <c r="BV53" s="3" t="e">
        <f>OR(#REF!,#REF!,#REF!,#REF!,#REF!,#REF!,#REF!,#REF!,#REF!)</f>
        <v>#REF!</v>
      </c>
      <c r="BW53" s="61" t="e">
        <f>#REF!</f>
        <v>#REF!</v>
      </c>
      <c r="BX53" s="130"/>
      <c r="BY53" s="284" t="e">
        <f ca="1">OFFSET(#REF!,-1,0)+1/24</f>
        <v>#REF!</v>
      </c>
      <c r="BZ53" s="285" t="e">
        <f ca="1">OFFSET(#REF!,-1,0)+1/24</f>
        <v>#REF!</v>
      </c>
      <c r="CA53" s="57"/>
      <c r="CB53" s="283"/>
      <c r="CC53" s="283"/>
    </row>
    <row r="54" spans="1:81" x14ac:dyDescent="0.25">
      <c r="A54" s="206" t="e">
        <f>#REF!</f>
        <v>#REF!</v>
      </c>
      <c r="B54" s="134"/>
      <c r="C54" s="39" t="e">
        <f>#REF!</f>
        <v>#REF!</v>
      </c>
      <c r="D54" s="39" t="e">
        <f>#REF!</f>
        <v>#REF!</v>
      </c>
      <c r="E54" s="39" t="e">
        <f>#REF!</f>
        <v>#REF!</v>
      </c>
      <c r="F54" s="39" t="e">
        <f>#REF!</f>
        <v>#REF!</v>
      </c>
      <c r="G54" s="133"/>
      <c r="H54" s="39" t="e">
        <f>#REF!</f>
        <v>#REF!</v>
      </c>
      <c r="I54" s="132" t="e">
        <f>#REF!</f>
        <v>#REF!</v>
      </c>
      <c r="J54" s="132" t="e">
        <f>#REF!/#REF!</f>
        <v>#REF!</v>
      </c>
      <c r="K54" s="160" t="e">
        <f>#REF!</f>
        <v>#REF!</v>
      </c>
      <c r="L54" s="276" t="e">
        <f>#REF!</f>
        <v>#REF!</v>
      </c>
      <c r="M54" s="61">
        <f>IF(ISERROR(#REF!),0,#REF!*1)</f>
        <v>0</v>
      </c>
      <c r="N54" s="39" t="e">
        <f>#REF!</f>
        <v>#REF!</v>
      </c>
      <c r="O54" s="277" t="s">
        <v>2</v>
      </c>
      <c r="P54" s="278"/>
      <c r="Q54" s="277" t="s">
        <v>211</v>
      </c>
      <c r="R54" s="277" t="s">
        <v>7</v>
      </c>
      <c r="S54" s="278"/>
      <c r="T54" s="277" t="s">
        <v>211</v>
      </c>
      <c r="U54" s="277" t="s">
        <v>3</v>
      </c>
      <c r="V54" s="278"/>
      <c r="W54" s="277" t="s">
        <v>211</v>
      </c>
      <c r="X54" s="134"/>
      <c r="Y54" s="209" t="e">
        <f ca="1">science_cap*(1-EXP(-#REF!/(science_param*(OFFSET(#REF!,1,0)-OFFSET(#REF!,1,0)*20)+15000)))*(1+(mason_bonus*#REF!/#REF!))</f>
        <v>#REF!</v>
      </c>
      <c r="Z54" s="209" t="e">
        <f ca="1">keep_cap*(1-EXP(-#REF!/(keep_param*(OFFSET(#REF!,1,0)-OFFSET(#REF!,1,0)*20)+15000)))*(1+(mason_bonus*#REF!/#REF!))</f>
        <v>#REF!</v>
      </c>
      <c r="AA54" s="209" t="e">
        <f ca="1">harbor_towers_cap*(1-EXP(-#REF!/(towers_param*(OFFSET(#REF!,1,0)-OFFSET(#REF!,1,0)*20)+15000)))*(1+(mason_bonus*#REF!/#REF!))</f>
        <v>#REF!</v>
      </c>
      <c r="AB54" s="209" t="e">
        <f ca="1">walls_forges_cap*(1-EXP(-#REF!/(walls_forges_param*(OFFSET(#REF!,1,0)-OFFSET(#REF!,1,0)*20)+15000)))*(1+(mason_bonus*#REF!/#REF!))</f>
        <v>#REF!</v>
      </c>
      <c r="AC54" s="209" t="e">
        <f ca="1">walls_forges_cap*(1-EXP(-#REF!/(walls_forges_param*(OFFSET(#REF!,1,0)-OFFSET(#REF!,1,0)*20)+15000)))*(1+(mason_bonus*#REF!/#REF!))</f>
        <v>#REF!</v>
      </c>
      <c r="AD54" s="209" t="e">
        <f ca="1">harbor_towers_cap*(1-EXP(-#REF!/(harbor_towers_param*(OFFSET(#REF!,1,0)-OFFSET(#REF!,1,0)*20)+15000)))*(1+(mason_bonus*#REF!/#REF!))</f>
        <v>#REF!</v>
      </c>
      <c r="AE54" s="134"/>
      <c r="AF54" s="61" t="e">
        <f ca="1">(1+Overview!$I$28)*SUM(#REF!)+OFFSET(#REF!,-1,0)</f>
        <v>#REF!</v>
      </c>
      <c r="AG54" s="61" t="e">
        <f ca="1">(1+Overview!$I$28)*SUM(#REF!)+OFFSET(#REF!,-1,0)</f>
        <v>#REF!</v>
      </c>
      <c r="AH54" s="61" t="e">
        <f ca="1">(1+Overview!$I$28 + tech_7_1*#REF!)*SUM(#REF!)+OFFSET(#REF!,-1,0)</f>
        <v>#REF!</v>
      </c>
      <c r="AI54" s="61" t="e">
        <f ca="1">(1+Overview!$I$28)*SUM(#REF!)+OFFSET(#REF!,-1,0)</f>
        <v>#REF!</v>
      </c>
      <c r="AJ54" s="61" t="e">
        <f ca="1">(1+Overview!$I$28)*SUM(#REF!)+OFFSET(#REF!,-1,0)</f>
        <v>#REF!</v>
      </c>
      <c r="AK54" s="61" t="e">
        <f ca="1">(1+Overview!$I$28 + tech_7_1*#REF!)*SUM(#REF!)+OFFSET(#REF!,-1,0)</f>
        <v>#REF!</v>
      </c>
      <c r="AL54" s="134"/>
      <c r="AM54" s="57" t="e">
        <f>IF(AND(#REF!=AM$2,#REF!&lt;&gt;""),#REF!) + IF(AND(#REF!=AM$2,#REF!&lt;&gt;""),#REF!) + IF(AND(#REF!=AM$2,#REF!&lt;&gt;""),#REF!)</f>
        <v>#REF!</v>
      </c>
      <c r="AN54" s="57" t="e">
        <f>IF(AND(#REF!=AN$2,#REF!&lt;&gt;""),#REF!) + IF(AND(#REF!=AN$2,#REF!&lt;&gt;""),#REF!) + IF(AND(#REF!=AN$2,#REF!&lt;&gt;""),#REF!)</f>
        <v>#REF!</v>
      </c>
      <c r="AO54" s="57" t="e">
        <f>IF(AND(#REF!=AO$2,#REF!&lt;&gt;""),#REF!) + IF(AND(#REF!=AO$2,#REF!&lt;&gt;""),#REF!) + IF(AND(#REF!=AO$2,#REF!&lt;&gt;""),#REF!)</f>
        <v>#REF!</v>
      </c>
      <c r="AP54" s="57" t="e">
        <f>IF(AND(#REF!=AP$2,#REF!&lt;&gt;""),#REF!) + IF(AND(#REF!=AP$2,#REF!&lt;&gt;""),#REF!) + IF(AND(#REF!=AP$2,#REF!&lt;&gt;""),#REF!)</f>
        <v>#REF!</v>
      </c>
      <c r="AQ54" s="134"/>
      <c r="AR54" s="57" t="e">
        <f>IF(#REF!=AR$2,IF(#REF!=$Y$2,#REF!*plat_invest)) + IF(#REF!=AR$2,IF(#REF!=$Y$2,#REF!*plat_invest)) + IF(#REF!=AR$2,IF(#REF!=$Y$2,#REF!*plat_invest))</f>
        <v>#REF!</v>
      </c>
      <c r="AS54" s="57" t="e">
        <f>IF(#REF!=AS$2,IF(#REF!=$Y$2,#REF!*lumber_invest)) + IF(#REF!=AS$2,IF(#REF!=$Y$2,#REF!*lumber_invest)) + IF(#REF!=AS$2,IF(#REF!=$Y$2,#REF!*lumber_invest))</f>
        <v>#REF!</v>
      </c>
      <c r="AT54" s="57" t="e">
        <f>IF(#REF!=AT$2,IF(#REF!=$Y$2,#REF!*ore_invest)) + IF(#REF!=AT$2,IF(#REF!=$Y$2,#REF!*ore_invest)) + IF(#REF!=AT$2,IF(#REF!=$Y$2,#REF!*ore_invest))</f>
        <v>#REF!</v>
      </c>
      <c r="AU54" s="57" t="e">
        <f>IF(#REF!=AU$2,IF(#REF!=$Y$2,#REF!*gem_invest)) + IF(#REF!=AU$2,IF(#REF!=$Y$2,#REF!*gem_invest)) + IF(#REF!=AU$2,IF(#REF!=$Y$2,#REF!*gem_invest))</f>
        <v>#REF!</v>
      </c>
      <c r="AV54" s="134"/>
      <c r="AW54" s="57" t="e">
        <f>IF(#REF!=AW$2,IF(#REF!=$Z$2,#REF!*plat_invest)) + IF(#REF!=AW$2,IF(#REF!=$Z$2,#REF!*plat_invest)) + IF(#REF!=AW$2,IF(#REF!=$Z$2,#REF!*plat_invest))</f>
        <v>#REF!</v>
      </c>
      <c r="AX54" s="57" t="e">
        <f>IF(#REF!=AX$2,IF(#REF!=$Z$2,#REF!*lumber_invest)) + IF(#REF!=AX$2,IF(#REF!=$Z$2,#REF!*lumber_invest)) + IF(#REF!=AX$2,IF(#REF!=$Z$2,#REF!*lumber_invest))</f>
        <v>#REF!</v>
      </c>
      <c r="AY54" s="57" t="e">
        <f>IF(#REF!=AY$2,IF(#REF!=$Z$2,#REF!*ore_invest)) + IF(#REF!=AY$2,IF(#REF!=$Z$2,#REF!*ore_invest)) + IF(#REF!=AY$2,IF(#REF!=$Z$2,#REF!*ore_invest))</f>
        <v>#REF!</v>
      </c>
      <c r="AZ54" s="57" t="e">
        <f>IF(#REF!=AZ$2,IF(#REF!=$Z$2,#REF!*gem_invest)) + IF(#REF!=AZ$2,IF(#REF!=$Z$2,#REF!*gem_invest)) + IF(#REF!=AZ$2,IF(#REF!=$Z$2,#REF!*gem_invest))</f>
        <v>#REF!</v>
      </c>
      <c r="BA54" s="134"/>
      <c r="BB54" s="57" t="e">
        <f>IF(#REF!=BB$2,IF(#REF!=$AA$2,#REF!*plat_invest)) + IF(#REF!=BB$2,IF(#REF!=$AA$2,#REF!*plat_invest)) + IF(#REF!=BB$2,IF(#REF!=$AA$2,#REF!*plat_invest))</f>
        <v>#REF!</v>
      </c>
      <c r="BC54" s="57" t="e">
        <f>IF(#REF!=BC$2,IF(#REF!=$AA$2,#REF!*lumber_invest)) + IF(#REF!=BC$2,IF(#REF!=$AA$2,#REF!*lumber_invest)) + IF(#REF!=BC$2,IF(#REF!=$AA$2,#REF!*lumber_invest))</f>
        <v>#REF!</v>
      </c>
      <c r="BD54" s="57" t="e">
        <f>IF(#REF!=BD$2,IF(#REF!=$AA$2,#REF!*ore_invest)) + IF(#REF!=BD$2,IF(#REF!=$AA$2,#REF!*ore_invest)) + IF(#REF!=BD$2,IF(#REF!=$AA$2,#REF!*ore_invest))</f>
        <v>#REF!</v>
      </c>
      <c r="BE54" s="57" t="e">
        <f>IF(#REF!=BE$2,IF(#REF!=$AA$2,#REF!*gem_invest)) + IF(#REF!=BE$2,IF(#REF!=$AA$2,#REF!*gem_invest)) + IF(#REF!=BE$2,IF(#REF!=$AA$2,#REF!*gem_invest))</f>
        <v>#REF!</v>
      </c>
      <c r="BF54" s="134"/>
      <c r="BG54" s="57" t="e">
        <f>IF(#REF!=BG$2,IF(#REF!=$AB$2,#REF!*plat_invest)) + IF(#REF!=BG$2,IF(#REF!=$AB$2,#REF!*plat_invest)) + IF(#REF!=BG$2,IF(#REF!=$AB$2,#REF!*plat_invest))</f>
        <v>#REF!</v>
      </c>
      <c r="BH54" s="57" t="e">
        <f>IF(#REF!=BH$2,IF(#REF!=$AB$2,#REF!*lumber_invest)) + IF(#REF!=BH$2,IF(#REF!=$AB$2,#REF!*lumber_invest)) + IF(#REF!=BH$2,IF(#REF!=$AB$2,#REF!*lumber_invest))</f>
        <v>#REF!</v>
      </c>
      <c r="BI54" s="57" t="e">
        <f>IF(#REF!=BI$2,IF(#REF!=$AB$2,#REF!*ore_invest)) + IF(#REF!=BI$2,IF(#REF!=$AB$2,#REF!*ore_invest)) + IF(#REF!=BI$2,IF(#REF!=$AB$2,#REF!*ore_invest))</f>
        <v>#REF!</v>
      </c>
      <c r="BJ54" s="57" t="e">
        <f>IF(#REF!=BJ$2,IF(#REF!=$AB$2,#REF!*gem_invest)) + IF(#REF!=BJ$2,IF(#REF!=$AB$2,#REF!*gem_invest)) + IF(#REF!=BJ$2,IF(#REF!=$AB$2,#REF!*gem_invest))</f>
        <v>#REF!</v>
      </c>
      <c r="BK54" s="134"/>
      <c r="BL54" s="57" t="e">
        <f>IF(#REF!=BL$2,IF(#REF!=$AC$2,#REF!*plat_invest)) + IF(#REF!=BL$2,IF(#REF!=$AC$2,#REF!*plat_invest)) + IF(#REF!=BL$2,IF(#REF!=$AC$2,#REF!*plat_invest))</f>
        <v>#REF!</v>
      </c>
      <c r="BM54" s="57" t="e">
        <f>IF(#REF!=BM$2,IF(#REF!=$AC$2,#REF!*lumber_invest)) + IF(#REF!=BM$2,IF(#REF!=$AC$2,#REF!*lumber_invest)) + IF(#REF!=BM$2,IF(#REF!=$AC$2,#REF!*lumber_invest))</f>
        <v>#REF!</v>
      </c>
      <c r="BN54" s="57" t="e">
        <f>IF(#REF!=BN$2,IF(#REF!=$AC$2,#REF!*ore_invest)) + IF(#REF!=BN$2,IF(#REF!=$AC$2,#REF!*ore_invest)) + IF(#REF!=BN$2,IF(#REF!=$AC$2,#REF!*ore_invest))</f>
        <v>#REF!</v>
      </c>
      <c r="BO54" s="57" t="e">
        <f>IF(#REF!=BO$2,IF(#REF!=$AC$2,#REF!*gem_invest)) + IF(#REF!=BO$2,IF(#REF!=$AC$2,#REF!*gem_invest)) + IF(#REF!=BO$2,IF(#REF!=$AC$2,#REF!*gem_invest))</f>
        <v>#REF!</v>
      </c>
      <c r="BP54" s="134"/>
      <c r="BQ54" s="57" t="e">
        <f>IF(#REF!=BQ$2,IF(#REF!=$AD$2,#REF!*plat_invest)) + IF(#REF!=BQ$2,IF(#REF!=$AD$2,#REF!*plat_invest)) + IF(#REF!=BQ$2,IF(#REF!=$AD$2,#REF!*plat_invest))</f>
        <v>#REF!</v>
      </c>
      <c r="BR54" s="57" t="e">
        <f>IF(#REF!=BR$2,IF(#REF!=$AD$2,#REF!*lumber_invest)) + IF(#REF!=BR$2,IF(#REF!=$AD$2,#REF!*lumber_invest)) + IF(#REF!=BR$2,IF(#REF!=$AD$2,#REF!*lumber_invest))</f>
        <v>#REF!</v>
      </c>
      <c r="BS54" s="57" t="e">
        <f>IF(#REF!=BS$2,IF(#REF!=$AD$2,#REF!*ore_invest)) + IF(#REF!=BS$2,IF(#REF!=$AD$2,#REF!*ore_invest)) + IF(#REF!=BS$2,IF(#REF!=$AD$2,#REF!*ore_invest))</f>
        <v>#REF!</v>
      </c>
      <c r="BT54" s="57" t="e">
        <f>IF(#REF!=BT$2,IF(#REF!=$AD$2,#REF!*gem_invest)) + IF(#REF!=BT$2,IF(#REF!=$AD$2,#REF!*gem_invest)) + IF(#REF!=BT$2,IF(#REF!=$AD$2,#REF!*gem_invest))</f>
        <v>#REF!</v>
      </c>
      <c r="BU54" s="134"/>
      <c r="BV54" s="3" t="e">
        <f>OR(#REF!,#REF!,#REF!,#REF!,#REF!,#REF!,#REF!,#REF!,#REF!)</f>
        <v>#REF!</v>
      </c>
      <c r="BW54" s="61" t="e">
        <f>#REF!</f>
        <v>#REF!</v>
      </c>
      <c r="BX54" s="130"/>
      <c r="BY54" s="284" t="e">
        <f ca="1">OFFSET(#REF!,-1,0)+1/24</f>
        <v>#REF!</v>
      </c>
      <c r="BZ54" s="285" t="e">
        <f ca="1">OFFSET(#REF!,-1,0)+1/24</f>
        <v>#REF!</v>
      </c>
      <c r="CA54" s="57"/>
      <c r="CB54" s="283"/>
      <c r="CC54" s="283"/>
    </row>
    <row r="55" spans="1:81" x14ac:dyDescent="0.25">
      <c r="A55" s="206" t="e">
        <f>#REF!</f>
        <v>#REF!</v>
      </c>
      <c r="B55" s="134"/>
      <c r="C55" s="39" t="e">
        <f>#REF!</f>
        <v>#REF!</v>
      </c>
      <c r="D55" s="39" t="e">
        <f>#REF!</f>
        <v>#REF!</v>
      </c>
      <c r="E55" s="39" t="e">
        <f>#REF!</f>
        <v>#REF!</v>
      </c>
      <c r="F55" s="39" t="e">
        <f>#REF!</f>
        <v>#REF!</v>
      </c>
      <c r="G55" s="133"/>
      <c r="H55" s="39" t="e">
        <f>#REF!</f>
        <v>#REF!</v>
      </c>
      <c r="I55" s="132" t="e">
        <f>#REF!</f>
        <v>#REF!</v>
      </c>
      <c r="J55" s="132" t="e">
        <f>#REF!/#REF!</f>
        <v>#REF!</v>
      </c>
      <c r="K55" s="160" t="e">
        <f>#REF!</f>
        <v>#REF!</v>
      </c>
      <c r="L55" s="276" t="e">
        <f>#REF!</f>
        <v>#REF!</v>
      </c>
      <c r="M55" s="61">
        <f>IF(ISERROR(#REF!),0,#REF!*1)</f>
        <v>0</v>
      </c>
      <c r="N55" s="39" t="e">
        <f>#REF!</f>
        <v>#REF!</v>
      </c>
      <c r="O55" s="277" t="s">
        <v>4</v>
      </c>
      <c r="P55" s="278"/>
      <c r="Q55" s="277" t="s">
        <v>211</v>
      </c>
      <c r="R55" s="277" t="s">
        <v>7</v>
      </c>
      <c r="S55" s="278"/>
      <c r="T55" s="277" t="s">
        <v>211</v>
      </c>
      <c r="U55" s="277" t="s">
        <v>3</v>
      </c>
      <c r="V55" s="278"/>
      <c r="W55" s="277" t="s">
        <v>211</v>
      </c>
      <c r="X55" s="134"/>
      <c r="Y55" s="209" t="e">
        <f ca="1">science_cap*(1-EXP(-#REF!/(science_param*(OFFSET(#REF!,1,0)-OFFSET(#REF!,1,0)*20)+15000)))*(1+(mason_bonus*#REF!/#REF!))</f>
        <v>#REF!</v>
      </c>
      <c r="Z55" s="209" t="e">
        <f ca="1">keep_cap*(1-EXP(-#REF!/(keep_param*(OFFSET(#REF!,1,0)-OFFSET(#REF!,1,0)*20)+15000)))*(1+(mason_bonus*#REF!/#REF!))</f>
        <v>#REF!</v>
      </c>
      <c r="AA55" s="209" t="e">
        <f ca="1">harbor_towers_cap*(1-EXP(-#REF!/(towers_param*(OFFSET(#REF!,1,0)-OFFSET(#REF!,1,0)*20)+15000)))*(1+(mason_bonus*#REF!/#REF!))</f>
        <v>#REF!</v>
      </c>
      <c r="AB55" s="209" t="e">
        <f ca="1">walls_forges_cap*(1-EXP(-#REF!/(walls_forges_param*(OFFSET(#REF!,1,0)-OFFSET(#REF!,1,0)*20)+15000)))*(1+(mason_bonus*#REF!/#REF!))</f>
        <v>#REF!</v>
      </c>
      <c r="AC55" s="209" t="e">
        <f ca="1">walls_forges_cap*(1-EXP(-#REF!/(walls_forges_param*(OFFSET(#REF!,1,0)-OFFSET(#REF!,1,0)*20)+15000)))*(1+(mason_bonus*#REF!/#REF!))</f>
        <v>#REF!</v>
      </c>
      <c r="AD55" s="209" t="e">
        <f ca="1">harbor_towers_cap*(1-EXP(-#REF!/(harbor_towers_param*(OFFSET(#REF!,1,0)-OFFSET(#REF!,1,0)*20)+15000)))*(1+(mason_bonus*#REF!/#REF!))</f>
        <v>#REF!</v>
      </c>
      <c r="AE55" s="134"/>
      <c r="AF55" s="61" t="e">
        <f ca="1">(1+Overview!$I$28)*SUM(#REF!)+OFFSET(#REF!,-1,0)</f>
        <v>#REF!</v>
      </c>
      <c r="AG55" s="61" t="e">
        <f ca="1">(1+Overview!$I$28)*SUM(#REF!)+OFFSET(#REF!,-1,0)</f>
        <v>#REF!</v>
      </c>
      <c r="AH55" s="61" t="e">
        <f ca="1">(1+Overview!$I$28 + tech_7_1*#REF!)*SUM(#REF!)+OFFSET(#REF!,-1,0)</f>
        <v>#REF!</v>
      </c>
      <c r="AI55" s="61" t="e">
        <f ca="1">(1+Overview!$I$28)*SUM(#REF!)+OFFSET(#REF!,-1,0)</f>
        <v>#REF!</v>
      </c>
      <c r="AJ55" s="61" t="e">
        <f ca="1">(1+Overview!$I$28)*SUM(#REF!)+OFFSET(#REF!,-1,0)</f>
        <v>#REF!</v>
      </c>
      <c r="AK55" s="61" t="e">
        <f ca="1">(1+Overview!$I$28 + tech_7_1*#REF!)*SUM(#REF!)+OFFSET(#REF!,-1,0)</f>
        <v>#REF!</v>
      </c>
      <c r="AL55" s="134"/>
      <c r="AM55" s="57" t="e">
        <f>IF(AND(#REF!=AM$2,#REF!&lt;&gt;""),#REF!) + IF(AND(#REF!=AM$2,#REF!&lt;&gt;""),#REF!) + IF(AND(#REF!=AM$2,#REF!&lt;&gt;""),#REF!)</f>
        <v>#REF!</v>
      </c>
      <c r="AN55" s="57" t="e">
        <f>IF(AND(#REF!=AN$2,#REF!&lt;&gt;""),#REF!) + IF(AND(#REF!=AN$2,#REF!&lt;&gt;""),#REF!) + IF(AND(#REF!=AN$2,#REF!&lt;&gt;""),#REF!)</f>
        <v>#REF!</v>
      </c>
      <c r="AO55" s="57" t="e">
        <f>IF(AND(#REF!=AO$2,#REF!&lt;&gt;""),#REF!) + IF(AND(#REF!=AO$2,#REF!&lt;&gt;""),#REF!) + IF(AND(#REF!=AO$2,#REF!&lt;&gt;""),#REF!)</f>
        <v>#REF!</v>
      </c>
      <c r="AP55" s="57" t="e">
        <f>IF(AND(#REF!=AP$2,#REF!&lt;&gt;""),#REF!) + IF(AND(#REF!=AP$2,#REF!&lt;&gt;""),#REF!) + IF(AND(#REF!=AP$2,#REF!&lt;&gt;""),#REF!)</f>
        <v>#REF!</v>
      </c>
      <c r="AQ55" s="134"/>
      <c r="AR55" s="57" t="e">
        <f>IF(#REF!=AR$2,IF(#REF!=$Y$2,#REF!*plat_invest)) + IF(#REF!=AR$2,IF(#REF!=$Y$2,#REF!*plat_invest)) + IF(#REF!=AR$2,IF(#REF!=$Y$2,#REF!*plat_invest))</f>
        <v>#REF!</v>
      </c>
      <c r="AS55" s="57" t="e">
        <f>IF(#REF!=AS$2,IF(#REF!=$Y$2,#REF!*lumber_invest)) + IF(#REF!=AS$2,IF(#REF!=$Y$2,#REF!*lumber_invest)) + IF(#REF!=AS$2,IF(#REF!=$Y$2,#REF!*lumber_invest))</f>
        <v>#REF!</v>
      </c>
      <c r="AT55" s="57" t="e">
        <f>IF(#REF!=AT$2,IF(#REF!=$Y$2,#REF!*ore_invest)) + IF(#REF!=AT$2,IF(#REF!=$Y$2,#REF!*ore_invest)) + IF(#REF!=AT$2,IF(#REF!=$Y$2,#REF!*ore_invest))</f>
        <v>#REF!</v>
      </c>
      <c r="AU55" s="57" t="e">
        <f>IF(#REF!=AU$2,IF(#REF!=$Y$2,#REF!*gem_invest)) + IF(#REF!=AU$2,IF(#REF!=$Y$2,#REF!*gem_invest)) + IF(#REF!=AU$2,IF(#REF!=$Y$2,#REF!*gem_invest))</f>
        <v>#REF!</v>
      </c>
      <c r="AV55" s="134"/>
      <c r="AW55" s="57" t="e">
        <f>IF(#REF!=AW$2,IF(#REF!=$Z$2,#REF!*plat_invest)) + IF(#REF!=AW$2,IF(#REF!=$Z$2,#REF!*plat_invest)) + IF(#REF!=AW$2,IF(#REF!=$Z$2,#REF!*plat_invest))</f>
        <v>#REF!</v>
      </c>
      <c r="AX55" s="57" t="e">
        <f>IF(#REF!=AX$2,IF(#REF!=$Z$2,#REF!*lumber_invest)) + IF(#REF!=AX$2,IF(#REF!=$Z$2,#REF!*lumber_invest)) + IF(#REF!=AX$2,IF(#REF!=$Z$2,#REF!*lumber_invest))</f>
        <v>#REF!</v>
      </c>
      <c r="AY55" s="57" t="e">
        <f>IF(#REF!=AY$2,IF(#REF!=$Z$2,#REF!*ore_invest)) + IF(#REF!=AY$2,IF(#REF!=$Z$2,#REF!*ore_invest)) + IF(#REF!=AY$2,IF(#REF!=$Z$2,#REF!*ore_invest))</f>
        <v>#REF!</v>
      </c>
      <c r="AZ55" s="57" t="e">
        <f>IF(#REF!=AZ$2,IF(#REF!=$Z$2,#REF!*gem_invest)) + IF(#REF!=AZ$2,IF(#REF!=$Z$2,#REF!*gem_invest)) + IF(#REF!=AZ$2,IF(#REF!=$Z$2,#REF!*gem_invest))</f>
        <v>#REF!</v>
      </c>
      <c r="BA55" s="134"/>
      <c r="BB55" s="57" t="e">
        <f>IF(#REF!=BB$2,IF(#REF!=$AA$2,#REF!*plat_invest)) + IF(#REF!=BB$2,IF(#REF!=$AA$2,#REF!*plat_invest)) + IF(#REF!=BB$2,IF(#REF!=$AA$2,#REF!*plat_invest))</f>
        <v>#REF!</v>
      </c>
      <c r="BC55" s="57" t="e">
        <f>IF(#REF!=BC$2,IF(#REF!=$AA$2,#REF!*lumber_invest)) + IF(#REF!=BC$2,IF(#REF!=$AA$2,#REF!*lumber_invest)) + IF(#REF!=BC$2,IF(#REF!=$AA$2,#REF!*lumber_invest))</f>
        <v>#REF!</v>
      </c>
      <c r="BD55" s="57" t="e">
        <f>IF(#REF!=BD$2,IF(#REF!=$AA$2,#REF!*ore_invest)) + IF(#REF!=BD$2,IF(#REF!=$AA$2,#REF!*ore_invest)) + IF(#REF!=BD$2,IF(#REF!=$AA$2,#REF!*ore_invest))</f>
        <v>#REF!</v>
      </c>
      <c r="BE55" s="57" t="e">
        <f>IF(#REF!=BE$2,IF(#REF!=$AA$2,#REF!*gem_invest)) + IF(#REF!=BE$2,IF(#REF!=$AA$2,#REF!*gem_invest)) + IF(#REF!=BE$2,IF(#REF!=$AA$2,#REF!*gem_invest))</f>
        <v>#REF!</v>
      </c>
      <c r="BF55" s="134"/>
      <c r="BG55" s="57" t="e">
        <f>IF(#REF!=BG$2,IF(#REF!=$AB$2,#REF!*plat_invest)) + IF(#REF!=BG$2,IF(#REF!=$AB$2,#REF!*plat_invest)) + IF(#REF!=BG$2,IF(#REF!=$AB$2,#REF!*plat_invest))</f>
        <v>#REF!</v>
      </c>
      <c r="BH55" s="57" t="e">
        <f>IF(#REF!=BH$2,IF(#REF!=$AB$2,#REF!*lumber_invest)) + IF(#REF!=BH$2,IF(#REF!=$AB$2,#REF!*lumber_invest)) + IF(#REF!=BH$2,IF(#REF!=$AB$2,#REF!*lumber_invest))</f>
        <v>#REF!</v>
      </c>
      <c r="BI55" s="57" t="e">
        <f>IF(#REF!=BI$2,IF(#REF!=$AB$2,#REF!*ore_invest)) + IF(#REF!=BI$2,IF(#REF!=$AB$2,#REF!*ore_invest)) + IF(#REF!=BI$2,IF(#REF!=$AB$2,#REF!*ore_invest))</f>
        <v>#REF!</v>
      </c>
      <c r="BJ55" s="57" t="e">
        <f>IF(#REF!=BJ$2,IF(#REF!=$AB$2,#REF!*gem_invest)) + IF(#REF!=BJ$2,IF(#REF!=$AB$2,#REF!*gem_invest)) + IF(#REF!=BJ$2,IF(#REF!=$AB$2,#REF!*gem_invest))</f>
        <v>#REF!</v>
      </c>
      <c r="BK55" s="134"/>
      <c r="BL55" s="57" t="e">
        <f>IF(#REF!=BL$2,IF(#REF!=$AC$2,#REF!*plat_invest)) + IF(#REF!=BL$2,IF(#REF!=$AC$2,#REF!*plat_invest)) + IF(#REF!=BL$2,IF(#REF!=$AC$2,#REF!*plat_invest))</f>
        <v>#REF!</v>
      </c>
      <c r="BM55" s="57" t="e">
        <f>IF(#REF!=BM$2,IF(#REF!=$AC$2,#REF!*lumber_invest)) + IF(#REF!=BM$2,IF(#REF!=$AC$2,#REF!*lumber_invest)) + IF(#REF!=BM$2,IF(#REF!=$AC$2,#REF!*lumber_invest))</f>
        <v>#REF!</v>
      </c>
      <c r="BN55" s="57" t="e">
        <f>IF(#REF!=BN$2,IF(#REF!=$AC$2,#REF!*ore_invest)) + IF(#REF!=BN$2,IF(#REF!=$AC$2,#REF!*ore_invest)) + IF(#REF!=BN$2,IF(#REF!=$AC$2,#REF!*ore_invest))</f>
        <v>#REF!</v>
      </c>
      <c r="BO55" s="57" t="e">
        <f>IF(#REF!=BO$2,IF(#REF!=$AC$2,#REF!*gem_invest)) + IF(#REF!=BO$2,IF(#REF!=$AC$2,#REF!*gem_invest)) + IF(#REF!=BO$2,IF(#REF!=$AC$2,#REF!*gem_invest))</f>
        <v>#REF!</v>
      </c>
      <c r="BP55" s="134"/>
      <c r="BQ55" s="57" t="e">
        <f>IF(#REF!=BQ$2,IF(#REF!=$AD$2,#REF!*plat_invest)) + IF(#REF!=BQ$2,IF(#REF!=$AD$2,#REF!*plat_invest)) + IF(#REF!=BQ$2,IF(#REF!=$AD$2,#REF!*plat_invest))</f>
        <v>#REF!</v>
      </c>
      <c r="BR55" s="57" t="e">
        <f>IF(#REF!=BR$2,IF(#REF!=$AD$2,#REF!*lumber_invest)) + IF(#REF!=BR$2,IF(#REF!=$AD$2,#REF!*lumber_invest)) + IF(#REF!=BR$2,IF(#REF!=$AD$2,#REF!*lumber_invest))</f>
        <v>#REF!</v>
      </c>
      <c r="BS55" s="57" t="e">
        <f>IF(#REF!=BS$2,IF(#REF!=$AD$2,#REF!*ore_invest)) + IF(#REF!=BS$2,IF(#REF!=$AD$2,#REF!*ore_invest)) + IF(#REF!=BS$2,IF(#REF!=$AD$2,#REF!*ore_invest))</f>
        <v>#REF!</v>
      </c>
      <c r="BT55" s="57" t="e">
        <f>IF(#REF!=BT$2,IF(#REF!=$AD$2,#REF!*gem_invest)) + IF(#REF!=BT$2,IF(#REF!=$AD$2,#REF!*gem_invest)) + IF(#REF!=BT$2,IF(#REF!=$AD$2,#REF!*gem_invest))</f>
        <v>#REF!</v>
      </c>
      <c r="BU55" s="134"/>
      <c r="BV55" s="3" t="e">
        <f>OR(#REF!,#REF!,#REF!,#REF!,#REF!,#REF!,#REF!,#REF!,#REF!)</f>
        <v>#REF!</v>
      </c>
      <c r="BW55" s="61" t="e">
        <f>#REF!</f>
        <v>#REF!</v>
      </c>
      <c r="BX55" s="130"/>
      <c r="BY55" s="284" t="e">
        <f ca="1">OFFSET(#REF!,-1,0)+1/24</f>
        <v>#REF!</v>
      </c>
      <c r="BZ55" s="285" t="e">
        <f ca="1">OFFSET(#REF!,-1,0)+1/24</f>
        <v>#REF!</v>
      </c>
      <c r="CA55" s="57"/>
      <c r="CB55" s="283"/>
      <c r="CC55" s="283"/>
    </row>
    <row r="56" spans="1:81" x14ac:dyDescent="0.25">
      <c r="A56" s="206" t="e">
        <f>#REF!</f>
        <v>#REF!</v>
      </c>
      <c r="B56" s="134"/>
      <c r="C56" s="39" t="e">
        <f>#REF!</f>
        <v>#REF!</v>
      </c>
      <c r="D56" s="39" t="e">
        <f>#REF!</f>
        <v>#REF!</v>
      </c>
      <c r="E56" s="39" t="e">
        <f>#REF!</f>
        <v>#REF!</v>
      </c>
      <c r="F56" s="39" t="e">
        <f>#REF!</f>
        <v>#REF!</v>
      </c>
      <c r="G56" s="133"/>
      <c r="H56" s="39" t="e">
        <f>#REF!</f>
        <v>#REF!</v>
      </c>
      <c r="I56" s="132" t="e">
        <f>#REF!</f>
        <v>#REF!</v>
      </c>
      <c r="J56" s="132" t="e">
        <f>#REF!/#REF!</f>
        <v>#REF!</v>
      </c>
      <c r="K56" s="160" t="e">
        <f>#REF!</f>
        <v>#REF!</v>
      </c>
      <c r="L56" s="276" t="e">
        <f>#REF!</f>
        <v>#REF!</v>
      </c>
      <c r="M56" s="61">
        <f>IF(ISERROR(#REF!),0,#REF!*1)</f>
        <v>0</v>
      </c>
      <c r="N56" s="39" t="e">
        <f>#REF!</f>
        <v>#REF!</v>
      </c>
      <c r="O56" s="277" t="s">
        <v>4</v>
      </c>
      <c r="P56" s="278"/>
      <c r="Q56" s="277" t="s">
        <v>211</v>
      </c>
      <c r="R56" s="277" t="s">
        <v>7</v>
      </c>
      <c r="S56" s="278"/>
      <c r="T56" s="277" t="s">
        <v>211</v>
      </c>
      <c r="U56" s="277" t="s">
        <v>3</v>
      </c>
      <c r="V56" s="278"/>
      <c r="W56" s="277" t="s">
        <v>211</v>
      </c>
      <c r="X56" s="134"/>
      <c r="Y56" s="209" t="e">
        <f ca="1">science_cap*(1-EXP(-#REF!/(science_param*(OFFSET(#REF!,1,0)-OFFSET(#REF!,1,0)*20)+15000)))*(1+(mason_bonus*#REF!/#REF!))</f>
        <v>#REF!</v>
      </c>
      <c r="Z56" s="209" t="e">
        <f ca="1">keep_cap*(1-EXP(-#REF!/(keep_param*(OFFSET(#REF!,1,0)-OFFSET(#REF!,1,0)*20)+15000)))*(1+(mason_bonus*#REF!/#REF!))</f>
        <v>#REF!</v>
      </c>
      <c r="AA56" s="209" t="e">
        <f ca="1">harbor_towers_cap*(1-EXP(-#REF!/(towers_param*(OFFSET(#REF!,1,0)-OFFSET(#REF!,1,0)*20)+15000)))*(1+(mason_bonus*#REF!/#REF!))</f>
        <v>#REF!</v>
      </c>
      <c r="AB56" s="209" t="e">
        <f ca="1">walls_forges_cap*(1-EXP(-#REF!/(walls_forges_param*(OFFSET(#REF!,1,0)-OFFSET(#REF!,1,0)*20)+15000)))*(1+(mason_bonus*#REF!/#REF!))</f>
        <v>#REF!</v>
      </c>
      <c r="AC56" s="209" t="e">
        <f ca="1">walls_forges_cap*(1-EXP(-#REF!/(walls_forges_param*(OFFSET(#REF!,1,0)-OFFSET(#REF!,1,0)*20)+15000)))*(1+(mason_bonus*#REF!/#REF!))</f>
        <v>#REF!</v>
      </c>
      <c r="AD56" s="209" t="e">
        <f ca="1">harbor_towers_cap*(1-EXP(-#REF!/(harbor_towers_param*(OFFSET(#REF!,1,0)-OFFSET(#REF!,1,0)*20)+15000)))*(1+(mason_bonus*#REF!/#REF!))</f>
        <v>#REF!</v>
      </c>
      <c r="AE56" s="134"/>
      <c r="AF56" s="61" t="e">
        <f ca="1">(1+Overview!$I$28)*SUM(#REF!)+OFFSET(#REF!,-1,0)</f>
        <v>#REF!</v>
      </c>
      <c r="AG56" s="61" t="e">
        <f ca="1">(1+Overview!$I$28)*SUM(#REF!)+OFFSET(#REF!,-1,0)</f>
        <v>#REF!</v>
      </c>
      <c r="AH56" s="61" t="e">
        <f ca="1">(1+Overview!$I$28 + tech_7_1*#REF!)*SUM(#REF!)+OFFSET(#REF!,-1,0)</f>
        <v>#REF!</v>
      </c>
      <c r="AI56" s="61" t="e">
        <f ca="1">(1+Overview!$I$28)*SUM(#REF!)+OFFSET(#REF!,-1,0)</f>
        <v>#REF!</v>
      </c>
      <c r="AJ56" s="61" t="e">
        <f ca="1">(1+Overview!$I$28)*SUM(#REF!)+OFFSET(#REF!,-1,0)</f>
        <v>#REF!</v>
      </c>
      <c r="AK56" s="61" t="e">
        <f ca="1">(1+Overview!$I$28 + tech_7_1*#REF!)*SUM(#REF!)+OFFSET(#REF!,-1,0)</f>
        <v>#REF!</v>
      </c>
      <c r="AL56" s="134"/>
      <c r="AM56" s="57" t="e">
        <f>IF(AND(#REF!=AM$2,#REF!&lt;&gt;""),#REF!) + IF(AND(#REF!=AM$2,#REF!&lt;&gt;""),#REF!) + IF(AND(#REF!=AM$2,#REF!&lt;&gt;""),#REF!)</f>
        <v>#REF!</v>
      </c>
      <c r="AN56" s="57" t="e">
        <f>IF(AND(#REF!=AN$2,#REF!&lt;&gt;""),#REF!) + IF(AND(#REF!=AN$2,#REF!&lt;&gt;""),#REF!) + IF(AND(#REF!=AN$2,#REF!&lt;&gt;""),#REF!)</f>
        <v>#REF!</v>
      </c>
      <c r="AO56" s="57" t="e">
        <f>IF(AND(#REF!=AO$2,#REF!&lt;&gt;""),#REF!) + IF(AND(#REF!=AO$2,#REF!&lt;&gt;""),#REF!) + IF(AND(#REF!=AO$2,#REF!&lt;&gt;""),#REF!)</f>
        <v>#REF!</v>
      </c>
      <c r="AP56" s="57" t="e">
        <f>IF(AND(#REF!=AP$2,#REF!&lt;&gt;""),#REF!) + IF(AND(#REF!=AP$2,#REF!&lt;&gt;""),#REF!) + IF(AND(#REF!=AP$2,#REF!&lt;&gt;""),#REF!)</f>
        <v>#REF!</v>
      </c>
      <c r="AQ56" s="134"/>
      <c r="AR56" s="57" t="e">
        <f>IF(#REF!=AR$2,IF(#REF!=$Y$2,#REF!*plat_invest)) + IF(#REF!=AR$2,IF(#REF!=$Y$2,#REF!*plat_invest)) + IF(#REF!=AR$2,IF(#REF!=$Y$2,#REF!*plat_invest))</f>
        <v>#REF!</v>
      </c>
      <c r="AS56" s="57" t="e">
        <f>IF(#REF!=AS$2,IF(#REF!=$Y$2,#REF!*lumber_invest)) + IF(#REF!=AS$2,IF(#REF!=$Y$2,#REF!*lumber_invest)) + IF(#REF!=AS$2,IF(#REF!=$Y$2,#REF!*lumber_invest))</f>
        <v>#REF!</v>
      </c>
      <c r="AT56" s="57" t="e">
        <f>IF(#REF!=AT$2,IF(#REF!=$Y$2,#REF!*ore_invest)) + IF(#REF!=AT$2,IF(#REF!=$Y$2,#REF!*ore_invest)) + IF(#REF!=AT$2,IF(#REF!=$Y$2,#REF!*ore_invest))</f>
        <v>#REF!</v>
      </c>
      <c r="AU56" s="57" t="e">
        <f>IF(#REF!=AU$2,IF(#REF!=$Y$2,#REF!*gem_invest)) + IF(#REF!=AU$2,IF(#REF!=$Y$2,#REF!*gem_invest)) + IF(#REF!=AU$2,IF(#REF!=$Y$2,#REF!*gem_invest))</f>
        <v>#REF!</v>
      </c>
      <c r="AV56" s="134"/>
      <c r="AW56" s="57" t="e">
        <f>IF(#REF!=AW$2,IF(#REF!=$Z$2,#REF!*plat_invest)) + IF(#REF!=AW$2,IF(#REF!=$Z$2,#REF!*plat_invest)) + IF(#REF!=AW$2,IF(#REF!=$Z$2,#REF!*plat_invest))</f>
        <v>#REF!</v>
      </c>
      <c r="AX56" s="57" t="e">
        <f>IF(#REF!=AX$2,IF(#REF!=$Z$2,#REF!*lumber_invest)) + IF(#REF!=AX$2,IF(#REF!=$Z$2,#REF!*lumber_invest)) + IF(#REF!=AX$2,IF(#REF!=$Z$2,#REF!*lumber_invest))</f>
        <v>#REF!</v>
      </c>
      <c r="AY56" s="57" t="e">
        <f>IF(#REF!=AY$2,IF(#REF!=$Z$2,#REF!*ore_invest)) + IF(#REF!=AY$2,IF(#REF!=$Z$2,#REF!*ore_invest)) + IF(#REF!=AY$2,IF(#REF!=$Z$2,#REF!*ore_invest))</f>
        <v>#REF!</v>
      </c>
      <c r="AZ56" s="57" t="e">
        <f>IF(#REF!=AZ$2,IF(#REF!=$Z$2,#REF!*gem_invest)) + IF(#REF!=AZ$2,IF(#REF!=$Z$2,#REF!*gem_invest)) + IF(#REF!=AZ$2,IF(#REF!=$Z$2,#REF!*gem_invest))</f>
        <v>#REF!</v>
      </c>
      <c r="BA56" s="134"/>
      <c r="BB56" s="57" t="e">
        <f>IF(#REF!=BB$2,IF(#REF!=$AA$2,#REF!*plat_invest)) + IF(#REF!=BB$2,IF(#REF!=$AA$2,#REF!*plat_invest)) + IF(#REF!=BB$2,IF(#REF!=$AA$2,#REF!*plat_invest))</f>
        <v>#REF!</v>
      </c>
      <c r="BC56" s="57" t="e">
        <f>IF(#REF!=BC$2,IF(#REF!=$AA$2,#REF!*lumber_invest)) + IF(#REF!=BC$2,IF(#REF!=$AA$2,#REF!*lumber_invest)) + IF(#REF!=BC$2,IF(#REF!=$AA$2,#REF!*lumber_invest))</f>
        <v>#REF!</v>
      </c>
      <c r="BD56" s="57" t="e">
        <f>IF(#REF!=BD$2,IF(#REF!=$AA$2,#REF!*ore_invest)) + IF(#REF!=BD$2,IF(#REF!=$AA$2,#REF!*ore_invest)) + IF(#REF!=BD$2,IF(#REF!=$AA$2,#REF!*ore_invest))</f>
        <v>#REF!</v>
      </c>
      <c r="BE56" s="57" t="e">
        <f>IF(#REF!=BE$2,IF(#REF!=$AA$2,#REF!*gem_invest)) + IF(#REF!=BE$2,IF(#REF!=$AA$2,#REF!*gem_invest)) + IF(#REF!=BE$2,IF(#REF!=$AA$2,#REF!*gem_invest))</f>
        <v>#REF!</v>
      </c>
      <c r="BF56" s="134"/>
      <c r="BG56" s="57" t="e">
        <f>IF(#REF!=BG$2,IF(#REF!=$AB$2,#REF!*plat_invest)) + IF(#REF!=BG$2,IF(#REF!=$AB$2,#REF!*plat_invest)) + IF(#REF!=BG$2,IF(#REF!=$AB$2,#REF!*plat_invest))</f>
        <v>#REF!</v>
      </c>
      <c r="BH56" s="57" t="e">
        <f>IF(#REF!=BH$2,IF(#REF!=$AB$2,#REF!*lumber_invest)) + IF(#REF!=BH$2,IF(#REF!=$AB$2,#REF!*lumber_invest)) + IF(#REF!=BH$2,IF(#REF!=$AB$2,#REF!*lumber_invest))</f>
        <v>#REF!</v>
      </c>
      <c r="BI56" s="57" t="e">
        <f>IF(#REF!=BI$2,IF(#REF!=$AB$2,#REF!*ore_invest)) + IF(#REF!=BI$2,IF(#REF!=$AB$2,#REF!*ore_invest)) + IF(#REF!=BI$2,IF(#REF!=$AB$2,#REF!*ore_invest))</f>
        <v>#REF!</v>
      </c>
      <c r="BJ56" s="57" t="e">
        <f>IF(#REF!=BJ$2,IF(#REF!=$AB$2,#REF!*gem_invest)) + IF(#REF!=BJ$2,IF(#REF!=$AB$2,#REF!*gem_invest)) + IF(#REF!=BJ$2,IF(#REF!=$AB$2,#REF!*gem_invest))</f>
        <v>#REF!</v>
      </c>
      <c r="BK56" s="134"/>
      <c r="BL56" s="57" t="e">
        <f>IF(#REF!=BL$2,IF(#REF!=$AC$2,#REF!*plat_invest)) + IF(#REF!=BL$2,IF(#REF!=$AC$2,#REF!*plat_invest)) + IF(#REF!=BL$2,IF(#REF!=$AC$2,#REF!*plat_invest))</f>
        <v>#REF!</v>
      </c>
      <c r="BM56" s="57" t="e">
        <f>IF(#REF!=BM$2,IF(#REF!=$AC$2,#REF!*lumber_invest)) + IF(#REF!=BM$2,IF(#REF!=$AC$2,#REF!*lumber_invest)) + IF(#REF!=BM$2,IF(#REF!=$AC$2,#REF!*lumber_invest))</f>
        <v>#REF!</v>
      </c>
      <c r="BN56" s="57" t="e">
        <f>IF(#REF!=BN$2,IF(#REF!=$AC$2,#REF!*ore_invest)) + IF(#REF!=BN$2,IF(#REF!=$AC$2,#REF!*ore_invest)) + IF(#REF!=BN$2,IF(#REF!=$AC$2,#REF!*ore_invest))</f>
        <v>#REF!</v>
      </c>
      <c r="BO56" s="57" t="e">
        <f>IF(#REF!=BO$2,IF(#REF!=$AC$2,#REF!*gem_invest)) + IF(#REF!=BO$2,IF(#REF!=$AC$2,#REF!*gem_invest)) + IF(#REF!=BO$2,IF(#REF!=$AC$2,#REF!*gem_invest))</f>
        <v>#REF!</v>
      </c>
      <c r="BP56" s="134"/>
      <c r="BQ56" s="57" t="e">
        <f>IF(#REF!=BQ$2,IF(#REF!=$AD$2,#REF!*plat_invest)) + IF(#REF!=BQ$2,IF(#REF!=$AD$2,#REF!*plat_invest)) + IF(#REF!=BQ$2,IF(#REF!=$AD$2,#REF!*plat_invest))</f>
        <v>#REF!</v>
      </c>
      <c r="BR56" s="57" t="e">
        <f>IF(#REF!=BR$2,IF(#REF!=$AD$2,#REF!*lumber_invest)) + IF(#REF!=BR$2,IF(#REF!=$AD$2,#REF!*lumber_invest)) + IF(#REF!=BR$2,IF(#REF!=$AD$2,#REF!*lumber_invest))</f>
        <v>#REF!</v>
      </c>
      <c r="BS56" s="57" t="e">
        <f>IF(#REF!=BS$2,IF(#REF!=$AD$2,#REF!*ore_invest)) + IF(#REF!=BS$2,IF(#REF!=$AD$2,#REF!*ore_invest)) + IF(#REF!=BS$2,IF(#REF!=$AD$2,#REF!*ore_invest))</f>
        <v>#REF!</v>
      </c>
      <c r="BT56" s="57" t="e">
        <f>IF(#REF!=BT$2,IF(#REF!=$AD$2,#REF!*gem_invest)) + IF(#REF!=BT$2,IF(#REF!=$AD$2,#REF!*gem_invest)) + IF(#REF!=BT$2,IF(#REF!=$AD$2,#REF!*gem_invest))</f>
        <v>#REF!</v>
      </c>
      <c r="BU56" s="134"/>
      <c r="BV56" s="3" t="e">
        <f>OR(#REF!,#REF!,#REF!,#REF!,#REF!,#REF!,#REF!,#REF!,#REF!)</f>
        <v>#REF!</v>
      </c>
      <c r="BW56" s="61" t="e">
        <f>#REF!</f>
        <v>#REF!</v>
      </c>
      <c r="BX56" s="130"/>
      <c r="BY56" s="284" t="e">
        <f ca="1">OFFSET(#REF!,-1,0)+1/24</f>
        <v>#REF!</v>
      </c>
      <c r="BZ56" s="285" t="e">
        <f ca="1">OFFSET(#REF!,-1,0)+1/24</f>
        <v>#REF!</v>
      </c>
      <c r="CA56" s="57"/>
      <c r="CB56" s="283"/>
      <c r="CC56" s="283"/>
    </row>
    <row r="57" spans="1:81" x14ac:dyDescent="0.25">
      <c r="A57" s="206" t="e">
        <f>#REF!</f>
        <v>#REF!</v>
      </c>
      <c r="B57" s="134"/>
      <c r="C57" s="39" t="e">
        <f>#REF!</f>
        <v>#REF!</v>
      </c>
      <c r="D57" s="39" t="e">
        <f>#REF!</f>
        <v>#REF!</v>
      </c>
      <c r="E57" s="39" t="e">
        <f>#REF!</f>
        <v>#REF!</v>
      </c>
      <c r="F57" s="39" t="e">
        <f>#REF!</f>
        <v>#REF!</v>
      </c>
      <c r="G57" s="133"/>
      <c r="H57" s="39" t="e">
        <f>#REF!</f>
        <v>#REF!</v>
      </c>
      <c r="I57" s="132" t="e">
        <f>#REF!</f>
        <v>#REF!</v>
      </c>
      <c r="J57" s="132" t="e">
        <f>#REF!/#REF!</f>
        <v>#REF!</v>
      </c>
      <c r="K57" s="160" t="e">
        <f>#REF!</f>
        <v>#REF!</v>
      </c>
      <c r="L57" s="276" t="e">
        <f>#REF!</f>
        <v>#REF!</v>
      </c>
      <c r="M57" s="61">
        <f>IF(ISERROR(#REF!),0,#REF!*1)</f>
        <v>0</v>
      </c>
      <c r="N57" s="39" t="e">
        <f>#REF!</f>
        <v>#REF!</v>
      </c>
      <c r="O57" s="277" t="s">
        <v>4</v>
      </c>
      <c r="P57" s="278"/>
      <c r="Q57" s="277" t="s">
        <v>211</v>
      </c>
      <c r="R57" s="277" t="s">
        <v>7</v>
      </c>
      <c r="S57" s="278"/>
      <c r="T57" s="277" t="s">
        <v>211</v>
      </c>
      <c r="U57" s="277" t="s">
        <v>3</v>
      </c>
      <c r="V57" s="278"/>
      <c r="W57" s="277" t="s">
        <v>211</v>
      </c>
      <c r="X57" s="134"/>
      <c r="Y57" s="209" t="e">
        <f ca="1">science_cap*(1-EXP(-#REF!/(science_param*(OFFSET(#REF!,1,0)-OFFSET(#REF!,1,0)*20)+15000)))*(1+(mason_bonus*#REF!/#REF!))</f>
        <v>#REF!</v>
      </c>
      <c r="Z57" s="209" t="e">
        <f ca="1">keep_cap*(1-EXP(-#REF!/(keep_param*(OFFSET(#REF!,1,0)-OFFSET(#REF!,1,0)*20)+15000)))*(1+(mason_bonus*#REF!/#REF!))</f>
        <v>#REF!</v>
      </c>
      <c r="AA57" s="209" t="e">
        <f ca="1">harbor_towers_cap*(1-EXP(-#REF!/(towers_param*(OFFSET(#REF!,1,0)-OFFSET(#REF!,1,0)*20)+15000)))*(1+(mason_bonus*#REF!/#REF!))</f>
        <v>#REF!</v>
      </c>
      <c r="AB57" s="209" t="e">
        <f ca="1">walls_forges_cap*(1-EXP(-#REF!/(walls_forges_param*(OFFSET(#REF!,1,0)-OFFSET(#REF!,1,0)*20)+15000)))*(1+(mason_bonus*#REF!/#REF!))</f>
        <v>#REF!</v>
      </c>
      <c r="AC57" s="209" t="e">
        <f ca="1">walls_forges_cap*(1-EXP(-#REF!/(walls_forges_param*(OFFSET(#REF!,1,0)-OFFSET(#REF!,1,0)*20)+15000)))*(1+(mason_bonus*#REF!/#REF!))</f>
        <v>#REF!</v>
      </c>
      <c r="AD57" s="209" t="e">
        <f ca="1">harbor_towers_cap*(1-EXP(-#REF!/(harbor_towers_param*(OFFSET(#REF!,1,0)-OFFSET(#REF!,1,0)*20)+15000)))*(1+(mason_bonus*#REF!/#REF!))</f>
        <v>#REF!</v>
      </c>
      <c r="AE57" s="134"/>
      <c r="AF57" s="61" t="e">
        <f ca="1">(1+Overview!$I$28)*SUM(#REF!)+OFFSET(#REF!,-1,0)</f>
        <v>#REF!</v>
      </c>
      <c r="AG57" s="61" t="e">
        <f ca="1">(1+Overview!$I$28)*SUM(#REF!)+OFFSET(#REF!,-1,0)</f>
        <v>#REF!</v>
      </c>
      <c r="AH57" s="61" t="e">
        <f ca="1">(1+Overview!$I$28 + tech_7_1*#REF!)*SUM(#REF!)+OFFSET(#REF!,-1,0)</f>
        <v>#REF!</v>
      </c>
      <c r="AI57" s="61" t="e">
        <f ca="1">(1+Overview!$I$28)*SUM(#REF!)+OFFSET(#REF!,-1,0)</f>
        <v>#REF!</v>
      </c>
      <c r="AJ57" s="61" t="e">
        <f ca="1">(1+Overview!$I$28)*SUM(#REF!)+OFFSET(#REF!,-1,0)</f>
        <v>#REF!</v>
      </c>
      <c r="AK57" s="61" t="e">
        <f ca="1">(1+Overview!$I$28 + tech_7_1*#REF!)*SUM(#REF!)+OFFSET(#REF!,-1,0)</f>
        <v>#REF!</v>
      </c>
      <c r="AL57" s="134"/>
      <c r="AM57" s="57" t="e">
        <f>IF(AND(#REF!=AM$2,#REF!&lt;&gt;""),#REF!) + IF(AND(#REF!=AM$2,#REF!&lt;&gt;""),#REF!) + IF(AND(#REF!=AM$2,#REF!&lt;&gt;""),#REF!)</f>
        <v>#REF!</v>
      </c>
      <c r="AN57" s="57" t="e">
        <f>IF(AND(#REF!=AN$2,#REF!&lt;&gt;""),#REF!) + IF(AND(#REF!=AN$2,#REF!&lt;&gt;""),#REF!) + IF(AND(#REF!=AN$2,#REF!&lt;&gt;""),#REF!)</f>
        <v>#REF!</v>
      </c>
      <c r="AO57" s="57" t="e">
        <f>IF(AND(#REF!=AO$2,#REF!&lt;&gt;""),#REF!) + IF(AND(#REF!=AO$2,#REF!&lt;&gt;""),#REF!) + IF(AND(#REF!=AO$2,#REF!&lt;&gt;""),#REF!)</f>
        <v>#REF!</v>
      </c>
      <c r="AP57" s="57" t="e">
        <f>IF(AND(#REF!=AP$2,#REF!&lt;&gt;""),#REF!) + IF(AND(#REF!=AP$2,#REF!&lt;&gt;""),#REF!) + IF(AND(#REF!=AP$2,#REF!&lt;&gt;""),#REF!)</f>
        <v>#REF!</v>
      </c>
      <c r="AQ57" s="134"/>
      <c r="AR57" s="57" t="e">
        <f>IF(#REF!=AR$2,IF(#REF!=$Y$2,#REF!*plat_invest)) + IF(#REF!=AR$2,IF(#REF!=$Y$2,#REF!*plat_invest)) + IF(#REF!=AR$2,IF(#REF!=$Y$2,#REF!*plat_invest))</f>
        <v>#REF!</v>
      </c>
      <c r="AS57" s="57" t="e">
        <f>IF(#REF!=AS$2,IF(#REF!=$Y$2,#REF!*lumber_invest)) + IF(#REF!=AS$2,IF(#REF!=$Y$2,#REF!*lumber_invest)) + IF(#REF!=AS$2,IF(#REF!=$Y$2,#REF!*lumber_invest))</f>
        <v>#REF!</v>
      </c>
      <c r="AT57" s="57" t="e">
        <f>IF(#REF!=AT$2,IF(#REF!=$Y$2,#REF!*ore_invest)) + IF(#REF!=AT$2,IF(#REF!=$Y$2,#REF!*ore_invest)) + IF(#REF!=AT$2,IF(#REF!=$Y$2,#REF!*ore_invest))</f>
        <v>#REF!</v>
      </c>
      <c r="AU57" s="57" t="e">
        <f>IF(#REF!=AU$2,IF(#REF!=$Y$2,#REF!*gem_invest)) + IF(#REF!=AU$2,IF(#REF!=$Y$2,#REF!*gem_invest)) + IF(#REF!=AU$2,IF(#REF!=$Y$2,#REF!*gem_invest))</f>
        <v>#REF!</v>
      </c>
      <c r="AV57" s="134"/>
      <c r="AW57" s="57" t="e">
        <f>IF(#REF!=AW$2,IF(#REF!=$Z$2,#REF!*plat_invest)) + IF(#REF!=AW$2,IF(#REF!=$Z$2,#REF!*plat_invest)) + IF(#REF!=AW$2,IF(#REF!=$Z$2,#REF!*plat_invest))</f>
        <v>#REF!</v>
      </c>
      <c r="AX57" s="57" t="e">
        <f>IF(#REF!=AX$2,IF(#REF!=$Z$2,#REF!*lumber_invest)) + IF(#REF!=AX$2,IF(#REF!=$Z$2,#REF!*lumber_invest)) + IF(#REF!=AX$2,IF(#REF!=$Z$2,#REF!*lumber_invest))</f>
        <v>#REF!</v>
      </c>
      <c r="AY57" s="57" t="e">
        <f>IF(#REF!=AY$2,IF(#REF!=$Z$2,#REF!*ore_invest)) + IF(#REF!=AY$2,IF(#REF!=$Z$2,#REF!*ore_invest)) + IF(#REF!=AY$2,IF(#REF!=$Z$2,#REF!*ore_invest))</f>
        <v>#REF!</v>
      </c>
      <c r="AZ57" s="57" t="e">
        <f>IF(#REF!=AZ$2,IF(#REF!=$Z$2,#REF!*gem_invest)) + IF(#REF!=AZ$2,IF(#REF!=$Z$2,#REF!*gem_invest)) + IF(#REF!=AZ$2,IF(#REF!=$Z$2,#REF!*gem_invest))</f>
        <v>#REF!</v>
      </c>
      <c r="BA57" s="134"/>
      <c r="BB57" s="57" t="e">
        <f>IF(#REF!=BB$2,IF(#REF!=$AA$2,#REF!*plat_invest)) + IF(#REF!=BB$2,IF(#REF!=$AA$2,#REF!*plat_invest)) + IF(#REF!=BB$2,IF(#REF!=$AA$2,#REF!*plat_invest))</f>
        <v>#REF!</v>
      </c>
      <c r="BC57" s="57" t="e">
        <f>IF(#REF!=BC$2,IF(#REF!=$AA$2,#REF!*lumber_invest)) + IF(#REF!=BC$2,IF(#REF!=$AA$2,#REF!*lumber_invest)) + IF(#REF!=BC$2,IF(#REF!=$AA$2,#REF!*lumber_invest))</f>
        <v>#REF!</v>
      </c>
      <c r="BD57" s="57" t="e">
        <f>IF(#REF!=BD$2,IF(#REF!=$AA$2,#REF!*ore_invest)) + IF(#REF!=BD$2,IF(#REF!=$AA$2,#REF!*ore_invest)) + IF(#REF!=BD$2,IF(#REF!=$AA$2,#REF!*ore_invest))</f>
        <v>#REF!</v>
      </c>
      <c r="BE57" s="57" t="e">
        <f>IF(#REF!=BE$2,IF(#REF!=$AA$2,#REF!*gem_invest)) + IF(#REF!=BE$2,IF(#REF!=$AA$2,#REF!*gem_invest)) + IF(#REF!=BE$2,IF(#REF!=$AA$2,#REF!*gem_invest))</f>
        <v>#REF!</v>
      </c>
      <c r="BF57" s="134"/>
      <c r="BG57" s="57" t="e">
        <f>IF(#REF!=BG$2,IF(#REF!=$AB$2,#REF!*plat_invest)) + IF(#REF!=BG$2,IF(#REF!=$AB$2,#REF!*plat_invest)) + IF(#REF!=BG$2,IF(#REF!=$AB$2,#REF!*plat_invest))</f>
        <v>#REF!</v>
      </c>
      <c r="BH57" s="57" t="e">
        <f>IF(#REF!=BH$2,IF(#REF!=$AB$2,#REF!*lumber_invest)) + IF(#REF!=BH$2,IF(#REF!=$AB$2,#REF!*lumber_invest)) + IF(#REF!=BH$2,IF(#REF!=$AB$2,#REF!*lumber_invest))</f>
        <v>#REF!</v>
      </c>
      <c r="BI57" s="57" t="e">
        <f>IF(#REF!=BI$2,IF(#REF!=$AB$2,#REF!*ore_invest)) + IF(#REF!=BI$2,IF(#REF!=$AB$2,#REF!*ore_invest)) + IF(#REF!=BI$2,IF(#REF!=$AB$2,#REF!*ore_invest))</f>
        <v>#REF!</v>
      </c>
      <c r="BJ57" s="57" t="e">
        <f>IF(#REF!=BJ$2,IF(#REF!=$AB$2,#REF!*gem_invest)) + IF(#REF!=BJ$2,IF(#REF!=$AB$2,#REF!*gem_invest)) + IF(#REF!=BJ$2,IF(#REF!=$AB$2,#REF!*gem_invest))</f>
        <v>#REF!</v>
      </c>
      <c r="BK57" s="134"/>
      <c r="BL57" s="57" t="e">
        <f>IF(#REF!=BL$2,IF(#REF!=$AC$2,#REF!*plat_invest)) + IF(#REF!=BL$2,IF(#REF!=$AC$2,#REF!*plat_invest)) + IF(#REF!=BL$2,IF(#REF!=$AC$2,#REF!*plat_invest))</f>
        <v>#REF!</v>
      </c>
      <c r="BM57" s="57" t="e">
        <f>IF(#REF!=BM$2,IF(#REF!=$AC$2,#REF!*lumber_invest)) + IF(#REF!=BM$2,IF(#REF!=$AC$2,#REF!*lumber_invest)) + IF(#REF!=BM$2,IF(#REF!=$AC$2,#REF!*lumber_invest))</f>
        <v>#REF!</v>
      </c>
      <c r="BN57" s="57" t="e">
        <f>IF(#REF!=BN$2,IF(#REF!=$AC$2,#REF!*ore_invest)) + IF(#REF!=BN$2,IF(#REF!=$AC$2,#REF!*ore_invest)) + IF(#REF!=BN$2,IF(#REF!=$AC$2,#REF!*ore_invest))</f>
        <v>#REF!</v>
      </c>
      <c r="BO57" s="57" t="e">
        <f>IF(#REF!=BO$2,IF(#REF!=$AC$2,#REF!*gem_invest)) + IF(#REF!=BO$2,IF(#REF!=$AC$2,#REF!*gem_invest)) + IF(#REF!=BO$2,IF(#REF!=$AC$2,#REF!*gem_invest))</f>
        <v>#REF!</v>
      </c>
      <c r="BP57" s="134"/>
      <c r="BQ57" s="57" t="e">
        <f>IF(#REF!=BQ$2,IF(#REF!=$AD$2,#REF!*plat_invest)) + IF(#REF!=BQ$2,IF(#REF!=$AD$2,#REF!*plat_invest)) + IF(#REF!=BQ$2,IF(#REF!=$AD$2,#REF!*plat_invest))</f>
        <v>#REF!</v>
      </c>
      <c r="BR57" s="57" t="e">
        <f>IF(#REF!=BR$2,IF(#REF!=$AD$2,#REF!*lumber_invest)) + IF(#REF!=BR$2,IF(#REF!=$AD$2,#REF!*lumber_invest)) + IF(#REF!=BR$2,IF(#REF!=$AD$2,#REF!*lumber_invest))</f>
        <v>#REF!</v>
      </c>
      <c r="BS57" s="57" t="e">
        <f>IF(#REF!=BS$2,IF(#REF!=$AD$2,#REF!*ore_invest)) + IF(#REF!=BS$2,IF(#REF!=$AD$2,#REF!*ore_invest)) + IF(#REF!=BS$2,IF(#REF!=$AD$2,#REF!*ore_invest))</f>
        <v>#REF!</v>
      </c>
      <c r="BT57" s="57" t="e">
        <f>IF(#REF!=BT$2,IF(#REF!=$AD$2,#REF!*gem_invest)) + IF(#REF!=BT$2,IF(#REF!=$AD$2,#REF!*gem_invest)) + IF(#REF!=BT$2,IF(#REF!=$AD$2,#REF!*gem_invest))</f>
        <v>#REF!</v>
      </c>
      <c r="BU57" s="134"/>
      <c r="BV57" s="3" t="e">
        <f>OR(#REF!,#REF!,#REF!,#REF!,#REF!,#REF!,#REF!,#REF!,#REF!)</f>
        <v>#REF!</v>
      </c>
      <c r="BW57" s="61" t="e">
        <f>#REF!</f>
        <v>#REF!</v>
      </c>
      <c r="BX57" s="130"/>
      <c r="BY57" s="284" t="e">
        <f ca="1">OFFSET(#REF!,-1,0)+1/24</f>
        <v>#REF!</v>
      </c>
      <c r="BZ57" s="285" t="e">
        <f ca="1">OFFSET(#REF!,-1,0)+1/24</f>
        <v>#REF!</v>
      </c>
      <c r="CA57" s="57"/>
      <c r="CB57" s="283"/>
      <c r="CC57" s="283"/>
    </row>
    <row r="58" spans="1:81" x14ac:dyDescent="0.25">
      <c r="A58" s="206" t="e">
        <f>#REF!</f>
        <v>#REF!</v>
      </c>
      <c r="B58" s="134"/>
      <c r="C58" s="39" t="e">
        <f>#REF!</f>
        <v>#REF!</v>
      </c>
      <c r="D58" s="39" t="e">
        <f>#REF!</f>
        <v>#REF!</v>
      </c>
      <c r="E58" s="39" t="e">
        <f>#REF!</f>
        <v>#REF!</v>
      </c>
      <c r="F58" s="39" t="e">
        <f>#REF!</f>
        <v>#REF!</v>
      </c>
      <c r="G58" s="133"/>
      <c r="H58" s="39" t="e">
        <f>#REF!</f>
        <v>#REF!</v>
      </c>
      <c r="I58" s="132" t="e">
        <f>#REF!</f>
        <v>#REF!</v>
      </c>
      <c r="J58" s="132" t="e">
        <f>#REF!/#REF!</f>
        <v>#REF!</v>
      </c>
      <c r="K58" s="160" t="e">
        <f>#REF!</f>
        <v>#REF!</v>
      </c>
      <c r="L58" s="276" t="e">
        <f>#REF!</f>
        <v>#REF!</v>
      </c>
      <c r="M58" s="61">
        <f>IF(ISERROR(#REF!),0,#REF!*1)</f>
        <v>0</v>
      </c>
      <c r="N58" s="39" t="e">
        <f>#REF!</f>
        <v>#REF!</v>
      </c>
      <c r="O58" s="277" t="s">
        <v>4</v>
      </c>
      <c r="P58" s="278"/>
      <c r="Q58" s="277" t="s">
        <v>211</v>
      </c>
      <c r="R58" s="277" t="s">
        <v>7</v>
      </c>
      <c r="S58" s="278"/>
      <c r="T58" s="277" t="s">
        <v>211</v>
      </c>
      <c r="U58" s="277" t="s">
        <v>3</v>
      </c>
      <c r="V58" s="278"/>
      <c r="W58" s="277" t="s">
        <v>211</v>
      </c>
      <c r="X58" s="134"/>
      <c r="Y58" s="209" t="e">
        <f ca="1">science_cap*(1-EXP(-#REF!/(science_param*(OFFSET(#REF!,1,0)-OFFSET(#REF!,1,0)*20)+15000)))*(1+(mason_bonus*#REF!/#REF!))</f>
        <v>#REF!</v>
      </c>
      <c r="Z58" s="209" t="e">
        <f ca="1">keep_cap*(1-EXP(-#REF!/(keep_param*(OFFSET(#REF!,1,0)-OFFSET(#REF!,1,0)*20)+15000)))*(1+(mason_bonus*#REF!/#REF!))</f>
        <v>#REF!</v>
      </c>
      <c r="AA58" s="209" t="e">
        <f ca="1">harbor_towers_cap*(1-EXP(-#REF!/(towers_param*(OFFSET(#REF!,1,0)-OFFSET(#REF!,1,0)*20)+15000)))*(1+(mason_bonus*#REF!/#REF!))</f>
        <v>#REF!</v>
      </c>
      <c r="AB58" s="209" t="e">
        <f ca="1">walls_forges_cap*(1-EXP(-#REF!/(walls_forges_param*(OFFSET(#REF!,1,0)-OFFSET(#REF!,1,0)*20)+15000)))*(1+(mason_bonus*#REF!/#REF!))</f>
        <v>#REF!</v>
      </c>
      <c r="AC58" s="209" t="e">
        <f ca="1">walls_forges_cap*(1-EXP(-#REF!/(walls_forges_param*(OFFSET(#REF!,1,0)-OFFSET(#REF!,1,0)*20)+15000)))*(1+(mason_bonus*#REF!/#REF!))</f>
        <v>#REF!</v>
      </c>
      <c r="AD58" s="209" t="e">
        <f ca="1">harbor_towers_cap*(1-EXP(-#REF!/(harbor_towers_param*(OFFSET(#REF!,1,0)-OFFSET(#REF!,1,0)*20)+15000)))*(1+(mason_bonus*#REF!/#REF!))</f>
        <v>#REF!</v>
      </c>
      <c r="AE58" s="134"/>
      <c r="AF58" s="61" t="e">
        <f ca="1">(1+Overview!$I$28)*SUM(#REF!)+OFFSET(#REF!,-1,0)</f>
        <v>#REF!</v>
      </c>
      <c r="AG58" s="61" t="e">
        <f ca="1">(1+Overview!$I$28)*SUM(#REF!)+OFFSET(#REF!,-1,0)</f>
        <v>#REF!</v>
      </c>
      <c r="AH58" s="61" t="e">
        <f ca="1">(1+Overview!$I$28 + tech_7_1*#REF!)*SUM(#REF!)+OFFSET(#REF!,-1,0)</f>
        <v>#REF!</v>
      </c>
      <c r="AI58" s="61" t="e">
        <f ca="1">(1+Overview!$I$28)*SUM(#REF!)+OFFSET(#REF!,-1,0)</f>
        <v>#REF!</v>
      </c>
      <c r="AJ58" s="61" t="e">
        <f ca="1">(1+Overview!$I$28)*SUM(#REF!)+OFFSET(#REF!,-1,0)</f>
        <v>#REF!</v>
      </c>
      <c r="AK58" s="61" t="e">
        <f ca="1">(1+Overview!$I$28 + tech_7_1*#REF!)*SUM(#REF!)+OFFSET(#REF!,-1,0)</f>
        <v>#REF!</v>
      </c>
      <c r="AL58" s="134"/>
      <c r="AM58" s="57" t="e">
        <f>IF(AND(#REF!=AM$2,#REF!&lt;&gt;""),#REF!) + IF(AND(#REF!=AM$2,#REF!&lt;&gt;""),#REF!) + IF(AND(#REF!=AM$2,#REF!&lt;&gt;""),#REF!)</f>
        <v>#REF!</v>
      </c>
      <c r="AN58" s="57" t="e">
        <f>IF(AND(#REF!=AN$2,#REF!&lt;&gt;""),#REF!) + IF(AND(#REF!=AN$2,#REF!&lt;&gt;""),#REF!) + IF(AND(#REF!=AN$2,#REF!&lt;&gt;""),#REF!)</f>
        <v>#REF!</v>
      </c>
      <c r="AO58" s="57" t="e">
        <f>IF(AND(#REF!=AO$2,#REF!&lt;&gt;""),#REF!) + IF(AND(#REF!=AO$2,#REF!&lt;&gt;""),#REF!) + IF(AND(#REF!=AO$2,#REF!&lt;&gt;""),#REF!)</f>
        <v>#REF!</v>
      </c>
      <c r="AP58" s="57" t="e">
        <f>IF(AND(#REF!=AP$2,#REF!&lt;&gt;""),#REF!) + IF(AND(#REF!=AP$2,#REF!&lt;&gt;""),#REF!) + IF(AND(#REF!=AP$2,#REF!&lt;&gt;""),#REF!)</f>
        <v>#REF!</v>
      </c>
      <c r="AQ58" s="134"/>
      <c r="AR58" s="57" t="e">
        <f>IF(#REF!=AR$2,IF(#REF!=$Y$2,#REF!*plat_invest)) + IF(#REF!=AR$2,IF(#REF!=$Y$2,#REF!*plat_invest)) + IF(#REF!=AR$2,IF(#REF!=$Y$2,#REF!*plat_invest))</f>
        <v>#REF!</v>
      </c>
      <c r="AS58" s="57" t="e">
        <f>IF(#REF!=AS$2,IF(#REF!=$Y$2,#REF!*lumber_invest)) + IF(#REF!=AS$2,IF(#REF!=$Y$2,#REF!*lumber_invest)) + IF(#REF!=AS$2,IF(#REF!=$Y$2,#REF!*lumber_invest))</f>
        <v>#REF!</v>
      </c>
      <c r="AT58" s="57" t="e">
        <f>IF(#REF!=AT$2,IF(#REF!=$Y$2,#REF!*ore_invest)) + IF(#REF!=AT$2,IF(#REF!=$Y$2,#REF!*ore_invest)) + IF(#REF!=AT$2,IF(#REF!=$Y$2,#REF!*ore_invest))</f>
        <v>#REF!</v>
      </c>
      <c r="AU58" s="57" t="e">
        <f>IF(#REF!=AU$2,IF(#REF!=$Y$2,#REF!*gem_invest)) + IF(#REF!=AU$2,IF(#REF!=$Y$2,#REF!*gem_invest)) + IF(#REF!=AU$2,IF(#REF!=$Y$2,#REF!*gem_invest))</f>
        <v>#REF!</v>
      </c>
      <c r="AV58" s="134"/>
      <c r="AW58" s="57" t="e">
        <f>IF(#REF!=AW$2,IF(#REF!=$Z$2,#REF!*plat_invest)) + IF(#REF!=AW$2,IF(#REF!=$Z$2,#REF!*plat_invest)) + IF(#REF!=AW$2,IF(#REF!=$Z$2,#REF!*plat_invest))</f>
        <v>#REF!</v>
      </c>
      <c r="AX58" s="57" t="e">
        <f>IF(#REF!=AX$2,IF(#REF!=$Z$2,#REF!*lumber_invest)) + IF(#REF!=AX$2,IF(#REF!=$Z$2,#REF!*lumber_invest)) + IF(#REF!=AX$2,IF(#REF!=$Z$2,#REF!*lumber_invest))</f>
        <v>#REF!</v>
      </c>
      <c r="AY58" s="57" t="e">
        <f>IF(#REF!=AY$2,IF(#REF!=$Z$2,#REF!*ore_invest)) + IF(#REF!=AY$2,IF(#REF!=$Z$2,#REF!*ore_invest)) + IF(#REF!=AY$2,IF(#REF!=$Z$2,#REF!*ore_invest))</f>
        <v>#REF!</v>
      </c>
      <c r="AZ58" s="57" t="e">
        <f>IF(#REF!=AZ$2,IF(#REF!=$Z$2,#REF!*gem_invest)) + IF(#REF!=AZ$2,IF(#REF!=$Z$2,#REF!*gem_invest)) + IF(#REF!=AZ$2,IF(#REF!=$Z$2,#REF!*gem_invest))</f>
        <v>#REF!</v>
      </c>
      <c r="BA58" s="134"/>
      <c r="BB58" s="57" t="e">
        <f>IF(#REF!=BB$2,IF(#REF!=$AA$2,#REF!*plat_invest)) + IF(#REF!=BB$2,IF(#REF!=$AA$2,#REF!*plat_invest)) + IF(#REF!=BB$2,IF(#REF!=$AA$2,#REF!*plat_invest))</f>
        <v>#REF!</v>
      </c>
      <c r="BC58" s="57" t="e">
        <f>IF(#REF!=BC$2,IF(#REF!=$AA$2,#REF!*lumber_invest)) + IF(#REF!=BC$2,IF(#REF!=$AA$2,#REF!*lumber_invest)) + IF(#REF!=BC$2,IF(#REF!=$AA$2,#REF!*lumber_invest))</f>
        <v>#REF!</v>
      </c>
      <c r="BD58" s="57" t="e">
        <f>IF(#REF!=BD$2,IF(#REF!=$AA$2,#REF!*ore_invest)) + IF(#REF!=BD$2,IF(#REF!=$AA$2,#REF!*ore_invest)) + IF(#REF!=BD$2,IF(#REF!=$AA$2,#REF!*ore_invest))</f>
        <v>#REF!</v>
      </c>
      <c r="BE58" s="57" t="e">
        <f>IF(#REF!=BE$2,IF(#REF!=$AA$2,#REF!*gem_invest)) + IF(#REF!=BE$2,IF(#REF!=$AA$2,#REF!*gem_invest)) + IF(#REF!=BE$2,IF(#REF!=$AA$2,#REF!*gem_invest))</f>
        <v>#REF!</v>
      </c>
      <c r="BF58" s="134"/>
      <c r="BG58" s="57" t="e">
        <f>IF(#REF!=BG$2,IF(#REF!=$AB$2,#REF!*plat_invest)) + IF(#REF!=BG$2,IF(#REF!=$AB$2,#REF!*plat_invest)) + IF(#REF!=BG$2,IF(#REF!=$AB$2,#REF!*plat_invest))</f>
        <v>#REF!</v>
      </c>
      <c r="BH58" s="57" t="e">
        <f>IF(#REF!=BH$2,IF(#REF!=$AB$2,#REF!*lumber_invest)) + IF(#REF!=BH$2,IF(#REF!=$AB$2,#REF!*lumber_invest)) + IF(#REF!=BH$2,IF(#REF!=$AB$2,#REF!*lumber_invest))</f>
        <v>#REF!</v>
      </c>
      <c r="BI58" s="57" t="e">
        <f>IF(#REF!=BI$2,IF(#REF!=$AB$2,#REF!*ore_invest)) + IF(#REF!=BI$2,IF(#REF!=$AB$2,#REF!*ore_invest)) + IF(#REF!=BI$2,IF(#REF!=$AB$2,#REF!*ore_invest))</f>
        <v>#REF!</v>
      </c>
      <c r="BJ58" s="57" t="e">
        <f>IF(#REF!=BJ$2,IF(#REF!=$AB$2,#REF!*gem_invest)) + IF(#REF!=BJ$2,IF(#REF!=$AB$2,#REF!*gem_invest)) + IF(#REF!=BJ$2,IF(#REF!=$AB$2,#REF!*gem_invest))</f>
        <v>#REF!</v>
      </c>
      <c r="BK58" s="134"/>
      <c r="BL58" s="57" t="e">
        <f>IF(#REF!=BL$2,IF(#REF!=$AC$2,#REF!*plat_invest)) + IF(#REF!=BL$2,IF(#REF!=$AC$2,#REF!*plat_invest)) + IF(#REF!=BL$2,IF(#REF!=$AC$2,#REF!*plat_invest))</f>
        <v>#REF!</v>
      </c>
      <c r="BM58" s="57" t="e">
        <f>IF(#REF!=BM$2,IF(#REF!=$AC$2,#REF!*lumber_invest)) + IF(#REF!=BM$2,IF(#REF!=$AC$2,#REF!*lumber_invest)) + IF(#REF!=BM$2,IF(#REF!=$AC$2,#REF!*lumber_invest))</f>
        <v>#REF!</v>
      </c>
      <c r="BN58" s="57" t="e">
        <f>IF(#REF!=BN$2,IF(#REF!=$AC$2,#REF!*ore_invest)) + IF(#REF!=BN$2,IF(#REF!=$AC$2,#REF!*ore_invest)) + IF(#REF!=BN$2,IF(#REF!=$AC$2,#REF!*ore_invest))</f>
        <v>#REF!</v>
      </c>
      <c r="BO58" s="57" t="e">
        <f>IF(#REF!=BO$2,IF(#REF!=$AC$2,#REF!*gem_invest)) + IF(#REF!=BO$2,IF(#REF!=$AC$2,#REF!*gem_invest)) + IF(#REF!=BO$2,IF(#REF!=$AC$2,#REF!*gem_invest))</f>
        <v>#REF!</v>
      </c>
      <c r="BP58" s="134"/>
      <c r="BQ58" s="57" t="e">
        <f>IF(#REF!=BQ$2,IF(#REF!=$AD$2,#REF!*plat_invest)) + IF(#REF!=BQ$2,IF(#REF!=$AD$2,#REF!*plat_invest)) + IF(#REF!=BQ$2,IF(#REF!=$AD$2,#REF!*plat_invest))</f>
        <v>#REF!</v>
      </c>
      <c r="BR58" s="57" t="e">
        <f>IF(#REF!=BR$2,IF(#REF!=$AD$2,#REF!*lumber_invest)) + IF(#REF!=BR$2,IF(#REF!=$AD$2,#REF!*lumber_invest)) + IF(#REF!=BR$2,IF(#REF!=$AD$2,#REF!*lumber_invest))</f>
        <v>#REF!</v>
      </c>
      <c r="BS58" s="57" t="e">
        <f>IF(#REF!=BS$2,IF(#REF!=$AD$2,#REF!*ore_invest)) + IF(#REF!=BS$2,IF(#REF!=$AD$2,#REF!*ore_invest)) + IF(#REF!=BS$2,IF(#REF!=$AD$2,#REF!*ore_invest))</f>
        <v>#REF!</v>
      </c>
      <c r="BT58" s="57" t="e">
        <f>IF(#REF!=BT$2,IF(#REF!=$AD$2,#REF!*gem_invest)) + IF(#REF!=BT$2,IF(#REF!=$AD$2,#REF!*gem_invest)) + IF(#REF!=BT$2,IF(#REF!=$AD$2,#REF!*gem_invest))</f>
        <v>#REF!</v>
      </c>
      <c r="BU58" s="134"/>
      <c r="BV58" s="3" t="e">
        <f>OR(#REF!,#REF!,#REF!,#REF!,#REF!,#REF!,#REF!,#REF!,#REF!)</f>
        <v>#REF!</v>
      </c>
      <c r="BW58" s="61" t="e">
        <f>#REF!</f>
        <v>#REF!</v>
      </c>
      <c r="BX58" s="130"/>
      <c r="BY58" s="284" t="e">
        <f ca="1">OFFSET(#REF!,-1,0)+1/24</f>
        <v>#REF!</v>
      </c>
      <c r="BZ58" s="285" t="e">
        <f ca="1">OFFSET(#REF!,-1,0)+1/24</f>
        <v>#REF!</v>
      </c>
      <c r="CA58" s="57"/>
      <c r="CB58" s="283"/>
      <c r="CC58" s="283"/>
    </row>
    <row r="59" spans="1:81" x14ac:dyDescent="0.25">
      <c r="A59" s="206" t="e">
        <f>#REF!</f>
        <v>#REF!</v>
      </c>
      <c r="B59" s="134"/>
      <c r="C59" s="39" t="e">
        <f>#REF!</f>
        <v>#REF!</v>
      </c>
      <c r="D59" s="39" t="e">
        <f>#REF!</f>
        <v>#REF!</v>
      </c>
      <c r="E59" s="39" t="e">
        <f>#REF!</f>
        <v>#REF!</v>
      </c>
      <c r="F59" s="39" t="e">
        <f>#REF!</f>
        <v>#REF!</v>
      </c>
      <c r="G59" s="133"/>
      <c r="H59" s="39" t="e">
        <f>#REF!</f>
        <v>#REF!</v>
      </c>
      <c r="I59" s="132" t="e">
        <f>#REF!</f>
        <v>#REF!</v>
      </c>
      <c r="J59" s="132" t="e">
        <f>#REF!/#REF!</f>
        <v>#REF!</v>
      </c>
      <c r="K59" s="160" t="e">
        <f>#REF!</f>
        <v>#REF!</v>
      </c>
      <c r="L59" s="276" t="e">
        <f>#REF!</f>
        <v>#REF!</v>
      </c>
      <c r="M59" s="61">
        <f>IF(ISERROR(#REF!),0,#REF!*1)</f>
        <v>0</v>
      </c>
      <c r="N59" s="39" t="e">
        <f>#REF!</f>
        <v>#REF!</v>
      </c>
      <c r="O59" s="277" t="s">
        <v>4</v>
      </c>
      <c r="P59" s="278"/>
      <c r="Q59" s="277" t="s">
        <v>211</v>
      </c>
      <c r="R59" s="277" t="s">
        <v>7</v>
      </c>
      <c r="S59" s="278"/>
      <c r="T59" s="277" t="s">
        <v>211</v>
      </c>
      <c r="U59" s="277" t="s">
        <v>3</v>
      </c>
      <c r="V59" s="278"/>
      <c r="W59" s="277" t="s">
        <v>211</v>
      </c>
      <c r="X59" s="134"/>
      <c r="Y59" s="209" t="e">
        <f ca="1">science_cap*(1-EXP(-#REF!/(science_param*(OFFSET(#REF!,1,0)-OFFSET(#REF!,1,0)*20)+15000)))*(1+(mason_bonus*#REF!/#REF!))</f>
        <v>#REF!</v>
      </c>
      <c r="Z59" s="209" t="e">
        <f ca="1">keep_cap*(1-EXP(-#REF!/(keep_param*(OFFSET(#REF!,1,0)-OFFSET(#REF!,1,0)*20)+15000)))*(1+(mason_bonus*#REF!/#REF!))</f>
        <v>#REF!</v>
      </c>
      <c r="AA59" s="209" t="e">
        <f ca="1">harbor_towers_cap*(1-EXP(-#REF!/(towers_param*(OFFSET(#REF!,1,0)-OFFSET(#REF!,1,0)*20)+15000)))*(1+(mason_bonus*#REF!/#REF!))</f>
        <v>#REF!</v>
      </c>
      <c r="AB59" s="209" t="e">
        <f ca="1">walls_forges_cap*(1-EXP(-#REF!/(walls_forges_param*(OFFSET(#REF!,1,0)-OFFSET(#REF!,1,0)*20)+15000)))*(1+(mason_bonus*#REF!/#REF!))</f>
        <v>#REF!</v>
      </c>
      <c r="AC59" s="209" t="e">
        <f ca="1">walls_forges_cap*(1-EXP(-#REF!/(walls_forges_param*(OFFSET(#REF!,1,0)-OFFSET(#REF!,1,0)*20)+15000)))*(1+(mason_bonus*#REF!/#REF!))</f>
        <v>#REF!</v>
      </c>
      <c r="AD59" s="209" t="e">
        <f ca="1">harbor_towers_cap*(1-EXP(-#REF!/(harbor_towers_param*(OFFSET(#REF!,1,0)-OFFSET(#REF!,1,0)*20)+15000)))*(1+(mason_bonus*#REF!/#REF!))</f>
        <v>#REF!</v>
      </c>
      <c r="AE59" s="134"/>
      <c r="AF59" s="61" t="e">
        <f ca="1">(1+Overview!$I$28)*SUM(#REF!)+OFFSET(#REF!,-1,0)</f>
        <v>#REF!</v>
      </c>
      <c r="AG59" s="61" t="e">
        <f ca="1">(1+Overview!$I$28)*SUM(#REF!)+OFFSET(#REF!,-1,0)</f>
        <v>#REF!</v>
      </c>
      <c r="AH59" s="61" t="e">
        <f ca="1">(1+Overview!$I$28 + tech_7_1*#REF!)*SUM(#REF!)+OFFSET(#REF!,-1,0)</f>
        <v>#REF!</v>
      </c>
      <c r="AI59" s="61" t="e">
        <f ca="1">(1+Overview!$I$28)*SUM(#REF!)+OFFSET(#REF!,-1,0)</f>
        <v>#REF!</v>
      </c>
      <c r="AJ59" s="61" t="e">
        <f ca="1">(1+Overview!$I$28)*SUM(#REF!)+OFFSET(#REF!,-1,0)</f>
        <v>#REF!</v>
      </c>
      <c r="AK59" s="61" t="e">
        <f ca="1">(1+Overview!$I$28 + tech_7_1*#REF!)*SUM(#REF!)+OFFSET(#REF!,-1,0)</f>
        <v>#REF!</v>
      </c>
      <c r="AL59" s="134"/>
      <c r="AM59" s="57" t="e">
        <f>IF(AND(#REF!=AM$2,#REF!&lt;&gt;""),#REF!) + IF(AND(#REF!=AM$2,#REF!&lt;&gt;""),#REF!) + IF(AND(#REF!=AM$2,#REF!&lt;&gt;""),#REF!)</f>
        <v>#REF!</v>
      </c>
      <c r="AN59" s="57" t="e">
        <f>IF(AND(#REF!=AN$2,#REF!&lt;&gt;""),#REF!) + IF(AND(#REF!=AN$2,#REF!&lt;&gt;""),#REF!) + IF(AND(#REF!=AN$2,#REF!&lt;&gt;""),#REF!)</f>
        <v>#REF!</v>
      </c>
      <c r="AO59" s="57" t="e">
        <f>IF(AND(#REF!=AO$2,#REF!&lt;&gt;""),#REF!) + IF(AND(#REF!=AO$2,#REF!&lt;&gt;""),#REF!) + IF(AND(#REF!=AO$2,#REF!&lt;&gt;""),#REF!)</f>
        <v>#REF!</v>
      </c>
      <c r="AP59" s="57" t="e">
        <f>IF(AND(#REF!=AP$2,#REF!&lt;&gt;""),#REF!) + IF(AND(#REF!=AP$2,#REF!&lt;&gt;""),#REF!) + IF(AND(#REF!=AP$2,#REF!&lt;&gt;""),#REF!)</f>
        <v>#REF!</v>
      </c>
      <c r="AQ59" s="134"/>
      <c r="AR59" s="57" t="e">
        <f>IF(#REF!=AR$2,IF(#REF!=$Y$2,#REF!*plat_invest)) + IF(#REF!=AR$2,IF(#REF!=$Y$2,#REF!*plat_invest)) + IF(#REF!=AR$2,IF(#REF!=$Y$2,#REF!*plat_invest))</f>
        <v>#REF!</v>
      </c>
      <c r="AS59" s="57" t="e">
        <f>IF(#REF!=AS$2,IF(#REF!=$Y$2,#REF!*lumber_invest)) + IF(#REF!=AS$2,IF(#REF!=$Y$2,#REF!*lumber_invest)) + IF(#REF!=AS$2,IF(#REF!=$Y$2,#REF!*lumber_invest))</f>
        <v>#REF!</v>
      </c>
      <c r="AT59" s="57" t="e">
        <f>IF(#REF!=AT$2,IF(#REF!=$Y$2,#REF!*ore_invest)) + IF(#REF!=AT$2,IF(#REF!=$Y$2,#REF!*ore_invest)) + IF(#REF!=AT$2,IF(#REF!=$Y$2,#REF!*ore_invest))</f>
        <v>#REF!</v>
      </c>
      <c r="AU59" s="57" t="e">
        <f>IF(#REF!=AU$2,IF(#REF!=$Y$2,#REF!*gem_invest)) + IF(#REF!=AU$2,IF(#REF!=$Y$2,#REF!*gem_invest)) + IF(#REF!=AU$2,IF(#REF!=$Y$2,#REF!*gem_invest))</f>
        <v>#REF!</v>
      </c>
      <c r="AV59" s="134"/>
      <c r="AW59" s="57" t="e">
        <f>IF(#REF!=AW$2,IF(#REF!=$Z$2,#REF!*plat_invest)) + IF(#REF!=AW$2,IF(#REF!=$Z$2,#REF!*plat_invest)) + IF(#REF!=AW$2,IF(#REF!=$Z$2,#REF!*plat_invest))</f>
        <v>#REF!</v>
      </c>
      <c r="AX59" s="57" t="e">
        <f>IF(#REF!=AX$2,IF(#REF!=$Z$2,#REF!*lumber_invest)) + IF(#REF!=AX$2,IF(#REF!=$Z$2,#REF!*lumber_invest)) + IF(#REF!=AX$2,IF(#REF!=$Z$2,#REF!*lumber_invest))</f>
        <v>#REF!</v>
      </c>
      <c r="AY59" s="57" t="e">
        <f>IF(#REF!=AY$2,IF(#REF!=$Z$2,#REF!*ore_invest)) + IF(#REF!=AY$2,IF(#REF!=$Z$2,#REF!*ore_invest)) + IF(#REF!=AY$2,IF(#REF!=$Z$2,#REF!*ore_invest))</f>
        <v>#REF!</v>
      </c>
      <c r="AZ59" s="57" t="e">
        <f>IF(#REF!=AZ$2,IF(#REF!=$Z$2,#REF!*gem_invest)) + IF(#REF!=AZ$2,IF(#REF!=$Z$2,#REF!*gem_invest)) + IF(#REF!=AZ$2,IF(#REF!=$Z$2,#REF!*gem_invest))</f>
        <v>#REF!</v>
      </c>
      <c r="BA59" s="134"/>
      <c r="BB59" s="57" t="e">
        <f>IF(#REF!=BB$2,IF(#REF!=$AA$2,#REF!*plat_invest)) + IF(#REF!=BB$2,IF(#REF!=$AA$2,#REF!*plat_invest)) + IF(#REF!=BB$2,IF(#REF!=$AA$2,#REF!*plat_invest))</f>
        <v>#REF!</v>
      </c>
      <c r="BC59" s="57" t="e">
        <f>IF(#REF!=BC$2,IF(#REF!=$AA$2,#REF!*lumber_invest)) + IF(#REF!=BC$2,IF(#REF!=$AA$2,#REF!*lumber_invest)) + IF(#REF!=BC$2,IF(#REF!=$AA$2,#REF!*lumber_invest))</f>
        <v>#REF!</v>
      </c>
      <c r="BD59" s="57" t="e">
        <f>IF(#REF!=BD$2,IF(#REF!=$AA$2,#REF!*ore_invest)) + IF(#REF!=BD$2,IF(#REF!=$AA$2,#REF!*ore_invest)) + IF(#REF!=BD$2,IF(#REF!=$AA$2,#REF!*ore_invest))</f>
        <v>#REF!</v>
      </c>
      <c r="BE59" s="57" t="e">
        <f>IF(#REF!=BE$2,IF(#REF!=$AA$2,#REF!*gem_invest)) + IF(#REF!=BE$2,IF(#REF!=$AA$2,#REF!*gem_invest)) + IF(#REF!=BE$2,IF(#REF!=$AA$2,#REF!*gem_invest))</f>
        <v>#REF!</v>
      </c>
      <c r="BF59" s="134"/>
      <c r="BG59" s="57" t="e">
        <f>IF(#REF!=BG$2,IF(#REF!=$AB$2,#REF!*plat_invest)) + IF(#REF!=BG$2,IF(#REF!=$AB$2,#REF!*plat_invest)) + IF(#REF!=BG$2,IF(#REF!=$AB$2,#REF!*plat_invest))</f>
        <v>#REF!</v>
      </c>
      <c r="BH59" s="57" t="e">
        <f>IF(#REF!=BH$2,IF(#REF!=$AB$2,#REF!*lumber_invest)) + IF(#REF!=BH$2,IF(#REF!=$AB$2,#REF!*lumber_invest)) + IF(#REF!=BH$2,IF(#REF!=$AB$2,#REF!*lumber_invest))</f>
        <v>#REF!</v>
      </c>
      <c r="BI59" s="57" t="e">
        <f>IF(#REF!=BI$2,IF(#REF!=$AB$2,#REF!*ore_invest)) + IF(#REF!=BI$2,IF(#REF!=$AB$2,#REF!*ore_invest)) + IF(#REF!=BI$2,IF(#REF!=$AB$2,#REF!*ore_invest))</f>
        <v>#REF!</v>
      </c>
      <c r="BJ59" s="57" t="e">
        <f>IF(#REF!=BJ$2,IF(#REF!=$AB$2,#REF!*gem_invest)) + IF(#REF!=BJ$2,IF(#REF!=$AB$2,#REF!*gem_invest)) + IF(#REF!=BJ$2,IF(#REF!=$AB$2,#REF!*gem_invest))</f>
        <v>#REF!</v>
      </c>
      <c r="BK59" s="134"/>
      <c r="BL59" s="57" t="e">
        <f>IF(#REF!=BL$2,IF(#REF!=$AC$2,#REF!*plat_invest)) + IF(#REF!=BL$2,IF(#REF!=$AC$2,#REF!*plat_invest)) + IF(#REF!=BL$2,IF(#REF!=$AC$2,#REF!*plat_invest))</f>
        <v>#REF!</v>
      </c>
      <c r="BM59" s="57" t="e">
        <f>IF(#REF!=BM$2,IF(#REF!=$AC$2,#REF!*lumber_invest)) + IF(#REF!=BM$2,IF(#REF!=$AC$2,#REF!*lumber_invest)) + IF(#REF!=BM$2,IF(#REF!=$AC$2,#REF!*lumber_invest))</f>
        <v>#REF!</v>
      </c>
      <c r="BN59" s="57" t="e">
        <f>IF(#REF!=BN$2,IF(#REF!=$AC$2,#REF!*ore_invest)) + IF(#REF!=BN$2,IF(#REF!=$AC$2,#REF!*ore_invest)) + IF(#REF!=BN$2,IF(#REF!=$AC$2,#REF!*ore_invest))</f>
        <v>#REF!</v>
      </c>
      <c r="BO59" s="57" t="e">
        <f>IF(#REF!=BO$2,IF(#REF!=$AC$2,#REF!*gem_invest)) + IF(#REF!=BO$2,IF(#REF!=$AC$2,#REF!*gem_invest)) + IF(#REF!=BO$2,IF(#REF!=$AC$2,#REF!*gem_invest))</f>
        <v>#REF!</v>
      </c>
      <c r="BP59" s="134"/>
      <c r="BQ59" s="57" t="e">
        <f>IF(#REF!=BQ$2,IF(#REF!=$AD$2,#REF!*plat_invest)) + IF(#REF!=BQ$2,IF(#REF!=$AD$2,#REF!*plat_invest)) + IF(#REF!=BQ$2,IF(#REF!=$AD$2,#REF!*plat_invest))</f>
        <v>#REF!</v>
      </c>
      <c r="BR59" s="57" t="e">
        <f>IF(#REF!=BR$2,IF(#REF!=$AD$2,#REF!*lumber_invest)) + IF(#REF!=BR$2,IF(#REF!=$AD$2,#REF!*lumber_invest)) + IF(#REF!=BR$2,IF(#REF!=$AD$2,#REF!*lumber_invest))</f>
        <v>#REF!</v>
      </c>
      <c r="BS59" s="57" t="e">
        <f>IF(#REF!=BS$2,IF(#REF!=$AD$2,#REF!*ore_invest)) + IF(#REF!=BS$2,IF(#REF!=$AD$2,#REF!*ore_invest)) + IF(#REF!=BS$2,IF(#REF!=$AD$2,#REF!*ore_invest))</f>
        <v>#REF!</v>
      </c>
      <c r="BT59" s="57" t="e">
        <f>IF(#REF!=BT$2,IF(#REF!=$AD$2,#REF!*gem_invest)) + IF(#REF!=BT$2,IF(#REF!=$AD$2,#REF!*gem_invest)) + IF(#REF!=BT$2,IF(#REF!=$AD$2,#REF!*gem_invest))</f>
        <v>#REF!</v>
      </c>
      <c r="BU59" s="134"/>
      <c r="BV59" s="3" t="e">
        <f>OR(#REF!,#REF!,#REF!,#REF!,#REF!,#REF!,#REF!,#REF!,#REF!)</f>
        <v>#REF!</v>
      </c>
      <c r="BW59" s="61" t="e">
        <f>#REF!</f>
        <v>#REF!</v>
      </c>
      <c r="BX59" s="130"/>
      <c r="BY59" s="284" t="e">
        <f ca="1">OFFSET(#REF!,-1,0)+1/24</f>
        <v>#REF!</v>
      </c>
      <c r="BZ59" s="285" t="e">
        <f ca="1">OFFSET(#REF!,-1,0)+1/24</f>
        <v>#REF!</v>
      </c>
      <c r="CA59" s="57"/>
      <c r="CB59" s="283"/>
      <c r="CC59" s="283"/>
    </row>
    <row r="60" spans="1:81" x14ac:dyDescent="0.25">
      <c r="A60" s="206" t="e">
        <f>#REF!</f>
        <v>#REF!</v>
      </c>
      <c r="B60" s="134"/>
      <c r="C60" s="39" t="e">
        <f>#REF!</f>
        <v>#REF!</v>
      </c>
      <c r="D60" s="39" t="e">
        <f>#REF!</f>
        <v>#REF!</v>
      </c>
      <c r="E60" s="39" t="e">
        <f>#REF!</f>
        <v>#REF!</v>
      </c>
      <c r="F60" s="39" t="e">
        <f>#REF!</f>
        <v>#REF!</v>
      </c>
      <c r="G60" s="133"/>
      <c r="H60" s="39" t="e">
        <f>#REF!</f>
        <v>#REF!</v>
      </c>
      <c r="I60" s="132" t="e">
        <f>#REF!</f>
        <v>#REF!</v>
      </c>
      <c r="J60" s="132" t="e">
        <f>#REF!/#REF!</f>
        <v>#REF!</v>
      </c>
      <c r="K60" s="160" t="e">
        <f>#REF!</f>
        <v>#REF!</v>
      </c>
      <c r="L60" s="276" t="e">
        <f>#REF!</f>
        <v>#REF!</v>
      </c>
      <c r="M60" s="61">
        <f>IF(ISERROR(#REF!),0,#REF!*1)</f>
        <v>0</v>
      </c>
      <c r="N60" s="39" t="e">
        <f>#REF!</f>
        <v>#REF!</v>
      </c>
      <c r="O60" s="277" t="s">
        <v>4</v>
      </c>
      <c r="P60" s="278"/>
      <c r="Q60" s="277" t="s">
        <v>211</v>
      </c>
      <c r="R60" s="277" t="s">
        <v>7</v>
      </c>
      <c r="S60" s="278"/>
      <c r="T60" s="277" t="s">
        <v>211</v>
      </c>
      <c r="U60" s="277" t="s">
        <v>3</v>
      </c>
      <c r="V60" s="278"/>
      <c r="W60" s="277" t="s">
        <v>211</v>
      </c>
      <c r="X60" s="134"/>
      <c r="Y60" s="209" t="e">
        <f ca="1">science_cap*(1-EXP(-#REF!/(science_param*(OFFSET(#REF!,1,0)-OFFSET(#REF!,1,0)*20)+15000)))*(1+(mason_bonus*#REF!/#REF!))</f>
        <v>#REF!</v>
      </c>
      <c r="Z60" s="209" t="e">
        <f ca="1">keep_cap*(1-EXP(-#REF!/(keep_param*(OFFSET(#REF!,1,0)-OFFSET(#REF!,1,0)*20)+15000)))*(1+(mason_bonus*#REF!/#REF!))</f>
        <v>#REF!</v>
      </c>
      <c r="AA60" s="209" t="e">
        <f ca="1">harbor_towers_cap*(1-EXP(-#REF!/(towers_param*(OFFSET(#REF!,1,0)-OFFSET(#REF!,1,0)*20)+15000)))*(1+(mason_bonus*#REF!/#REF!))</f>
        <v>#REF!</v>
      </c>
      <c r="AB60" s="209" t="e">
        <f ca="1">walls_forges_cap*(1-EXP(-#REF!/(walls_forges_param*(OFFSET(#REF!,1,0)-OFFSET(#REF!,1,0)*20)+15000)))*(1+(mason_bonus*#REF!/#REF!))</f>
        <v>#REF!</v>
      </c>
      <c r="AC60" s="209" t="e">
        <f ca="1">walls_forges_cap*(1-EXP(-#REF!/(walls_forges_param*(OFFSET(#REF!,1,0)-OFFSET(#REF!,1,0)*20)+15000)))*(1+(mason_bonus*#REF!/#REF!))</f>
        <v>#REF!</v>
      </c>
      <c r="AD60" s="209" t="e">
        <f ca="1">harbor_towers_cap*(1-EXP(-#REF!/(harbor_towers_param*(OFFSET(#REF!,1,0)-OFFSET(#REF!,1,0)*20)+15000)))*(1+(mason_bonus*#REF!/#REF!))</f>
        <v>#REF!</v>
      </c>
      <c r="AE60" s="134"/>
      <c r="AF60" s="61" t="e">
        <f ca="1">(1+Overview!$I$28)*SUM(#REF!)+OFFSET(#REF!,-1,0)</f>
        <v>#REF!</v>
      </c>
      <c r="AG60" s="61" t="e">
        <f ca="1">(1+Overview!$I$28)*SUM(#REF!)+OFFSET(#REF!,-1,0)</f>
        <v>#REF!</v>
      </c>
      <c r="AH60" s="61" t="e">
        <f ca="1">(1+Overview!$I$28 + tech_7_1*#REF!)*SUM(#REF!)+OFFSET(#REF!,-1,0)</f>
        <v>#REF!</v>
      </c>
      <c r="AI60" s="61" t="e">
        <f ca="1">(1+Overview!$I$28)*SUM(#REF!)+OFFSET(#REF!,-1,0)</f>
        <v>#REF!</v>
      </c>
      <c r="AJ60" s="61" t="e">
        <f ca="1">(1+Overview!$I$28)*SUM(#REF!)+OFFSET(#REF!,-1,0)</f>
        <v>#REF!</v>
      </c>
      <c r="AK60" s="61" t="e">
        <f ca="1">(1+Overview!$I$28 + tech_7_1*#REF!)*SUM(#REF!)+OFFSET(#REF!,-1,0)</f>
        <v>#REF!</v>
      </c>
      <c r="AL60" s="134"/>
      <c r="AM60" s="57" t="e">
        <f>IF(AND(#REF!=AM$2,#REF!&lt;&gt;""),#REF!) + IF(AND(#REF!=AM$2,#REF!&lt;&gt;""),#REF!) + IF(AND(#REF!=AM$2,#REF!&lt;&gt;""),#REF!)</f>
        <v>#REF!</v>
      </c>
      <c r="AN60" s="57" t="e">
        <f>IF(AND(#REF!=AN$2,#REF!&lt;&gt;""),#REF!) + IF(AND(#REF!=AN$2,#REF!&lt;&gt;""),#REF!) + IF(AND(#REF!=AN$2,#REF!&lt;&gt;""),#REF!)</f>
        <v>#REF!</v>
      </c>
      <c r="AO60" s="57" t="e">
        <f>IF(AND(#REF!=AO$2,#REF!&lt;&gt;""),#REF!) + IF(AND(#REF!=AO$2,#REF!&lt;&gt;""),#REF!) + IF(AND(#REF!=AO$2,#REF!&lt;&gt;""),#REF!)</f>
        <v>#REF!</v>
      </c>
      <c r="AP60" s="57" t="e">
        <f>IF(AND(#REF!=AP$2,#REF!&lt;&gt;""),#REF!) + IF(AND(#REF!=AP$2,#REF!&lt;&gt;""),#REF!) + IF(AND(#REF!=AP$2,#REF!&lt;&gt;""),#REF!)</f>
        <v>#REF!</v>
      </c>
      <c r="AQ60" s="134"/>
      <c r="AR60" s="57" t="e">
        <f>IF(#REF!=AR$2,IF(#REF!=$Y$2,#REF!*plat_invest)) + IF(#REF!=AR$2,IF(#REF!=$Y$2,#REF!*plat_invest)) + IF(#REF!=AR$2,IF(#REF!=$Y$2,#REF!*plat_invest))</f>
        <v>#REF!</v>
      </c>
      <c r="AS60" s="57" t="e">
        <f>IF(#REF!=AS$2,IF(#REF!=$Y$2,#REF!*lumber_invest)) + IF(#REF!=AS$2,IF(#REF!=$Y$2,#REF!*lumber_invest)) + IF(#REF!=AS$2,IF(#REF!=$Y$2,#REF!*lumber_invest))</f>
        <v>#REF!</v>
      </c>
      <c r="AT60" s="57" t="e">
        <f>IF(#REF!=AT$2,IF(#REF!=$Y$2,#REF!*ore_invest)) + IF(#REF!=AT$2,IF(#REF!=$Y$2,#REF!*ore_invest)) + IF(#REF!=AT$2,IF(#REF!=$Y$2,#REF!*ore_invest))</f>
        <v>#REF!</v>
      </c>
      <c r="AU60" s="57" t="e">
        <f>IF(#REF!=AU$2,IF(#REF!=$Y$2,#REF!*gem_invest)) + IF(#REF!=AU$2,IF(#REF!=$Y$2,#REF!*gem_invest)) + IF(#REF!=AU$2,IF(#REF!=$Y$2,#REF!*gem_invest))</f>
        <v>#REF!</v>
      </c>
      <c r="AV60" s="134"/>
      <c r="AW60" s="57" t="e">
        <f>IF(#REF!=AW$2,IF(#REF!=$Z$2,#REF!*plat_invest)) + IF(#REF!=AW$2,IF(#REF!=$Z$2,#REF!*plat_invest)) + IF(#REF!=AW$2,IF(#REF!=$Z$2,#REF!*plat_invest))</f>
        <v>#REF!</v>
      </c>
      <c r="AX60" s="57" t="e">
        <f>IF(#REF!=AX$2,IF(#REF!=$Z$2,#REF!*lumber_invest)) + IF(#REF!=AX$2,IF(#REF!=$Z$2,#REF!*lumber_invest)) + IF(#REF!=AX$2,IF(#REF!=$Z$2,#REF!*lumber_invest))</f>
        <v>#REF!</v>
      </c>
      <c r="AY60" s="57" t="e">
        <f>IF(#REF!=AY$2,IF(#REF!=$Z$2,#REF!*ore_invest)) + IF(#REF!=AY$2,IF(#REF!=$Z$2,#REF!*ore_invest)) + IF(#REF!=AY$2,IF(#REF!=$Z$2,#REF!*ore_invest))</f>
        <v>#REF!</v>
      </c>
      <c r="AZ60" s="57" t="e">
        <f>IF(#REF!=AZ$2,IF(#REF!=$Z$2,#REF!*gem_invest)) + IF(#REF!=AZ$2,IF(#REF!=$Z$2,#REF!*gem_invest)) + IF(#REF!=AZ$2,IF(#REF!=$Z$2,#REF!*gem_invest))</f>
        <v>#REF!</v>
      </c>
      <c r="BA60" s="134"/>
      <c r="BB60" s="57" t="e">
        <f>IF(#REF!=BB$2,IF(#REF!=$AA$2,#REF!*plat_invest)) + IF(#REF!=BB$2,IF(#REF!=$AA$2,#REF!*plat_invest)) + IF(#REF!=BB$2,IF(#REF!=$AA$2,#REF!*plat_invest))</f>
        <v>#REF!</v>
      </c>
      <c r="BC60" s="57" t="e">
        <f>IF(#REF!=BC$2,IF(#REF!=$AA$2,#REF!*lumber_invest)) + IF(#REF!=BC$2,IF(#REF!=$AA$2,#REF!*lumber_invest)) + IF(#REF!=BC$2,IF(#REF!=$AA$2,#REF!*lumber_invest))</f>
        <v>#REF!</v>
      </c>
      <c r="BD60" s="57" t="e">
        <f>IF(#REF!=BD$2,IF(#REF!=$AA$2,#REF!*ore_invest)) + IF(#REF!=BD$2,IF(#REF!=$AA$2,#REF!*ore_invest)) + IF(#REF!=BD$2,IF(#REF!=$AA$2,#REF!*ore_invest))</f>
        <v>#REF!</v>
      </c>
      <c r="BE60" s="57" t="e">
        <f>IF(#REF!=BE$2,IF(#REF!=$AA$2,#REF!*gem_invest)) + IF(#REF!=BE$2,IF(#REF!=$AA$2,#REF!*gem_invest)) + IF(#REF!=BE$2,IF(#REF!=$AA$2,#REF!*gem_invest))</f>
        <v>#REF!</v>
      </c>
      <c r="BF60" s="134"/>
      <c r="BG60" s="57" t="e">
        <f>IF(#REF!=BG$2,IF(#REF!=$AB$2,#REF!*plat_invest)) + IF(#REF!=BG$2,IF(#REF!=$AB$2,#REF!*plat_invest)) + IF(#REF!=BG$2,IF(#REF!=$AB$2,#REF!*plat_invest))</f>
        <v>#REF!</v>
      </c>
      <c r="BH60" s="57" t="e">
        <f>IF(#REF!=BH$2,IF(#REF!=$AB$2,#REF!*lumber_invest)) + IF(#REF!=BH$2,IF(#REF!=$AB$2,#REF!*lumber_invest)) + IF(#REF!=BH$2,IF(#REF!=$AB$2,#REF!*lumber_invest))</f>
        <v>#REF!</v>
      </c>
      <c r="BI60" s="57" t="e">
        <f>IF(#REF!=BI$2,IF(#REF!=$AB$2,#REF!*ore_invest)) + IF(#REF!=BI$2,IF(#REF!=$AB$2,#REF!*ore_invest)) + IF(#REF!=BI$2,IF(#REF!=$AB$2,#REF!*ore_invest))</f>
        <v>#REF!</v>
      </c>
      <c r="BJ60" s="57" t="e">
        <f>IF(#REF!=BJ$2,IF(#REF!=$AB$2,#REF!*gem_invest)) + IF(#REF!=BJ$2,IF(#REF!=$AB$2,#REF!*gem_invest)) + IF(#REF!=BJ$2,IF(#REF!=$AB$2,#REF!*gem_invest))</f>
        <v>#REF!</v>
      </c>
      <c r="BK60" s="134"/>
      <c r="BL60" s="57" t="e">
        <f>IF(#REF!=BL$2,IF(#REF!=$AC$2,#REF!*plat_invest)) + IF(#REF!=BL$2,IF(#REF!=$AC$2,#REF!*plat_invest)) + IF(#REF!=BL$2,IF(#REF!=$AC$2,#REF!*plat_invest))</f>
        <v>#REF!</v>
      </c>
      <c r="BM60" s="57" t="e">
        <f>IF(#REF!=BM$2,IF(#REF!=$AC$2,#REF!*lumber_invest)) + IF(#REF!=BM$2,IF(#REF!=$AC$2,#REF!*lumber_invest)) + IF(#REF!=BM$2,IF(#REF!=$AC$2,#REF!*lumber_invest))</f>
        <v>#REF!</v>
      </c>
      <c r="BN60" s="57" t="e">
        <f>IF(#REF!=BN$2,IF(#REF!=$AC$2,#REF!*ore_invest)) + IF(#REF!=BN$2,IF(#REF!=$AC$2,#REF!*ore_invest)) + IF(#REF!=BN$2,IF(#REF!=$AC$2,#REF!*ore_invest))</f>
        <v>#REF!</v>
      </c>
      <c r="BO60" s="57" t="e">
        <f>IF(#REF!=BO$2,IF(#REF!=$AC$2,#REF!*gem_invest)) + IF(#REF!=BO$2,IF(#REF!=$AC$2,#REF!*gem_invest)) + IF(#REF!=BO$2,IF(#REF!=$AC$2,#REF!*gem_invest))</f>
        <v>#REF!</v>
      </c>
      <c r="BP60" s="134"/>
      <c r="BQ60" s="57" t="e">
        <f>IF(#REF!=BQ$2,IF(#REF!=$AD$2,#REF!*plat_invest)) + IF(#REF!=BQ$2,IF(#REF!=$AD$2,#REF!*plat_invest)) + IF(#REF!=BQ$2,IF(#REF!=$AD$2,#REF!*plat_invest))</f>
        <v>#REF!</v>
      </c>
      <c r="BR60" s="57" t="e">
        <f>IF(#REF!=BR$2,IF(#REF!=$AD$2,#REF!*lumber_invest)) + IF(#REF!=BR$2,IF(#REF!=$AD$2,#REF!*lumber_invest)) + IF(#REF!=BR$2,IF(#REF!=$AD$2,#REF!*lumber_invest))</f>
        <v>#REF!</v>
      </c>
      <c r="BS60" s="57" t="e">
        <f>IF(#REF!=BS$2,IF(#REF!=$AD$2,#REF!*ore_invest)) + IF(#REF!=BS$2,IF(#REF!=$AD$2,#REF!*ore_invest)) + IF(#REF!=BS$2,IF(#REF!=$AD$2,#REF!*ore_invest))</f>
        <v>#REF!</v>
      </c>
      <c r="BT60" s="57" t="e">
        <f>IF(#REF!=BT$2,IF(#REF!=$AD$2,#REF!*gem_invest)) + IF(#REF!=BT$2,IF(#REF!=$AD$2,#REF!*gem_invest)) + IF(#REF!=BT$2,IF(#REF!=$AD$2,#REF!*gem_invest))</f>
        <v>#REF!</v>
      </c>
      <c r="BU60" s="134"/>
      <c r="BV60" s="3" t="e">
        <f>OR(#REF!,#REF!,#REF!,#REF!,#REF!,#REF!,#REF!,#REF!,#REF!)</f>
        <v>#REF!</v>
      </c>
      <c r="BW60" s="61" t="e">
        <f>#REF!</f>
        <v>#REF!</v>
      </c>
      <c r="BX60" s="130"/>
      <c r="BY60" s="284" t="e">
        <f ca="1">OFFSET(#REF!,-1,0)+1/24</f>
        <v>#REF!</v>
      </c>
      <c r="BZ60" s="285" t="e">
        <f ca="1">OFFSET(#REF!,-1,0)+1/24</f>
        <v>#REF!</v>
      </c>
      <c r="CA60" s="57"/>
      <c r="CB60" s="283"/>
      <c r="CC60" s="283"/>
    </row>
    <row r="61" spans="1:81" x14ac:dyDescent="0.25">
      <c r="A61" s="206" t="e">
        <f>#REF!</f>
        <v>#REF!</v>
      </c>
      <c r="B61" s="134"/>
      <c r="C61" s="39" t="e">
        <f>#REF!</f>
        <v>#REF!</v>
      </c>
      <c r="D61" s="39" t="e">
        <f>#REF!</f>
        <v>#REF!</v>
      </c>
      <c r="E61" s="39" t="e">
        <f>#REF!</f>
        <v>#REF!</v>
      </c>
      <c r="F61" s="39" t="e">
        <f>#REF!</f>
        <v>#REF!</v>
      </c>
      <c r="G61" s="133"/>
      <c r="H61" s="39" t="e">
        <f>#REF!</f>
        <v>#REF!</v>
      </c>
      <c r="I61" s="132" t="e">
        <f>#REF!</f>
        <v>#REF!</v>
      </c>
      <c r="J61" s="132" t="e">
        <f>#REF!/#REF!</f>
        <v>#REF!</v>
      </c>
      <c r="K61" s="160" t="e">
        <f>#REF!</f>
        <v>#REF!</v>
      </c>
      <c r="L61" s="276" t="e">
        <f>#REF!</f>
        <v>#REF!</v>
      </c>
      <c r="M61" s="61">
        <f>IF(ISERROR(#REF!),0,#REF!*1)</f>
        <v>0</v>
      </c>
      <c r="N61" s="39" t="e">
        <f>#REF!</f>
        <v>#REF!</v>
      </c>
      <c r="O61" s="277" t="s">
        <v>4</v>
      </c>
      <c r="P61" s="278"/>
      <c r="Q61" s="277" t="s">
        <v>211</v>
      </c>
      <c r="R61" s="277" t="s">
        <v>7</v>
      </c>
      <c r="S61" s="278"/>
      <c r="T61" s="277" t="s">
        <v>211</v>
      </c>
      <c r="U61" s="277" t="s">
        <v>3</v>
      </c>
      <c r="V61" s="278"/>
      <c r="W61" s="277" t="s">
        <v>211</v>
      </c>
      <c r="X61" s="134"/>
      <c r="Y61" s="209" t="e">
        <f ca="1">science_cap*(1-EXP(-#REF!/(science_param*(OFFSET(#REF!,1,0)-OFFSET(#REF!,1,0)*20)+15000)))*(1+(mason_bonus*#REF!/#REF!))</f>
        <v>#REF!</v>
      </c>
      <c r="Z61" s="209" t="e">
        <f ca="1">keep_cap*(1-EXP(-#REF!/(keep_param*(OFFSET(#REF!,1,0)-OFFSET(#REF!,1,0)*20)+15000)))*(1+(mason_bonus*#REF!/#REF!))</f>
        <v>#REF!</v>
      </c>
      <c r="AA61" s="209" t="e">
        <f ca="1">harbor_towers_cap*(1-EXP(-#REF!/(towers_param*(OFFSET(#REF!,1,0)-OFFSET(#REF!,1,0)*20)+15000)))*(1+(mason_bonus*#REF!/#REF!))</f>
        <v>#REF!</v>
      </c>
      <c r="AB61" s="209" t="e">
        <f ca="1">walls_forges_cap*(1-EXP(-#REF!/(walls_forges_param*(OFFSET(#REF!,1,0)-OFFSET(#REF!,1,0)*20)+15000)))*(1+(mason_bonus*#REF!/#REF!))</f>
        <v>#REF!</v>
      </c>
      <c r="AC61" s="209" t="e">
        <f ca="1">walls_forges_cap*(1-EXP(-#REF!/(walls_forges_param*(OFFSET(#REF!,1,0)-OFFSET(#REF!,1,0)*20)+15000)))*(1+(mason_bonus*#REF!/#REF!))</f>
        <v>#REF!</v>
      </c>
      <c r="AD61" s="209" t="e">
        <f ca="1">harbor_towers_cap*(1-EXP(-#REF!/(harbor_towers_param*(OFFSET(#REF!,1,0)-OFFSET(#REF!,1,0)*20)+15000)))*(1+(mason_bonus*#REF!/#REF!))</f>
        <v>#REF!</v>
      </c>
      <c r="AE61" s="134"/>
      <c r="AF61" s="61" t="e">
        <f ca="1">(1+Overview!$I$28)*SUM(#REF!)+OFFSET(#REF!,-1,0)</f>
        <v>#REF!</v>
      </c>
      <c r="AG61" s="61" t="e">
        <f ca="1">(1+Overview!$I$28)*SUM(#REF!)+OFFSET(#REF!,-1,0)</f>
        <v>#REF!</v>
      </c>
      <c r="AH61" s="61" t="e">
        <f ca="1">(1+Overview!$I$28 + tech_7_1*#REF!)*SUM(#REF!)+OFFSET(#REF!,-1,0)</f>
        <v>#REF!</v>
      </c>
      <c r="AI61" s="61" t="e">
        <f ca="1">(1+Overview!$I$28)*SUM(#REF!)+OFFSET(#REF!,-1,0)</f>
        <v>#REF!</v>
      </c>
      <c r="AJ61" s="61" t="e">
        <f ca="1">(1+Overview!$I$28)*SUM(#REF!)+OFFSET(#REF!,-1,0)</f>
        <v>#REF!</v>
      </c>
      <c r="AK61" s="61" t="e">
        <f ca="1">(1+Overview!$I$28 + tech_7_1*#REF!)*SUM(#REF!)+OFFSET(#REF!,-1,0)</f>
        <v>#REF!</v>
      </c>
      <c r="AL61" s="134"/>
      <c r="AM61" s="57" t="e">
        <f>IF(AND(#REF!=AM$2,#REF!&lt;&gt;""),#REF!) + IF(AND(#REF!=AM$2,#REF!&lt;&gt;""),#REF!) + IF(AND(#REF!=AM$2,#REF!&lt;&gt;""),#REF!)</f>
        <v>#REF!</v>
      </c>
      <c r="AN61" s="57" t="e">
        <f>IF(AND(#REF!=AN$2,#REF!&lt;&gt;""),#REF!) + IF(AND(#REF!=AN$2,#REF!&lt;&gt;""),#REF!) + IF(AND(#REF!=AN$2,#REF!&lt;&gt;""),#REF!)</f>
        <v>#REF!</v>
      </c>
      <c r="AO61" s="57" t="e">
        <f>IF(AND(#REF!=AO$2,#REF!&lt;&gt;""),#REF!) + IF(AND(#REF!=AO$2,#REF!&lt;&gt;""),#REF!) + IF(AND(#REF!=AO$2,#REF!&lt;&gt;""),#REF!)</f>
        <v>#REF!</v>
      </c>
      <c r="AP61" s="57" t="e">
        <f>IF(AND(#REF!=AP$2,#REF!&lt;&gt;""),#REF!) + IF(AND(#REF!=AP$2,#REF!&lt;&gt;""),#REF!) + IF(AND(#REF!=AP$2,#REF!&lt;&gt;""),#REF!)</f>
        <v>#REF!</v>
      </c>
      <c r="AQ61" s="134"/>
      <c r="AR61" s="57" t="e">
        <f>IF(#REF!=AR$2,IF(#REF!=$Y$2,#REF!*plat_invest)) + IF(#REF!=AR$2,IF(#REF!=$Y$2,#REF!*plat_invest)) + IF(#REF!=AR$2,IF(#REF!=$Y$2,#REF!*plat_invest))</f>
        <v>#REF!</v>
      </c>
      <c r="AS61" s="57" t="e">
        <f>IF(#REF!=AS$2,IF(#REF!=$Y$2,#REF!*lumber_invest)) + IF(#REF!=AS$2,IF(#REF!=$Y$2,#REF!*lumber_invest)) + IF(#REF!=AS$2,IF(#REF!=$Y$2,#REF!*lumber_invest))</f>
        <v>#REF!</v>
      </c>
      <c r="AT61" s="57" t="e">
        <f>IF(#REF!=AT$2,IF(#REF!=$Y$2,#REF!*ore_invest)) + IF(#REF!=AT$2,IF(#REF!=$Y$2,#REF!*ore_invest)) + IF(#REF!=AT$2,IF(#REF!=$Y$2,#REF!*ore_invest))</f>
        <v>#REF!</v>
      </c>
      <c r="AU61" s="57" t="e">
        <f>IF(#REF!=AU$2,IF(#REF!=$Y$2,#REF!*gem_invest)) + IF(#REF!=AU$2,IF(#REF!=$Y$2,#REF!*gem_invest)) + IF(#REF!=AU$2,IF(#REF!=$Y$2,#REF!*gem_invest))</f>
        <v>#REF!</v>
      </c>
      <c r="AV61" s="134"/>
      <c r="AW61" s="57" t="e">
        <f>IF(#REF!=AW$2,IF(#REF!=$Z$2,#REF!*plat_invest)) + IF(#REF!=AW$2,IF(#REF!=$Z$2,#REF!*plat_invest)) + IF(#REF!=AW$2,IF(#REF!=$Z$2,#REF!*plat_invest))</f>
        <v>#REF!</v>
      </c>
      <c r="AX61" s="57" t="e">
        <f>IF(#REF!=AX$2,IF(#REF!=$Z$2,#REF!*lumber_invest)) + IF(#REF!=AX$2,IF(#REF!=$Z$2,#REF!*lumber_invest)) + IF(#REF!=AX$2,IF(#REF!=$Z$2,#REF!*lumber_invest))</f>
        <v>#REF!</v>
      </c>
      <c r="AY61" s="57" t="e">
        <f>IF(#REF!=AY$2,IF(#REF!=$Z$2,#REF!*ore_invest)) + IF(#REF!=AY$2,IF(#REF!=$Z$2,#REF!*ore_invest)) + IF(#REF!=AY$2,IF(#REF!=$Z$2,#REF!*ore_invest))</f>
        <v>#REF!</v>
      </c>
      <c r="AZ61" s="57" t="e">
        <f>IF(#REF!=AZ$2,IF(#REF!=$Z$2,#REF!*gem_invest)) + IF(#REF!=AZ$2,IF(#REF!=$Z$2,#REF!*gem_invest)) + IF(#REF!=AZ$2,IF(#REF!=$Z$2,#REF!*gem_invest))</f>
        <v>#REF!</v>
      </c>
      <c r="BA61" s="134"/>
      <c r="BB61" s="57" t="e">
        <f>IF(#REF!=BB$2,IF(#REF!=$AA$2,#REF!*plat_invest)) + IF(#REF!=BB$2,IF(#REF!=$AA$2,#REF!*plat_invest)) + IF(#REF!=BB$2,IF(#REF!=$AA$2,#REF!*plat_invest))</f>
        <v>#REF!</v>
      </c>
      <c r="BC61" s="57" t="e">
        <f>IF(#REF!=BC$2,IF(#REF!=$AA$2,#REF!*lumber_invest)) + IF(#REF!=BC$2,IF(#REF!=$AA$2,#REF!*lumber_invest)) + IF(#REF!=BC$2,IF(#REF!=$AA$2,#REF!*lumber_invest))</f>
        <v>#REF!</v>
      </c>
      <c r="BD61" s="57" t="e">
        <f>IF(#REF!=BD$2,IF(#REF!=$AA$2,#REF!*ore_invest)) + IF(#REF!=BD$2,IF(#REF!=$AA$2,#REF!*ore_invest)) + IF(#REF!=BD$2,IF(#REF!=$AA$2,#REF!*ore_invest))</f>
        <v>#REF!</v>
      </c>
      <c r="BE61" s="57" t="e">
        <f>IF(#REF!=BE$2,IF(#REF!=$AA$2,#REF!*gem_invest)) + IF(#REF!=BE$2,IF(#REF!=$AA$2,#REF!*gem_invest)) + IF(#REF!=BE$2,IF(#REF!=$AA$2,#REF!*gem_invest))</f>
        <v>#REF!</v>
      </c>
      <c r="BF61" s="134"/>
      <c r="BG61" s="57" t="e">
        <f>IF(#REF!=BG$2,IF(#REF!=$AB$2,#REF!*plat_invest)) + IF(#REF!=BG$2,IF(#REF!=$AB$2,#REF!*plat_invest)) + IF(#REF!=BG$2,IF(#REF!=$AB$2,#REF!*plat_invest))</f>
        <v>#REF!</v>
      </c>
      <c r="BH61" s="57" t="e">
        <f>IF(#REF!=BH$2,IF(#REF!=$AB$2,#REF!*lumber_invest)) + IF(#REF!=BH$2,IF(#REF!=$AB$2,#REF!*lumber_invest)) + IF(#REF!=BH$2,IF(#REF!=$AB$2,#REF!*lumber_invest))</f>
        <v>#REF!</v>
      </c>
      <c r="BI61" s="57" t="e">
        <f>IF(#REF!=BI$2,IF(#REF!=$AB$2,#REF!*ore_invest)) + IF(#REF!=BI$2,IF(#REF!=$AB$2,#REF!*ore_invest)) + IF(#REF!=BI$2,IF(#REF!=$AB$2,#REF!*ore_invest))</f>
        <v>#REF!</v>
      </c>
      <c r="BJ61" s="57" t="e">
        <f>IF(#REF!=BJ$2,IF(#REF!=$AB$2,#REF!*gem_invest)) + IF(#REF!=BJ$2,IF(#REF!=$AB$2,#REF!*gem_invest)) + IF(#REF!=BJ$2,IF(#REF!=$AB$2,#REF!*gem_invest))</f>
        <v>#REF!</v>
      </c>
      <c r="BK61" s="134"/>
      <c r="BL61" s="57" t="e">
        <f>IF(#REF!=BL$2,IF(#REF!=$AC$2,#REF!*plat_invest)) + IF(#REF!=BL$2,IF(#REF!=$AC$2,#REF!*plat_invest)) + IF(#REF!=BL$2,IF(#REF!=$AC$2,#REF!*plat_invest))</f>
        <v>#REF!</v>
      </c>
      <c r="BM61" s="57" t="e">
        <f>IF(#REF!=BM$2,IF(#REF!=$AC$2,#REF!*lumber_invest)) + IF(#REF!=BM$2,IF(#REF!=$AC$2,#REF!*lumber_invest)) + IF(#REF!=BM$2,IF(#REF!=$AC$2,#REF!*lumber_invest))</f>
        <v>#REF!</v>
      </c>
      <c r="BN61" s="57" t="e">
        <f>IF(#REF!=BN$2,IF(#REF!=$AC$2,#REF!*ore_invest)) + IF(#REF!=BN$2,IF(#REF!=$AC$2,#REF!*ore_invest)) + IF(#REF!=BN$2,IF(#REF!=$AC$2,#REF!*ore_invest))</f>
        <v>#REF!</v>
      </c>
      <c r="BO61" s="57" t="e">
        <f>IF(#REF!=BO$2,IF(#REF!=$AC$2,#REF!*gem_invest)) + IF(#REF!=BO$2,IF(#REF!=$AC$2,#REF!*gem_invest)) + IF(#REF!=BO$2,IF(#REF!=$AC$2,#REF!*gem_invest))</f>
        <v>#REF!</v>
      </c>
      <c r="BP61" s="134"/>
      <c r="BQ61" s="57" t="e">
        <f>IF(#REF!=BQ$2,IF(#REF!=$AD$2,#REF!*plat_invest)) + IF(#REF!=BQ$2,IF(#REF!=$AD$2,#REF!*plat_invest)) + IF(#REF!=BQ$2,IF(#REF!=$AD$2,#REF!*plat_invest))</f>
        <v>#REF!</v>
      </c>
      <c r="BR61" s="57" t="e">
        <f>IF(#REF!=BR$2,IF(#REF!=$AD$2,#REF!*lumber_invest)) + IF(#REF!=BR$2,IF(#REF!=$AD$2,#REF!*lumber_invest)) + IF(#REF!=BR$2,IF(#REF!=$AD$2,#REF!*lumber_invest))</f>
        <v>#REF!</v>
      </c>
      <c r="BS61" s="57" t="e">
        <f>IF(#REF!=BS$2,IF(#REF!=$AD$2,#REF!*ore_invest)) + IF(#REF!=BS$2,IF(#REF!=$AD$2,#REF!*ore_invest)) + IF(#REF!=BS$2,IF(#REF!=$AD$2,#REF!*ore_invest))</f>
        <v>#REF!</v>
      </c>
      <c r="BT61" s="57" t="e">
        <f>IF(#REF!=BT$2,IF(#REF!=$AD$2,#REF!*gem_invest)) + IF(#REF!=BT$2,IF(#REF!=$AD$2,#REF!*gem_invest)) + IF(#REF!=BT$2,IF(#REF!=$AD$2,#REF!*gem_invest))</f>
        <v>#REF!</v>
      </c>
      <c r="BU61" s="134"/>
      <c r="BV61" s="3" t="e">
        <f>OR(#REF!,#REF!,#REF!,#REF!,#REF!,#REF!,#REF!,#REF!,#REF!)</f>
        <v>#REF!</v>
      </c>
      <c r="BW61" s="61" t="e">
        <f>#REF!</f>
        <v>#REF!</v>
      </c>
      <c r="BX61" s="130"/>
      <c r="BY61" s="284" t="e">
        <f ca="1">OFFSET(#REF!,-1,0)+1/24</f>
        <v>#REF!</v>
      </c>
      <c r="BZ61" s="285" t="e">
        <f ca="1">OFFSET(#REF!,-1,0)+1/24</f>
        <v>#REF!</v>
      </c>
      <c r="CA61" s="57"/>
      <c r="CB61" s="283"/>
      <c r="CC61" s="283"/>
    </row>
    <row r="62" spans="1:81" x14ac:dyDescent="0.25">
      <c r="A62" s="206" t="e">
        <f>#REF!</f>
        <v>#REF!</v>
      </c>
      <c r="B62" s="134"/>
      <c r="C62" s="39" t="e">
        <f>#REF!</f>
        <v>#REF!</v>
      </c>
      <c r="D62" s="39" t="e">
        <f>#REF!</f>
        <v>#REF!</v>
      </c>
      <c r="E62" s="39" t="e">
        <f>#REF!</f>
        <v>#REF!</v>
      </c>
      <c r="F62" s="39" t="e">
        <f>#REF!</f>
        <v>#REF!</v>
      </c>
      <c r="G62" s="133"/>
      <c r="H62" s="39" t="e">
        <f>#REF!</f>
        <v>#REF!</v>
      </c>
      <c r="I62" s="132" t="e">
        <f>#REF!</f>
        <v>#REF!</v>
      </c>
      <c r="J62" s="132" t="e">
        <f>#REF!/#REF!</f>
        <v>#REF!</v>
      </c>
      <c r="K62" s="160" t="e">
        <f>#REF!</f>
        <v>#REF!</v>
      </c>
      <c r="L62" s="276" t="e">
        <f>#REF!</f>
        <v>#REF!</v>
      </c>
      <c r="M62" s="61">
        <f>IF(ISERROR(#REF!),0,#REF!*1)</f>
        <v>0</v>
      </c>
      <c r="N62" s="39" t="e">
        <f>#REF!</f>
        <v>#REF!</v>
      </c>
      <c r="O62" s="277" t="s">
        <v>4</v>
      </c>
      <c r="P62" s="278"/>
      <c r="Q62" s="277" t="s">
        <v>211</v>
      </c>
      <c r="R62" s="277" t="s">
        <v>7</v>
      </c>
      <c r="S62" s="278"/>
      <c r="T62" s="277" t="s">
        <v>211</v>
      </c>
      <c r="U62" s="277" t="s">
        <v>3</v>
      </c>
      <c r="V62" s="278"/>
      <c r="W62" s="277" t="s">
        <v>211</v>
      </c>
      <c r="X62" s="134"/>
      <c r="Y62" s="209" t="e">
        <f ca="1">science_cap*(1-EXP(-#REF!/(science_param*(OFFSET(#REF!,1,0)-OFFSET(#REF!,1,0)*20)+15000)))*(1+(mason_bonus*#REF!/#REF!))</f>
        <v>#REF!</v>
      </c>
      <c r="Z62" s="209" t="e">
        <f ca="1">keep_cap*(1-EXP(-#REF!/(keep_param*(OFFSET(#REF!,1,0)-OFFSET(#REF!,1,0)*20)+15000)))*(1+(mason_bonus*#REF!/#REF!))</f>
        <v>#REF!</v>
      </c>
      <c r="AA62" s="209" t="e">
        <f ca="1">harbor_towers_cap*(1-EXP(-#REF!/(towers_param*(OFFSET(#REF!,1,0)-OFFSET(#REF!,1,0)*20)+15000)))*(1+(mason_bonus*#REF!/#REF!))</f>
        <v>#REF!</v>
      </c>
      <c r="AB62" s="209" t="e">
        <f ca="1">walls_forges_cap*(1-EXP(-#REF!/(walls_forges_param*(OFFSET(#REF!,1,0)-OFFSET(#REF!,1,0)*20)+15000)))*(1+(mason_bonus*#REF!/#REF!))</f>
        <v>#REF!</v>
      </c>
      <c r="AC62" s="209" t="e">
        <f ca="1">walls_forges_cap*(1-EXP(-#REF!/(walls_forges_param*(OFFSET(#REF!,1,0)-OFFSET(#REF!,1,0)*20)+15000)))*(1+(mason_bonus*#REF!/#REF!))</f>
        <v>#REF!</v>
      </c>
      <c r="AD62" s="209" t="e">
        <f ca="1">harbor_towers_cap*(1-EXP(-#REF!/(harbor_towers_param*(OFFSET(#REF!,1,0)-OFFSET(#REF!,1,0)*20)+15000)))*(1+(mason_bonus*#REF!/#REF!))</f>
        <v>#REF!</v>
      </c>
      <c r="AE62" s="134"/>
      <c r="AF62" s="61" t="e">
        <f ca="1">(1+Overview!$I$28)*SUM(#REF!)+OFFSET(#REF!,-1,0)</f>
        <v>#REF!</v>
      </c>
      <c r="AG62" s="61" t="e">
        <f ca="1">(1+Overview!$I$28)*SUM(#REF!)+OFFSET(#REF!,-1,0)</f>
        <v>#REF!</v>
      </c>
      <c r="AH62" s="61" t="e">
        <f ca="1">(1+Overview!$I$28 + tech_7_1*#REF!)*SUM(#REF!)+OFFSET(#REF!,-1,0)</f>
        <v>#REF!</v>
      </c>
      <c r="AI62" s="61" t="e">
        <f ca="1">(1+Overview!$I$28)*SUM(#REF!)+OFFSET(#REF!,-1,0)</f>
        <v>#REF!</v>
      </c>
      <c r="AJ62" s="61" t="e">
        <f ca="1">(1+Overview!$I$28)*SUM(#REF!)+OFFSET(#REF!,-1,0)</f>
        <v>#REF!</v>
      </c>
      <c r="AK62" s="61" t="e">
        <f ca="1">(1+Overview!$I$28 + tech_7_1*#REF!)*SUM(#REF!)+OFFSET(#REF!,-1,0)</f>
        <v>#REF!</v>
      </c>
      <c r="AL62" s="134"/>
      <c r="AM62" s="57" t="e">
        <f>IF(AND(#REF!=AM$2,#REF!&lt;&gt;""),#REF!) + IF(AND(#REF!=AM$2,#REF!&lt;&gt;""),#REF!) + IF(AND(#REF!=AM$2,#REF!&lt;&gt;""),#REF!)</f>
        <v>#REF!</v>
      </c>
      <c r="AN62" s="57" t="e">
        <f>IF(AND(#REF!=AN$2,#REF!&lt;&gt;""),#REF!) + IF(AND(#REF!=AN$2,#REF!&lt;&gt;""),#REF!) + IF(AND(#REF!=AN$2,#REF!&lt;&gt;""),#REF!)</f>
        <v>#REF!</v>
      </c>
      <c r="AO62" s="57" t="e">
        <f>IF(AND(#REF!=AO$2,#REF!&lt;&gt;""),#REF!) + IF(AND(#REF!=AO$2,#REF!&lt;&gt;""),#REF!) + IF(AND(#REF!=AO$2,#REF!&lt;&gt;""),#REF!)</f>
        <v>#REF!</v>
      </c>
      <c r="AP62" s="57" t="e">
        <f>IF(AND(#REF!=AP$2,#REF!&lt;&gt;""),#REF!) + IF(AND(#REF!=AP$2,#REF!&lt;&gt;""),#REF!) + IF(AND(#REF!=AP$2,#REF!&lt;&gt;""),#REF!)</f>
        <v>#REF!</v>
      </c>
      <c r="AQ62" s="134"/>
      <c r="AR62" s="57" t="e">
        <f>IF(#REF!=AR$2,IF(#REF!=$Y$2,#REF!*plat_invest)) + IF(#REF!=AR$2,IF(#REF!=$Y$2,#REF!*plat_invest)) + IF(#REF!=AR$2,IF(#REF!=$Y$2,#REF!*plat_invest))</f>
        <v>#REF!</v>
      </c>
      <c r="AS62" s="57" t="e">
        <f>IF(#REF!=AS$2,IF(#REF!=$Y$2,#REF!*lumber_invest)) + IF(#REF!=AS$2,IF(#REF!=$Y$2,#REF!*lumber_invest)) + IF(#REF!=AS$2,IF(#REF!=$Y$2,#REF!*lumber_invest))</f>
        <v>#REF!</v>
      </c>
      <c r="AT62" s="57" t="e">
        <f>IF(#REF!=AT$2,IF(#REF!=$Y$2,#REF!*ore_invest)) + IF(#REF!=AT$2,IF(#REF!=$Y$2,#REF!*ore_invest)) + IF(#REF!=AT$2,IF(#REF!=$Y$2,#REF!*ore_invest))</f>
        <v>#REF!</v>
      </c>
      <c r="AU62" s="57" t="e">
        <f>IF(#REF!=AU$2,IF(#REF!=$Y$2,#REF!*gem_invest)) + IF(#REF!=AU$2,IF(#REF!=$Y$2,#REF!*gem_invest)) + IF(#REF!=AU$2,IF(#REF!=$Y$2,#REF!*gem_invest))</f>
        <v>#REF!</v>
      </c>
      <c r="AV62" s="134"/>
      <c r="AW62" s="57" t="e">
        <f>IF(#REF!=AW$2,IF(#REF!=$Z$2,#REF!*plat_invest)) + IF(#REF!=AW$2,IF(#REF!=$Z$2,#REF!*plat_invest)) + IF(#REF!=AW$2,IF(#REF!=$Z$2,#REF!*plat_invest))</f>
        <v>#REF!</v>
      </c>
      <c r="AX62" s="57" t="e">
        <f>IF(#REF!=AX$2,IF(#REF!=$Z$2,#REF!*lumber_invest)) + IF(#REF!=AX$2,IF(#REF!=$Z$2,#REF!*lumber_invest)) + IF(#REF!=AX$2,IF(#REF!=$Z$2,#REF!*lumber_invest))</f>
        <v>#REF!</v>
      </c>
      <c r="AY62" s="57" t="e">
        <f>IF(#REF!=AY$2,IF(#REF!=$Z$2,#REF!*ore_invest)) + IF(#REF!=AY$2,IF(#REF!=$Z$2,#REF!*ore_invest)) + IF(#REF!=AY$2,IF(#REF!=$Z$2,#REF!*ore_invest))</f>
        <v>#REF!</v>
      </c>
      <c r="AZ62" s="57" t="e">
        <f>IF(#REF!=AZ$2,IF(#REF!=$Z$2,#REF!*gem_invest)) + IF(#REF!=AZ$2,IF(#REF!=$Z$2,#REF!*gem_invest)) + IF(#REF!=AZ$2,IF(#REF!=$Z$2,#REF!*gem_invest))</f>
        <v>#REF!</v>
      </c>
      <c r="BA62" s="134"/>
      <c r="BB62" s="57" t="e">
        <f>IF(#REF!=BB$2,IF(#REF!=$AA$2,#REF!*plat_invest)) + IF(#REF!=BB$2,IF(#REF!=$AA$2,#REF!*plat_invest)) + IF(#REF!=BB$2,IF(#REF!=$AA$2,#REF!*plat_invest))</f>
        <v>#REF!</v>
      </c>
      <c r="BC62" s="57" t="e">
        <f>IF(#REF!=BC$2,IF(#REF!=$AA$2,#REF!*lumber_invest)) + IF(#REF!=BC$2,IF(#REF!=$AA$2,#REF!*lumber_invest)) + IF(#REF!=BC$2,IF(#REF!=$AA$2,#REF!*lumber_invest))</f>
        <v>#REF!</v>
      </c>
      <c r="BD62" s="57" t="e">
        <f>IF(#REF!=BD$2,IF(#REF!=$AA$2,#REF!*ore_invest)) + IF(#REF!=BD$2,IF(#REF!=$AA$2,#REF!*ore_invest)) + IF(#REF!=BD$2,IF(#REF!=$AA$2,#REF!*ore_invest))</f>
        <v>#REF!</v>
      </c>
      <c r="BE62" s="57" t="e">
        <f>IF(#REF!=BE$2,IF(#REF!=$AA$2,#REF!*gem_invest)) + IF(#REF!=BE$2,IF(#REF!=$AA$2,#REF!*gem_invest)) + IF(#REF!=BE$2,IF(#REF!=$AA$2,#REF!*gem_invest))</f>
        <v>#REF!</v>
      </c>
      <c r="BF62" s="134"/>
      <c r="BG62" s="57" t="e">
        <f>IF(#REF!=BG$2,IF(#REF!=$AB$2,#REF!*plat_invest)) + IF(#REF!=BG$2,IF(#REF!=$AB$2,#REF!*plat_invest)) + IF(#REF!=BG$2,IF(#REF!=$AB$2,#REF!*plat_invest))</f>
        <v>#REF!</v>
      </c>
      <c r="BH62" s="57" t="e">
        <f>IF(#REF!=BH$2,IF(#REF!=$AB$2,#REF!*lumber_invest)) + IF(#REF!=BH$2,IF(#REF!=$AB$2,#REF!*lumber_invest)) + IF(#REF!=BH$2,IF(#REF!=$AB$2,#REF!*lumber_invest))</f>
        <v>#REF!</v>
      </c>
      <c r="BI62" s="57" t="e">
        <f>IF(#REF!=BI$2,IF(#REF!=$AB$2,#REF!*ore_invest)) + IF(#REF!=BI$2,IF(#REF!=$AB$2,#REF!*ore_invest)) + IF(#REF!=BI$2,IF(#REF!=$AB$2,#REF!*ore_invest))</f>
        <v>#REF!</v>
      </c>
      <c r="BJ62" s="57" t="e">
        <f>IF(#REF!=BJ$2,IF(#REF!=$AB$2,#REF!*gem_invest)) + IF(#REF!=BJ$2,IF(#REF!=$AB$2,#REF!*gem_invest)) + IF(#REF!=BJ$2,IF(#REF!=$AB$2,#REF!*gem_invest))</f>
        <v>#REF!</v>
      </c>
      <c r="BK62" s="134"/>
      <c r="BL62" s="57" t="e">
        <f>IF(#REF!=BL$2,IF(#REF!=$AC$2,#REF!*plat_invest)) + IF(#REF!=BL$2,IF(#REF!=$AC$2,#REF!*plat_invest)) + IF(#REF!=BL$2,IF(#REF!=$AC$2,#REF!*plat_invest))</f>
        <v>#REF!</v>
      </c>
      <c r="BM62" s="57" t="e">
        <f>IF(#REF!=BM$2,IF(#REF!=$AC$2,#REF!*lumber_invest)) + IF(#REF!=BM$2,IF(#REF!=$AC$2,#REF!*lumber_invest)) + IF(#REF!=BM$2,IF(#REF!=$AC$2,#REF!*lumber_invest))</f>
        <v>#REF!</v>
      </c>
      <c r="BN62" s="57" t="e">
        <f>IF(#REF!=BN$2,IF(#REF!=$AC$2,#REF!*ore_invest)) + IF(#REF!=BN$2,IF(#REF!=$AC$2,#REF!*ore_invest)) + IF(#REF!=BN$2,IF(#REF!=$AC$2,#REF!*ore_invest))</f>
        <v>#REF!</v>
      </c>
      <c r="BO62" s="57" t="e">
        <f>IF(#REF!=BO$2,IF(#REF!=$AC$2,#REF!*gem_invest)) + IF(#REF!=BO$2,IF(#REF!=$AC$2,#REF!*gem_invest)) + IF(#REF!=BO$2,IF(#REF!=$AC$2,#REF!*gem_invest))</f>
        <v>#REF!</v>
      </c>
      <c r="BP62" s="134"/>
      <c r="BQ62" s="57" t="e">
        <f>IF(#REF!=BQ$2,IF(#REF!=$AD$2,#REF!*plat_invest)) + IF(#REF!=BQ$2,IF(#REF!=$AD$2,#REF!*plat_invest)) + IF(#REF!=BQ$2,IF(#REF!=$AD$2,#REF!*plat_invest))</f>
        <v>#REF!</v>
      </c>
      <c r="BR62" s="57" t="e">
        <f>IF(#REF!=BR$2,IF(#REF!=$AD$2,#REF!*lumber_invest)) + IF(#REF!=BR$2,IF(#REF!=$AD$2,#REF!*lumber_invest)) + IF(#REF!=BR$2,IF(#REF!=$AD$2,#REF!*lumber_invest))</f>
        <v>#REF!</v>
      </c>
      <c r="BS62" s="57" t="e">
        <f>IF(#REF!=BS$2,IF(#REF!=$AD$2,#REF!*ore_invest)) + IF(#REF!=BS$2,IF(#REF!=$AD$2,#REF!*ore_invest)) + IF(#REF!=BS$2,IF(#REF!=$AD$2,#REF!*ore_invest))</f>
        <v>#REF!</v>
      </c>
      <c r="BT62" s="57" t="e">
        <f>IF(#REF!=BT$2,IF(#REF!=$AD$2,#REF!*gem_invest)) + IF(#REF!=BT$2,IF(#REF!=$AD$2,#REF!*gem_invest)) + IF(#REF!=BT$2,IF(#REF!=$AD$2,#REF!*gem_invest))</f>
        <v>#REF!</v>
      </c>
      <c r="BU62" s="134"/>
      <c r="BV62" s="3" t="e">
        <f>OR(#REF!,#REF!,#REF!,#REF!,#REF!,#REF!,#REF!,#REF!,#REF!)</f>
        <v>#REF!</v>
      </c>
      <c r="BW62" s="61" t="e">
        <f>#REF!</f>
        <v>#REF!</v>
      </c>
      <c r="BX62" s="130"/>
      <c r="BY62" s="284" t="e">
        <f ca="1">OFFSET(#REF!,-1,0)+1/24</f>
        <v>#REF!</v>
      </c>
      <c r="BZ62" s="285" t="e">
        <f ca="1">OFFSET(#REF!,-1,0)+1/24</f>
        <v>#REF!</v>
      </c>
      <c r="CA62" s="57"/>
      <c r="CB62" s="283"/>
      <c r="CC62" s="283"/>
    </row>
    <row r="63" spans="1:81" x14ac:dyDescent="0.25">
      <c r="A63" s="206" t="e">
        <f>#REF!</f>
        <v>#REF!</v>
      </c>
      <c r="B63" s="134"/>
      <c r="C63" s="39" t="e">
        <f>#REF!</f>
        <v>#REF!</v>
      </c>
      <c r="D63" s="39" t="e">
        <f>#REF!</f>
        <v>#REF!</v>
      </c>
      <c r="E63" s="39" t="e">
        <f>#REF!</f>
        <v>#REF!</v>
      </c>
      <c r="F63" s="39" t="e">
        <f>#REF!</f>
        <v>#REF!</v>
      </c>
      <c r="G63" s="133"/>
      <c r="H63" s="39" t="e">
        <f>#REF!</f>
        <v>#REF!</v>
      </c>
      <c r="I63" s="132" t="e">
        <f>#REF!</f>
        <v>#REF!</v>
      </c>
      <c r="J63" s="132" t="e">
        <f>#REF!/#REF!</f>
        <v>#REF!</v>
      </c>
      <c r="K63" s="160" t="e">
        <f>#REF!</f>
        <v>#REF!</v>
      </c>
      <c r="L63" s="276" t="e">
        <f>#REF!</f>
        <v>#REF!</v>
      </c>
      <c r="M63" s="61">
        <f>IF(ISERROR(#REF!),0,#REF!*1)</f>
        <v>0</v>
      </c>
      <c r="N63" s="39" t="e">
        <f>#REF!</f>
        <v>#REF!</v>
      </c>
      <c r="O63" s="277" t="s">
        <v>4</v>
      </c>
      <c r="P63" s="278"/>
      <c r="Q63" s="277" t="s">
        <v>211</v>
      </c>
      <c r="R63" s="277" t="s">
        <v>7</v>
      </c>
      <c r="S63" s="278"/>
      <c r="T63" s="277" t="s">
        <v>211</v>
      </c>
      <c r="U63" s="277" t="s">
        <v>3</v>
      </c>
      <c r="V63" s="278"/>
      <c r="W63" s="277" t="s">
        <v>211</v>
      </c>
      <c r="X63" s="134"/>
      <c r="Y63" s="209" t="e">
        <f ca="1">science_cap*(1-EXP(-#REF!/(science_param*(OFFSET(#REF!,1,0)-OFFSET(#REF!,1,0)*20)+15000)))*(1+(mason_bonus*#REF!/#REF!))</f>
        <v>#REF!</v>
      </c>
      <c r="Z63" s="209" t="e">
        <f ca="1">keep_cap*(1-EXP(-#REF!/(keep_param*(OFFSET(#REF!,1,0)-OFFSET(#REF!,1,0)*20)+15000)))*(1+(mason_bonus*#REF!/#REF!))</f>
        <v>#REF!</v>
      </c>
      <c r="AA63" s="209" t="e">
        <f ca="1">harbor_towers_cap*(1-EXP(-#REF!/(towers_param*(OFFSET(#REF!,1,0)-OFFSET(#REF!,1,0)*20)+15000)))*(1+(mason_bonus*#REF!/#REF!))</f>
        <v>#REF!</v>
      </c>
      <c r="AB63" s="209" t="e">
        <f ca="1">walls_forges_cap*(1-EXP(-#REF!/(walls_forges_param*(OFFSET(#REF!,1,0)-OFFSET(#REF!,1,0)*20)+15000)))*(1+(mason_bonus*#REF!/#REF!))</f>
        <v>#REF!</v>
      </c>
      <c r="AC63" s="209" t="e">
        <f ca="1">walls_forges_cap*(1-EXP(-#REF!/(walls_forges_param*(OFFSET(#REF!,1,0)-OFFSET(#REF!,1,0)*20)+15000)))*(1+(mason_bonus*#REF!/#REF!))</f>
        <v>#REF!</v>
      </c>
      <c r="AD63" s="209" t="e">
        <f ca="1">harbor_towers_cap*(1-EXP(-#REF!/(harbor_towers_param*(OFFSET(#REF!,1,0)-OFFSET(#REF!,1,0)*20)+15000)))*(1+(mason_bonus*#REF!/#REF!))</f>
        <v>#REF!</v>
      </c>
      <c r="AE63" s="134"/>
      <c r="AF63" s="61" t="e">
        <f ca="1">(1+Overview!$I$28)*SUM(#REF!)+OFFSET(#REF!,-1,0)</f>
        <v>#REF!</v>
      </c>
      <c r="AG63" s="61" t="e">
        <f ca="1">(1+Overview!$I$28)*SUM(#REF!)+OFFSET(#REF!,-1,0)</f>
        <v>#REF!</v>
      </c>
      <c r="AH63" s="61" t="e">
        <f ca="1">(1+Overview!$I$28 + tech_7_1*#REF!)*SUM(#REF!)+OFFSET(#REF!,-1,0)</f>
        <v>#REF!</v>
      </c>
      <c r="AI63" s="61" t="e">
        <f ca="1">(1+Overview!$I$28)*SUM(#REF!)+OFFSET(#REF!,-1,0)</f>
        <v>#REF!</v>
      </c>
      <c r="AJ63" s="61" t="e">
        <f ca="1">(1+Overview!$I$28)*SUM(#REF!)+OFFSET(#REF!,-1,0)</f>
        <v>#REF!</v>
      </c>
      <c r="AK63" s="61" t="e">
        <f ca="1">(1+Overview!$I$28 + tech_7_1*#REF!)*SUM(#REF!)+OFFSET(#REF!,-1,0)</f>
        <v>#REF!</v>
      </c>
      <c r="AL63" s="134"/>
      <c r="AM63" s="57" t="e">
        <f>IF(AND(#REF!=AM$2,#REF!&lt;&gt;""),#REF!) + IF(AND(#REF!=AM$2,#REF!&lt;&gt;""),#REF!) + IF(AND(#REF!=AM$2,#REF!&lt;&gt;""),#REF!)</f>
        <v>#REF!</v>
      </c>
      <c r="AN63" s="57" t="e">
        <f>IF(AND(#REF!=AN$2,#REF!&lt;&gt;""),#REF!) + IF(AND(#REF!=AN$2,#REF!&lt;&gt;""),#REF!) + IF(AND(#REF!=AN$2,#REF!&lt;&gt;""),#REF!)</f>
        <v>#REF!</v>
      </c>
      <c r="AO63" s="57" t="e">
        <f>IF(AND(#REF!=AO$2,#REF!&lt;&gt;""),#REF!) + IF(AND(#REF!=AO$2,#REF!&lt;&gt;""),#REF!) + IF(AND(#REF!=AO$2,#REF!&lt;&gt;""),#REF!)</f>
        <v>#REF!</v>
      </c>
      <c r="AP63" s="57" t="e">
        <f>IF(AND(#REF!=AP$2,#REF!&lt;&gt;""),#REF!) + IF(AND(#REF!=AP$2,#REF!&lt;&gt;""),#REF!) + IF(AND(#REF!=AP$2,#REF!&lt;&gt;""),#REF!)</f>
        <v>#REF!</v>
      </c>
      <c r="AQ63" s="134"/>
      <c r="AR63" s="57" t="e">
        <f>IF(#REF!=AR$2,IF(#REF!=$Y$2,#REF!*plat_invest)) + IF(#REF!=AR$2,IF(#REF!=$Y$2,#REF!*plat_invest)) + IF(#REF!=AR$2,IF(#REF!=$Y$2,#REF!*plat_invest))</f>
        <v>#REF!</v>
      </c>
      <c r="AS63" s="57" t="e">
        <f>IF(#REF!=AS$2,IF(#REF!=$Y$2,#REF!*lumber_invest)) + IF(#REF!=AS$2,IF(#REF!=$Y$2,#REF!*lumber_invest)) + IF(#REF!=AS$2,IF(#REF!=$Y$2,#REF!*lumber_invest))</f>
        <v>#REF!</v>
      </c>
      <c r="AT63" s="57" t="e">
        <f>IF(#REF!=AT$2,IF(#REF!=$Y$2,#REF!*ore_invest)) + IF(#REF!=AT$2,IF(#REF!=$Y$2,#REF!*ore_invest)) + IF(#REF!=AT$2,IF(#REF!=$Y$2,#REF!*ore_invest))</f>
        <v>#REF!</v>
      </c>
      <c r="AU63" s="57" t="e">
        <f>IF(#REF!=AU$2,IF(#REF!=$Y$2,#REF!*gem_invest)) + IF(#REF!=AU$2,IF(#REF!=$Y$2,#REF!*gem_invest)) + IF(#REF!=AU$2,IF(#REF!=$Y$2,#REF!*gem_invest))</f>
        <v>#REF!</v>
      </c>
      <c r="AV63" s="134"/>
      <c r="AW63" s="57" t="e">
        <f>IF(#REF!=AW$2,IF(#REF!=$Z$2,#REF!*plat_invest)) + IF(#REF!=AW$2,IF(#REF!=$Z$2,#REF!*plat_invest)) + IF(#REF!=AW$2,IF(#REF!=$Z$2,#REF!*plat_invest))</f>
        <v>#REF!</v>
      </c>
      <c r="AX63" s="57" t="e">
        <f>IF(#REF!=AX$2,IF(#REF!=$Z$2,#REF!*lumber_invest)) + IF(#REF!=AX$2,IF(#REF!=$Z$2,#REF!*lumber_invest)) + IF(#REF!=AX$2,IF(#REF!=$Z$2,#REF!*lumber_invest))</f>
        <v>#REF!</v>
      </c>
      <c r="AY63" s="57" t="e">
        <f>IF(#REF!=AY$2,IF(#REF!=$Z$2,#REF!*ore_invest)) + IF(#REF!=AY$2,IF(#REF!=$Z$2,#REF!*ore_invest)) + IF(#REF!=AY$2,IF(#REF!=$Z$2,#REF!*ore_invest))</f>
        <v>#REF!</v>
      </c>
      <c r="AZ63" s="57" t="e">
        <f>IF(#REF!=AZ$2,IF(#REF!=$Z$2,#REF!*gem_invest)) + IF(#REF!=AZ$2,IF(#REF!=$Z$2,#REF!*gem_invest)) + IF(#REF!=AZ$2,IF(#REF!=$Z$2,#REF!*gem_invest))</f>
        <v>#REF!</v>
      </c>
      <c r="BA63" s="134"/>
      <c r="BB63" s="57" t="e">
        <f>IF(#REF!=BB$2,IF(#REF!=$AA$2,#REF!*plat_invest)) + IF(#REF!=BB$2,IF(#REF!=$AA$2,#REF!*plat_invest)) + IF(#REF!=BB$2,IF(#REF!=$AA$2,#REF!*plat_invest))</f>
        <v>#REF!</v>
      </c>
      <c r="BC63" s="57" t="e">
        <f>IF(#REF!=BC$2,IF(#REF!=$AA$2,#REF!*lumber_invest)) + IF(#REF!=BC$2,IF(#REF!=$AA$2,#REF!*lumber_invest)) + IF(#REF!=BC$2,IF(#REF!=$AA$2,#REF!*lumber_invest))</f>
        <v>#REF!</v>
      </c>
      <c r="BD63" s="57" t="e">
        <f>IF(#REF!=BD$2,IF(#REF!=$AA$2,#REF!*ore_invest)) + IF(#REF!=BD$2,IF(#REF!=$AA$2,#REF!*ore_invest)) + IF(#REF!=BD$2,IF(#REF!=$AA$2,#REF!*ore_invest))</f>
        <v>#REF!</v>
      </c>
      <c r="BE63" s="57" t="e">
        <f>IF(#REF!=BE$2,IF(#REF!=$AA$2,#REF!*gem_invest)) + IF(#REF!=BE$2,IF(#REF!=$AA$2,#REF!*gem_invest)) + IF(#REF!=BE$2,IF(#REF!=$AA$2,#REF!*gem_invest))</f>
        <v>#REF!</v>
      </c>
      <c r="BF63" s="134"/>
      <c r="BG63" s="57" t="e">
        <f>IF(#REF!=BG$2,IF(#REF!=$AB$2,#REF!*plat_invest)) + IF(#REF!=BG$2,IF(#REF!=$AB$2,#REF!*plat_invest)) + IF(#REF!=BG$2,IF(#REF!=$AB$2,#REF!*plat_invest))</f>
        <v>#REF!</v>
      </c>
      <c r="BH63" s="57" t="e">
        <f>IF(#REF!=BH$2,IF(#REF!=$AB$2,#REF!*lumber_invest)) + IF(#REF!=BH$2,IF(#REF!=$AB$2,#REF!*lumber_invest)) + IF(#REF!=BH$2,IF(#REF!=$AB$2,#REF!*lumber_invest))</f>
        <v>#REF!</v>
      </c>
      <c r="BI63" s="57" t="e">
        <f>IF(#REF!=BI$2,IF(#REF!=$AB$2,#REF!*ore_invest)) + IF(#REF!=BI$2,IF(#REF!=$AB$2,#REF!*ore_invest)) + IF(#REF!=BI$2,IF(#REF!=$AB$2,#REF!*ore_invest))</f>
        <v>#REF!</v>
      </c>
      <c r="BJ63" s="57" t="e">
        <f>IF(#REF!=BJ$2,IF(#REF!=$AB$2,#REF!*gem_invest)) + IF(#REF!=BJ$2,IF(#REF!=$AB$2,#REF!*gem_invest)) + IF(#REF!=BJ$2,IF(#REF!=$AB$2,#REF!*gem_invest))</f>
        <v>#REF!</v>
      </c>
      <c r="BK63" s="134"/>
      <c r="BL63" s="57" t="e">
        <f>IF(#REF!=BL$2,IF(#REF!=$AC$2,#REF!*plat_invest)) + IF(#REF!=BL$2,IF(#REF!=$AC$2,#REF!*plat_invest)) + IF(#REF!=BL$2,IF(#REF!=$AC$2,#REF!*plat_invest))</f>
        <v>#REF!</v>
      </c>
      <c r="BM63" s="57" t="e">
        <f>IF(#REF!=BM$2,IF(#REF!=$AC$2,#REF!*lumber_invest)) + IF(#REF!=BM$2,IF(#REF!=$AC$2,#REF!*lumber_invest)) + IF(#REF!=BM$2,IF(#REF!=$AC$2,#REF!*lumber_invest))</f>
        <v>#REF!</v>
      </c>
      <c r="BN63" s="57" t="e">
        <f>IF(#REF!=BN$2,IF(#REF!=$AC$2,#REF!*ore_invest)) + IF(#REF!=BN$2,IF(#REF!=$AC$2,#REF!*ore_invest)) + IF(#REF!=BN$2,IF(#REF!=$AC$2,#REF!*ore_invest))</f>
        <v>#REF!</v>
      </c>
      <c r="BO63" s="57" t="e">
        <f>IF(#REF!=BO$2,IF(#REF!=$AC$2,#REF!*gem_invest)) + IF(#REF!=BO$2,IF(#REF!=$AC$2,#REF!*gem_invest)) + IF(#REF!=BO$2,IF(#REF!=$AC$2,#REF!*gem_invest))</f>
        <v>#REF!</v>
      </c>
      <c r="BP63" s="134"/>
      <c r="BQ63" s="57" t="e">
        <f>IF(#REF!=BQ$2,IF(#REF!=$AD$2,#REF!*plat_invest)) + IF(#REF!=BQ$2,IF(#REF!=$AD$2,#REF!*plat_invest)) + IF(#REF!=BQ$2,IF(#REF!=$AD$2,#REF!*plat_invest))</f>
        <v>#REF!</v>
      </c>
      <c r="BR63" s="57" t="e">
        <f>IF(#REF!=BR$2,IF(#REF!=$AD$2,#REF!*lumber_invest)) + IF(#REF!=BR$2,IF(#REF!=$AD$2,#REF!*lumber_invest)) + IF(#REF!=BR$2,IF(#REF!=$AD$2,#REF!*lumber_invest))</f>
        <v>#REF!</v>
      </c>
      <c r="BS63" s="57" t="e">
        <f>IF(#REF!=BS$2,IF(#REF!=$AD$2,#REF!*ore_invest)) + IF(#REF!=BS$2,IF(#REF!=$AD$2,#REF!*ore_invest)) + IF(#REF!=BS$2,IF(#REF!=$AD$2,#REF!*ore_invest))</f>
        <v>#REF!</v>
      </c>
      <c r="BT63" s="57" t="e">
        <f>IF(#REF!=BT$2,IF(#REF!=$AD$2,#REF!*gem_invest)) + IF(#REF!=BT$2,IF(#REF!=$AD$2,#REF!*gem_invest)) + IF(#REF!=BT$2,IF(#REF!=$AD$2,#REF!*gem_invest))</f>
        <v>#REF!</v>
      </c>
      <c r="BU63" s="134"/>
      <c r="BV63" s="3" t="e">
        <f>OR(#REF!,#REF!,#REF!,#REF!,#REF!,#REF!,#REF!,#REF!,#REF!)</f>
        <v>#REF!</v>
      </c>
      <c r="BW63" s="61" t="e">
        <f>#REF!</f>
        <v>#REF!</v>
      </c>
      <c r="BX63" s="130"/>
      <c r="BY63" s="284" t="e">
        <f ca="1">OFFSET(#REF!,-1,0)+1/24</f>
        <v>#REF!</v>
      </c>
      <c r="BZ63" s="285" t="e">
        <f ca="1">OFFSET(#REF!,-1,0)+1/24</f>
        <v>#REF!</v>
      </c>
      <c r="CA63" s="57"/>
      <c r="CB63" s="283"/>
      <c r="CC63" s="283"/>
    </row>
    <row r="64" spans="1:81" x14ac:dyDescent="0.25">
      <c r="A64" s="206" t="e">
        <f>#REF!</f>
        <v>#REF!</v>
      </c>
      <c r="B64" s="134"/>
      <c r="C64" s="39" t="e">
        <f>#REF!</f>
        <v>#REF!</v>
      </c>
      <c r="D64" s="39" t="e">
        <f>#REF!</f>
        <v>#REF!</v>
      </c>
      <c r="E64" s="39" t="e">
        <f>#REF!</f>
        <v>#REF!</v>
      </c>
      <c r="F64" s="39" t="e">
        <f>#REF!</f>
        <v>#REF!</v>
      </c>
      <c r="G64" s="133"/>
      <c r="H64" s="39" t="e">
        <f>#REF!</f>
        <v>#REF!</v>
      </c>
      <c r="I64" s="132" t="e">
        <f>#REF!</f>
        <v>#REF!</v>
      </c>
      <c r="J64" s="132" t="e">
        <f>#REF!/#REF!</f>
        <v>#REF!</v>
      </c>
      <c r="K64" s="160" t="e">
        <f>#REF!</f>
        <v>#REF!</v>
      </c>
      <c r="L64" s="276" t="e">
        <f>#REF!</f>
        <v>#REF!</v>
      </c>
      <c r="M64" s="61">
        <f>IF(ISERROR(#REF!),0,#REF!*1)</f>
        <v>0</v>
      </c>
      <c r="N64" s="39" t="e">
        <f>#REF!</f>
        <v>#REF!</v>
      </c>
      <c r="O64" s="277" t="s">
        <v>4</v>
      </c>
      <c r="P64" s="278"/>
      <c r="Q64" s="277" t="s">
        <v>211</v>
      </c>
      <c r="R64" s="277" t="s">
        <v>7</v>
      </c>
      <c r="S64" s="278"/>
      <c r="T64" s="277" t="s">
        <v>211</v>
      </c>
      <c r="U64" s="277" t="s">
        <v>3</v>
      </c>
      <c r="V64" s="278"/>
      <c r="W64" s="277" t="s">
        <v>211</v>
      </c>
      <c r="X64" s="134"/>
      <c r="Y64" s="209" t="e">
        <f ca="1">science_cap*(1-EXP(-#REF!/(science_param*(OFFSET(#REF!,1,0)-OFFSET(#REF!,1,0)*20)+15000)))*(1+(mason_bonus*#REF!/#REF!))</f>
        <v>#REF!</v>
      </c>
      <c r="Z64" s="209" t="e">
        <f ca="1">keep_cap*(1-EXP(-#REF!/(keep_param*(OFFSET(#REF!,1,0)-OFFSET(#REF!,1,0)*20)+15000)))*(1+(mason_bonus*#REF!/#REF!))</f>
        <v>#REF!</v>
      </c>
      <c r="AA64" s="209" t="e">
        <f ca="1">harbor_towers_cap*(1-EXP(-#REF!/(towers_param*(OFFSET(#REF!,1,0)-OFFSET(#REF!,1,0)*20)+15000)))*(1+(mason_bonus*#REF!/#REF!))</f>
        <v>#REF!</v>
      </c>
      <c r="AB64" s="209" t="e">
        <f ca="1">walls_forges_cap*(1-EXP(-#REF!/(walls_forges_param*(OFFSET(#REF!,1,0)-OFFSET(#REF!,1,0)*20)+15000)))*(1+(mason_bonus*#REF!/#REF!))</f>
        <v>#REF!</v>
      </c>
      <c r="AC64" s="209" t="e">
        <f ca="1">walls_forges_cap*(1-EXP(-#REF!/(walls_forges_param*(OFFSET(#REF!,1,0)-OFFSET(#REF!,1,0)*20)+15000)))*(1+(mason_bonus*#REF!/#REF!))</f>
        <v>#REF!</v>
      </c>
      <c r="AD64" s="209" t="e">
        <f ca="1">harbor_towers_cap*(1-EXP(-#REF!/(harbor_towers_param*(OFFSET(#REF!,1,0)-OFFSET(#REF!,1,0)*20)+15000)))*(1+(mason_bonus*#REF!/#REF!))</f>
        <v>#REF!</v>
      </c>
      <c r="AE64" s="134"/>
      <c r="AF64" s="61" t="e">
        <f ca="1">(1+Overview!$I$28)*SUM(#REF!)+OFFSET(#REF!,-1,0)</f>
        <v>#REF!</v>
      </c>
      <c r="AG64" s="61" t="e">
        <f ca="1">(1+Overview!$I$28)*SUM(#REF!)+OFFSET(#REF!,-1,0)</f>
        <v>#REF!</v>
      </c>
      <c r="AH64" s="61" t="e">
        <f ca="1">(1+Overview!$I$28 + tech_7_1*#REF!)*SUM(#REF!)+OFFSET(#REF!,-1,0)</f>
        <v>#REF!</v>
      </c>
      <c r="AI64" s="61" t="e">
        <f ca="1">(1+Overview!$I$28)*SUM(#REF!)+OFFSET(#REF!,-1,0)</f>
        <v>#REF!</v>
      </c>
      <c r="AJ64" s="61" t="e">
        <f ca="1">(1+Overview!$I$28)*SUM(#REF!)+OFFSET(#REF!,-1,0)</f>
        <v>#REF!</v>
      </c>
      <c r="AK64" s="61" t="e">
        <f ca="1">(1+Overview!$I$28 + tech_7_1*#REF!)*SUM(#REF!)+OFFSET(#REF!,-1,0)</f>
        <v>#REF!</v>
      </c>
      <c r="AL64" s="134"/>
      <c r="AM64" s="57" t="e">
        <f>IF(AND(#REF!=AM$2,#REF!&lt;&gt;""),#REF!) + IF(AND(#REF!=AM$2,#REF!&lt;&gt;""),#REF!) + IF(AND(#REF!=AM$2,#REF!&lt;&gt;""),#REF!)</f>
        <v>#REF!</v>
      </c>
      <c r="AN64" s="57" t="e">
        <f>IF(AND(#REF!=AN$2,#REF!&lt;&gt;""),#REF!) + IF(AND(#REF!=AN$2,#REF!&lt;&gt;""),#REF!) + IF(AND(#REF!=AN$2,#REF!&lt;&gt;""),#REF!)</f>
        <v>#REF!</v>
      </c>
      <c r="AO64" s="57" t="e">
        <f>IF(AND(#REF!=AO$2,#REF!&lt;&gt;""),#REF!) + IF(AND(#REF!=AO$2,#REF!&lt;&gt;""),#REF!) + IF(AND(#REF!=AO$2,#REF!&lt;&gt;""),#REF!)</f>
        <v>#REF!</v>
      </c>
      <c r="AP64" s="57" t="e">
        <f>IF(AND(#REF!=AP$2,#REF!&lt;&gt;""),#REF!) + IF(AND(#REF!=AP$2,#REF!&lt;&gt;""),#REF!) + IF(AND(#REF!=AP$2,#REF!&lt;&gt;""),#REF!)</f>
        <v>#REF!</v>
      </c>
      <c r="AQ64" s="134"/>
      <c r="AR64" s="57" t="e">
        <f>IF(#REF!=AR$2,IF(#REF!=$Y$2,#REF!*plat_invest)) + IF(#REF!=AR$2,IF(#REF!=$Y$2,#REF!*plat_invest)) + IF(#REF!=AR$2,IF(#REF!=$Y$2,#REF!*plat_invest))</f>
        <v>#REF!</v>
      </c>
      <c r="AS64" s="57" t="e">
        <f>IF(#REF!=AS$2,IF(#REF!=$Y$2,#REF!*lumber_invest)) + IF(#REF!=AS$2,IF(#REF!=$Y$2,#REF!*lumber_invest)) + IF(#REF!=AS$2,IF(#REF!=$Y$2,#REF!*lumber_invest))</f>
        <v>#REF!</v>
      </c>
      <c r="AT64" s="57" t="e">
        <f>IF(#REF!=AT$2,IF(#REF!=$Y$2,#REF!*ore_invest)) + IF(#REF!=AT$2,IF(#REF!=$Y$2,#REF!*ore_invest)) + IF(#REF!=AT$2,IF(#REF!=$Y$2,#REF!*ore_invest))</f>
        <v>#REF!</v>
      </c>
      <c r="AU64" s="57" t="e">
        <f>IF(#REF!=AU$2,IF(#REF!=$Y$2,#REF!*gem_invest)) + IF(#REF!=AU$2,IF(#REF!=$Y$2,#REF!*gem_invest)) + IF(#REF!=AU$2,IF(#REF!=$Y$2,#REF!*gem_invest))</f>
        <v>#REF!</v>
      </c>
      <c r="AV64" s="134"/>
      <c r="AW64" s="57" t="e">
        <f>IF(#REF!=AW$2,IF(#REF!=$Z$2,#REF!*plat_invest)) + IF(#REF!=AW$2,IF(#REF!=$Z$2,#REF!*plat_invest)) + IF(#REF!=AW$2,IF(#REF!=$Z$2,#REF!*plat_invest))</f>
        <v>#REF!</v>
      </c>
      <c r="AX64" s="57" t="e">
        <f>IF(#REF!=AX$2,IF(#REF!=$Z$2,#REF!*lumber_invest)) + IF(#REF!=AX$2,IF(#REF!=$Z$2,#REF!*lumber_invest)) + IF(#REF!=AX$2,IF(#REF!=$Z$2,#REF!*lumber_invest))</f>
        <v>#REF!</v>
      </c>
      <c r="AY64" s="57" t="e">
        <f>IF(#REF!=AY$2,IF(#REF!=$Z$2,#REF!*ore_invest)) + IF(#REF!=AY$2,IF(#REF!=$Z$2,#REF!*ore_invest)) + IF(#REF!=AY$2,IF(#REF!=$Z$2,#REF!*ore_invest))</f>
        <v>#REF!</v>
      </c>
      <c r="AZ64" s="57" t="e">
        <f>IF(#REF!=AZ$2,IF(#REF!=$Z$2,#REF!*gem_invest)) + IF(#REF!=AZ$2,IF(#REF!=$Z$2,#REF!*gem_invest)) + IF(#REF!=AZ$2,IF(#REF!=$Z$2,#REF!*gem_invest))</f>
        <v>#REF!</v>
      </c>
      <c r="BA64" s="134"/>
      <c r="BB64" s="57" t="e">
        <f>IF(#REF!=BB$2,IF(#REF!=$AA$2,#REF!*plat_invest)) + IF(#REF!=BB$2,IF(#REF!=$AA$2,#REF!*plat_invest)) + IF(#REF!=BB$2,IF(#REF!=$AA$2,#REF!*plat_invest))</f>
        <v>#REF!</v>
      </c>
      <c r="BC64" s="57" t="e">
        <f>IF(#REF!=BC$2,IF(#REF!=$AA$2,#REF!*lumber_invest)) + IF(#REF!=BC$2,IF(#REF!=$AA$2,#REF!*lumber_invest)) + IF(#REF!=BC$2,IF(#REF!=$AA$2,#REF!*lumber_invest))</f>
        <v>#REF!</v>
      </c>
      <c r="BD64" s="57" t="e">
        <f>IF(#REF!=BD$2,IF(#REF!=$AA$2,#REF!*ore_invest)) + IF(#REF!=BD$2,IF(#REF!=$AA$2,#REF!*ore_invest)) + IF(#REF!=BD$2,IF(#REF!=$AA$2,#REF!*ore_invest))</f>
        <v>#REF!</v>
      </c>
      <c r="BE64" s="57" t="e">
        <f>IF(#REF!=BE$2,IF(#REF!=$AA$2,#REF!*gem_invest)) + IF(#REF!=BE$2,IF(#REF!=$AA$2,#REF!*gem_invest)) + IF(#REF!=BE$2,IF(#REF!=$AA$2,#REF!*gem_invest))</f>
        <v>#REF!</v>
      </c>
      <c r="BF64" s="134"/>
      <c r="BG64" s="57" t="e">
        <f>IF(#REF!=BG$2,IF(#REF!=$AB$2,#REF!*plat_invest)) + IF(#REF!=BG$2,IF(#REF!=$AB$2,#REF!*plat_invest)) + IF(#REF!=BG$2,IF(#REF!=$AB$2,#REF!*plat_invest))</f>
        <v>#REF!</v>
      </c>
      <c r="BH64" s="57" t="e">
        <f>IF(#REF!=BH$2,IF(#REF!=$AB$2,#REF!*lumber_invest)) + IF(#REF!=BH$2,IF(#REF!=$AB$2,#REF!*lumber_invest)) + IF(#REF!=BH$2,IF(#REF!=$AB$2,#REF!*lumber_invest))</f>
        <v>#REF!</v>
      </c>
      <c r="BI64" s="57" t="e">
        <f>IF(#REF!=BI$2,IF(#REF!=$AB$2,#REF!*ore_invest)) + IF(#REF!=BI$2,IF(#REF!=$AB$2,#REF!*ore_invest)) + IF(#REF!=BI$2,IF(#REF!=$AB$2,#REF!*ore_invest))</f>
        <v>#REF!</v>
      </c>
      <c r="BJ64" s="57" t="e">
        <f>IF(#REF!=BJ$2,IF(#REF!=$AB$2,#REF!*gem_invest)) + IF(#REF!=BJ$2,IF(#REF!=$AB$2,#REF!*gem_invest)) + IF(#REF!=BJ$2,IF(#REF!=$AB$2,#REF!*gem_invest))</f>
        <v>#REF!</v>
      </c>
      <c r="BK64" s="134"/>
      <c r="BL64" s="57" t="e">
        <f>IF(#REF!=BL$2,IF(#REF!=$AC$2,#REF!*plat_invest)) + IF(#REF!=BL$2,IF(#REF!=$AC$2,#REF!*plat_invest)) + IF(#REF!=BL$2,IF(#REF!=$AC$2,#REF!*plat_invest))</f>
        <v>#REF!</v>
      </c>
      <c r="BM64" s="57" t="e">
        <f>IF(#REF!=BM$2,IF(#REF!=$AC$2,#REF!*lumber_invest)) + IF(#REF!=BM$2,IF(#REF!=$AC$2,#REF!*lumber_invest)) + IF(#REF!=BM$2,IF(#REF!=$AC$2,#REF!*lumber_invest))</f>
        <v>#REF!</v>
      </c>
      <c r="BN64" s="57" t="e">
        <f>IF(#REF!=BN$2,IF(#REF!=$AC$2,#REF!*ore_invest)) + IF(#REF!=BN$2,IF(#REF!=$AC$2,#REF!*ore_invest)) + IF(#REF!=BN$2,IF(#REF!=$AC$2,#REF!*ore_invest))</f>
        <v>#REF!</v>
      </c>
      <c r="BO64" s="57" t="e">
        <f>IF(#REF!=BO$2,IF(#REF!=$AC$2,#REF!*gem_invest)) + IF(#REF!=BO$2,IF(#REF!=$AC$2,#REF!*gem_invest)) + IF(#REF!=BO$2,IF(#REF!=$AC$2,#REF!*gem_invest))</f>
        <v>#REF!</v>
      </c>
      <c r="BP64" s="134"/>
      <c r="BQ64" s="57" t="e">
        <f>IF(#REF!=BQ$2,IF(#REF!=$AD$2,#REF!*plat_invest)) + IF(#REF!=BQ$2,IF(#REF!=$AD$2,#REF!*plat_invest)) + IF(#REF!=BQ$2,IF(#REF!=$AD$2,#REF!*plat_invest))</f>
        <v>#REF!</v>
      </c>
      <c r="BR64" s="57" t="e">
        <f>IF(#REF!=BR$2,IF(#REF!=$AD$2,#REF!*lumber_invest)) + IF(#REF!=BR$2,IF(#REF!=$AD$2,#REF!*lumber_invest)) + IF(#REF!=BR$2,IF(#REF!=$AD$2,#REF!*lumber_invest))</f>
        <v>#REF!</v>
      </c>
      <c r="BS64" s="57" t="e">
        <f>IF(#REF!=BS$2,IF(#REF!=$AD$2,#REF!*ore_invest)) + IF(#REF!=BS$2,IF(#REF!=$AD$2,#REF!*ore_invest)) + IF(#REF!=BS$2,IF(#REF!=$AD$2,#REF!*ore_invest))</f>
        <v>#REF!</v>
      </c>
      <c r="BT64" s="57" t="e">
        <f>IF(#REF!=BT$2,IF(#REF!=$AD$2,#REF!*gem_invest)) + IF(#REF!=BT$2,IF(#REF!=$AD$2,#REF!*gem_invest)) + IF(#REF!=BT$2,IF(#REF!=$AD$2,#REF!*gem_invest))</f>
        <v>#REF!</v>
      </c>
      <c r="BU64" s="134"/>
      <c r="BV64" s="3" t="e">
        <f>OR(#REF!,#REF!,#REF!,#REF!,#REF!,#REF!,#REF!,#REF!,#REF!)</f>
        <v>#REF!</v>
      </c>
      <c r="BW64" s="61" t="e">
        <f>#REF!</f>
        <v>#REF!</v>
      </c>
      <c r="BX64" s="130"/>
      <c r="BY64" s="284" t="e">
        <f ca="1">OFFSET(#REF!,-1,0)+1/24</f>
        <v>#REF!</v>
      </c>
      <c r="BZ64" s="285" t="e">
        <f ca="1">OFFSET(#REF!,-1,0)+1/24</f>
        <v>#REF!</v>
      </c>
      <c r="CA64" s="57"/>
      <c r="CB64" s="283"/>
      <c r="CC64" s="283"/>
    </row>
    <row r="65" spans="1:84" x14ac:dyDescent="0.25">
      <c r="A65" s="206" t="e">
        <f>#REF!</f>
        <v>#REF!</v>
      </c>
      <c r="B65" s="134"/>
      <c r="C65" s="39" t="e">
        <f>#REF!</f>
        <v>#REF!</v>
      </c>
      <c r="D65" s="39" t="e">
        <f>#REF!</f>
        <v>#REF!</v>
      </c>
      <c r="E65" s="39" t="e">
        <f>#REF!</f>
        <v>#REF!</v>
      </c>
      <c r="F65" s="39" t="e">
        <f>#REF!</f>
        <v>#REF!</v>
      </c>
      <c r="G65" s="133"/>
      <c r="H65" s="39" t="e">
        <f>#REF!</f>
        <v>#REF!</v>
      </c>
      <c r="I65" s="132" t="e">
        <f>#REF!</f>
        <v>#REF!</v>
      </c>
      <c r="J65" s="132" t="e">
        <f>#REF!/#REF!</f>
        <v>#REF!</v>
      </c>
      <c r="K65" s="160" t="e">
        <f>#REF!</f>
        <v>#REF!</v>
      </c>
      <c r="L65" s="276" t="e">
        <f>#REF!</f>
        <v>#REF!</v>
      </c>
      <c r="M65" s="61">
        <f>IF(ISERROR(#REF!),0,#REF!*1)</f>
        <v>0</v>
      </c>
      <c r="N65" s="39" t="e">
        <f>#REF!</f>
        <v>#REF!</v>
      </c>
      <c r="O65" s="277" t="s">
        <v>4</v>
      </c>
      <c r="P65" s="278"/>
      <c r="Q65" s="277" t="s">
        <v>211</v>
      </c>
      <c r="R65" s="277" t="s">
        <v>7</v>
      </c>
      <c r="S65" s="278"/>
      <c r="T65" s="277" t="s">
        <v>211</v>
      </c>
      <c r="U65" s="277" t="s">
        <v>3</v>
      </c>
      <c r="V65" s="278"/>
      <c r="W65" s="277" t="s">
        <v>211</v>
      </c>
      <c r="X65" s="134"/>
      <c r="Y65" s="209" t="e">
        <f ca="1">science_cap*(1-EXP(-#REF!/(science_param*(OFFSET(#REF!,1,0)-OFFSET(#REF!,1,0)*20)+15000)))*(1+(mason_bonus*#REF!/#REF!))</f>
        <v>#REF!</v>
      </c>
      <c r="Z65" s="209" t="e">
        <f ca="1">keep_cap*(1-EXP(-#REF!/(keep_param*(OFFSET(#REF!,1,0)-OFFSET(#REF!,1,0)*20)+15000)))*(1+(mason_bonus*#REF!/#REF!))</f>
        <v>#REF!</v>
      </c>
      <c r="AA65" s="209" t="e">
        <f ca="1">harbor_towers_cap*(1-EXP(-#REF!/(towers_param*(OFFSET(#REF!,1,0)-OFFSET(#REF!,1,0)*20)+15000)))*(1+(mason_bonus*#REF!/#REF!))</f>
        <v>#REF!</v>
      </c>
      <c r="AB65" s="209" t="e">
        <f ca="1">walls_forges_cap*(1-EXP(-#REF!/(walls_forges_param*(OFFSET(#REF!,1,0)-OFFSET(#REF!,1,0)*20)+15000)))*(1+(mason_bonus*#REF!/#REF!))</f>
        <v>#REF!</v>
      </c>
      <c r="AC65" s="209" t="e">
        <f ca="1">walls_forges_cap*(1-EXP(-#REF!/(walls_forges_param*(OFFSET(#REF!,1,0)-OFFSET(#REF!,1,0)*20)+15000)))*(1+(mason_bonus*#REF!/#REF!))</f>
        <v>#REF!</v>
      </c>
      <c r="AD65" s="209" t="e">
        <f ca="1">harbor_towers_cap*(1-EXP(-#REF!/(harbor_towers_param*(OFFSET(#REF!,1,0)-OFFSET(#REF!,1,0)*20)+15000)))*(1+(mason_bonus*#REF!/#REF!))</f>
        <v>#REF!</v>
      </c>
      <c r="AE65" s="134"/>
      <c r="AF65" s="61" t="e">
        <f ca="1">(1+Overview!$I$28)*SUM(#REF!)+OFFSET(#REF!,-1,0)</f>
        <v>#REF!</v>
      </c>
      <c r="AG65" s="61" t="e">
        <f ca="1">(1+Overview!$I$28)*SUM(#REF!)+OFFSET(#REF!,-1,0)</f>
        <v>#REF!</v>
      </c>
      <c r="AH65" s="61" t="e">
        <f ca="1">(1+Overview!$I$28 + tech_7_1*#REF!)*SUM(#REF!)+OFFSET(#REF!,-1,0)</f>
        <v>#REF!</v>
      </c>
      <c r="AI65" s="61" t="e">
        <f ca="1">(1+Overview!$I$28)*SUM(#REF!)+OFFSET(#REF!,-1,0)</f>
        <v>#REF!</v>
      </c>
      <c r="AJ65" s="61" t="e">
        <f ca="1">(1+Overview!$I$28)*SUM(#REF!)+OFFSET(#REF!,-1,0)</f>
        <v>#REF!</v>
      </c>
      <c r="AK65" s="61" t="e">
        <f ca="1">(1+Overview!$I$28 + tech_7_1*#REF!)*SUM(#REF!)+OFFSET(#REF!,-1,0)</f>
        <v>#REF!</v>
      </c>
      <c r="AL65" s="134"/>
      <c r="AM65" s="57" t="e">
        <f>IF(AND(#REF!=AM$2,#REF!&lt;&gt;""),#REF!) + IF(AND(#REF!=AM$2,#REF!&lt;&gt;""),#REF!) + IF(AND(#REF!=AM$2,#REF!&lt;&gt;""),#REF!)</f>
        <v>#REF!</v>
      </c>
      <c r="AN65" s="57" t="e">
        <f>IF(AND(#REF!=AN$2,#REF!&lt;&gt;""),#REF!) + IF(AND(#REF!=AN$2,#REF!&lt;&gt;""),#REF!) + IF(AND(#REF!=AN$2,#REF!&lt;&gt;""),#REF!)</f>
        <v>#REF!</v>
      </c>
      <c r="AO65" s="57" t="e">
        <f>IF(AND(#REF!=AO$2,#REF!&lt;&gt;""),#REF!) + IF(AND(#REF!=AO$2,#REF!&lt;&gt;""),#REF!) + IF(AND(#REF!=AO$2,#REF!&lt;&gt;""),#REF!)</f>
        <v>#REF!</v>
      </c>
      <c r="AP65" s="57" t="e">
        <f>IF(AND(#REF!=AP$2,#REF!&lt;&gt;""),#REF!) + IF(AND(#REF!=AP$2,#REF!&lt;&gt;""),#REF!) + IF(AND(#REF!=AP$2,#REF!&lt;&gt;""),#REF!)</f>
        <v>#REF!</v>
      </c>
      <c r="AQ65" s="134"/>
      <c r="AR65" s="57" t="e">
        <f>IF(#REF!=AR$2,IF(#REF!=$Y$2,#REF!*plat_invest)) + IF(#REF!=AR$2,IF(#REF!=$Y$2,#REF!*plat_invest)) + IF(#REF!=AR$2,IF(#REF!=$Y$2,#REF!*plat_invest))</f>
        <v>#REF!</v>
      </c>
      <c r="AS65" s="57" t="e">
        <f>IF(#REF!=AS$2,IF(#REF!=$Y$2,#REF!*lumber_invest)) + IF(#REF!=AS$2,IF(#REF!=$Y$2,#REF!*lumber_invest)) + IF(#REF!=AS$2,IF(#REF!=$Y$2,#REF!*lumber_invest))</f>
        <v>#REF!</v>
      </c>
      <c r="AT65" s="57" t="e">
        <f>IF(#REF!=AT$2,IF(#REF!=$Y$2,#REF!*ore_invest)) + IF(#REF!=AT$2,IF(#REF!=$Y$2,#REF!*ore_invest)) + IF(#REF!=AT$2,IF(#REF!=$Y$2,#REF!*ore_invest))</f>
        <v>#REF!</v>
      </c>
      <c r="AU65" s="57" t="e">
        <f>IF(#REF!=AU$2,IF(#REF!=$Y$2,#REF!*gem_invest)) + IF(#REF!=AU$2,IF(#REF!=$Y$2,#REF!*gem_invest)) + IF(#REF!=AU$2,IF(#REF!=$Y$2,#REF!*gem_invest))</f>
        <v>#REF!</v>
      </c>
      <c r="AV65" s="134"/>
      <c r="AW65" s="57" t="e">
        <f>IF(#REF!=AW$2,IF(#REF!=$Z$2,#REF!*plat_invest)) + IF(#REF!=AW$2,IF(#REF!=$Z$2,#REF!*plat_invest)) + IF(#REF!=AW$2,IF(#REF!=$Z$2,#REF!*plat_invest))</f>
        <v>#REF!</v>
      </c>
      <c r="AX65" s="57" t="e">
        <f>IF(#REF!=AX$2,IF(#REF!=$Z$2,#REF!*lumber_invest)) + IF(#REF!=AX$2,IF(#REF!=$Z$2,#REF!*lumber_invest)) + IF(#REF!=AX$2,IF(#REF!=$Z$2,#REF!*lumber_invest))</f>
        <v>#REF!</v>
      </c>
      <c r="AY65" s="57" t="e">
        <f>IF(#REF!=AY$2,IF(#REF!=$Z$2,#REF!*ore_invest)) + IF(#REF!=AY$2,IF(#REF!=$Z$2,#REF!*ore_invest)) + IF(#REF!=AY$2,IF(#REF!=$Z$2,#REF!*ore_invest))</f>
        <v>#REF!</v>
      </c>
      <c r="AZ65" s="57" t="e">
        <f>IF(#REF!=AZ$2,IF(#REF!=$Z$2,#REF!*gem_invest)) + IF(#REF!=AZ$2,IF(#REF!=$Z$2,#REF!*gem_invest)) + IF(#REF!=AZ$2,IF(#REF!=$Z$2,#REF!*gem_invest))</f>
        <v>#REF!</v>
      </c>
      <c r="BA65" s="134"/>
      <c r="BB65" s="57" t="e">
        <f>IF(#REF!=BB$2,IF(#REF!=$AA$2,#REF!*plat_invest)) + IF(#REF!=BB$2,IF(#REF!=$AA$2,#REF!*plat_invest)) + IF(#REF!=BB$2,IF(#REF!=$AA$2,#REF!*plat_invest))</f>
        <v>#REF!</v>
      </c>
      <c r="BC65" s="57" t="e">
        <f>IF(#REF!=BC$2,IF(#REF!=$AA$2,#REF!*lumber_invest)) + IF(#REF!=BC$2,IF(#REF!=$AA$2,#REF!*lumber_invest)) + IF(#REF!=BC$2,IF(#REF!=$AA$2,#REF!*lumber_invest))</f>
        <v>#REF!</v>
      </c>
      <c r="BD65" s="57" t="e">
        <f>IF(#REF!=BD$2,IF(#REF!=$AA$2,#REF!*ore_invest)) + IF(#REF!=BD$2,IF(#REF!=$AA$2,#REF!*ore_invest)) + IF(#REF!=BD$2,IF(#REF!=$AA$2,#REF!*ore_invest))</f>
        <v>#REF!</v>
      </c>
      <c r="BE65" s="57" t="e">
        <f>IF(#REF!=BE$2,IF(#REF!=$AA$2,#REF!*gem_invest)) + IF(#REF!=BE$2,IF(#REF!=$AA$2,#REF!*gem_invest)) + IF(#REF!=BE$2,IF(#REF!=$AA$2,#REF!*gem_invest))</f>
        <v>#REF!</v>
      </c>
      <c r="BF65" s="134"/>
      <c r="BG65" s="57" t="e">
        <f>IF(#REF!=BG$2,IF(#REF!=$AB$2,#REF!*plat_invest)) + IF(#REF!=BG$2,IF(#REF!=$AB$2,#REF!*plat_invest)) + IF(#REF!=BG$2,IF(#REF!=$AB$2,#REF!*plat_invest))</f>
        <v>#REF!</v>
      </c>
      <c r="BH65" s="57" t="e">
        <f>IF(#REF!=BH$2,IF(#REF!=$AB$2,#REF!*lumber_invest)) + IF(#REF!=BH$2,IF(#REF!=$AB$2,#REF!*lumber_invest)) + IF(#REF!=BH$2,IF(#REF!=$AB$2,#REF!*lumber_invest))</f>
        <v>#REF!</v>
      </c>
      <c r="BI65" s="57" t="e">
        <f>IF(#REF!=BI$2,IF(#REF!=$AB$2,#REF!*ore_invest)) + IF(#REF!=BI$2,IF(#REF!=$AB$2,#REF!*ore_invest)) + IF(#REF!=BI$2,IF(#REF!=$AB$2,#REF!*ore_invest))</f>
        <v>#REF!</v>
      </c>
      <c r="BJ65" s="57" t="e">
        <f>IF(#REF!=BJ$2,IF(#REF!=$AB$2,#REF!*gem_invest)) + IF(#REF!=BJ$2,IF(#REF!=$AB$2,#REF!*gem_invest)) + IF(#REF!=BJ$2,IF(#REF!=$AB$2,#REF!*gem_invest))</f>
        <v>#REF!</v>
      </c>
      <c r="BK65" s="134"/>
      <c r="BL65" s="57" t="e">
        <f>IF(#REF!=BL$2,IF(#REF!=$AC$2,#REF!*plat_invest)) + IF(#REF!=BL$2,IF(#REF!=$AC$2,#REF!*plat_invest)) + IF(#REF!=BL$2,IF(#REF!=$AC$2,#REF!*plat_invest))</f>
        <v>#REF!</v>
      </c>
      <c r="BM65" s="57" t="e">
        <f>IF(#REF!=BM$2,IF(#REF!=$AC$2,#REF!*lumber_invest)) + IF(#REF!=BM$2,IF(#REF!=$AC$2,#REF!*lumber_invest)) + IF(#REF!=BM$2,IF(#REF!=$AC$2,#REF!*lumber_invest))</f>
        <v>#REF!</v>
      </c>
      <c r="BN65" s="57" t="e">
        <f>IF(#REF!=BN$2,IF(#REF!=$AC$2,#REF!*ore_invest)) + IF(#REF!=BN$2,IF(#REF!=$AC$2,#REF!*ore_invest)) + IF(#REF!=BN$2,IF(#REF!=$AC$2,#REF!*ore_invest))</f>
        <v>#REF!</v>
      </c>
      <c r="BO65" s="57" t="e">
        <f>IF(#REF!=BO$2,IF(#REF!=$AC$2,#REF!*gem_invest)) + IF(#REF!=BO$2,IF(#REF!=$AC$2,#REF!*gem_invest)) + IF(#REF!=BO$2,IF(#REF!=$AC$2,#REF!*gem_invest))</f>
        <v>#REF!</v>
      </c>
      <c r="BP65" s="134"/>
      <c r="BQ65" s="57" t="e">
        <f>IF(#REF!=BQ$2,IF(#REF!=$AD$2,#REF!*plat_invest)) + IF(#REF!=BQ$2,IF(#REF!=$AD$2,#REF!*plat_invest)) + IF(#REF!=BQ$2,IF(#REF!=$AD$2,#REF!*plat_invest))</f>
        <v>#REF!</v>
      </c>
      <c r="BR65" s="57" t="e">
        <f>IF(#REF!=BR$2,IF(#REF!=$AD$2,#REF!*lumber_invest)) + IF(#REF!=BR$2,IF(#REF!=$AD$2,#REF!*lumber_invest)) + IF(#REF!=BR$2,IF(#REF!=$AD$2,#REF!*lumber_invest))</f>
        <v>#REF!</v>
      </c>
      <c r="BS65" s="57" t="e">
        <f>IF(#REF!=BS$2,IF(#REF!=$AD$2,#REF!*ore_invest)) + IF(#REF!=BS$2,IF(#REF!=$AD$2,#REF!*ore_invest)) + IF(#REF!=BS$2,IF(#REF!=$AD$2,#REF!*ore_invest))</f>
        <v>#REF!</v>
      </c>
      <c r="BT65" s="57" t="e">
        <f>IF(#REF!=BT$2,IF(#REF!=$AD$2,#REF!*gem_invest)) + IF(#REF!=BT$2,IF(#REF!=$AD$2,#REF!*gem_invest)) + IF(#REF!=BT$2,IF(#REF!=$AD$2,#REF!*gem_invest))</f>
        <v>#REF!</v>
      </c>
      <c r="BU65" s="134"/>
      <c r="BV65" s="3" t="e">
        <f>OR(#REF!,#REF!,#REF!,#REF!,#REF!,#REF!,#REF!,#REF!,#REF!)</f>
        <v>#REF!</v>
      </c>
      <c r="BW65" s="61" t="e">
        <f>#REF!</f>
        <v>#REF!</v>
      </c>
      <c r="BX65" s="130"/>
      <c r="BY65" s="284" t="e">
        <f ca="1">OFFSET(#REF!,-1,0)+1/24</f>
        <v>#REF!</v>
      </c>
      <c r="BZ65" s="285" t="e">
        <f ca="1">OFFSET(#REF!,-1,0)+1/24</f>
        <v>#REF!</v>
      </c>
      <c r="CA65" s="57"/>
      <c r="CB65" s="283"/>
      <c r="CC65" s="283"/>
    </row>
    <row r="66" spans="1:84" x14ac:dyDescent="0.25">
      <c r="A66" s="206" t="e">
        <f>#REF!</f>
        <v>#REF!</v>
      </c>
      <c r="B66" s="134"/>
      <c r="C66" s="39" t="e">
        <f>#REF!</f>
        <v>#REF!</v>
      </c>
      <c r="D66" s="39" t="e">
        <f>#REF!</f>
        <v>#REF!</v>
      </c>
      <c r="E66" s="39" t="e">
        <f>#REF!</f>
        <v>#REF!</v>
      </c>
      <c r="F66" s="39" t="e">
        <f>#REF!</f>
        <v>#REF!</v>
      </c>
      <c r="G66" s="133"/>
      <c r="H66" s="39" t="e">
        <f>#REF!</f>
        <v>#REF!</v>
      </c>
      <c r="I66" s="132" t="e">
        <f>#REF!</f>
        <v>#REF!</v>
      </c>
      <c r="J66" s="132" t="e">
        <f>#REF!/#REF!</f>
        <v>#REF!</v>
      </c>
      <c r="K66" s="160" t="e">
        <f>#REF!</f>
        <v>#REF!</v>
      </c>
      <c r="L66" s="276" t="e">
        <f>#REF!</f>
        <v>#REF!</v>
      </c>
      <c r="M66" s="61">
        <f>IF(ISERROR(#REF!),0,#REF!*1)</f>
        <v>0</v>
      </c>
      <c r="N66" s="39" t="e">
        <f>#REF!</f>
        <v>#REF!</v>
      </c>
      <c r="O66" s="277" t="s">
        <v>2</v>
      </c>
      <c r="P66" s="278"/>
      <c r="Q66" s="277" t="s">
        <v>211</v>
      </c>
      <c r="R66" s="277" t="s">
        <v>7</v>
      </c>
      <c r="S66" s="278"/>
      <c r="T66" s="277" t="s">
        <v>211</v>
      </c>
      <c r="U66" s="277" t="s">
        <v>3</v>
      </c>
      <c r="V66" s="278"/>
      <c r="W66" s="277" t="s">
        <v>211</v>
      </c>
      <c r="X66" s="134"/>
      <c r="Y66" s="209" t="e">
        <f ca="1">science_cap*(1-EXP(-#REF!/(science_param*(OFFSET(#REF!,1,0)-OFFSET(#REF!,1,0)*20)+15000)))*(1+(mason_bonus*#REF!/#REF!))</f>
        <v>#REF!</v>
      </c>
      <c r="Z66" s="209" t="e">
        <f ca="1">keep_cap*(1-EXP(-#REF!/(keep_param*(OFFSET(#REF!,1,0)-OFFSET(#REF!,1,0)*20)+15000)))*(1+(mason_bonus*#REF!/#REF!))</f>
        <v>#REF!</v>
      </c>
      <c r="AA66" s="209" t="e">
        <f ca="1">harbor_towers_cap*(1-EXP(-#REF!/(towers_param*(OFFSET(#REF!,1,0)-OFFSET(#REF!,1,0)*20)+15000)))*(1+(mason_bonus*#REF!/#REF!))</f>
        <v>#REF!</v>
      </c>
      <c r="AB66" s="209" t="e">
        <f ca="1">walls_forges_cap*(1-EXP(-#REF!/(walls_forges_param*(OFFSET(#REF!,1,0)-OFFSET(#REF!,1,0)*20)+15000)))*(1+(mason_bonus*#REF!/#REF!))</f>
        <v>#REF!</v>
      </c>
      <c r="AC66" s="209" t="e">
        <f ca="1">walls_forges_cap*(1-EXP(-#REF!/(walls_forges_param*(OFFSET(#REF!,1,0)-OFFSET(#REF!,1,0)*20)+15000)))*(1+(mason_bonus*#REF!/#REF!))</f>
        <v>#REF!</v>
      </c>
      <c r="AD66" s="209" t="e">
        <f ca="1">harbor_towers_cap*(1-EXP(-#REF!/(harbor_towers_param*(OFFSET(#REF!,1,0)-OFFSET(#REF!,1,0)*20)+15000)))*(1+(mason_bonus*#REF!/#REF!))</f>
        <v>#REF!</v>
      </c>
      <c r="AE66" s="134"/>
      <c r="AF66" s="61" t="e">
        <f ca="1">(1+Overview!$I$28)*SUM(#REF!)+OFFSET(#REF!,-1,0)</f>
        <v>#REF!</v>
      </c>
      <c r="AG66" s="61" t="e">
        <f ca="1">(1+Overview!$I$28)*SUM(#REF!)+OFFSET(#REF!,-1,0)</f>
        <v>#REF!</v>
      </c>
      <c r="AH66" s="61" t="e">
        <f ca="1">(1+Overview!$I$28 + tech_7_1*#REF!)*SUM(#REF!)+OFFSET(#REF!,-1,0)</f>
        <v>#REF!</v>
      </c>
      <c r="AI66" s="61" t="e">
        <f ca="1">(1+Overview!$I$28)*SUM(#REF!)+OFFSET(#REF!,-1,0)</f>
        <v>#REF!</v>
      </c>
      <c r="AJ66" s="61" t="e">
        <f ca="1">(1+Overview!$I$28)*SUM(#REF!)+OFFSET(#REF!,-1,0)</f>
        <v>#REF!</v>
      </c>
      <c r="AK66" s="61" t="e">
        <f ca="1">(1+Overview!$I$28 + tech_7_1*#REF!)*SUM(#REF!)+OFFSET(#REF!,-1,0)</f>
        <v>#REF!</v>
      </c>
      <c r="AL66" s="134"/>
      <c r="AM66" s="57" t="e">
        <f>IF(AND(#REF!=AM$2,#REF!&lt;&gt;""),#REF!) + IF(AND(#REF!=AM$2,#REF!&lt;&gt;""),#REF!) + IF(AND(#REF!=AM$2,#REF!&lt;&gt;""),#REF!)</f>
        <v>#REF!</v>
      </c>
      <c r="AN66" s="57" t="e">
        <f>IF(AND(#REF!=AN$2,#REF!&lt;&gt;""),#REF!) + IF(AND(#REF!=AN$2,#REF!&lt;&gt;""),#REF!) + IF(AND(#REF!=AN$2,#REF!&lt;&gt;""),#REF!)</f>
        <v>#REF!</v>
      </c>
      <c r="AO66" s="57" t="e">
        <f>IF(AND(#REF!=AO$2,#REF!&lt;&gt;""),#REF!) + IF(AND(#REF!=AO$2,#REF!&lt;&gt;""),#REF!) + IF(AND(#REF!=AO$2,#REF!&lt;&gt;""),#REF!)</f>
        <v>#REF!</v>
      </c>
      <c r="AP66" s="57" t="e">
        <f>IF(AND(#REF!=AP$2,#REF!&lt;&gt;""),#REF!) + IF(AND(#REF!=AP$2,#REF!&lt;&gt;""),#REF!) + IF(AND(#REF!=AP$2,#REF!&lt;&gt;""),#REF!)</f>
        <v>#REF!</v>
      </c>
      <c r="AQ66" s="134"/>
      <c r="AR66" s="57" t="e">
        <f>IF(#REF!=AR$2,IF(#REF!=$Y$2,#REF!*plat_invest)) + IF(#REF!=AR$2,IF(#REF!=$Y$2,#REF!*plat_invest)) + IF(#REF!=AR$2,IF(#REF!=$Y$2,#REF!*plat_invest))</f>
        <v>#REF!</v>
      </c>
      <c r="AS66" s="57" t="e">
        <f>IF(#REF!=AS$2,IF(#REF!=$Y$2,#REF!*lumber_invest)) + IF(#REF!=AS$2,IF(#REF!=$Y$2,#REF!*lumber_invest)) + IF(#REF!=AS$2,IF(#REF!=$Y$2,#REF!*lumber_invest))</f>
        <v>#REF!</v>
      </c>
      <c r="AT66" s="57" t="e">
        <f>IF(#REF!=AT$2,IF(#REF!=$Y$2,#REF!*ore_invest)) + IF(#REF!=AT$2,IF(#REF!=$Y$2,#REF!*ore_invest)) + IF(#REF!=AT$2,IF(#REF!=$Y$2,#REF!*ore_invest))</f>
        <v>#REF!</v>
      </c>
      <c r="AU66" s="57" t="e">
        <f>IF(#REF!=AU$2,IF(#REF!=$Y$2,#REF!*gem_invest)) + IF(#REF!=AU$2,IF(#REF!=$Y$2,#REF!*gem_invest)) + IF(#REF!=AU$2,IF(#REF!=$Y$2,#REF!*gem_invest))</f>
        <v>#REF!</v>
      </c>
      <c r="AV66" s="134"/>
      <c r="AW66" s="57" t="e">
        <f>IF(#REF!=AW$2,IF(#REF!=$Z$2,#REF!*plat_invest)) + IF(#REF!=AW$2,IF(#REF!=$Z$2,#REF!*plat_invest)) + IF(#REF!=AW$2,IF(#REF!=$Z$2,#REF!*plat_invest))</f>
        <v>#REF!</v>
      </c>
      <c r="AX66" s="57" t="e">
        <f>IF(#REF!=AX$2,IF(#REF!=$Z$2,#REF!*lumber_invest)) + IF(#REF!=AX$2,IF(#REF!=$Z$2,#REF!*lumber_invest)) + IF(#REF!=AX$2,IF(#REF!=$Z$2,#REF!*lumber_invest))</f>
        <v>#REF!</v>
      </c>
      <c r="AY66" s="57" t="e">
        <f>IF(#REF!=AY$2,IF(#REF!=$Z$2,#REF!*ore_invest)) + IF(#REF!=AY$2,IF(#REF!=$Z$2,#REF!*ore_invest)) + IF(#REF!=AY$2,IF(#REF!=$Z$2,#REF!*ore_invest))</f>
        <v>#REF!</v>
      </c>
      <c r="AZ66" s="57" t="e">
        <f>IF(#REF!=AZ$2,IF(#REF!=$Z$2,#REF!*gem_invest)) + IF(#REF!=AZ$2,IF(#REF!=$Z$2,#REF!*gem_invest)) + IF(#REF!=AZ$2,IF(#REF!=$Z$2,#REF!*gem_invest))</f>
        <v>#REF!</v>
      </c>
      <c r="BA66" s="134"/>
      <c r="BB66" s="57" t="e">
        <f>IF(#REF!=BB$2,IF(#REF!=$AA$2,#REF!*plat_invest)) + IF(#REF!=BB$2,IF(#REF!=$AA$2,#REF!*plat_invest)) + IF(#REF!=BB$2,IF(#REF!=$AA$2,#REF!*plat_invest))</f>
        <v>#REF!</v>
      </c>
      <c r="BC66" s="57" t="e">
        <f>IF(#REF!=BC$2,IF(#REF!=$AA$2,#REF!*lumber_invest)) + IF(#REF!=BC$2,IF(#REF!=$AA$2,#REF!*lumber_invest)) + IF(#REF!=BC$2,IF(#REF!=$AA$2,#REF!*lumber_invest))</f>
        <v>#REF!</v>
      </c>
      <c r="BD66" s="57" t="e">
        <f>IF(#REF!=BD$2,IF(#REF!=$AA$2,#REF!*ore_invest)) + IF(#REF!=BD$2,IF(#REF!=$AA$2,#REF!*ore_invest)) + IF(#REF!=BD$2,IF(#REF!=$AA$2,#REF!*ore_invest))</f>
        <v>#REF!</v>
      </c>
      <c r="BE66" s="57" t="e">
        <f>IF(#REF!=BE$2,IF(#REF!=$AA$2,#REF!*gem_invest)) + IF(#REF!=BE$2,IF(#REF!=$AA$2,#REF!*gem_invest)) + IF(#REF!=BE$2,IF(#REF!=$AA$2,#REF!*gem_invest))</f>
        <v>#REF!</v>
      </c>
      <c r="BF66" s="134"/>
      <c r="BG66" s="57" t="e">
        <f>IF(#REF!=BG$2,IF(#REF!=$AB$2,#REF!*plat_invest)) + IF(#REF!=BG$2,IF(#REF!=$AB$2,#REF!*plat_invest)) + IF(#REF!=BG$2,IF(#REF!=$AB$2,#REF!*plat_invest))</f>
        <v>#REF!</v>
      </c>
      <c r="BH66" s="57" t="e">
        <f>IF(#REF!=BH$2,IF(#REF!=$AB$2,#REF!*lumber_invest)) + IF(#REF!=BH$2,IF(#REF!=$AB$2,#REF!*lumber_invest)) + IF(#REF!=BH$2,IF(#REF!=$AB$2,#REF!*lumber_invest))</f>
        <v>#REF!</v>
      </c>
      <c r="BI66" s="57" t="e">
        <f>IF(#REF!=BI$2,IF(#REF!=$AB$2,#REF!*ore_invest)) + IF(#REF!=BI$2,IF(#REF!=$AB$2,#REF!*ore_invest)) + IF(#REF!=BI$2,IF(#REF!=$AB$2,#REF!*ore_invest))</f>
        <v>#REF!</v>
      </c>
      <c r="BJ66" s="57" t="e">
        <f>IF(#REF!=BJ$2,IF(#REF!=$AB$2,#REF!*gem_invest)) + IF(#REF!=BJ$2,IF(#REF!=$AB$2,#REF!*gem_invest)) + IF(#REF!=BJ$2,IF(#REF!=$AB$2,#REF!*gem_invest))</f>
        <v>#REF!</v>
      </c>
      <c r="BK66" s="134"/>
      <c r="BL66" s="57" t="e">
        <f>IF(#REF!=BL$2,IF(#REF!=$AC$2,#REF!*plat_invest)) + IF(#REF!=BL$2,IF(#REF!=$AC$2,#REF!*plat_invest)) + IF(#REF!=BL$2,IF(#REF!=$AC$2,#REF!*plat_invest))</f>
        <v>#REF!</v>
      </c>
      <c r="BM66" s="57" t="e">
        <f>IF(#REF!=BM$2,IF(#REF!=$AC$2,#REF!*lumber_invest)) + IF(#REF!=BM$2,IF(#REF!=$AC$2,#REF!*lumber_invest)) + IF(#REF!=BM$2,IF(#REF!=$AC$2,#REF!*lumber_invest))</f>
        <v>#REF!</v>
      </c>
      <c r="BN66" s="57" t="e">
        <f>IF(#REF!=BN$2,IF(#REF!=$AC$2,#REF!*ore_invest)) + IF(#REF!=BN$2,IF(#REF!=$AC$2,#REF!*ore_invest)) + IF(#REF!=BN$2,IF(#REF!=$AC$2,#REF!*ore_invest))</f>
        <v>#REF!</v>
      </c>
      <c r="BO66" s="57" t="e">
        <f>IF(#REF!=BO$2,IF(#REF!=$AC$2,#REF!*gem_invest)) + IF(#REF!=BO$2,IF(#REF!=$AC$2,#REF!*gem_invest)) + IF(#REF!=BO$2,IF(#REF!=$AC$2,#REF!*gem_invest))</f>
        <v>#REF!</v>
      </c>
      <c r="BP66" s="134"/>
      <c r="BQ66" s="57" t="e">
        <f>IF(#REF!=BQ$2,IF(#REF!=$AD$2,#REF!*plat_invest)) + IF(#REF!=BQ$2,IF(#REF!=$AD$2,#REF!*plat_invest)) + IF(#REF!=BQ$2,IF(#REF!=$AD$2,#REF!*plat_invest))</f>
        <v>#REF!</v>
      </c>
      <c r="BR66" s="57" t="e">
        <f>IF(#REF!=BR$2,IF(#REF!=$AD$2,#REF!*lumber_invest)) + IF(#REF!=BR$2,IF(#REF!=$AD$2,#REF!*lumber_invest)) + IF(#REF!=BR$2,IF(#REF!=$AD$2,#REF!*lumber_invest))</f>
        <v>#REF!</v>
      </c>
      <c r="BS66" s="57" t="e">
        <f>IF(#REF!=BS$2,IF(#REF!=$AD$2,#REF!*ore_invest)) + IF(#REF!=BS$2,IF(#REF!=$AD$2,#REF!*ore_invest)) + IF(#REF!=BS$2,IF(#REF!=$AD$2,#REF!*ore_invest))</f>
        <v>#REF!</v>
      </c>
      <c r="BT66" s="57" t="e">
        <f>IF(#REF!=BT$2,IF(#REF!=$AD$2,#REF!*gem_invest)) + IF(#REF!=BT$2,IF(#REF!=$AD$2,#REF!*gem_invest)) + IF(#REF!=BT$2,IF(#REF!=$AD$2,#REF!*gem_invest))</f>
        <v>#REF!</v>
      </c>
      <c r="BU66" s="134"/>
      <c r="BV66" s="3" t="e">
        <f>OR(#REF!,#REF!,#REF!,#REF!,#REF!,#REF!,#REF!,#REF!,#REF!)</f>
        <v>#REF!</v>
      </c>
      <c r="BW66" s="61" t="e">
        <f>#REF!</f>
        <v>#REF!</v>
      </c>
      <c r="BX66" s="130"/>
      <c r="BY66" s="284" t="e">
        <f ca="1">OFFSET(#REF!,-1,0)+1/24</f>
        <v>#REF!</v>
      </c>
      <c r="BZ66" s="285" t="e">
        <f ca="1">OFFSET(#REF!,-1,0)+1/24</f>
        <v>#REF!</v>
      </c>
      <c r="CA66" s="288"/>
      <c r="CB66" s="283"/>
      <c r="CC66" s="283"/>
    </row>
    <row r="67" spans="1:84" x14ac:dyDescent="0.25">
      <c r="A67" s="206" t="e">
        <f>#REF!</f>
        <v>#REF!</v>
      </c>
      <c r="B67" s="134"/>
      <c r="C67" s="39" t="e">
        <f>#REF!</f>
        <v>#REF!</v>
      </c>
      <c r="D67" s="39" t="e">
        <f>#REF!</f>
        <v>#REF!</v>
      </c>
      <c r="E67" s="39" t="e">
        <f>#REF!</f>
        <v>#REF!</v>
      </c>
      <c r="F67" s="39" t="e">
        <f>#REF!</f>
        <v>#REF!</v>
      </c>
      <c r="G67" s="133"/>
      <c r="H67" s="39" t="e">
        <f>#REF!</f>
        <v>#REF!</v>
      </c>
      <c r="I67" s="132" t="e">
        <f>#REF!</f>
        <v>#REF!</v>
      </c>
      <c r="J67" s="132" t="e">
        <f>#REF!/#REF!</f>
        <v>#REF!</v>
      </c>
      <c r="K67" s="160" t="e">
        <f>#REF!</f>
        <v>#REF!</v>
      </c>
      <c r="L67" s="276" t="e">
        <f>#REF!</f>
        <v>#REF!</v>
      </c>
      <c r="M67" s="61">
        <f>IF(ISERROR(#REF!),0,#REF!*1)</f>
        <v>0</v>
      </c>
      <c r="N67" s="39" t="e">
        <f>#REF!</f>
        <v>#REF!</v>
      </c>
      <c r="O67" s="277" t="s">
        <v>4</v>
      </c>
      <c r="P67" s="278"/>
      <c r="Q67" s="277" t="s">
        <v>211</v>
      </c>
      <c r="R67" s="277" t="s">
        <v>7</v>
      </c>
      <c r="S67" s="278"/>
      <c r="T67" s="277" t="s">
        <v>211</v>
      </c>
      <c r="U67" s="277" t="s">
        <v>3</v>
      </c>
      <c r="V67" s="278"/>
      <c r="W67" s="277" t="s">
        <v>211</v>
      </c>
      <c r="X67" s="134"/>
      <c r="Y67" s="209" t="e">
        <f ca="1">science_cap*(1-EXP(-#REF!/(science_param*(OFFSET(#REF!,1,0)-OFFSET(#REF!,1,0)*20)+15000)))*(1+(mason_bonus*#REF!/#REF!))</f>
        <v>#REF!</v>
      </c>
      <c r="Z67" s="209" t="e">
        <f ca="1">keep_cap*(1-EXP(-#REF!/(keep_param*(OFFSET(#REF!,1,0)-OFFSET(#REF!,1,0)*20)+15000)))*(1+(mason_bonus*#REF!/#REF!))</f>
        <v>#REF!</v>
      </c>
      <c r="AA67" s="209" t="e">
        <f ca="1">harbor_towers_cap*(1-EXP(-#REF!/(towers_param*(OFFSET(#REF!,1,0)-OFFSET(#REF!,1,0)*20)+15000)))*(1+(mason_bonus*#REF!/#REF!))</f>
        <v>#REF!</v>
      </c>
      <c r="AB67" s="209" t="e">
        <f ca="1">walls_forges_cap*(1-EXP(-#REF!/(walls_forges_param*(OFFSET(#REF!,1,0)-OFFSET(#REF!,1,0)*20)+15000)))*(1+(mason_bonus*#REF!/#REF!))</f>
        <v>#REF!</v>
      </c>
      <c r="AC67" s="209" t="e">
        <f ca="1">walls_forges_cap*(1-EXP(-#REF!/(walls_forges_param*(OFFSET(#REF!,1,0)-OFFSET(#REF!,1,0)*20)+15000)))*(1+(mason_bonus*#REF!/#REF!))</f>
        <v>#REF!</v>
      </c>
      <c r="AD67" s="209" t="e">
        <f ca="1">harbor_towers_cap*(1-EXP(-#REF!/(harbor_towers_param*(OFFSET(#REF!,1,0)-OFFSET(#REF!,1,0)*20)+15000)))*(1+(mason_bonus*#REF!/#REF!))</f>
        <v>#REF!</v>
      </c>
      <c r="AE67" s="134"/>
      <c r="AF67" s="61" t="e">
        <f ca="1">(1+Overview!$I$28)*SUM(#REF!)+OFFSET(#REF!,-1,0)</f>
        <v>#REF!</v>
      </c>
      <c r="AG67" s="61" t="e">
        <f ca="1">(1+Overview!$I$28)*SUM(#REF!)+OFFSET(#REF!,-1,0)</f>
        <v>#REF!</v>
      </c>
      <c r="AH67" s="61" t="e">
        <f ca="1">(1+Overview!$I$28 + tech_7_1*#REF!)*SUM(#REF!)+OFFSET(#REF!,-1,0)</f>
        <v>#REF!</v>
      </c>
      <c r="AI67" s="61" t="e">
        <f ca="1">(1+Overview!$I$28)*SUM(#REF!)+OFFSET(#REF!,-1,0)</f>
        <v>#REF!</v>
      </c>
      <c r="AJ67" s="61" t="e">
        <f ca="1">(1+Overview!$I$28)*SUM(#REF!)+OFFSET(#REF!,-1,0)</f>
        <v>#REF!</v>
      </c>
      <c r="AK67" s="61" t="e">
        <f ca="1">(1+Overview!$I$28 + tech_7_1*#REF!)*SUM(#REF!)+OFFSET(#REF!,-1,0)</f>
        <v>#REF!</v>
      </c>
      <c r="AL67" s="134"/>
      <c r="AM67" s="57" t="e">
        <f>IF(AND(#REF!=AM$2,#REF!&lt;&gt;""),#REF!) + IF(AND(#REF!=AM$2,#REF!&lt;&gt;""),#REF!) + IF(AND(#REF!=AM$2,#REF!&lt;&gt;""),#REF!)</f>
        <v>#REF!</v>
      </c>
      <c r="AN67" s="57" t="e">
        <f>IF(AND(#REF!=AN$2,#REF!&lt;&gt;""),#REF!) + IF(AND(#REF!=AN$2,#REF!&lt;&gt;""),#REF!) + IF(AND(#REF!=AN$2,#REF!&lt;&gt;""),#REF!)</f>
        <v>#REF!</v>
      </c>
      <c r="AO67" s="57" t="e">
        <f>IF(AND(#REF!=AO$2,#REF!&lt;&gt;""),#REF!) + IF(AND(#REF!=AO$2,#REF!&lt;&gt;""),#REF!) + IF(AND(#REF!=AO$2,#REF!&lt;&gt;""),#REF!)</f>
        <v>#REF!</v>
      </c>
      <c r="AP67" s="57" t="e">
        <f>IF(AND(#REF!=AP$2,#REF!&lt;&gt;""),#REF!) + IF(AND(#REF!=AP$2,#REF!&lt;&gt;""),#REF!) + IF(AND(#REF!=AP$2,#REF!&lt;&gt;""),#REF!)</f>
        <v>#REF!</v>
      </c>
      <c r="AQ67" s="134"/>
      <c r="AR67" s="57" t="e">
        <f>IF(#REF!=AR$2,IF(#REF!=$Y$2,#REF!*plat_invest)) + IF(#REF!=AR$2,IF(#REF!=$Y$2,#REF!*plat_invest)) + IF(#REF!=AR$2,IF(#REF!=$Y$2,#REF!*plat_invest))</f>
        <v>#REF!</v>
      </c>
      <c r="AS67" s="57" t="e">
        <f>IF(#REF!=AS$2,IF(#REF!=$Y$2,#REF!*lumber_invest)) + IF(#REF!=AS$2,IF(#REF!=$Y$2,#REF!*lumber_invest)) + IF(#REF!=AS$2,IF(#REF!=$Y$2,#REF!*lumber_invest))</f>
        <v>#REF!</v>
      </c>
      <c r="AT67" s="57" t="e">
        <f>IF(#REF!=AT$2,IF(#REF!=$Y$2,#REF!*ore_invest)) + IF(#REF!=AT$2,IF(#REF!=$Y$2,#REF!*ore_invest)) + IF(#REF!=AT$2,IF(#REF!=$Y$2,#REF!*ore_invest))</f>
        <v>#REF!</v>
      </c>
      <c r="AU67" s="57" t="e">
        <f>IF(#REF!=AU$2,IF(#REF!=$Y$2,#REF!*gem_invest)) + IF(#REF!=AU$2,IF(#REF!=$Y$2,#REF!*gem_invest)) + IF(#REF!=AU$2,IF(#REF!=$Y$2,#REF!*gem_invest))</f>
        <v>#REF!</v>
      </c>
      <c r="AV67" s="134"/>
      <c r="AW67" s="57" t="e">
        <f>IF(#REF!=AW$2,IF(#REF!=$Z$2,#REF!*plat_invest)) + IF(#REF!=AW$2,IF(#REF!=$Z$2,#REF!*plat_invest)) + IF(#REF!=AW$2,IF(#REF!=$Z$2,#REF!*plat_invest))</f>
        <v>#REF!</v>
      </c>
      <c r="AX67" s="57" t="e">
        <f>IF(#REF!=AX$2,IF(#REF!=$Z$2,#REF!*lumber_invest)) + IF(#REF!=AX$2,IF(#REF!=$Z$2,#REF!*lumber_invest)) + IF(#REF!=AX$2,IF(#REF!=$Z$2,#REF!*lumber_invest))</f>
        <v>#REF!</v>
      </c>
      <c r="AY67" s="57" t="e">
        <f>IF(#REF!=AY$2,IF(#REF!=$Z$2,#REF!*ore_invest)) + IF(#REF!=AY$2,IF(#REF!=$Z$2,#REF!*ore_invest)) + IF(#REF!=AY$2,IF(#REF!=$Z$2,#REF!*ore_invest))</f>
        <v>#REF!</v>
      </c>
      <c r="AZ67" s="57" t="e">
        <f>IF(#REF!=AZ$2,IF(#REF!=$Z$2,#REF!*gem_invest)) + IF(#REF!=AZ$2,IF(#REF!=$Z$2,#REF!*gem_invest)) + IF(#REF!=AZ$2,IF(#REF!=$Z$2,#REF!*gem_invest))</f>
        <v>#REF!</v>
      </c>
      <c r="BA67" s="134"/>
      <c r="BB67" s="57" t="e">
        <f>IF(#REF!=BB$2,IF(#REF!=$AA$2,#REF!*plat_invest)) + IF(#REF!=BB$2,IF(#REF!=$AA$2,#REF!*plat_invest)) + IF(#REF!=BB$2,IF(#REF!=$AA$2,#REF!*plat_invest))</f>
        <v>#REF!</v>
      </c>
      <c r="BC67" s="57" t="e">
        <f>IF(#REF!=BC$2,IF(#REF!=$AA$2,#REF!*lumber_invest)) + IF(#REF!=BC$2,IF(#REF!=$AA$2,#REF!*lumber_invest)) + IF(#REF!=BC$2,IF(#REF!=$AA$2,#REF!*lumber_invest))</f>
        <v>#REF!</v>
      </c>
      <c r="BD67" s="57" t="e">
        <f>IF(#REF!=BD$2,IF(#REF!=$AA$2,#REF!*ore_invest)) + IF(#REF!=BD$2,IF(#REF!=$AA$2,#REF!*ore_invest)) + IF(#REF!=BD$2,IF(#REF!=$AA$2,#REF!*ore_invest))</f>
        <v>#REF!</v>
      </c>
      <c r="BE67" s="57" t="e">
        <f>IF(#REF!=BE$2,IF(#REF!=$AA$2,#REF!*gem_invest)) + IF(#REF!=BE$2,IF(#REF!=$AA$2,#REF!*gem_invest)) + IF(#REF!=BE$2,IF(#REF!=$AA$2,#REF!*gem_invest))</f>
        <v>#REF!</v>
      </c>
      <c r="BF67" s="134"/>
      <c r="BG67" s="57" t="e">
        <f>IF(#REF!=BG$2,IF(#REF!=$AB$2,#REF!*plat_invest)) + IF(#REF!=BG$2,IF(#REF!=$AB$2,#REF!*plat_invest)) + IF(#REF!=BG$2,IF(#REF!=$AB$2,#REF!*plat_invest))</f>
        <v>#REF!</v>
      </c>
      <c r="BH67" s="57" t="e">
        <f>IF(#REF!=BH$2,IF(#REF!=$AB$2,#REF!*lumber_invest)) + IF(#REF!=BH$2,IF(#REF!=$AB$2,#REF!*lumber_invest)) + IF(#REF!=BH$2,IF(#REF!=$AB$2,#REF!*lumber_invest))</f>
        <v>#REF!</v>
      </c>
      <c r="BI67" s="57" t="e">
        <f>IF(#REF!=BI$2,IF(#REF!=$AB$2,#REF!*ore_invest)) + IF(#REF!=BI$2,IF(#REF!=$AB$2,#REF!*ore_invest)) + IF(#REF!=BI$2,IF(#REF!=$AB$2,#REF!*ore_invest))</f>
        <v>#REF!</v>
      </c>
      <c r="BJ67" s="57" t="e">
        <f>IF(#REF!=BJ$2,IF(#REF!=$AB$2,#REF!*gem_invest)) + IF(#REF!=BJ$2,IF(#REF!=$AB$2,#REF!*gem_invest)) + IF(#REF!=BJ$2,IF(#REF!=$AB$2,#REF!*gem_invest))</f>
        <v>#REF!</v>
      </c>
      <c r="BK67" s="134"/>
      <c r="BL67" s="57" t="e">
        <f>IF(#REF!=BL$2,IF(#REF!=$AC$2,#REF!*plat_invest)) + IF(#REF!=BL$2,IF(#REF!=$AC$2,#REF!*plat_invest)) + IF(#REF!=BL$2,IF(#REF!=$AC$2,#REF!*plat_invest))</f>
        <v>#REF!</v>
      </c>
      <c r="BM67" s="57" t="e">
        <f>IF(#REF!=BM$2,IF(#REF!=$AC$2,#REF!*lumber_invest)) + IF(#REF!=BM$2,IF(#REF!=$AC$2,#REF!*lumber_invest)) + IF(#REF!=BM$2,IF(#REF!=$AC$2,#REF!*lumber_invest))</f>
        <v>#REF!</v>
      </c>
      <c r="BN67" s="57" t="e">
        <f>IF(#REF!=BN$2,IF(#REF!=$AC$2,#REF!*ore_invest)) + IF(#REF!=BN$2,IF(#REF!=$AC$2,#REF!*ore_invest)) + IF(#REF!=BN$2,IF(#REF!=$AC$2,#REF!*ore_invest))</f>
        <v>#REF!</v>
      </c>
      <c r="BO67" s="57" t="e">
        <f>IF(#REF!=BO$2,IF(#REF!=$AC$2,#REF!*gem_invest)) + IF(#REF!=BO$2,IF(#REF!=$AC$2,#REF!*gem_invest)) + IF(#REF!=BO$2,IF(#REF!=$AC$2,#REF!*gem_invest))</f>
        <v>#REF!</v>
      </c>
      <c r="BP67" s="134"/>
      <c r="BQ67" s="57" t="e">
        <f>IF(#REF!=BQ$2,IF(#REF!=$AD$2,#REF!*plat_invest)) + IF(#REF!=BQ$2,IF(#REF!=$AD$2,#REF!*plat_invest)) + IF(#REF!=BQ$2,IF(#REF!=$AD$2,#REF!*plat_invest))</f>
        <v>#REF!</v>
      </c>
      <c r="BR67" s="57" t="e">
        <f>IF(#REF!=BR$2,IF(#REF!=$AD$2,#REF!*lumber_invest)) + IF(#REF!=BR$2,IF(#REF!=$AD$2,#REF!*lumber_invest)) + IF(#REF!=BR$2,IF(#REF!=$AD$2,#REF!*lumber_invest))</f>
        <v>#REF!</v>
      </c>
      <c r="BS67" s="57" t="e">
        <f>IF(#REF!=BS$2,IF(#REF!=$AD$2,#REF!*ore_invest)) + IF(#REF!=BS$2,IF(#REF!=$AD$2,#REF!*ore_invest)) + IF(#REF!=BS$2,IF(#REF!=$AD$2,#REF!*ore_invest))</f>
        <v>#REF!</v>
      </c>
      <c r="BT67" s="57" t="e">
        <f>IF(#REF!=BT$2,IF(#REF!=$AD$2,#REF!*gem_invest)) + IF(#REF!=BT$2,IF(#REF!=$AD$2,#REF!*gem_invest)) + IF(#REF!=BT$2,IF(#REF!=$AD$2,#REF!*gem_invest))</f>
        <v>#REF!</v>
      </c>
      <c r="BU67" s="134"/>
      <c r="BV67" s="3" t="e">
        <f>OR(#REF!,#REF!,#REF!,#REF!,#REF!,#REF!,#REF!,#REF!,#REF!)</f>
        <v>#REF!</v>
      </c>
      <c r="BW67" s="61" t="e">
        <f>#REF!</f>
        <v>#REF!</v>
      </c>
      <c r="BX67" s="130"/>
      <c r="BY67" s="284" t="e">
        <f ca="1">OFFSET(#REF!,-1,0)+1/24</f>
        <v>#REF!</v>
      </c>
      <c r="BZ67" s="285" t="e">
        <f ca="1">OFFSET(#REF!,-1,0)+1/24</f>
        <v>#REF!</v>
      </c>
      <c r="CA67" s="57"/>
      <c r="CB67" s="283"/>
      <c r="CC67" s="283"/>
    </row>
    <row r="68" spans="1:84" x14ac:dyDescent="0.25">
      <c r="A68" s="206" t="e">
        <f>#REF!</f>
        <v>#REF!</v>
      </c>
      <c r="B68" s="134"/>
      <c r="C68" s="39" t="e">
        <f>#REF!</f>
        <v>#REF!</v>
      </c>
      <c r="D68" s="39" t="e">
        <f>#REF!</f>
        <v>#REF!</v>
      </c>
      <c r="E68" s="39" t="e">
        <f>#REF!</f>
        <v>#REF!</v>
      </c>
      <c r="F68" s="39" t="e">
        <f>#REF!</f>
        <v>#REF!</v>
      </c>
      <c r="G68" s="133"/>
      <c r="H68" s="39" t="e">
        <f>#REF!</f>
        <v>#REF!</v>
      </c>
      <c r="I68" s="132" t="e">
        <f>#REF!</f>
        <v>#REF!</v>
      </c>
      <c r="J68" s="132" t="e">
        <f>#REF!/#REF!</f>
        <v>#REF!</v>
      </c>
      <c r="K68" s="160" t="e">
        <f>#REF!</f>
        <v>#REF!</v>
      </c>
      <c r="L68" s="276" t="e">
        <f>#REF!</f>
        <v>#REF!</v>
      </c>
      <c r="M68" s="61">
        <f>IF(ISERROR(#REF!),0,#REF!*1)</f>
        <v>0</v>
      </c>
      <c r="N68" s="39" t="e">
        <f>#REF!</f>
        <v>#REF!</v>
      </c>
      <c r="O68" s="277" t="s">
        <v>4</v>
      </c>
      <c r="P68" s="278"/>
      <c r="Q68" s="277" t="s">
        <v>211</v>
      </c>
      <c r="R68" s="277" t="s">
        <v>7</v>
      </c>
      <c r="S68" s="278"/>
      <c r="T68" s="277" t="s">
        <v>211</v>
      </c>
      <c r="U68" s="277" t="s">
        <v>3</v>
      </c>
      <c r="V68" s="278"/>
      <c r="W68" s="277" t="s">
        <v>211</v>
      </c>
      <c r="X68" s="134"/>
      <c r="Y68" s="209" t="e">
        <f ca="1">science_cap*(1-EXP(-#REF!/(science_param*(OFFSET(#REF!,1,0)-OFFSET(#REF!,1,0)*20)+15000)))*(1+(mason_bonus*#REF!/#REF!))</f>
        <v>#REF!</v>
      </c>
      <c r="Z68" s="209" t="e">
        <f ca="1">keep_cap*(1-EXP(-#REF!/(keep_param*(OFFSET(#REF!,1,0)-OFFSET(#REF!,1,0)*20)+15000)))*(1+(mason_bonus*#REF!/#REF!))</f>
        <v>#REF!</v>
      </c>
      <c r="AA68" s="209" t="e">
        <f ca="1">harbor_towers_cap*(1-EXP(-#REF!/(towers_param*(OFFSET(#REF!,1,0)-OFFSET(#REF!,1,0)*20)+15000)))*(1+(mason_bonus*#REF!/#REF!))</f>
        <v>#REF!</v>
      </c>
      <c r="AB68" s="209" t="e">
        <f ca="1">walls_forges_cap*(1-EXP(-#REF!/(walls_forges_param*(OFFSET(#REF!,1,0)-OFFSET(#REF!,1,0)*20)+15000)))*(1+(mason_bonus*#REF!/#REF!))</f>
        <v>#REF!</v>
      </c>
      <c r="AC68" s="209" t="e">
        <f ca="1">walls_forges_cap*(1-EXP(-#REF!/(walls_forges_param*(OFFSET(#REF!,1,0)-OFFSET(#REF!,1,0)*20)+15000)))*(1+(mason_bonus*#REF!/#REF!))</f>
        <v>#REF!</v>
      </c>
      <c r="AD68" s="209" t="e">
        <f ca="1">harbor_towers_cap*(1-EXP(-#REF!/(harbor_towers_param*(OFFSET(#REF!,1,0)-OFFSET(#REF!,1,0)*20)+15000)))*(1+(mason_bonus*#REF!/#REF!))</f>
        <v>#REF!</v>
      </c>
      <c r="AE68" s="134"/>
      <c r="AF68" s="61" t="e">
        <f ca="1">(1+Overview!$I$28)*SUM(#REF!)+OFFSET(#REF!,-1,0)</f>
        <v>#REF!</v>
      </c>
      <c r="AG68" s="61" t="e">
        <f ca="1">(1+Overview!$I$28)*SUM(#REF!)+OFFSET(#REF!,-1,0)</f>
        <v>#REF!</v>
      </c>
      <c r="AH68" s="61" t="e">
        <f ca="1">(1+Overview!$I$28 + tech_7_1*#REF!)*SUM(#REF!)+OFFSET(#REF!,-1,0)</f>
        <v>#REF!</v>
      </c>
      <c r="AI68" s="61" t="e">
        <f ca="1">(1+Overview!$I$28)*SUM(#REF!)+OFFSET(#REF!,-1,0)</f>
        <v>#REF!</v>
      </c>
      <c r="AJ68" s="61" t="e">
        <f ca="1">(1+Overview!$I$28)*SUM(#REF!)+OFFSET(#REF!,-1,0)</f>
        <v>#REF!</v>
      </c>
      <c r="AK68" s="61" t="e">
        <f ca="1">(1+Overview!$I$28 + tech_7_1*#REF!)*SUM(#REF!)+OFFSET(#REF!,-1,0)</f>
        <v>#REF!</v>
      </c>
      <c r="AL68" s="134"/>
      <c r="AM68" s="57" t="e">
        <f>IF(AND(#REF!=AM$2,#REF!&lt;&gt;""),#REF!) + IF(AND(#REF!=AM$2,#REF!&lt;&gt;""),#REF!) + IF(AND(#REF!=AM$2,#REF!&lt;&gt;""),#REF!)</f>
        <v>#REF!</v>
      </c>
      <c r="AN68" s="57" t="e">
        <f>IF(AND(#REF!=AN$2,#REF!&lt;&gt;""),#REF!) + IF(AND(#REF!=AN$2,#REF!&lt;&gt;""),#REF!) + IF(AND(#REF!=AN$2,#REF!&lt;&gt;""),#REF!)</f>
        <v>#REF!</v>
      </c>
      <c r="AO68" s="57" t="e">
        <f>IF(AND(#REF!=AO$2,#REF!&lt;&gt;""),#REF!) + IF(AND(#REF!=AO$2,#REF!&lt;&gt;""),#REF!) + IF(AND(#REF!=AO$2,#REF!&lt;&gt;""),#REF!)</f>
        <v>#REF!</v>
      </c>
      <c r="AP68" s="57" t="e">
        <f>IF(AND(#REF!=AP$2,#REF!&lt;&gt;""),#REF!) + IF(AND(#REF!=AP$2,#REF!&lt;&gt;""),#REF!) + IF(AND(#REF!=AP$2,#REF!&lt;&gt;""),#REF!)</f>
        <v>#REF!</v>
      </c>
      <c r="AQ68" s="134"/>
      <c r="AR68" s="57" t="e">
        <f>IF(#REF!=AR$2,IF(#REF!=$Y$2,#REF!*plat_invest)) + IF(#REF!=AR$2,IF(#REF!=$Y$2,#REF!*plat_invest)) + IF(#REF!=AR$2,IF(#REF!=$Y$2,#REF!*plat_invest))</f>
        <v>#REF!</v>
      </c>
      <c r="AS68" s="57" t="e">
        <f>IF(#REF!=AS$2,IF(#REF!=$Y$2,#REF!*lumber_invest)) + IF(#REF!=AS$2,IF(#REF!=$Y$2,#REF!*lumber_invest)) + IF(#REF!=AS$2,IF(#REF!=$Y$2,#REF!*lumber_invest))</f>
        <v>#REF!</v>
      </c>
      <c r="AT68" s="57" t="e">
        <f>IF(#REF!=AT$2,IF(#REF!=$Y$2,#REF!*ore_invest)) + IF(#REF!=AT$2,IF(#REF!=$Y$2,#REF!*ore_invest)) + IF(#REF!=AT$2,IF(#REF!=$Y$2,#REF!*ore_invest))</f>
        <v>#REF!</v>
      </c>
      <c r="AU68" s="57" t="e">
        <f>IF(#REF!=AU$2,IF(#REF!=$Y$2,#REF!*gem_invest)) + IF(#REF!=AU$2,IF(#REF!=$Y$2,#REF!*gem_invest)) + IF(#REF!=AU$2,IF(#REF!=$Y$2,#REF!*gem_invest))</f>
        <v>#REF!</v>
      </c>
      <c r="AV68" s="134"/>
      <c r="AW68" s="57" t="e">
        <f>IF(#REF!=AW$2,IF(#REF!=$Z$2,#REF!*plat_invest)) + IF(#REF!=AW$2,IF(#REF!=$Z$2,#REF!*plat_invest)) + IF(#REF!=AW$2,IF(#REF!=$Z$2,#REF!*plat_invest))</f>
        <v>#REF!</v>
      </c>
      <c r="AX68" s="57" t="e">
        <f>IF(#REF!=AX$2,IF(#REF!=$Z$2,#REF!*lumber_invest)) + IF(#REF!=AX$2,IF(#REF!=$Z$2,#REF!*lumber_invest)) + IF(#REF!=AX$2,IF(#REF!=$Z$2,#REF!*lumber_invest))</f>
        <v>#REF!</v>
      </c>
      <c r="AY68" s="57" t="e">
        <f>IF(#REF!=AY$2,IF(#REF!=$Z$2,#REF!*ore_invest)) + IF(#REF!=AY$2,IF(#REF!=$Z$2,#REF!*ore_invest)) + IF(#REF!=AY$2,IF(#REF!=$Z$2,#REF!*ore_invest))</f>
        <v>#REF!</v>
      </c>
      <c r="AZ68" s="57" t="e">
        <f>IF(#REF!=AZ$2,IF(#REF!=$Z$2,#REF!*gem_invest)) + IF(#REF!=AZ$2,IF(#REF!=$Z$2,#REF!*gem_invest)) + IF(#REF!=AZ$2,IF(#REF!=$Z$2,#REF!*gem_invest))</f>
        <v>#REF!</v>
      </c>
      <c r="BA68" s="134"/>
      <c r="BB68" s="57" t="e">
        <f>IF(#REF!=BB$2,IF(#REF!=$AA$2,#REF!*plat_invest)) + IF(#REF!=BB$2,IF(#REF!=$AA$2,#REF!*plat_invest)) + IF(#REF!=BB$2,IF(#REF!=$AA$2,#REF!*plat_invest))</f>
        <v>#REF!</v>
      </c>
      <c r="BC68" s="57" t="e">
        <f>IF(#REF!=BC$2,IF(#REF!=$AA$2,#REF!*lumber_invest)) + IF(#REF!=BC$2,IF(#REF!=$AA$2,#REF!*lumber_invest)) + IF(#REF!=BC$2,IF(#REF!=$AA$2,#REF!*lumber_invest))</f>
        <v>#REF!</v>
      </c>
      <c r="BD68" s="57" t="e">
        <f>IF(#REF!=BD$2,IF(#REF!=$AA$2,#REF!*ore_invest)) + IF(#REF!=BD$2,IF(#REF!=$AA$2,#REF!*ore_invest)) + IF(#REF!=BD$2,IF(#REF!=$AA$2,#REF!*ore_invest))</f>
        <v>#REF!</v>
      </c>
      <c r="BE68" s="57" t="e">
        <f>IF(#REF!=BE$2,IF(#REF!=$AA$2,#REF!*gem_invest)) + IF(#REF!=BE$2,IF(#REF!=$AA$2,#REF!*gem_invest)) + IF(#REF!=BE$2,IF(#REF!=$AA$2,#REF!*gem_invest))</f>
        <v>#REF!</v>
      </c>
      <c r="BF68" s="134"/>
      <c r="BG68" s="57" t="e">
        <f>IF(#REF!=BG$2,IF(#REF!=$AB$2,#REF!*plat_invest)) + IF(#REF!=BG$2,IF(#REF!=$AB$2,#REF!*plat_invest)) + IF(#REF!=BG$2,IF(#REF!=$AB$2,#REF!*plat_invest))</f>
        <v>#REF!</v>
      </c>
      <c r="BH68" s="57" t="e">
        <f>IF(#REF!=BH$2,IF(#REF!=$AB$2,#REF!*lumber_invest)) + IF(#REF!=BH$2,IF(#REF!=$AB$2,#REF!*lumber_invest)) + IF(#REF!=BH$2,IF(#REF!=$AB$2,#REF!*lumber_invest))</f>
        <v>#REF!</v>
      </c>
      <c r="BI68" s="57" t="e">
        <f>IF(#REF!=BI$2,IF(#REF!=$AB$2,#REF!*ore_invest)) + IF(#REF!=BI$2,IF(#REF!=$AB$2,#REF!*ore_invest)) + IF(#REF!=BI$2,IF(#REF!=$AB$2,#REF!*ore_invest))</f>
        <v>#REF!</v>
      </c>
      <c r="BJ68" s="57" t="e">
        <f>IF(#REF!=BJ$2,IF(#REF!=$AB$2,#REF!*gem_invest)) + IF(#REF!=BJ$2,IF(#REF!=$AB$2,#REF!*gem_invest)) + IF(#REF!=BJ$2,IF(#REF!=$AB$2,#REF!*gem_invest))</f>
        <v>#REF!</v>
      </c>
      <c r="BK68" s="134"/>
      <c r="BL68" s="57" t="e">
        <f>IF(#REF!=BL$2,IF(#REF!=$AC$2,#REF!*plat_invest)) + IF(#REF!=BL$2,IF(#REF!=$AC$2,#REF!*plat_invest)) + IF(#REF!=BL$2,IF(#REF!=$AC$2,#REF!*plat_invest))</f>
        <v>#REF!</v>
      </c>
      <c r="BM68" s="57" t="e">
        <f>IF(#REF!=BM$2,IF(#REF!=$AC$2,#REF!*lumber_invest)) + IF(#REF!=BM$2,IF(#REF!=$AC$2,#REF!*lumber_invest)) + IF(#REF!=BM$2,IF(#REF!=$AC$2,#REF!*lumber_invest))</f>
        <v>#REF!</v>
      </c>
      <c r="BN68" s="57" t="e">
        <f>IF(#REF!=BN$2,IF(#REF!=$AC$2,#REF!*ore_invest)) + IF(#REF!=BN$2,IF(#REF!=$AC$2,#REF!*ore_invest)) + IF(#REF!=BN$2,IF(#REF!=$AC$2,#REF!*ore_invest))</f>
        <v>#REF!</v>
      </c>
      <c r="BO68" s="57" t="e">
        <f>IF(#REF!=BO$2,IF(#REF!=$AC$2,#REF!*gem_invest)) + IF(#REF!=BO$2,IF(#REF!=$AC$2,#REF!*gem_invest)) + IF(#REF!=BO$2,IF(#REF!=$AC$2,#REF!*gem_invest))</f>
        <v>#REF!</v>
      </c>
      <c r="BP68" s="134"/>
      <c r="BQ68" s="57" t="e">
        <f>IF(#REF!=BQ$2,IF(#REF!=$AD$2,#REF!*plat_invest)) + IF(#REF!=BQ$2,IF(#REF!=$AD$2,#REF!*plat_invest)) + IF(#REF!=BQ$2,IF(#REF!=$AD$2,#REF!*plat_invest))</f>
        <v>#REF!</v>
      </c>
      <c r="BR68" s="57" t="e">
        <f>IF(#REF!=BR$2,IF(#REF!=$AD$2,#REF!*lumber_invest)) + IF(#REF!=BR$2,IF(#REF!=$AD$2,#REF!*lumber_invest)) + IF(#REF!=BR$2,IF(#REF!=$AD$2,#REF!*lumber_invest))</f>
        <v>#REF!</v>
      </c>
      <c r="BS68" s="57" t="e">
        <f>IF(#REF!=BS$2,IF(#REF!=$AD$2,#REF!*ore_invest)) + IF(#REF!=BS$2,IF(#REF!=$AD$2,#REF!*ore_invest)) + IF(#REF!=BS$2,IF(#REF!=$AD$2,#REF!*ore_invest))</f>
        <v>#REF!</v>
      </c>
      <c r="BT68" s="57" t="e">
        <f>IF(#REF!=BT$2,IF(#REF!=$AD$2,#REF!*gem_invest)) + IF(#REF!=BT$2,IF(#REF!=$AD$2,#REF!*gem_invest)) + IF(#REF!=BT$2,IF(#REF!=$AD$2,#REF!*gem_invest))</f>
        <v>#REF!</v>
      </c>
      <c r="BU68" s="134"/>
      <c r="BV68" s="3" t="e">
        <f>OR(#REF!,#REF!,#REF!,#REF!,#REF!,#REF!,#REF!,#REF!,#REF!)</f>
        <v>#REF!</v>
      </c>
      <c r="BW68" s="61" t="e">
        <f>#REF!</f>
        <v>#REF!</v>
      </c>
      <c r="BX68" s="130"/>
      <c r="BY68" s="284" t="e">
        <f ca="1">OFFSET(#REF!,-1,0)+1/24</f>
        <v>#REF!</v>
      </c>
      <c r="BZ68" s="285" t="e">
        <f ca="1">OFFSET(#REF!,-1,0)+1/24</f>
        <v>#REF!</v>
      </c>
      <c r="CA68" s="57"/>
      <c r="CB68" s="283"/>
      <c r="CC68" s="283"/>
    </row>
    <row r="69" spans="1:84" x14ac:dyDescent="0.25">
      <c r="A69" s="206" t="e">
        <f>#REF!</f>
        <v>#REF!</v>
      </c>
      <c r="B69" s="134"/>
      <c r="C69" s="39" t="e">
        <f>#REF!</f>
        <v>#REF!</v>
      </c>
      <c r="D69" s="39" t="e">
        <f>#REF!</f>
        <v>#REF!</v>
      </c>
      <c r="E69" s="39" t="e">
        <f>#REF!</f>
        <v>#REF!</v>
      </c>
      <c r="F69" s="39" t="e">
        <f>#REF!</f>
        <v>#REF!</v>
      </c>
      <c r="G69" s="133"/>
      <c r="H69" s="39" t="e">
        <f>#REF!</f>
        <v>#REF!</v>
      </c>
      <c r="I69" s="132" t="e">
        <f>#REF!</f>
        <v>#REF!</v>
      </c>
      <c r="J69" s="132" t="e">
        <f>#REF!/#REF!</f>
        <v>#REF!</v>
      </c>
      <c r="K69" s="160" t="e">
        <f>#REF!</f>
        <v>#REF!</v>
      </c>
      <c r="L69" s="276" t="e">
        <f>#REF!</f>
        <v>#REF!</v>
      </c>
      <c r="M69" s="61">
        <f>IF(ISERROR(#REF!),0,#REF!*1)</f>
        <v>0</v>
      </c>
      <c r="N69" s="39" t="e">
        <f>#REF!</f>
        <v>#REF!</v>
      </c>
      <c r="O69" s="277" t="s">
        <v>4</v>
      </c>
      <c r="P69" s="278"/>
      <c r="Q69" s="277" t="s">
        <v>211</v>
      </c>
      <c r="R69" s="277" t="s">
        <v>7</v>
      </c>
      <c r="S69" s="278"/>
      <c r="T69" s="277" t="s">
        <v>211</v>
      </c>
      <c r="U69" s="277" t="s">
        <v>3</v>
      </c>
      <c r="V69" s="278"/>
      <c r="W69" s="277" t="s">
        <v>211</v>
      </c>
      <c r="X69" s="134"/>
      <c r="Y69" s="209" t="e">
        <f ca="1">science_cap*(1-EXP(-#REF!/(science_param*(OFFSET(#REF!,1,0)-OFFSET(#REF!,1,0)*20)+15000)))*(1+(mason_bonus*#REF!/#REF!))</f>
        <v>#REF!</v>
      </c>
      <c r="Z69" s="209" t="e">
        <f ca="1">keep_cap*(1-EXP(-#REF!/(keep_param*(OFFSET(#REF!,1,0)-OFFSET(#REF!,1,0)*20)+15000)))*(1+(mason_bonus*#REF!/#REF!))</f>
        <v>#REF!</v>
      </c>
      <c r="AA69" s="209" t="e">
        <f ca="1">harbor_towers_cap*(1-EXP(-#REF!/(towers_param*(OFFSET(#REF!,1,0)-OFFSET(#REF!,1,0)*20)+15000)))*(1+(mason_bonus*#REF!/#REF!))</f>
        <v>#REF!</v>
      </c>
      <c r="AB69" s="209" t="e">
        <f ca="1">walls_forges_cap*(1-EXP(-#REF!/(walls_forges_param*(OFFSET(#REF!,1,0)-OFFSET(#REF!,1,0)*20)+15000)))*(1+(mason_bonus*#REF!/#REF!))</f>
        <v>#REF!</v>
      </c>
      <c r="AC69" s="209" t="e">
        <f ca="1">walls_forges_cap*(1-EXP(-#REF!/(walls_forges_param*(OFFSET(#REF!,1,0)-OFFSET(#REF!,1,0)*20)+15000)))*(1+(mason_bonus*#REF!/#REF!))</f>
        <v>#REF!</v>
      </c>
      <c r="AD69" s="209" t="e">
        <f ca="1">harbor_towers_cap*(1-EXP(-#REF!/(harbor_towers_param*(OFFSET(#REF!,1,0)-OFFSET(#REF!,1,0)*20)+15000)))*(1+(mason_bonus*#REF!/#REF!))</f>
        <v>#REF!</v>
      </c>
      <c r="AE69" s="134"/>
      <c r="AF69" s="61" t="e">
        <f ca="1">(1+Overview!$I$28)*SUM(#REF!)+OFFSET(#REF!,-1,0)</f>
        <v>#REF!</v>
      </c>
      <c r="AG69" s="61" t="e">
        <f ca="1">(1+Overview!$I$28)*SUM(#REF!)+OFFSET(#REF!,-1,0)</f>
        <v>#REF!</v>
      </c>
      <c r="AH69" s="61" t="e">
        <f ca="1">(1+Overview!$I$28 + tech_7_1*#REF!)*SUM(#REF!)+OFFSET(#REF!,-1,0)</f>
        <v>#REF!</v>
      </c>
      <c r="AI69" s="61" t="e">
        <f ca="1">(1+Overview!$I$28)*SUM(#REF!)+OFFSET(#REF!,-1,0)</f>
        <v>#REF!</v>
      </c>
      <c r="AJ69" s="61" t="e">
        <f ca="1">(1+Overview!$I$28)*SUM(#REF!)+OFFSET(#REF!,-1,0)</f>
        <v>#REF!</v>
      </c>
      <c r="AK69" s="61" t="e">
        <f ca="1">(1+Overview!$I$28 + tech_7_1*#REF!)*SUM(#REF!)+OFFSET(#REF!,-1,0)</f>
        <v>#REF!</v>
      </c>
      <c r="AL69" s="134"/>
      <c r="AM69" s="57" t="e">
        <f>IF(AND(#REF!=AM$2,#REF!&lt;&gt;""),#REF!) + IF(AND(#REF!=AM$2,#REF!&lt;&gt;""),#REF!) + IF(AND(#REF!=AM$2,#REF!&lt;&gt;""),#REF!)</f>
        <v>#REF!</v>
      </c>
      <c r="AN69" s="57" t="e">
        <f>IF(AND(#REF!=AN$2,#REF!&lt;&gt;""),#REF!) + IF(AND(#REF!=AN$2,#REF!&lt;&gt;""),#REF!) + IF(AND(#REF!=AN$2,#REF!&lt;&gt;""),#REF!)</f>
        <v>#REF!</v>
      </c>
      <c r="AO69" s="57" t="e">
        <f>IF(AND(#REF!=AO$2,#REF!&lt;&gt;""),#REF!) + IF(AND(#REF!=AO$2,#REF!&lt;&gt;""),#REF!) + IF(AND(#REF!=AO$2,#REF!&lt;&gt;""),#REF!)</f>
        <v>#REF!</v>
      </c>
      <c r="AP69" s="57" t="e">
        <f>IF(AND(#REF!=AP$2,#REF!&lt;&gt;""),#REF!) + IF(AND(#REF!=AP$2,#REF!&lt;&gt;""),#REF!) + IF(AND(#REF!=AP$2,#REF!&lt;&gt;""),#REF!)</f>
        <v>#REF!</v>
      </c>
      <c r="AQ69" s="134"/>
      <c r="AR69" s="57" t="e">
        <f>IF(#REF!=AR$2,IF(#REF!=$Y$2,#REF!*plat_invest)) + IF(#REF!=AR$2,IF(#REF!=$Y$2,#REF!*plat_invest)) + IF(#REF!=AR$2,IF(#REF!=$Y$2,#REF!*plat_invest))</f>
        <v>#REF!</v>
      </c>
      <c r="AS69" s="57" t="e">
        <f>IF(#REF!=AS$2,IF(#REF!=$Y$2,#REF!*lumber_invest)) + IF(#REF!=AS$2,IF(#REF!=$Y$2,#REF!*lumber_invest)) + IF(#REF!=AS$2,IF(#REF!=$Y$2,#REF!*lumber_invest))</f>
        <v>#REF!</v>
      </c>
      <c r="AT69" s="57" t="e">
        <f>IF(#REF!=AT$2,IF(#REF!=$Y$2,#REF!*ore_invest)) + IF(#REF!=AT$2,IF(#REF!=$Y$2,#REF!*ore_invest)) + IF(#REF!=AT$2,IF(#REF!=$Y$2,#REF!*ore_invest))</f>
        <v>#REF!</v>
      </c>
      <c r="AU69" s="57" t="e">
        <f>IF(#REF!=AU$2,IF(#REF!=$Y$2,#REF!*gem_invest)) + IF(#REF!=AU$2,IF(#REF!=$Y$2,#REF!*gem_invest)) + IF(#REF!=AU$2,IF(#REF!=$Y$2,#REF!*gem_invest))</f>
        <v>#REF!</v>
      </c>
      <c r="AV69" s="134"/>
      <c r="AW69" s="57" t="e">
        <f>IF(#REF!=AW$2,IF(#REF!=$Z$2,#REF!*plat_invest)) + IF(#REF!=AW$2,IF(#REF!=$Z$2,#REF!*plat_invest)) + IF(#REF!=AW$2,IF(#REF!=$Z$2,#REF!*plat_invest))</f>
        <v>#REF!</v>
      </c>
      <c r="AX69" s="57" t="e">
        <f>IF(#REF!=AX$2,IF(#REF!=$Z$2,#REF!*lumber_invest)) + IF(#REF!=AX$2,IF(#REF!=$Z$2,#REF!*lumber_invest)) + IF(#REF!=AX$2,IF(#REF!=$Z$2,#REF!*lumber_invest))</f>
        <v>#REF!</v>
      </c>
      <c r="AY69" s="57" t="e">
        <f>IF(#REF!=AY$2,IF(#REF!=$Z$2,#REF!*ore_invest)) + IF(#REF!=AY$2,IF(#REF!=$Z$2,#REF!*ore_invest)) + IF(#REF!=AY$2,IF(#REF!=$Z$2,#REF!*ore_invest))</f>
        <v>#REF!</v>
      </c>
      <c r="AZ69" s="57" t="e">
        <f>IF(#REF!=AZ$2,IF(#REF!=$Z$2,#REF!*gem_invest)) + IF(#REF!=AZ$2,IF(#REF!=$Z$2,#REF!*gem_invest)) + IF(#REF!=AZ$2,IF(#REF!=$Z$2,#REF!*gem_invest))</f>
        <v>#REF!</v>
      </c>
      <c r="BA69" s="134"/>
      <c r="BB69" s="57" t="e">
        <f>IF(#REF!=BB$2,IF(#REF!=$AA$2,#REF!*plat_invest)) + IF(#REF!=BB$2,IF(#REF!=$AA$2,#REF!*plat_invest)) + IF(#REF!=BB$2,IF(#REF!=$AA$2,#REF!*plat_invest))</f>
        <v>#REF!</v>
      </c>
      <c r="BC69" s="57" t="e">
        <f>IF(#REF!=BC$2,IF(#REF!=$AA$2,#REF!*lumber_invest)) + IF(#REF!=BC$2,IF(#REF!=$AA$2,#REF!*lumber_invest)) + IF(#REF!=BC$2,IF(#REF!=$AA$2,#REF!*lumber_invest))</f>
        <v>#REF!</v>
      </c>
      <c r="BD69" s="57" t="e">
        <f>IF(#REF!=BD$2,IF(#REF!=$AA$2,#REF!*ore_invest)) + IF(#REF!=BD$2,IF(#REF!=$AA$2,#REF!*ore_invest)) + IF(#REF!=BD$2,IF(#REF!=$AA$2,#REF!*ore_invest))</f>
        <v>#REF!</v>
      </c>
      <c r="BE69" s="57" t="e">
        <f>IF(#REF!=BE$2,IF(#REF!=$AA$2,#REF!*gem_invest)) + IF(#REF!=BE$2,IF(#REF!=$AA$2,#REF!*gem_invest)) + IF(#REF!=BE$2,IF(#REF!=$AA$2,#REF!*gem_invest))</f>
        <v>#REF!</v>
      </c>
      <c r="BF69" s="134"/>
      <c r="BG69" s="57" t="e">
        <f>IF(#REF!=BG$2,IF(#REF!=$AB$2,#REF!*plat_invest)) + IF(#REF!=BG$2,IF(#REF!=$AB$2,#REF!*plat_invest)) + IF(#REF!=BG$2,IF(#REF!=$AB$2,#REF!*plat_invest))</f>
        <v>#REF!</v>
      </c>
      <c r="BH69" s="57" t="e">
        <f>IF(#REF!=BH$2,IF(#REF!=$AB$2,#REF!*lumber_invest)) + IF(#REF!=BH$2,IF(#REF!=$AB$2,#REF!*lumber_invest)) + IF(#REF!=BH$2,IF(#REF!=$AB$2,#REF!*lumber_invest))</f>
        <v>#REF!</v>
      </c>
      <c r="BI69" s="57" t="e">
        <f>IF(#REF!=BI$2,IF(#REF!=$AB$2,#REF!*ore_invest)) + IF(#REF!=BI$2,IF(#REF!=$AB$2,#REF!*ore_invest)) + IF(#REF!=BI$2,IF(#REF!=$AB$2,#REF!*ore_invest))</f>
        <v>#REF!</v>
      </c>
      <c r="BJ69" s="57" t="e">
        <f>IF(#REF!=BJ$2,IF(#REF!=$AB$2,#REF!*gem_invest)) + IF(#REF!=BJ$2,IF(#REF!=$AB$2,#REF!*gem_invest)) + IF(#REF!=BJ$2,IF(#REF!=$AB$2,#REF!*gem_invest))</f>
        <v>#REF!</v>
      </c>
      <c r="BK69" s="134"/>
      <c r="BL69" s="57" t="e">
        <f>IF(#REF!=BL$2,IF(#REF!=$AC$2,#REF!*plat_invest)) + IF(#REF!=BL$2,IF(#REF!=$AC$2,#REF!*plat_invest)) + IF(#REF!=BL$2,IF(#REF!=$AC$2,#REF!*plat_invest))</f>
        <v>#REF!</v>
      </c>
      <c r="BM69" s="57" t="e">
        <f>IF(#REF!=BM$2,IF(#REF!=$AC$2,#REF!*lumber_invest)) + IF(#REF!=BM$2,IF(#REF!=$AC$2,#REF!*lumber_invest)) + IF(#REF!=BM$2,IF(#REF!=$AC$2,#REF!*lumber_invest))</f>
        <v>#REF!</v>
      </c>
      <c r="BN69" s="57" t="e">
        <f>IF(#REF!=BN$2,IF(#REF!=$AC$2,#REF!*ore_invest)) + IF(#REF!=BN$2,IF(#REF!=$AC$2,#REF!*ore_invest)) + IF(#REF!=BN$2,IF(#REF!=$AC$2,#REF!*ore_invest))</f>
        <v>#REF!</v>
      </c>
      <c r="BO69" s="57" t="e">
        <f>IF(#REF!=BO$2,IF(#REF!=$AC$2,#REF!*gem_invest)) + IF(#REF!=BO$2,IF(#REF!=$AC$2,#REF!*gem_invest)) + IF(#REF!=BO$2,IF(#REF!=$AC$2,#REF!*gem_invest))</f>
        <v>#REF!</v>
      </c>
      <c r="BP69" s="134"/>
      <c r="BQ69" s="57" t="e">
        <f>IF(#REF!=BQ$2,IF(#REF!=$AD$2,#REF!*plat_invest)) + IF(#REF!=BQ$2,IF(#REF!=$AD$2,#REF!*plat_invest)) + IF(#REF!=BQ$2,IF(#REF!=$AD$2,#REF!*plat_invest))</f>
        <v>#REF!</v>
      </c>
      <c r="BR69" s="57" t="e">
        <f>IF(#REF!=BR$2,IF(#REF!=$AD$2,#REF!*lumber_invest)) + IF(#REF!=BR$2,IF(#REF!=$AD$2,#REF!*lumber_invest)) + IF(#REF!=BR$2,IF(#REF!=$AD$2,#REF!*lumber_invest))</f>
        <v>#REF!</v>
      </c>
      <c r="BS69" s="57" t="e">
        <f>IF(#REF!=BS$2,IF(#REF!=$AD$2,#REF!*ore_invest)) + IF(#REF!=BS$2,IF(#REF!=$AD$2,#REF!*ore_invest)) + IF(#REF!=BS$2,IF(#REF!=$AD$2,#REF!*ore_invest))</f>
        <v>#REF!</v>
      </c>
      <c r="BT69" s="57" t="e">
        <f>IF(#REF!=BT$2,IF(#REF!=$AD$2,#REF!*gem_invest)) + IF(#REF!=BT$2,IF(#REF!=$AD$2,#REF!*gem_invest)) + IF(#REF!=BT$2,IF(#REF!=$AD$2,#REF!*gem_invest))</f>
        <v>#REF!</v>
      </c>
      <c r="BU69" s="134"/>
      <c r="BV69" s="3" t="e">
        <f>OR(#REF!,#REF!,#REF!,#REF!,#REF!,#REF!,#REF!,#REF!,#REF!)</f>
        <v>#REF!</v>
      </c>
      <c r="BW69" s="61" t="e">
        <f>#REF!</f>
        <v>#REF!</v>
      </c>
      <c r="BX69" s="130"/>
      <c r="BY69" s="284" t="e">
        <f ca="1">OFFSET(#REF!,-1,0)+1/24</f>
        <v>#REF!</v>
      </c>
      <c r="BZ69" s="285" t="e">
        <f ca="1">OFFSET(#REF!,-1,0)+1/24</f>
        <v>#REF!</v>
      </c>
      <c r="CA69" s="57"/>
      <c r="CB69" s="283"/>
      <c r="CC69" s="283"/>
    </row>
    <row r="70" spans="1:84" x14ac:dyDescent="0.25">
      <c r="A70" s="206" t="e">
        <f>#REF!</f>
        <v>#REF!</v>
      </c>
      <c r="B70" s="134"/>
      <c r="C70" s="39" t="e">
        <f>#REF!</f>
        <v>#REF!</v>
      </c>
      <c r="D70" s="39" t="e">
        <f>#REF!</f>
        <v>#REF!</v>
      </c>
      <c r="E70" s="39" t="e">
        <f>#REF!</f>
        <v>#REF!</v>
      </c>
      <c r="F70" s="39" t="e">
        <f>#REF!</f>
        <v>#REF!</v>
      </c>
      <c r="G70" s="133"/>
      <c r="H70" s="39" t="e">
        <f>#REF!</f>
        <v>#REF!</v>
      </c>
      <c r="I70" s="132" t="e">
        <f>#REF!</f>
        <v>#REF!</v>
      </c>
      <c r="J70" s="132" t="e">
        <f>#REF!/#REF!</f>
        <v>#REF!</v>
      </c>
      <c r="K70" s="160" t="e">
        <f>#REF!</f>
        <v>#REF!</v>
      </c>
      <c r="L70" s="276" t="e">
        <f>#REF!</f>
        <v>#REF!</v>
      </c>
      <c r="M70" s="61">
        <f>IF(ISERROR(#REF!),0,#REF!*1)</f>
        <v>0</v>
      </c>
      <c r="N70" s="39" t="e">
        <f>#REF!</f>
        <v>#REF!</v>
      </c>
      <c r="O70" s="277" t="s">
        <v>4</v>
      </c>
      <c r="P70" s="278"/>
      <c r="Q70" s="277" t="s">
        <v>211</v>
      </c>
      <c r="R70" s="277" t="s">
        <v>7</v>
      </c>
      <c r="S70" s="278"/>
      <c r="T70" s="277" t="s">
        <v>211</v>
      </c>
      <c r="U70" s="277" t="s">
        <v>3</v>
      </c>
      <c r="V70" s="278"/>
      <c r="W70" s="277" t="s">
        <v>211</v>
      </c>
      <c r="X70" s="134"/>
      <c r="Y70" s="209" t="e">
        <f ca="1">science_cap*(1-EXP(-#REF!/(science_param*(OFFSET(#REF!,1,0)-OFFSET(#REF!,1,0)*20)+15000)))*(1+(mason_bonus*#REF!/#REF!))</f>
        <v>#REF!</v>
      </c>
      <c r="Z70" s="209" t="e">
        <f ca="1">keep_cap*(1-EXP(-#REF!/(keep_param*(OFFSET(#REF!,1,0)-OFFSET(#REF!,1,0)*20)+15000)))*(1+(mason_bonus*#REF!/#REF!))</f>
        <v>#REF!</v>
      </c>
      <c r="AA70" s="209" t="e">
        <f ca="1">harbor_towers_cap*(1-EXP(-#REF!/(towers_param*(OFFSET(#REF!,1,0)-OFFSET(#REF!,1,0)*20)+15000)))*(1+(mason_bonus*#REF!/#REF!))</f>
        <v>#REF!</v>
      </c>
      <c r="AB70" s="209" t="e">
        <f ca="1">walls_forges_cap*(1-EXP(-#REF!/(walls_forges_param*(OFFSET(#REF!,1,0)-OFFSET(#REF!,1,0)*20)+15000)))*(1+(mason_bonus*#REF!/#REF!))</f>
        <v>#REF!</v>
      </c>
      <c r="AC70" s="209" t="e">
        <f ca="1">walls_forges_cap*(1-EXP(-#REF!/(walls_forges_param*(OFFSET(#REF!,1,0)-OFFSET(#REF!,1,0)*20)+15000)))*(1+(mason_bonus*#REF!/#REF!))</f>
        <v>#REF!</v>
      </c>
      <c r="AD70" s="209" t="e">
        <f ca="1">harbor_towers_cap*(1-EXP(-#REF!/(harbor_towers_param*(OFFSET(#REF!,1,0)-OFFSET(#REF!,1,0)*20)+15000)))*(1+(mason_bonus*#REF!/#REF!))</f>
        <v>#REF!</v>
      </c>
      <c r="AE70" s="134"/>
      <c r="AF70" s="61" t="e">
        <f ca="1">(1+Overview!$I$28)*SUM(#REF!)+OFFSET(#REF!,-1,0)</f>
        <v>#REF!</v>
      </c>
      <c r="AG70" s="61" t="e">
        <f ca="1">(1+Overview!$I$28)*SUM(#REF!)+OFFSET(#REF!,-1,0)</f>
        <v>#REF!</v>
      </c>
      <c r="AH70" s="61" t="e">
        <f ca="1">(1+Overview!$I$28 + tech_7_1*#REF!)*SUM(#REF!)+OFFSET(#REF!,-1,0)</f>
        <v>#REF!</v>
      </c>
      <c r="AI70" s="61" t="e">
        <f ca="1">(1+Overview!$I$28)*SUM(#REF!)+OFFSET(#REF!,-1,0)</f>
        <v>#REF!</v>
      </c>
      <c r="AJ70" s="61" t="e">
        <f ca="1">(1+Overview!$I$28)*SUM(#REF!)+OFFSET(#REF!,-1,0)</f>
        <v>#REF!</v>
      </c>
      <c r="AK70" s="61" t="e">
        <f ca="1">(1+Overview!$I$28 + tech_7_1*#REF!)*SUM(#REF!)+OFFSET(#REF!,-1,0)</f>
        <v>#REF!</v>
      </c>
      <c r="AL70" s="134"/>
      <c r="AM70" s="57" t="e">
        <f>IF(AND(#REF!=AM$2,#REF!&lt;&gt;""),#REF!) + IF(AND(#REF!=AM$2,#REF!&lt;&gt;""),#REF!) + IF(AND(#REF!=AM$2,#REF!&lt;&gt;""),#REF!)</f>
        <v>#REF!</v>
      </c>
      <c r="AN70" s="57" t="e">
        <f>IF(AND(#REF!=AN$2,#REF!&lt;&gt;""),#REF!) + IF(AND(#REF!=AN$2,#REF!&lt;&gt;""),#REF!) + IF(AND(#REF!=AN$2,#REF!&lt;&gt;""),#REF!)</f>
        <v>#REF!</v>
      </c>
      <c r="AO70" s="57" t="e">
        <f>IF(AND(#REF!=AO$2,#REF!&lt;&gt;""),#REF!) + IF(AND(#REF!=AO$2,#REF!&lt;&gt;""),#REF!) + IF(AND(#REF!=AO$2,#REF!&lt;&gt;""),#REF!)</f>
        <v>#REF!</v>
      </c>
      <c r="AP70" s="57" t="e">
        <f>IF(AND(#REF!=AP$2,#REF!&lt;&gt;""),#REF!) + IF(AND(#REF!=AP$2,#REF!&lt;&gt;""),#REF!) + IF(AND(#REF!=AP$2,#REF!&lt;&gt;""),#REF!)</f>
        <v>#REF!</v>
      </c>
      <c r="AQ70" s="134"/>
      <c r="AR70" s="57" t="e">
        <f>IF(#REF!=AR$2,IF(#REF!=$Y$2,#REF!*plat_invest)) + IF(#REF!=AR$2,IF(#REF!=$Y$2,#REF!*plat_invest)) + IF(#REF!=AR$2,IF(#REF!=$Y$2,#REF!*plat_invest))</f>
        <v>#REF!</v>
      </c>
      <c r="AS70" s="57" t="e">
        <f>IF(#REF!=AS$2,IF(#REF!=$Y$2,#REF!*lumber_invest)) + IF(#REF!=AS$2,IF(#REF!=$Y$2,#REF!*lumber_invest)) + IF(#REF!=AS$2,IF(#REF!=$Y$2,#REF!*lumber_invest))</f>
        <v>#REF!</v>
      </c>
      <c r="AT70" s="57" t="e">
        <f>IF(#REF!=AT$2,IF(#REF!=$Y$2,#REF!*ore_invest)) + IF(#REF!=AT$2,IF(#REF!=$Y$2,#REF!*ore_invest)) + IF(#REF!=AT$2,IF(#REF!=$Y$2,#REF!*ore_invest))</f>
        <v>#REF!</v>
      </c>
      <c r="AU70" s="57" t="e">
        <f>IF(#REF!=AU$2,IF(#REF!=$Y$2,#REF!*gem_invest)) + IF(#REF!=AU$2,IF(#REF!=$Y$2,#REF!*gem_invest)) + IF(#REF!=AU$2,IF(#REF!=$Y$2,#REF!*gem_invest))</f>
        <v>#REF!</v>
      </c>
      <c r="AV70" s="134"/>
      <c r="AW70" s="57" t="e">
        <f>IF(#REF!=AW$2,IF(#REF!=$Z$2,#REF!*plat_invest)) + IF(#REF!=AW$2,IF(#REF!=$Z$2,#REF!*plat_invest)) + IF(#REF!=AW$2,IF(#REF!=$Z$2,#REF!*plat_invest))</f>
        <v>#REF!</v>
      </c>
      <c r="AX70" s="57" t="e">
        <f>IF(#REF!=AX$2,IF(#REF!=$Z$2,#REF!*lumber_invest)) + IF(#REF!=AX$2,IF(#REF!=$Z$2,#REF!*lumber_invest)) + IF(#REF!=AX$2,IF(#REF!=$Z$2,#REF!*lumber_invest))</f>
        <v>#REF!</v>
      </c>
      <c r="AY70" s="57" t="e">
        <f>IF(#REF!=AY$2,IF(#REF!=$Z$2,#REF!*ore_invest)) + IF(#REF!=AY$2,IF(#REF!=$Z$2,#REF!*ore_invest)) + IF(#REF!=AY$2,IF(#REF!=$Z$2,#REF!*ore_invest))</f>
        <v>#REF!</v>
      </c>
      <c r="AZ70" s="57" t="e">
        <f>IF(#REF!=AZ$2,IF(#REF!=$Z$2,#REF!*gem_invest)) + IF(#REF!=AZ$2,IF(#REF!=$Z$2,#REF!*gem_invest)) + IF(#REF!=AZ$2,IF(#REF!=$Z$2,#REF!*gem_invest))</f>
        <v>#REF!</v>
      </c>
      <c r="BA70" s="134"/>
      <c r="BB70" s="57" t="e">
        <f>IF(#REF!=BB$2,IF(#REF!=$AA$2,#REF!*plat_invest)) + IF(#REF!=BB$2,IF(#REF!=$AA$2,#REF!*plat_invest)) + IF(#REF!=BB$2,IF(#REF!=$AA$2,#REF!*plat_invest))</f>
        <v>#REF!</v>
      </c>
      <c r="BC70" s="57" t="e">
        <f>IF(#REF!=BC$2,IF(#REF!=$AA$2,#REF!*lumber_invest)) + IF(#REF!=BC$2,IF(#REF!=$AA$2,#REF!*lumber_invest)) + IF(#REF!=BC$2,IF(#REF!=$AA$2,#REF!*lumber_invest))</f>
        <v>#REF!</v>
      </c>
      <c r="BD70" s="57" t="e">
        <f>IF(#REF!=BD$2,IF(#REF!=$AA$2,#REF!*ore_invest)) + IF(#REF!=BD$2,IF(#REF!=$AA$2,#REF!*ore_invest)) + IF(#REF!=BD$2,IF(#REF!=$AA$2,#REF!*ore_invest))</f>
        <v>#REF!</v>
      </c>
      <c r="BE70" s="57" t="e">
        <f>IF(#REF!=BE$2,IF(#REF!=$AA$2,#REF!*gem_invest)) + IF(#REF!=BE$2,IF(#REF!=$AA$2,#REF!*gem_invest)) + IF(#REF!=BE$2,IF(#REF!=$AA$2,#REF!*gem_invest))</f>
        <v>#REF!</v>
      </c>
      <c r="BF70" s="134"/>
      <c r="BG70" s="57" t="e">
        <f>IF(#REF!=BG$2,IF(#REF!=$AB$2,#REF!*plat_invest)) + IF(#REF!=BG$2,IF(#REF!=$AB$2,#REF!*plat_invest)) + IF(#REF!=BG$2,IF(#REF!=$AB$2,#REF!*plat_invest))</f>
        <v>#REF!</v>
      </c>
      <c r="BH70" s="57" t="e">
        <f>IF(#REF!=BH$2,IF(#REF!=$AB$2,#REF!*lumber_invest)) + IF(#REF!=BH$2,IF(#REF!=$AB$2,#REF!*lumber_invest)) + IF(#REF!=BH$2,IF(#REF!=$AB$2,#REF!*lumber_invest))</f>
        <v>#REF!</v>
      </c>
      <c r="BI70" s="57" t="e">
        <f>IF(#REF!=BI$2,IF(#REF!=$AB$2,#REF!*ore_invest)) + IF(#REF!=BI$2,IF(#REF!=$AB$2,#REF!*ore_invest)) + IF(#REF!=BI$2,IF(#REF!=$AB$2,#REF!*ore_invest))</f>
        <v>#REF!</v>
      </c>
      <c r="BJ70" s="57" t="e">
        <f>IF(#REF!=BJ$2,IF(#REF!=$AB$2,#REF!*gem_invest)) + IF(#REF!=BJ$2,IF(#REF!=$AB$2,#REF!*gem_invest)) + IF(#REF!=BJ$2,IF(#REF!=$AB$2,#REF!*gem_invest))</f>
        <v>#REF!</v>
      </c>
      <c r="BK70" s="134"/>
      <c r="BL70" s="57" t="e">
        <f>IF(#REF!=BL$2,IF(#REF!=$AC$2,#REF!*plat_invest)) + IF(#REF!=BL$2,IF(#REF!=$AC$2,#REF!*plat_invest)) + IF(#REF!=BL$2,IF(#REF!=$AC$2,#REF!*plat_invest))</f>
        <v>#REF!</v>
      </c>
      <c r="BM70" s="57" t="e">
        <f>IF(#REF!=BM$2,IF(#REF!=$AC$2,#REF!*lumber_invest)) + IF(#REF!=BM$2,IF(#REF!=$AC$2,#REF!*lumber_invest)) + IF(#REF!=BM$2,IF(#REF!=$AC$2,#REF!*lumber_invest))</f>
        <v>#REF!</v>
      </c>
      <c r="BN70" s="57" t="e">
        <f>IF(#REF!=BN$2,IF(#REF!=$AC$2,#REF!*ore_invest)) + IF(#REF!=BN$2,IF(#REF!=$AC$2,#REF!*ore_invest)) + IF(#REF!=BN$2,IF(#REF!=$AC$2,#REF!*ore_invest))</f>
        <v>#REF!</v>
      </c>
      <c r="BO70" s="57" t="e">
        <f>IF(#REF!=BO$2,IF(#REF!=$AC$2,#REF!*gem_invest)) + IF(#REF!=BO$2,IF(#REF!=$AC$2,#REF!*gem_invest)) + IF(#REF!=BO$2,IF(#REF!=$AC$2,#REF!*gem_invest))</f>
        <v>#REF!</v>
      </c>
      <c r="BP70" s="134"/>
      <c r="BQ70" s="57" t="e">
        <f>IF(#REF!=BQ$2,IF(#REF!=$AD$2,#REF!*plat_invest)) + IF(#REF!=BQ$2,IF(#REF!=$AD$2,#REF!*plat_invest)) + IF(#REF!=BQ$2,IF(#REF!=$AD$2,#REF!*plat_invest))</f>
        <v>#REF!</v>
      </c>
      <c r="BR70" s="57" t="e">
        <f>IF(#REF!=BR$2,IF(#REF!=$AD$2,#REF!*lumber_invest)) + IF(#REF!=BR$2,IF(#REF!=$AD$2,#REF!*lumber_invest)) + IF(#REF!=BR$2,IF(#REF!=$AD$2,#REF!*lumber_invest))</f>
        <v>#REF!</v>
      </c>
      <c r="BS70" s="57" t="e">
        <f>IF(#REF!=BS$2,IF(#REF!=$AD$2,#REF!*ore_invest)) + IF(#REF!=BS$2,IF(#REF!=$AD$2,#REF!*ore_invest)) + IF(#REF!=BS$2,IF(#REF!=$AD$2,#REF!*ore_invest))</f>
        <v>#REF!</v>
      </c>
      <c r="BT70" s="57" t="e">
        <f>IF(#REF!=BT$2,IF(#REF!=$AD$2,#REF!*gem_invest)) + IF(#REF!=BT$2,IF(#REF!=$AD$2,#REF!*gem_invest)) + IF(#REF!=BT$2,IF(#REF!=$AD$2,#REF!*gem_invest))</f>
        <v>#REF!</v>
      </c>
      <c r="BU70" s="134"/>
      <c r="BV70" s="3" t="e">
        <f>OR(#REF!,#REF!,#REF!,#REF!,#REF!,#REF!,#REF!,#REF!,#REF!)</f>
        <v>#REF!</v>
      </c>
      <c r="BW70" s="61" t="e">
        <f>#REF!</f>
        <v>#REF!</v>
      </c>
      <c r="BX70" s="130"/>
      <c r="BY70" s="284" t="e">
        <f ca="1">OFFSET(#REF!,-1,0)+1/24</f>
        <v>#REF!</v>
      </c>
      <c r="BZ70" s="285" t="e">
        <f ca="1">OFFSET(#REF!,-1,0)+1/24</f>
        <v>#REF!</v>
      </c>
      <c r="CA70" s="57"/>
      <c r="CB70" s="283"/>
      <c r="CC70" s="283"/>
    </row>
    <row r="71" spans="1:84" x14ac:dyDescent="0.25">
      <c r="A71" s="206" t="e">
        <f>#REF!</f>
        <v>#REF!</v>
      </c>
      <c r="B71" s="134"/>
      <c r="C71" s="39" t="e">
        <f>#REF!</f>
        <v>#REF!</v>
      </c>
      <c r="D71" s="39" t="e">
        <f>#REF!</f>
        <v>#REF!</v>
      </c>
      <c r="E71" s="39" t="e">
        <f>#REF!</f>
        <v>#REF!</v>
      </c>
      <c r="F71" s="39" t="e">
        <f>#REF!</f>
        <v>#REF!</v>
      </c>
      <c r="G71" s="133"/>
      <c r="H71" s="39" t="e">
        <f>#REF!</f>
        <v>#REF!</v>
      </c>
      <c r="I71" s="132" t="e">
        <f>#REF!</f>
        <v>#REF!</v>
      </c>
      <c r="J71" s="132" t="e">
        <f>#REF!/#REF!</f>
        <v>#REF!</v>
      </c>
      <c r="K71" s="160" t="e">
        <f>#REF!</f>
        <v>#REF!</v>
      </c>
      <c r="L71" s="276" t="e">
        <f>#REF!</f>
        <v>#REF!</v>
      </c>
      <c r="M71" s="61">
        <f>IF(ISERROR(#REF!),0,#REF!*1)</f>
        <v>0</v>
      </c>
      <c r="N71" s="39" t="e">
        <f>#REF!</f>
        <v>#REF!</v>
      </c>
      <c r="O71" s="277" t="s">
        <v>4</v>
      </c>
      <c r="P71" s="278"/>
      <c r="Q71" s="277" t="s">
        <v>211</v>
      </c>
      <c r="R71" s="277" t="s">
        <v>7</v>
      </c>
      <c r="S71" s="278"/>
      <c r="T71" s="277" t="s">
        <v>211</v>
      </c>
      <c r="U71" s="277" t="s">
        <v>3</v>
      </c>
      <c r="V71" s="278"/>
      <c r="W71" s="277" t="s">
        <v>211</v>
      </c>
      <c r="X71" s="134"/>
      <c r="Y71" s="209" t="e">
        <f ca="1">science_cap*(1-EXP(-#REF!/(science_param*(OFFSET(#REF!,1,0)-OFFSET(#REF!,1,0)*20)+15000)))*(1+(mason_bonus*#REF!/#REF!))</f>
        <v>#REF!</v>
      </c>
      <c r="Z71" s="209" t="e">
        <f ca="1">keep_cap*(1-EXP(-#REF!/(keep_param*(OFFSET(#REF!,1,0)-OFFSET(#REF!,1,0)*20)+15000)))*(1+(mason_bonus*#REF!/#REF!))</f>
        <v>#REF!</v>
      </c>
      <c r="AA71" s="209" t="e">
        <f ca="1">harbor_towers_cap*(1-EXP(-#REF!/(towers_param*(OFFSET(#REF!,1,0)-OFFSET(#REF!,1,0)*20)+15000)))*(1+(mason_bonus*#REF!/#REF!))</f>
        <v>#REF!</v>
      </c>
      <c r="AB71" s="209" t="e">
        <f ca="1">walls_forges_cap*(1-EXP(-#REF!/(walls_forges_param*(OFFSET(#REF!,1,0)-OFFSET(#REF!,1,0)*20)+15000)))*(1+(mason_bonus*#REF!/#REF!))</f>
        <v>#REF!</v>
      </c>
      <c r="AC71" s="209" t="e">
        <f ca="1">walls_forges_cap*(1-EXP(-#REF!/(walls_forges_param*(OFFSET(#REF!,1,0)-OFFSET(#REF!,1,0)*20)+15000)))*(1+(mason_bonus*#REF!/#REF!))</f>
        <v>#REF!</v>
      </c>
      <c r="AD71" s="209" t="e">
        <f ca="1">harbor_towers_cap*(1-EXP(-#REF!/(harbor_towers_param*(OFFSET(#REF!,1,0)-OFFSET(#REF!,1,0)*20)+15000)))*(1+(mason_bonus*#REF!/#REF!))</f>
        <v>#REF!</v>
      </c>
      <c r="AE71" s="134"/>
      <c r="AF71" s="61" t="e">
        <f ca="1">(1+Overview!$I$28)*SUM(#REF!)+OFFSET(#REF!,-1,0)</f>
        <v>#REF!</v>
      </c>
      <c r="AG71" s="61" t="e">
        <f ca="1">(1+Overview!$I$28)*SUM(#REF!)+OFFSET(#REF!,-1,0)</f>
        <v>#REF!</v>
      </c>
      <c r="AH71" s="61" t="e">
        <f ca="1">(1+Overview!$I$28 + tech_7_1*#REF!)*SUM(#REF!)+OFFSET(#REF!,-1,0)</f>
        <v>#REF!</v>
      </c>
      <c r="AI71" s="61" t="e">
        <f ca="1">(1+Overview!$I$28)*SUM(#REF!)+OFFSET(#REF!,-1,0)</f>
        <v>#REF!</v>
      </c>
      <c r="AJ71" s="61" t="e">
        <f ca="1">(1+Overview!$I$28)*SUM(#REF!)+OFFSET(#REF!,-1,0)</f>
        <v>#REF!</v>
      </c>
      <c r="AK71" s="61" t="e">
        <f ca="1">(1+Overview!$I$28 + tech_7_1*#REF!)*SUM(#REF!)+OFFSET(#REF!,-1,0)</f>
        <v>#REF!</v>
      </c>
      <c r="AL71" s="134"/>
      <c r="AM71" s="57" t="e">
        <f>IF(AND(#REF!=AM$2,#REF!&lt;&gt;""),#REF!) + IF(AND(#REF!=AM$2,#REF!&lt;&gt;""),#REF!) + IF(AND(#REF!=AM$2,#REF!&lt;&gt;""),#REF!)</f>
        <v>#REF!</v>
      </c>
      <c r="AN71" s="57" t="e">
        <f>IF(AND(#REF!=AN$2,#REF!&lt;&gt;""),#REF!) + IF(AND(#REF!=AN$2,#REF!&lt;&gt;""),#REF!) + IF(AND(#REF!=AN$2,#REF!&lt;&gt;""),#REF!)</f>
        <v>#REF!</v>
      </c>
      <c r="AO71" s="57" t="e">
        <f>IF(AND(#REF!=AO$2,#REF!&lt;&gt;""),#REF!) + IF(AND(#REF!=AO$2,#REF!&lt;&gt;""),#REF!) + IF(AND(#REF!=AO$2,#REF!&lt;&gt;""),#REF!)</f>
        <v>#REF!</v>
      </c>
      <c r="AP71" s="57" t="e">
        <f>IF(AND(#REF!=AP$2,#REF!&lt;&gt;""),#REF!) + IF(AND(#REF!=AP$2,#REF!&lt;&gt;""),#REF!) + IF(AND(#REF!=AP$2,#REF!&lt;&gt;""),#REF!)</f>
        <v>#REF!</v>
      </c>
      <c r="AQ71" s="134"/>
      <c r="AR71" s="57" t="e">
        <f>IF(#REF!=AR$2,IF(#REF!=$Y$2,#REF!*plat_invest)) + IF(#REF!=AR$2,IF(#REF!=$Y$2,#REF!*plat_invest)) + IF(#REF!=AR$2,IF(#REF!=$Y$2,#REF!*plat_invest))</f>
        <v>#REF!</v>
      </c>
      <c r="AS71" s="57" t="e">
        <f>IF(#REF!=AS$2,IF(#REF!=$Y$2,#REF!*lumber_invest)) + IF(#REF!=AS$2,IF(#REF!=$Y$2,#REF!*lumber_invest)) + IF(#REF!=AS$2,IF(#REF!=$Y$2,#REF!*lumber_invest))</f>
        <v>#REF!</v>
      </c>
      <c r="AT71" s="57" t="e">
        <f>IF(#REF!=AT$2,IF(#REF!=$Y$2,#REF!*ore_invest)) + IF(#REF!=AT$2,IF(#REF!=$Y$2,#REF!*ore_invest)) + IF(#REF!=AT$2,IF(#REF!=$Y$2,#REF!*ore_invest))</f>
        <v>#REF!</v>
      </c>
      <c r="AU71" s="57" t="e">
        <f>IF(#REF!=AU$2,IF(#REF!=$Y$2,#REF!*gem_invest)) + IF(#REF!=AU$2,IF(#REF!=$Y$2,#REF!*gem_invest)) + IF(#REF!=AU$2,IF(#REF!=$Y$2,#REF!*gem_invest))</f>
        <v>#REF!</v>
      </c>
      <c r="AV71" s="134"/>
      <c r="AW71" s="57" t="e">
        <f>IF(#REF!=AW$2,IF(#REF!=$Z$2,#REF!*plat_invest)) + IF(#REF!=AW$2,IF(#REF!=$Z$2,#REF!*plat_invest)) + IF(#REF!=AW$2,IF(#REF!=$Z$2,#REF!*plat_invest))</f>
        <v>#REF!</v>
      </c>
      <c r="AX71" s="57" t="e">
        <f>IF(#REF!=AX$2,IF(#REF!=$Z$2,#REF!*lumber_invest)) + IF(#REF!=AX$2,IF(#REF!=$Z$2,#REF!*lumber_invest)) + IF(#REF!=AX$2,IF(#REF!=$Z$2,#REF!*lumber_invest))</f>
        <v>#REF!</v>
      </c>
      <c r="AY71" s="57" t="e">
        <f>IF(#REF!=AY$2,IF(#REF!=$Z$2,#REF!*ore_invest)) + IF(#REF!=AY$2,IF(#REF!=$Z$2,#REF!*ore_invest)) + IF(#REF!=AY$2,IF(#REF!=$Z$2,#REF!*ore_invest))</f>
        <v>#REF!</v>
      </c>
      <c r="AZ71" s="57" t="e">
        <f>IF(#REF!=AZ$2,IF(#REF!=$Z$2,#REF!*gem_invest)) + IF(#REF!=AZ$2,IF(#REF!=$Z$2,#REF!*gem_invest)) + IF(#REF!=AZ$2,IF(#REF!=$Z$2,#REF!*gem_invest))</f>
        <v>#REF!</v>
      </c>
      <c r="BA71" s="134"/>
      <c r="BB71" s="57" t="e">
        <f>IF(#REF!=BB$2,IF(#REF!=$AA$2,#REF!*plat_invest)) + IF(#REF!=BB$2,IF(#REF!=$AA$2,#REF!*plat_invest)) + IF(#REF!=BB$2,IF(#REF!=$AA$2,#REF!*plat_invest))</f>
        <v>#REF!</v>
      </c>
      <c r="BC71" s="57" t="e">
        <f>IF(#REF!=BC$2,IF(#REF!=$AA$2,#REF!*lumber_invest)) + IF(#REF!=BC$2,IF(#REF!=$AA$2,#REF!*lumber_invest)) + IF(#REF!=BC$2,IF(#REF!=$AA$2,#REF!*lumber_invest))</f>
        <v>#REF!</v>
      </c>
      <c r="BD71" s="57" t="e">
        <f>IF(#REF!=BD$2,IF(#REF!=$AA$2,#REF!*ore_invest)) + IF(#REF!=BD$2,IF(#REF!=$AA$2,#REF!*ore_invest)) + IF(#REF!=BD$2,IF(#REF!=$AA$2,#REF!*ore_invest))</f>
        <v>#REF!</v>
      </c>
      <c r="BE71" s="57" t="e">
        <f>IF(#REF!=BE$2,IF(#REF!=$AA$2,#REF!*gem_invest)) + IF(#REF!=BE$2,IF(#REF!=$AA$2,#REF!*gem_invest)) + IF(#REF!=BE$2,IF(#REF!=$AA$2,#REF!*gem_invest))</f>
        <v>#REF!</v>
      </c>
      <c r="BF71" s="134"/>
      <c r="BG71" s="57" t="e">
        <f>IF(#REF!=BG$2,IF(#REF!=$AB$2,#REF!*plat_invest)) + IF(#REF!=BG$2,IF(#REF!=$AB$2,#REF!*plat_invest)) + IF(#REF!=BG$2,IF(#REF!=$AB$2,#REF!*plat_invest))</f>
        <v>#REF!</v>
      </c>
      <c r="BH71" s="57" t="e">
        <f>IF(#REF!=BH$2,IF(#REF!=$AB$2,#REF!*lumber_invest)) + IF(#REF!=BH$2,IF(#REF!=$AB$2,#REF!*lumber_invest)) + IF(#REF!=BH$2,IF(#REF!=$AB$2,#REF!*lumber_invest))</f>
        <v>#REF!</v>
      </c>
      <c r="BI71" s="57" t="e">
        <f>IF(#REF!=BI$2,IF(#REF!=$AB$2,#REF!*ore_invest)) + IF(#REF!=BI$2,IF(#REF!=$AB$2,#REF!*ore_invest)) + IF(#REF!=BI$2,IF(#REF!=$AB$2,#REF!*ore_invest))</f>
        <v>#REF!</v>
      </c>
      <c r="BJ71" s="57" t="e">
        <f>IF(#REF!=BJ$2,IF(#REF!=$AB$2,#REF!*gem_invest)) + IF(#REF!=BJ$2,IF(#REF!=$AB$2,#REF!*gem_invest)) + IF(#REF!=BJ$2,IF(#REF!=$AB$2,#REF!*gem_invest))</f>
        <v>#REF!</v>
      </c>
      <c r="BK71" s="134"/>
      <c r="BL71" s="57" t="e">
        <f>IF(#REF!=BL$2,IF(#REF!=$AC$2,#REF!*plat_invest)) + IF(#REF!=BL$2,IF(#REF!=$AC$2,#REF!*plat_invest)) + IF(#REF!=BL$2,IF(#REF!=$AC$2,#REF!*plat_invest))</f>
        <v>#REF!</v>
      </c>
      <c r="BM71" s="57" t="e">
        <f>IF(#REF!=BM$2,IF(#REF!=$AC$2,#REF!*lumber_invest)) + IF(#REF!=BM$2,IF(#REF!=$AC$2,#REF!*lumber_invest)) + IF(#REF!=BM$2,IF(#REF!=$AC$2,#REF!*lumber_invest))</f>
        <v>#REF!</v>
      </c>
      <c r="BN71" s="57" t="e">
        <f>IF(#REF!=BN$2,IF(#REF!=$AC$2,#REF!*ore_invest)) + IF(#REF!=BN$2,IF(#REF!=$AC$2,#REF!*ore_invest)) + IF(#REF!=BN$2,IF(#REF!=$AC$2,#REF!*ore_invest))</f>
        <v>#REF!</v>
      </c>
      <c r="BO71" s="57" t="e">
        <f>IF(#REF!=BO$2,IF(#REF!=$AC$2,#REF!*gem_invest)) + IF(#REF!=BO$2,IF(#REF!=$AC$2,#REF!*gem_invest)) + IF(#REF!=BO$2,IF(#REF!=$AC$2,#REF!*gem_invest))</f>
        <v>#REF!</v>
      </c>
      <c r="BP71" s="134"/>
      <c r="BQ71" s="57" t="e">
        <f>IF(#REF!=BQ$2,IF(#REF!=$AD$2,#REF!*plat_invest)) + IF(#REF!=BQ$2,IF(#REF!=$AD$2,#REF!*plat_invest)) + IF(#REF!=BQ$2,IF(#REF!=$AD$2,#REF!*plat_invest))</f>
        <v>#REF!</v>
      </c>
      <c r="BR71" s="57" t="e">
        <f>IF(#REF!=BR$2,IF(#REF!=$AD$2,#REF!*lumber_invest)) + IF(#REF!=BR$2,IF(#REF!=$AD$2,#REF!*lumber_invest)) + IF(#REF!=BR$2,IF(#REF!=$AD$2,#REF!*lumber_invest))</f>
        <v>#REF!</v>
      </c>
      <c r="BS71" s="57" t="e">
        <f>IF(#REF!=BS$2,IF(#REF!=$AD$2,#REF!*ore_invest)) + IF(#REF!=BS$2,IF(#REF!=$AD$2,#REF!*ore_invest)) + IF(#REF!=BS$2,IF(#REF!=$AD$2,#REF!*ore_invest))</f>
        <v>#REF!</v>
      </c>
      <c r="BT71" s="57" t="e">
        <f>IF(#REF!=BT$2,IF(#REF!=$AD$2,#REF!*gem_invest)) + IF(#REF!=BT$2,IF(#REF!=$AD$2,#REF!*gem_invest)) + IF(#REF!=BT$2,IF(#REF!=$AD$2,#REF!*gem_invest))</f>
        <v>#REF!</v>
      </c>
      <c r="BU71" s="134"/>
      <c r="BV71" s="3" t="e">
        <f>OR(#REF!,#REF!,#REF!,#REF!,#REF!,#REF!,#REF!,#REF!,#REF!)</f>
        <v>#REF!</v>
      </c>
      <c r="BW71" s="61" t="e">
        <f>#REF!</f>
        <v>#REF!</v>
      </c>
      <c r="BX71" s="130"/>
      <c r="BY71" s="284" t="e">
        <f ca="1">OFFSET(#REF!,-1,0)+1/24</f>
        <v>#REF!</v>
      </c>
      <c r="BZ71" s="285" t="e">
        <f ca="1">OFFSET(#REF!,-1,0)+1/24</f>
        <v>#REF!</v>
      </c>
      <c r="CA71" s="57"/>
      <c r="CB71" s="283"/>
      <c r="CC71" s="283"/>
    </row>
    <row r="72" spans="1:84" x14ac:dyDescent="0.25">
      <c r="A72" s="206" t="e">
        <f>#REF!</f>
        <v>#REF!</v>
      </c>
      <c r="B72" s="134"/>
      <c r="C72" s="39" t="e">
        <f>#REF!</f>
        <v>#REF!</v>
      </c>
      <c r="D72" s="39" t="e">
        <f>#REF!</f>
        <v>#REF!</v>
      </c>
      <c r="E72" s="39" t="e">
        <f>#REF!</f>
        <v>#REF!</v>
      </c>
      <c r="F72" s="39" t="e">
        <f>#REF!</f>
        <v>#REF!</v>
      </c>
      <c r="G72" s="133"/>
      <c r="H72" s="39" t="e">
        <f>#REF!</f>
        <v>#REF!</v>
      </c>
      <c r="I72" s="132" t="e">
        <f>#REF!</f>
        <v>#REF!</v>
      </c>
      <c r="J72" s="132" t="e">
        <f>#REF!/#REF!</f>
        <v>#REF!</v>
      </c>
      <c r="K72" s="160" t="e">
        <f>#REF!</f>
        <v>#REF!</v>
      </c>
      <c r="L72" s="276" t="e">
        <f>#REF!</f>
        <v>#REF!</v>
      </c>
      <c r="M72" s="61">
        <f>IF(ISERROR(#REF!),0,#REF!*1)</f>
        <v>0</v>
      </c>
      <c r="N72" s="39" t="e">
        <f>#REF!</f>
        <v>#REF!</v>
      </c>
      <c r="O72" s="277" t="s">
        <v>4</v>
      </c>
      <c r="P72" s="278"/>
      <c r="Q72" s="277" t="s">
        <v>211</v>
      </c>
      <c r="R72" s="277" t="s">
        <v>7</v>
      </c>
      <c r="S72" s="278"/>
      <c r="T72" s="277" t="s">
        <v>211</v>
      </c>
      <c r="U72" s="277" t="s">
        <v>3</v>
      </c>
      <c r="V72" s="278"/>
      <c r="W72" s="277" t="s">
        <v>211</v>
      </c>
      <c r="X72" s="134"/>
      <c r="Y72" s="209" t="e">
        <f ca="1">science_cap*(1-EXP(-#REF!/(science_param*(OFFSET(#REF!,1,0)-OFFSET(#REF!,1,0)*20)+15000)))*(1+(mason_bonus*#REF!/#REF!))</f>
        <v>#REF!</v>
      </c>
      <c r="Z72" s="209" t="e">
        <f ca="1">keep_cap*(1-EXP(-#REF!/(keep_param*(OFFSET(#REF!,1,0)-OFFSET(#REF!,1,0)*20)+15000)))*(1+(mason_bonus*#REF!/#REF!))</f>
        <v>#REF!</v>
      </c>
      <c r="AA72" s="209" t="e">
        <f ca="1">harbor_towers_cap*(1-EXP(-#REF!/(towers_param*(OFFSET(#REF!,1,0)-OFFSET(#REF!,1,0)*20)+15000)))*(1+(mason_bonus*#REF!/#REF!))</f>
        <v>#REF!</v>
      </c>
      <c r="AB72" s="209" t="e">
        <f ca="1">walls_forges_cap*(1-EXP(-#REF!/(walls_forges_param*(OFFSET(#REF!,1,0)-OFFSET(#REF!,1,0)*20)+15000)))*(1+(mason_bonus*#REF!/#REF!))</f>
        <v>#REF!</v>
      </c>
      <c r="AC72" s="209" t="e">
        <f ca="1">walls_forges_cap*(1-EXP(-#REF!/(walls_forges_param*(OFFSET(#REF!,1,0)-OFFSET(#REF!,1,0)*20)+15000)))*(1+(mason_bonus*#REF!/#REF!))</f>
        <v>#REF!</v>
      </c>
      <c r="AD72" s="209" t="e">
        <f ca="1">harbor_towers_cap*(1-EXP(-#REF!/(harbor_towers_param*(OFFSET(#REF!,1,0)-OFFSET(#REF!,1,0)*20)+15000)))*(1+(mason_bonus*#REF!/#REF!))</f>
        <v>#REF!</v>
      </c>
      <c r="AE72" s="134"/>
      <c r="AF72" s="61" t="e">
        <f ca="1">(1+Overview!$I$28)*SUM(#REF!)+OFFSET(#REF!,-1,0)</f>
        <v>#REF!</v>
      </c>
      <c r="AG72" s="61" t="e">
        <f ca="1">(1+Overview!$I$28)*SUM(#REF!)+OFFSET(#REF!,-1,0)</f>
        <v>#REF!</v>
      </c>
      <c r="AH72" s="61" t="e">
        <f ca="1">(1+Overview!$I$28 + tech_7_1*#REF!)*SUM(#REF!)+OFFSET(#REF!,-1,0)</f>
        <v>#REF!</v>
      </c>
      <c r="AI72" s="61" t="e">
        <f ca="1">(1+Overview!$I$28)*SUM(#REF!)+OFFSET(#REF!,-1,0)</f>
        <v>#REF!</v>
      </c>
      <c r="AJ72" s="61" t="e">
        <f ca="1">(1+Overview!$I$28)*SUM(#REF!)+OFFSET(#REF!,-1,0)</f>
        <v>#REF!</v>
      </c>
      <c r="AK72" s="61" t="e">
        <f ca="1">(1+Overview!$I$28 + tech_7_1*#REF!)*SUM(#REF!)+OFFSET(#REF!,-1,0)</f>
        <v>#REF!</v>
      </c>
      <c r="AL72" s="134"/>
      <c r="AM72" s="57" t="e">
        <f>IF(AND(#REF!=AM$2,#REF!&lt;&gt;""),#REF!) + IF(AND(#REF!=AM$2,#REF!&lt;&gt;""),#REF!) + IF(AND(#REF!=AM$2,#REF!&lt;&gt;""),#REF!)</f>
        <v>#REF!</v>
      </c>
      <c r="AN72" s="57" t="e">
        <f>IF(AND(#REF!=AN$2,#REF!&lt;&gt;""),#REF!) + IF(AND(#REF!=AN$2,#REF!&lt;&gt;""),#REF!) + IF(AND(#REF!=AN$2,#REF!&lt;&gt;""),#REF!)</f>
        <v>#REF!</v>
      </c>
      <c r="AO72" s="57" t="e">
        <f>IF(AND(#REF!=AO$2,#REF!&lt;&gt;""),#REF!) + IF(AND(#REF!=AO$2,#REF!&lt;&gt;""),#REF!) + IF(AND(#REF!=AO$2,#REF!&lt;&gt;""),#REF!)</f>
        <v>#REF!</v>
      </c>
      <c r="AP72" s="57" t="e">
        <f>IF(AND(#REF!=AP$2,#REF!&lt;&gt;""),#REF!) + IF(AND(#REF!=AP$2,#REF!&lt;&gt;""),#REF!) + IF(AND(#REF!=AP$2,#REF!&lt;&gt;""),#REF!)</f>
        <v>#REF!</v>
      </c>
      <c r="AQ72" s="134"/>
      <c r="AR72" s="57" t="e">
        <f>IF(#REF!=AR$2,IF(#REF!=$Y$2,#REF!*plat_invest)) + IF(#REF!=AR$2,IF(#REF!=$Y$2,#REF!*plat_invest)) + IF(#REF!=AR$2,IF(#REF!=$Y$2,#REF!*plat_invest))</f>
        <v>#REF!</v>
      </c>
      <c r="AS72" s="57" t="e">
        <f>IF(#REF!=AS$2,IF(#REF!=$Y$2,#REF!*lumber_invest)) + IF(#REF!=AS$2,IF(#REF!=$Y$2,#REF!*lumber_invest)) + IF(#REF!=AS$2,IF(#REF!=$Y$2,#REF!*lumber_invest))</f>
        <v>#REF!</v>
      </c>
      <c r="AT72" s="57" t="e">
        <f>IF(#REF!=AT$2,IF(#REF!=$Y$2,#REF!*ore_invest)) + IF(#REF!=AT$2,IF(#REF!=$Y$2,#REF!*ore_invest)) + IF(#REF!=AT$2,IF(#REF!=$Y$2,#REF!*ore_invest))</f>
        <v>#REF!</v>
      </c>
      <c r="AU72" s="57" t="e">
        <f>IF(#REF!=AU$2,IF(#REF!=$Y$2,#REF!*gem_invest)) + IF(#REF!=AU$2,IF(#REF!=$Y$2,#REF!*gem_invest)) + IF(#REF!=AU$2,IF(#REF!=$Y$2,#REF!*gem_invest))</f>
        <v>#REF!</v>
      </c>
      <c r="AV72" s="134"/>
      <c r="AW72" s="57" t="e">
        <f>IF(#REF!=AW$2,IF(#REF!=$Z$2,#REF!*plat_invest)) + IF(#REF!=AW$2,IF(#REF!=$Z$2,#REF!*plat_invest)) + IF(#REF!=AW$2,IF(#REF!=$Z$2,#REF!*plat_invest))</f>
        <v>#REF!</v>
      </c>
      <c r="AX72" s="57" t="e">
        <f>IF(#REF!=AX$2,IF(#REF!=$Z$2,#REF!*lumber_invest)) + IF(#REF!=AX$2,IF(#REF!=$Z$2,#REF!*lumber_invest)) + IF(#REF!=AX$2,IF(#REF!=$Z$2,#REF!*lumber_invest))</f>
        <v>#REF!</v>
      </c>
      <c r="AY72" s="57" t="e">
        <f>IF(#REF!=AY$2,IF(#REF!=$Z$2,#REF!*ore_invest)) + IF(#REF!=AY$2,IF(#REF!=$Z$2,#REF!*ore_invest)) + IF(#REF!=AY$2,IF(#REF!=$Z$2,#REF!*ore_invest))</f>
        <v>#REF!</v>
      </c>
      <c r="AZ72" s="57" t="e">
        <f>IF(#REF!=AZ$2,IF(#REF!=$Z$2,#REF!*gem_invest)) + IF(#REF!=AZ$2,IF(#REF!=$Z$2,#REF!*gem_invest)) + IF(#REF!=AZ$2,IF(#REF!=$Z$2,#REF!*gem_invest))</f>
        <v>#REF!</v>
      </c>
      <c r="BA72" s="134"/>
      <c r="BB72" s="57" t="e">
        <f>IF(#REF!=BB$2,IF(#REF!=$AA$2,#REF!*plat_invest)) + IF(#REF!=BB$2,IF(#REF!=$AA$2,#REF!*plat_invest)) + IF(#REF!=BB$2,IF(#REF!=$AA$2,#REF!*plat_invest))</f>
        <v>#REF!</v>
      </c>
      <c r="BC72" s="57" t="e">
        <f>IF(#REF!=BC$2,IF(#REF!=$AA$2,#REF!*lumber_invest)) + IF(#REF!=BC$2,IF(#REF!=$AA$2,#REF!*lumber_invest)) + IF(#REF!=BC$2,IF(#REF!=$AA$2,#REF!*lumber_invest))</f>
        <v>#REF!</v>
      </c>
      <c r="BD72" s="57" t="e">
        <f>IF(#REF!=BD$2,IF(#REF!=$AA$2,#REF!*ore_invest)) + IF(#REF!=BD$2,IF(#REF!=$AA$2,#REF!*ore_invest)) + IF(#REF!=BD$2,IF(#REF!=$AA$2,#REF!*ore_invest))</f>
        <v>#REF!</v>
      </c>
      <c r="BE72" s="57" t="e">
        <f>IF(#REF!=BE$2,IF(#REF!=$AA$2,#REF!*gem_invest)) + IF(#REF!=BE$2,IF(#REF!=$AA$2,#REF!*gem_invest)) + IF(#REF!=BE$2,IF(#REF!=$AA$2,#REF!*gem_invest))</f>
        <v>#REF!</v>
      </c>
      <c r="BF72" s="134"/>
      <c r="BG72" s="57" t="e">
        <f>IF(#REF!=BG$2,IF(#REF!=$AB$2,#REF!*plat_invest)) + IF(#REF!=BG$2,IF(#REF!=$AB$2,#REF!*plat_invest)) + IF(#REF!=BG$2,IF(#REF!=$AB$2,#REF!*plat_invest))</f>
        <v>#REF!</v>
      </c>
      <c r="BH72" s="57" t="e">
        <f>IF(#REF!=BH$2,IF(#REF!=$AB$2,#REF!*lumber_invest)) + IF(#REF!=BH$2,IF(#REF!=$AB$2,#REF!*lumber_invest)) + IF(#REF!=BH$2,IF(#REF!=$AB$2,#REF!*lumber_invest))</f>
        <v>#REF!</v>
      </c>
      <c r="BI72" s="57" t="e">
        <f>IF(#REF!=BI$2,IF(#REF!=$AB$2,#REF!*ore_invest)) + IF(#REF!=BI$2,IF(#REF!=$AB$2,#REF!*ore_invest)) + IF(#REF!=BI$2,IF(#REF!=$AB$2,#REF!*ore_invest))</f>
        <v>#REF!</v>
      </c>
      <c r="BJ72" s="57" t="e">
        <f>IF(#REF!=BJ$2,IF(#REF!=$AB$2,#REF!*gem_invest)) + IF(#REF!=BJ$2,IF(#REF!=$AB$2,#REF!*gem_invest)) + IF(#REF!=BJ$2,IF(#REF!=$AB$2,#REF!*gem_invest))</f>
        <v>#REF!</v>
      </c>
      <c r="BK72" s="134"/>
      <c r="BL72" s="57" t="e">
        <f>IF(#REF!=BL$2,IF(#REF!=$AC$2,#REF!*plat_invest)) + IF(#REF!=BL$2,IF(#REF!=$AC$2,#REF!*plat_invest)) + IF(#REF!=BL$2,IF(#REF!=$AC$2,#REF!*plat_invest))</f>
        <v>#REF!</v>
      </c>
      <c r="BM72" s="57" t="e">
        <f>IF(#REF!=BM$2,IF(#REF!=$AC$2,#REF!*lumber_invest)) + IF(#REF!=BM$2,IF(#REF!=$AC$2,#REF!*lumber_invest)) + IF(#REF!=BM$2,IF(#REF!=$AC$2,#REF!*lumber_invest))</f>
        <v>#REF!</v>
      </c>
      <c r="BN72" s="57" t="e">
        <f>IF(#REF!=BN$2,IF(#REF!=$AC$2,#REF!*ore_invest)) + IF(#REF!=BN$2,IF(#REF!=$AC$2,#REF!*ore_invest)) + IF(#REF!=BN$2,IF(#REF!=$AC$2,#REF!*ore_invest))</f>
        <v>#REF!</v>
      </c>
      <c r="BO72" s="57" t="e">
        <f>IF(#REF!=BO$2,IF(#REF!=$AC$2,#REF!*gem_invest)) + IF(#REF!=BO$2,IF(#REF!=$AC$2,#REF!*gem_invest)) + IF(#REF!=BO$2,IF(#REF!=$AC$2,#REF!*gem_invest))</f>
        <v>#REF!</v>
      </c>
      <c r="BP72" s="134"/>
      <c r="BQ72" s="57" t="e">
        <f>IF(#REF!=BQ$2,IF(#REF!=$AD$2,#REF!*plat_invest)) + IF(#REF!=BQ$2,IF(#REF!=$AD$2,#REF!*plat_invest)) + IF(#REF!=BQ$2,IF(#REF!=$AD$2,#REF!*plat_invest))</f>
        <v>#REF!</v>
      </c>
      <c r="BR72" s="57" t="e">
        <f>IF(#REF!=BR$2,IF(#REF!=$AD$2,#REF!*lumber_invest)) + IF(#REF!=BR$2,IF(#REF!=$AD$2,#REF!*lumber_invest)) + IF(#REF!=BR$2,IF(#REF!=$AD$2,#REF!*lumber_invest))</f>
        <v>#REF!</v>
      </c>
      <c r="BS72" s="57" t="e">
        <f>IF(#REF!=BS$2,IF(#REF!=$AD$2,#REF!*ore_invest)) + IF(#REF!=BS$2,IF(#REF!=$AD$2,#REF!*ore_invest)) + IF(#REF!=BS$2,IF(#REF!=$AD$2,#REF!*ore_invest))</f>
        <v>#REF!</v>
      </c>
      <c r="BT72" s="57" t="e">
        <f>IF(#REF!=BT$2,IF(#REF!=$AD$2,#REF!*gem_invest)) + IF(#REF!=BT$2,IF(#REF!=$AD$2,#REF!*gem_invest)) + IF(#REF!=BT$2,IF(#REF!=$AD$2,#REF!*gem_invest))</f>
        <v>#REF!</v>
      </c>
      <c r="BU72" s="134"/>
      <c r="BV72" s="3" t="e">
        <f>OR(#REF!,#REF!,#REF!,#REF!,#REF!,#REF!,#REF!,#REF!,#REF!)</f>
        <v>#REF!</v>
      </c>
      <c r="BW72" s="61" t="e">
        <f>#REF!</f>
        <v>#REF!</v>
      </c>
      <c r="BX72" s="130"/>
      <c r="BY72" s="284" t="e">
        <f ca="1">OFFSET(#REF!,-1,0)+1/24</f>
        <v>#REF!</v>
      </c>
      <c r="BZ72" s="285" t="e">
        <f ca="1">OFFSET(#REF!,-1,0)+1/24</f>
        <v>#REF!</v>
      </c>
      <c r="CA72" s="57"/>
      <c r="CB72" s="283"/>
      <c r="CC72" s="283"/>
    </row>
    <row r="73" spans="1:84" x14ac:dyDescent="0.25">
      <c r="A73" s="206" t="e">
        <f>#REF!</f>
        <v>#REF!</v>
      </c>
      <c r="B73" s="134"/>
      <c r="C73" s="39" t="e">
        <f>#REF!</f>
        <v>#REF!</v>
      </c>
      <c r="D73" s="39" t="e">
        <f>#REF!</f>
        <v>#REF!</v>
      </c>
      <c r="E73" s="39" t="e">
        <f>#REF!</f>
        <v>#REF!</v>
      </c>
      <c r="F73" s="39" t="e">
        <f>#REF!</f>
        <v>#REF!</v>
      </c>
      <c r="G73" s="133"/>
      <c r="H73" s="39" t="e">
        <f>#REF!</f>
        <v>#REF!</v>
      </c>
      <c r="I73" s="132" t="e">
        <f>#REF!</f>
        <v>#REF!</v>
      </c>
      <c r="J73" s="132" t="e">
        <f>#REF!/#REF!</f>
        <v>#REF!</v>
      </c>
      <c r="K73" s="160" t="e">
        <f>#REF!</f>
        <v>#REF!</v>
      </c>
      <c r="L73" s="276" t="e">
        <f>#REF!</f>
        <v>#REF!</v>
      </c>
      <c r="M73" s="61">
        <f>IF(ISERROR(#REF!),0,#REF!*1)</f>
        <v>0</v>
      </c>
      <c r="N73" s="39" t="e">
        <f>#REF!</f>
        <v>#REF!</v>
      </c>
      <c r="O73" s="277" t="s">
        <v>4</v>
      </c>
      <c r="P73" s="278"/>
      <c r="Q73" s="277" t="s">
        <v>211</v>
      </c>
      <c r="R73" s="277" t="s">
        <v>7</v>
      </c>
      <c r="S73" s="278"/>
      <c r="T73" s="277" t="s">
        <v>211</v>
      </c>
      <c r="U73" s="277" t="s">
        <v>3</v>
      </c>
      <c r="V73" s="278"/>
      <c r="W73" s="277" t="s">
        <v>211</v>
      </c>
      <c r="X73" s="134"/>
      <c r="Y73" s="209" t="e">
        <f ca="1">science_cap*(1-EXP(-#REF!/(science_param*(OFFSET(#REF!,1,0)-OFFSET(#REF!,1,0)*20)+15000)))*(1+(mason_bonus*#REF!/#REF!))</f>
        <v>#REF!</v>
      </c>
      <c r="Z73" s="209" t="e">
        <f ca="1">keep_cap*(1-EXP(-#REF!/(keep_param*(OFFSET(#REF!,1,0)-OFFSET(#REF!,1,0)*20)+15000)))*(1+(mason_bonus*#REF!/#REF!))</f>
        <v>#REF!</v>
      </c>
      <c r="AA73" s="209" t="e">
        <f ca="1">harbor_towers_cap*(1-EXP(-#REF!/(towers_param*(OFFSET(#REF!,1,0)-OFFSET(#REF!,1,0)*20)+15000)))*(1+(mason_bonus*#REF!/#REF!))</f>
        <v>#REF!</v>
      </c>
      <c r="AB73" s="209" t="e">
        <f ca="1">walls_forges_cap*(1-EXP(-#REF!/(walls_forges_param*(OFFSET(#REF!,1,0)-OFFSET(#REF!,1,0)*20)+15000)))*(1+(mason_bonus*#REF!/#REF!))</f>
        <v>#REF!</v>
      </c>
      <c r="AC73" s="209" t="e">
        <f ca="1">walls_forges_cap*(1-EXP(-#REF!/(walls_forges_param*(OFFSET(#REF!,1,0)-OFFSET(#REF!,1,0)*20)+15000)))*(1+(mason_bonus*#REF!/#REF!))</f>
        <v>#REF!</v>
      </c>
      <c r="AD73" s="209" t="e">
        <f ca="1">harbor_towers_cap*(1-EXP(-#REF!/(harbor_towers_param*(OFFSET(#REF!,1,0)-OFFSET(#REF!,1,0)*20)+15000)))*(1+(mason_bonus*#REF!/#REF!))</f>
        <v>#REF!</v>
      </c>
      <c r="AE73" s="134"/>
      <c r="AF73" s="61" t="e">
        <f ca="1">(1+Overview!$I$28)*SUM(#REF!)+OFFSET(#REF!,-1,0)</f>
        <v>#REF!</v>
      </c>
      <c r="AG73" s="61" t="e">
        <f ca="1">(1+Overview!$I$28)*SUM(#REF!)+OFFSET(#REF!,-1,0)</f>
        <v>#REF!</v>
      </c>
      <c r="AH73" s="61" t="e">
        <f ca="1">(1+Overview!$I$28 + tech_7_1*#REF!)*SUM(#REF!)+OFFSET(#REF!,-1,0)</f>
        <v>#REF!</v>
      </c>
      <c r="AI73" s="61" t="e">
        <f ca="1">(1+Overview!$I$28)*SUM(#REF!)+OFFSET(#REF!,-1,0)</f>
        <v>#REF!</v>
      </c>
      <c r="AJ73" s="61" t="e">
        <f ca="1">(1+Overview!$I$28)*SUM(#REF!)+OFFSET(#REF!,-1,0)</f>
        <v>#REF!</v>
      </c>
      <c r="AK73" s="61" t="e">
        <f ca="1">(1+Overview!$I$28 + tech_7_1*#REF!)*SUM(#REF!)+OFFSET(#REF!,-1,0)</f>
        <v>#REF!</v>
      </c>
      <c r="AL73" s="134"/>
      <c r="AM73" s="57" t="e">
        <f>IF(AND(#REF!=AM$2,#REF!&lt;&gt;""),#REF!) + IF(AND(#REF!=AM$2,#REF!&lt;&gt;""),#REF!) + IF(AND(#REF!=AM$2,#REF!&lt;&gt;""),#REF!)</f>
        <v>#REF!</v>
      </c>
      <c r="AN73" s="57" t="e">
        <f>IF(AND(#REF!=AN$2,#REF!&lt;&gt;""),#REF!) + IF(AND(#REF!=AN$2,#REF!&lt;&gt;""),#REF!) + IF(AND(#REF!=AN$2,#REF!&lt;&gt;""),#REF!)</f>
        <v>#REF!</v>
      </c>
      <c r="AO73" s="57" t="e">
        <f>IF(AND(#REF!=AO$2,#REF!&lt;&gt;""),#REF!) + IF(AND(#REF!=AO$2,#REF!&lt;&gt;""),#REF!) + IF(AND(#REF!=AO$2,#REF!&lt;&gt;""),#REF!)</f>
        <v>#REF!</v>
      </c>
      <c r="AP73" s="57" t="e">
        <f>IF(AND(#REF!=AP$2,#REF!&lt;&gt;""),#REF!) + IF(AND(#REF!=AP$2,#REF!&lt;&gt;""),#REF!) + IF(AND(#REF!=AP$2,#REF!&lt;&gt;""),#REF!)</f>
        <v>#REF!</v>
      </c>
      <c r="AQ73" s="134"/>
      <c r="AR73" s="57" t="e">
        <f>IF(#REF!=AR$2,IF(#REF!=$Y$2,#REF!*plat_invest)) + IF(#REF!=AR$2,IF(#REF!=$Y$2,#REF!*plat_invest)) + IF(#REF!=AR$2,IF(#REF!=$Y$2,#REF!*plat_invest))</f>
        <v>#REF!</v>
      </c>
      <c r="AS73" s="57" t="e">
        <f>IF(#REF!=AS$2,IF(#REF!=$Y$2,#REF!*lumber_invest)) + IF(#REF!=AS$2,IF(#REF!=$Y$2,#REF!*lumber_invest)) + IF(#REF!=AS$2,IF(#REF!=$Y$2,#REF!*lumber_invest))</f>
        <v>#REF!</v>
      </c>
      <c r="AT73" s="57" t="e">
        <f>IF(#REF!=AT$2,IF(#REF!=$Y$2,#REF!*ore_invest)) + IF(#REF!=AT$2,IF(#REF!=$Y$2,#REF!*ore_invest)) + IF(#REF!=AT$2,IF(#REF!=$Y$2,#REF!*ore_invest))</f>
        <v>#REF!</v>
      </c>
      <c r="AU73" s="57" t="e">
        <f>IF(#REF!=AU$2,IF(#REF!=$Y$2,#REF!*gem_invest)) + IF(#REF!=AU$2,IF(#REF!=$Y$2,#REF!*gem_invest)) + IF(#REF!=AU$2,IF(#REF!=$Y$2,#REF!*gem_invest))</f>
        <v>#REF!</v>
      </c>
      <c r="AV73" s="134"/>
      <c r="AW73" s="57" t="e">
        <f>IF(#REF!=AW$2,IF(#REF!=$Z$2,#REF!*plat_invest)) + IF(#REF!=AW$2,IF(#REF!=$Z$2,#REF!*plat_invest)) + IF(#REF!=AW$2,IF(#REF!=$Z$2,#REF!*plat_invest))</f>
        <v>#REF!</v>
      </c>
      <c r="AX73" s="57" t="e">
        <f>IF(#REF!=AX$2,IF(#REF!=$Z$2,#REF!*lumber_invest)) + IF(#REF!=AX$2,IF(#REF!=$Z$2,#REF!*lumber_invest)) + IF(#REF!=AX$2,IF(#REF!=$Z$2,#REF!*lumber_invest))</f>
        <v>#REF!</v>
      </c>
      <c r="AY73" s="57" t="e">
        <f>IF(#REF!=AY$2,IF(#REF!=$Z$2,#REF!*ore_invest)) + IF(#REF!=AY$2,IF(#REF!=$Z$2,#REF!*ore_invest)) + IF(#REF!=AY$2,IF(#REF!=$Z$2,#REF!*ore_invest))</f>
        <v>#REF!</v>
      </c>
      <c r="AZ73" s="57" t="e">
        <f>IF(#REF!=AZ$2,IF(#REF!=$Z$2,#REF!*gem_invest)) + IF(#REF!=AZ$2,IF(#REF!=$Z$2,#REF!*gem_invest)) + IF(#REF!=AZ$2,IF(#REF!=$Z$2,#REF!*gem_invest))</f>
        <v>#REF!</v>
      </c>
      <c r="BA73" s="134"/>
      <c r="BB73" s="57" t="e">
        <f>IF(#REF!=BB$2,IF(#REF!=$AA$2,#REF!*plat_invest)) + IF(#REF!=BB$2,IF(#REF!=$AA$2,#REF!*plat_invest)) + IF(#REF!=BB$2,IF(#REF!=$AA$2,#REF!*plat_invest))</f>
        <v>#REF!</v>
      </c>
      <c r="BC73" s="57" t="e">
        <f>IF(#REF!=BC$2,IF(#REF!=$AA$2,#REF!*lumber_invest)) + IF(#REF!=BC$2,IF(#REF!=$AA$2,#REF!*lumber_invest)) + IF(#REF!=BC$2,IF(#REF!=$AA$2,#REF!*lumber_invest))</f>
        <v>#REF!</v>
      </c>
      <c r="BD73" s="57" t="e">
        <f>IF(#REF!=BD$2,IF(#REF!=$AA$2,#REF!*ore_invest)) + IF(#REF!=BD$2,IF(#REF!=$AA$2,#REF!*ore_invest)) + IF(#REF!=BD$2,IF(#REF!=$AA$2,#REF!*ore_invest))</f>
        <v>#REF!</v>
      </c>
      <c r="BE73" s="57" t="e">
        <f>IF(#REF!=BE$2,IF(#REF!=$AA$2,#REF!*gem_invest)) + IF(#REF!=BE$2,IF(#REF!=$AA$2,#REF!*gem_invest)) + IF(#REF!=BE$2,IF(#REF!=$AA$2,#REF!*gem_invest))</f>
        <v>#REF!</v>
      </c>
      <c r="BF73" s="134"/>
      <c r="BG73" s="57" t="e">
        <f>IF(#REF!=BG$2,IF(#REF!=$AB$2,#REF!*plat_invest)) + IF(#REF!=BG$2,IF(#REF!=$AB$2,#REF!*plat_invest)) + IF(#REF!=BG$2,IF(#REF!=$AB$2,#REF!*plat_invest))</f>
        <v>#REF!</v>
      </c>
      <c r="BH73" s="57" t="e">
        <f>IF(#REF!=BH$2,IF(#REF!=$AB$2,#REF!*lumber_invest)) + IF(#REF!=BH$2,IF(#REF!=$AB$2,#REF!*lumber_invest)) + IF(#REF!=BH$2,IF(#REF!=$AB$2,#REF!*lumber_invest))</f>
        <v>#REF!</v>
      </c>
      <c r="BI73" s="57" t="e">
        <f>IF(#REF!=BI$2,IF(#REF!=$AB$2,#REF!*ore_invest)) + IF(#REF!=BI$2,IF(#REF!=$AB$2,#REF!*ore_invest)) + IF(#REF!=BI$2,IF(#REF!=$AB$2,#REF!*ore_invest))</f>
        <v>#REF!</v>
      </c>
      <c r="BJ73" s="57" t="e">
        <f>IF(#REF!=BJ$2,IF(#REF!=$AB$2,#REF!*gem_invest)) + IF(#REF!=BJ$2,IF(#REF!=$AB$2,#REF!*gem_invest)) + IF(#REF!=BJ$2,IF(#REF!=$AB$2,#REF!*gem_invest))</f>
        <v>#REF!</v>
      </c>
      <c r="BK73" s="134"/>
      <c r="BL73" s="57" t="e">
        <f>IF(#REF!=BL$2,IF(#REF!=$AC$2,#REF!*plat_invest)) + IF(#REF!=BL$2,IF(#REF!=$AC$2,#REF!*plat_invest)) + IF(#REF!=BL$2,IF(#REF!=$AC$2,#REF!*plat_invest))</f>
        <v>#REF!</v>
      </c>
      <c r="BM73" s="57" t="e">
        <f>IF(#REF!=BM$2,IF(#REF!=$AC$2,#REF!*lumber_invest)) + IF(#REF!=BM$2,IF(#REF!=$AC$2,#REF!*lumber_invest)) + IF(#REF!=BM$2,IF(#REF!=$AC$2,#REF!*lumber_invest))</f>
        <v>#REF!</v>
      </c>
      <c r="BN73" s="57" t="e">
        <f>IF(#REF!=BN$2,IF(#REF!=$AC$2,#REF!*ore_invest)) + IF(#REF!=BN$2,IF(#REF!=$AC$2,#REF!*ore_invest)) + IF(#REF!=BN$2,IF(#REF!=$AC$2,#REF!*ore_invest))</f>
        <v>#REF!</v>
      </c>
      <c r="BO73" s="57" t="e">
        <f>IF(#REF!=BO$2,IF(#REF!=$AC$2,#REF!*gem_invest)) + IF(#REF!=BO$2,IF(#REF!=$AC$2,#REF!*gem_invest)) + IF(#REF!=BO$2,IF(#REF!=$AC$2,#REF!*gem_invest))</f>
        <v>#REF!</v>
      </c>
      <c r="BP73" s="134"/>
      <c r="BQ73" s="57" t="e">
        <f>IF(#REF!=BQ$2,IF(#REF!=$AD$2,#REF!*plat_invest)) + IF(#REF!=BQ$2,IF(#REF!=$AD$2,#REF!*plat_invest)) + IF(#REF!=BQ$2,IF(#REF!=$AD$2,#REF!*plat_invest))</f>
        <v>#REF!</v>
      </c>
      <c r="BR73" s="57" t="e">
        <f>IF(#REF!=BR$2,IF(#REF!=$AD$2,#REF!*lumber_invest)) + IF(#REF!=BR$2,IF(#REF!=$AD$2,#REF!*lumber_invest)) + IF(#REF!=BR$2,IF(#REF!=$AD$2,#REF!*lumber_invest))</f>
        <v>#REF!</v>
      </c>
      <c r="BS73" s="57" t="e">
        <f>IF(#REF!=BS$2,IF(#REF!=$AD$2,#REF!*ore_invest)) + IF(#REF!=BS$2,IF(#REF!=$AD$2,#REF!*ore_invest)) + IF(#REF!=BS$2,IF(#REF!=$AD$2,#REF!*ore_invest))</f>
        <v>#REF!</v>
      </c>
      <c r="BT73" s="57" t="e">
        <f>IF(#REF!=BT$2,IF(#REF!=$AD$2,#REF!*gem_invest)) + IF(#REF!=BT$2,IF(#REF!=$AD$2,#REF!*gem_invest)) + IF(#REF!=BT$2,IF(#REF!=$AD$2,#REF!*gem_invest))</f>
        <v>#REF!</v>
      </c>
      <c r="BU73" s="134"/>
      <c r="BV73" s="3" t="e">
        <f>OR(#REF!,#REF!,#REF!,#REF!,#REF!,#REF!,#REF!,#REF!,#REF!)</f>
        <v>#REF!</v>
      </c>
      <c r="BW73" s="61" t="e">
        <f>#REF!</f>
        <v>#REF!</v>
      </c>
      <c r="BX73" s="130"/>
      <c r="BY73" s="284" t="e">
        <f ca="1">OFFSET(#REF!,-1,0)+1/24</f>
        <v>#REF!</v>
      </c>
      <c r="BZ73" s="285" t="e">
        <f ca="1">OFFSET(#REF!,-1,0)+1/24</f>
        <v>#REF!</v>
      </c>
      <c r="CA73" s="57"/>
      <c r="CB73" s="283"/>
      <c r="CC73" s="283"/>
    </row>
    <row r="74" spans="1:84" x14ac:dyDescent="0.25">
      <c r="A74" s="206" t="e">
        <f>#REF!</f>
        <v>#REF!</v>
      </c>
      <c r="B74" s="134"/>
      <c r="C74" s="39" t="e">
        <f>#REF!</f>
        <v>#REF!</v>
      </c>
      <c r="D74" s="39" t="e">
        <f>#REF!</f>
        <v>#REF!</v>
      </c>
      <c r="E74" s="39" t="e">
        <f>#REF!</f>
        <v>#REF!</v>
      </c>
      <c r="F74" s="39" t="e">
        <f>#REF!</f>
        <v>#REF!</v>
      </c>
      <c r="G74" s="133"/>
      <c r="H74" s="39" t="e">
        <f>#REF!</f>
        <v>#REF!</v>
      </c>
      <c r="I74" s="132" t="e">
        <f>#REF!</f>
        <v>#REF!</v>
      </c>
      <c r="J74" s="132" t="e">
        <f>#REF!/#REF!</f>
        <v>#REF!</v>
      </c>
      <c r="K74" s="160" t="e">
        <f>#REF!</f>
        <v>#REF!</v>
      </c>
      <c r="L74" s="276" t="e">
        <f>#REF!</f>
        <v>#REF!</v>
      </c>
      <c r="M74" s="61">
        <f>IF(ISERROR(#REF!),0,#REF!*1)</f>
        <v>0</v>
      </c>
      <c r="N74" s="39" t="e">
        <f>#REF!</f>
        <v>#REF!</v>
      </c>
      <c r="O74" s="277" t="s">
        <v>4</v>
      </c>
      <c r="P74" s="278"/>
      <c r="Q74" s="277" t="s">
        <v>211</v>
      </c>
      <c r="R74" s="277" t="s">
        <v>7</v>
      </c>
      <c r="S74" s="278"/>
      <c r="T74" s="277" t="s">
        <v>211</v>
      </c>
      <c r="U74" s="277" t="s">
        <v>3</v>
      </c>
      <c r="V74" s="278"/>
      <c r="W74" s="277" t="s">
        <v>211</v>
      </c>
      <c r="X74" s="134"/>
      <c r="Y74" s="209" t="e">
        <f ca="1">science_cap*(1-EXP(-#REF!/(science_param*(OFFSET(#REF!,1,0)-OFFSET(#REF!,1,0)*20)+15000)))*(1+(mason_bonus*#REF!/#REF!))</f>
        <v>#REF!</v>
      </c>
      <c r="Z74" s="209" t="e">
        <f ca="1">keep_cap*(1-EXP(-#REF!/(keep_param*(OFFSET(#REF!,1,0)-OFFSET(#REF!,1,0)*20)+15000)))*(1+(mason_bonus*#REF!/#REF!))</f>
        <v>#REF!</v>
      </c>
      <c r="AA74" s="209" t="e">
        <f ca="1">harbor_towers_cap*(1-EXP(-#REF!/(towers_param*(OFFSET(#REF!,1,0)-OFFSET(#REF!,1,0)*20)+15000)))*(1+(mason_bonus*#REF!/#REF!))</f>
        <v>#REF!</v>
      </c>
      <c r="AB74" s="209" t="e">
        <f ca="1">walls_forges_cap*(1-EXP(-#REF!/(walls_forges_param*(OFFSET(#REF!,1,0)-OFFSET(#REF!,1,0)*20)+15000)))*(1+(mason_bonus*#REF!/#REF!))</f>
        <v>#REF!</v>
      </c>
      <c r="AC74" s="209" t="e">
        <f ca="1">walls_forges_cap*(1-EXP(-#REF!/(walls_forges_param*(OFFSET(#REF!,1,0)-OFFSET(#REF!,1,0)*20)+15000)))*(1+(mason_bonus*#REF!/#REF!))</f>
        <v>#REF!</v>
      </c>
      <c r="AD74" s="209" t="e">
        <f ca="1">harbor_towers_cap*(1-EXP(-#REF!/(harbor_towers_param*(OFFSET(#REF!,1,0)-OFFSET(#REF!,1,0)*20)+15000)))*(1+(mason_bonus*#REF!/#REF!))</f>
        <v>#REF!</v>
      </c>
      <c r="AE74" s="134"/>
      <c r="AF74" s="61" t="e">
        <f ca="1">(1+Overview!$I$28)*SUM(#REF!)+OFFSET(#REF!,-1,0)</f>
        <v>#REF!</v>
      </c>
      <c r="AG74" s="61" t="e">
        <f ca="1">(1+Overview!$I$28)*SUM(#REF!)+OFFSET(#REF!,-1,0)</f>
        <v>#REF!</v>
      </c>
      <c r="AH74" s="61" t="e">
        <f ca="1">(1+Overview!$I$28 + tech_7_1*#REF!)*SUM(#REF!)+OFFSET(#REF!,-1,0)</f>
        <v>#REF!</v>
      </c>
      <c r="AI74" s="61" t="e">
        <f ca="1">(1+Overview!$I$28)*SUM(#REF!)+OFFSET(#REF!,-1,0)</f>
        <v>#REF!</v>
      </c>
      <c r="AJ74" s="61" t="e">
        <f ca="1">(1+Overview!$I$28)*SUM(#REF!)+OFFSET(#REF!,-1,0)</f>
        <v>#REF!</v>
      </c>
      <c r="AK74" s="61" t="e">
        <f ca="1">(1+Overview!$I$28 + tech_7_1*#REF!)*SUM(#REF!)+OFFSET(#REF!,-1,0)</f>
        <v>#REF!</v>
      </c>
      <c r="AL74" s="134"/>
      <c r="AM74" s="57" t="e">
        <f>IF(AND(#REF!=AM$2,#REF!&lt;&gt;""),#REF!) + IF(AND(#REF!=AM$2,#REF!&lt;&gt;""),#REF!) + IF(AND(#REF!=AM$2,#REF!&lt;&gt;""),#REF!)</f>
        <v>#REF!</v>
      </c>
      <c r="AN74" s="57" t="e">
        <f>IF(AND(#REF!=AN$2,#REF!&lt;&gt;""),#REF!) + IF(AND(#REF!=AN$2,#REF!&lt;&gt;""),#REF!) + IF(AND(#REF!=AN$2,#REF!&lt;&gt;""),#REF!)</f>
        <v>#REF!</v>
      </c>
      <c r="AO74" s="57" t="e">
        <f>IF(AND(#REF!=AO$2,#REF!&lt;&gt;""),#REF!) + IF(AND(#REF!=AO$2,#REF!&lt;&gt;""),#REF!) + IF(AND(#REF!=AO$2,#REF!&lt;&gt;""),#REF!)</f>
        <v>#REF!</v>
      </c>
      <c r="AP74" s="57" t="e">
        <f>IF(AND(#REF!=AP$2,#REF!&lt;&gt;""),#REF!) + IF(AND(#REF!=AP$2,#REF!&lt;&gt;""),#REF!) + IF(AND(#REF!=AP$2,#REF!&lt;&gt;""),#REF!)</f>
        <v>#REF!</v>
      </c>
      <c r="AQ74" s="134"/>
      <c r="AR74" s="57" t="e">
        <f>IF(#REF!=AR$2,IF(#REF!=$Y$2,#REF!*plat_invest)) + IF(#REF!=AR$2,IF(#REF!=$Y$2,#REF!*plat_invest)) + IF(#REF!=AR$2,IF(#REF!=$Y$2,#REF!*plat_invest))</f>
        <v>#REF!</v>
      </c>
      <c r="AS74" s="57" t="e">
        <f>IF(#REF!=AS$2,IF(#REF!=$Y$2,#REF!*lumber_invest)) + IF(#REF!=AS$2,IF(#REF!=$Y$2,#REF!*lumber_invest)) + IF(#REF!=AS$2,IF(#REF!=$Y$2,#REF!*lumber_invest))</f>
        <v>#REF!</v>
      </c>
      <c r="AT74" s="57" t="e">
        <f>IF(#REF!=AT$2,IF(#REF!=$Y$2,#REF!*ore_invest)) + IF(#REF!=AT$2,IF(#REF!=$Y$2,#REF!*ore_invest)) + IF(#REF!=AT$2,IF(#REF!=$Y$2,#REF!*ore_invest))</f>
        <v>#REF!</v>
      </c>
      <c r="AU74" s="57" t="e">
        <f>IF(#REF!=AU$2,IF(#REF!=$Y$2,#REF!*gem_invest)) + IF(#REF!=AU$2,IF(#REF!=$Y$2,#REF!*gem_invest)) + IF(#REF!=AU$2,IF(#REF!=$Y$2,#REF!*gem_invest))</f>
        <v>#REF!</v>
      </c>
      <c r="AV74" s="134"/>
      <c r="AW74" s="57" t="e">
        <f>IF(#REF!=AW$2,IF(#REF!=$Z$2,#REF!*plat_invest)) + IF(#REF!=AW$2,IF(#REF!=$Z$2,#REF!*plat_invest)) + IF(#REF!=AW$2,IF(#REF!=$Z$2,#REF!*plat_invest))</f>
        <v>#REF!</v>
      </c>
      <c r="AX74" s="57" t="e">
        <f>IF(#REF!=AX$2,IF(#REF!=$Z$2,#REF!*lumber_invest)) + IF(#REF!=AX$2,IF(#REF!=$Z$2,#REF!*lumber_invest)) + IF(#REF!=AX$2,IF(#REF!=$Z$2,#REF!*lumber_invest))</f>
        <v>#REF!</v>
      </c>
      <c r="AY74" s="57" t="e">
        <f>IF(#REF!=AY$2,IF(#REF!=$Z$2,#REF!*ore_invest)) + IF(#REF!=AY$2,IF(#REF!=$Z$2,#REF!*ore_invest)) + IF(#REF!=AY$2,IF(#REF!=$Z$2,#REF!*ore_invest))</f>
        <v>#REF!</v>
      </c>
      <c r="AZ74" s="57" t="e">
        <f>IF(#REF!=AZ$2,IF(#REF!=$Z$2,#REF!*gem_invest)) + IF(#REF!=AZ$2,IF(#REF!=$Z$2,#REF!*gem_invest)) + IF(#REF!=AZ$2,IF(#REF!=$Z$2,#REF!*gem_invest))</f>
        <v>#REF!</v>
      </c>
      <c r="BA74" s="134"/>
      <c r="BB74" s="57" t="e">
        <f>IF(#REF!=BB$2,IF(#REF!=$AA$2,#REF!*plat_invest)) + IF(#REF!=BB$2,IF(#REF!=$AA$2,#REF!*plat_invest)) + IF(#REF!=BB$2,IF(#REF!=$AA$2,#REF!*plat_invest))</f>
        <v>#REF!</v>
      </c>
      <c r="BC74" s="57" t="e">
        <f>IF(#REF!=BC$2,IF(#REF!=$AA$2,#REF!*lumber_invest)) + IF(#REF!=BC$2,IF(#REF!=$AA$2,#REF!*lumber_invest)) + IF(#REF!=BC$2,IF(#REF!=$AA$2,#REF!*lumber_invest))</f>
        <v>#REF!</v>
      </c>
      <c r="BD74" s="57" t="e">
        <f>IF(#REF!=BD$2,IF(#REF!=$AA$2,#REF!*ore_invest)) + IF(#REF!=BD$2,IF(#REF!=$AA$2,#REF!*ore_invest)) + IF(#REF!=BD$2,IF(#REF!=$AA$2,#REF!*ore_invest))</f>
        <v>#REF!</v>
      </c>
      <c r="BE74" s="57" t="e">
        <f>IF(#REF!=BE$2,IF(#REF!=$AA$2,#REF!*gem_invest)) + IF(#REF!=BE$2,IF(#REF!=$AA$2,#REF!*gem_invest)) + IF(#REF!=BE$2,IF(#REF!=$AA$2,#REF!*gem_invest))</f>
        <v>#REF!</v>
      </c>
      <c r="BF74" s="134"/>
      <c r="BG74" s="57" t="e">
        <f>IF(#REF!=BG$2,IF(#REF!=$AB$2,#REF!*plat_invest)) + IF(#REF!=BG$2,IF(#REF!=$AB$2,#REF!*plat_invest)) + IF(#REF!=BG$2,IF(#REF!=$AB$2,#REF!*plat_invest))</f>
        <v>#REF!</v>
      </c>
      <c r="BH74" s="57" t="e">
        <f>IF(#REF!=BH$2,IF(#REF!=$AB$2,#REF!*lumber_invest)) + IF(#REF!=BH$2,IF(#REF!=$AB$2,#REF!*lumber_invest)) + IF(#REF!=BH$2,IF(#REF!=$AB$2,#REF!*lumber_invest))</f>
        <v>#REF!</v>
      </c>
      <c r="BI74" s="57" t="e">
        <f>IF(#REF!=BI$2,IF(#REF!=$AB$2,#REF!*ore_invest)) + IF(#REF!=BI$2,IF(#REF!=$AB$2,#REF!*ore_invest)) + IF(#REF!=BI$2,IF(#REF!=$AB$2,#REF!*ore_invest))</f>
        <v>#REF!</v>
      </c>
      <c r="BJ74" s="57" t="e">
        <f>IF(#REF!=BJ$2,IF(#REF!=$AB$2,#REF!*gem_invest)) + IF(#REF!=BJ$2,IF(#REF!=$AB$2,#REF!*gem_invest)) + IF(#REF!=BJ$2,IF(#REF!=$AB$2,#REF!*gem_invest))</f>
        <v>#REF!</v>
      </c>
      <c r="BK74" s="134"/>
      <c r="BL74" s="57" t="e">
        <f>IF(#REF!=BL$2,IF(#REF!=$AC$2,#REF!*plat_invest)) + IF(#REF!=BL$2,IF(#REF!=$AC$2,#REF!*plat_invest)) + IF(#REF!=BL$2,IF(#REF!=$AC$2,#REF!*plat_invest))</f>
        <v>#REF!</v>
      </c>
      <c r="BM74" s="57" t="e">
        <f>IF(#REF!=BM$2,IF(#REF!=$AC$2,#REF!*lumber_invest)) + IF(#REF!=BM$2,IF(#REF!=$AC$2,#REF!*lumber_invest)) + IF(#REF!=BM$2,IF(#REF!=$AC$2,#REF!*lumber_invest))</f>
        <v>#REF!</v>
      </c>
      <c r="BN74" s="57" t="e">
        <f>IF(#REF!=BN$2,IF(#REF!=$AC$2,#REF!*ore_invest)) + IF(#REF!=BN$2,IF(#REF!=$AC$2,#REF!*ore_invest)) + IF(#REF!=BN$2,IF(#REF!=$AC$2,#REF!*ore_invest))</f>
        <v>#REF!</v>
      </c>
      <c r="BO74" s="57" t="e">
        <f>IF(#REF!=BO$2,IF(#REF!=$AC$2,#REF!*gem_invest)) + IF(#REF!=BO$2,IF(#REF!=$AC$2,#REF!*gem_invest)) + IF(#REF!=BO$2,IF(#REF!=$AC$2,#REF!*gem_invest))</f>
        <v>#REF!</v>
      </c>
      <c r="BP74" s="134"/>
      <c r="BQ74" s="57" t="e">
        <f>IF(#REF!=BQ$2,IF(#REF!=$AD$2,#REF!*plat_invest)) + IF(#REF!=BQ$2,IF(#REF!=$AD$2,#REF!*plat_invest)) + IF(#REF!=BQ$2,IF(#REF!=$AD$2,#REF!*plat_invest))</f>
        <v>#REF!</v>
      </c>
      <c r="BR74" s="57" t="e">
        <f>IF(#REF!=BR$2,IF(#REF!=$AD$2,#REF!*lumber_invest)) + IF(#REF!=BR$2,IF(#REF!=$AD$2,#REF!*lumber_invest)) + IF(#REF!=BR$2,IF(#REF!=$AD$2,#REF!*lumber_invest))</f>
        <v>#REF!</v>
      </c>
      <c r="BS74" s="57" t="e">
        <f>IF(#REF!=BS$2,IF(#REF!=$AD$2,#REF!*ore_invest)) + IF(#REF!=BS$2,IF(#REF!=$AD$2,#REF!*ore_invest)) + IF(#REF!=BS$2,IF(#REF!=$AD$2,#REF!*ore_invest))</f>
        <v>#REF!</v>
      </c>
      <c r="BT74" s="57" t="e">
        <f>IF(#REF!=BT$2,IF(#REF!=$AD$2,#REF!*gem_invest)) + IF(#REF!=BT$2,IF(#REF!=$AD$2,#REF!*gem_invest)) + IF(#REF!=BT$2,IF(#REF!=$AD$2,#REF!*gem_invest))</f>
        <v>#REF!</v>
      </c>
      <c r="BU74" s="134"/>
      <c r="BV74" s="3" t="e">
        <f>OR(#REF!,#REF!,#REF!,#REF!,#REF!,#REF!,#REF!,#REF!,#REF!)</f>
        <v>#REF!</v>
      </c>
      <c r="BW74" s="61" t="e">
        <f>#REF!</f>
        <v>#REF!</v>
      </c>
      <c r="BX74" s="130"/>
      <c r="BY74" s="284" t="e">
        <f ca="1">OFFSET(#REF!,-1,0)+1/24</f>
        <v>#REF!</v>
      </c>
      <c r="BZ74" s="285" t="e">
        <f ca="1">OFFSET(#REF!,-1,0)+1/24</f>
        <v>#REF!</v>
      </c>
      <c r="CA74" s="57"/>
      <c r="CB74" s="283"/>
      <c r="CC74" s="283"/>
    </row>
    <row r="75" spans="1:84" x14ac:dyDescent="0.25">
      <c r="A75" s="206" t="e">
        <f>#REF!</f>
        <v>#REF!</v>
      </c>
      <c r="B75" s="134"/>
      <c r="C75" s="39" t="e">
        <f>#REF!</f>
        <v>#REF!</v>
      </c>
      <c r="D75" s="39" t="e">
        <f>#REF!</f>
        <v>#REF!</v>
      </c>
      <c r="E75" s="39" t="e">
        <f>#REF!</f>
        <v>#REF!</v>
      </c>
      <c r="F75" s="39" t="e">
        <f>#REF!</f>
        <v>#REF!</v>
      </c>
      <c r="G75" s="133"/>
      <c r="H75" s="39" t="e">
        <f>#REF!</f>
        <v>#REF!</v>
      </c>
      <c r="I75" s="132" t="e">
        <f>#REF!</f>
        <v>#REF!</v>
      </c>
      <c r="J75" s="132" t="e">
        <f>#REF!/#REF!</f>
        <v>#REF!</v>
      </c>
      <c r="K75" s="160" t="e">
        <f>#REF!</f>
        <v>#REF!</v>
      </c>
      <c r="L75" s="276" t="e">
        <f>#REF!</f>
        <v>#REF!</v>
      </c>
      <c r="M75" s="61">
        <f>IF(ISERROR(#REF!),0,#REF!*1)</f>
        <v>0</v>
      </c>
      <c r="N75" s="39" t="e">
        <f>#REF!</f>
        <v>#REF!</v>
      </c>
      <c r="O75" s="277" t="s">
        <v>4</v>
      </c>
      <c r="P75" s="278"/>
      <c r="Q75" s="277" t="s">
        <v>211</v>
      </c>
      <c r="R75" s="277" t="s">
        <v>7</v>
      </c>
      <c r="S75" s="278"/>
      <c r="T75" s="277" t="s">
        <v>211</v>
      </c>
      <c r="U75" s="277" t="s">
        <v>3</v>
      </c>
      <c r="V75" s="278"/>
      <c r="W75" s="277" t="s">
        <v>211</v>
      </c>
      <c r="X75" s="134"/>
      <c r="Y75" s="209" t="e">
        <f ca="1">science_cap*(1-EXP(-#REF!/(science_param*(OFFSET(#REF!,1,0)-OFFSET(#REF!,1,0)*20)+15000)))*(1+(mason_bonus*#REF!/#REF!))</f>
        <v>#REF!</v>
      </c>
      <c r="Z75" s="209" t="e">
        <f ca="1">keep_cap*(1-EXP(-#REF!/(keep_param*(OFFSET(#REF!,1,0)-OFFSET(#REF!,1,0)*20)+15000)))*(1+(mason_bonus*#REF!/#REF!))</f>
        <v>#REF!</v>
      </c>
      <c r="AA75" s="209" t="e">
        <f ca="1">harbor_towers_cap*(1-EXP(-#REF!/(towers_param*(OFFSET(#REF!,1,0)-OFFSET(#REF!,1,0)*20)+15000)))*(1+(mason_bonus*#REF!/#REF!))</f>
        <v>#REF!</v>
      </c>
      <c r="AB75" s="209" t="e">
        <f ca="1">walls_forges_cap*(1-EXP(-#REF!/(walls_forges_param*(OFFSET(#REF!,1,0)-OFFSET(#REF!,1,0)*20)+15000)))*(1+(mason_bonus*#REF!/#REF!))</f>
        <v>#REF!</v>
      </c>
      <c r="AC75" s="209" t="e">
        <f ca="1">walls_forges_cap*(1-EXP(-#REF!/(walls_forges_param*(OFFSET(#REF!,1,0)-OFFSET(#REF!,1,0)*20)+15000)))*(1+(mason_bonus*#REF!/#REF!))</f>
        <v>#REF!</v>
      </c>
      <c r="AD75" s="209" t="e">
        <f ca="1">harbor_towers_cap*(1-EXP(-#REF!/(harbor_towers_param*(OFFSET(#REF!,1,0)-OFFSET(#REF!,1,0)*20)+15000)))*(1+(mason_bonus*#REF!/#REF!))</f>
        <v>#REF!</v>
      </c>
      <c r="AE75" s="134"/>
      <c r="AF75" s="61" t="e">
        <f ca="1">(1+Overview!$I$28)*SUM(#REF!)+OFFSET(#REF!,-1,0)</f>
        <v>#REF!</v>
      </c>
      <c r="AG75" s="61" t="e">
        <f ca="1">(1+Overview!$I$28)*SUM(#REF!)+OFFSET(#REF!,-1,0)</f>
        <v>#REF!</v>
      </c>
      <c r="AH75" s="61" t="e">
        <f ca="1">(1+Overview!$I$28 + tech_7_1*#REF!)*SUM(#REF!)+OFFSET(#REF!,-1,0)</f>
        <v>#REF!</v>
      </c>
      <c r="AI75" s="61" t="e">
        <f ca="1">(1+Overview!$I$28)*SUM(#REF!)+OFFSET(#REF!,-1,0)</f>
        <v>#REF!</v>
      </c>
      <c r="AJ75" s="61" t="e">
        <f ca="1">(1+Overview!$I$28)*SUM(#REF!)+OFFSET(#REF!,-1,0)</f>
        <v>#REF!</v>
      </c>
      <c r="AK75" s="61" t="e">
        <f ca="1">(1+Overview!$I$28 + tech_7_1*#REF!)*SUM(#REF!)+OFFSET(#REF!,-1,0)</f>
        <v>#REF!</v>
      </c>
      <c r="AL75" s="134"/>
      <c r="AM75" s="57" t="e">
        <f>IF(AND(#REF!=AM$2,#REF!&lt;&gt;""),#REF!) + IF(AND(#REF!=AM$2,#REF!&lt;&gt;""),#REF!) + IF(AND(#REF!=AM$2,#REF!&lt;&gt;""),#REF!)</f>
        <v>#REF!</v>
      </c>
      <c r="AN75" s="57" t="e">
        <f>IF(AND(#REF!=AN$2,#REF!&lt;&gt;""),#REF!) + IF(AND(#REF!=AN$2,#REF!&lt;&gt;""),#REF!) + IF(AND(#REF!=AN$2,#REF!&lt;&gt;""),#REF!)</f>
        <v>#REF!</v>
      </c>
      <c r="AO75" s="57" t="e">
        <f>IF(AND(#REF!=AO$2,#REF!&lt;&gt;""),#REF!) + IF(AND(#REF!=AO$2,#REF!&lt;&gt;""),#REF!) + IF(AND(#REF!=AO$2,#REF!&lt;&gt;""),#REF!)</f>
        <v>#REF!</v>
      </c>
      <c r="AP75" s="57" t="e">
        <f>IF(AND(#REF!=AP$2,#REF!&lt;&gt;""),#REF!) + IF(AND(#REF!=AP$2,#REF!&lt;&gt;""),#REF!) + IF(AND(#REF!=AP$2,#REF!&lt;&gt;""),#REF!)</f>
        <v>#REF!</v>
      </c>
      <c r="AQ75" s="134"/>
      <c r="AR75" s="57" t="e">
        <f>IF(#REF!=AR$2,IF(#REF!=$Y$2,#REF!*plat_invest)) + IF(#REF!=AR$2,IF(#REF!=$Y$2,#REF!*plat_invest)) + IF(#REF!=AR$2,IF(#REF!=$Y$2,#REF!*plat_invest))</f>
        <v>#REF!</v>
      </c>
      <c r="AS75" s="57" t="e">
        <f>IF(#REF!=AS$2,IF(#REF!=$Y$2,#REF!*lumber_invest)) + IF(#REF!=AS$2,IF(#REF!=$Y$2,#REF!*lumber_invest)) + IF(#REF!=AS$2,IF(#REF!=$Y$2,#REF!*lumber_invest))</f>
        <v>#REF!</v>
      </c>
      <c r="AT75" s="57" t="e">
        <f>IF(#REF!=AT$2,IF(#REF!=$Y$2,#REF!*ore_invest)) + IF(#REF!=AT$2,IF(#REF!=$Y$2,#REF!*ore_invest)) + IF(#REF!=AT$2,IF(#REF!=$Y$2,#REF!*ore_invest))</f>
        <v>#REF!</v>
      </c>
      <c r="AU75" s="57" t="e">
        <f>IF(#REF!=AU$2,IF(#REF!=$Y$2,#REF!*gem_invest)) + IF(#REF!=AU$2,IF(#REF!=$Y$2,#REF!*gem_invest)) + IF(#REF!=AU$2,IF(#REF!=$Y$2,#REF!*gem_invest))</f>
        <v>#REF!</v>
      </c>
      <c r="AV75" s="134"/>
      <c r="AW75" s="57" t="e">
        <f>IF(#REF!=AW$2,IF(#REF!=$Z$2,#REF!*plat_invest)) + IF(#REF!=AW$2,IF(#REF!=$Z$2,#REF!*plat_invest)) + IF(#REF!=AW$2,IF(#REF!=$Z$2,#REF!*plat_invest))</f>
        <v>#REF!</v>
      </c>
      <c r="AX75" s="57" t="e">
        <f>IF(#REF!=AX$2,IF(#REF!=$Z$2,#REF!*lumber_invest)) + IF(#REF!=AX$2,IF(#REF!=$Z$2,#REF!*lumber_invest)) + IF(#REF!=AX$2,IF(#REF!=$Z$2,#REF!*lumber_invest))</f>
        <v>#REF!</v>
      </c>
      <c r="AY75" s="57" t="e">
        <f>IF(#REF!=AY$2,IF(#REF!=$Z$2,#REF!*ore_invest)) + IF(#REF!=AY$2,IF(#REF!=$Z$2,#REF!*ore_invest)) + IF(#REF!=AY$2,IF(#REF!=$Z$2,#REF!*ore_invest))</f>
        <v>#REF!</v>
      </c>
      <c r="AZ75" s="57" t="e">
        <f>IF(#REF!=AZ$2,IF(#REF!=$Z$2,#REF!*gem_invest)) + IF(#REF!=AZ$2,IF(#REF!=$Z$2,#REF!*gem_invest)) + IF(#REF!=AZ$2,IF(#REF!=$Z$2,#REF!*gem_invest))</f>
        <v>#REF!</v>
      </c>
      <c r="BA75" s="134"/>
      <c r="BB75" s="57" t="e">
        <f>IF(#REF!=BB$2,IF(#REF!=$AA$2,#REF!*plat_invest)) + IF(#REF!=BB$2,IF(#REF!=$AA$2,#REF!*plat_invest)) + IF(#REF!=BB$2,IF(#REF!=$AA$2,#REF!*plat_invest))</f>
        <v>#REF!</v>
      </c>
      <c r="BC75" s="57" t="e">
        <f>IF(#REF!=BC$2,IF(#REF!=$AA$2,#REF!*lumber_invest)) + IF(#REF!=BC$2,IF(#REF!=$AA$2,#REF!*lumber_invest)) + IF(#REF!=BC$2,IF(#REF!=$AA$2,#REF!*lumber_invest))</f>
        <v>#REF!</v>
      </c>
      <c r="BD75" s="57" t="e">
        <f>IF(#REF!=BD$2,IF(#REF!=$AA$2,#REF!*ore_invest)) + IF(#REF!=BD$2,IF(#REF!=$AA$2,#REF!*ore_invest)) + IF(#REF!=BD$2,IF(#REF!=$AA$2,#REF!*ore_invest))</f>
        <v>#REF!</v>
      </c>
      <c r="BE75" s="57" t="e">
        <f>IF(#REF!=BE$2,IF(#REF!=$AA$2,#REF!*gem_invest)) + IF(#REF!=BE$2,IF(#REF!=$AA$2,#REF!*gem_invest)) + IF(#REF!=BE$2,IF(#REF!=$AA$2,#REF!*gem_invest))</f>
        <v>#REF!</v>
      </c>
      <c r="BF75" s="134"/>
      <c r="BG75" s="57" t="e">
        <f>IF(#REF!=BG$2,IF(#REF!=$AB$2,#REF!*plat_invest)) + IF(#REF!=BG$2,IF(#REF!=$AB$2,#REF!*plat_invest)) + IF(#REF!=BG$2,IF(#REF!=$AB$2,#REF!*plat_invest))</f>
        <v>#REF!</v>
      </c>
      <c r="BH75" s="57" t="e">
        <f>IF(#REF!=BH$2,IF(#REF!=$AB$2,#REF!*lumber_invest)) + IF(#REF!=BH$2,IF(#REF!=$AB$2,#REF!*lumber_invest)) + IF(#REF!=BH$2,IF(#REF!=$AB$2,#REF!*lumber_invest))</f>
        <v>#REF!</v>
      </c>
      <c r="BI75" s="57" t="e">
        <f>IF(#REF!=BI$2,IF(#REF!=$AB$2,#REF!*ore_invest)) + IF(#REF!=BI$2,IF(#REF!=$AB$2,#REF!*ore_invest)) + IF(#REF!=BI$2,IF(#REF!=$AB$2,#REF!*ore_invest))</f>
        <v>#REF!</v>
      </c>
      <c r="BJ75" s="57" t="e">
        <f>IF(#REF!=BJ$2,IF(#REF!=$AB$2,#REF!*gem_invest)) + IF(#REF!=BJ$2,IF(#REF!=$AB$2,#REF!*gem_invest)) + IF(#REF!=BJ$2,IF(#REF!=$AB$2,#REF!*gem_invest))</f>
        <v>#REF!</v>
      </c>
      <c r="BK75" s="134"/>
      <c r="BL75" s="57" t="e">
        <f>IF(#REF!=BL$2,IF(#REF!=$AC$2,#REF!*plat_invest)) + IF(#REF!=BL$2,IF(#REF!=$AC$2,#REF!*plat_invest)) + IF(#REF!=BL$2,IF(#REF!=$AC$2,#REF!*plat_invest))</f>
        <v>#REF!</v>
      </c>
      <c r="BM75" s="57" t="e">
        <f>IF(#REF!=BM$2,IF(#REF!=$AC$2,#REF!*lumber_invest)) + IF(#REF!=BM$2,IF(#REF!=$AC$2,#REF!*lumber_invest)) + IF(#REF!=BM$2,IF(#REF!=$AC$2,#REF!*lumber_invest))</f>
        <v>#REF!</v>
      </c>
      <c r="BN75" s="57" t="e">
        <f>IF(#REF!=BN$2,IF(#REF!=$AC$2,#REF!*ore_invest)) + IF(#REF!=BN$2,IF(#REF!=$AC$2,#REF!*ore_invest)) + IF(#REF!=BN$2,IF(#REF!=$AC$2,#REF!*ore_invest))</f>
        <v>#REF!</v>
      </c>
      <c r="BO75" s="57" t="e">
        <f>IF(#REF!=BO$2,IF(#REF!=$AC$2,#REF!*gem_invest)) + IF(#REF!=BO$2,IF(#REF!=$AC$2,#REF!*gem_invest)) + IF(#REF!=BO$2,IF(#REF!=$AC$2,#REF!*gem_invest))</f>
        <v>#REF!</v>
      </c>
      <c r="BP75" s="134"/>
      <c r="BQ75" s="57" t="e">
        <f>IF(#REF!=BQ$2,IF(#REF!=$AD$2,#REF!*plat_invest)) + IF(#REF!=BQ$2,IF(#REF!=$AD$2,#REF!*plat_invest)) + IF(#REF!=BQ$2,IF(#REF!=$AD$2,#REF!*plat_invest))</f>
        <v>#REF!</v>
      </c>
      <c r="BR75" s="57" t="e">
        <f>IF(#REF!=BR$2,IF(#REF!=$AD$2,#REF!*lumber_invest)) + IF(#REF!=BR$2,IF(#REF!=$AD$2,#REF!*lumber_invest)) + IF(#REF!=BR$2,IF(#REF!=$AD$2,#REF!*lumber_invest))</f>
        <v>#REF!</v>
      </c>
      <c r="BS75" s="57" t="e">
        <f>IF(#REF!=BS$2,IF(#REF!=$AD$2,#REF!*ore_invest)) + IF(#REF!=BS$2,IF(#REF!=$AD$2,#REF!*ore_invest)) + IF(#REF!=BS$2,IF(#REF!=$AD$2,#REF!*ore_invest))</f>
        <v>#REF!</v>
      </c>
      <c r="BT75" s="57" t="e">
        <f>IF(#REF!=BT$2,IF(#REF!=$AD$2,#REF!*gem_invest)) + IF(#REF!=BT$2,IF(#REF!=$AD$2,#REF!*gem_invest)) + IF(#REF!=BT$2,IF(#REF!=$AD$2,#REF!*gem_invest))</f>
        <v>#REF!</v>
      </c>
      <c r="BU75" s="134"/>
      <c r="BV75" s="3" t="e">
        <f>OR(#REF!,#REF!,#REF!,#REF!,#REF!,#REF!,#REF!,#REF!,#REF!)</f>
        <v>#REF!</v>
      </c>
      <c r="BW75" s="61" t="e">
        <f>#REF!</f>
        <v>#REF!</v>
      </c>
      <c r="BX75" s="130"/>
      <c r="BY75" s="284" t="e">
        <f ca="1">OFFSET(#REF!,-1,0)+1/24</f>
        <v>#REF!</v>
      </c>
      <c r="BZ75" s="285" t="e">
        <f ca="1">OFFSET(#REF!,-1,0)+1/24</f>
        <v>#REF!</v>
      </c>
      <c r="CA75" s="57"/>
      <c r="CB75" s="283"/>
      <c r="CC75" s="283"/>
    </row>
    <row r="76" spans="1:84" ht="13" x14ac:dyDescent="0.3">
      <c r="A76" s="221" t="e">
        <f>#REF!</f>
        <v>#REF!</v>
      </c>
      <c r="B76" s="140"/>
      <c r="C76" s="191" t="e">
        <f>#REF!</f>
        <v>#REF!</v>
      </c>
      <c r="D76" s="191" t="e">
        <f>#REF!</f>
        <v>#REF!</v>
      </c>
      <c r="E76" s="191" t="e">
        <f>#REF!</f>
        <v>#REF!</v>
      </c>
      <c r="F76" s="191" t="e">
        <f>#REF!</f>
        <v>#REF!</v>
      </c>
      <c r="G76" s="150"/>
      <c r="H76" s="191" t="e">
        <f>#REF!</f>
        <v>#REF!</v>
      </c>
      <c r="I76" s="190" t="e">
        <f>#REF!</f>
        <v>#REF!</v>
      </c>
      <c r="J76" s="190" t="e">
        <f>#REF!/#REF!</f>
        <v>#REF!</v>
      </c>
      <c r="K76" s="177" t="e">
        <f>#REF!</f>
        <v>#REF!</v>
      </c>
      <c r="L76" s="289" t="e">
        <f>#REF!</f>
        <v>#REF!</v>
      </c>
      <c r="M76" s="181">
        <f>IF(ISERROR(#REF!),0,#REF!*1)</f>
        <v>0</v>
      </c>
      <c r="N76" s="191" t="e">
        <f>#REF!</f>
        <v>#REF!</v>
      </c>
      <c r="O76" s="290" t="s">
        <v>4</v>
      </c>
      <c r="P76" s="291"/>
      <c r="Q76" s="290" t="s">
        <v>211</v>
      </c>
      <c r="R76" s="277" t="s">
        <v>7</v>
      </c>
      <c r="S76" s="291"/>
      <c r="T76" s="290" t="s">
        <v>211</v>
      </c>
      <c r="U76" s="290" t="s">
        <v>3</v>
      </c>
      <c r="V76" s="291"/>
      <c r="W76" s="290" t="s">
        <v>211</v>
      </c>
      <c r="X76" s="140"/>
      <c r="Y76" s="224" t="e">
        <f ca="1">science_cap*(1-EXP(-#REF!/(science_param*(OFFSET(#REF!,1,0)-OFFSET(#REF!,1,0)*20)+15000)))*(1+(mason_bonus*#REF!/#REF!))</f>
        <v>#REF!</v>
      </c>
      <c r="Z76" s="224" t="e">
        <f ca="1">keep_cap*(1-EXP(-#REF!/(keep_param*(OFFSET(#REF!,1,0)-OFFSET(#REF!,1,0)*20)+15000)))*(1+(mason_bonus*#REF!/#REF!))</f>
        <v>#REF!</v>
      </c>
      <c r="AA76" s="224" t="e">
        <f ca="1">harbor_towers_cap*(1-EXP(-#REF!/(towers_param*(OFFSET(#REF!,1,0)-OFFSET(#REF!,1,0)*20)+15000)))*(1+(mason_bonus*#REF!/#REF!))</f>
        <v>#REF!</v>
      </c>
      <c r="AB76" s="224" t="e">
        <f ca="1">walls_forges_cap*(1-EXP(-#REF!/(walls_forges_param*(OFFSET(#REF!,1,0)-OFFSET(#REF!,1,0)*20)+15000)))*(1+(mason_bonus*#REF!/#REF!))</f>
        <v>#REF!</v>
      </c>
      <c r="AC76" s="224" t="e">
        <f ca="1">walls_forges_cap*(1-EXP(-#REF!/(walls_forges_param*(OFFSET(#REF!,1,0)-OFFSET(#REF!,1,0)*20)+15000)))*(1+(mason_bonus*#REF!/#REF!))</f>
        <v>#REF!</v>
      </c>
      <c r="AD76" s="224" t="e">
        <f ca="1">harbor_towers_cap*(1-EXP(-#REF!/(harbor_towers_param*(OFFSET(#REF!,1,0)-OFFSET(#REF!,1,0)*20)+15000)))*(1+(mason_bonus*#REF!/#REF!))</f>
        <v>#REF!</v>
      </c>
      <c r="AE76" s="140"/>
      <c r="AF76" s="181" t="e">
        <f ca="1">(1+Overview!$I$28)*SUM(#REF!)+OFFSET(#REF!,-1,0)</f>
        <v>#REF!</v>
      </c>
      <c r="AG76" s="181" t="e">
        <f ca="1">(1+Overview!$I$28)*SUM(#REF!)+OFFSET(#REF!,-1,0)</f>
        <v>#REF!</v>
      </c>
      <c r="AH76" s="181" t="e">
        <f ca="1">(1+Overview!$I$28 + tech_7_1*#REF!)*SUM(#REF!)+OFFSET(#REF!,-1,0)</f>
        <v>#REF!</v>
      </c>
      <c r="AI76" s="181" t="e">
        <f ca="1">(1+Overview!$I$28)*SUM(#REF!)+OFFSET(#REF!,-1,0)</f>
        <v>#REF!</v>
      </c>
      <c r="AJ76" s="181" t="e">
        <f ca="1">(1+Overview!$I$28)*SUM(#REF!)+OFFSET(#REF!,-1,0)</f>
        <v>#REF!</v>
      </c>
      <c r="AK76" s="181" t="e">
        <f ca="1">(1+Overview!$I$28 + tech_7_1*#REF!)*SUM(#REF!)+OFFSET(#REF!,-1,0)</f>
        <v>#REF!</v>
      </c>
      <c r="AL76" s="140"/>
      <c r="AM76" s="193" t="e">
        <f>IF(AND(#REF!=AM$2,#REF!&lt;&gt;""),#REF!) + IF(AND(#REF!=AM$2,#REF!&lt;&gt;""),#REF!) + IF(AND(#REF!=AM$2,#REF!&lt;&gt;""),#REF!)</f>
        <v>#REF!</v>
      </c>
      <c r="AN76" s="193" t="e">
        <f>IF(AND(#REF!=AN$2,#REF!&lt;&gt;""),#REF!) + IF(AND(#REF!=AN$2,#REF!&lt;&gt;""),#REF!) + IF(AND(#REF!=AN$2,#REF!&lt;&gt;""),#REF!)</f>
        <v>#REF!</v>
      </c>
      <c r="AO76" s="193" t="e">
        <f>IF(AND(#REF!=AO$2,#REF!&lt;&gt;""),#REF!) + IF(AND(#REF!=AO$2,#REF!&lt;&gt;""),#REF!) + IF(AND(#REF!=AO$2,#REF!&lt;&gt;""),#REF!)</f>
        <v>#REF!</v>
      </c>
      <c r="AP76" s="193" t="e">
        <f>IF(AND(#REF!=AP$2,#REF!&lt;&gt;""),#REF!) + IF(AND(#REF!=AP$2,#REF!&lt;&gt;""),#REF!) + IF(AND(#REF!=AP$2,#REF!&lt;&gt;""),#REF!)</f>
        <v>#REF!</v>
      </c>
      <c r="AQ76" s="140"/>
      <c r="AR76" s="193" t="e">
        <f>IF(#REF!=AR$2,IF(#REF!=$Y$2,#REF!*plat_invest)) + IF(#REF!=AR$2,IF(#REF!=$Y$2,#REF!*plat_invest)) + IF(#REF!=AR$2,IF(#REF!=$Y$2,#REF!*plat_invest))</f>
        <v>#REF!</v>
      </c>
      <c r="AS76" s="193" t="e">
        <f>IF(#REF!=AS$2,IF(#REF!=$Y$2,#REF!*lumber_invest)) + IF(#REF!=AS$2,IF(#REF!=$Y$2,#REF!*lumber_invest)) + IF(#REF!=AS$2,IF(#REF!=$Y$2,#REF!*lumber_invest))</f>
        <v>#REF!</v>
      </c>
      <c r="AT76" s="193" t="e">
        <f>IF(#REF!=AT$2,IF(#REF!=$Y$2,#REF!*ore_invest)) + IF(#REF!=AT$2,IF(#REF!=$Y$2,#REF!*ore_invest)) + IF(#REF!=AT$2,IF(#REF!=$Y$2,#REF!*ore_invest))</f>
        <v>#REF!</v>
      </c>
      <c r="AU76" s="193" t="e">
        <f>IF(#REF!=AU$2,IF(#REF!=$Y$2,#REF!*gem_invest)) + IF(#REF!=AU$2,IF(#REF!=$Y$2,#REF!*gem_invest)) + IF(#REF!=AU$2,IF(#REF!=$Y$2,#REF!*gem_invest))</f>
        <v>#REF!</v>
      </c>
      <c r="AV76" s="140"/>
      <c r="AW76" s="193" t="e">
        <f>IF(#REF!=AW$2,IF(#REF!=$Z$2,#REF!*plat_invest)) + IF(#REF!=AW$2,IF(#REF!=$Z$2,#REF!*plat_invest)) + IF(#REF!=AW$2,IF(#REF!=$Z$2,#REF!*plat_invest))</f>
        <v>#REF!</v>
      </c>
      <c r="AX76" s="193" t="e">
        <f>IF(#REF!=AX$2,IF(#REF!=$Z$2,#REF!*lumber_invest)) + IF(#REF!=AX$2,IF(#REF!=$Z$2,#REF!*lumber_invest)) + IF(#REF!=AX$2,IF(#REF!=$Z$2,#REF!*lumber_invest))</f>
        <v>#REF!</v>
      </c>
      <c r="AY76" s="193" t="e">
        <f>IF(#REF!=AY$2,IF(#REF!=$Z$2,#REF!*ore_invest)) + IF(#REF!=AY$2,IF(#REF!=$Z$2,#REF!*ore_invest)) + IF(#REF!=AY$2,IF(#REF!=$Z$2,#REF!*ore_invest))</f>
        <v>#REF!</v>
      </c>
      <c r="AZ76" s="193" t="e">
        <f>IF(#REF!=AZ$2,IF(#REF!=$Z$2,#REF!*gem_invest)) + IF(#REF!=AZ$2,IF(#REF!=$Z$2,#REF!*gem_invest)) + IF(#REF!=AZ$2,IF(#REF!=$Z$2,#REF!*gem_invest))</f>
        <v>#REF!</v>
      </c>
      <c r="BA76" s="140"/>
      <c r="BB76" s="193" t="e">
        <f>IF(#REF!=BB$2,IF(#REF!=$AA$2,#REF!*plat_invest)) + IF(#REF!=BB$2,IF(#REF!=$AA$2,#REF!*plat_invest)) + IF(#REF!=BB$2,IF(#REF!=$AA$2,#REF!*plat_invest))</f>
        <v>#REF!</v>
      </c>
      <c r="BC76" s="193" t="e">
        <f>IF(#REF!=BC$2,IF(#REF!=$AA$2,#REF!*lumber_invest)) + IF(#REF!=BC$2,IF(#REF!=$AA$2,#REF!*lumber_invest)) + IF(#REF!=BC$2,IF(#REF!=$AA$2,#REF!*lumber_invest))</f>
        <v>#REF!</v>
      </c>
      <c r="BD76" s="193" t="e">
        <f>IF(#REF!=BD$2,IF(#REF!=$AA$2,#REF!*ore_invest)) + IF(#REF!=BD$2,IF(#REF!=$AA$2,#REF!*ore_invest)) + IF(#REF!=BD$2,IF(#REF!=$AA$2,#REF!*ore_invest))</f>
        <v>#REF!</v>
      </c>
      <c r="BE76" s="193" t="e">
        <f>IF(#REF!=BE$2,IF(#REF!=$AA$2,#REF!*gem_invest)) + IF(#REF!=BE$2,IF(#REF!=$AA$2,#REF!*gem_invest)) + IF(#REF!=BE$2,IF(#REF!=$AA$2,#REF!*gem_invest))</f>
        <v>#REF!</v>
      </c>
      <c r="BF76" s="140"/>
      <c r="BG76" s="193" t="e">
        <f>IF(#REF!=BG$2,IF(#REF!=$AB$2,#REF!*plat_invest)) + IF(#REF!=BG$2,IF(#REF!=$AB$2,#REF!*plat_invest)) + IF(#REF!=BG$2,IF(#REF!=$AB$2,#REF!*plat_invest))</f>
        <v>#REF!</v>
      </c>
      <c r="BH76" s="193" t="e">
        <f>IF(#REF!=BH$2,IF(#REF!=$AB$2,#REF!*lumber_invest)) + IF(#REF!=BH$2,IF(#REF!=$AB$2,#REF!*lumber_invest)) + IF(#REF!=BH$2,IF(#REF!=$AB$2,#REF!*lumber_invest))</f>
        <v>#REF!</v>
      </c>
      <c r="BI76" s="193" t="e">
        <f>IF(#REF!=BI$2,IF(#REF!=$AB$2,#REF!*ore_invest)) + IF(#REF!=BI$2,IF(#REF!=$AB$2,#REF!*ore_invest)) + IF(#REF!=BI$2,IF(#REF!=$AB$2,#REF!*ore_invest))</f>
        <v>#REF!</v>
      </c>
      <c r="BJ76" s="193" t="e">
        <f>IF(#REF!=BJ$2,IF(#REF!=$AB$2,#REF!*gem_invest)) + IF(#REF!=BJ$2,IF(#REF!=$AB$2,#REF!*gem_invest)) + IF(#REF!=BJ$2,IF(#REF!=$AB$2,#REF!*gem_invest))</f>
        <v>#REF!</v>
      </c>
      <c r="BK76" s="140"/>
      <c r="BL76" s="193" t="e">
        <f>IF(#REF!=BL$2,IF(#REF!=$AC$2,#REF!*plat_invest)) + IF(#REF!=BL$2,IF(#REF!=$AC$2,#REF!*plat_invest)) + IF(#REF!=BL$2,IF(#REF!=$AC$2,#REF!*plat_invest))</f>
        <v>#REF!</v>
      </c>
      <c r="BM76" s="193" t="e">
        <f>IF(#REF!=BM$2,IF(#REF!=$AC$2,#REF!*lumber_invest)) + IF(#REF!=BM$2,IF(#REF!=$AC$2,#REF!*lumber_invest)) + IF(#REF!=BM$2,IF(#REF!=$AC$2,#REF!*lumber_invest))</f>
        <v>#REF!</v>
      </c>
      <c r="BN76" s="193" t="e">
        <f>IF(#REF!=BN$2,IF(#REF!=$AC$2,#REF!*ore_invest)) + IF(#REF!=BN$2,IF(#REF!=$AC$2,#REF!*ore_invest)) + IF(#REF!=BN$2,IF(#REF!=$AC$2,#REF!*ore_invest))</f>
        <v>#REF!</v>
      </c>
      <c r="BO76" s="193" t="e">
        <f>IF(#REF!=BO$2,IF(#REF!=$AC$2,#REF!*gem_invest)) + IF(#REF!=BO$2,IF(#REF!=$AC$2,#REF!*gem_invest)) + IF(#REF!=BO$2,IF(#REF!=$AC$2,#REF!*gem_invest))</f>
        <v>#REF!</v>
      </c>
      <c r="BP76" s="140"/>
      <c r="BQ76" s="193" t="e">
        <f>IF(#REF!=BQ$2,IF(#REF!=$AD$2,#REF!*plat_invest)) + IF(#REF!=BQ$2,IF(#REF!=$AD$2,#REF!*plat_invest)) + IF(#REF!=BQ$2,IF(#REF!=$AD$2,#REF!*plat_invest))</f>
        <v>#REF!</v>
      </c>
      <c r="BR76" s="193" t="e">
        <f>IF(#REF!=BR$2,IF(#REF!=$AD$2,#REF!*lumber_invest)) + IF(#REF!=BR$2,IF(#REF!=$AD$2,#REF!*lumber_invest)) + IF(#REF!=BR$2,IF(#REF!=$AD$2,#REF!*lumber_invest))</f>
        <v>#REF!</v>
      </c>
      <c r="BS76" s="193" t="e">
        <f>IF(#REF!=BS$2,IF(#REF!=$AD$2,#REF!*ore_invest)) + IF(#REF!=BS$2,IF(#REF!=$AD$2,#REF!*ore_invest)) + IF(#REF!=BS$2,IF(#REF!=$AD$2,#REF!*ore_invest))</f>
        <v>#REF!</v>
      </c>
      <c r="BT76" s="193" t="e">
        <f>IF(#REF!=BT$2,IF(#REF!=$AD$2,#REF!*gem_invest)) + IF(#REF!=BT$2,IF(#REF!=$AD$2,#REF!*gem_invest)) + IF(#REF!=BT$2,IF(#REF!=$AD$2,#REF!*gem_invest))</f>
        <v>#REF!</v>
      </c>
      <c r="BU76" s="140"/>
      <c r="BV76" s="192" t="e">
        <f>OR(#REF!,#REF!,#REF!,#REF!,#REF!,#REF!,#REF!,#REF!,#REF!)</f>
        <v>#REF!</v>
      </c>
      <c r="BW76" s="181" t="e">
        <f>#REF!</f>
        <v>#REF!</v>
      </c>
      <c r="BX76" s="136"/>
      <c r="BY76" s="292" t="e">
        <f ca="1">OFFSET(#REF!,-1,0)+1/24</f>
        <v>#REF!</v>
      </c>
      <c r="BZ76" s="293" t="e">
        <f ca="1">OFFSET(#REF!,-1,0)+1/24</f>
        <v>#REF!</v>
      </c>
    </row>
    <row r="77" spans="1:84" x14ac:dyDescent="0.25">
      <c r="A77" s="206" t="e">
        <f>#REF!</f>
        <v>#REF!</v>
      </c>
      <c r="B77" s="134"/>
      <c r="C77" s="39" t="e">
        <f>#REF!</f>
        <v>#REF!</v>
      </c>
      <c r="D77" s="39" t="e">
        <f>#REF!</f>
        <v>#REF!</v>
      </c>
      <c r="E77" s="39" t="e">
        <f>#REF!</f>
        <v>#REF!</v>
      </c>
      <c r="F77" s="39" t="e">
        <f>#REF!</f>
        <v>#REF!</v>
      </c>
      <c r="G77" s="133"/>
      <c r="H77" s="39" t="e">
        <f>#REF!</f>
        <v>#REF!</v>
      </c>
      <c r="I77" s="132" t="e">
        <f>#REF!</f>
        <v>#REF!</v>
      </c>
      <c r="J77" s="132" t="e">
        <f>#REF!/#REF!</f>
        <v>#REF!</v>
      </c>
      <c r="K77" s="160" t="e">
        <f>#REF!</f>
        <v>#REF!</v>
      </c>
      <c r="L77" s="276" t="e">
        <f>#REF!</f>
        <v>#REF!</v>
      </c>
      <c r="M77" s="61">
        <f>IF(ISERROR(#REF!),0,#REF!*1)</f>
        <v>0</v>
      </c>
      <c r="N77" s="39" t="e">
        <f>#REF!</f>
        <v>#REF!</v>
      </c>
      <c r="O77" s="277" t="s">
        <v>4</v>
      </c>
      <c r="P77" s="278"/>
      <c r="Q77" s="277" t="s">
        <v>211</v>
      </c>
      <c r="R77" s="277" t="s">
        <v>7</v>
      </c>
      <c r="S77" s="278"/>
      <c r="T77" s="277" t="s">
        <v>211</v>
      </c>
      <c r="U77" s="277" t="s">
        <v>3</v>
      </c>
      <c r="V77" s="278"/>
      <c r="W77" s="277" t="s">
        <v>211</v>
      </c>
      <c r="X77" s="134"/>
      <c r="Y77" s="209" t="e">
        <f ca="1">science_cap*(1-EXP(-#REF!/(science_param*(OFFSET(#REF!,1,0)-OFFSET(#REF!,1,0)*20)+15000)))*(1+(mason_bonus*#REF!/#REF!))</f>
        <v>#REF!</v>
      </c>
      <c r="Z77" s="209" t="e">
        <f ca="1">keep_cap*(1-EXP(-#REF!/(keep_param*(OFFSET(#REF!,1,0)-OFFSET(#REF!,1,0)*20)+15000)))*(1+(mason_bonus*#REF!/#REF!))</f>
        <v>#REF!</v>
      </c>
      <c r="AA77" s="209" t="e">
        <f ca="1">harbor_towers_cap*(1-EXP(-#REF!/(towers_param*(OFFSET(#REF!,1,0)-OFFSET(#REF!,1,0)*20)+15000)))*(1+(mason_bonus*#REF!/#REF!))</f>
        <v>#REF!</v>
      </c>
      <c r="AB77" s="209" t="e">
        <f ca="1">walls_forges_cap*(1-EXP(-#REF!/(walls_forges_param*(OFFSET(#REF!,1,0)-OFFSET(#REF!,1,0)*20)+15000)))*(1+(mason_bonus*#REF!/#REF!))</f>
        <v>#REF!</v>
      </c>
      <c r="AC77" s="209" t="e">
        <f ca="1">walls_forges_cap*(1-EXP(-#REF!/(walls_forges_param*(OFFSET(#REF!,1,0)-OFFSET(#REF!,1,0)*20)+15000)))*(1+(mason_bonus*#REF!/#REF!))</f>
        <v>#REF!</v>
      </c>
      <c r="AD77" s="209" t="e">
        <f ca="1">harbor_towers_cap*(1-EXP(-#REF!/(harbor_towers_param*(OFFSET(#REF!,1,0)-OFFSET(#REF!,1,0)*20)+15000)))*(1+(mason_bonus*#REF!/#REF!))</f>
        <v>#REF!</v>
      </c>
      <c r="AE77" s="134"/>
      <c r="AF77" s="61" t="e">
        <f ca="1">(1+Overview!$I$28)*SUM(#REF!)+OFFSET(#REF!,-1,0)</f>
        <v>#REF!</v>
      </c>
      <c r="AG77" s="61" t="e">
        <f ca="1">(1+Overview!$I$28)*SUM(#REF!)+OFFSET(#REF!,-1,0)</f>
        <v>#REF!</v>
      </c>
      <c r="AH77" s="61" t="e">
        <f ca="1">(1+Overview!$I$28 + tech_7_1*#REF!)*SUM(#REF!)+OFFSET(#REF!,-1,0)</f>
        <v>#REF!</v>
      </c>
      <c r="AI77" s="61" t="e">
        <f ca="1">(1+Overview!$I$28)*SUM(#REF!)+OFFSET(#REF!,-1,0)</f>
        <v>#REF!</v>
      </c>
      <c r="AJ77" s="61" t="e">
        <f ca="1">(1+Overview!$I$28)*SUM(#REF!)+OFFSET(#REF!,-1,0)</f>
        <v>#REF!</v>
      </c>
      <c r="AK77" s="61" t="e">
        <f ca="1">(1+Overview!$I$28 + tech_7_1*#REF!)*SUM(#REF!)+OFFSET(#REF!,-1,0)</f>
        <v>#REF!</v>
      </c>
      <c r="AL77" s="134"/>
      <c r="AM77" s="57" t="e">
        <f>IF(AND(#REF!=AM$2,#REF!&lt;&gt;""),#REF!) + IF(AND(#REF!=AM$2,#REF!&lt;&gt;""),#REF!) + IF(AND(#REF!=AM$2,#REF!&lt;&gt;""),#REF!)</f>
        <v>#REF!</v>
      </c>
      <c r="AN77" s="57" t="e">
        <f>IF(AND(#REF!=AN$2,#REF!&lt;&gt;""),#REF!) + IF(AND(#REF!=AN$2,#REF!&lt;&gt;""),#REF!) + IF(AND(#REF!=AN$2,#REF!&lt;&gt;""),#REF!)</f>
        <v>#REF!</v>
      </c>
      <c r="AO77" s="57" t="e">
        <f>IF(AND(#REF!=AO$2,#REF!&lt;&gt;""),#REF!) + IF(AND(#REF!=AO$2,#REF!&lt;&gt;""),#REF!) + IF(AND(#REF!=AO$2,#REF!&lt;&gt;""),#REF!)</f>
        <v>#REF!</v>
      </c>
      <c r="AP77" s="57" t="e">
        <f>IF(AND(#REF!=AP$2,#REF!&lt;&gt;""),#REF!) + IF(AND(#REF!=AP$2,#REF!&lt;&gt;""),#REF!) + IF(AND(#REF!=AP$2,#REF!&lt;&gt;""),#REF!)</f>
        <v>#REF!</v>
      </c>
      <c r="AQ77" s="134"/>
      <c r="AR77" s="57" t="e">
        <f>IF(#REF!=AR$2,IF(#REF!=$Y$2,#REF!*plat_invest)) + IF(#REF!=AR$2,IF(#REF!=$Y$2,#REF!*plat_invest)) + IF(#REF!=AR$2,IF(#REF!=$Y$2,#REF!*plat_invest))</f>
        <v>#REF!</v>
      </c>
      <c r="AS77" s="57" t="e">
        <f>IF(#REF!=AS$2,IF(#REF!=$Y$2,#REF!*lumber_invest)) + IF(#REF!=AS$2,IF(#REF!=$Y$2,#REF!*lumber_invest)) + IF(#REF!=AS$2,IF(#REF!=$Y$2,#REF!*lumber_invest))</f>
        <v>#REF!</v>
      </c>
      <c r="AT77" s="57" t="e">
        <f>IF(#REF!=AT$2,IF(#REF!=$Y$2,#REF!*ore_invest)) + IF(#REF!=AT$2,IF(#REF!=$Y$2,#REF!*ore_invest)) + IF(#REF!=AT$2,IF(#REF!=$Y$2,#REF!*ore_invest))</f>
        <v>#REF!</v>
      </c>
      <c r="AU77" s="57" t="e">
        <f>IF(#REF!=AU$2,IF(#REF!=$Y$2,#REF!*gem_invest)) + IF(#REF!=AU$2,IF(#REF!=$Y$2,#REF!*gem_invest)) + IF(#REF!=AU$2,IF(#REF!=$Y$2,#REF!*gem_invest))</f>
        <v>#REF!</v>
      </c>
      <c r="AV77" s="134"/>
      <c r="AW77" s="57" t="e">
        <f>IF(#REF!=AW$2,IF(#REF!=$Z$2,#REF!*plat_invest)) + IF(#REF!=AW$2,IF(#REF!=$Z$2,#REF!*plat_invest)) + IF(#REF!=AW$2,IF(#REF!=$Z$2,#REF!*plat_invest))</f>
        <v>#REF!</v>
      </c>
      <c r="AX77" s="57" t="e">
        <f>IF(#REF!=AX$2,IF(#REF!=$Z$2,#REF!*lumber_invest)) + IF(#REF!=AX$2,IF(#REF!=$Z$2,#REF!*lumber_invest)) + IF(#REF!=AX$2,IF(#REF!=$Z$2,#REF!*lumber_invest))</f>
        <v>#REF!</v>
      </c>
      <c r="AY77" s="57" t="e">
        <f>IF(#REF!=AY$2,IF(#REF!=$Z$2,#REF!*ore_invest)) + IF(#REF!=AY$2,IF(#REF!=$Z$2,#REF!*ore_invest)) + IF(#REF!=AY$2,IF(#REF!=$Z$2,#REF!*ore_invest))</f>
        <v>#REF!</v>
      </c>
      <c r="AZ77" s="57" t="e">
        <f>IF(#REF!=AZ$2,IF(#REF!=$Z$2,#REF!*gem_invest)) + IF(#REF!=AZ$2,IF(#REF!=$Z$2,#REF!*gem_invest)) + IF(#REF!=AZ$2,IF(#REF!=$Z$2,#REF!*gem_invest))</f>
        <v>#REF!</v>
      </c>
      <c r="BA77" s="134"/>
      <c r="BB77" s="57" t="e">
        <f>IF(#REF!=BB$2,IF(#REF!=$AA$2,#REF!*plat_invest)) + IF(#REF!=BB$2,IF(#REF!=$AA$2,#REF!*plat_invest)) + IF(#REF!=BB$2,IF(#REF!=$AA$2,#REF!*plat_invest))</f>
        <v>#REF!</v>
      </c>
      <c r="BC77" s="57" t="e">
        <f>IF(#REF!=BC$2,IF(#REF!=$AA$2,#REF!*lumber_invest)) + IF(#REF!=BC$2,IF(#REF!=$AA$2,#REF!*lumber_invest)) + IF(#REF!=BC$2,IF(#REF!=$AA$2,#REF!*lumber_invest))</f>
        <v>#REF!</v>
      </c>
      <c r="BD77" s="57" t="e">
        <f>IF(#REF!=BD$2,IF(#REF!=$AA$2,#REF!*ore_invest)) + IF(#REF!=BD$2,IF(#REF!=$AA$2,#REF!*ore_invest)) + IF(#REF!=BD$2,IF(#REF!=$AA$2,#REF!*ore_invest))</f>
        <v>#REF!</v>
      </c>
      <c r="BE77" s="57" t="e">
        <f>IF(#REF!=BE$2,IF(#REF!=$AA$2,#REF!*gem_invest)) + IF(#REF!=BE$2,IF(#REF!=$AA$2,#REF!*gem_invest)) + IF(#REF!=BE$2,IF(#REF!=$AA$2,#REF!*gem_invest))</f>
        <v>#REF!</v>
      </c>
      <c r="BF77" s="134"/>
      <c r="BG77" s="57" t="e">
        <f>IF(#REF!=BG$2,IF(#REF!=$AB$2,#REF!*plat_invest)) + IF(#REF!=BG$2,IF(#REF!=$AB$2,#REF!*plat_invest)) + IF(#REF!=BG$2,IF(#REF!=$AB$2,#REF!*plat_invest))</f>
        <v>#REF!</v>
      </c>
      <c r="BH77" s="57" t="e">
        <f>IF(#REF!=BH$2,IF(#REF!=$AB$2,#REF!*lumber_invest)) + IF(#REF!=BH$2,IF(#REF!=$AB$2,#REF!*lumber_invest)) + IF(#REF!=BH$2,IF(#REF!=$AB$2,#REF!*lumber_invest))</f>
        <v>#REF!</v>
      </c>
      <c r="BI77" s="57" t="e">
        <f>IF(#REF!=BI$2,IF(#REF!=$AB$2,#REF!*ore_invest)) + IF(#REF!=BI$2,IF(#REF!=$AB$2,#REF!*ore_invest)) + IF(#REF!=BI$2,IF(#REF!=$AB$2,#REF!*ore_invest))</f>
        <v>#REF!</v>
      </c>
      <c r="BJ77" s="57" t="e">
        <f>IF(#REF!=BJ$2,IF(#REF!=$AB$2,#REF!*gem_invest)) + IF(#REF!=BJ$2,IF(#REF!=$AB$2,#REF!*gem_invest)) + IF(#REF!=BJ$2,IF(#REF!=$AB$2,#REF!*gem_invest))</f>
        <v>#REF!</v>
      </c>
      <c r="BK77" s="134"/>
      <c r="BL77" s="57" t="e">
        <f>IF(#REF!=BL$2,IF(#REF!=$AC$2,#REF!*plat_invest)) + IF(#REF!=BL$2,IF(#REF!=$AC$2,#REF!*plat_invest)) + IF(#REF!=BL$2,IF(#REF!=$AC$2,#REF!*plat_invest))</f>
        <v>#REF!</v>
      </c>
      <c r="BM77" s="57" t="e">
        <f>IF(#REF!=BM$2,IF(#REF!=$AC$2,#REF!*lumber_invest)) + IF(#REF!=BM$2,IF(#REF!=$AC$2,#REF!*lumber_invest)) + IF(#REF!=BM$2,IF(#REF!=$AC$2,#REF!*lumber_invest))</f>
        <v>#REF!</v>
      </c>
      <c r="BN77" s="57" t="e">
        <f>IF(#REF!=BN$2,IF(#REF!=$AC$2,#REF!*ore_invest)) + IF(#REF!=BN$2,IF(#REF!=$AC$2,#REF!*ore_invest)) + IF(#REF!=BN$2,IF(#REF!=$AC$2,#REF!*ore_invest))</f>
        <v>#REF!</v>
      </c>
      <c r="BO77" s="57" t="e">
        <f>IF(#REF!=BO$2,IF(#REF!=$AC$2,#REF!*gem_invest)) + IF(#REF!=BO$2,IF(#REF!=$AC$2,#REF!*gem_invest)) + IF(#REF!=BO$2,IF(#REF!=$AC$2,#REF!*gem_invest))</f>
        <v>#REF!</v>
      </c>
      <c r="BP77" s="134"/>
      <c r="BQ77" s="57" t="e">
        <f>IF(#REF!=BQ$2,IF(#REF!=$AD$2,#REF!*plat_invest)) + IF(#REF!=BQ$2,IF(#REF!=$AD$2,#REF!*plat_invest)) + IF(#REF!=BQ$2,IF(#REF!=$AD$2,#REF!*plat_invest))</f>
        <v>#REF!</v>
      </c>
      <c r="BR77" s="57" t="e">
        <f>IF(#REF!=BR$2,IF(#REF!=$AD$2,#REF!*lumber_invest)) + IF(#REF!=BR$2,IF(#REF!=$AD$2,#REF!*lumber_invest)) + IF(#REF!=BR$2,IF(#REF!=$AD$2,#REF!*lumber_invest))</f>
        <v>#REF!</v>
      </c>
      <c r="BS77" s="57" t="e">
        <f>IF(#REF!=BS$2,IF(#REF!=$AD$2,#REF!*ore_invest)) + IF(#REF!=BS$2,IF(#REF!=$AD$2,#REF!*ore_invest)) + IF(#REF!=BS$2,IF(#REF!=$AD$2,#REF!*ore_invest))</f>
        <v>#REF!</v>
      </c>
      <c r="BT77" s="57" t="e">
        <f>IF(#REF!=BT$2,IF(#REF!=$AD$2,#REF!*gem_invest)) + IF(#REF!=BT$2,IF(#REF!=$AD$2,#REF!*gem_invest)) + IF(#REF!=BT$2,IF(#REF!=$AD$2,#REF!*gem_invest))</f>
        <v>#REF!</v>
      </c>
      <c r="BU77" s="134"/>
      <c r="BV77" s="3" t="e">
        <f>OR(#REF!,#REF!,#REF!,#REF!,#REF!,#REF!,#REF!,#REF!,#REF!)</f>
        <v>#REF!</v>
      </c>
      <c r="BW77" s="61" t="e">
        <f>#REF!</f>
        <v>#REF!</v>
      </c>
      <c r="BX77" s="130"/>
      <c r="BY77" s="284" t="e">
        <f ca="1">OFFSET(#REF!,-1,0)+1/24</f>
        <v>#REF!</v>
      </c>
      <c r="BZ77" s="285" t="e">
        <f ca="1">OFFSET(#REF!,-1,0)+1/24</f>
        <v>#REF!</v>
      </c>
      <c r="CA77" s="57"/>
      <c r="CB77" s="283"/>
      <c r="CC77" s="283"/>
    </row>
    <row r="78" spans="1:84" x14ac:dyDescent="0.25">
      <c r="A78" s="206" t="e">
        <f>#REF!</f>
        <v>#REF!</v>
      </c>
      <c r="B78" s="134"/>
      <c r="C78" s="39" t="e">
        <f>#REF!</f>
        <v>#REF!</v>
      </c>
      <c r="D78" s="39" t="e">
        <f>#REF!</f>
        <v>#REF!</v>
      </c>
      <c r="E78" s="39" t="e">
        <f>#REF!</f>
        <v>#REF!</v>
      </c>
      <c r="F78" s="39" t="e">
        <f>#REF!</f>
        <v>#REF!</v>
      </c>
      <c r="G78" s="133"/>
      <c r="H78" s="39" t="e">
        <f>#REF!</f>
        <v>#REF!</v>
      </c>
      <c r="I78" s="132" t="e">
        <f>#REF!</f>
        <v>#REF!</v>
      </c>
      <c r="J78" s="132" t="e">
        <f>#REF!/#REF!</f>
        <v>#REF!</v>
      </c>
      <c r="K78" s="160" t="e">
        <f>#REF!</f>
        <v>#REF!</v>
      </c>
      <c r="L78" s="276" t="e">
        <f>#REF!</f>
        <v>#REF!</v>
      </c>
      <c r="M78" s="61">
        <f>IF(ISERROR(#REF!),0,#REF!*1)</f>
        <v>0</v>
      </c>
      <c r="N78" s="39" t="e">
        <f>#REF!</f>
        <v>#REF!</v>
      </c>
      <c r="O78" s="277" t="s">
        <v>4</v>
      </c>
      <c r="P78" s="278"/>
      <c r="Q78" s="277" t="s">
        <v>211</v>
      </c>
      <c r="R78" s="277" t="s">
        <v>7</v>
      </c>
      <c r="S78" s="278"/>
      <c r="T78" s="277" t="s">
        <v>211</v>
      </c>
      <c r="U78" s="277" t="s">
        <v>3</v>
      </c>
      <c r="V78" s="278"/>
      <c r="W78" s="277" t="s">
        <v>211</v>
      </c>
      <c r="X78" s="134"/>
      <c r="Y78" s="209" t="e">
        <f ca="1">science_cap*(1-EXP(-#REF!/(science_param*(OFFSET(#REF!,1,0)-OFFSET(#REF!,1,0)*20)+15000)))*(1+(mason_bonus*#REF!/#REF!))</f>
        <v>#REF!</v>
      </c>
      <c r="Z78" s="209" t="e">
        <f ca="1">keep_cap*(1-EXP(-#REF!/(keep_param*(OFFSET(#REF!,1,0)-OFFSET(#REF!,1,0)*20)+15000)))*(1+(mason_bonus*#REF!/#REF!))</f>
        <v>#REF!</v>
      </c>
      <c r="AA78" s="209" t="e">
        <f ca="1">harbor_towers_cap*(1-EXP(-#REF!/(towers_param*(OFFSET(#REF!,1,0)-OFFSET(#REF!,1,0)*20)+15000)))*(1+(mason_bonus*#REF!/#REF!))</f>
        <v>#REF!</v>
      </c>
      <c r="AB78" s="209" t="e">
        <f ca="1">walls_forges_cap*(1-EXP(-#REF!/(walls_forges_param*(OFFSET(#REF!,1,0)-OFFSET(#REF!,1,0)*20)+15000)))*(1+(mason_bonus*#REF!/#REF!))</f>
        <v>#REF!</v>
      </c>
      <c r="AC78" s="209" t="e">
        <f ca="1">walls_forges_cap*(1-EXP(-#REF!/(walls_forges_param*(OFFSET(#REF!,1,0)-OFFSET(#REF!,1,0)*20)+15000)))*(1+(mason_bonus*#REF!/#REF!))</f>
        <v>#REF!</v>
      </c>
      <c r="AD78" s="209" t="e">
        <f ca="1">harbor_towers_cap*(1-EXP(-#REF!/(harbor_towers_param*(OFFSET(#REF!,1,0)-OFFSET(#REF!,1,0)*20)+15000)))*(1+(mason_bonus*#REF!/#REF!))</f>
        <v>#REF!</v>
      </c>
      <c r="AE78" s="134"/>
      <c r="AF78" s="61" t="e">
        <f ca="1">(1+Overview!$I$28)*SUM(#REF!)+OFFSET(#REF!,-1,0)</f>
        <v>#REF!</v>
      </c>
      <c r="AG78" s="61" t="e">
        <f ca="1">(1+Overview!$I$28)*SUM(#REF!)+OFFSET(#REF!,-1,0)</f>
        <v>#REF!</v>
      </c>
      <c r="AH78" s="61" t="e">
        <f ca="1">(1+Overview!$I$28 + tech_7_1*#REF!)*SUM(#REF!)+OFFSET(#REF!,-1,0)</f>
        <v>#REF!</v>
      </c>
      <c r="AI78" s="61" t="e">
        <f ca="1">(1+Overview!$I$28)*SUM(#REF!)+OFFSET(#REF!,-1,0)</f>
        <v>#REF!</v>
      </c>
      <c r="AJ78" s="61" t="e">
        <f ca="1">(1+Overview!$I$28)*SUM(#REF!)+OFFSET(#REF!,-1,0)</f>
        <v>#REF!</v>
      </c>
      <c r="AK78" s="61" t="e">
        <f ca="1">(1+Overview!$I$28 + tech_7_1*#REF!)*SUM(#REF!)+OFFSET(#REF!,-1,0)</f>
        <v>#REF!</v>
      </c>
      <c r="AL78" s="134"/>
      <c r="AM78" s="57" t="e">
        <f>IF(AND(#REF!=AM$2,#REF!&lt;&gt;""),#REF!) + IF(AND(#REF!=AM$2,#REF!&lt;&gt;""),#REF!) + IF(AND(#REF!=AM$2,#REF!&lt;&gt;""),#REF!)</f>
        <v>#REF!</v>
      </c>
      <c r="AN78" s="57" t="e">
        <f>IF(AND(#REF!=AN$2,#REF!&lt;&gt;""),#REF!) + IF(AND(#REF!=AN$2,#REF!&lt;&gt;""),#REF!) + IF(AND(#REF!=AN$2,#REF!&lt;&gt;""),#REF!)</f>
        <v>#REF!</v>
      </c>
      <c r="AO78" s="57" t="e">
        <f>IF(AND(#REF!=AO$2,#REF!&lt;&gt;""),#REF!) + IF(AND(#REF!=AO$2,#REF!&lt;&gt;""),#REF!) + IF(AND(#REF!=AO$2,#REF!&lt;&gt;""),#REF!)</f>
        <v>#REF!</v>
      </c>
      <c r="AP78" s="57" t="e">
        <f>IF(AND(#REF!=AP$2,#REF!&lt;&gt;""),#REF!) + IF(AND(#REF!=AP$2,#REF!&lt;&gt;""),#REF!) + IF(AND(#REF!=AP$2,#REF!&lt;&gt;""),#REF!)</f>
        <v>#REF!</v>
      </c>
      <c r="AQ78" s="134"/>
      <c r="AR78" s="57" t="e">
        <f>IF(#REF!=AR$2,IF(#REF!=$Y$2,#REF!*plat_invest)) + IF(#REF!=AR$2,IF(#REF!=$Y$2,#REF!*plat_invest)) + IF(#REF!=AR$2,IF(#REF!=$Y$2,#REF!*plat_invest))</f>
        <v>#REF!</v>
      </c>
      <c r="AS78" s="57" t="e">
        <f>IF(#REF!=AS$2,IF(#REF!=$Y$2,#REF!*lumber_invest)) + IF(#REF!=AS$2,IF(#REF!=$Y$2,#REF!*lumber_invest)) + IF(#REF!=AS$2,IF(#REF!=$Y$2,#REF!*lumber_invest))</f>
        <v>#REF!</v>
      </c>
      <c r="AT78" s="57" t="e">
        <f>IF(#REF!=AT$2,IF(#REF!=$Y$2,#REF!*ore_invest)) + IF(#REF!=AT$2,IF(#REF!=$Y$2,#REF!*ore_invest)) + IF(#REF!=AT$2,IF(#REF!=$Y$2,#REF!*ore_invest))</f>
        <v>#REF!</v>
      </c>
      <c r="AU78" s="57" t="e">
        <f>IF(#REF!=AU$2,IF(#REF!=$Y$2,#REF!*gem_invest)) + IF(#REF!=AU$2,IF(#REF!=$Y$2,#REF!*gem_invest)) + IF(#REF!=AU$2,IF(#REF!=$Y$2,#REF!*gem_invest))</f>
        <v>#REF!</v>
      </c>
      <c r="AV78" s="134"/>
      <c r="AW78" s="57" t="e">
        <f>IF(#REF!=AW$2,IF(#REF!=$Z$2,#REF!*plat_invest)) + IF(#REF!=AW$2,IF(#REF!=$Z$2,#REF!*plat_invest)) + IF(#REF!=AW$2,IF(#REF!=$Z$2,#REF!*plat_invest))</f>
        <v>#REF!</v>
      </c>
      <c r="AX78" s="57" t="e">
        <f>IF(#REF!=AX$2,IF(#REF!=$Z$2,#REF!*lumber_invest)) + IF(#REF!=AX$2,IF(#REF!=$Z$2,#REF!*lumber_invest)) + IF(#REF!=AX$2,IF(#REF!=$Z$2,#REF!*lumber_invest))</f>
        <v>#REF!</v>
      </c>
      <c r="AY78" s="57" t="e">
        <f>IF(#REF!=AY$2,IF(#REF!=$Z$2,#REF!*ore_invest)) + IF(#REF!=AY$2,IF(#REF!=$Z$2,#REF!*ore_invest)) + IF(#REF!=AY$2,IF(#REF!=$Z$2,#REF!*ore_invest))</f>
        <v>#REF!</v>
      </c>
      <c r="AZ78" s="57" t="e">
        <f>IF(#REF!=AZ$2,IF(#REF!=$Z$2,#REF!*gem_invest)) + IF(#REF!=AZ$2,IF(#REF!=$Z$2,#REF!*gem_invest)) + IF(#REF!=AZ$2,IF(#REF!=$Z$2,#REF!*gem_invest))</f>
        <v>#REF!</v>
      </c>
      <c r="BA78" s="134"/>
      <c r="BB78" s="57" t="e">
        <f>IF(#REF!=BB$2,IF(#REF!=$AA$2,#REF!*plat_invest)) + IF(#REF!=BB$2,IF(#REF!=$AA$2,#REF!*plat_invest)) + IF(#REF!=BB$2,IF(#REF!=$AA$2,#REF!*plat_invest))</f>
        <v>#REF!</v>
      </c>
      <c r="BC78" s="57" t="e">
        <f>IF(#REF!=BC$2,IF(#REF!=$AA$2,#REF!*lumber_invest)) + IF(#REF!=BC$2,IF(#REF!=$AA$2,#REF!*lumber_invest)) + IF(#REF!=BC$2,IF(#REF!=$AA$2,#REF!*lumber_invest))</f>
        <v>#REF!</v>
      </c>
      <c r="BD78" s="57" t="e">
        <f>IF(#REF!=BD$2,IF(#REF!=$AA$2,#REF!*ore_invest)) + IF(#REF!=BD$2,IF(#REF!=$AA$2,#REF!*ore_invest)) + IF(#REF!=BD$2,IF(#REF!=$AA$2,#REF!*ore_invest))</f>
        <v>#REF!</v>
      </c>
      <c r="BE78" s="57" t="e">
        <f>IF(#REF!=BE$2,IF(#REF!=$AA$2,#REF!*gem_invest)) + IF(#REF!=BE$2,IF(#REF!=$AA$2,#REF!*gem_invest)) + IF(#REF!=BE$2,IF(#REF!=$AA$2,#REF!*gem_invest))</f>
        <v>#REF!</v>
      </c>
      <c r="BF78" s="134"/>
      <c r="BG78" s="57" t="e">
        <f>IF(#REF!=BG$2,IF(#REF!=$AB$2,#REF!*plat_invest)) + IF(#REF!=BG$2,IF(#REF!=$AB$2,#REF!*plat_invest)) + IF(#REF!=BG$2,IF(#REF!=$AB$2,#REF!*plat_invest))</f>
        <v>#REF!</v>
      </c>
      <c r="BH78" s="57" t="e">
        <f>IF(#REF!=BH$2,IF(#REF!=$AB$2,#REF!*lumber_invest)) + IF(#REF!=BH$2,IF(#REF!=$AB$2,#REF!*lumber_invest)) + IF(#REF!=BH$2,IF(#REF!=$AB$2,#REF!*lumber_invest))</f>
        <v>#REF!</v>
      </c>
      <c r="BI78" s="57" t="e">
        <f>IF(#REF!=BI$2,IF(#REF!=$AB$2,#REF!*ore_invest)) + IF(#REF!=BI$2,IF(#REF!=$AB$2,#REF!*ore_invest)) + IF(#REF!=BI$2,IF(#REF!=$AB$2,#REF!*ore_invest))</f>
        <v>#REF!</v>
      </c>
      <c r="BJ78" s="57" t="e">
        <f>IF(#REF!=BJ$2,IF(#REF!=$AB$2,#REF!*gem_invest)) + IF(#REF!=BJ$2,IF(#REF!=$AB$2,#REF!*gem_invest)) + IF(#REF!=BJ$2,IF(#REF!=$AB$2,#REF!*gem_invest))</f>
        <v>#REF!</v>
      </c>
      <c r="BK78" s="134"/>
      <c r="BL78" s="57" t="e">
        <f>IF(#REF!=BL$2,IF(#REF!=$AC$2,#REF!*plat_invest)) + IF(#REF!=BL$2,IF(#REF!=$AC$2,#REF!*plat_invest)) + IF(#REF!=BL$2,IF(#REF!=$AC$2,#REF!*plat_invest))</f>
        <v>#REF!</v>
      </c>
      <c r="BM78" s="57" t="e">
        <f>IF(#REF!=BM$2,IF(#REF!=$AC$2,#REF!*lumber_invest)) + IF(#REF!=BM$2,IF(#REF!=$AC$2,#REF!*lumber_invest)) + IF(#REF!=BM$2,IF(#REF!=$AC$2,#REF!*lumber_invest))</f>
        <v>#REF!</v>
      </c>
      <c r="BN78" s="57" t="e">
        <f>IF(#REF!=BN$2,IF(#REF!=$AC$2,#REF!*ore_invest)) + IF(#REF!=BN$2,IF(#REF!=$AC$2,#REF!*ore_invest)) + IF(#REF!=BN$2,IF(#REF!=$AC$2,#REF!*ore_invest))</f>
        <v>#REF!</v>
      </c>
      <c r="BO78" s="57" t="e">
        <f>IF(#REF!=BO$2,IF(#REF!=$AC$2,#REF!*gem_invest)) + IF(#REF!=BO$2,IF(#REF!=$AC$2,#REF!*gem_invest)) + IF(#REF!=BO$2,IF(#REF!=$AC$2,#REF!*gem_invest))</f>
        <v>#REF!</v>
      </c>
      <c r="BP78" s="134"/>
      <c r="BQ78" s="57" t="e">
        <f>IF(#REF!=BQ$2,IF(#REF!=$AD$2,#REF!*plat_invest)) + IF(#REF!=BQ$2,IF(#REF!=$AD$2,#REF!*plat_invest)) + IF(#REF!=BQ$2,IF(#REF!=$AD$2,#REF!*plat_invest))</f>
        <v>#REF!</v>
      </c>
      <c r="BR78" s="57" t="e">
        <f>IF(#REF!=BR$2,IF(#REF!=$AD$2,#REF!*lumber_invest)) + IF(#REF!=BR$2,IF(#REF!=$AD$2,#REF!*lumber_invest)) + IF(#REF!=BR$2,IF(#REF!=$AD$2,#REF!*lumber_invest))</f>
        <v>#REF!</v>
      </c>
      <c r="BS78" s="57" t="e">
        <f>IF(#REF!=BS$2,IF(#REF!=$AD$2,#REF!*ore_invest)) + IF(#REF!=BS$2,IF(#REF!=$AD$2,#REF!*ore_invest)) + IF(#REF!=BS$2,IF(#REF!=$AD$2,#REF!*ore_invest))</f>
        <v>#REF!</v>
      </c>
      <c r="BT78" s="57" t="e">
        <f>IF(#REF!=BT$2,IF(#REF!=$AD$2,#REF!*gem_invest)) + IF(#REF!=BT$2,IF(#REF!=$AD$2,#REF!*gem_invest)) + IF(#REF!=BT$2,IF(#REF!=$AD$2,#REF!*gem_invest))</f>
        <v>#REF!</v>
      </c>
      <c r="BU78" s="134"/>
      <c r="BV78" s="3" t="e">
        <f>OR(#REF!,#REF!,#REF!,#REF!,#REF!,#REF!,#REF!,#REF!,#REF!)</f>
        <v>#REF!</v>
      </c>
      <c r="BW78" s="61" t="e">
        <f>#REF!</f>
        <v>#REF!</v>
      </c>
      <c r="BX78" s="130"/>
      <c r="BY78" s="284" t="e">
        <f ca="1">OFFSET(#REF!,-1,0)+1/24</f>
        <v>#REF!</v>
      </c>
      <c r="BZ78" s="285" t="e">
        <f ca="1">OFFSET(#REF!,-1,0)+1/24</f>
        <v>#REF!</v>
      </c>
      <c r="CA78" s="57"/>
      <c r="CB78" s="283"/>
      <c r="CC78" s="283"/>
      <c r="CF78" s="286"/>
    </row>
    <row r="79" spans="1:84" x14ac:dyDescent="0.25">
      <c r="A79" s="206" t="e">
        <f>#REF!</f>
        <v>#REF!</v>
      </c>
      <c r="B79" s="134"/>
      <c r="C79" s="39" t="e">
        <f>#REF!</f>
        <v>#REF!</v>
      </c>
      <c r="D79" s="39" t="e">
        <f>#REF!</f>
        <v>#REF!</v>
      </c>
      <c r="E79" s="39" t="e">
        <f>#REF!</f>
        <v>#REF!</v>
      </c>
      <c r="F79" s="39" t="e">
        <f>#REF!</f>
        <v>#REF!</v>
      </c>
      <c r="G79" s="133"/>
      <c r="H79" s="39" t="e">
        <f>#REF!</f>
        <v>#REF!</v>
      </c>
      <c r="I79" s="132" t="e">
        <f>#REF!</f>
        <v>#REF!</v>
      </c>
      <c r="J79" s="132" t="e">
        <f>#REF!/#REF!</f>
        <v>#REF!</v>
      </c>
      <c r="K79" s="160" t="e">
        <f>#REF!</f>
        <v>#REF!</v>
      </c>
      <c r="L79" s="276" t="e">
        <f>#REF!</f>
        <v>#REF!</v>
      </c>
      <c r="M79" s="61">
        <f>IF(ISERROR(#REF!),0,#REF!*1)</f>
        <v>0</v>
      </c>
      <c r="N79" s="39" t="e">
        <f>#REF!</f>
        <v>#REF!</v>
      </c>
      <c r="O79" s="277" t="s">
        <v>4</v>
      </c>
      <c r="P79" s="278"/>
      <c r="Q79" s="277" t="s">
        <v>211</v>
      </c>
      <c r="R79" s="277" t="s">
        <v>7</v>
      </c>
      <c r="S79" s="278"/>
      <c r="T79" s="277" t="s">
        <v>211</v>
      </c>
      <c r="U79" s="277" t="s">
        <v>3</v>
      </c>
      <c r="V79" s="278"/>
      <c r="W79" s="277" t="s">
        <v>211</v>
      </c>
      <c r="X79" s="134"/>
      <c r="Y79" s="209" t="e">
        <f ca="1">science_cap*(1-EXP(-#REF!/(science_param*(OFFSET(#REF!,1,0)-OFFSET(#REF!,1,0)*20)+15000)))*(1+(mason_bonus*#REF!/#REF!))</f>
        <v>#REF!</v>
      </c>
      <c r="Z79" s="209" t="e">
        <f ca="1">keep_cap*(1-EXP(-#REF!/(keep_param*(OFFSET(#REF!,1,0)-OFFSET(#REF!,1,0)*20)+15000)))*(1+(mason_bonus*#REF!/#REF!))</f>
        <v>#REF!</v>
      </c>
      <c r="AA79" s="209" t="e">
        <f ca="1">harbor_towers_cap*(1-EXP(-#REF!/(towers_param*(OFFSET(#REF!,1,0)-OFFSET(#REF!,1,0)*20)+15000)))*(1+(mason_bonus*#REF!/#REF!))</f>
        <v>#REF!</v>
      </c>
      <c r="AB79" s="209" t="e">
        <f ca="1">walls_forges_cap*(1-EXP(-#REF!/(walls_forges_param*(OFFSET(#REF!,1,0)-OFFSET(#REF!,1,0)*20)+15000)))*(1+(mason_bonus*#REF!/#REF!))</f>
        <v>#REF!</v>
      </c>
      <c r="AC79" s="209" t="e">
        <f ca="1">walls_forges_cap*(1-EXP(-#REF!/(walls_forges_param*(OFFSET(#REF!,1,0)-OFFSET(#REF!,1,0)*20)+15000)))*(1+(mason_bonus*#REF!/#REF!))</f>
        <v>#REF!</v>
      </c>
      <c r="AD79" s="209" t="e">
        <f ca="1">harbor_towers_cap*(1-EXP(-#REF!/(harbor_towers_param*(OFFSET(#REF!,1,0)-OFFSET(#REF!,1,0)*20)+15000)))*(1+(mason_bonus*#REF!/#REF!))</f>
        <v>#REF!</v>
      </c>
      <c r="AE79" s="134"/>
      <c r="AF79" s="61" t="e">
        <f ca="1">(1+Overview!$I$28)*SUM(#REF!)+OFFSET(#REF!,-1,0)</f>
        <v>#REF!</v>
      </c>
      <c r="AG79" s="61" t="e">
        <f ca="1">(1+Overview!$I$28)*SUM(#REF!)+OFFSET(#REF!,-1,0)</f>
        <v>#REF!</v>
      </c>
      <c r="AH79" s="61" t="e">
        <f ca="1">(1+Overview!$I$28 + tech_7_1*#REF!)*SUM(#REF!)+OFFSET(#REF!,-1,0)</f>
        <v>#REF!</v>
      </c>
      <c r="AI79" s="61" t="e">
        <f ca="1">(1+Overview!$I$28)*SUM(#REF!)+OFFSET(#REF!,-1,0)</f>
        <v>#REF!</v>
      </c>
      <c r="AJ79" s="61" t="e">
        <f ca="1">(1+Overview!$I$28)*SUM(#REF!)+OFFSET(#REF!,-1,0)</f>
        <v>#REF!</v>
      </c>
      <c r="AK79" s="61" t="e">
        <f ca="1">(1+Overview!$I$28 + tech_7_1*#REF!)*SUM(#REF!)+OFFSET(#REF!,-1,0)</f>
        <v>#REF!</v>
      </c>
      <c r="AL79" s="134"/>
      <c r="AM79" s="57" t="e">
        <f>IF(AND(#REF!=AM$2,#REF!&lt;&gt;""),#REF!) + IF(AND(#REF!=AM$2,#REF!&lt;&gt;""),#REF!) + IF(AND(#REF!=AM$2,#REF!&lt;&gt;""),#REF!)</f>
        <v>#REF!</v>
      </c>
      <c r="AN79" s="57" t="e">
        <f>IF(AND(#REF!=AN$2,#REF!&lt;&gt;""),#REF!) + IF(AND(#REF!=AN$2,#REF!&lt;&gt;""),#REF!) + IF(AND(#REF!=AN$2,#REF!&lt;&gt;""),#REF!)</f>
        <v>#REF!</v>
      </c>
      <c r="AO79" s="57" t="e">
        <f>IF(AND(#REF!=AO$2,#REF!&lt;&gt;""),#REF!) + IF(AND(#REF!=AO$2,#REF!&lt;&gt;""),#REF!) + IF(AND(#REF!=AO$2,#REF!&lt;&gt;""),#REF!)</f>
        <v>#REF!</v>
      </c>
      <c r="AP79" s="57" t="e">
        <f>IF(AND(#REF!=AP$2,#REF!&lt;&gt;""),#REF!) + IF(AND(#REF!=AP$2,#REF!&lt;&gt;""),#REF!) + IF(AND(#REF!=AP$2,#REF!&lt;&gt;""),#REF!)</f>
        <v>#REF!</v>
      </c>
      <c r="AQ79" s="134"/>
      <c r="AR79" s="57" t="e">
        <f>IF(#REF!=AR$2,IF(#REF!=$Y$2,#REF!*plat_invest)) + IF(#REF!=AR$2,IF(#REF!=$Y$2,#REF!*plat_invest)) + IF(#REF!=AR$2,IF(#REF!=$Y$2,#REF!*plat_invest))</f>
        <v>#REF!</v>
      </c>
      <c r="AS79" s="57" t="e">
        <f>IF(#REF!=AS$2,IF(#REF!=$Y$2,#REF!*lumber_invest)) + IF(#REF!=AS$2,IF(#REF!=$Y$2,#REF!*lumber_invest)) + IF(#REF!=AS$2,IF(#REF!=$Y$2,#REF!*lumber_invest))</f>
        <v>#REF!</v>
      </c>
      <c r="AT79" s="57" t="e">
        <f>IF(#REF!=AT$2,IF(#REF!=$Y$2,#REF!*ore_invest)) + IF(#REF!=AT$2,IF(#REF!=$Y$2,#REF!*ore_invest)) + IF(#REF!=AT$2,IF(#REF!=$Y$2,#REF!*ore_invest))</f>
        <v>#REF!</v>
      </c>
      <c r="AU79" s="57" t="e">
        <f>IF(#REF!=AU$2,IF(#REF!=$Y$2,#REF!*gem_invest)) + IF(#REF!=AU$2,IF(#REF!=$Y$2,#REF!*gem_invest)) + IF(#REF!=AU$2,IF(#REF!=$Y$2,#REF!*gem_invest))</f>
        <v>#REF!</v>
      </c>
      <c r="AV79" s="134"/>
      <c r="AW79" s="57" t="e">
        <f>IF(#REF!=AW$2,IF(#REF!=$Z$2,#REF!*plat_invest)) + IF(#REF!=AW$2,IF(#REF!=$Z$2,#REF!*plat_invest)) + IF(#REF!=AW$2,IF(#REF!=$Z$2,#REF!*plat_invest))</f>
        <v>#REF!</v>
      </c>
      <c r="AX79" s="57" t="e">
        <f>IF(#REF!=AX$2,IF(#REF!=$Z$2,#REF!*lumber_invest)) + IF(#REF!=AX$2,IF(#REF!=$Z$2,#REF!*lumber_invest)) + IF(#REF!=AX$2,IF(#REF!=$Z$2,#REF!*lumber_invest))</f>
        <v>#REF!</v>
      </c>
      <c r="AY79" s="57" t="e">
        <f>IF(#REF!=AY$2,IF(#REF!=$Z$2,#REF!*ore_invest)) + IF(#REF!=AY$2,IF(#REF!=$Z$2,#REF!*ore_invest)) + IF(#REF!=AY$2,IF(#REF!=$Z$2,#REF!*ore_invest))</f>
        <v>#REF!</v>
      </c>
      <c r="AZ79" s="57" t="e">
        <f>IF(#REF!=AZ$2,IF(#REF!=$Z$2,#REF!*gem_invest)) + IF(#REF!=AZ$2,IF(#REF!=$Z$2,#REF!*gem_invest)) + IF(#REF!=AZ$2,IF(#REF!=$Z$2,#REF!*gem_invest))</f>
        <v>#REF!</v>
      </c>
      <c r="BA79" s="134"/>
      <c r="BB79" s="57" t="e">
        <f>IF(#REF!=BB$2,IF(#REF!=$AA$2,#REF!*plat_invest)) + IF(#REF!=BB$2,IF(#REF!=$AA$2,#REF!*plat_invest)) + IF(#REF!=BB$2,IF(#REF!=$AA$2,#REF!*plat_invest))</f>
        <v>#REF!</v>
      </c>
      <c r="BC79" s="57" t="e">
        <f>IF(#REF!=BC$2,IF(#REF!=$AA$2,#REF!*lumber_invest)) + IF(#REF!=BC$2,IF(#REF!=$AA$2,#REF!*lumber_invest)) + IF(#REF!=BC$2,IF(#REF!=$AA$2,#REF!*lumber_invest))</f>
        <v>#REF!</v>
      </c>
      <c r="BD79" s="57" t="e">
        <f>IF(#REF!=BD$2,IF(#REF!=$AA$2,#REF!*ore_invest)) + IF(#REF!=BD$2,IF(#REF!=$AA$2,#REF!*ore_invest)) + IF(#REF!=BD$2,IF(#REF!=$AA$2,#REF!*ore_invest))</f>
        <v>#REF!</v>
      </c>
      <c r="BE79" s="57" t="e">
        <f>IF(#REF!=BE$2,IF(#REF!=$AA$2,#REF!*gem_invest)) + IF(#REF!=BE$2,IF(#REF!=$AA$2,#REF!*gem_invest)) + IF(#REF!=BE$2,IF(#REF!=$AA$2,#REF!*gem_invest))</f>
        <v>#REF!</v>
      </c>
      <c r="BF79" s="134"/>
      <c r="BG79" s="57" t="e">
        <f>IF(#REF!=BG$2,IF(#REF!=$AB$2,#REF!*plat_invest)) + IF(#REF!=BG$2,IF(#REF!=$AB$2,#REF!*plat_invest)) + IF(#REF!=BG$2,IF(#REF!=$AB$2,#REF!*plat_invest))</f>
        <v>#REF!</v>
      </c>
      <c r="BH79" s="57" t="e">
        <f>IF(#REF!=BH$2,IF(#REF!=$AB$2,#REF!*lumber_invest)) + IF(#REF!=BH$2,IF(#REF!=$AB$2,#REF!*lumber_invest)) + IF(#REF!=BH$2,IF(#REF!=$AB$2,#REF!*lumber_invest))</f>
        <v>#REF!</v>
      </c>
      <c r="BI79" s="57" t="e">
        <f>IF(#REF!=BI$2,IF(#REF!=$AB$2,#REF!*ore_invest)) + IF(#REF!=BI$2,IF(#REF!=$AB$2,#REF!*ore_invest)) + IF(#REF!=BI$2,IF(#REF!=$AB$2,#REF!*ore_invest))</f>
        <v>#REF!</v>
      </c>
      <c r="BJ79" s="57" t="e">
        <f>IF(#REF!=BJ$2,IF(#REF!=$AB$2,#REF!*gem_invest)) + IF(#REF!=BJ$2,IF(#REF!=$AB$2,#REF!*gem_invest)) + IF(#REF!=BJ$2,IF(#REF!=$AB$2,#REF!*gem_invest))</f>
        <v>#REF!</v>
      </c>
      <c r="BK79" s="134"/>
      <c r="BL79" s="57" t="e">
        <f>IF(#REF!=BL$2,IF(#REF!=$AC$2,#REF!*plat_invest)) + IF(#REF!=BL$2,IF(#REF!=$AC$2,#REF!*plat_invest)) + IF(#REF!=BL$2,IF(#REF!=$AC$2,#REF!*plat_invest))</f>
        <v>#REF!</v>
      </c>
      <c r="BM79" s="57" t="e">
        <f>IF(#REF!=BM$2,IF(#REF!=$AC$2,#REF!*lumber_invest)) + IF(#REF!=BM$2,IF(#REF!=$AC$2,#REF!*lumber_invest)) + IF(#REF!=BM$2,IF(#REF!=$AC$2,#REF!*lumber_invest))</f>
        <v>#REF!</v>
      </c>
      <c r="BN79" s="57" t="e">
        <f>IF(#REF!=BN$2,IF(#REF!=$AC$2,#REF!*ore_invest)) + IF(#REF!=BN$2,IF(#REF!=$AC$2,#REF!*ore_invest)) + IF(#REF!=BN$2,IF(#REF!=$AC$2,#REF!*ore_invest))</f>
        <v>#REF!</v>
      </c>
      <c r="BO79" s="57" t="e">
        <f>IF(#REF!=BO$2,IF(#REF!=$AC$2,#REF!*gem_invest)) + IF(#REF!=BO$2,IF(#REF!=$AC$2,#REF!*gem_invest)) + IF(#REF!=BO$2,IF(#REF!=$AC$2,#REF!*gem_invest))</f>
        <v>#REF!</v>
      </c>
      <c r="BP79" s="134"/>
      <c r="BQ79" s="57" t="e">
        <f>IF(#REF!=BQ$2,IF(#REF!=$AD$2,#REF!*plat_invest)) + IF(#REF!=BQ$2,IF(#REF!=$AD$2,#REF!*plat_invest)) + IF(#REF!=BQ$2,IF(#REF!=$AD$2,#REF!*plat_invest))</f>
        <v>#REF!</v>
      </c>
      <c r="BR79" s="57" t="e">
        <f>IF(#REF!=BR$2,IF(#REF!=$AD$2,#REF!*lumber_invest)) + IF(#REF!=BR$2,IF(#REF!=$AD$2,#REF!*lumber_invest)) + IF(#REF!=BR$2,IF(#REF!=$AD$2,#REF!*lumber_invest))</f>
        <v>#REF!</v>
      </c>
      <c r="BS79" s="57" t="e">
        <f>IF(#REF!=BS$2,IF(#REF!=$AD$2,#REF!*ore_invest)) + IF(#REF!=BS$2,IF(#REF!=$AD$2,#REF!*ore_invest)) + IF(#REF!=BS$2,IF(#REF!=$AD$2,#REF!*ore_invest))</f>
        <v>#REF!</v>
      </c>
      <c r="BT79" s="57" t="e">
        <f>IF(#REF!=BT$2,IF(#REF!=$AD$2,#REF!*gem_invest)) + IF(#REF!=BT$2,IF(#REF!=$AD$2,#REF!*gem_invest)) + IF(#REF!=BT$2,IF(#REF!=$AD$2,#REF!*gem_invest))</f>
        <v>#REF!</v>
      </c>
      <c r="BU79" s="134"/>
      <c r="BV79" s="3" t="e">
        <f>OR(#REF!,#REF!,#REF!,#REF!,#REF!,#REF!,#REF!,#REF!,#REF!)</f>
        <v>#REF!</v>
      </c>
      <c r="BW79" s="61" t="e">
        <f>#REF!</f>
        <v>#REF!</v>
      </c>
      <c r="BX79" s="130"/>
      <c r="BY79" s="284" t="e">
        <f ca="1">OFFSET(#REF!,-1,0)+1/24</f>
        <v>#REF!</v>
      </c>
      <c r="BZ79" s="285" t="e">
        <f ca="1">OFFSET(#REF!,-1,0)+1/24</f>
        <v>#REF!</v>
      </c>
      <c r="CA79" s="57"/>
      <c r="CB79" s="283"/>
      <c r="CC79" s="283"/>
      <c r="CF79" s="287"/>
    </row>
    <row r="80" spans="1:84" x14ac:dyDescent="0.25">
      <c r="A80" s="206" t="e">
        <f>#REF!</f>
        <v>#REF!</v>
      </c>
      <c r="B80" s="134"/>
      <c r="C80" s="39" t="e">
        <f>#REF!</f>
        <v>#REF!</v>
      </c>
      <c r="D80" s="39" t="e">
        <f>#REF!</f>
        <v>#REF!</v>
      </c>
      <c r="E80" s="39" t="e">
        <f>#REF!</f>
        <v>#REF!</v>
      </c>
      <c r="F80" s="39" t="e">
        <f>#REF!</f>
        <v>#REF!</v>
      </c>
      <c r="G80" s="133"/>
      <c r="H80" s="39" t="e">
        <f>#REF!</f>
        <v>#REF!</v>
      </c>
      <c r="I80" s="132" t="e">
        <f>#REF!</f>
        <v>#REF!</v>
      </c>
      <c r="J80" s="132" t="e">
        <f>#REF!/#REF!</f>
        <v>#REF!</v>
      </c>
      <c r="K80" s="160" t="e">
        <f>#REF!</f>
        <v>#REF!</v>
      </c>
      <c r="L80" s="276" t="e">
        <f>#REF!</f>
        <v>#REF!</v>
      </c>
      <c r="M80" s="61">
        <f>IF(ISERROR(#REF!),0,#REF!*1)</f>
        <v>0</v>
      </c>
      <c r="N80" s="39" t="e">
        <f>#REF!</f>
        <v>#REF!</v>
      </c>
      <c r="O80" s="277" t="s">
        <v>4</v>
      </c>
      <c r="P80" s="278"/>
      <c r="Q80" s="277" t="s">
        <v>211</v>
      </c>
      <c r="R80" s="277" t="s">
        <v>7</v>
      </c>
      <c r="S80" s="278"/>
      <c r="T80" s="277" t="s">
        <v>211</v>
      </c>
      <c r="U80" s="277" t="s">
        <v>3</v>
      </c>
      <c r="V80" s="278"/>
      <c r="W80" s="277" t="s">
        <v>211</v>
      </c>
      <c r="X80" s="134"/>
      <c r="Y80" s="209" t="e">
        <f ca="1">science_cap*(1-EXP(-#REF!/(science_param*(OFFSET(#REF!,1,0)-OFFSET(#REF!,1,0)*20)+15000)))*(1+(mason_bonus*#REF!/#REF!))</f>
        <v>#REF!</v>
      </c>
      <c r="Z80" s="209" t="e">
        <f ca="1">keep_cap*(1-EXP(-#REF!/(keep_param*(OFFSET(#REF!,1,0)-OFFSET(#REF!,1,0)*20)+15000)))*(1+(mason_bonus*#REF!/#REF!))</f>
        <v>#REF!</v>
      </c>
      <c r="AA80" s="209" t="e">
        <f ca="1">harbor_towers_cap*(1-EXP(-#REF!/(towers_param*(OFFSET(#REF!,1,0)-OFFSET(#REF!,1,0)*20)+15000)))*(1+(mason_bonus*#REF!/#REF!))</f>
        <v>#REF!</v>
      </c>
      <c r="AB80" s="209" t="e">
        <f ca="1">walls_forges_cap*(1-EXP(-#REF!/(walls_forges_param*(OFFSET(#REF!,1,0)-OFFSET(#REF!,1,0)*20)+15000)))*(1+(mason_bonus*#REF!/#REF!))</f>
        <v>#REF!</v>
      </c>
      <c r="AC80" s="209" t="e">
        <f ca="1">walls_forges_cap*(1-EXP(-#REF!/(walls_forges_param*(OFFSET(#REF!,1,0)-OFFSET(#REF!,1,0)*20)+15000)))*(1+(mason_bonus*#REF!/#REF!))</f>
        <v>#REF!</v>
      </c>
      <c r="AD80" s="209" t="e">
        <f ca="1">harbor_towers_cap*(1-EXP(-#REF!/(harbor_towers_param*(OFFSET(#REF!,1,0)-OFFSET(#REF!,1,0)*20)+15000)))*(1+(mason_bonus*#REF!/#REF!))</f>
        <v>#REF!</v>
      </c>
      <c r="AE80" s="134"/>
      <c r="AF80" s="61" t="e">
        <f ca="1">(1+Overview!$I$28)*SUM(#REF!)+OFFSET(#REF!,-1,0)</f>
        <v>#REF!</v>
      </c>
      <c r="AG80" s="61" t="e">
        <f ca="1">(1+Overview!$I$28)*SUM(#REF!)+OFFSET(#REF!,-1,0)</f>
        <v>#REF!</v>
      </c>
      <c r="AH80" s="61" t="e">
        <f ca="1">(1+Overview!$I$28 + tech_7_1*#REF!)*SUM(#REF!)+OFFSET(#REF!,-1,0)</f>
        <v>#REF!</v>
      </c>
      <c r="AI80" s="61" t="e">
        <f ca="1">(1+Overview!$I$28)*SUM(#REF!)+OFFSET(#REF!,-1,0)</f>
        <v>#REF!</v>
      </c>
      <c r="AJ80" s="61" t="e">
        <f ca="1">(1+Overview!$I$28)*SUM(#REF!)+OFFSET(#REF!,-1,0)</f>
        <v>#REF!</v>
      </c>
      <c r="AK80" s="61" t="e">
        <f ca="1">(1+Overview!$I$28 + tech_7_1*#REF!)*SUM(#REF!)+OFFSET(#REF!,-1,0)</f>
        <v>#REF!</v>
      </c>
      <c r="AL80" s="134"/>
      <c r="AM80" s="57" t="e">
        <f>IF(AND(#REF!=AM$2,#REF!&lt;&gt;""),#REF!) + IF(AND(#REF!=AM$2,#REF!&lt;&gt;""),#REF!) + IF(AND(#REF!=AM$2,#REF!&lt;&gt;""),#REF!)</f>
        <v>#REF!</v>
      </c>
      <c r="AN80" s="57" t="e">
        <f>IF(AND(#REF!=AN$2,#REF!&lt;&gt;""),#REF!) + IF(AND(#REF!=AN$2,#REF!&lt;&gt;""),#REF!) + IF(AND(#REF!=AN$2,#REF!&lt;&gt;""),#REF!)</f>
        <v>#REF!</v>
      </c>
      <c r="AO80" s="57" t="e">
        <f>IF(AND(#REF!=AO$2,#REF!&lt;&gt;""),#REF!) + IF(AND(#REF!=AO$2,#REF!&lt;&gt;""),#REF!) + IF(AND(#REF!=AO$2,#REF!&lt;&gt;""),#REF!)</f>
        <v>#REF!</v>
      </c>
      <c r="AP80" s="57" t="e">
        <f>IF(AND(#REF!=AP$2,#REF!&lt;&gt;""),#REF!) + IF(AND(#REF!=AP$2,#REF!&lt;&gt;""),#REF!) + IF(AND(#REF!=AP$2,#REF!&lt;&gt;""),#REF!)</f>
        <v>#REF!</v>
      </c>
      <c r="AQ80" s="134"/>
      <c r="AR80" s="57" t="e">
        <f>IF(#REF!=AR$2,IF(#REF!=$Y$2,#REF!*plat_invest)) + IF(#REF!=AR$2,IF(#REF!=$Y$2,#REF!*plat_invest)) + IF(#REF!=AR$2,IF(#REF!=$Y$2,#REF!*plat_invest))</f>
        <v>#REF!</v>
      </c>
      <c r="AS80" s="57" t="e">
        <f>IF(#REF!=AS$2,IF(#REF!=$Y$2,#REF!*lumber_invest)) + IF(#REF!=AS$2,IF(#REF!=$Y$2,#REF!*lumber_invest)) + IF(#REF!=AS$2,IF(#REF!=$Y$2,#REF!*lumber_invest))</f>
        <v>#REF!</v>
      </c>
      <c r="AT80" s="57" t="e">
        <f>IF(#REF!=AT$2,IF(#REF!=$Y$2,#REF!*ore_invest)) + IF(#REF!=AT$2,IF(#REF!=$Y$2,#REF!*ore_invest)) + IF(#REF!=AT$2,IF(#REF!=$Y$2,#REF!*ore_invest))</f>
        <v>#REF!</v>
      </c>
      <c r="AU80" s="57" t="e">
        <f>IF(#REF!=AU$2,IF(#REF!=$Y$2,#REF!*gem_invest)) + IF(#REF!=AU$2,IF(#REF!=$Y$2,#REF!*gem_invest)) + IF(#REF!=AU$2,IF(#REF!=$Y$2,#REF!*gem_invest))</f>
        <v>#REF!</v>
      </c>
      <c r="AV80" s="134"/>
      <c r="AW80" s="57" t="e">
        <f>IF(#REF!=AW$2,IF(#REF!=$Z$2,#REF!*plat_invest)) + IF(#REF!=AW$2,IF(#REF!=$Z$2,#REF!*plat_invest)) + IF(#REF!=AW$2,IF(#REF!=$Z$2,#REF!*plat_invest))</f>
        <v>#REF!</v>
      </c>
      <c r="AX80" s="57" t="e">
        <f>IF(#REF!=AX$2,IF(#REF!=$Z$2,#REF!*lumber_invest)) + IF(#REF!=AX$2,IF(#REF!=$Z$2,#REF!*lumber_invest)) + IF(#REF!=AX$2,IF(#REF!=$Z$2,#REF!*lumber_invest))</f>
        <v>#REF!</v>
      </c>
      <c r="AY80" s="57" t="e">
        <f>IF(#REF!=AY$2,IF(#REF!=$Z$2,#REF!*ore_invest)) + IF(#REF!=AY$2,IF(#REF!=$Z$2,#REF!*ore_invest)) + IF(#REF!=AY$2,IF(#REF!=$Z$2,#REF!*ore_invest))</f>
        <v>#REF!</v>
      </c>
      <c r="AZ80" s="57" t="e">
        <f>IF(#REF!=AZ$2,IF(#REF!=$Z$2,#REF!*gem_invest)) + IF(#REF!=AZ$2,IF(#REF!=$Z$2,#REF!*gem_invest)) + IF(#REF!=AZ$2,IF(#REF!=$Z$2,#REF!*gem_invest))</f>
        <v>#REF!</v>
      </c>
      <c r="BA80" s="134"/>
      <c r="BB80" s="57" t="e">
        <f>IF(#REF!=BB$2,IF(#REF!=$AA$2,#REF!*plat_invest)) + IF(#REF!=BB$2,IF(#REF!=$AA$2,#REF!*plat_invest)) + IF(#REF!=BB$2,IF(#REF!=$AA$2,#REF!*plat_invest))</f>
        <v>#REF!</v>
      </c>
      <c r="BC80" s="57" t="e">
        <f>IF(#REF!=BC$2,IF(#REF!=$AA$2,#REF!*lumber_invest)) + IF(#REF!=BC$2,IF(#REF!=$AA$2,#REF!*lumber_invest)) + IF(#REF!=BC$2,IF(#REF!=$AA$2,#REF!*lumber_invest))</f>
        <v>#REF!</v>
      </c>
      <c r="BD80" s="57" t="e">
        <f>IF(#REF!=BD$2,IF(#REF!=$AA$2,#REF!*ore_invest)) + IF(#REF!=BD$2,IF(#REF!=$AA$2,#REF!*ore_invest)) + IF(#REF!=BD$2,IF(#REF!=$AA$2,#REF!*ore_invest))</f>
        <v>#REF!</v>
      </c>
      <c r="BE80" s="57" t="e">
        <f>IF(#REF!=BE$2,IF(#REF!=$AA$2,#REF!*gem_invest)) + IF(#REF!=BE$2,IF(#REF!=$AA$2,#REF!*gem_invest)) + IF(#REF!=BE$2,IF(#REF!=$AA$2,#REF!*gem_invest))</f>
        <v>#REF!</v>
      </c>
      <c r="BF80" s="134"/>
      <c r="BG80" s="57" t="e">
        <f>IF(#REF!=BG$2,IF(#REF!=$AB$2,#REF!*plat_invest)) + IF(#REF!=BG$2,IF(#REF!=$AB$2,#REF!*plat_invest)) + IF(#REF!=BG$2,IF(#REF!=$AB$2,#REF!*plat_invest))</f>
        <v>#REF!</v>
      </c>
      <c r="BH80" s="57" t="e">
        <f>IF(#REF!=BH$2,IF(#REF!=$AB$2,#REF!*lumber_invest)) + IF(#REF!=BH$2,IF(#REF!=$AB$2,#REF!*lumber_invest)) + IF(#REF!=BH$2,IF(#REF!=$AB$2,#REF!*lumber_invest))</f>
        <v>#REF!</v>
      </c>
      <c r="BI80" s="57" t="e">
        <f>IF(#REF!=BI$2,IF(#REF!=$AB$2,#REF!*ore_invest)) + IF(#REF!=BI$2,IF(#REF!=$AB$2,#REF!*ore_invest)) + IF(#REF!=BI$2,IF(#REF!=$AB$2,#REF!*ore_invest))</f>
        <v>#REF!</v>
      </c>
      <c r="BJ80" s="57" t="e">
        <f>IF(#REF!=BJ$2,IF(#REF!=$AB$2,#REF!*gem_invest)) + IF(#REF!=BJ$2,IF(#REF!=$AB$2,#REF!*gem_invest)) + IF(#REF!=BJ$2,IF(#REF!=$AB$2,#REF!*gem_invest))</f>
        <v>#REF!</v>
      </c>
      <c r="BK80" s="134"/>
      <c r="BL80" s="57" t="e">
        <f>IF(#REF!=BL$2,IF(#REF!=$AC$2,#REF!*plat_invest)) + IF(#REF!=BL$2,IF(#REF!=$AC$2,#REF!*plat_invest)) + IF(#REF!=BL$2,IF(#REF!=$AC$2,#REF!*plat_invest))</f>
        <v>#REF!</v>
      </c>
      <c r="BM80" s="57" t="e">
        <f>IF(#REF!=BM$2,IF(#REF!=$AC$2,#REF!*lumber_invest)) + IF(#REF!=BM$2,IF(#REF!=$AC$2,#REF!*lumber_invest)) + IF(#REF!=BM$2,IF(#REF!=$AC$2,#REF!*lumber_invest))</f>
        <v>#REF!</v>
      </c>
      <c r="BN80" s="57" t="e">
        <f>IF(#REF!=BN$2,IF(#REF!=$AC$2,#REF!*ore_invest)) + IF(#REF!=BN$2,IF(#REF!=$AC$2,#REF!*ore_invest)) + IF(#REF!=BN$2,IF(#REF!=$AC$2,#REF!*ore_invest))</f>
        <v>#REF!</v>
      </c>
      <c r="BO80" s="57" t="e">
        <f>IF(#REF!=BO$2,IF(#REF!=$AC$2,#REF!*gem_invest)) + IF(#REF!=BO$2,IF(#REF!=$AC$2,#REF!*gem_invest)) + IF(#REF!=BO$2,IF(#REF!=$AC$2,#REF!*gem_invest))</f>
        <v>#REF!</v>
      </c>
      <c r="BP80" s="134"/>
      <c r="BQ80" s="57" t="e">
        <f>IF(#REF!=BQ$2,IF(#REF!=$AD$2,#REF!*plat_invest)) + IF(#REF!=BQ$2,IF(#REF!=$AD$2,#REF!*plat_invest)) + IF(#REF!=BQ$2,IF(#REF!=$AD$2,#REF!*plat_invest))</f>
        <v>#REF!</v>
      </c>
      <c r="BR80" s="57" t="e">
        <f>IF(#REF!=BR$2,IF(#REF!=$AD$2,#REF!*lumber_invest)) + IF(#REF!=BR$2,IF(#REF!=$AD$2,#REF!*lumber_invest)) + IF(#REF!=BR$2,IF(#REF!=$AD$2,#REF!*lumber_invest))</f>
        <v>#REF!</v>
      </c>
      <c r="BS80" s="57" t="e">
        <f>IF(#REF!=BS$2,IF(#REF!=$AD$2,#REF!*ore_invest)) + IF(#REF!=BS$2,IF(#REF!=$AD$2,#REF!*ore_invest)) + IF(#REF!=BS$2,IF(#REF!=$AD$2,#REF!*ore_invest))</f>
        <v>#REF!</v>
      </c>
      <c r="BT80" s="57" t="e">
        <f>IF(#REF!=BT$2,IF(#REF!=$AD$2,#REF!*gem_invest)) + IF(#REF!=BT$2,IF(#REF!=$AD$2,#REF!*gem_invest)) + IF(#REF!=BT$2,IF(#REF!=$AD$2,#REF!*gem_invest))</f>
        <v>#REF!</v>
      </c>
      <c r="BU80" s="134"/>
      <c r="BV80" s="3" t="e">
        <f>OR(#REF!,#REF!,#REF!,#REF!,#REF!,#REF!,#REF!,#REF!,#REF!)</f>
        <v>#REF!</v>
      </c>
      <c r="BW80" s="61" t="e">
        <f>#REF!</f>
        <v>#REF!</v>
      </c>
      <c r="BX80" s="130"/>
      <c r="BY80" s="284" t="e">
        <f ca="1">OFFSET(#REF!,-1,0)+1/24</f>
        <v>#REF!</v>
      </c>
      <c r="BZ80" s="285" t="e">
        <f ca="1">OFFSET(#REF!,-1,0)+1/24</f>
        <v>#REF!</v>
      </c>
      <c r="CA80" s="57"/>
      <c r="CB80" s="283"/>
      <c r="CC80" s="283"/>
      <c r="CF80" s="286"/>
    </row>
    <row r="81" spans="1:84" x14ac:dyDescent="0.25">
      <c r="A81" s="206" t="e">
        <f>#REF!</f>
        <v>#REF!</v>
      </c>
      <c r="B81" s="134"/>
      <c r="C81" s="39" t="e">
        <f>#REF!</f>
        <v>#REF!</v>
      </c>
      <c r="D81" s="39" t="e">
        <f>#REF!</f>
        <v>#REF!</v>
      </c>
      <c r="E81" s="39" t="e">
        <f>#REF!</f>
        <v>#REF!</v>
      </c>
      <c r="F81" s="39" t="e">
        <f>#REF!</f>
        <v>#REF!</v>
      </c>
      <c r="G81" s="133"/>
      <c r="H81" s="39" t="e">
        <f>#REF!</f>
        <v>#REF!</v>
      </c>
      <c r="I81" s="132" t="e">
        <f>#REF!</f>
        <v>#REF!</v>
      </c>
      <c r="J81" s="132" t="e">
        <f>#REF!/#REF!</f>
        <v>#REF!</v>
      </c>
      <c r="K81" s="160" t="e">
        <f>#REF!</f>
        <v>#REF!</v>
      </c>
      <c r="L81" s="276" t="e">
        <f>#REF!</f>
        <v>#REF!</v>
      </c>
      <c r="M81" s="61">
        <f>IF(ISERROR(#REF!),0,#REF!*1)</f>
        <v>0</v>
      </c>
      <c r="N81" s="39" t="e">
        <f>#REF!</f>
        <v>#REF!</v>
      </c>
      <c r="O81" s="277" t="s">
        <v>4</v>
      </c>
      <c r="P81" s="278"/>
      <c r="Q81" s="277" t="s">
        <v>211</v>
      </c>
      <c r="R81" s="277" t="s">
        <v>7</v>
      </c>
      <c r="S81" s="278"/>
      <c r="T81" s="277" t="s">
        <v>211</v>
      </c>
      <c r="U81" s="277" t="s">
        <v>3</v>
      </c>
      <c r="V81" s="278"/>
      <c r="W81" s="277" t="s">
        <v>211</v>
      </c>
      <c r="X81" s="134"/>
      <c r="Y81" s="209" t="e">
        <f ca="1">science_cap*(1-EXP(-#REF!/(science_param*(OFFSET(#REF!,1,0)-OFFSET(#REF!,1,0)*20)+15000)))*(1+(mason_bonus*#REF!/#REF!))</f>
        <v>#REF!</v>
      </c>
      <c r="Z81" s="209" t="e">
        <f ca="1">keep_cap*(1-EXP(-#REF!/(keep_param*(OFFSET(#REF!,1,0)-OFFSET(#REF!,1,0)*20)+15000)))*(1+(mason_bonus*#REF!/#REF!))</f>
        <v>#REF!</v>
      </c>
      <c r="AA81" s="209" t="e">
        <f ca="1">harbor_towers_cap*(1-EXP(-#REF!/(towers_param*(OFFSET(#REF!,1,0)-OFFSET(#REF!,1,0)*20)+15000)))*(1+(mason_bonus*#REF!/#REF!))</f>
        <v>#REF!</v>
      </c>
      <c r="AB81" s="209" t="e">
        <f ca="1">walls_forges_cap*(1-EXP(-#REF!/(walls_forges_param*(OFFSET(#REF!,1,0)-OFFSET(#REF!,1,0)*20)+15000)))*(1+(mason_bonus*#REF!/#REF!))</f>
        <v>#REF!</v>
      </c>
      <c r="AC81" s="209" t="e">
        <f ca="1">walls_forges_cap*(1-EXP(-#REF!/(walls_forges_param*(OFFSET(#REF!,1,0)-OFFSET(#REF!,1,0)*20)+15000)))*(1+(mason_bonus*#REF!/#REF!))</f>
        <v>#REF!</v>
      </c>
      <c r="AD81" s="209" t="e">
        <f ca="1">harbor_towers_cap*(1-EXP(-#REF!/(harbor_towers_param*(OFFSET(#REF!,1,0)-OFFSET(#REF!,1,0)*20)+15000)))*(1+(mason_bonus*#REF!/#REF!))</f>
        <v>#REF!</v>
      </c>
      <c r="AE81" s="134"/>
      <c r="AF81" s="61" t="e">
        <f ca="1">(1+Overview!$I$28)*SUM(#REF!)+OFFSET(#REF!,-1,0)</f>
        <v>#REF!</v>
      </c>
      <c r="AG81" s="61" t="e">
        <f ca="1">(1+Overview!$I$28)*SUM(#REF!)+OFFSET(#REF!,-1,0)</f>
        <v>#REF!</v>
      </c>
      <c r="AH81" s="61" t="e">
        <f ca="1">(1+Overview!$I$28 + tech_7_1*#REF!)*SUM(#REF!)+OFFSET(#REF!,-1,0)</f>
        <v>#REF!</v>
      </c>
      <c r="AI81" s="61" t="e">
        <f ca="1">(1+Overview!$I$28)*SUM(#REF!)+OFFSET(#REF!,-1,0)</f>
        <v>#REF!</v>
      </c>
      <c r="AJ81" s="61" t="e">
        <f ca="1">(1+Overview!$I$28)*SUM(#REF!)+OFFSET(#REF!,-1,0)</f>
        <v>#REF!</v>
      </c>
      <c r="AK81" s="61" t="e">
        <f ca="1">(1+Overview!$I$28 + tech_7_1*#REF!)*SUM(#REF!)+OFFSET(#REF!,-1,0)</f>
        <v>#REF!</v>
      </c>
      <c r="AL81" s="134"/>
      <c r="AM81" s="57" t="e">
        <f>IF(AND(#REF!=AM$2,#REF!&lt;&gt;""),#REF!) + IF(AND(#REF!=AM$2,#REF!&lt;&gt;""),#REF!) + IF(AND(#REF!=AM$2,#REF!&lt;&gt;""),#REF!)</f>
        <v>#REF!</v>
      </c>
      <c r="AN81" s="57" t="e">
        <f>IF(AND(#REF!=AN$2,#REF!&lt;&gt;""),#REF!) + IF(AND(#REF!=AN$2,#REF!&lt;&gt;""),#REF!) + IF(AND(#REF!=AN$2,#REF!&lt;&gt;""),#REF!)</f>
        <v>#REF!</v>
      </c>
      <c r="AO81" s="57" t="e">
        <f>IF(AND(#REF!=AO$2,#REF!&lt;&gt;""),#REF!) + IF(AND(#REF!=AO$2,#REF!&lt;&gt;""),#REF!) + IF(AND(#REF!=AO$2,#REF!&lt;&gt;""),#REF!)</f>
        <v>#REF!</v>
      </c>
      <c r="AP81" s="57" t="e">
        <f>IF(AND(#REF!=AP$2,#REF!&lt;&gt;""),#REF!) + IF(AND(#REF!=AP$2,#REF!&lt;&gt;""),#REF!) + IF(AND(#REF!=AP$2,#REF!&lt;&gt;""),#REF!)</f>
        <v>#REF!</v>
      </c>
      <c r="AQ81" s="134"/>
      <c r="AR81" s="57" t="e">
        <f>IF(#REF!=AR$2,IF(#REF!=$Y$2,#REF!*plat_invest)) + IF(#REF!=AR$2,IF(#REF!=$Y$2,#REF!*plat_invest)) + IF(#REF!=AR$2,IF(#REF!=$Y$2,#REF!*plat_invest))</f>
        <v>#REF!</v>
      </c>
      <c r="AS81" s="57" t="e">
        <f>IF(#REF!=AS$2,IF(#REF!=$Y$2,#REF!*lumber_invest)) + IF(#REF!=AS$2,IF(#REF!=$Y$2,#REF!*lumber_invest)) + IF(#REF!=AS$2,IF(#REF!=$Y$2,#REF!*lumber_invest))</f>
        <v>#REF!</v>
      </c>
      <c r="AT81" s="57" t="e">
        <f>IF(#REF!=AT$2,IF(#REF!=$Y$2,#REF!*ore_invest)) + IF(#REF!=AT$2,IF(#REF!=$Y$2,#REF!*ore_invest)) + IF(#REF!=AT$2,IF(#REF!=$Y$2,#REF!*ore_invest))</f>
        <v>#REF!</v>
      </c>
      <c r="AU81" s="57" t="e">
        <f>IF(#REF!=AU$2,IF(#REF!=$Y$2,#REF!*gem_invest)) + IF(#REF!=AU$2,IF(#REF!=$Y$2,#REF!*gem_invest)) + IF(#REF!=AU$2,IF(#REF!=$Y$2,#REF!*gem_invest))</f>
        <v>#REF!</v>
      </c>
      <c r="AV81" s="134"/>
      <c r="AW81" s="57" t="e">
        <f>IF(#REF!=AW$2,IF(#REF!=$Z$2,#REF!*plat_invest)) + IF(#REF!=AW$2,IF(#REF!=$Z$2,#REF!*plat_invest)) + IF(#REF!=AW$2,IF(#REF!=$Z$2,#REF!*plat_invest))</f>
        <v>#REF!</v>
      </c>
      <c r="AX81" s="57" t="e">
        <f>IF(#REF!=AX$2,IF(#REF!=$Z$2,#REF!*lumber_invest)) + IF(#REF!=AX$2,IF(#REF!=$Z$2,#REF!*lumber_invest)) + IF(#REF!=AX$2,IF(#REF!=$Z$2,#REF!*lumber_invest))</f>
        <v>#REF!</v>
      </c>
      <c r="AY81" s="57" t="e">
        <f>IF(#REF!=AY$2,IF(#REF!=$Z$2,#REF!*ore_invest)) + IF(#REF!=AY$2,IF(#REF!=$Z$2,#REF!*ore_invest)) + IF(#REF!=AY$2,IF(#REF!=$Z$2,#REF!*ore_invest))</f>
        <v>#REF!</v>
      </c>
      <c r="AZ81" s="57" t="e">
        <f>IF(#REF!=AZ$2,IF(#REF!=$Z$2,#REF!*gem_invest)) + IF(#REF!=AZ$2,IF(#REF!=$Z$2,#REF!*gem_invest)) + IF(#REF!=AZ$2,IF(#REF!=$Z$2,#REF!*gem_invest))</f>
        <v>#REF!</v>
      </c>
      <c r="BA81" s="134"/>
      <c r="BB81" s="57" t="e">
        <f>IF(#REF!=BB$2,IF(#REF!=$AA$2,#REF!*plat_invest)) + IF(#REF!=BB$2,IF(#REF!=$AA$2,#REF!*plat_invest)) + IF(#REF!=BB$2,IF(#REF!=$AA$2,#REF!*plat_invest))</f>
        <v>#REF!</v>
      </c>
      <c r="BC81" s="57" t="e">
        <f>IF(#REF!=BC$2,IF(#REF!=$AA$2,#REF!*lumber_invest)) + IF(#REF!=BC$2,IF(#REF!=$AA$2,#REF!*lumber_invest)) + IF(#REF!=BC$2,IF(#REF!=$AA$2,#REF!*lumber_invest))</f>
        <v>#REF!</v>
      </c>
      <c r="BD81" s="57" t="e">
        <f>IF(#REF!=BD$2,IF(#REF!=$AA$2,#REF!*ore_invest)) + IF(#REF!=BD$2,IF(#REF!=$AA$2,#REF!*ore_invest)) + IF(#REF!=BD$2,IF(#REF!=$AA$2,#REF!*ore_invest))</f>
        <v>#REF!</v>
      </c>
      <c r="BE81" s="57" t="e">
        <f>IF(#REF!=BE$2,IF(#REF!=$AA$2,#REF!*gem_invest)) + IF(#REF!=BE$2,IF(#REF!=$AA$2,#REF!*gem_invest)) + IF(#REF!=BE$2,IF(#REF!=$AA$2,#REF!*gem_invest))</f>
        <v>#REF!</v>
      </c>
      <c r="BF81" s="134"/>
      <c r="BG81" s="57" t="e">
        <f>IF(#REF!=BG$2,IF(#REF!=$AB$2,#REF!*plat_invest)) + IF(#REF!=BG$2,IF(#REF!=$AB$2,#REF!*plat_invest)) + IF(#REF!=BG$2,IF(#REF!=$AB$2,#REF!*plat_invest))</f>
        <v>#REF!</v>
      </c>
      <c r="BH81" s="57" t="e">
        <f>IF(#REF!=BH$2,IF(#REF!=$AB$2,#REF!*lumber_invest)) + IF(#REF!=BH$2,IF(#REF!=$AB$2,#REF!*lumber_invest)) + IF(#REF!=BH$2,IF(#REF!=$AB$2,#REF!*lumber_invest))</f>
        <v>#REF!</v>
      </c>
      <c r="BI81" s="57" t="e">
        <f>IF(#REF!=BI$2,IF(#REF!=$AB$2,#REF!*ore_invest)) + IF(#REF!=BI$2,IF(#REF!=$AB$2,#REF!*ore_invest)) + IF(#REF!=BI$2,IF(#REF!=$AB$2,#REF!*ore_invest))</f>
        <v>#REF!</v>
      </c>
      <c r="BJ81" s="57" t="e">
        <f>IF(#REF!=BJ$2,IF(#REF!=$AB$2,#REF!*gem_invest)) + IF(#REF!=BJ$2,IF(#REF!=$AB$2,#REF!*gem_invest)) + IF(#REF!=BJ$2,IF(#REF!=$AB$2,#REF!*gem_invest))</f>
        <v>#REF!</v>
      </c>
      <c r="BK81" s="134"/>
      <c r="BL81" s="57" t="e">
        <f>IF(#REF!=BL$2,IF(#REF!=$AC$2,#REF!*plat_invest)) + IF(#REF!=BL$2,IF(#REF!=$AC$2,#REF!*plat_invest)) + IF(#REF!=BL$2,IF(#REF!=$AC$2,#REF!*plat_invest))</f>
        <v>#REF!</v>
      </c>
      <c r="BM81" s="57" t="e">
        <f>IF(#REF!=BM$2,IF(#REF!=$AC$2,#REF!*lumber_invest)) + IF(#REF!=BM$2,IF(#REF!=$AC$2,#REF!*lumber_invest)) + IF(#REF!=BM$2,IF(#REF!=$AC$2,#REF!*lumber_invest))</f>
        <v>#REF!</v>
      </c>
      <c r="BN81" s="57" t="e">
        <f>IF(#REF!=BN$2,IF(#REF!=$AC$2,#REF!*ore_invest)) + IF(#REF!=BN$2,IF(#REF!=$AC$2,#REF!*ore_invest)) + IF(#REF!=BN$2,IF(#REF!=$AC$2,#REF!*ore_invest))</f>
        <v>#REF!</v>
      </c>
      <c r="BO81" s="57" t="e">
        <f>IF(#REF!=BO$2,IF(#REF!=$AC$2,#REF!*gem_invest)) + IF(#REF!=BO$2,IF(#REF!=$AC$2,#REF!*gem_invest)) + IF(#REF!=BO$2,IF(#REF!=$AC$2,#REF!*gem_invest))</f>
        <v>#REF!</v>
      </c>
      <c r="BP81" s="134"/>
      <c r="BQ81" s="57" t="e">
        <f>IF(#REF!=BQ$2,IF(#REF!=$AD$2,#REF!*plat_invest)) + IF(#REF!=BQ$2,IF(#REF!=$AD$2,#REF!*plat_invest)) + IF(#REF!=BQ$2,IF(#REF!=$AD$2,#REF!*plat_invest))</f>
        <v>#REF!</v>
      </c>
      <c r="BR81" s="57" t="e">
        <f>IF(#REF!=BR$2,IF(#REF!=$AD$2,#REF!*lumber_invest)) + IF(#REF!=BR$2,IF(#REF!=$AD$2,#REF!*lumber_invest)) + IF(#REF!=BR$2,IF(#REF!=$AD$2,#REF!*lumber_invest))</f>
        <v>#REF!</v>
      </c>
      <c r="BS81" s="57" t="e">
        <f>IF(#REF!=BS$2,IF(#REF!=$AD$2,#REF!*ore_invest)) + IF(#REF!=BS$2,IF(#REF!=$AD$2,#REF!*ore_invest)) + IF(#REF!=BS$2,IF(#REF!=$AD$2,#REF!*ore_invest))</f>
        <v>#REF!</v>
      </c>
      <c r="BT81" s="57" t="e">
        <f>IF(#REF!=BT$2,IF(#REF!=$AD$2,#REF!*gem_invest)) + IF(#REF!=BT$2,IF(#REF!=$AD$2,#REF!*gem_invest)) + IF(#REF!=BT$2,IF(#REF!=$AD$2,#REF!*gem_invest))</f>
        <v>#REF!</v>
      </c>
      <c r="BU81" s="134"/>
      <c r="BV81" s="3" t="e">
        <f>OR(#REF!,#REF!,#REF!,#REF!,#REF!,#REF!,#REF!,#REF!,#REF!)</f>
        <v>#REF!</v>
      </c>
      <c r="BW81" s="61" t="e">
        <f>#REF!</f>
        <v>#REF!</v>
      </c>
      <c r="BX81" s="130"/>
      <c r="BY81" s="284" t="e">
        <f ca="1">OFFSET(#REF!,-1,0)+1/24</f>
        <v>#REF!</v>
      </c>
      <c r="BZ81" s="285" t="e">
        <f ca="1">OFFSET(#REF!,-1,0)+1/24</f>
        <v>#REF!</v>
      </c>
      <c r="CA81" s="57"/>
      <c r="CB81" s="283"/>
      <c r="CC81" s="283"/>
      <c r="CF81" s="286"/>
    </row>
    <row r="82" spans="1:84" x14ac:dyDescent="0.25">
      <c r="A82" s="206" t="e">
        <f>#REF!</f>
        <v>#REF!</v>
      </c>
      <c r="B82" s="134"/>
      <c r="C82" s="39" t="e">
        <f>#REF!</f>
        <v>#REF!</v>
      </c>
      <c r="D82" s="39" t="e">
        <f>#REF!</f>
        <v>#REF!</v>
      </c>
      <c r="E82" s="39" t="e">
        <f>#REF!</f>
        <v>#REF!</v>
      </c>
      <c r="F82" s="39" t="e">
        <f>#REF!</f>
        <v>#REF!</v>
      </c>
      <c r="G82" s="133"/>
      <c r="H82" s="39" t="e">
        <f>#REF!</f>
        <v>#REF!</v>
      </c>
      <c r="I82" s="132" t="e">
        <f>#REF!</f>
        <v>#REF!</v>
      </c>
      <c r="J82" s="132" t="e">
        <f>#REF!/#REF!</f>
        <v>#REF!</v>
      </c>
      <c r="K82" s="160" t="e">
        <f>#REF!</f>
        <v>#REF!</v>
      </c>
      <c r="L82" s="276" t="e">
        <f>#REF!</f>
        <v>#REF!</v>
      </c>
      <c r="M82" s="61">
        <f>IF(ISERROR(#REF!),0,#REF!*1)</f>
        <v>0</v>
      </c>
      <c r="N82" s="39" t="e">
        <f>#REF!</f>
        <v>#REF!</v>
      </c>
      <c r="O82" s="277" t="s">
        <v>4</v>
      </c>
      <c r="P82" s="278"/>
      <c r="Q82" s="277" t="s">
        <v>211</v>
      </c>
      <c r="R82" s="277" t="s">
        <v>7</v>
      </c>
      <c r="S82" s="278"/>
      <c r="T82" s="277" t="s">
        <v>211</v>
      </c>
      <c r="U82" s="277" t="s">
        <v>3</v>
      </c>
      <c r="V82" s="278"/>
      <c r="W82" s="277" t="s">
        <v>211</v>
      </c>
      <c r="X82" s="134"/>
      <c r="Y82" s="209" t="e">
        <f ca="1">science_cap*(1-EXP(-#REF!/(science_param*(OFFSET(#REF!,1,0)-OFFSET(#REF!,1,0)*20)+15000)))*(1+(mason_bonus*#REF!/#REF!))</f>
        <v>#REF!</v>
      </c>
      <c r="Z82" s="209" t="e">
        <f ca="1">keep_cap*(1-EXP(-#REF!/(keep_param*(OFFSET(#REF!,1,0)-OFFSET(#REF!,1,0)*20)+15000)))*(1+(mason_bonus*#REF!/#REF!))</f>
        <v>#REF!</v>
      </c>
      <c r="AA82" s="209" t="e">
        <f ca="1">harbor_towers_cap*(1-EXP(-#REF!/(towers_param*(OFFSET(#REF!,1,0)-OFFSET(#REF!,1,0)*20)+15000)))*(1+(mason_bonus*#REF!/#REF!))</f>
        <v>#REF!</v>
      </c>
      <c r="AB82" s="209" t="e">
        <f ca="1">walls_forges_cap*(1-EXP(-#REF!/(walls_forges_param*(OFFSET(#REF!,1,0)-OFFSET(#REF!,1,0)*20)+15000)))*(1+(mason_bonus*#REF!/#REF!))</f>
        <v>#REF!</v>
      </c>
      <c r="AC82" s="209" t="e">
        <f ca="1">walls_forges_cap*(1-EXP(-#REF!/(walls_forges_param*(OFFSET(#REF!,1,0)-OFFSET(#REF!,1,0)*20)+15000)))*(1+(mason_bonus*#REF!/#REF!))</f>
        <v>#REF!</v>
      </c>
      <c r="AD82" s="209" t="e">
        <f ca="1">harbor_towers_cap*(1-EXP(-#REF!/(harbor_towers_param*(OFFSET(#REF!,1,0)-OFFSET(#REF!,1,0)*20)+15000)))*(1+(mason_bonus*#REF!/#REF!))</f>
        <v>#REF!</v>
      </c>
      <c r="AE82" s="134"/>
      <c r="AF82" s="61" t="e">
        <f ca="1">(1+Overview!$I$28)*SUM(#REF!)+OFFSET(#REF!,-1,0)</f>
        <v>#REF!</v>
      </c>
      <c r="AG82" s="61" t="e">
        <f ca="1">(1+Overview!$I$28)*SUM(#REF!)+OFFSET(#REF!,-1,0)</f>
        <v>#REF!</v>
      </c>
      <c r="AH82" s="61" t="e">
        <f ca="1">(1+Overview!$I$28 + tech_7_1*#REF!)*SUM(#REF!)+OFFSET(#REF!,-1,0)</f>
        <v>#REF!</v>
      </c>
      <c r="AI82" s="61" t="e">
        <f ca="1">(1+Overview!$I$28)*SUM(#REF!)+OFFSET(#REF!,-1,0)</f>
        <v>#REF!</v>
      </c>
      <c r="AJ82" s="61" t="e">
        <f ca="1">(1+Overview!$I$28)*SUM(#REF!)+OFFSET(#REF!,-1,0)</f>
        <v>#REF!</v>
      </c>
      <c r="AK82" s="61" t="e">
        <f ca="1">(1+Overview!$I$28 + tech_7_1*#REF!)*SUM(#REF!)+OFFSET(#REF!,-1,0)</f>
        <v>#REF!</v>
      </c>
      <c r="AL82" s="134"/>
      <c r="AM82" s="57" t="e">
        <f>IF(AND(#REF!=AM$2,#REF!&lt;&gt;""),#REF!) + IF(AND(#REF!=AM$2,#REF!&lt;&gt;""),#REF!) + IF(AND(#REF!=AM$2,#REF!&lt;&gt;""),#REF!)</f>
        <v>#REF!</v>
      </c>
      <c r="AN82" s="57" t="e">
        <f>IF(AND(#REF!=AN$2,#REF!&lt;&gt;""),#REF!) + IF(AND(#REF!=AN$2,#REF!&lt;&gt;""),#REF!) + IF(AND(#REF!=AN$2,#REF!&lt;&gt;""),#REF!)</f>
        <v>#REF!</v>
      </c>
      <c r="AO82" s="57" t="e">
        <f>IF(AND(#REF!=AO$2,#REF!&lt;&gt;""),#REF!) + IF(AND(#REF!=AO$2,#REF!&lt;&gt;""),#REF!) + IF(AND(#REF!=AO$2,#REF!&lt;&gt;""),#REF!)</f>
        <v>#REF!</v>
      </c>
      <c r="AP82" s="57" t="e">
        <f>IF(AND(#REF!=AP$2,#REF!&lt;&gt;""),#REF!) + IF(AND(#REF!=AP$2,#REF!&lt;&gt;""),#REF!) + IF(AND(#REF!=AP$2,#REF!&lt;&gt;""),#REF!)</f>
        <v>#REF!</v>
      </c>
      <c r="AQ82" s="134"/>
      <c r="AR82" s="57" t="e">
        <f>IF(#REF!=AR$2,IF(#REF!=$Y$2,#REF!*plat_invest)) + IF(#REF!=AR$2,IF(#REF!=$Y$2,#REF!*plat_invest)) + IF(#REF!=AR$2,IF(#REF!=$Y$2,#REF!*plat_invest))</f>
        <v>#REF!</v>
      </c>
      <c r="AS82" s="57" t="e">
        <f>IF(#REF!=AS$2,IF(#REF!=$Y$2,#REF!*lumber_invest)) + IF(#REF!=AS$2,IF(#REF!=$Y$2,#REF!*lumber_invest)) + IF(#REF!=AS$2,IF(#REF!=$Y$2,#REF!*lumber_invest))</f>
        <v>#REF!</v>
      </c>
      <c r="AT82" s="57" t="e">
        <f>IF(#REF!=AT$2,IF(#REF!=$Y$2,#REF!*ore_invest)) + IF(#REF!=AT$2,IF(#REF!=$Y$2,#REF!*ore_invest)) + IF(#REF!=AT$2,IF(#REF!=$Y$2,#REF!*ore_invest))</f>
        <v>#REF!</v>
      </c>
      <c r="AU82" s="57" t="e">
        <f>IF(#REF!=AU$2,IF(#REF!=$Y$2,#REF!*gem_invest)) + IF(#REF!=AU$2,IF(#REF!=$Y$2,#REF!*gem_invest)) + IF(#REF!=AU$2,IF(#REF!=$Y$2,#REF!*gem_invest))</f>
        <v>#REF!</v>
      </c>
      <c r="AV82" s="134"/>
      <c r="AW82" s="57" t="e">
        <f>IF(#REF!=AW$2,IF(#REF!=$Z$2,#REF!*plat_invest)) + IF(#REF!=AW$2,IF(#REF!=$Z$2,#REF!*plat_invest)) + IF(#REF!=AW$2,IF(#REF!=$Z$2,#REF!*plat_invest))</f>
        <v>#REF!</v>
      </c>
      <c r="AX82" s="57" t="e">
        <f>IF(#REF!=AX$2,IF(#REF!=$Z$2,#REF!*lumber_invest)) + IF(#REF!=AX$2,IF(#REF!=$Z$2,#REF!*lumber_invest)) + IF(#REF!=AX$2,IF(#REF!=$Z$2,#REF!*lumber_invest))</f>
        <v>#REF!</v>
      </c>
      <c r="AY82" s="57" t="e">
        <f>IF(#REF!=AY$2,IF(#REF!=$Z$2,#REF!*ore_invest)) + IF(#REF!=AY$2,IF(#REF!=$Z$2,#REF!*ore_invest)) + IF(#REF!=AY$2,IF(#REF!=$Z$2,#REF!*ore_invest))</f>
        <v>#REF!</v>
      </c>
      <c r="AZ82" s="57" t="e">
        <f>IF(#REF!=AZ$2,IF(#REF!=$Z$2,#REF!*gem_invest)) + IF(#REF!=AZ$2,IF(#REF!=$Z$2,#REF!*gem_invest)) + IF(#REF!=AZ$2,IF(#REF!=$Z$2,#REF!*gem_invest))</f>
        <v>#REF!</v>
      </c>
      <c r="BA82" s="134"/>
      <c r="BB82" s="57" t="e">
        <f>IF(#REF!=BB$2,IF(#REF!=$AA$2,#REF!*plat_invest)) + IF(#REF!=BB$2,IF(#REF!=$AA$2,#REF!*plat_invest)) + IF(#REF!=BB$2,IF(#REF!=$AA$2,#REF!*plat_invest))</f>
        <v>#REF!</v>
      </c>
      <c r="BC82" s="57" t="e">
        <f>IF(#REF!=BC$2,IF(#REF!=$AA$2,#REF!*lumber_invest)) + IF(#REF!=BC$2,IF(#REF!=$AA$2,#REF!*lumber_invest)) + IF(#REF!=BC$2,IF(#REF!=$AA$2,#REF!*lumber_invest))</f>
        <v>#REF!</v>
      </c>
      <c r="BD82" s="57" t="e">
        <f>IF(#REF!=BD$2,IF(#REF!=$AA$2,#REF!*ore_invest)) + IF(#REF!=BD$2,IF(#REF!=$AA$2,#REF!*ore_invest)) + IF(#REF!=BD$2,IF(#REF!=$AA$2,#REF!*ore_invest))</f>
        <v>#REF!</v>
      </c>
      <c r="BE82" s="57" t="e">
        <f>IF(#REF!=BE$2,IF(#REF!=$AA$2,#REF!*gem_invest)) + IF(#REF!=BE$2,IF(#REF!=$AA$2,#REF!*gem_invest)) + IF(#REF!=BE$2,IF(#REF!=$AA$2,#REF!*gem_invest))</f>
        <v>#REF!</v>
      </c>
      <c r="BF82" s="134"/>
      <c r="BG82" s="57" t="e">
        <f>IF(#REF!=BG$2,IF(#REF!=$AB$2,#REF!*plat_invest)) + IF(#REF!=BG$2,IF(#REF!=$AB$2,#REF!*plat_invest)) + IF(#REF!=BG$2,IF(#REF!=$AB$2,#REF!*plat_invest))</f>
        <v>#REF!</v>
      </c>
      <c r="BH82" s="57" t="e">
        <f>IF(#REF!=BH$2,IF(#REF!=$AB$2,#REF!*lumber_invest)) + IF(#REF!=BH$2,IF(#REF!=$AB$2,#REF!*lumber_invest)) + IF(#REF!=BH$2,IF(#REF!=$AB$2,#REF!*lumber_invest))</f>
        <v>#REF!</v>
      </c>
      <c r="BI82" s="57" t="e">
        <f>IF(#REF!=BI$2,IF(#REF!=$AB$2,#REF!*ore_invest)) + IF(#REF!=BI$2,IF(#REF!=$AB$2,#REF!*ore_invest)) + IF(#REF!=BI$2,IF(#REF!=$AB$2,#REF!*ore_invest))</f>
        <v>#REF!</v>
      </c>
      <c r="BJ82" s="57" t="e">
        <f>IF(#REF!=BJ$2,IF(#REF!=$AB$2,#REF!*gem_invest)) + IF(#REF!=BJ$2,IF(#REF!=$AB$2,#REF!*gem_invest)) + IF(#REF!=BJ$2,IF(#REF!=$AB$2,#REF!*gem_invest))</f>
        <v>#REF!</v>
      </c>
      <c r="BK82" s="134"/>
      <c r="BL82" s="57" t="e">
        <f>IF(#REF!=BL$2,IF(#REF!=$AC$2,#REF!*plat_invest)) + IF(#REF!=BL$2,IF(#REF!=$AC$2,#REF!*plat_invest)) + IF(#REF!=BL$2,IF(#REF!=$AC$2,#REF!*plat_invest))</f>
        <v>#REF!</v>
      </c>
      <c r="BM82" s="57" t="e">
        <f>IF(#REF!=BM$2,IF(#REF!=$AC$2,#REF!*lumber_invest)) + IF(#REF!=BM$2,IF(#REF!=$AC$2,#REF!*lumber_invest)) + IF(#REF!=BM$2,IF(#REF!=$AC$2,#REF!*lumber_invest))</f>
        <v>#REF!</v>
      </c>
      <c r="BN82" s="57" t="e">
        <f>IF(#REF!=BN$2,IF(#REF!=$AC$2,#REF!*ore_invest)) + IF(#REF!=BN$2,IF(#REF!=$AC$2,#REF!*ore_invest)) + IF(#REF!=BN$2,IF(#REF!=$AC$2,#REF!*ore_invest))</f>
        <v>#REF!</v>
      </c>
      <c r="BO82" s="57" t="e">
        <f>IF(#REF!=BO$2,IF(#REF!=$AC$2,#REF!*gem_invest)) + IF(#REF!=BO$2,IF(#REF!=$AC$2,#REF!*gem_invest)) + IF(#REF!=BO$2,IF(#REF!=$AC$2,#REF!*gem_invest))</f>
        <v>#REF!</v>
      </c>
      <c r="BP82" s="134"/>
      <c r="BQ82" s="57" t="e">
        <f>IF(#REF!=BQ$2,IF(#REF!=$AD$2,#REF!*plat_invest)) + IF(#REF!=BQ$2,IF(#REF!=$AD$2,#REF!*plat_invest)) + IF(#REF!=BQ$2,IF(#REF!=$AD$2,#REF!*plat_invest))</f>
        <v>#REF!</v>
      </c>
      <c r="BR82" s="57" t="e">
        <f>IF(#REF!=BR$2,IF(#REF!=$AD$2,#REF!*lumber_invest)) + IF(#REF!=BR$2,IF(#REF!=$AD$2,#REF!*lumber_invest)) + IF(#REF!=BR$2,IF(#REF!=$AD$2,#REF!*lumber_invest))</f>
        <v>#REF!</v>
      </c>
      <c r="BS82" s="57" t="e">
        <f>IF(#REF!=BS$2,IF(#REF!=$AD$2,#REF!*ore_invest)) + IF(#REF!=BS$2,IF(#REF!=$AD$2,#REF!*ore_invest)) + IF(#REF!=BS$2,IF(#REF!=$AD$2,#REF!*ore_invest))</f>
        <v>#REF!</v>
      </c>
      <c r="BT82" s="57" t="e">
        <f>IF(#REF!=BT$2,IF(#REF!=$AD$2,#REF!*gem_invest)) + IF(#REF!=BT$2,IF(#REF!=$AD$2,#REF!*gem_invest)) + IF(#REF!=BT$2,IF(#REF!=$AD$2,#REF!*gem_invest))</f>
        <v>#REF!</v>
      </c>
      <c r="BU82" s="134"/>
      <c r="BV82" s="3" t="e">
        <f>OR(#REF!,#REF!,#REF!,#REF!,#REF!,#REF!,#REF!,#REF!,#REF!)</f>
        <v>#REF!</v>
      </c>
      <c r="BW82" s="61" t="e">
        <f>#REF!</f>
        <v>#REF!</v>
      </c>
      <c r="BX82" s="130"/>
      <c r="BY82" s="284" t="e">
        <f ca="1">OFFSET(#REF!,-1,0)+1/24</f>
        <v>#REF!</v>
      </c>
      <c r="BZ82" s="285" t="e">
        <f ca="1">OFFSET(#REF!,-1,0)+1/24</f>
        <v>#REF!</v>
      </c>
      <c r="CA82" s="57"/>
      <c r="CB82" s="283"/>
      <c r="CC82" s="283"/>
    </row>
    <row r="83" spans="1:84" x14ac:dyDescent="0.25">
      <c r="A83" s="206" t="e">
        <f>#REF!</f>
        <v>#REF!</v>
      </c>
      <c r="B83" s="134"/>
      <c r="C83" s="39" t="e">
        <f>#REF!</f>
        <v>#REF!</v>
      </c>
      <c r="D83" s="39" t="e">
        <f>#REF!</f>
        <v>#REF!</v>
      </c>
      <c r="E83" s="39" t="e">
        <f>#REF!</f>
        <v>#REF!</v>
      </c>
      <c r="F83" s="39" t="e">
        <f>#REF!</f>
        <v>#REF!</v>
      </c>
      <c r="G83" s="133"/>
      <c r="H83" s="39" t="e">
        <f>#REF!</f>
        <v>#REF!</v>
      </c>
      <c r="I83" s="132" t="e">
        <f>#REF!</f>
        <v>#REF!</v>
      </c>
      <c r="J83" s="132" t="e">
        <f>#REF!/#REF!</f>
        <v>#REF!</v>
      </c>
      <c r="K83" s="160" t="e">
        <f>#REF!</f>
        <v>#REF!</v>
      </c>
      <c r="L83" s="276" t="e">
        <f>#REF!</f>
        <v>#REF!</v>
      </c>
      <c r="M83" s="61">
        <f>IF(ISERROR(#REF!),0,#REF!*1)</f>
        <v>0</v>
      </c>
      <c r="N83" s="39" t="e">
        <f>#REF!</f>
        <v>#REF!</v>
      </c>
      <c r="O83" s="277" t="s">
        <v>4</v>
      </c>
      <c r="P83" s="278"/>
      <c r="Q83" s="277" t="s">
        <v>211</v>
      </c>
      <c r="R83" s="277" t="s">
        <v>7</v>
      </c>
      <c r="S83" s="278"/>
      <c r="T83" s="277" t="s">
        <v>211</v>
      </c>
      <c r="U83" s="277" t="s">
        <v>3</v>
      </c>
      <c r="V83" s="278"/>
      <c r="W83" s="277" t="s">
        <v>211</v>
      </c>
      <c r="X83" s="134"/>
      <c r="Y83" s="209" t="e">
        <f ca="1">science_cap*(1-EXP(-#REF!/(science_param*(OFFSET(#REF!,1,0)-OFFSET(#REF!,1,0)*20)+15000)))*(1+(mason_bonus*#REF!/#REF!))</f>
        <v>#REF!</v>
      </c>
      <c r="Z83" s="209" t="e">
        <f ca="1">keep_cap*(1-EXP(-#REF!/(keep_param*(OFFSET(#REF!,1,0)-OFFSET(#REF!,1,0)*20)+15000)))*(1+(mason_bonus*#REF!/#REF!))</f>
        <v>#REF!</v>
      </c>
      <c r="AA83" s="209" t="e">
        <f ca="1">harbor_towers_cap*(1-EXP(-#REF!/(towers_param*(OFFSET(#REF!,1,0)-OFFSET(#REF!,1,0)*20)+15000)))*(1+(mason_bonus*#REF!/#REF!))</f>
        <v>#REF!</v>
      </c>
      <c r="AB83" s="209" t="e">
        <f ca="1">walls_forges_cap*(1-EXP(-#REF!/(walls_forges_param*(OFFSET(#REF!,1,0)-OFFSET(#REF!,1,0)*20)+15000)))*(1+(mason_bonus*#REF!/#REF!))</f>
        <v>#REF!</v>
      </c>
      <c r="AC83" s="209" t="e">
        <f ca="1">walls_forges_cap*(1-EXP(-#REF!/(walls_forges_param*(OFFSET(#REF!,1,0)-OFFSET(#REF!,1,0)*20)+15000)))*(1+(mason_bonus*#REF!/#REF!))</f>
        <v>#REF!</v>
      </c>
      <c r="AD83" s="209" t="e">
        <f ca="1">harbor_towers_cap*(1-EXP(-#REF!/(harbor_towers_param*(OFFSET(#REF!,1,0)-OFFSET(#REF!,1,0)*20)+15000)))*(1+(mason_bonus*#REF!/#REF!))</f>
        <v>#REF!</v>
      </c>
      <c r="AE83" s="134"/>
      <c r="AF83" s="61" t="e">
        <f ca="1">(1+Overview!$I$28)*SUM(#REF!)+OFFSET(#REF!,-1,0)</f>
        <v>#REF!</v>
      </c>
      <c r="AG83" s="61" t="e">
        <f ca="1">(1+Overview!$I$28)*SUM(#REF!)+OFFSET(#REF!,-1,0)</f>
        <v>#REF!</v>
      </c>
      <c r="AH83" s="61" t="e">
        <f ca="1">(1+Overview!$I$28 + tech_7_1*#REF!)*SUM(#REF!)+OFFSET(#REF!,-1,0)</f>
        <v>#REF!</v>
      </c>
      <c r="AI83" s="61" t="e">
        <f ca="1">(1+Overview!$I$28)*SUM(#REF!)+OFFSET(#REF!,-1,0)</f>
        <v>#REF!</v>
      </c>
      <c r="AJ83" s="61" t="e">
        <f ca="1">(1+Overview!$I$28)*SUM(#REF!)+OFFSET(#REF!,-1,0)</f>
        <v>#REF!</v>
      </c>
      <c r="AK83" s="61" t="e">
        <f ca="1">(1+Overview!$I$28 + tech_7_1*#REF!)*SUM(#REF!)+OFFSET(#REF!,-1,0)</f>
        <v>#REF!</v>
      </c>
      <c r="AL83" s="134"/>
      <c r="AM83" s="57" t="e">
        <f>IF(AND(#REF!=AM$2,#REF!&lt;&gt;""),#REF!) + IF(AND(#REF!=AM$2,#REF!&lt;&gt;""),#REF!) + IF(AND(#REF!=AM$2,#REF!&lt;&gt;""),#REF!)</f>
        <v>#REF!</v>
      </c>
      <c r="AN83" s="57" t="e">
        <f>IF(AND(#REF!=AN$2,#REF!&lt;&gt;""),#REF!) + IF(AND(#REF!=AN$2,#REF!&lt;&gt;""),#REF!) + IF(AND(#REF!=AN$2,#REF!&lt;&gt;""),#REF!)</f>
        <v>#REF!</v>
      </c>
      <c r="AO83" s="57" t="e">
        <f>IF(AND(#REF!=AO$2,#REF!&lt;&gt;""),#REF!) + IF(AND(#REF!=AO$2,#REF!&lt;&gt;""),#REF!) + IF(AND(#REF!=AO$2,#REF!&lt;&gt;""),#REF!)</f>
        <v>#REF!</v>
      </c>
      <c r="AP83" s="57" t="e">
        <f>IF(AND(#REF!=AP$2,#REF!&lt;&gt;""),#REF!) + IF(AND(#REF!=AP$2,#REF!&lt;&gt;""),#REF!) + IF(AND(#REF!=AP$2,#REF!&lt;&gt;""),#REF!)</f>
        <v>#REF!</v>
      </c>
      <c r="AQ83" s="134"/>
      <c r="AR83" s="57" t="e">
        <f>IF(#REF!=AR$2,IF(#REF!=$Y$2,#REF!*plat_invest)) + IF(#REF!=AR$2,IF(#REF!=$Y$2,#REF!*plat_invest)) + IF(#REF!=AR$2,IF(#REF!=$Y$2,#REF!*plat_invest))</f>
        <v>#REF!</v>
      </c>
      <c r="AS83" s="57" t="e">
        <f>IF(#REF!=AS$2,IF(#REF!=$Y$2,#REF!*lumber_invest)) + IF(#REF!=AS$2,IF(#REF!=$Y$2,#REF!*lumber_invest)) + IF(#REF!=AS$2,IF(#REF!=$Y$2,#REF!*lumber_invest))</f>
        <v>#REF!</v>
      </c>
      <c r="AT83" s="57" t="e">
        <f>IF(#REF!=AT$2,IF(#REF!=$Y$2,#REF!*ore_invest)) + IF(#REF!=AT$2,IF(#REF!=$Y$2,#REF!*ore_invest)) + IF(#REF!=AT$2,IF(#REF!=$Y$2,#REF!*ore_invest))</f>
        <v>#REF!</v>
      </c>
      <c r="AU83" s="57" t="e">
        <f>IF(#REF!=AU$2,IF(#REF!=$Y$2,#REF!*gem_invest)) + IF(#REF!=AU$2,IF(#REF!=$Y$2,#REF!*gem_invest)) + IF(#REF!=AU$2,IF(#REF!=$Y$2,#REF!*gem_invest))</f>
        <v>#REF!</v>
      </c>
      <c r="AV83" s="134"/>
      <c r="AW83" s="57" t="e">
        <f>IF(#REF!=AW$2,IF(#REF!=$Z$2,#REF!*plat_invest)) + IF(#REF!=AW$2,IF(#REF!=$Z$2,#REF!*plat_invest)) + IF(#REF!=AW$2,IF(#REF!=$Z$2,#REF!*plat_invest))</f>
        <v>#REF!</v>
      </c>
      <c r="AX83" s="57" t="e">
        <f>IF(#REF!=AX$2,IF(#REF!=$Z$2,#REF!*lumber_invest)) + IF(#REF!=AX$2,IF(#REF!=$Z$2,#REF!*lumber_invest)) + IF(#REF!=AX$2,IF(#REF!=$Z$2,#REF!*lumber_invest))</f>
        <v>#REF!</v>
      </c>
      <c r="AY83" s="57" t="e">
        <f>IF(#REF!=AY$2,IF(#REF!=$Z$2,#REF!*ore_invest)) + IF(#REF!=AY$2,IF(#REF!=$Z$2,#REF!*ore_invest)) + IF(#REF!=AY$2,IF(#REF!=$Z$2,#REF!*ore_invest))</f>
        <v>#REF!</v>
      </c>
      <c r="AZ83" s="57" t="e">
        <f>IF(#REF!=AZ$2,IF(#REF!=$Z$2,#REF!*gem_invest)) + IF(#REF!=AZ$2,IF(#REF!=$Z$2,#REF!*gem_invest)) + IF(#REF!=AZ$2,IF(#REF!=$Z$2,#REF!*gem_invest))</f>
        <v>#REF!</v>
      </c>
      <c r="BA83" s="134"/>
      <c r="BB83" s="57" t="e">
        <f>IF(#REF!=BB$2,IF(#REF!=$AA$2,#REF!*plat_invest)) + IF(#REF!=BB$2,IF(#REF!=$AA$2,#REF!*plat_invest)) + IF(#REF!=BB$2,IF(#REF!=$AA$2,#REF!*plat_invest))</f>
        <v>#REF!</v>
      </c>
      <c r="BC83" s="57" t="e">
        <f>IF(#REF!=BC$2,IF(#REF!=$AA$2,#REF!*lumber_invest)) + IF(#REF!=BC$2,IF(#REF!=$AA$2,#REF!*lumber_invest)) + IF(#REF!=BC$2,IF(#REF!=$AA$2,#REF!*lumber_invest))</f>
        <v>#REF!</v>
      </c>
      <c r="BD83" s="57" t="e">
        <f>IF(#REF!=BD$2,IF(#REF!=$AA$2,#REF!*ore_invest)) + IF(#REF!=BD$2,IF(#REF!=$AA$2,#REF!*ore_invest)) + IF(#REF!=BD$2,IF(#REF!=$AA$2,#REF!*ore_invest))</f>
        <v>#REF!</v>
      </c>
      <c r="BE83" s="57" t="e">
        <f>IF(#REF!=BE$2,IF(#REF!=$AA$2,#REF!*gem_invest)) + IF(#REF!=BE$2,IF(#REF!=$AA$2,#REF!*gem_invest)) + IF(#REF!=BE$2,IF(#REF!=$AA$2,#REF!*gem_invest))</f>
        <v>#REF!</v>
      </c>
      <c r="BF83" s="134"/>
      <c r="BG83" s="57" t="e">
        <f>IF(#REF!=BG$2,IF(#REF!=$AB$2,#REF!*plat_invest)) + IF(#REF!=BG$2,IF(#REF!=$AB$2,#REF!*plat_invest)) + IF(#REF!=BG$2,IF(#REF!=$AB$2,#REF!*plat_invest))</f>
        <v>#REF!</v>
      </c>
      <c r="BH83" s="57" t="e">
        <f>IF(#REF!=BH$2,IF(#REF!=$AB$2,#REF!*lumber_invest)) + IF(#REF!=BH$2,IF(#REF!=$AB$2,#REF!*lumber_invest)) + IF(#REF!=BH$2,IF(#REF!=$AB$2,#REF!*lumber_invest))</f>
        <v>#REF!</v>
      </c>
      <c r="BI83" s="57" t="e">
        <f>IF(#REF!=BI$2,IF(#REF!=$AB$2,#REF!*ore_invest)) + IF(#REF!=BI$2,IF(#REF!=$AB$2,#REF!*ore_invest)) + IF(#REF!=BI$2,IF(#REF!=$AB$2,#REF!*ore_invest))</f>
        <v>#REF!</v>
      </c>
      <c r="BJ83" s="57" t="e">
        <f>IF(#REF!=BJ$2,IF(#REF!=$AB$2,#REF!*gem_invest)) + IF(#REF!=BJ$2,IF(#REF!=$AB$2,#REF!*gem_invest)) + IF(#REF!=BJ$2,IF(#REF!=$AB$2,#REF!*gem_invest))</f>
        <v>#REF!</v>
      </c>
      <c r="BK83" s="134"/>
      <c r="BL83" s="57" t="e">
        <f>IF(#REF!=BL$2,IF(#REF!=$AC$2,#REF!*plat_invest)) + IF(#REF!=BL$2,IF(#REF!=$AC$2,#REF!*plat_invest)) + IF(#REF!=BL$2,IF(#REF!=$AC$2,#REF!*plat_invest))</f>
        <v>#REF!</v>
      </c>
      <c r="BM83" s="57" t="e">
        <f>IF(#REF!=BM$2,IF(#REF!=$AC$2,#REF!*lumber_invest)) + IF(#REF!=BM$2,IF(#REF!=$AC$2,#REF!*lumber_invest)) + IF(#REF!=BM$2,IF(#REF!=$AC$2,#REF!*lumber_invest))</f>
        <v>#REF!</v>
      </c>
      <c r="BN83" s="57" t="e">
        <f>IF(#REF!=BN$2,IF(#REF!=$AC$2,#REF!*ore_invest)) + IF(#REF!=BN$2,IF(#REF!=$AC$2,#REF!*ore_invest)) + IF(#REF!=BN$2,IF(#REF!=$AC$2,#REF!*ore_invest))</f>
        <v>#REF!</v>
      </c>
      <c r="BO83" s="57" t="e">
        <f>IF(#REF!=BO$2,IF(#REF!=$AC$2,#REF!*gem_invest)) + IF(#REF!=BO$2,IF(#REF!=$AC$2,#REF!*gem_invest)) + IF(#REF!=BO$2,IF(#REF!=$AC$2,#REF!*gem_invest))</f>
        <v>#REF!</v>
      </c>
      <c r="BP83" s="134"/>
      <c r="BQ83" s="57" t="e">
        <f>IF(#REF!=BQ$2,IF(#REF!=$AD$2,#REF!*plat_invest)) + IF(#REF!=BQ$2,IF(#REF!=$AD$2,#REF!*plat_invest)) + IF(#REF!=BQ$2,IF(#REF!=$AD$2,#REF!*plat_invest))</f>
        <v>#REF!</v>
      </c>
      <c r="BR83" s="57" t="e">
        <f>IF(#REF!=BR$2,IF(#REF!=$AD$2,#REF!*lumber_invest)) + IF(#REF!=BR$2,IF(#REF!=$AD$2,#REF!*lumber_invest)) + IF(#REF!=BR$2,IF(#REF!=$AD$2,#REF!*lumber_invest))</f>
        <v>#REF!</v>
      </c>
      <c r="BS83" s="57" t="e">
        <f>IF(#REF!=BS$2,IF(#REF!=$AD$2,#REF!*ore_invest)) + IF(#REF!=BS$2,IF(#REF!=$AD$2,#REF!*ore_invest)) + IF(#REF!=BS$2,IF(#REF!=$AD$2,#REF!*ore_invest))</f>
        <v>#REF!</v>
      </c>
      <c r="BT83" s="57" t="e">
        <f>IF(#REF!=BT$2,IF(#REF!=$AD$2,#REF!*gem_invest)) + IF(#REF!=BT$2,IF(#REF!=$AD$2,#REF!*gem_invest)) + IF(#REF!=BT$2,IF(#REF!=$AD$2,#REF!*gem_invest))</f>
        <v>#REF!</v>
      </c>
      <c r="BU83" s="134"/>
      <c r="BV83" s="3" t="e">
        <f>OR(#REF!,#REF!,#REF!,#REF!,#REF!,#REF!,#REF!,#REF!,#REF!)</f>
        <v>#REF!</v>
      </c>
      <c r="BW83" s="61" t="e">
        <f>#REF!</f>
        <v>#REF!</v>
      </c>
      <c r="BX83" s="130"/>
      <c r="BY83" s="284" t="e">
        <f ca="1">OFFSET(#REF!,-1,0)+1/24</f>
        <v>#REF!</v>
      </c>
      <c r="BZ83" s="285" t="e">
        <f ca="1">OFFSET(#REF!,-1,0)+1/24</f>
        <v>#REF!</v>
      </c>
      <c r="CA83" s="57"/>
      <c r="CB83" s="283"/>
      <c r="CC83" s="283"/>
    </row>
    <row r="84" spans="1:84" x14ac:dyDescent="0.25">
      <c r="A84" s="206" t="e">
        <f>#REF!</f>
        <v>#REF!</v>
      </c>
      <c r="B84" s="134"/>
      <c r="C84" s="39" t="e">
        <f>#REF!</f>
        <v>#REF!</v>
      </c>
      <c r="D84" s="39" t="e">
        <f>#REF!</f>
        <v>#REF!</v>
      </c>
      <c r="E84" s="39" t="e">
        <f>#REF!</f>
        <v>#REF!</v>
      </c>
      <c r="F84" s="39" t="e">
        <f>#REF!</f>
        <v>#REF!</v>
      </c>
      <c r="G84" s="133"/>
      <c r="H84" s="39" t="e">
        <f>#REF!</f>
        <v>#REF!</v>
      </c>
      <c r="I84" s="132" t="e">
        <f>#REF!</f>
        <v>#REF!</v>
      </c>
      <c r="J84" s="132" t="e">
        <f>#REF!/#REF!</f>
        <v>#REF!</v>
      </c>
      <c r="K84" s="160" t="e">
        <f>#REF!</f>
        <v>#REF!</v>
      </c>
      <c r="L84" s="276" t="e">
        <f>#REF!</f>
        <v>#REF!</v>
      </c>
      <c r="M84" s="61">
        <f>IF(ISERROR(#REF!),0,#REF!*1)</f>
        <v>0</v>
      </c>
      <c r="N84" s="39" t="e">
        <f>#REF!</f>
        <v>#REF!</v>
      </c>
      <c r="O84" s="277" t="s">
        <v>4</v>
      </c>
      <c r="P84" s="278"/>
      <c r="Q84" s="277" t="s">
        <v>211</v>
      </c>
      <c r="R84" s="277" t="s">
        <v>7</v>
      </c>
      <c r="S84" s="278"/>
      <c r="T84" s="277" t="s">
        <v>211</v>
      </c>
      <c r="U84" s="277" t="s">
        <v>3</v>
      </c>
      <c r="V84" s="278"/>
      <c r="W84" s="277" t="s">
        <v>211</v>
      </c>
      <c r="X84" s="134"/>
      <c r="Y84" s="209" t="e">
        <f ca="1">science_cap*(1-EXP(-#REF!/(science_param*(OFFSET(#REF!,1,0)-OFFSET(#REF!,1,0)*20)+15000)))*(1+(mason_bonus*#REF!/#REF!))</f>
        <v>#REF!</v>
      </c>
      <c r="Z84" s="209" t="e">
        <f ca="1">keep_cap*(1-EXP(-#REF!/(keep_param*(OFFSET(#REF!,1,0)-OFFSET(#REF!,1,0)*20)+15000)))*(1+(mason_bonus*#REF!/#REF!))</f>
        <v>#REF!</v>
      </c>
      <c r="AA84" s="209" t="e">
        <f ca="1">harbor_towers_cap*(1-EXP(-#REF!/(towers_param*(OFFSET(#REF!,1,0)-OFFSET(#REF!,1,0)*20)+15000)))*(1+(mason_bonus*#REF!/#REF!))</f>
        <v>#REF!</v>
      </c>
      <c r="AB84" s="209" t="e">
        <f ca="1">walls_forges_cap*(1-EXP(-#REF!/(walls_forges_param*(OFFSET(#REF!,1,0)-OFFSET(#REF!,1,0)*20)+15000)))*(1+(mason_bonus*#REF!/#REF!))</f>
        <v>#REF!</v>
      </c>
      <c r="AC84" s="209" t="e">
        <f ca="1">walls_forges_cap*(1-EXP(-#REF!/(walls_forges_param*(OFFSET(#REF!,1,0)-OFFSET(#REF!,1,0)*20)+15000)))*(1+(mason_bonus*#REF!/#REF!))</f>
        <v>#REF!</v>
      </c>
      <c r="AD84" s="209" t="e">
        <f ca="1">harbor_towers_cap*(1-EXP(-#REF!/(harbor_towers_param*(OFFSET(#REF!,1,0)-OFFSET(#REF!,1,0)*20)+15000)))*(1+(mason_bonus*#REF!/#REF!))</f>
        <v>#REF!</v>
      </c>
      <c r="AE84" s="134"/>
      <c r="AF84" s="61" t="e">
        <f ca="1">(1+Overview!$I$28)*SUM(#REF!)+OFFSET(#REF!,-1,0)</f>
        <v>#REF!</v>
      </c>
      <c r="AG84" s="61" t="e">
        <f ca="1">(1+Overview!$I$28)*SUM(#REF!)+OFFSET(#REF!,-1,0)</f>
        <v>#REF!</v>
      </c>
      <c r="AH84" s="61" t="e">
        <f ca="1">(1+Overview!$I$28 + tech_7_1*#REF!)*SUM(#REF!)+OFFSET(#REF!,-1,0)</f>
        <v>#REF!</v>
      </c>
      <c r="AI84" s="61" t="e">
        <f ca="1">(1+Overview!$I$28)*SUM(#REF!)+OFFSET(#REF!,-1,0)</f>
        <v>#REF!</v>
      </c>
      <c r="AJ84" s="61" t="e">
        <f ca="1">(1+Overview!$I$28)*SUM(#REF!)+OFFSET(#REF!,-1,0)</f>
        <v>#REF!</v>
      </c>
      <c r="AK84" s="61" t="e">
        <f ca="1">(1+Overview!$I$28 + tech_7_1*#REF!)*SUM(#REF!)+OFFSET(#REF!,-1,0)</f>
        <v>#REF!</v>
      </c>
      <c r="AL84" s="134"/>
      <c r="AM84" s="57" t="e">
        <f>IF(AND(#REF!=AM$2,#REF!&lt;&gt;""),#REF!) + IF(AND(#REF!=AM$2,#REF!&lt;&gt;""),#REF!) + IF(AND(#REF!=AM$2,#REF!&lt;&gt;""),#REF!)</f>
        <v>#REF!</v>
      </c>
      <c r="AN84" s="57" t="e">
        <f>IF(AND(#REF!=AN$2,#REF!&lt;&gt;""),#REF!) + IF(AND(#REF!=AN$2,#REF!&lt;&gt;""),#REF!) + IF(AND(#REF!=AN$2,#REF!&lt;&gt;""),#REF!)</f>
        <v>#REF!</v>
      </c>
      <c r="AO84" s="57" t="e">
        <f>IF(AND(#REF!=AO$2,#REF!&lt;&gt;""),#REF!) + IF(AND(#REF!=AO$2,#REF!&lt;&gt;""),#REF!) + IF(AND(#REF!=AO$2,#REF!&lt;&gt;""),#REF!)</f>
        <v>#REF!</v>
      </c>
      <c r="AP84" s="57" t="e">
        <f>IF(AND(#REF!=AP$2,#REF!&lt;&gt;""),#REF!) + IF(AND(#REF!=AP$2,#REF!&lt;&gt;""),#REF!) + IF(AND(#REF!=AP$2,#REF!&lt;&gt;""),#REF!)</f>
        <v>#REF!</v>
      </c>
      <c r="AQ84" s="134"/>
      <c r="AR84" s="57" t="e">
        <f>IF(#REF!=AR$2,IF(#REF!=$Y$2,#REF!*plat_invest)) + IF(#REF!=AR$2,IF(#REF!=$Y$2,#REF!*plat_invest)) + IF(#REF!=AR$2,IF(#REF!=$Y$2,#REF!*plat_invest))</f>
        <v>#REF!</v>
      </c>
      <c r="AS84" s="57" t="e">
        <f>IF(#REF!=AS$2,IF(#REF!=$Y$2,#REF!*lumber_invest)) + IF(#REF!=AS$2,IF(#REF!=$Y$2,#REF!*lumber_invest)) + IF(#REF!=AS$2,IF(#REF!=$Y$2,#REF!*lumber_invest))</f>
        <v>#REF!</v>
      </c>
      <c r="AT84" s="57" t="e">
        <f>IF(#REF!=AT$2,IF(#REF!=$Y$2,#REF!*ore_invest)) + IF(#REF!=AT$2,IF(#REF!=$Y$2,#REF!*ore_invest)) + IF(#REF!=AT$2,IF(#REF!=$Y$2,#REF!*ore_invest))</f>
        <v>#REF!</v>
      </c>
      <c r="AU84" s="57" t="e">
        <f>IF(#REF!=AU$2,IF(#REF!=$Y$2,#REF!*gem_invest)) + IF(#REF!=AU$2,IF(#REF!=$Y$2,#REF!*gem_invest)) + IF(#REF!=AU$2,IF(#REF!=$Y$2,#REF!*gem_invest))</f>
        <v>#REF!</v>
      </c>
      <c r="AV84" s="134"/>
      <c r="AW84" s="57" t="e">
        <f>IF(#REF!=AW$2,IF(#REF!=$Z$2,#REF!*plat_invest)) + IF(#REF!=AW$2,IF(#REF!=$Z$2,#REF!*plat_invest)) + IF(#REF!=AW$2,IF(#REF!=$Z$2,#REF!*plat_invest))</f>
        <v>#REF!</v>
      </c>
      <c r="AX84" s="57" t="e">
        <f>IF(#REF!=AX$2,IF(#REF!=$Z$2,#REF!*lumber_invest)) + IF(#REF!=AX$2,IF(#REF!=$Z$2,#REF!*lumber_invest)) + IF(#REF!=AX$2,IF(#REF!=$Z$2,#REF!*lumber_invest))</f>
        <v>#REF!</v>
      </c>
      <c r="AY84" s="57" t="e">
        <f>IF(#REF!=AY$2,IF(#REF!=$Z$2,#REF!*ore_invest)) + IF(#REF!=AY$2,IF(#REF!=$Z$2,#REF!*ore_invest)) + IF(#REF!=AY$2,IF(#REF!=$Z$2,#REF!*ore_invest))</f>
        <v>#REF!</v>
      </c>
      <c r="AZ84" s="57" t="e">
        <f>IF(#REF!=AZ$2,IF(#REF!=$Z$2,#REF!*gem_invest)) + IF(#REF!=AZ$2,IF(#REF!=$Z$2,#REF!*gem_invest)) + IF(#REF!=AZ$2,IF(#REF!=$Z$2,#REF!*gem_invest))</f>
        <v>#REF!</v>
      </c>
      <c r="BA84" s="134"/>
      <c r="BB84" s="57" t="e">
        <f>IF(#REF!=BB$2,IF(#REF!=$AA$2,#REF!*plat_invest)) + IF(#REF!=BB$2,IF(#REF!=$AA$2,#REF!*plat_invest)) + IF(#REF!=BB$2,IF(#REF!=$AA$2,#REF!*plat_invest))</f>
        <v>#REF!</v>
      </c>
      <c r="BC84" s="57" t="e">
        <f>IF(#REF!=BC$2,IF(#REF!=$AA$2,#REF!*lumber_invest)) + IF(#REF!=BC$2,IF(#REF!=$AA$2,#REF!*lumber_invest)) + IF(#REF!=BC$2,IF(#REF!=$AA$2,#REF!*lumber_invest))</f>
        <v>#REF!</v>
      </c>
      <c r="BD84" s="57" t="e">
        <f>IF(#REF!=BD$2,IF(#REF!=$AA$2,#REF!*ore_invest)) + IF(#REF!=BD$2,IF(#REF!=$AA$2,#REF!*ore_invest)) + IF(#REF!=BD$2,IF(#REF!=$AA$2,#REF!*ore_invest))</f>
        <v>#REF!</v>
      </c>
      <c r="BE84" s="57" t="e">
        <f>IF(#REF!=BE$2,IF(#REF!=$AA$2,#REF!*gem_invest)) + IF(#REF!=BE$2,IF(#REF!=$AA$2,#REF!*gem_invest)) + IF(#REF!=BE$2,IF(#REF!=$AA$2,#REF!*gem_invest))</f>
        <v>#REF!</v>
      </c>
      <c r="BF84" s="134"/>
      <c r="BG84" s="57" t="e">
        <f>IF(#REF!=BG$2,IF(#REF!=$AB$2,#REF!*plat_invest)) + IF(#REF!=BG$2,IF(#REF!=$AB$2,#REF!*plat_invest)) + IF(#REF!=BG$2,IF(#REF!=$AB$2,#REF!*plat_invest))</f>
        <v>#REF!</v>
      </c>
      <c r="BH84" s="57" t="e">
        <f>IF(#REF!=BH$2,IF(#REF!=$AB$2,#REF!*lumber_invest)) + IF(#REF!=BH$2,IF(#REF!=$AB$2,#REF!*lumber_invest)) + IF(#REF!=BH$2,IF(#REF!=$AB$2,#REF!*lumber_invest))</f>
        <v>#REF!</v>
      </c>
      <c r="BI84" s="57" t="e">
        <f>IF(#REF!=BI$2,IF(#REF!=$AB$2,#REF!*ore_invest)) + IF(#REF!=BI$2,IF(#REF!=$AB$2,#REF!*ore_invest)) + IF(#REF!=BI$2,IF(#REF!=$AB$2,#REF!*ore_invest))</f>
        <v>#REF!</v>
      </c>
      <c r="BJ84" s="57" t="e">
        <f>IF(#REF!=BJ$2,IF(#REF!=$AB$2,#REF!*gem_invest)) + IF(#REF!=BJ$2,IF(#REF!=$AB$2,#REF!*gem_invest)) + IF(#REF!=BJ$2,IF(#REF!=$AB$2,#REF!*gem_invest))</f>
        <v>#REF!</v>
      </c>
      <c r="BK84" s="134"/>
      <c r="BL84" s="57" t="e">
        <f>IF(#REF!=BL$2,IF(#REF!=$AC$2,#REF!*plat_invest)) + IF(#REF!=BL$2,IF(#REF!=$AC$2,#REF!*plat_invest)) + IF(#REF!=BL$2,IF(#REF!=$AC$2,#REF!*plat_invest))</f>
        <v>#REF!</v>
      </c>
      <c r="BM84" s="57" t="e">
        <f>IF(#REF!=BM$2,IF(#REF!=$AC$2,#REF!*lumber_invest)) + IF(#REF!=BM$2,IF(#REF!=$AC$2,#REF!*lumber_invest)) + IF(#REF!=BM$2,IF(#REF!=$AC$2,#REF!*lumber_invest))</f>
        <v>#REF!</v>
      </c>
      <c r="BN84" s="57" t="e">
        <f>IF(#REF!=BN$2,IF(#REF!=$AC$2,#REF!*ore_invest)) + IF(#REF!=BN$2,IF(#REF!=$AC$2,#REF!*ore_invest)) + IF(#REF!=BN$2,IF(#REF!=$AC$2,#REF!*ore_invest))</f>
        <v>#REF!</v>
      </c>
      <c r="BO84" s="57" t="e">
        <f>IF(#REF!=BO$2,IF(#REF!=$AC$2,#REF!*gem_invest)) + IF(#REF!=BO$2,IF(#REF!=$AC$2,#REF!*gem_invest)) + IF(#REF!=BO$2,IF(#REF!=$AC$2,#REF!*gem_invest))</f>
        <v>#REF!</v>
      </c>
      <c r="BP84" s="134"/>
      <c r="BQ84" s="57" t="e">
        <f>IF(#REF!=BQ$2,IF(#REF!=$AD$2,#REF!*plat_invest)) + IF(#REF!=BQ$2,IF(#REF!=$AD$2,#REF!*plat_invest)) + IF(#REF!=BQ$2,IF(#REF!=$AD$2,#REF!*plat_invest))</f>
        <v>#REF!</v>
      </c>
      <c r="BR84" s="57" t="e">
        <f>IF(#REF!=BR$2,IF(#REF!=$AD$2,#REF!*lumber_invest)) + IF(#REF!=BR$2,IF(#REF!=$AD$2,#REF!*lumber_invest)) + IF(#REF!=BR$2,IF(#REF!=$AD$2,#REF!*lumber_invest))</f>
        <v>#REF!</v>
      </c>
      <c r="BS84" s="57" t="e">
        <f>IF(#REF!=BS$2,IF(#REF!=$AD$2,#REF!*ore_invest)) + IF(#REF!=BS$2,IF(#REF!=$AD$2,#REF!*ore_invest)) + IF(#REF!=BS$2,IF(#REF!=$AD$2,#REF!*ore_invest))</f>
        <v>#REF!</v>
      </c>
      <c r="BT84" s="57" t="e">
        <f>IF(#REF!=BT$2,IF(#REF!=$AD$2,#REF!*gem_invest)) + IF(#REF!=BT$2,IF(#REF!=$AD$2,#REF!*gem_invest)) + IF(#REF!=BT$2,IF(#REF!=$AD$2,#REF!*gem_invest))</f>
        <v>#REF!</v>
      </c>
      <c r="BU84" s="134"/>
      <c r="BV84" s="3" t="e">
        <f>OR(#REF!,#REF!,#REF!,#REF!,#REF!,#REF!,#REF!,#REF!,#REF!)</f>
        <v>#REF!</v>
      </c>
      <c r="BW84" s="61" t="e">
        <f>#REF!</f>
        <v>#REF!</v>
      </c>
      <c r="BX84" s="130"/>
      <c r="BY84" s="284" t="e">
        <f ca="1">OFFSET(#REF!,-1,0)+1/24</f>
        <v>#REF!</v>
      </c>
      <c r="BZ84" s="285" t="e">
        <f ca="1">OFFSET(#REF!,-1,0)+1/24</f>
        <v>#REF!</v>
      </c>
      <c r="CA84" s="57"/>
      <c r="CB84" s="283"/>
      <c r="CC84" s="283"/>
    </row>
    <row r="85" spans="1:84" x14ac:dyDescent="0.25">
      <c r="A85" s="206" t="e">
        <f>#REF!</f>
        <v>#REF!</v>
      </c>
      <c r="B85" s="134"/>
      <c r="C85" s="39" t="e">
        <f>#REF!</f>
        <v>#REF!</v>
      </c>
      <c r="D85" s="39" t="e">
        <f>#REF!</f>
        <v>#REF!</v>
      </c>
      <c r="E85" s="39" t="e">
        <f>#REF!</f>
        <v>#REF!</v>
      </c>
      <c r="F85" s="39" t="e">
        <f>#REF!</f>
        <v>#REF!</v>
      </c>
      <c r="G85" s="133"/>
      <c r="H85" s="39" t="e">
        <f>#REF!</f>
        <v>#REF!</v>
      </c>
      <c r="I85" s="132" t="e">
        <f>#REF!</f>
        <v>#REF!</v>
      </c>
      <c r="J85" s="132" t="e">
        <f>#REF!/#REF!</f>
        <v>#REF!</v>
      </c>
      <c r="K85" s="160" t="e">
        <f>#REF!</f>
        <v>#REF!</v>
      </c>
      <c r="L85" s="276" t="e">
        <f>#REF!</f>
        <v>#REF!</v>
      </c>
      <c r="M85" s="61">
        <f>IF(ISERROR(#REF!),0,#REF!*1)</f>
        <v>0</v>
      </c>
      <c r="N85" s="39" t="e">
        <f>#REF!</f>
        <v>#REF!</v>
      </c>
      <c r="O85" s="277" t="s">
        <v>4</v>
      </c>
      <c r="P85" s="278"/>
      <c r="Q85" s="277" t="s">
        <v>211</v>
      </c>
      <c r="R85" s="277" t="s">
        <v>7</v>
      </c>
      <c r="S85" s="278"/>
      <c r="T85" s="277" t="s">
        <v>211</v>
      </c>
      <c r="U85" s="277" t="s">
        <v>3</v>
      </c>
      <c r="V85" s="278"/>
      <c r="W85" s="277" t="s">
        <v>211</v>
      </c>
      <c r="X85" s="134"/>
      <c r="Y85" s="209" t="e">
        <f ca="1">science_cap*(1-EXP(-#REF!/(science_param*(OFFSET(#REF!,1,0)-OFFSET(#REF!,1,0)*20)+15000)))*(1+(mason_bonus*#REF!/#REF!))</f>
        <v>#REF!</v>
      </c>
      <c r="Z85" s="209" t="e">
        <f ca="1">keep_cap*(1-EXP(-#REF!/(keep_param*(OFFSET(#REF!,1,0)-OFFSET(#REF!,1,0)*20)+15000)))*(1+(mason_bonus*#REF!/#REF!))</f>
        <v>#REF!</v>
      </c>
      <c r="AA85" s="209" t="e">
        <f ca="1">harbor_towers_cap*(1-EXP(-#REF!/(towers_param*(OFFSET(#REF!,1,0)-OFFSET(#REF!,1,0)*20)+15000)))*(1+(mason_bonus*#REF!/#REF!))</f>
        <v>#REF!</v>
      </c>
      <c r="AB85" s="209" t="e">
        <f ca="1">walls_forges_cap*(1-EXP(-#REF!/(walls_forges_param*(OFFSET(#REF!,1,0)-OFFSET(#REF!,1,0)*20)+15000)))*(1+(mason_bonus*#REF!/#REF!))</f>
        <v>#REF!</v>
      </c>
      <c r="AC85" s="209" t="e">
        <f ca="1">walls_forges_cap*(1-EXP(-#REF!/(walls_forges_param*(OFFSET(#REF!,1,0)-OFFSET(#REF!,1,0)*20)+15000)))*(1+(mason_bonus*#REF!/#REF!))</f>
        <v>#REF!</v>
      </c>
      <c r="AD85" s="209" t="e">
        <f ca="1">harbor_towers_cap*(1-EXP(-#REF!/(harbor_towers_param*(OFFSET(#REF!,1,0)-OFFSET(#REF!,1,0)*20)+15000)))*(1+(mason_bonus*#REF!/#REF!))</f>
        <v>#REF!</v>
      </c>
      <c r="AE85" s="134"/>
      <c r="AF85" s="61" t="e">
        <f ca="1">(1+Overview!$I$28)*SUM(#REF!)+OFFSET(#REF!,-1,0)</f>
        <v>#REF!</v>
      </c>
      <c r="AG85" s="61" t="e">
        <f ca="1">(1+Overview!$I$28)*SUM(#REF!)+OFFSET(#REF!,-1,0)</f>
        <v>#REF!</v>
      </c>
      <c r="AH85" s="61" t="e">
        <f ca="1">(1+Overview!$I$28 + tech_7_1*#REF!)*SUM(#REF!)+OFFSET(#REF!,-1,0)</f>
        <v>#REF!</v>
      </c>
      <c r="AI85" s="61" t="e">
        <f ca="1">(1+Overview!$I$28)*SUM(#REF!)+OFFSET(#REF!,-1,0)</f>
        <v>#REF!</v>
      </c>
      <c r="AJ85" s="61" t="e">
        <f ca="1">(1+Overview!$I$28)*SUM(#REF!)+OFFSET(#REF!,-1,0)</f>
        <v>#REF!</v>
      </c>
      <c r="AK85" s="61" t="e">
        <f ca="1">(1+Overview!$I$28 + tech_7_1*#REF!)*SUM(#REF!)+OFFSET(#REF!,-1,0)</f>
        <v>#REF!</v>
      </c>
      <c r="AL85" s="134"/>
      <c r="AM85" s="57" t="e">
        <f>IF(AND(#REF!=AM$2,#REF!&lt;&gt;""),#REF!) + IF(AND(#REF!=AM$2,#REF!&lt;&gt;""),#REF!) + IF(AND(#REF!=AM$2,#REF!&lt;&gt;""),#REF!)</f>
        <v>#REF!</v>
      </c>
      <c r="AN85" s="57" t="e">
        <f>IF(AND(#REF!=AN$2,#REF!&lt;&gt;""),#REF!) + IF(AND(#REF!=AN$2,#REF!&lt;&gt;""),#REF!) + IF(AND(#REF!=AN$2,#REF!&lt;&gt;""),#REF!)</f>
        <v>#REF!</v>
      </c>
      <c r="AO85" s="57" t="e">
        <f>IF(AND(#REF!=AO$2,#REF!&lt;&gt;""),#REF!) + IF(AND(#REF!=AO$2,#REF!&lt;&gt;""),#REF!) + IF(AND(#REF!=AO$2,#REF!&lt;&gt;""),#REF!)</f>
        <v>#REF!</v>
      </c>
      <c r="AP85" s="57" t="e">
        <f>IF(AND(#REF!=AP$2,#REF!&lt;&gt;""),#REF!) + IF(AND(#REF!=AP$2,#REF!&lt;&gt;""),#REF!) + IF(AND(#REF!=AP$2,#REF!&lt;&gt;""),#REF!)</f>
        <v>#REF!</v>
      </c>
      <c r="AQ85" s="134"/>
      <c r="AR85" s="57" t="e">
        <f>IF(#REF!=AR$2,IF(#REF!=$Y$2,#REF!*plat_invest)) + IF(#REF!=AR$2,IF(#REF!=$Y$2,#REF!*plat_invest)) + IF(#REF!=AR$2,IF(#REF!=$Y$2,#REF!*plat_invest))</f>
        <v>#REF!</v>
      </c>
      <c r="AS85" s="57" t="e">
        <f>IF(#REF!=AS$2,IF(#REF!=$Y$2,#REF!*lumber_invest)) + IF(#REF!=AS$2,IF(#REF!=$Y$2,#REF!*lumber_invest)) + IF(#REF!=AS$2,IF(#REF!=$Y$2,#REF!*lumber_invest))</f>
        <v>#REF!</v>
      </c>
      <c r="AT85" s="57" t="e">
        <f>IF(#REF!=AT$2,IF(#REF!=$Y$2,#REF!*ore_invest)) + IF(#REF!=AT$2,IF(#REF!=$Y$2,#REF!*ore_invest)) + IF(#REF!=AT$2,IF(#REF!=$Y$2,#REF!*ore_invest))</f>
        <v>#REF!</v>
      </c>
      <c r="AU85" s="57" t="e">
        <f>IF(#REF!=AU$2,IF(#REF!=$Y$2,#REF!*gem_invest)) + IF(#REF!=AU$2,IF(#REF!=$Y$2,#REF!*gem_invest)) + IF(#REF!=AU$2,IF(#REF!=$Y$2,#REF!*gem_invest))</f>
        <v>#REF!</v>
      </c>
      <c r="AV85" s="134"/>
      <c r="AW85" s="57" t="e">
        <f>IF(#REF!=AW$2,IF(#REF!=$Z$2,#REF!*plat_invest)) + IF(#REF!=AW$2,IF(#REF!=$Z$2,#REF!*plat_invest)) + IF(#REF!=AW$2,IF(#REF!=$Z$2,#REF!*plat_invest))</f>
        <v>#REF!</v>
      </c>
      <c r="AX85" s="57" t="e">
        <f>IF(#REF!=AX$2,IF(#REF!=$Z$2,#REF!*lumber_invest)) + IF(#REF!=AX$2,IF(#REF!=$Z$2,#REF!*lumber_invest)) + IF(#REF!=AX$2,IF(#REF!=$Z$2,#REF!*lumber_invest))</f>
        <v>#REF!</v>
      </c>
      <c r="AY85" s="57" t="e">
        <f>IF(#REF!=AY$2,IF(#REF!=$Z$2,#REF!*ore_invest)) + IF(#REF!=AY$2,IF(#REF!=$Z$2,#REF!*ore_invest)) + IF(#REF!=AY$2,IF(#REF!=$Z$2,#REF!*ore_invest))</f>
        <v>#REF!</v>
      </c>
      <c r="AZ85" s="57" t="e">
        <f>IF(#REF!=AZ$2,IF(#REF!=$Z$2,#REF!*gem_invest)) + IF(#REF!=AZ$2,IF(#REF!=$Z$2,#REF!*gem_invest)) + IF(#REF!=AZ$2,IF(#REF!=$Z$2,#REF!*gem_invest))</f>
        <v>#REF!</v>
      </c>
      <c r="BA85" s="134"/>
      <c r="BB85" s="57" t="e">
        <f>IF(#REF!=BB$2,IF(#REF!=$AA$2,#REF!*plat_invest)) + IF(#REF!=BB$2,IF(#REF!=$AA$2,#REF!*plat_invest)) + IF(#REF!=BB$2,IF(#REF!=$AA$2,#REF!*plat_invest))</f>
        <v>#REF!</v>
      </c>
      <c r="BC85" s="57" t="e">
        <f>IF(#REF!=BC$2,IF(#REF!=$AA$2,#REF!*lumber_invest)) + IF(#REF!=BC$2,IF(#REF!=$AA$2,#REF!*lumber_invest)) + IF(#REF!=BC$2,IF(#REF!=$AA$2,#REF!*lumber_invest))</f>
        <v>#REF!</v>
      </c>
      <c r="BD85" s="57" t="e">
        <f>IF(#REF!=BD$2,IF(#REF!=$AA$2,#REF!*ore_invest)) + IF(#REF!=BD$2,IF(#REF!=$AA$2,#REF!*ore_invest)) + IF(#REF!=BD$2,IF(#REF!=$AA$2,#REF!*ore_invest))</f>
        <v>#REF!</v>
      </c>
      <c r="BE85" s="57" t="e">
        <f>IF(#REF!=BE$2,IF(#REF!=$AA$2,#REF!*gem_invest)) + IF(#REF!=BE$2,IF(#REF!=$AA$2,#REF!*gem_invest)) + IF(#REF!=BE$2,IF(#REF!=$AA$2,#REF!*gem_invest))</f>
        <v>#REF!</v>
      </c>
      <c r="BF85" s="134"/>
      <c r="BG85" s="57" t="e">
        <f>IF(#REF!=BG$2,IF(#REF!=$AB$2,#REF!*plat_invest)) + IF(#REF!=BG$2,IF(#REF!=$AB$2,#REF!*plat_invest)) + IF(#REF!=BG$2,IF(#REF!=$AB$2,#REF!*plat_invest))</f>
        <v>#REF!</v>
      </c>
      <c r="BH85" s="57" t="e">
        <f>IF(#REF!=BH$2,IF(#REF!=$AB$2,#REF!*lumber_invest)) + IF(#REF!=BH$2,IF(#REF!=$AB$2,#REF!*lumber_invest)) + IF(#REF!=BH$2,IF(#REF!=$AB$2,#REF!*lumber_invest))</f>
        <v>#REF!</v>
      </c>
      <c r="BI85" s="57" t="e">
        <f>IF(#REF!=BI$2,IF(#REF!=$AB$2,#REF!*ore_invest)) + IF(#REF!=BI$2,IF(#REF!=$AB$2,#REF!*ore_invest)) + IF(#REF!=BI$2,IF(#REF!=$AB$2,#REF!*ore_invest))</f>
        <v>#REF!</v>
      </c>
      <c r="BJ85" s="57" t="e">
        <f>IF(#REF!=BJ$2,IF(#REF!=$AB$2,#REF!*gem_invest)) + IF(#REF!=BJ$2,IF(#REF!=$AB$2,#REF!*gem_invest)) + IF(#REF!=BJ$2,IF(#REF!=$AB$2,#REF!*gem_invest))</f>
        <v>#REF!</v>
      </c>
      <c r="BK85" s="134"/>
      <c r="BL85" s="57" t="e">
        <f>IF(#REF!=BL$2,IF(#REF!=$AC$2,#REF!*plat_invest)) + IF(#REF!=BL$2,IF(#REF!=$AC$2,#REF!*plat_invest)) + IF(#REF!=BL$2,IF(#REF!=$AC$2,#REF!*plat_invest))</f>
        <v>#REF!</v>
      </c>
      <c r="BM85" s="57" t="e">
        <f>IF(#REF!=BM$2,IF(#REF!=$AC$2,#REF!*lumber_invest)) + IF(#REF!=BM$2,IF(#REF!=$AC$2,#REF!*lumber_invest)) + IF(#REF!=BM$2,IF(#REF!=$AC$2,#REF!*lumber_invest))</f>
        <v>#REF!</v>
      </c>
      <c r="BN85" s="57" t="e">
        <f>IF(#REF!=BN$2,IF(#REF!=$AC$2,#REF!*ore_invest)) + IF(#REF!=BN$2,IF(#REF!=$AC$2,#REF!*ore_invest)) + IF(#REF!=BN$2,IF(#REF!=$AC$2,#REF!*ore_invest))</f>
        <v>#REF!</v>
      </c>
      <c r="BO85" s="57" t="e">
        <f>IF(#REF!=BO$2,IF(#REF!=$AC$2,#REF!*gem_invest)) + IF(#REF!=BO$2,IF(#REF!=$AC$2,#REF!*gem_invest)) + IF(#REF!=BO$2,IF(#REF!=$AC$2,#REF!*gem_invest))</f>
        <v>#REF!</v>
      </c>
      <c r="BP85" s="134"/>
      <c r="BQ85" s="57" t="e">
        <f>IF(#REF!=BQ$2,IF(#REF!=$AD$2,#REF!*plat_invest)) + IF(#REF!=BQ$2,IF(#REF!=$AD$2,#REF!*plat_invest)) + IF(#REF!=BQ$2,IF(#REF!=$AD$2,#REF!*plat_invest))</f>
        <v>#REF!</v>
      </c>
      <c r="BR85" s="57" t="e">
        <f>IF(#REF!=BR$2,IF(#REF!=$AD$2,#REF!*lumber_invest)) + IF(#REF!=BR$2,IF(#REF!=$AD$2,#REF!*lumber_invest)) + IF(#REF!=BR$2,IF(#REF!=$AD$2,#REF!*lumber_invest))</f>
        <v>#REF!</v>
      </c>
      <c r="BS85" s="57" t="e">
        <f>IF(#REF!=BS$2,IF(#REF!=$AD$2,#REF!*ore_invest)) + IF(#REF!=BS$2,IF(#REF!=$AD$2,#REF!*ore_invest)) + IF(#REF!=BS$2,IF(#REF!=$AD$2,#REF!*ore_invest))</f>
        <v>#REF!</v>
      </c>
      <c r="BT85" s="57" t="e">
        <f>IF(#REF!=BT$2,IF(#REF!=$AD$2,#REF!*gem_invest)) + IF(#REF!=BT$2,IF(#REF!=$AD$2,#REF!*gem_invest)) + IF(#REF!=BT$2,IF(#REF!=$AD$2,#REF!*gem_invest))</f>
        <v>#REF!</v>
      </c>
      <c r="BU85" s="134"/>
      <c r="BV85" s="3" t="e">
        <f>OR(#REF!,#REF!,#REF!,#REF!,#REF!,#REF!,#REF!,#REF!,#REF!)</f>
        <v>#REF!</v>
      </c>
      <c r="BW85" s="61" t="e">
        <f>#REF!</f>
        <v>#REF!</v>
      </c>
      <c r="BX85" s="130"/>
      <c r="BY85" s="284" t="e">
        <f ca="1">OFFSET(#REF!,-1,0)+1/24</f>
        <v>#REF!</v>
      </c>
      <c r="BZ85" s="285" t="e">
        <f ca="1">OFFSET(#REF!,-1,0)+1/24</f>
        <v>#REF!</v>
      </c>
      <c r="CA85" s="57"/>
      <c r="CB85" s="283"/>
      <c r="CC85" s="283"/>
    </row>
    <row r="86" spans="1:84" x14ac:dyDescent="0.25">
      <c r="A86" s="206" t="e">
        <f>#REF!</f>
        <v>#REF!</v>
      </c>
      <c r="B86" s="134"/>
      <c r="C86" s="39" t="e">
        <f>#REF!</f>
        <v>#REF!</v>
      </c>
      <c r="D86" s="39" t="e">
        <f>#REF!</f>
        <v>#REF!</v>
      </c>
      <c r="E86" s="39" t="e">
        <f>#REF!</f>
        <v>#REF!</v>
      </c>
      <c r="F86" s="39" t="e">
        <f>#REF!</f>
        <v>#REF!</v>
      </c>
      <c r="G86" s="133"/>
      <c r="H86" s="39" t="e">
        <f>#REF!</f>
        <v>#REF!</v>
      </c>
      <c r="I86" s="132" t="e">
        <f>#REF!</f>
        <v>#REF!</v>
      </c>
      <c r="J86" s="132" t="e">
        <f>#REF!/#REF!</f>
        <v>#REF!</v>
      </c>
      <c r="K86" s="160" t="e">
        <f>#REF!</f>
        <v>#REF!</v>
      </c>
      <c r="L86" s="276" t="e">
        <f>#REF!</f>
        <v>#REF!</v>
      </c>
      <c r="M86" s="61">
        <f>IF(ISERROR(#REF!),0,#REF!*1)</f>
        <v>0</v>
      </c>
      <c r="N86" s="39" t="e">
        <f>#REF!</f>
        <v>#REF!</v>
      </c>
      <c r="O86" s="277" t="s">
        <v>4</v>
      </c>
      <c r="P86" s="278"/>
      <c r="Q86" s="277" t="s">
        <v>211</v>
      </c>
      <c r="R86" s="277" t="s">
        <v>7</v>
      </c>
      <c r="S86" s="278"/>
      <c r="T86" s="277" t="s">
        <v>211</v>
      </c>
      <c r="U86" s="277" t="s">
        <v>3</v>
      </c>
      <c r="V86" s="278"/>
      <c r="W86" s="277" t="s">
        <v>211</v>
      </c>
      <c r="X86" s="134"/>
      <c r="Y86" s="209" t="e">
        <f ca="1">science_cap*(1-EXP(-#REF!/(science_param*(OFFSET(#REF!,1,0)-OFFSET(#REF!,1,0)*20)+15000)))*(1+(mason_bonus*#REF!/#REF!))</f>
        <v>#REF!</v>
      </c>
      <c r="Z86" s="209" t="e">
        <f ca="1">keep_cap*(1-EXP(-#REF!/(keep_param*(OFFSET(#REF!,1,0)-OFFSET(#REF!,1,0)*20)+15000)))*(1+(mason_bonus*#REF!/#REF!))</f>
        <v>#REF!</v>
      </c>
      <c r="AA86" s="209" t="e">
        <f ca="1">harbor_towers_cap*(1-EXP(-#REF!/(towers_param*(OFFSET(#REF!,1,0)-OFFSET(#REF!,1,0)*20)+15000)))*(1+(mason_bonus*#REF!/#REF!))</f>
        <v>#REF!</v>
      </c>
      <c r="AB86" s="209" t="e">
        <f ca="1">walls_forges_cap*(1-EXP(-#REF!/(walls_forges_param*(OFFSET(#REF!,1,0)-OFFSET(#REF!,1,0)*20)+15000)))*(1+(mason_bonus*#REF!/#REF!))</f>
        <v>#REF!</v>
      </c>
      <c r="AC86" s="209" t="e">
        <f ca="1">walls_forges_cap*(1-EXP(-#REF!/(walls_forges_param*(OFFSET(#REF!,1,0)-OFFSET(#REF!,1,0)*20)+15000)))*(1+(mason_bonus*#REF!/#REF!))</f>
        <v>#REF!</v>
      </c>
      <c r="AD86" s="209" t="e">
        <f ca="1">harbor_towers_cap*(1-EXP(-#REF!/(harbor_towers_param*(OFFSET(#REF!,1,0)-OFFSET(#REF!,1,0)*20)+15000)))*(1+(mason_bonus*#REF!/#REF!))</f>
        <v>#REF!</v>
      </c>
      <c r="AE86" s="134"/>
      <c r="AF86" s="61" t="e">
        <f ca="1">(1+Overview!$I$28)*SUM(#REF!)+OFFSET(#REF!,-1,0)</f>
        <v>#REF!</v>
      </c>
      <c r="AG86" s="61" t="e">
        <f ca="1">(1+Overview!$I$28)*SUM(#REF!)+OFFSET(#REF!,-1,0)</f>
        <v>#REF!</v>
      </c>
      <c r="AH86" s="61" t="e">
        <f ca="1">(1+Overview!$I$28 + tech_7_1*#REF!)*SUM(#REF!)+OFFSET(#REF!,-1,0)</f>
        <v>#REF!</v>
      </c>
      <c r="AI86" s="61" t="e">
        <f ca="1">(1+Overview!$I$28)*SUM(#REF!)+OFFSET(#REF!,-1,0)</f>
        <v>#REF!</v>
      </c>
      <c r="AJ86" s="61" t="e">
        <f ca="1">(1+Overview!$I$28)*SUM(#REF!)+OFFSET(#REF!,-1,0)</f>
        <v>#REF!</v>
      </c>
      <c r="AK86" s="61" t="e">
        <f ca="1">(1+Overview!$I$28 + tech_7_1*#REF!)*SUM(#REF!)+OFFSET(#REF!,-1,0)</f>
        <v>#REF!</v>
      </c>
      <c r="AL86" s="134"/>
      <c r="AM86" s="57" t="e">
        <f>IF(AND(#REF!=AM$2,#REF!&lt;&gt;""),#REF!) + IF(AND(#REF!=AM$2,#REF!&lt;&gt;""),#REF!) + IF(AND(#REF!=AM$2,#REF!&lt;&gt;""),#REF!)</f>
        <v>#REF!</v>
      </c>
      <c r="AN86" s="57" t="e">
        <f>IF(AND(#REF!=AN$2,#REF!&lt;&gt;""),#REF!) + IF(AND(#REF!=AN$2,#REF!&lt;&gt;""),#REF!) + IF(AND(#REF!=AN$2,#REF!&lt;&gt;""),#REF!)</f>
        <v>#REF!</v>
      </c>
      <c r="AO86" s="57" t="e">
        <f>IF(AND(#REF!=AO$2,#REF!&lt;&gt;""),#REF!) + IF(AND(#REF!=AO$2,#REF!&lt;&gt;""),#REF!) + IF(AND(#REF!=AO$2,#REF!&lt;&gt;""),#REF!)</f>
        <v>#REF!</v>
      </c>
      <c r="AP86" s="57" t="e">
        <f>IF(AND(#REF!=AP$2,#REF!&lt;&gt;""),#REF!) + IF(AND(#REF!=AP$2,#REF!&lt;&gt;""),#REF!) + IF(AND(#REF!=AP$2,#REF!&lt;&gt;""),#REF!)</f>
        <v>#REF!</v>
      </c>
      <c r="AQ86" s="134"/>
      <c r="AR86" s="57" t="e">
        <f>IF(#REF!=AR$2,IF(#REF!=$Y$2,#REF!*plat_invest)) + IF(#REF!=AR$2,IF(#REF!=$Y$2,#REF!*plat_invest)) + IF(#REF!=AR$2,IF(#REF!=$Y$2,#REF!*plat_invest))</f>
        <v>#REF!</v>
      </c>
      <c r="AS86" s="57" t="e">
        <f>IF(#REF!=AS$2,IF(#REF!=$Y$2,#REF!*lumber_invest)) + IF(#REF!=AS$2,IF(#REF!=$Y$2,#REF!*lumber_invest)) + IF(#REF!=AS$2,IF(#REF!=$Y$2,#REF!*lumber_invest))</f>
        <v>#REF!</v>
      </c>
      <c r="AT86" s="57" t="e">
        <f>IF(#REF!=AT$2,IF(#REF!=$Y$2,#REF!*ore_invest)) + IF(#REF!=AT$2,IF(#REF!=$Y$2,#REF!*ore_invest)) + IF(#REF!=AT$2,IF(#REF!=$Y$2,#REF!*ore_invest))</f>
        <v>#REF!</v>
      </c>
      <c r="AU86" s="57" t="e">
        <f>IF(#REF!=AU$2,IF(#REF!=$Y$2,#REF!*gem_invest)) + IF(#REF!=AU$2,IF(#REF!=$Y$2,#REF!*gem_invest)) + IF(#REF!=AU$2,IF(#REF!=$Y$2,#REF!*gem_invest))</f>
        <v>#REF!</v>
      </c>
      <c r="AV86" s="134"/>
      <c r="AW86" s="57" t="e">
        <f>IF(#REF!=AW$2,IF(#REF!=$Z$2,#REF!*plat_invest)) + IF(#REF!=AW$2,IF(#REF!=$Z$2,#REF!*plat_invest)) + IF(#REF!=AW$2,IF(#REF!=$Z$2,#REF!*plat_invest))</f>
        <v>#REF!</v>
      </c>
      <c r="AX86" s="57" t="e">
        <f>IF(#REF!=AX$2,IF(#REF!=$Z$2,#REF!*lumber_invest)) + IF(#REF!=AX$2,IF(#REF!=$Z$2,#REF!*lumber_invest)) + IF(#REF!=AX$2,IF(#REF!=$Z$2,#REF!*lumber_invest))</f>
        <v>#REF!</v>
      </c>
      <c r="AY86" s="57" t="e">
        <f>IF(#REF!=AY$2,IF(#REF!=$Z$2,#REF!*ore_invest)) + IF(#REF!=AY$2,IF(#REF!=$Z$2,#REF!*ore_invest)) + IF(#REF!=AY$2,IF(#REF!=$Z$2,#REF!*ore_invest))</f>
        <v>#REF!</v>
      </c>
      <c r="AZ86" s="57" t="e">
        <f>IF(#REF!=AZ$2,IF(#REF!=$Z$2,#REF!*gem_invest)) + IF(#REF!=AZ$2,IF(#REF!=$Z$2,#REF!*gem_invest)) + IF(#REF!=AZ$2,IF(#REF!=$Z$2,#REF!*gem_invest))</f>
        <v>#REF!</v>
      </c>
      <c r="BA86" s="134"/>
      <c r="BB86" s="57" t="e">
        <f>IF(#REF!=BB$2,IF(#REF!=$AA$2,#REF!*plat_invest)) + IF(#REF!=BB$2,IF(#REF!=$AA$2,#REF!*plat_invest)) + IF(#REF!=BB$2,IF(#REF!=$AA$2,#REF!*plat_invest))</f>
        <v>#REF!</v>
      </c>
      <c r="BC86" s="57" t="e">
        <f>IF(#REF!=BC$2,IF(#REF!=$AA$2,#REF!*lumber_invest)) + IF(#REF!=BC$2,IF(#REF!=$AA$2,#REF!*lumber_invest)) + IF(#REF!=BC$2,IF(#REF!=$AA$2,#REF!*lumber_invest))</f>
        <v>#REF!</v>
      </c>
      <c r="BD86" s="57" t="e">
        <f>IF(#REF!=BD$2,IF(#REF!=$AA$2,#REF!*ore_invest)) + IF(#REF!=BD$2,IF(#REF!=$AA$2,#REF!*ore_invest)) + IF(#REF!=BD$2,IF(#REF!=$AA$2,#REF!*ore_invest))</f>
        <v>#REF!</v>
      </c>
      <c r="BE86" s="57" t="e">
        <f>IF(#REF!=BE$2,IF(#REF!=$AA$2,#REF!*gem_invest)) + IF(#REF!=BE$2,IF(#REF!=$AA$2,#REF!*gem_invest)) + IF(#REF!=BE$2,IF(#REF!=$AA$2,#REF!*gem_invest))</f>
        <v>#REF!</v>
      </c>
      <c r="BF86" s="134"/>
      <c r="BG86" s="57" t="e">
        <f>IF(#REF!=BG$2,IF(#REF!=$AB$2,#REF!*plat_invest)) + IF(#REF!=BG$2,IF(#REF!=$AB$2,#REF!*plat_invest)) + IF(#REF!=BG$2,IF(#REF!=$AB$2,#REF!*plat_invest))</f>
        <v>#REF!</v>
      </c>
      <c r="BH86" s="57" t="e">
        <f>IF(#REF!=BH$2,IF(#REF!=$AB$2,#REF!*lumber_invest)) + IF(#REF!=BH$2,IF(#REF!=$AB$2,#REF!*lumber_invest)) + IF(#REF!=BH$2,IF(#REF!=$AB$2,#REF!*lumber_invest))</f>
        <v>#REF!</v>
      </c>
      <c r="BI86" s="57" t="e">
        <f>IF(#REF!=BI$2,IF(#REF!=$AB$2,#REF!*ore_invest)) + IF(#REF!=BI$2,IF(#REF!=$AB$2,#REF!*ore_invest)) + IF(#REF!=BI$2,IF(#REF!=$AB$2,#REF!*ore_invest))</f>
        <v>#REF!</v>
      </c>
      <c r="BJ86" s="57" t="e">
        <f>IF(#REF!=BJ$2,IF(#REF!=$AB$2,#REF!*gem_invest)) + IF(#REF!=BJ$2,IF(#REF!=$AB$2,#REF!*gem_invest)) + IF(#REF!=BJ$2,IF(#REF!=$AB$2,#REF!*gem_invest))</f>
        <v>#REF!</v>
      </c>
      <c r="BK86" s="134"/>
      <c r="BL86" s="57" t="e">
        <f>IF(#REF!=BL$2,IF(#REF!=$AC$2,#REF!*plat_invest)) + IF(#REF!=BL$2,IF(#REF!=$AC$2,#REF!*plat_invest)) + IF(#REF!=BL$2,IF(#REF!=$AC$2,#REF!*plat_invest))</f>
        <v>#REF!</v>
      </c>
      <c r="BM86" s="57" t="e">
        <f>IF(#REF!=BM$2,IF(#REF!=$AC$2,#REF!*lumber_invest)) + IF(#REF!=BM$2,IF(#REF!=$AC$2,#REF!*lumber_invest)) + IF(#REF!=BM$2,IF(#REF!=$AC$2,#REF!*lumber_invest))</f>
        <v>#REF!</v>
      </c>
      <c r="BN86" s="57" t="e">
        <f>IF(#REF!=BN$2,IF(#REF!=$AC$2,#REF!*ore_invest)) + IF(#REF!=BN$2,IF(#REF!=$AC$2,#REF!*ore_invest)) + IF(#REF!=BN$2,IF(#REF!=$AC$2,#REF!*ore_invest))</f>
        <v>#REF!</v>
      </c>
      <c r="BO86" s="57" t="e">
        <f>IF(#REF!=BO$2,IF(#REF!=$AC$2,#REF!*gem_invest)) + IF(#REF!=BO$2,IF(#REF!=$AC$2,#REF!*gem_invest)) + IF(#REF!=BO$2,IF(#REF!=$AC$2,#REF!*gem_invest))</f>
        <v>#REF!</v>
      </c>
      <c r="BP86" s="134"/>
      <c r="BQ86" s="57" t="e">
        <f>IF(#REF!=BQ$2,IF(#REF!=$AD$2,#REF!*plat_invest)) + IF(#REF!=BQ$2,IF(#REF!=$AD$2,#REF!*plat_invest)) + IF(#REF!=BQ$2,IF(#REF!=$AD$2,#REF!*plat_invest))</f>
        <v>#REF!</v>
      </c>
      <c r="BR86" s="57" t="e">
        <f>IF(#REF!=BR$2,IF(#REF!=$AD$2,#REF!*lumber_invest)) + IF(#REF!=BR$2,IF(#REF!=$AD$2,#REF!*lumber_invest)) + IF(#REF!=BR$2,IF(#REF!=$AD$2,#REF!*lumber_invest))</f>
        <v>#REF!</v>
      </c>
      <c r="BS86" s="57" t="e">
        <f>IF(#REF!=BS$2,IF(#REF!=$AD$2,#REF!*ore_invest)) + IF(#REF!=BS$2,IF(#REF!=$AD$2,#REF!*ore_invest)) + IF(#REF!=BS$2,IF(#REF!=$AD$2,#REF!*ore_invest))</f>
        <v>#REF!</v>
      </c>
      <c r="BT86" s="57" t="e">
        <f>IF(#REF!=BT$2,IF(#REF!=$AD$2,#REF!*gem_invest)) + IF(#REF!=BT$2,IF(#REF!=$AD$2,#REF!*gem_invest)) + IF(#REF!=BT$2,IF(#REF!=$AD$2,#REF!*gem_invest))</f>
        <v>#REF!</v>
      </c>
      <c r="BU86" s="134"/>
      <c r="BV86" s="3" t="e">
        <f>OR(#REF!,#REF!,#REF!,#REF!,#REF!,#REF!,#REF!,#REF!,#REF!)</f>
        <v>#REF!</v>
      </c>
      <c r="BW86" s="61" t="e">
        <f>#REF!</f>
        <v>#REF!</v>
      </c>
      <c r="BX86" s="130"/>
      <c r="BY86" s="284" t="e">
        <f ca="1">OFFSET(#REF!,-1,0)+1/24</f>
        <v>#REF!</v>
      </c>
      <c r="BZ86" s="285" t="e">
        <f ca="1">OFFSET(#REF!,-1,0)+1/24</f>
        <v>#REF!</v>
      </c>
      <c r="CA86" s="57"/>
      <c r="CB86" s="283"/>
      <c r="CC86" s="283"/>
    </row>
    <row r="87" spans="1:84" x14ac:dyDescent="0.25">
      <c r="A87" s="206" t="e">
        <f>#REF!</f>
        <v>#REF!</v>
      </c>
      <c r="B87" s="134"/>
      <c r="C87" s="39" t="e">
        <f>#REF!</f>
        <v>#REF!</v>
      </c>
      <c r="D87" s="39" t="e">
        <f>#REF!</f>
        <v>#REF!</v>
      </c>
      <c r="E87" s="39" t="e">
        <f>#REF!</f>
        <v>#REF!</v>
      </c>
      <c r="F87" s="39" t="e">
        <f>#REF!</f>
        <v>#REF!</v>
      </c>
      <c r="G87" s="133"/>
      <c r="H87" s="39" t="e">
        <f>#REF!</f>
        <v>#REF!</v>
      </c>
      <c r="I87" s="132" t="e">
        <f>#REF!</f>
        <v>#REF!</v>
      </c>
      <c r="J87" s="132" t="e">
        <f>#REF!/#REF!</f>
        <v>#REF!</v>
      </c>
      <c r="K87" s="160" t="e">
        <f>#REF!</f>
        <v>#REF!</v>
      </c>
      <c r="L87" s="276" t="e">
        <f>#REF!</f>
        <v>#REF!</v>
      </c>
      <c r="M87" s="61">
        <f>IF(ISERROR(#REF!),0,#REF!*1)</f>
        <v>0</v>
      </c>
      <c r="N87" s="39" t="e">
        <f>#REF!</f>
        <v>#REF!</v>
      </c>
      <c r="O87" s="277" t="s">
        <v>4</v>
      </c>
      <c r="P87" s="278"/>
      <c r="Q87" s="277" t="s">
        <v>211</v>
      </c>
      <c r="R87" s="277" t="s">
        <v>7</v>
      </c>
      <c r="S87" s="278"/>
      <c r="T87" s="277" t="s">
        <v>211</v>
      </c>
      <c r="U87" s="277" t="s">
        <v>3</v>
      </c>
      <c r="V87" s="278"/>
      <c r="W87" s="277" t="s">
        <v>211</v>
      </c>
      <c r="X87" s="134"/>
      <c r="Y87" s="209" t="e">
        <f ca="1">science_cap*(1-EXP(-#REF!/(science_param*(OFFSET(#REF!,1,0)-OFFSET(#REF!,1,0)*20)+15000)))*(1+(mason_bonus*#REF!/#REF!))</f>
        <v>#REF!</v>
      </c>
      <c r="Z87" s="209" t="e">
        <f ca="1">keep_cap*(1-EXP(-#REF!/(keep_param*(OFFSET(#REF!,1,0)-OFFSET(#REF!,1,0)*20)+15000)))*(1+(mason_bonus*#REF!/#REF!))</f>
        <v>#REF!</v>
      </c>
      <c r="AA87" s="209" t="e">
        <f ca="1">harbor_towers_cap*(1-EXP(-#REF!/(towers_param*(OFFSET(#REF!,1,0)-OFFSET(#REF!,1,0)*20)+15000)))*(1+(mason_bonus*#REF!/#REF!))</f>
        <v>#REF!</v>
      </c>
      <c r="AB87" s="209" t="e">
        <f ca="1">walls_forges_cap*(1-EXP(-#REF!/(walls_forges_param*(OFFSET(#REF!,1,0)-OFFSET(#REF!,1,0)*20)+15000)))*(1+(mason_bonus*#REF!/#REF!))</f>
        <v>#REF!</v>
      </c>
      <c r="AC87" s="209" t="e">
        <f ca="1">walls_forges_cap*(1-EXP(-#REF!/(walls_forges_param*(OFFSET(#REF!,1,0)-OFFSET(#REF!,1,0)*20)+15000)))*(1+(mason_bonus*#REF!/#REF!))</f>
        <v>#REF!</v>
      </c>
      <c r="AD87" s="209" t="e">
        <f ca="1">harbor_towers_cap*(1-EXP(-#REF!/(harbor_towers_param*(OFFSET(#REF!,1,0)-OFFSET(#REF!,1,0)*20)+15000)))*(1+(mason_bonus*#REF!/#REF!))</f>
        <v>#REF!</v>
      </c>
      <c r="AE87" s="134"/>
      <c r="AF87" s="61" t="e">
        <f ca="1">(1+Overview!$I$28)*SUM(#REF!)+OFFSET(#REF!,-1,0)</f>
        <v>#REF!</v>
      </c>
      <c r="AG87" s="61" t="e">
        <f ca="1">(1+Overview!$I$28)*SUM(#REF!)+OFFSET(#REF!,-1,0)</f>
        <v>#REF!</v>
      </c>
      <c r="AH87" s="61" t="e">
        <f ca="1">(1+Overview!$I$28 + tech_7_1*#REF!)*SUM(#REF!)+OFFSET(#REF!,-1,0)</f>
        <v>#REF!</v>
      </c>
      <c r="AI87" s="61" t="e">
        <f ca="1">(1+Overview!$I$28)*SUM(#REF!)+OFFSET(#REF!,-1,0)</f>
        <v>#REF!</v>
      </c>
      <c r="AJ87" s="61" t="e">
        <f ca="1">(1+Overview!$I$28)*SUM(#REF!)+OFFSET(#REF!,-1,0)</f>
        <v>#REF!</v>
      </c>
      <c r="AK87" s="61" t="e">
        <f ca="1">(1+Overview!$I$28 + tech_7_1*#REF!)*SUM(#REF!)+OFFSET(#REF!,-1,0)</f>
        <v>#REF!</v>
      </c>
      <c r="AL87" s="134"/>
      <c r="AM87" s="57" t="e">
        <f>IF(AND(#REF!=AM$2,#REF!&lt;&gt;""),#REF!) + IF(AND(#REF!=AM$2,#REF!&lt;&gt;""),#REF!) + IF(AND(#REF!=AM$2,#REF!&lt;&gt;""),#REF!)</f>
        <v>#REF!</v>
      </c>
      <c r="AN87" s="57" t="e">
        <f>IF(AND(#REF!=AN$2,#REF!&lt;&gt;""),#REF!) + IF(AND(#REF!=AN$2,#REF!&lt;&gt;""),#REF!) + IF(AND(#REF!=AN$2,#REF!&lt;&gt;""),#REF!)</f>
        <v>#REF!</v>
      </c>
      <c r="AO87" s="57" t="e">
        <f>IF(AND(#REF!=AO$2,#REF!&lt;&gt;""),#REF!) + IF(AND(#REF!=AO$2,#REF!&lt;&gt;""),#REF!) + IF(AND(#REF!=AO$2,#REF!&lt;&gt;""),#REF!)</f>
        <v>#REF!</v>
      </c>
      <c r="AP87" s="57" t="e">
        <f>IF(AND(#REF!=AP$2,#REF!&lt;&gt;""),#REF!) + IF(AND(#REF!=AP$2,#REF!&lt;&gt;""),#REF!) + IF(AND(#REF!=AP$2,#REF!&lt;&gt;""),#REF!)</f>
        <v>#REF!</v>
      </c>
      <c r="AQ87" s="134"/>
      <c r="AR87" s="57" t="e">
        <f>IF(#REF!=AR$2,IF(#REF!=$Y$2,#REF!*plat_invest)) + IF(#REF!=AR$2,IF(#REF!=$Y$2,#REF!*plat_invest)) + IF(#REF!=AR$2,IF(#REF!=$Y$2,#REF!*plat_invest))</f>
        <v>#REF!</v>
      </c>
      <c r="AS87" s="57" t="e">
        <f>IF(#REF!=AS$2,IF(#REF!=$Y$2,#REF!*lumber_invest)) + IF(#REF!=AS$2,IF(#REF!=$Y$2,#REF!*lumber_invest)) + IF(#REF!=AS$2,IF(#REF!=$Y$2,#REF!*lumber_invest))</f>
        <v>#REF!</v>
      </c>
      <c r="AT87" s="57" t="e">
        <f>IF(#REF!=AT$2,IF(#REF!=$Y$2,#REF!*ore_invest)) + IF(#REF!=AT$2,IF(#REF!=$Y$2,#REF!*ore_invest)) + IF(#REF!=AT$2,IF(#REF!=$Y$2,#REF!*ore_invest))</f>
        <v>#REF!</v>
      </c>
      <c r="AU87" s="57" t="e">
        <f>IF(#REF!=AU$2,IF(#REF!=$Y$2,#REF!*gem_invest)) + IF(#REF!=AU$2,IF(#REF!=$Y$2,#REF!*gem_invest)) + IF(#REF!=AU$2,IF(#REF!=$Y$2,#REF!*gem_invest))</f>
        <v>#REF!</v>
      </c>
      <c r="AV87" s="134"/>
      <c r="AW87" s="57" t="e">
        <f>IF(#REF!=AW$2,IF(#REF!=$Z$2,#REF!*plat_invest)) + IF(#REF!=AW$2,IF(#REF!=$Z$2,#REF!*plat_invest)) + IF(#REF!=AW$2,IF(#REF!=$Z$2,#REF!*plat_invest))</f>
        <v>#REF!</v>
      </c>
      <c r="AX87" s="57" t="e">
        <f>IF(#REF!=AX$2,IF(#REF!=$Z$2,#REF!*lumber_invest)) + IF(#REF!=AX$2,IF(#REF!=$Z$2,#REF!*lumber_invest)) + IF(#REF!=AX$2,IF(#REF!=$Z$2,#REF!*lumber_invest))</f>
        <v>#REF!</v>
      </c>
      <c r="AY87" s="57" t="e">
        <f>IF(#REF!=AY$2,IF(#REF!=$Z$2,#REF!*ore_invest)) + IF(#REF!=AY$2,IF(#REF!=$Z$2,#REF!*ore_invest)) + IF(#REF!=AY$2,IF(#REF!=$Z$2,#REF!*ore_invest))</f>
        <v>#REF!</v>
      </c>
      <c r="AZ87" s="57" t="e">
        <f>IF(#REF!=AZ$2,IF(#REF!=$Z$2,#REF!*gem_invest)) + IF(#REF!=AZ$2,IF(#REF!=$Z$2,#REF!*gem_invest)) + IF(#REF!=AZ$2,IF(#REF!=$Z$2,#REF!*gem_invest))</f>
        <v>#REF!</v>
      </c>
      <c r="BA87" s="134"/>
      <c r="BB87" s="57" t="e">
        <f>IF(#REF!=BB$2,IF(#REF!=$AA$2,#REF!*plat_invest)) + IF(#REF!=BB$2,IF(#REF!=$AA$2,#REF!*plat_invest)) + IF(#REF!=BB$2,IF(#REF!=$AA$2,#REF!*plat_invest))</f>
        <v>#REF!</v>
      </c>
      <c r="BC87" s="57" t="e">
        <f>IF(#REF!=BC$2,IF(#REF!=$AA$2,#REF!*lumber_invest)) + IF(#REF!=BC$2,IF(#REF!=$AA$2,#REF!*lumber_invest)) + IF(#REF!=BC$2,IF(#REF!=$AA$2,#REF!*lumber_invest))</f>
        <v>#REF!</v>
      </c>
      <c r="BD87" s="57" t="e">
        <f>IF(#REF!=BD$2,IF(#REF!=$AA$2,#REF!*ore_invest)) + IF(#REF!=BD$2,IF(#REF!=$AA$2,#REF!*ore_invest)) + IF(#REF!=BD$2,IF(#REF!=$AA$2,#REF!*ore_invest))</f>
        <v>#REF!</v>
      </c>
      <c r="BE87" s="57" t="e">
        <f>IF(#REF!=BE$2,IF(#REF!=$AA$2,#REF!*gem_invest)) + IF(#REF!=BE$2,IF(#REF!=$AA$2,#REF!*gem_invest)) + IF(#REF!=BE$2,IF(#REF!=$AA$2,#REF!*gem_invest))</f>
        <v>#REF!</v>
      </c>
      <c r="BF87" s="134"/>
      <c r="BG87" s="57" t="e">
        <f>IF(#REF!=BG$2,IF(#REF!=$AB$2,#REF!*plat_invest)) + IF(#REF!=BG$2,IF(#REF!=$AB$2,#REF!*plat_invest)) + IF(#REF!=BG$2,IF(#REF!=$AB$2,#REF!*plat_invest))</f>
        <v>#REF!</v>
      </c>
      <c r="BH87" s="57" t="e">
        <f>IF(#REF!=BH$2,IF(#REF!=$AB$2,#REF!*lumber_invest)) + IF(#REF!=BH$2,IF(#REF!=$AB$2,#REF!*lumber_invest)) + IF(#REF!=BH$2,IF(#REF!=$AB$2,#REF!*lumber_invest))</f>
        <v>#REF!</v>
      </c>
      <c r="BI87" s="57" t="e">
        <f>IF(#REF!=BI$2,IF(#REF!=$AB$2,#REF!*ore_invest)) + IF(#REF!=BI$2,IF(#REF!=$AB$2,#REF!*ore_invest)) + IF(#REF!=BI$2,IF(#REF!=$AB$2,#REF!*ore_invest))</f>
        <v>#REF!</v>
      </c>
      <c r="BJ87" s="57" t="e">
        <f>IF(#REF!=BJ$2,IF(#REF!=$AB$2,#REF!*gem_invest)) + IF(#REF!=BJ$2,IF(#REF!=$AB$2,#REF!*gem_invest)) + IF(#REF!=BJ$2,IF(#REF!=$AB$2,#REF!*gem_invest))</f>
        <v>#REF!</v>
      </c>
      <c r="BK87" s="134"/>
      <c r="BL87" s="57" t="e">
        <f>IF(#REF!=BL$2,IF(#REF!=$AC$2,#REF!*plat_invest)) + IF(#REF!=BL$2,IF(#REF!=$AC$2,#REF!*plat_invest)) + IF(#REF!=BL$2,IF(#REF!=$AC$2,#REF!*plat_invest))</f>
        <v>#REF!</v>
      </c>
      <c r="BM87" s="57" t="e">
        <f>IF(#REF!=BM$2,IF(#REF!=$AC$2,#REF!*lumber_invest)) + IF(#REF!=BM$2,IF(#REF!=$AC$2,#REF!*lumber_invest)) + IF(#REF!=BM$2,IF(#REF!=$AC$2,#REF!*lumber_invest))</f>
        <v>#REF!</v>
      </c>
      <c r="BN87" s="57" t="e">
        <f>IF(#REF!=BN$2,IF(#REF!=$AC$2,#REF!*ore_invest)) + IF(#REF!=BN$2,IF(#REF!=$AC$2,#REF!*ore_invest)) + IF(#REF!=BN$2,IF(#REF!=$AC$2,#REF!*ore_invest))</f>
        <v>#REF!</v>
      </c>
      <c r="BO87" s="57" t="e">
        <f>IF(#REF!=BO$2,IF(#REF!=$AC$2,#REF!*gem_invest)) + IF(#REF!=BO$2,IF(#REF!=$AC$2,#REF!*gem_invest)) + IF(#REF!=BO$2,IF(#REF!=$AC$2,#REF!*gem_invest))</f>
        <v>#REF!</v>
      </c>
      <c r="BP87" s="134"/>
      <c r="BQ87" s="57" t="e">
        <f>IF(#REF!=BQ$2,IF(#REF!=$AD$2,#REF!*plat_invest)) + IF(#REF!=BQ$2,IF(#REF!=$AD$2,#REF!*plat_invest)) + IF(#REF!=BQ$2,IF(#REF!=$AD$2,#REF!*plat_invest))</f>
        <v>#REF!</v>
      </c>
      <c r="BR87" s="57" t="e">
        <f>IF(#REF!=BR$2,IF(#REF!=$AD$2,#REF!*lumber_invest)) + IF(#REF!=BR$2,IF(#REF!=$AD$2,#REF!*lumber_invest)) + IF(#REF!=BR$2,IF(#REF!=$AD$2,#REF!*lumber_invest))</f>
        <v>#REF!</v>
      </c>
      <c r="BS87" s="57" t="e">
        <f>IF(#REF!=BS$2,IF(#REF!=$AD$2,#REF!*ore_invest)) + IF(#REF!=BS$2,IF(#REF!=$AD$2,#REF!*ore_invest)) + IF(#REF!=BS$2,IF(#REF!=$AD$2,#REF!*ore_invest))</f>
        <v>#REF!</v>
      </c>
      <c r="BT87" s="57" t="e">
        <f>IF(#REF!=BT$2,IF(#REF!=$AD$2,#REF!*gem_invest)) + IF(#REF!=BT$2,IF(#REF!=$AD$2,#REF!*gem_invest)) + IF(#REF!=BT$2,IF(#REF!=$AD$2,#REF!*gem_invest))</f>
        <v>#REF!</v>
      </c>
      <c r="BU87" s="134"/>
      <c r="BV87" s="3" t="e">
        <f>OR(#REF!,#REF!,#REF!,#REF!,#REF!,#REF!,#REF!,#REF!,#REF!)</f>
        <v>#REF!</v>
      </c>
      <c r="BW87" s="61" t="e">
        <f>#REF!</f>
        <v>#REF!</v>
      </c>
      <c r="BX87" s="130"/>
      <c r="BY87" s="284" t="e">
        <f ca="1">OFFSET(#REF!,-1,0)+1/24</f>
        <v>#REF!</v>
      </c>
      <c r="BZ87" s="285" t="e">
        <f ca="1">OFFSET(#REF!,-1,0)+1/24</f>
        <v>#REF!</v>
      </c>
      <c r="CA87" s="57"/>
      <c r="CB87" s="283"/>
      <c r="CC87" s="283"/>
    </row>
    <row r="88" spans="1:84" x14ac:dyDescent="0.25">
      <c r="A88" s="206" t="e">
        <f>#REF!</f>
        <v>#REF!</v>
      </c>
      <c r="B88" s="134"/>
      <c r="C88" s="39" t="e">
        <f>#REF!</f>
        <v>#REF!</v>
      </c>
      <c r="D88" s="39" t="e">
        <f>#REF!</f>
        <v>#REF!</v>
      </c>
      <c r="E88" s="39" t="e">
        <f>#REF!</f>
        <v>#REF!</v>
      </c>
      <c r="F88" s="39" t="e">
        <f>#REF!</f>
        <v>#REF!</v>
      </c>
      <c r="G88" s="133"/>
      <c r="H88" s="39" t="e">
        <f>#REF!</f>
        <v>#REF!</v>
      </c>
      <c r="I88" s="132" t="e">
        <f>#REF!</f>
        <v>#REF!</v>
      </c>
      <c r="J88" s="132" t="e">
        <f>#REF!/#REF!</f>
        <v>#REF!</v>
      </c>
      <c r="K88" s="160" t="e">
        <f>#REF!</f>
        <v>#REF!</v>
      </c>
      <c r="L88" s="276" t="e">
        <f>#REF!</f>
        <v>#REF!</v>
      </c>
      <c r="M88" s="61">
        <f>IF(ISERROR(#REF!),0,#REF!*1)</f>
        <v>0</v>
      </c>
      <c r="N88" s="39" t="e">
        <f>#REF!</f>
        <v>#REF!</v>
      </c>
      <c r="O88" s="277" t="s">
        <v>4</v>
      </c>
      <c r="P88" s="278"/>
      <c r="Q88" s="277" t="s">
        <v>211</v>
      </c>
      <c r="R88" s="277" t="s">
        <v>7</v>
      </c>
      <c r="S88" s="278"/>
      <c r="T88" s="277" t="s">
        <v>211</v>
      </c>
      <c r="U88" s="277" t="s">
        <v>3</v>
      </c>
      <c r="V88" s="278"/>
      <c r="W88" s="277" t="s">
        <v>211</v>
      </c>
      <c r="X88" s="134"/>
      <c r="Y88" s="209" t="e">
        <f ca="1">science_cap*(1-EXP(-#REF!/(science_param*(OFFSET(#REF!,1,0)-OFFSET(#REF!,1,0)*20)+15000)))*(1+(mason_bonus*#REF!/#REF!))</f>
        <v>#REF!</v>
      </c>
      <c r="Z88" s="209" t="e">
        <f ca="1">keep_cap*(1-EXP(-#REF!/(keep_param*(OFFSET(#REF!,1,0)-OFFSET(#REF!,1,0)*20)+15000)))*(1+(mason_bonus*#REF!/#REF!))</f>
        <v>#REF!</v>
      </c>
      <c r="AA88" s="209" t="e">
        <f ca="1">harbor_towers_cap*(1-EXP(-#REF!/(towers_param*(OFFSET(#REF!,1,0)-OFFSET(#REF!,1,0)*20)+15000)))*(1+(mason_bonus*#REF!/#REF!))</f>
        <v>#REF!</v>
      </c>
      <c r="AB88" s="209" t="e">
        <f ca="1">walls_forges_cap*(1-EXP(-#REF!/(walls_forges_param*(OFFSET(#REF!,1,0)-OFFSET(#REF!,1,0)*20)+15000)))*(1+(mason_bonus*#REF!/#REF!))</f>
        <v>#REF!</v>
      </c>
      <c r="AC88" s="209" t="e">
        <f ca="1">walls_forges_cap*(1-EXP(-#REF!/(walls_forges_param*(OFFSET(#REF!,1,0)-OFFSET(#REF!,1,0)*20)+15000)))*(1+(mason_bonus*#REF!/#REF!))</f>
        <v>#REF!</v>
      </c>
      <c r="AD88" s="209" t="e">
        <f ca="1">harbor_towers_cap*(1-EXP(-#REF!/(harbor_towers_param*(OFFSET(#REF!,1,0)-OFFSET(#REF!,1,0)*20)+15000)))*(1+(mason_bonus*#REF!/#REF!))</f>
        <v>#REF!</v>
      </c>
      <c r="AE88" s="134"/>
      <c r="AF88" s="61" t="e">
        <f ca="1">(1+Overview!$I$28)*SUM(#REF!)+OFFSET(#REF!,-1,0)</f>
        <v>#REF!</v>
      </c>
      <c r="AG88" s="61" t="e">
        <f ca="1">(1+Overview!$I$28)*SUM(#REF!)+OFFSET(#REF!,-1,0)</f>
        <v>#REF!</v>
      </c>
      <c r="AH88" s="61" t="e">
        <f ca="1">(1+Overview!$I$28 + tech_7_1*#REF!)*SUM(#REF!)+OFFSET(#REF!,-1,0)</f>
        <v>#REF!</v>
      </c>
      <c r="AI88" s="61" t="e">
        <f ca="1">(1+Overview!$I$28)*SUM(#REF!)+OFFSET(#REF!,-1,0)</f>
        <v>#REF!</v>
      </c>
      <c r="AJ88" s="61" t="e">
        <f ca="1">(1+Overview!$I$28)*SUM(#REF!)+OFFSET(#REF!,-1,0)</f>
        <v>#REF!</v>
      </c>
      <c r="AK88" s="61" t="e">
        <f ca="1">(1+Overview!$I$28 + tech_7_1*#REF!)*SUM(#REF!)+OFFSET(#REF!,-1,0)</f>
        <v>#REF!</v>
      </c>
      <c r="AL88" s="134"/>
      <c r="AM88" s="57" t="e">
        <f>IF(AND(#REF!=AM$2,#REF!&lt;&gt;""),#REF!) + IF(AND(#REF!=AM$2,#REF!&lt;&gt;""),#REF!) + IF(AND(#REF!=AM$2,#REF!&lt;&gt;""),#REF!)</f>
        <v>#REF!</v>
      </c>
      <c r="AN88" s="57" t="e">
        <f>IF(AND(#REF!=AN$2,#REF!&lt;&gt;""),#REF!) + IF(AND(#REF!=AN$2,#REF!&lt;&gt;""),#REF!) + IF(AND(#REF!=AN$2,#REF!&lt;&gt;""),#REF!)</f>
        <v>#REF!</v>
      </c>
      <c r="AO88" s="57" t="e">
        <f>IF(AND(#REF!=AO$2,#REF!&lt;&gt;""),#REF!) + IF(AND(#REF!=AO$2,#REF!&lt;&gt;""),#REF!) + IF(AND(#REF!=AO$2,#REF!&lt;&gt;""),#REF!)</f>
        <v>#REF!</v>
      </c>
      <c r="AP88" s="57" t="e">
        <f>IF(AND(#REF!=AP$2,#REF!&lt;&gt;""),#REF!) + IF(AND(#REF!=AP$2,#REF!&lt;&gt;""),#REF!) + IF(AND(#REF!=AP$2,#REF!&lt;&gt;""),#REF!)</f>
        <v>#REF!</v>
      </c>
      <c r="AQ88" s="134"/>
      <c r="AR88" s="57" t="e">
        <f>IF(#REF!=AR$2,IF(#REF!=$Y$2,#REF!*plat_invest)) + IF(#REF!=AR$2,IF(#REF!=$Y$2,#REF!*plat_invest)) + IF(#REF!=AR$2,IF(#REF!=$Y$2,#REF!*plat_invest))</f>
        <v>#REF!</v>
      </c>
      <c r="AS88" s="57" t="e">
        <f>IF(#REF!=AS$2,IF(#REF!=$Y$2,#REF!*lumber_invest)) + IF(#REF!=AS$2,IF(#REF!=$Y$2,#REF!*lumber_invest)) + IF(#REF!=AS$2,IF(#REF!=$Y$2,#REF!*lumber_invest))</f>
        <v>#REF!</v>
      </c>
      <c r="AT88" s="57" t="e">
        <f>IF(#REF!=AT$2,IF(#REF!=$Y$2,#REF!*ore_invest)) + IF(#REF!=AT$2,IF(#REF!=$Y$2,#REF!*ore_invest)) + IF(#REF!=AT$2,IF(#REF!=$Y$2,#REF!*ore_invest))</f>
        <v>#REF!</v>
      </c>
      <c r="AU88" s="57" t="e">
        <f>IF(#REF!=AU$2,IF(#REF!=$Y$2,#REF!*gem_invest)) + IF(#REF!=AU$2,IF(#REF!=$Y$2,#REF!*gem_invest)) + IF(#REF!=AU$2,IF(#REF!=$Y$2,#REF!*gem_invest))</f>
        <v>#REF!</v>
      </c>
      <c r="AV88" s="134"/>
      <c r="AW88" s="57" t="e">
        <f>IF(#REF!=AW$2,IF(#REF!=$Z$2,#REF!*plat_invest)) + IF(#REF!=AW$2,IF(#REF!=$Z$2,#REF!*plat_invest)) + IF(#REF!=AW$2,IF(#REF!=$Z$2,#REF!*plat_invest))</f>
        <v>#REF!</v>
      </c>
      <c r="AX88" s="57" t="e">
        <f>IF(#REF!=AX$2,IF(#REF!=$Z$2,#REF!*lumber_invest)) + IF(#REF!=AX$2,IF(#REF!=$Z$2,#REF!*lumber_invest)) + IF(#REF!=AX$2,IF(#REF!=$Z$2,#REF!*lumber_invest))</f>
        <v>#REF!</v>
      </c>
      <c r="AY88" s="57" t="e">
        <f>IF(#REF!=AY$2,IF(#REF!=$Z$2,#REF!*ore_invest)) + IF(#REF!=AY$2,IF(#REF!=$Z$2,#REF!*ore_invest)) + IF(#REF!=AY$2,IF(#REF!=$Z$2,#REF!*ore_invest))</f>
        <v>#REF!</v>
      </c>
      <c r="AZ88" s="57" t="e">
        <f>IF(#REF!=AZ$2,IF(#REF!=$Z$2,#REF!*gem_invest)) + IF(#REF!=AZ$2,IF(#REF!=$Z$2,#REF!*gem_invest)) + IF(#REF!=AZ$2,IF(#REF!=$Z$2,#REF!*gem_invest))</f>
        <v>#REF!</v>
      </c>
      <c r="BA88" s="134"/>
      <c r="BB88" s="57" t="e">
        <f>IF(#REF!=BB$2,IF(#REF!=$AA$2,#REF!*plat_invest)) + IF(#REF!=BB$2,IF(#REF!=$AA$2,#REF!*plat_invest)) + IF(#REF!=BB$2,IF(#REF!=$AA$2,#REF!*plat_invest))</f>
        <v>#REF!</v>
      </c>
      <c r="BC88" s="57" t="e">
        <f>IF(#REF!=BC$2,IF(#REF!=$AA$2,#REF!*lumber_invest)) + IF(#REF!=BC$2,IF(#REF!=$AA$2,#REF!*lumber_invest)) + IF(#REF!=BC$2,IF(#REF!=$AA$2,#REF!*lumber_invest))</f>
        <v>#REF!</v>
      </c>
      <c r="BD88" s="57" t="e">
        <f>IF(#REF!=BD$2,IF(#REF!=$AA$2,#REF!*ore_invest)) + IF(#REF!=BD$2,IF(#REF!=$AA$2,#REF!*ore_invest)) + IF(#REF!=BD$2,IF(#REF!=$AA$2,#REF!*ore_invest))</f>
        <v>#REF!</v>
      </c>
      <c r="BE88" s="57" t="e">
        <f>IF(#REF!=BE$2,IF(#REF!=$AA$2,#REF!*gem_invest)) + IF(#REF!=BE$2,IF(#REF!=$AA$2,#REF!*gem_invest)) + IF(#REF!=BE$2,IF(#REF!=$AA$2,#REF!*gem_invest))</f>
        <v>#REF!</v>
      </c>
      <c r="BF88" s="134"/>
      <c r="BG88" s="57" t="e">
        <f>IF(#REF!=BG$2,IF(#REF!=$AB$2,#REF!*plat_invest)) + IF(#REF!=BG$2,IF(#REF!=$AB$2,#REF!*plat_invest)) + IF(#REF!=BG$2,IF(#REF!=$AB$2,#REF!*plat_invest))</f>
        <v>#REF!</v>
      </c>
      <c r="BH88" s="57" t="e">
        <f>IF(#REF!=BH$2,IF(#REF!=$AB$2,#REF!*lumber_invest)) + IF(#REF!=BH$2,IF(#REF!=$AB$2,#REF!*lumber_invest)) + IF(#REF!=BH$2,IF(#REF!=$AB$2,#REF!*lumber_invest))</f>
        <v>#REF!</v>
      </c>
      <c r="BI88" s="57" t="e">
        <f>IF(#REF!=BI$2,IF(#REF!=$AB$2,#REF!*ore_invest)) + IF(#REF!=BI$2,IF(#REF!=$AB$2,#REF!*ore_invest)) + IF(#REF!=BI$2,IF(#REF!=$AB$2,#REF!*ore_invest))</f>
        <v>#REF!</v>
      </c>
      <c r="BJ88" s="57" t="e">
        <f>IF(#REF!=BJ$2,IF(#REF!=$AB$2,#REF!*gem_invest)) + IF(#REF!=BJ$2,IF(#REF!=$AB$2,#REF!*gem_invest)) + IF(#REF!=BJ$2,IF(#REF!=$AB$2,#REF!*gem_invest))</f>
        <v>#REF!</v>
      </c>
      <c r="BK88" s="134"/>
      <c r="BL88" s="57" t="e">
        <f>IF(#REF!=BL$2,IF(#REF!=$AC$2,#REF!*plat_invest)) + IF(#REF!=BL$2,IF(#REF!=$AC$2,#REF!*plat_invest)) + IF(#REF!=BL$2,IF(#REF!=$AC$2,#REF!*plat_invest))</f>
        <v>#REF!</v>
      </c>
      <c r="BM88" s="57" t="e">
        <f>IF(#REF!=BM$2,IF(#REF!=$AC$2,#REF!*lumber_invest)) + IF(#REF!=BM$2,IF(#REF!=$AC$2,#REF!*lumber_invest)) + IF(#REF!=BM$2,IF(#REF!=$AC$2,#REF!*lumber_invest))</f>
        <v>#REF!</v>
      </c>
      <c r="BN88" s="57" t="e">
        <f>IF(#REF!=BN$2,IF(#REF!=$AC$2,#REF!*ore_invest)) + IF(#REF!=BN$2,IF(#REF!=$AC$2,#REF!*ore_invest)) + IF(#REF!=BN$2,IF(#REF!=$AC$2,#REF!*ore_invest))</f>
        <v>#REF!</v>
      </c>
      <c r="BO88" s="57" t="e">
        <f>IF(#REF!=BO$2,IF(#REF!=$AC$2,#REF!*gem_invest)) + IF(#REF!=BO$2,IF(#REF!=$AC$2,#REF!*gem_invest)) + IF(#REF!=BO$2,IF(#REF!=$AC$2,#REF!*gem_invest))</f>
        <v>#REF!</v>
      </c>
      <c r="BP88" s="134"/>
      <c r="BQ88" s="57" t="e">
        <f>IF(#REF!=BQ$2,IF(#REF!=$AD$2,#REF!*plat_invest)) + IF(#REF!=BQ$2,IF(#REF!=$AD$2,#REF!*plat_invest)) + IF(#REF!=BQ$2,IF(#REF!=$AD$2,#REF!*plat_invest))</f>
        <v>#REF!</v>
      </c>
      <c r="BR88" s="57" t="e">
        <f>IF(#REF!=BR$2,IF(#REF!=$AD$2,#REF!*lumber_invest)) + IF(#REF!=BR$2,IF(#REF!=$AD$2,#REF!*lumber_invest)) + IF(#REF!=BR$2,IF(#REF!=$AD$2,#REF!*lumber_invest))</f>
        <v>#REF!</v>
      </c>
      <c r="BS88" s="57" t="e">
        <f>IF(#REF!=BS$2,IF(#REF!=$AD$2,#REF!*ore_invest)) + IF(#REF!=BS$2,IF(#REF!=$AD$2,#REF!*ore_invest)) + IF(#REF!=BS$2,IF(#REF!=$AD$2,#REF!*ore_invest))</f>
        <v>#REF!</v>
      </c>
      <c r="BT88" s="57" t="e">
        <f>IF(#REF!=BT$2,IF(#REF!=$AD$2,#REF!*gem_invest)) + IF(#REF!=BT$2,IF(#REF!=$AD$2,#REF!*gem_invest)) + IF(#REF!=BT$2,IF(#REF!=$AD$2,#REF!*gem_invest))</f>
        <v>#REF!</v>
      </c>
      <c r="BU88" s="134"/>
      <c r="BV88" s="3" t="e">
        <f>OR(#REF!,#REF!,#REF!,#REF!,#REF!,#REF!,#REF!,#REF!,#REF!)</f>
        <v>#REF!</v>
      </c>
      <c r="BW88" s="61" t="e">
        <f>#REF!</f>
        <v>#REF!</v>
      </c>
      <c r="BX88" s="130"/>
      <c r="BY88" s="284" t="e">
        <f ca="1">OFFSET(#REF!,-1,0)+1/24</f>
        <v>#REF!</v>
      </c>
      <c r="BZ88" s="285" t="e">
        <f ca="1">OFFSET(#REF!,-1,0)+1/24</f>
        <v>#REF!</v>
      </c>
      <c r="CA88" s="57"/>
      <c r="CB88" s="283"/>
      <c r="CC88" s="283"/>
    </row>
    <row r="89" spans="1:84" x14ac:dyDescent="0.25">
      <c r="A89" s="206" t="e">
        <f>#REF!</f>
        <v>#REF!</v>
      </c>
      <c r="B89" s="134"/>
      <c r="C89" s="39" t="e">
        <f>#REF!</f>
        <v>#REF!</v>
      </c>
      <c r="D89" s="39" t="e">
        <f>#REF!</f>
        <v>#REF!</v>
      </c>
      <c r="E89" s="39" t="e">
        <f>#REF!</f>
        <v>#REF!</v>
      </c>
      <c r="F89" s="39" t="e">
        <f>#REF!</f>
        <v>#REF!</v>
      </c>
      <c r="G89" s="133"/>
      <c r="H89" s="39" t="e">
        <f>#REF!</f>
        <v>#REF!</v>
      </c>
      <c r="I89" s="132" t="e">
        <f>#REF!</f>
        <v>#REF!</v>
      </c>
      <c r="J89" s="132" t="e">
        <f>#REF!/#REF!</f>
        <v>#REF!</v>
      </c>
      <c r="K89" s="160" t="e">
        <f>#REF!</f>
        <v>#REF!</v>
      </c>
      <c r="L89" s="276" t="e">
        <f>#REF!</f>
        <v>#REF!</v>
      </c>
      <c r="M89" s="61">
        <f>IF(ISERROR(#REF!),0,#REF!*1)</f>
        <v>0</v>
      </c>
      <c r="N89" s="39" t="e">
        <f>#REF!</f>
        <v>#REF!</v>
      </c>
      <c r="O89" s="277" t="s">
        <v>2</v>
      </c>
      <c r="P89" s="278"/>
      <c r="Q89" s="277" t="s">
        <v>211</v>
      </c>
      <c r="R89" s="277" t="s">
        <v>7</v>
      </c>
      <c r="S89" s="278"/>
      <c r="T89" s="277" t="s">
        <v>211</v>
      </c>
      <c r="U89" s="277" t="s">
        <v>3</v>
      </c>
      <c r="V89" s="278"/>
      <c r="W89" s="277" t="s">
        <v>211</v>
      </c>
      <c r="X89" s="134"/>
      <c r="Y89" s="209" t="e">
        <f ca="1">science_cap*(1-EXP(-#REF!/(science_param*(OFFSET(#REF!,1,0)-OFFSET(#REF!,1,0)*20)+15000)))*(1+(mason_bonus*#REF!/#REF!))</f>
        <v>#REF!</v>
      </c>
      <c r="Z89" s="209" t="e">
        <f ca="1">keep_cap*(1-EXP(-#REF!/(keep_param*(OFFSET(#REF!,1,0)-OFFSET(#REF!,1,0)*20)+15000)))*(1+(mason_bonus*#REF!/#REF!))</f>
        <v>#REF!</v>
      </c>
      <c r="AA89" s="209" t="e">
        <f ca="1">harbor_towers_cap*(1-EXP(-#REF!/(towers_param*(OFFSET(#REF!,1,0)-OFFSET(#REF!,1,0)*20)+15000)))*(1+(mason_bonus*#REF!/#REF!))</f>
        <v>#REF!</v>
      </c>
      <c r="AB89" s="209" t="e">
        <f ca="1">walls_forges_cap*(1-EXP(-#REF!/(walls_forges_param*(OFFSET(#REF!,1,0)-OFFSET(#REF!,1,0)*20)+15000)))*(1+(mason_bonus*#REF!/#REF!))</f>
        <v>#REF!</v>
      </c>
      <c r="AC89" s="209" t="e">
        <f ca="1">walls_forges_cap*(1-EXP(-#REF!/(walls_forges_param*(OFFSET(#REF!,1,0)-OFFSET(#REF!,1,0)*20)+15000)))*(1+(mason_bonus*#REF!/#REF!))</f>
        <v>#REF!</v>
      </c>
      <c r="AD89" s="209" t="e">
        <f ca="1">harbor_towers_cap*(1-EXP(-#REF!/(harbor_towers_param*(OFFSET(#REF!,1,0)-OFFSET(#REF!,1,0)*20)+15000)))*(1+(mason_bonus*#REF!/#REF!))</f>
        <v>#REF!</v>
      </c>
      <c r="AE89" s="134"/>
      <c r="AF89" s="61" t="e">
        <f ca="1">(1+Overview!$I$28)*SUM(#REF!)+OFFSET(#REF!,-1,0)</f>
        <v>#REF!</v>
      </c>
      <c r="AG89" s="61" t="e">
        <f ca="1">(1+Overview!$I$28)*SUM(#REF!)+OFFSET(#REF!,-1,0)</f>
        <v>#REF!</v>
      </c>
      <c r="AH89" s="61" t="e">
        <f ca="1">(1+Overview!$I$28 + tech_7_1*#REF!)*SUM(#REF!)+OFFSET(#REF!,-1,0)</f>
        <v>#REF!</v>
      </c>
      <c r="AI89" s="61" t="e">
        <f ca="1">(1+Overview!$I$28)*SUM(#REF!)+OFFSET(#REF!,-1,0)</f>
        <v>#REF!</v>
      </c>
      <c r="AJ89" s="61" t="e">
        <f ca="1">(1+Overview!$I$28)*SUM(#REF!)+OFFSET(#REF!,-1,0)</f>
        <v>#REF!</v>
      </c>
      <c r="AK89" s="61" t="e">
        <f ca="1">(1+Overview!$I$28 + tech_7_1*#REF!)*SUM(#REF!)+OFFSET(#REF!,-1,0)</f>
        <v>#REF!</v>
      </c>
      <c r="AL89" s="134"/>
      <c r="AM89" s="57" t="e">
        <f>IF(AND(#REF!=AM$2,#REF!&lt;&gt;""),#REF!) + IF(AND(#REF!=AM$2,#REF!&lt;&gt;""),#REF!) + IF(AND(#REF!=AM$2,#REF!&lt;&gt;""),#REF!)</f>
        <v>#REF!</v>
      </c>
      <c r="AN89" s="57" t="e">
        <f>IF(AND(#REF!=AN$2,#REF!&lt;&gt;""),#REF!) + IF(AND(#REF!=AN$2,#REF!&lt;&gt;""),#REF!) + IF(AND(#REF!=AN$2,#REF!&lt;&gt;""),#REF!)</f>
        <v>#REF!</v>
      </c>
      <c r="AO89" s="57" t="e">
        <f>IF(AND(#REF!=AO$2,#REF!&lt;&gt;""),#REF!) + IF(AND(#REF!=AO$2,#REF!&lt;&gt;""),#REF!) + IF(AND(#REF!=AO$2,#REF!&lt;&gt;""),#REF!)</f>
        <v>#REF!</v>
      </c>
      <c r="AP89" s="57" t="e">
        <f>IF(AND(#REF!=AP$2,#REF!&lt;&gt;""),#REF!) + IF(AND(#REF!=AP$2,#REF!&lt;&gt;""),#REF!) + IF(AND(#REF!=AP$2,#REF!&lt;&gt;""),#REF!)</f>
        <v>#REF!</v>
      </c>
      <c r="AQ89" s="134"/>
      <c r="AR89" s="57" t="e">
        <f>IF(#REF!=AR$2,IF(#REF!=$Y$2,#REF!*plat_invest)) + IF(#REF!=AR$2,IF(#REF!=$Y$2,#REF!*plat_invest)) + IF(#REF!=AR$2,IF(#REF!=$Y$2,#REF!*plat_invest))</f>
        <v>#REF!</v>
      </c>
      <c r="AS89" s="57" t="e">
        <f>IF(#REF!=AS$2,IF(#REF!=$Y$2,#REF!*lumber_invest)) + IF(#REF!=AS$2,IF(#REF!=$Y$2,#REF!*lumber_invest)) + IF(#REF!=AS$2,IF(#REF!=$Y$2,#REF!*lumber_invest))</f>
        <v>#REF!</v>
      </c>
      <c r="AT89" s="57" t="e">
        <f>IF(#REF!=AT$2,IF(#REF!=$Y$2,#REF!*ore_invest)) + IF(#REF!=AT$2,IF(#REF!=$Y$2,#REF!*ore_invest)) + IF(#REF!=AT$2,IF(#REF!=$Y$2,#REF!*ore_invest))</f>
        <v>#REF!</v>
      </c>
      <c r="AU89" s="57" t="e">
        <f>IF(#REF!=AU$2,IF(#REF!=$Y$2,#REF!*gem_invest)) + IF(#REF!=AU$2,IF(#REF!=$Y$2,#REF!*gem_invest)) + IF(#REF!=AU$2,IF(#REF!=$Y$2,#REF!*gem_invest))</f>
        <v>#REF!</v>
      </c>
      <c r="AV89" s="134"/>
      <c r="AW89" s="57" t="e">
        <f>IF(#REF!=AW$2,IF(#REF!=$Z$2,#REF!*plat_invest)) + IF(#REF!=AW$2,IF(#REF!=$Z$2,#REF!*plat_invest)) + IF(#REF!=AW$2,IF(#REF!=$Z$2,#REF!*plat_invest))</f>
        <v>#REF!</v>
      </c>
      <c r="AX89" s="57" t="e">
        <f>IF(#REF!=AX$2,IF(#REF!=$Z$2,#REF!*lumber_invest)) + IF(#REF!=AX$2,IF(#REF!=$Z$2,#REF!*lumber_invest)) + IF(#REF!=AX$2,IF(#REF!=$Z$2,#REF!*lumber_invest))</f>
        <v>#REF!</v>
      </c>
      <c r="AY89" s="57" t="e">
        <f>IF(#REF!=AY$2,IF(#REF!=$Z$2,#REF!*ore_invest)) + IF(#REF!=AY$2,IF(#REF!=$Z$2,#REF!*ore_invest)) + IF(#REF!=AY$2,IF(#REF!=$Z$2,#REF!*ore_invest))</f>
        <v>#REF!</v>
      </c>
      <c r="AZ89" s="57" t="e">
        <f>IF(#REF!=AZ$2,IF(#REF!=$Z$2,#REF!*gem_invest)) + IF(#REF!=AZ$2,IF(#REF!=$Z$2,#REF!*gem_invest)) + IF(#REF!=AZ$2,IF(#REF!=$Z$2,#REF!*gem_invest))</f>
        <v>#REF!</v>
      </c>
      <c r="BA89" s="134"/>
      <c r="BB89" s="57" t="e">
        <f>IF(#REF!=BB$2,IF(#REF!=$AA$2,#REF!*plat_invest)) + IF(#REF!=BB$2,IF(#REF!=$AA$2,#REF!*plat_invest)) + IF(#REF!=BB$2,IF(#REF!=$AA$2,#REF!*plat_invest))</f>
        <v>#REF!</v>
      </c>
      <c r="BC89" s="57" t="e">
        <f>IF(#REF!=BC$2,IF(#REF!=$AA$2,#REF!*lumber_invest)) + IF(#REF!=BC$2,IF(#REF!=$AA$2,#REF!*lumber_invest)) + IF(#REF!=BC$2,IF(#REF!=$AA$2,#REF!*lumber_invest))</f>
        <v>#REF!</v>
      </c>
      <c r="BD89" s="57" t="e">
        <f>IF(#REF!=BD$2,IF(#REF!=$AA$2,#REF!*ore_invest)) + IF(#REF!=BD$2,IF(#REF!=$AA$2,#REF!*ore_invest)) + IF(#REF!=BD$2,IF(#REF!=$AA$2,#REF!*ore_invest))</f>
        <v>#REF!</v>
      </c>
      <c r="BE89" s="57" t="e">
        <f>IF(#REF!=BE$2,IF(#REF!=$AA$2,#REF!*gem_invest)) + IF(#REF!=BE$2,IF(#REF!=$AA$2,#REF!*gem_invest)) + IF(#REF!=BE$2,IF(#REF!=$AA$2,#REF!*gem_invest))</f>
        <v>#REF!</v>
      </c>
      <c r="BF89" s="134"/>
      <c r="BG89" s="57" t="e">
        <f>IF(#REF!=BG$2,IF(#REF!=$AB$2,#REF!*plat_invest)) + IF(#REF!=BG$2,IF(#REF!=$AB$2,#REF!*plat_invest)) + IF(#REF!=BG$2,IF(#REF!=$AB$2,#REF!*plat_invest))</f>
        <v>#REF!</v>
      </c>
      <c r="BH89" s="57" t="e">
        <f>IF(#REF!=BH$2,IF(#REF!=$AB$2,#REF!*lumber_invest)) + IF(#REF!=BH$2,IF(#REF!=$AB$2,#REF!*lumber_invest)) + IF(#REF!=BH$2,IF(#REF!=$AB$2,#REF!*lumber_invest))</f>
        <v>#REF!</v>
      </c>
      <c r="BI89" s="57" t="e">
        <f>IF(#REF!=BI$2,IF(#REF!=$AB$2,#REF!*ore_invest)) + IF(#REF!=BI$2,IF(#REF!=$AB$2,#REF!*ore_invest)) + IF(#REF!=BI$2,IF(#REF!=$AB$2,#REF!*ore_invest))</f>
        <v>#REF!</v>
      </c>
      <c r="BJ89" s="57" t="e">
        <f>IF(#REF!=BJ$2,IF(#REF!=$AB$2,#REF!*gem_invest)) + IF(#REF!=BJ$2,IF(#REF!=$AB$2,#REF!*gem_invest)) + IF(#REF!=BJ$2,IF(#REF!=$AB$2,#REF!*gem_invest))</f>
        <v>#REF!</v>
      </c>
      <c r="BK89" s="134"/>
      <c r="BL89" s="57" t="e">
        <f>IF(#REF!=BL$2,IF(#REF!=$AC$2,#REF!*plat_invest)) + IF(#REF!=BL$2,IF(#REF!=$AC$2,#REF!*plat_invest)) + IF(#REF!=BL$2,IF(#REF!=$AC$2,#REF!*plat_invest))</f>
        <v>#REF!</v>
      </c>
      <c r="BM89" s="57" t="e">
        <f>IF(#REF!=BM$2,IF(#REF!=$AC$2,#REF!*lumber_invest)) + IF(#REF!=BM$2,IF(#REF!=$AC$2,#REF!*lumber_invest)) + IF(#REF!=BM$2,IF(#REF!=$AC$2,#REF!*lumber_invest))</f>
        <v>#REF!</v>
      </c>
      <c r="BN89" s="57" t="e">
        <f>IF(#REF!=BN$2,IF(#REF!=$AC$2,#REF!*ore_invest)) + IF(#REF!=BN$2,IF(#REF!=$AC$2,#REF!*ore_invest)) + IF(#REF!=BN$2,IF(#REF!=$AC$2,#REF!*ore_invest))</f>
        <v>#REF!</v>
      </c>
      <c r="BO89" s="57" t="e">
        <f>IF(#REF!=BO$2,IF(#REF!=$AC$2,#REF!*gem_invest)) + IF(#REF!=BO$2,IF(#REF!=$AC$2,#REF!*gem_invest)) + IF(#REF!=BO$2,IF(#REF!=$AC$2,#REF!*gem_invest))</f>
        <v>#REF!</v>
      </c>
      <c r="BP89" s="134"/>
      <c r="BQ89" s="57" t="e">
        <f>IF(#REF!=BQ$2,IF(#REF!=$AD$2,#REF!*plat_invest)) + IF(#REF!=BQ$2,IF(#REF!=$AD$2,#REF!*plat_invest)) + IF(#REF!=BQ$2,IF(#REF!=$AD$2,#REF!*plat_invest))</f>
        <v>#REF!</v>
      </c>
      <c r="BR89" s="57" t="e">
        <f>IF(#REF!=BR$2,IF(#REF!=$AD$2,#REF!*lumber_invest)) + IF(#REF!=BR$2,IF(#REF!=$AD$2,#REF!*lumber_invest)) + IF(#REF!=BR$2,IF(#REF!=$AD$2,#REF!*lumber_invest))</f>
        <v>#REF!</v>
      </c>
      <c r="BS89" s="57" t="e">
        <f>IF(#REF!=BS$2,IF(#REF!=$AD$2,#REF!*ore_invest)) + IF(#REF!=BS$2,IF(#REF!=$AD$2,#REF!*ore_invest)) + IF(#REF!=BS$2,IF(#REF!=$AD$2,#REF!*ore_invest))</f>
        <v>#REF!</v>
      </c>
      <c r="BT89" s="57" t="e">
        <f>IF(#REF!=BT$2,IF(#REF!=$AD$2,#REF!*gem_invest)) + IF(#REF!=BT$2,IF(#REF!=$AD$2,#REF!*gem_invest)) + IF(#REF!=BT$2,IF(#REF!=$AD$2,#REF!*gem_invest))</f>
        <v>#REF!</v>
      </c>
      <c r="BU89" s="134"/>
      <c r="BV89" s="3" t="e">
        <f>OR(#REF!,#REF!,#REF!,#REF!,#REF!,#REF!,#REF!,#REF!,#REF!)</f>
        <v>#REF!</v>
      </c>
      <c r="BW89" s="61" t="e">
        <f>#REF!</f>
        <v>#REF!</v>
      </c>
      <c r="BX89" s="130"/>
      <c r="BY89" s="284" t="e">
        <f ca="1">OFFSET(#REF!,-1,0)+1/24</f>
        <v>#REF!</v>
      </c>
      <c r="BZ89" s="285" t="e">
        <f ca="1">OFFSET(#REF!,-1,0)+1/24</f>
        <v>#REF!</v>
      </c>
      <c r="CA89" s="57"/>
      <c r="CB89" s="283"/>
      <c r="CC89" s="283"/>
      <c r="CD89" s="147"/>
    </row>
    <row r="90" spans="1:84" x14ac:dyDescent="0.25">
      <c r="A90" s="206" t="e">
        <f>#REF!</f>
        <v>#REF!</v>
      </c>
      <c r="B90" s="134"/>
      <c r="C90" s="39" t="e">
        <f>#REF!</f>
        <v>#REF!</v>
      </c>
      <c r="D90" s="39" t="e">
        <f>#REF!</f>
        <v>#REF!</v>
      </c>
      <c r="E90" s="39" t="e">
        <f>#REF!</f>
        <v>#REF!</v>
      </c>
      <c r="F90" s="39" t="e">
        <f>#REF!</f>
        <v>#REF!</v>
      </c>
      <c r="G90" s="133"/>
      <c r="H90" s="39" t="e">
        <f>#REF!</f>
        <v>#REF!</v>
      </c>
      <c r="I90" s="132" t="e">
        <f>#REF!</f>
        <v>#REF!</v>
      </c>
      <c r="J90" s="132" t="e">
        <f>#REF!/#REF!</f>
        <v>#REF!</v>
      </c>
      <c r="K90" s="160" t="e">
        <f>#REF!</f>
        <v>#REF!</v>
      </c>
      <c r="L90" s="276" t="e">
        <f>#REF!</f>
        <v>#REF!</v>
      </c>
      <c r="M90" s="61">
        <f>IF(ISERROR(#REF!),0,#REF!*1)</f>
        <v>0</v>
      </c>
      <c r="N90" s="39" t="e">
        <f>#REF!</f>
        <v>#REF!</v>
      </c>
      <c r="O90" s="277" t="s">
        <v>4</v>
      </c>
      <c r="P90" s="278"/>
      <c r="Q90" s="277" t="s">
        <v>211</v>
      </c>
      <c r="R90" s="277" t="s">
        <v>7</v>
      </c>
      <c r="S90" s="278"/>
      <c r="T90" s="277" t="s">
        <v>211</v>
      </c>
      <c r="U90" s="277" t="s">
        <v>3</v>
      </c>
      <c r="V90" s="278"/>
      <c r="W90" s="277" t="s">
        <v>211</v>
      </c>
      <c r="X90" s="134"/>
      <c r="Y90" s="209" t="e">
        <f ca="1">science_cap*(1-EXP(-#REF!/(science_param*(OFFSET(#REF!,1,0)-OFFSET(#REF!,1,0)*20)+15000)))*(1+(mason_bonus*#REF!/#REF!))</f>
        <v>#REF!</v>
      </c>
      <c r="Z90" s="209" t="e">
        <f ca="1">keep_cap*(1-EXP(-#REF!/(keep_param*(OFFSET(#REF!,1,0)-OFFSET(#REF!,1,0)*20)+15000)))*(1+(mason_bonus*#REF!/#REF!))</f>
        <v>#REF!</v>
      </c>
      <c r="AA90" s="209" t="e">
        <f ca="1">harbor_towers_cap*(1-EXP(-#REF!/(towers_param*(OFFSET(#REF!,1,0)-OFFSET(#REF!,1,0)*20)+15000)))*(1+(mason_bonus*#REF!/#REF!))</f>
        <v>#REF!</v>
      </c>
      <c r="AB90" s="209" t="e">
        <f ca="1">walls_forges_cap*(1-EXP(-#REF!/(walls_forges_param*(OFFSET(#REF!,1,0)-OFFSET(#REF!,1,0)*20)+15000)))*(1+(mason_bonus*#REF!/#REF!))</f>
        <v>#REF!</v>
      </c>
      <c r="AC90" s="209" t="e">
        <f ca="1">walls_forges_cap*(1-EXP(-#REF!/(walls_forges_param*(OFFSET(#REF!,1,0)-OFFSET(#REF!,1,0)*20)+15000)))*(1+(mason_bonus*#REF!/#REF!))</f>
        <v>#REF!</v>
      </c>
      <c r="AD90" s="209" t="e">
        <f ca="1">harbor_towers_cap*(1-EXP(-#REF!/(harbor_towers_param*(OFFSET(#REF!,1,0)-OFFSET(#REF!,1,0)*20)+15000)))*(1+(mason_bonus*#REF!/#REF!))</f>
        <v>#REF!</v>
      </c>
      <c r="AE90" s="134"/>
      <c r="AF90" s="61" t="e">
        <f ca="1">(1+Overview!$I$28)*SUM(#REF!)+OFFSET(#REF!,-1,0)</f>
        <v>#REF!</v>
      </c>
      <c r="AG90" s="61" t="e">
        <f ca="1">(1+Overview!$I$28)*SUM(#REF!)+OFFSET(#REF!,-1,0)</f>
        <v>#REF!</v>
      </c>
      <c r="AH90" s="61" t="e">
        <f ca="1">(1+Overview!$I$28 + tech_7_1*#REF!)*SUM(#REF!)+OFFSET(#REF!,-1,0)</f>
        <v>#REF!</v>
      </c>
      <c r="AI90" s="61" t="e">
        <f ca="1">(1+Overview!$I$28)*SUM(#REF!)+OFFSET(#REF!,-1,0)</f>
        <v>#REF!</v>
      </c>
      <c r="AJ90" s="61" t="e">
        <f ca="1">(1+Overview!$I$28)*SUM(#REF!)+OFFSET(#REF!,-1,0)</f>
        <v>#REF!</v>
      </c>
      <c r="AK90" s="61" t="e">
        <f ca="1">(1+Overview!$I$28 + tech_7_1*#REF!)*SUM(#REF!)+OFFSET(#REF!,-1,0)</f>
        <v>#REF!</v>
      </c>
      <c r="AL90" s="134"/>
      <c r="AM90" s="57" t="e">
        <f>IF(AND(#REF!=AM$2,#REF!&lt;&gt;""),#REF!) + IF(AND(#REF!=AM$2,#REF!&lt;&gt;""),#REF!) + IF(AND(#REF!=AM$2,#REF!&lt;&gt;""),#REF!)</f>
        <v>#REF!</v>
      </c>
      <c r="AN90" s="57" t="e">
        <f>IF(AND(#REF!=AN$2,#REF!&lt;&gt;""),#REF!) + IF(AND(#REF!=AN$2,#REF!&lt;&gt;""),#REF!) + IF(AND(#REF!=AN$2,#REF!&lt;&gt;""),#REF!)</f>
        <v>#REF!</v>
      </c>
      <c r="AO90" s="57" t="e">
        <f>IF(AND(#REF!=AO$2,#REF!&lt;&gt;""),#REF!) + IF(AND(#REF!=AO$2,#REF!&lt;&gt;""),#REF!) + IF(AND(#REF!=AO$2,#REF!&lt;&gt;""),#REF!)</f>
        <v>#REF!</v>
      </c>
      <c r="AP90" s="57" t="e">
        <f>IF(AND(#REF!=AP$2,#REF!&lt;&gt;""),#REF!) + IF(AND(#REF!=AP$2,#REF!&lt;&gt;""),#REF!) + IF(AND(#REF!=AP$2,#REF!&lt;&gt;""),#REF!)</f>
        <v>#REF!</v>
      </c>
      <c r="AQ90" s="134"/>
      <c r="AR90" s="57" t="e">
        <f>IF(#REF!=AR$2,IF(#REF!=$Y$2,#REF!*plat_invest)) + IF(#REF!=AR$2,IF(#REF!=$Y$2,#REF!*plat_invest)) + IF(#REF!=AR$2,IF(#REF!=$Y$2,#REF!*plat_invest))</f>
        <v>#REF!</v>
      </c>
      <c r="AS90" s="57" t="e">
        <f>IF(#REF!=AS$2,IF(#REF!=$Y$2,#REF!*lumber_invest)) + IF(#REF!=AS$2,IF(#REF!=$Y$2,#REF!*lumber_invest)) + IF(#REF!=AS$2,IF(#REF!=$Y$2,#REF!*lumber_invest))</f>
        <v>#REF!</v>
      </c>
      <c r="AT90" s="57" t="e">
        <f>IF(#REF!=AT$2,IF(#REF!=$Y$2,#REF!*ore_invest)) + IF(#REF!=AT$2,IF(#REF!=$Y$2,#REF!*ore_invest)) + IF(#REF!=AT$2,IF(#REF!=$Y$2,#REF!*ore_invest))</f>
        <v>#REF!</v>
      </c>
      <c r="AU90" s="57" t="e">
        <f>IF(#REF!=AU$2,IF(#REF!=$Y$2,#REF!*gem_invest)) + IF(#REF!=AU$2,IF(#REF!=$Y$2,#REF!*gem_invest)) + IF(#REF!=AU$2,IF(#REF!=$Y$2,#REF!*gem_invest))</f>
        <v>#REF!</v>
      </c>
      <c r="AV90" s="134"/>
      <c r="AW90" s="57" t="e">
        <f>IF(#REF!=AW$2,IF(#REF!=$Z$2,#REF!*plat_invest)) + IF(#REF!=AW$2,IF(#REF!=$Z$2,#REF!*plat_invest)) + IF(#REF!=AW$2,IF(#REF!=$Z$2,#REF!*plat_invest))</f>
        <v>#REF!</v>
      </c>
      <c r="AX90" s="57" t="e">
        <f>IF(#REF!=AX$2,IF(#REF!=$Z$2,#REF!*lumber_invest)) + IF(#REF!=AX$2,IF(#REF!=$Z$2,#REF!*lumber_invest)) + IF(#REF!=AX$2,IF(#REF!=$Z$2,#REF!*lumber_invest))</f>
        <v>#REF!</v>
      </c>
      <c r="AY90" s="57" t="e">
        <f>IF(#REF!=AY$2,IF(#REF!=$Z$2,#REF!*ore_invest)) + IF(#REF!=AY$2,IF(#REF!=$Z$2,#REF!*ore_invest)) + IF(#REF!=AY$2,IF(#REF!=$Z$2,#REF!*ore_invest))</f>
        <v>#REF!</v>
      </c>
      <c r="AZ90" s="57" t="e">
        <f>IF(#REF!=AZ$2,IF(#REF!=$Z$2,#REF!*gem_invest)) + IF(#REF!=AZ$2,IF(#REF!=$Z$2,#REF!*gem_invest)) + IF(#REF!=AZ$2,IF(#REF!=$Z$2,#REF!*gem_invest))</f>
        <v>#REF!</v>
      </c>
      <c r="BA90" s="134"/>
      <c r="BB90" s="57" t="e">
        <f>IF(#REF!=BB$2,IF(#REF!=$AA$2,#REF!*plat_invest)) + IF(#REF!=BB$2,IF(#REF!=$AA$2,#REF!*plat_invest)) + IF(#REF!=BB$2,IF(#REF!=$AA$2,#REF!*plat_invest))</f>
        <v>#REF!</v>
      </c>
      <c r="BC90" s="57" t="e">
        <f>IF(#REF!=BC$2,IF(#REF!=$AA$2,#REF!*lumber_invest)) + IF(#REF!=BC$2,IF(#REF!=$AA$2,#REF!*lumber_invest)) + IF(#REF!=BC$2,IF(#REF!=$AA$2,#REF!*lumber_invest))</f>
        <v>#REF!</v>
      </c>
      <c r="BD90" s="57" t="e">
        <f>IF(#REF!=BD$2,IF(#REF!=$AA$2,#REF!*ore_invest)) + IF(#REF!=BD$2,IF(#REF!=$AA$2,#REF!*ore_invest)) + IF(#REF!=BD$2,IF(#REF!=$AA$2,#REF!*ore_invest))</f>
        <v>#REF!</v>
      </c>
      <c r="BE90" s="57" t="e">
        <f>IF(#REF!=BE$2,IF(#REF!=$AA$2,#REF!*gem_invest)) + IF(#REF!=BE$2,IF(#REF!=$AA$2,#REF!*gem_invest)) + IF(#REF!=BE$2,IF(#REF!=$AA$2,#REF!*gem_invest))</f>
        <v>#REF!</v>
      </c>
      <c r="BF90" s="134"/>
      <c r="BG90" s="57" t="e">
        <f>IF(#REF!=BG$2,IF(#REF!=$AB$2,#REF!*plat_invest)) + IF(#REF!=BG$2,IF(#REF!=$AB$2,#REF!*plat_invest)) + IF(#REF!=BG$2,IF(#REF!=$AB$2,#REF!*plat_invest))</f>
        <v>#REF!</v>
      </c>
      <c r="BH90" s="57" t="e">
        <f>IF(#REF!=BH$2,IF(#REF!=$AB$2,#REF!*lumber_invest)) + IF(#REF!=BH$2,IF(#REF!=$AB$2,#REF!*lumber_invest)) + IF(#REF!=BH$2,IF(#REF!=$AB$2,#REF!*lumber_invest))</f>
        <v>#REF!</v>
      </c>
      <c r="BI90" s="57" t="e">
        <f>IF(#REF!=BI$2,IF(#REF!=$AB$2,#REF!*ore_invest)) + IF(#REF!=BI$2,IF(#REF!=$AB$2,#REF!*ore_invest)) + IF(#REF!=BI$2,IF(#REF!=$AB$2,#REF!*ore_invest))</f>
        <v>#REF!</v>
      </c>
      <c r="BJ90" s="57" t="e">
        <f>IF(#REF!=BJ$2,IF(#REF!=$AB$2,#REF!*gem_invest)) + IF(#REF!=BJ$2,IF(#REF!=$AB$2,#REF!*gem_invest)) + IF(#REF!=BJ$2,IF(#REF!=$AB$2,#REF!*gem_invest))</f>
        <v>#REF!</v>
      </c>
      <c r="BK90" s="134"/>
      <c r="BL90" s="57" t="e">
        <f>IF(#REF!=BL$2,IF(#REF!=$AC$2,#REF!*plat_invest)) + IF(#REF!=BL$2,IF(#REF!=$AC$2,#REF!*plat_invest)) + IF(#REF!=BL$2,IF(#REF!=$AC$2,#REF!*plat_invest))</f>
        <v>#REF!</v>
      </c>
      <c r="BM90" s="57" t="e">
        <f>IF(#REF!=BM$2,IF(#REF!=$AC$2,#REF!*lumber_invest)) + IF(#REF!=BM$2,IF(#REF!=$AC$2,#REF!*lumber_invest)) + IF(#REF!=BM$2,IF(#REF!=$AC$2,#REF!*lumber_invest))</f>
        <v>#REF!</v>
      </c>
      <c r="BN90" s="57" t="e">
        <f>IF(#REF!=BN$2,IF(#REF!=$AC$2,#REF!*ore_invest)) + IF(#REF!=BN$2,IF(#REF!=$AC$2,#REF!*ore_invest)) + IF(#REF!=BN$2,IF(#REF!=$AC$2,#REF!*ore_invest))</f>
        <v>#REF!</v>
      </c>
      <c r="BO90" s="57" t="e">
        <f>IF(#REF!=BO$2,IF(#REF!=$AC$2,#REF!*gem_invest)) + IF(#REF!=BO$2,IF(#REF!=$AC$2,#REF!*gem_invest)) + IF(#REF!=BO$2,IF(#REF!=$AC$2,#REF!*gem_invest))</f>
        <v>#REF!</v>
      </c>
      <c r="BP90" s="134"/>
      <c r="BQ90" s="57" t="e">
        <f>IF(#REF!=BQ$2,IF(#REF!=$AD$2,#REF!*plat_invest)) + IF(#REF!=BQ$2,IF(#REF!=$AD$2,#REF!*plat_invest)) + IF(#REF!=BQ$2,IF(#REF!=$AD$2,#REF!*plat_invest))</f>
        <v>#REF!</v>
      </c>
      <c r="BR90" s="57" t="e">
        <f>IF(#REF!=BR$2,IF(#REF!=$AD$2,#REF!*lumber_invest)) + IF(#REF!=BR$2,IF(#REF!=$AD$2,#REF!*lumber_invest)) + IF(#REF!=BR$2,IF(#REF!=$AD$2,#REF!*lumber_invest))</f>
        <v>#REF!</v>
      </c>
      <c r="BS90" s="57" t="e">
        <f>IF(#REF!=BS$2,IF(#REF!=$AD$2,#REF!*ore_invest)) + IF(#REF!=BS$2,IF(#REF!=$AD$2,#REF!*ore_invest)) + IF(#REF!=BS$2,IF(#REF!=$AD$2,#REF!*ore_invest))</f>
        <v>#REF!</v>
      </c>
      <c r="BT90" s="57" t="e">
        <f>IF(#REF!=BT$2,IF(#REF!=$AD$2,#REF!*gem_invest)) + IF(#REF!=BT$2,IF(#REF!=$AD$2,#REF!*gem_invest)) + IF(#REF!=BT$2,IF(#REF!=$AD$2,#REF!*gem_invest))</f>
        <v>#REF!</v>
      </c>
      <c r="BU90" s="134"/>
      <c r="BV90" s="3" t="e">
        <f>OR(#REF!,#REF!,#REF!,#REF!,#REF!,#REF!,#REF!,#REF!,#REF!)</f>
        <v>#REF!</v>
      </c>
      <c r="BW90" s="61" t="e">
        <f>#REF!</f>
        <v>#REF!</v>
      </c>
      <c r="BX90" s="130"/>
      <c r="BY90" s="284" t="e">
        <f ca="1">OFFSET(#REF!,-1,0)+1/24</f>
        <v>#REF!</v>
      </c>
      <c r="BZ90" s="285" t="e">
        <f ca="1">OFFSET(#REF!,-1,0)+1/24</f>
        <v>#REF!</v>
      </c>
      <c r="CA90" s="288"/>
      <c r="CB90" s="283"/>
      <c r="CC90" s="283"/>
      <c r="CF90" s="286"/>
    </row>
    <row r="91" spans="1:84" x14ac:dyDescent="0.25">
      <c r="A91" s="206" t="e">
        <f>#REF!</f>
        <v>#REF!</v>
      </c>
      <c r="B91" s="134"/>
      <c r="C91" s="39" t="e">
        <f>#REF!</f>
        <v>#REF!</v>
      </c>
      <c r="D91" s="39" t="e">
        <f>#REF!</f>
        <v>#REF!</v>
      </c>
      <c r="E91" s="39" t="e">
        <f>#REF!</f>
        <v>#REF!</v>
      </c>
      <c r="F91" s="39" t="e">
        <f>#REF!</f>
        <v>#REF!</v>
      </c>
      <c r="G91" s="133"/>
      <c r="H91" s="39" t="e">
        <f>#REF!</f>
        <v>#REF!</v>
      </c>
      <c r="I91" s="132" t="e">
        <f>#REF!</f>
        <v>#REF!</v>
      </c>
      <c r="J91" s="132" t="e">
        <f>#REF!/#REF!</f>
        <v>#REF!</v>
      </c>
      <c r="K91" s="160" t="e">
        <f>#REF!</f>
        <v>#REF!</v>
      </c>
      <c r="L91" s="276" t="e">
        <f>#REF!</f>
        <v>#REF!</v>
      </c>
      <c r="M91" s="61">
        <f>IF(ISERROR(#REF!),0,#REF!*1)</f>
        <v>0</v>
      </c>
      <c r="N91" s="39" t="e">
        <f>#REF!</f>
        <v>#REF!</v>
      </c>
      <c r="O91" s="277" t="s">
        <v>4</v>
      </c>
      <c r="P91" s="278"/>
      <c r="Q91" s="277" t="s">
        <v>211</v>
      </c>
      <c r="R91" s="277" t="s">
        <v>7</v>
      </c>
      <c r="S91" s="278"/>
      <c r="T91" s="277" t="s">
        <v>211</v>
      </c>
      <c r="U91" s="277" t="s">
        <v>3</v>
      </c>
      <c r="V91" s="278"/>
      <c r="W91" s="277" t="s">
        <v>211</v>
      </c>
      <c r="X91" s="134"/>
      <c r="Y91" s="209" t="e">
        <f ca="1">science_cap*(1-EXP(-#REF!/(science_param*(OFFSET(#REF!,1,0)-OFFSET(#REF!,1,0)*20)+15000)))*(1+(mason_bonus*#REF!/#REF!))</f>
        <v>#REF!</v>
      </c>
      <c r="Z91" s="209" t="e">
        <f ca="1">keep_cap*(1-EXP(-#REF!/(keep_param*(OFFSET(#REF!,1,0)-OFFSET(#REF!,1,0)*20)+15000)))*(1+(mason_bonus*#REF!/#REF!))</f>
        <v>#REF!</v>
      </c>
      <c r="AA91" s="209" t="e">
        <f ca="1">harbor_towers_cap*(1-EXP(-#REF!/(towers_param*(OFFSET(#REF!,1,0)-OFFSET(#REF!,1,0)*20)+15000)))*(1+(mason_bonus*#REF!/#REF!))</f>
        <v>#REF!</v>
      </c>
      <c r="AB91" s="209" t="e">
        <f ca="1">walls_forges_cap*(1-EXP(-#REF!/(walls_forges_param*(OFFSET(#REF!,1,0)-OFFSET(#REF!,1,0)*20)+15000)))*(1+(mason_bonus*#REF!/#REF!))</f>
        <v>#REF!</v>
      </c>
      <c r="AC91" s="209" t="e">
        <f ca="1">walls_forges_cap*(1-EXP(-#REF!/(walls_forges_param*(OFFSET(#REF!,1,0)-OFFSET(#REF!,1,0)*20)+15000)))*(1+(mason_bonus*#REF!/#REF!))</f>
        <v>#REF!</v>
      </c>
      <c r="AD91" s="209" t="e">
        <f ca="1">harbor_towers_cap*(1-EXP(-#REF!/(harbor_towers_param*(OFFSET(#REF!,1,0)-OFFSET(#REF!,1,0)*20)+15000)))*(1+(mason_bonus*#REF!/#REF!))</f>
        <v>#REF!</v>
      </c>
      <c r="AE91" s="134"/>
      <c r="AF91" s="61" t="e">
        <f ca="1">(1+Overview!$I$28)*SUM(#REF!)+OFFSET(#REF!,-1,0)</f>
        <v>#REF!</v>
      </c>
      <c r="AG91" s="61" t="e">
        <f ca="1">(1+Overview!$I$28)*SUM(#REF!)+OFFSET(#REF!,-1,0)</f>
        <v>#REF!</v>
      </c>
      <c r="AH91" s="61" t="e">
        <f ca="1">(1+Overview!$I$28 + tech_7_1*#REF!)*SUM(#REF!)+OFFSET(#REF!,-1,0)</f>
        <v>#REF!</v>
      </c>
      <c r="AI91" s="61" t="e">
        <f ca="1">(1+Overview!$I$28)*SUM(#REF!)+OFFSET(#REF!,-1,0)</f>
        <v>#REF!</v>
      </c>
      <c r="AJ91" s="61" t="e">
        <f ca="1">(1+Overview!$I$28)*SUM(#REF!)+OFFSET(#REF!,-1,0)</f>
        <v>#REF!</v>
      </c>
      <c r="AK91" s="61" t="e">
        <f ca="1">(1+Overview!$I$28 + tech_7_1*#REF!)*SUM(#REF!)+OFFSET(#REF!,-1,0)</f>
        <v>#REF!</v>
      </c>
      <c r="AL91" s="134"/>
      <c r="AM91" s="57" t="e">
        <f>IF(AND(#REF!=AM$2,#REF!&lt;&gt;""),#REF!) + IF(AND(#REF!=AM$2,#REF!&lt;&gt;""),#REF!) + IF(AND(#REF!=AM$2,#REF!&lt;&gt;""),#REF!)</f>
        <v>#REF!</v>
      </c>
      <c r="AN91" s="57" t="e">
        <f>IF(AND(#REF!=AN$2,#REF!&lt;&gt;""),#REF!) + IF(AND(#REF!=AN$2,#REF!&lt;&gt;""),#REF!) + IF(AND(#REF!=AN$2,#REF!&lt;&gt;""),#REF!)</f>
        <v>#REF!</v>
      </c>
      <c r="AO91" s="57" t="e">
        <f>IF(AND(#REF!=AO$2,#REF!&lt;&gt;""),#REF!) + IF(AND(#REF!=AO$2,#REF!&lt;&gt;""),#REF!) + IF(AND(#REF!=AO$2,#REF!&lt;&gt;""),#REF!)</f>
        <v>#REF!</v>
      </c>
      <c r="AP91" s="57" t="e">
        <f>IF(AND(#REF!=AP$2,#REF!&lt;&gt;""),#REF!) + IF(AND(#REF!=AP$2,#REF!&lt;&gt;""),#REF!) + IF(AND(#REF!=AP$2,#REF!&lt;&gt;""),#REF!)</f>
        <v>#REF!</v>
      </c>
      <c r="AQ91" s="134"/>
      <c r="AR91" s="57" t="e">
        <f>IF(#REF!=AR$2,IF(#REF!=$Y$2,#REF!*plat_invest)) + IF(#REF!=AR$2,IF(#REF!=$Y$2,#REF!*plat_invest)) + IF(#REF!=AR$2,IF(#REF!=$Y$2,#REF!*plat_invest))</f>
        <v>#REF!</v>
      </c>
      <c r="AS91" s="57" t="e">
        <f>IF(#REF!=AS$2,IF(#REF!=$Y$2,#REF!*lumber_invest)) + IF(#REF!=AS$2,IF(#REF!=$Y$2,#REF!*lumber_invest)) + IF(#REF!=AS$2,IF(#REF!=$Y$2,#REF!*lumber_invest))</f>
        <v>#REF!</v>
      </c>
      <c r="AT91" s="57" t="e">
        <f>IF(#REF!=AT$2,IF(#REF!=$Y$2,#REF!*ore_invest)) + IF(#REF!=AT$2,IF(#REF!=$Y$2,#REF!*ore_invest)) + IF(#REF!=AT$2,IF(#REF!=$Y$2,#REF!*ore_invest))</f>
        <v>#REF!</v>
      </c>
      <c r="AU91" s="57" t="e">
        <f>IF(#REF!=AU$2,IF(#REF!=$Y$2,#REF!*gem_invest)) + IF(#REF!=AU$2,IF(#REF!=$Y$2,#REF!*gem_invest)) + IF(#REF!=AU$2,IF(#REF!=$Y$2,#REF!*gem_invest))</f>
        <v>#REF!</v>
      </c>
      <c r="AV91" s="134"/>
      <c r="AW91" s="57" t="e">
        <f>IF(#REF!=AW$2,IF(#REF!=$Z$2,#REF!*plat_invest)) + IF(#REF!=AW$2,IF(#REF!=$Z$2,#REF!*plat_invest)) + IF(#REF!=AW$2,IF(#REF!=$Z$2,#REF!*plat_invest))</f>
        <v>#REF!</v>
      </c>
      <c r="AX91" s="57" t="e">
        <f>IF(#REF!=AX$2,IF(#REF!=$Z$2,#REF!*lumber_invest)) + IF(#REF!=AX$2,IF(#REF!=$Z$2,#REF!*lumber_invest)) + IF(#REF!=AX$2,IF(#REF!=$Z$2,#REF!*lumber_invest))</f>
        <v>#REF!</v>
      </c>
      <c r="AY91" s="57" t="e">
        <f>IF(#REF!=AY$2,IF(#REF!=$Z$2,#REF!*ore_invest)) + IF(#REF!=AY$2,IF(#REF!=$Z$2,#REF!*ore_invest)) + IF(#REF!=AY$2,IF(#REF!=$Z$2,#REF!*ore_invest))</f>
        <v>#REF!</v>
      </c>
      <c r="AZ91" s="57" t="e">
        <f>IF(#REF!=AZ$2,IF(#REF!=$Z$2,#REF!*gem_invest)) + IF(#REF!=AZ$2,IF(#REF!=$Z$2,#REF!*gem_invest)) + IF(#REF!=AZ$2,IF(#REF!=$Z$2,#REF!*gem_invest))</f>
        <v>#REF!</v>
      </c>
      <c r="BA91" s="134"/>
      <c r="BB91" s="57" t="e">
        <f>IF(#REF!=BB$2,IF(#REF!=$AA$2,#REF!*plat_invest)) + IF(#REF!=BB$2,IF(#REF!=$AA$2,#REF!*plat_invest)) + IF(#REF!=BB$2,IF(#REF!=$AA$2,#REF!*plat_invest))</f>
        <v>#REF!</v>
      </c>
      <c r="BC91" s="57" t="e">
        <f>IF(#REF!=BC$2,IF(#REF!=$AA$2,#REF!*lumber_invest)) + IF(#REF!=BC$2,IF(#REF!=$AA$2,#REF!*lumber_invest)) + IF(#REF!=BC$2,IF(#REF!=$AA$2,#REF!*lumber_invest))</f>
        <v>#REF!</v>
      </c>
      <c r="BD91" s="57" t="e">
        <f>IF(#REF!=BD$2,IF(#REF!=$AA$2,#REF!*ore_invest)) + IF(#REF!=BD$2,IF(#REF!=$AA$2,#REF!*ore_invest)) + IF(#REF!=BD$2,IF(#REF!=$AA$2,#REF!*ore_invest))</f>
        <v>#REF!</v>
      </c>
      <c r="BE91" s="57" t="e">
        <f>IF(#REF!=BE$2,IF(#REF!=$AA$2,#REF!*gem_invest)) + IF(#REF!=BE$2,IF(#REF!=$AA$2,#REF!*gem_invest)) + IF(#REF!=BE$2,IF(#REF!=$AA$2,#REF!*gem_invest))</f>
        <v>#REF!</v>
      </c>
      <c r="BF91" s="134"/>
      <c r="BG91" s="57" t="e">
        <f>IF(#REF!=BG$2,IF(#REF!=$AB$2,#REF!*plat_invest)) + IF(#REF!=BG$2,IF(#REF!=$AB$2,#REF!*plat_invest)) + IF(#REF!=BG$2,IF(#REF!=$AB$2,#REF!*plat_invest))</f>
        <v>#REF!</v>
      </c>
      <c r="BH91" s="57" t="e">
        <f>IF(#REF!=BH$2,IF(#REF!=$AB$2,#REF!*lumber_invest)) + IF(#REF!=BH$2,IF(#REF!=$AB$2,#REF!*lumber_invest)) + IF(#REF!=BH$2,IF(#REF!=$AB$2,#REF!*lumber_invest))</f>
        <v>#REF!</v>
      </c>
      <c r="BI91" s="57" t="e">
        <f>IF(#REF!=BI$2,IF(#REF!=$AB$2,#REF!*ore_invest)) + IF(#REF!=BI$2,IF(#REF!=$AB$2,#REF!*ore_invest)) + IF(#REF!=BI$2,IF(#REF!=$AB$2,#REF!*ore_invest))</f>
        <v>#REF!</v>
      </c>
      <c r="BJ91" s="57" t="e">
        <f>IF(#REF!=BJ$2,IF(#REF!=$AB$2,#REF!*gem_invest)) + IF(#REF!=BJ$2,IF(#REF!=$AB$2,#REF!*gem_invest)) + IF(#REF!=BJ$2,IF(#REF!=$AB$2,#REF!*gem_invest))</f>
        <v>#REF!</v>
      </c>
      <c r="BK91" s="134"/>
      <c r="BL91" s="57" t="e">
        <f>IF(#REF!=BL$2,IF(#REF!=$AC$2,#REF!*plat_invest)) + IF(#REF!=BL$2,IF(#REF!=$AC$2,#REF!*plat_invest)) + IF(#REF!=BL$2,IF(#REF!=$AC$2,#REF!*plat_invest))</f>
        <v>#REF!</v>
      </c>
      <c r="BM91" s="57" t="e">
        <f>IF(#REF!=BM$2,IF(#REF!=$AC$2,#REF!*lumber_invest)) + IF(#REF!=BM$2,IF(#REF!=$AC$2,#REF!*lumber_invest)) + IF(#REF!=BM$2,IF(#REF!=$AC$2,#REF!*lumber_invest))</f>
        <v>#REF!</v>
      </c>
      <c r="BN91" s="57" t="e">
        <f>IF(#REF!=BN$2,IF(#REF!=$AC$2,#REF!*ore_invest)) + IF(#REF!=BN$2,IF(#REF!=$AC$2,#REF!*ore_invest)) + IF(#REF!=BN$2,IF(#REF!=$AC$2,#REF!*ore_invest))</f>
        <v>#REF!</v>
      </c>
      <c r="BO91" s="57" t="e">
        <f>IF(#REF!=BO$2,IF(#REF!=$AC$2,#REF!*gem_invest)) + IF(#REF!=BO$2,IF(#REF!=$AC$2,#REF!*gem_invest)) + IF(#REF!=BO$2,IF(#REF!=$AC$2,#REF!*gem_invest))</f>
        <v>#REF!</v>
      </c>
      <c r="BP91" s="134"/>
      <c r="BQ91" s="57" t="e">
        <f>IF(#REF!=BQ$2,IF(#REF!=$AD$2,#REF!*plat_invest)) + IF(#REF!=BQ$2,IF(#REF!=$AD$2,#REF!*plat_invest)) + IF(#REF!=BQ$2,IF(#REF!=$AD$2,#REF!*plat_invest))</f>
        <v>#REF!</v>
      </c>
      <c r="BR91" s="57" t="e">
        <f>IF(#REF!=BR$2,IF(#REF!=$AD$2,#REF!*lumber_invest)) + IF(#REF!=BR$2,IF(#REF!=$AD$2,#REF!*lumber_invest)) + IF(#REF!=BR$2,IF(#REF!=$AD$2,#REF!*lumber_invest))</f>
        <v>#REF!</v>
      </c>
      <c r="BS91" s="57" t="e">
        <f>IF(#REF!=BS$2,IF(#REF!=$AD$2,#REF!*ore_invest)) + IF(#REF!=BS$2,IF(#REF!=$AD$2,#REF!*ore_invest)) + IF(#REF!=BS$2,IF(#REF!=$AD$2,#REF!*ore_invest))</f>
        <v>#REF!</v>
      </c>
      <c r="BT91" s="57" t="e">
        <f>IF(#REF!=BT$2,IF(#REF!=$AD$2,#REF!*gem_invest)) + IF(#REF!=BT$2,IF(#REF!=$AD$2,#REF!*gem_invest)) + IF(#REF!=BT$2,IF(#REF!=$AD$2,#REF!*gem_invest))</f>
        <v>#REF!</v>
      </c>
      <c r="BU91" s="134"/>
      <c r="BV91" s="3" t="e">
        <f>OR(#REF!,#REF!,#REF!,#REF!,#REF!,#REF!,#REF!,#REF!,#REF!)</f>
        <v>#REF!</v>
      </c>
      <c r="BW91" s="61" t="e">
        <f>#REF!</f>
        <v>#REF!</v>
      </c>
      <c r="BX91" s="130"/>
      <c r="BY91" s="284" t="e">
        <f ca="1">OFFSET(#REF!,-1,0)+1/24</f>
        <v>#REF!</v>
      </c>
      <c r="BZ91" s="285" t="e">
        <f ca="1">OFFSET(#REF!,-1,0)+1/24</f>
        <v>#REF!</v>
      </c>
      <c r="CA91" s="57"/>
      <c r="CB91" s="283"/>
      <c r="CC91" s="283"/>
      <c r="CF91" s="287"/>
    </row>
    <row r="92" spans="1:84" x14ac:dyDescent="0.25">
      <c r="A92" s="206" t="e">
        <f>#REF!</f>
        <v>#REF!</v>
      </c>
      <c r="B92" s="134"/>
      <c r="C92" s="39" t="e">
        <f>#REF!</f>
        <v>#REF!</v>
      </c>
      <c r="D92" s="39" t="e">
        <f>#REF!</f>
        <v>#REF!</v>
      </c>
      <c r="E92" s="39" t="e">
        <f>#REF!</f>
        <v>#REF!</v>
      </c>
      <c r="F92" s="39" t="e">
        <f>#REF!</f>
        <v>#REF!</v>
      </c>
      <c r="G92" s="133"/>
      <c r="H92" s="39" t="e">
        <f>#REF!</f>
        <v>#REF!</v>
      </c>
      <c r="I92" s="132" t="e">
        <f>#REF!</f>
        <v>#REF!</v>
      </c>
      <c r="J92" s="132" t="e">
        <f>#REF!/#REF!</f>
        <v>#REF!</v>
      </c>
      <c r="K92" s="160" t="e">
        <f>#REF!</f>
        <v>#REF!</v>
      </c>
      <c r="L92" s="276" t="e">
        <f>#REF!</f>
        <v>#REF!</v>
      </c>
      <c r="M92" s="61">
        <f>IF(ISERROR(#REF!),0,#REF!*1)</f>
        <v>0</v>
      </c>
      <c r="N92" s="39" t="e">
        <f>#REF!</f>
        <v>#REF!</v>
      </c>
      <c r="O92" s="277" t="s">
        <v>4</v>
      </c>
      <c r="P92" s="278"/>
      <c r="Q92" s="277" t="s">
        <v>211</v>
      </c>
      <c r="R92" s="277" t="s">
        <v>7</v>
      </c>
      <c r="S92" s="278"/>
      <c r="T92" s="277" t="s">
        <v>211</v>
      </c>
      <c r="U92" s="277" t="s">
        <v>3</v>
      </c>
      <c r="V92" s="278"/>
      <c r="W92" s="277" t="s">
        <v>211</v>
      </c>
      <c r="X92" s="134"/>
      <c r="Y92" s="209" t="e">
        <f ca="1">science_cap*(1-EXP(-#REF!/(science_param*(OFFSET(#REF!,1,0)-OFFSET(#REF!,1,0)*20)+15000)))*(1+(mason_bonus*#REF!/#REF!))</f>
        <v>#REF!</v>
      </c>
      <c r="Z92" s="209" t="e">
        <f ca="1">keep_cap*(1-EXP(-#REF!/(keep_param*(OFFSET(#REF!,1,0)-OFFSET(#REF!,1,0)*20)+15000)))*(1+(mason_bonus*#REF!/#REF!))</f>
        <v>#REF!</v>
      </c>
      <c r="AA92" s="209" t="e">
        <f ca="1">harbor_towers_cap*(1-EXP(-#REF!/(towers_param*(OFFSET(#REF!,1,0)-OFFSET(#REF!,1,0)*20)+15000)))*(1+(mason_bonus*#REF!/#REF!))</f>
        <v>#REF!</v>
      </c>
      <c r="AB92" s="209" t="e">
        <f ca="1">walls_forges_cap*(1-EXP(-#REF!/(walls_forges_param*(OFFSET(#REF!,1,0)-OFFSET(#REF!,1,0)*20)+15000)))*(1+(mason_bonus*#REF!/#REF!))</f>
        <v>#REF!</v>
      </c>
      <c r="AC92" s="209" t="e">
        <f ca="1">walls_forges_cap*(1-EXP(-#REF!/(walls_forges_param*(OFFSET(#REF!,1,0)-OFFSET(#REF!,1,0)*20)+15000)))*(1+(mason_bonus*#REF!/#REF!))</f>
        <v>#REF!</v>
      </c>
      <c r="AD92" s="209" t="e">
        <f ca="1">harbor_towers_cap*(1-EXP(-#REF!/(harbor_towers_param*(OFFSET(#REF!,1,0)-OFFSET(#REF!,1,0)*20)+15000)))*(1+(mason_bonus*#REF!/#REF!))</f>
        <v>#REF!</v>
      </c>
      <c r="AE92" s="134"/>
      <c r="AF92" s="61" t="e">
        <f ca="1">(1+Overview!$I$28)*SUM(#REF!)+OFFSET(#REF!,-1,0)</f>
        <v>#REF!</v>
      </c>
      <c r="AG92" s="61" t="e">
        <f ca="1">(1+Overview!$I$28)*SUM(#REF!)+OFFSET(#REF!,-1,0)</f>
        <v>#REF!</v>
      </c>
      <c r="AH92" s="61" t="e">
        <f ca="1">(1+Overview!$I$28 + tech_7_1*#REF!)*SUM(#REF!)+OFFSET(#REF!,-1,0)</f>
        <v>#REF!</v>
      </c>
      <c r="AI92" s="61" t="e">
        <f ca="1">(1+Overview!$I$28)*SUM(#REF!)+OFFSET(#REF!,-1,0)</f>
        <v>#REF!</v>
      </c>
      <c r="AJ92" s="61" t="e">
        <f ca="1">(1+Overview!$I$28)*SUM(#REF!)+OFFSET(#REF!,-1,0)</f>
        <v>#REF!</v>
      </c>
      <c r="AK92" s="61" t="e">
        <f ca="1">(1+Overview!$I$28 + tech_7_1*#REF!)*SUM(#REF!)+OFFSET(#REF!,-1,0)</f>
        <v>#REF!</v>
      </c>
      <c r="AL92" s="134"/>
      <c r="AM92" s="57" t="e">
        <f>IF(AND(#REF!=AM$2,#REF!&lt;&gt;""),#REF!) + IF(AND(#REF!=AM$2,#REF!&lt;&gt;""),#REF!) + IF(AND(#REF!=AM$2,#REF!&lt;&gt;""),#REF!)</f>
        <v>#REF!</v>
      </c>
      <c r="AN92" s="57" t="e">
        <f>IF(AND(#REF!=AN$2,#REF!&lt;&gt;""),#REF!) + IF(AND(#REF!=AN$2,#REF!&lt;&gt;""),#REF!) + IF(AND(#REF!=AN$2,#REF!&lt;&gt;""),#REF!)</f>
        <v>#REF!</v>
      </c>
      <c r="AO92" s="57" t="e">
        <f>IF(AND(#REF!=AO$2,#REF!&lt;&gt;""),#REF!) + IF(AND(#REF!=AO$2,#REF!&lt;&gt;""),#REF!) + IF(AND(#REF!=AO$2,#REF!&lt;&gt;""),#REF!)</f>
        <v>#REF!</v>
      </c>
      <c r="AP92" s="57" t="e">
        <f>IF(AND(#REF!=AP$2,#REF!&lt;&gt;""),#REF!) + IF(AND(#REF!=AP$2,#REF!&lt;&gt;""),#REF!) + IF(AND(#REF!=AP$2,#REF!&lt;&gt;""),#REF!)</f>
        <v>#REF!</v>
      </c>
      <c r="AQ92" s="134"/>
      <c r="AR92" s="57" t="e">
        <f>IF(#REF!=AR$2,IF(#REF!=$Y$2,#REF!*plat_invest)) + IF(#REF!=AR$2,IF(#REF!=$Y$2,#REF!*plat_invest)) + IF(#REF!=AR$2,IF(#REF!=$Y$2,#REF!*plat_invest))</f>
        <v>#REF!</v>
      </c>
      <c r="AS92" s="57" t="e">
        <f>IF(#REF!=AS$2,IF(#REF!=$Y$2,#REF!*lumber_invest)) + IF(#REF!=AS$2,IF(#REF!=$Y$2,#REF!*lumber_invest)) + IF(#REF!=AS$2,IF(#REF!=$Y$2,#REF!*lumber_invest))</f>
        <v>#REF!</v>
      </c>
      <c r="AT92" s="57" t="e">
        <f>IF(#REF!=AT$2,IF(#REF!=$Y$2,#REF!*ore_invest)) + IF(#REF!=AT$2,IF(#REF!=$Y$2,#REF!*ore_invest)) + IF(#REF!=AT$2,IF(#REF!=$Y$2,#REF!*ore_invest))</f>
        <v>#REF!</v>
      </c>
      <c r="AU92" s="57" t="e">
        <f>IF(#REF!=AU$2,IF(#REF!=$Y$2,#REF!*gem_invest)) + IF(#REF!=AU$2,IF(#REF!=$Y$2,#REF!*gem_invest)) + IF(#REF!=AU$2,IF(#REF!=$Y$2,#REF!*gem_invest))</f>
        <v>#REF!</v>
      </c>
      <c r="AV92" s="134"/>
      <c r="AW92" s="57" t="e">
        <f>IF(#REF!=AW$2,IF(#REF!=$Z$2,#REF!*plat_invest)) + IF(#REF!=AW$2,IF(#REF!=$Z$2,#REF!*plat_invest)) + IF(#REF!=AW$2,IF(#REF!=$Z$2,#REF!*plat_invest))</f>
        <v>#REF!</v>
      </c>
      <c r="AX92" s="57" t="e">
        <f>IF(#REF!=AX$2,IF(#REF!=$Z$2,#REF!*lumber_invest)) + IF(#REF!=AX$2,IF(#REF!=$Z$2,#REF!*lumber_invest)) + IF(#REF!=AX$2,IF(#REF!=$Z$2,#REF!*lumber_invest))</f>
        <v>#REF!</v>
      </c>
      <c r="AY92" s="57" t="e">
        <f>IF(#REF!=AY$2,IF(#REF!=$Z$2,#REF!*ore_invest)) + IF(#REF!=AY$2,IF(#REF!=$Z$2,#REF!*ore_invest)) + IF(#REF!=AY$2,IF(#REF!=$Z$2,#REF!*ore_invest))</f>
        <v>#REF!</v>
      </c>
      <c r="AZ92" s="57" t="e">
        <f>IF(#REF!=AZ$2,IF(#REF!=$Z$2,#REF!*gem_invest)) + IF(#REF!=AZ$2,IF(#REF!=$Z$2,#REF!*gem_invest)) + IF(#REF!=AZ$2,IF(#REF!=$Z$2,#REF!*gem_invest))</f>
        <v>#REF!</v>
      </c>
      <c r="BA92" s="134"/>
      <c r="BB92" s="57" t="e">
        <f>IF(#REF!=BB$2,IF(#REF!=$AA$2,#REF!*plat_invest)) + IF(#REF!=BB$2,IF(#REF!=$AA$2,#REF!*plat_invest)) + IF(#REF!=BB$2,IF(#REF!=$AA$2,#REF!*plat_invest))</f>
        <v>#REF!</v>
      </c>
      <c r="BC92" s="57" t="e">
        <f>IF(#REF!=BC$2,IF(#REF!=$AA$2,#REF!*lumber_invest)) + IF(#REF!=BC$2,IF(#REF!=$AA$2,#REF!*lumber_invest)) + IF(#REF!=BC$2,IF(#REF!=$AA$2,#REF!*lumber_invest))</f>
        <v>#REF!</v>
      </c>
      <c r="BD92" s="57" t="e">
        <f>IF(#REF!=BD$2,IF(#REF!=$AA$2,#REF!*ore_invest)) + IF(#REF!=BD$2,IF(#REF!=$AA$2,#REF!*ore_invest)) + IF(#REF!=BD$2,IF(#REF!=$AA$2,#REF!*ore_invest))</f>
        <v>#REF!</v>
      </c>
      <c r="BE92" s="57" t="e">
        <f>IF(#REF!=BE$2,IF(#REF!=$AA$2,#REF!*gem_invest)) + IF(#REF!=BE$2,IF(#REF!=$AA$2,#REF!*gem_invest)) + IF(#REF!=BE$2,IF(#REF!=$AA$2,#REF!*gem_invest))</f>
        <v>#REF!</v>
      </c>
      <c r="BF92" s="134"/>
      <c r="BG92" s="57" t="e">
        <f>IF(#REF!=BG$2,IF(#REF!=$AB$2,#REF!*plat_invest)) + IF(#REF!=BG$2,IF(#REF!=$AB$2,#REF!*plat_invest)) + IF(#REF!=BG$2,IF(#REF!=$AB$2,#REF!*plat_invest))</f>
        <v>#REF!</v>
      </c>
      <c r="BH92" s="57" t="e">
        <f>IF(#REF!=BH$2,IF(#REF!=$AB$2,#REF!*lumber_invest)) + IF(#REF!=BH$2,IF(#REF!=$AB$2,#REF!*lumber_invest)) + IF(#REF!=BH$2,IF(#REF!=$AB$2,#REF!*lumber_invest))</f>
        <v>#REF!</v>
      </c>
      <c r="BI92" s="57" t="e">
        <f>IF(#REF!=BI$2,IF(#REF!=$AB$2,#REF!*ore_invest)) + IF(#REF!=BI$2,IF(#REF!=$AB$2,#REF!*ore_invest)) + IF(#REF!=BI$2,IF(#REF!=$AB$2,#REF!*ore_invest))</f>
        <v>#REF!</v>
      </c>
      <c r="BJ92" s="57" t="e">
        <f>IF(#REF!=BJ$2,IF(#REF!=$AB$2,#REF!*gem_invest)) + IF(#REF!=BJ$2,IF(#REF!=$AB$2,#REF!*gem_invest)) + IF(#REF!=BJ$2,IF(#REF!=$AB$2,#REF!*gem_invest))</f>
        <v>#REF!</v>
      </c>
      <c r="BK92" s="134"/>
      <c r="BL92" s="57" t="e">
        <f>IF(#REF!=BL$2,IF(#REF!=$AC$2,#REF!*plat_invest)) + IF(#REF!=BL$2,IF(#REF!=$AC$2,#REF!*plat_invest)) + IF(#REF!=BL$2,IF(#REF!=$AC$2,#REF!*plat_invest))</f>
        <v>#REF!</v>
      </c>
      <c r="BM92" s="57" t="e">
        <f>IF(#REF!=BM$2,IF(#REF!=$AC$2,#REF!*lumber_invest)) + IF(#REF!=BM$2,IF(#REF!=$AC$2,#REF!*lumber_invest)) + IF(#REF!=BM$2,IF(#REF!=$AC$2,#REF!*lumber_invest))</f>
        <v>#REF!</v>
      </c>
      <c r="BN92" s="57" t="e">
        <f>IF(#REF!=BN$2,IF(#REF!=$AC$2,#REF!*ore_invest)) + IF(#REF!=BN$2,IF(#REF!=$AC$2,#REF!*ore_invest)) + IF(#REF!=BN$2,IF(#REF!=$AC$2,#REF!*ore_invest))</f>
        <v>#REF!</v>
      </c>
      <c r="BO92" s="57" t="e">
        <f>IF(#REF!=BO$2,IF(#REF!=$AC$2,#REF!*gem_invest)) + IF(#REF!=BO$2,IF(#REF!=$AC$2,#REF!*gem_invest)) + IF(#REF!=BO$2,IF(#REF!=$AC$2,#REF!*gem_invest))</f>
        <v>#REF!</v>
      </c>
      <c r="BP92" s="134"/>
      <c r="BQ92" s="57" t="e">
        <f>IF(#REF!=BQ$2,IF(#REF!=$AD$2,#REF!*plat_invest)) + IF(#REF!=BQ$2,IF(#REF!=$AD$2,#REF!*plat_invest)) + IF(#REF!=BQ$2,IF(#REF!=$AD$2,#REF!*plat_invest))</f>
        <v>#REF!</v>
      </c>
      <c r="BR92" s="57" t="e">
        <f>IF(#REF!=BR$2,IF(#REF!=$AD$2,#REF!*lumber_invest)) + IF(#REF!=BR$2,IF(#REF!=$AD$2,#REF!*lumber_invest)) + IF(#REF!=BR$2,IF(#REF!=$AD$2,#REF!*lumber_invest))</f>
        <v>#REF!</v>
      </c>
      <c r="BS92" s="57" t="e">
        <f>IF(#REF!=BS$2,IF(#REF!=$AD$2,#REF!*ore_invest)) + IF(#REF!=BS$2,IF(#REF!=$AD$2,#REF!*ore_invest)) + IF(#REF!=BS$2,IF(#REF!=$AD$2,#REF!*ore_invest))</f>
        <v>#REF!</v>
      </c>
      <c r="BT92" s="57" t="e">
        <f>IF(#REF!=BT$2,IF(#REF!=$AD$2,#REF!*gem_invest)) + IF(#REF!=BT$2,IF(#REF!=$AD$2,#REF!*gem_invest)) + IF(#REF!=BT$2,IF(#REF!=$AD$2,#REF!*gem_invest))</f>
        <v>#REF!</v>
      </c>
      <c r="BU92" s="134"/>
      <c r="BV92" s="3" t="e">
        <f>OR(#REF!,#REF!,#REF!,#REF!,#REF!,#REF!,#REF!,#REF!,#REF!)</f>
        <v>#REF!</v>
      </c>
      <c r="BW92" s="61" t="e">
        <f>#REF!</f>
        <v>#REF!</v>
      </c>
      <c r="BX92" s="130"/>
      <c r="BY92" s="284" t="e">
        <f ca="1">OFFSET(#REF!,-1,0)+1/24</f>
        <v>#REF!</v>
      </c>
      <c r="BZ92" s="285" t="e">
        <f ca="1">OFFSET(#REF!,-1,0)+1/24</f>
        <v>#REF!</v>
      </c>
      <c r="CA92" s="57"/>
      <c r="CB92" s="283"/>
      <c r="CC92" s="283"/>
      <c r="CF92" s="286"/>
    </row>
    <row r="93" spans="1:84" x14ac:dyDescent="0.25">
      <c r="A93" s="206" t="e">
        <f>#REF!</f>
        <v>#REF!</v>
      </c>
      <c r="B93" s="134"/>
      <c r="C93" s="39" t="e">
        <f>#REF!</f>
        <v>#REF!</v>
      </c>
      <c r="D93" s="39" t="e">
        <f>#REF!</f>
        <v>#REF!</v>
      </c>
      <c r="E93" s="39" t="e">
        <f>#REF!</f>
        <v>#REF!</v>
      </c>
      <c r="F93" s="39" t="e">
        <f>#REF!</f>
        <v>#REF!</v>
      </c>
      <c r="G93" s="133"/>
      <c r="H93" s="39" t="e">
        <f>#REF!</f>
        <v>#REF!</v>
      </c>
      <c r="I93" s="132" t="e">
        <f>#REF!</f>
        <v>#REF!</v>
      </c>
      <c r="J93" s="132" t="e">
        <f>#REF!/#REF!</f>
        <v>#REF!</v>
      </c>
      <c r="K93" s="160" t="e">
        <f>#REF!</f>
        <v>#REF!</v>
      </c>
      <c r="L93" s="276" t="e">
        <f>#REF!</f>
        <v>#REF!</v>
      </c>
      <c r="M93" s="61">
        <f>IF(ISERROR(#REF!),0,#REF!*1)</f>
        <v>0</v>
      </c>
      <c r="N93" s="39" t="e">
        <f>#REF!</f>
        <v>#REF!</v>
      </c>
      <c r="O93" s="277" t="s">
        <v>4</v>
      </c>
      <c r="P93" s="278"/>
      <c r="Q93" s="277" t="s">
        <v>211</v>
      </c>
      <c r="R93" s="277" t="s">
        <v>7</v>
      </c>
      <c r="S93" s="278"/>
      <c r="T93" s="277" t="s">
        <v>211</v>
      </c>
      <c r="U93" s="277" t="s">
        <v>3</v>
      </c>
      <c r="V93" s="278"/>
      <c r="W93" s="277" t="s">
        <v>211</v>
      </c>
      <c r="X93" s="134"/>
      <c r="Y93" s="209" t="e">
        <f ca="1">science_cap*(1-EXP(-#REF!/(science_param*(OFFSET(#REF!,1,0)-OFFSET(#REF!,1,0)*20)+15000)))*(1+(mason_bonus*#REF!/#REF!))</f>
        <v>#REF!</v>
      </c>
      <c r="Z93" s="209" t="e">
        <f ca="1">keep_cap*(1-EXP(-#REF!/(keep_param*(OFFSET(#REF!,1,0)-OFFSET(#REF!,1,0)*20)+15000)))*(1+(mason_bonus*#REF!/#REF!))</f>
        <v>#REF!</v>
      </c>
      <c r="AA93" s="209" t="e">
        <f ca="1">harbor_towers_cap*(1-EXP(-#REF!/(towers_param*(OFFSET(#REF!,1,0)-OFFSET(#REF!,1,0)*20)+15000)))*(1+(mason_bonus*#REF!/#REF!))</f>
        <v>#REF!</v>
      </c>
      <c r="AB93" s="209" t="e">
        <f ca="1">walls_forges_cap*(1-EXP(-#REF!/(walls_forges_param*(OFFSET(#REF!,1,0)-OFFSET(#REF!,1,0)*20)+15000)))*(1+(mason_bonus*#REF!/#REF!))</f>
        <v>#REF!</v>
      </c>
      <c r="AC93" s="209" t="e">
        <f ca="1">walls_forges_cap*(1-EXP(-#REF!/(walls_forges_param*(OFFSET(#REF!,1,0)-OFFSET(#REF!,1,0)*20)+15000)))*(1+(mason_bonus*#REF!/#REF!))</f>
        <v>#REF!</v>
      </c>
      <c r="AD93" s="209" t="e">
        <f ca="1">harbor_towers_cap*(1-EXP(-#REF!/(harbor_towers_param*(OFFSET(#REF!,1,0)-OFFSET(#REF!,1,0)*20)+15000)))*(1+(mason_bonus*#REF!/#REF!))</f>
        <v>#REF!</v>
      </c>
      <c r="AE93" s="134"/>
      <c r="AF93" s="61" t="e">
        <f ca="1">(1+Overview!$I$28)*SUM(#REF!)+OFFSET(#REF!,-1,0)</f>
        <v>#REF!</v>
      </c>
      <c r="AG93" s="61" t="e">
        <f ca="1">(1+Overview!$I$28)*SUM(#REF!)+OFFSET(#REF!,-1,0)</f>
        <v>#REF!</v>
      </c>
      <c r="AH93" s="61" t="e">
        <f ca="1">(1+Overview!$I$28 + tech_7_1*#REF!)*SUM(#REF!)+OFFSET(#REF!,-1,0)</f>
        <v>#REF!</v>
      </c>
      <c r="AI93" s="61" t="e">
        <f ca="1">(1+Overview!$I$28)*SUM(#REF!)+OFFSET(#REF!,-1,0)</f>
        <v>#REF!</v>
      </c>
      <c r="AJ93" s="61" t="e">
        <f ca="1">(1+Overview!$I$28)*SUM(#REF!)+OFFSET(#REF!,-1,0)</f>
        <v>#REF!</v>
      </c>
      <c r="AK93" s="61" t="e">
        <f ca="1">(1+Overview!$I$28 + tech_7_1*#REF!)*SUM(#REF!)+OFFSET(#REF!,-1,0)</f>
        <v>#REF!</v>
      </c>
      <c r="AL93" s="134"/>
      <c r="AM93" s="57" t="e">
        <f>IF(AND(#REF!=AM$2,#REF!&lt;&gt;""),#REF!) + IF(AND(#REF!=AM$2,#REF!&lt;&gt;""),#REF!) + IF(AND(#REF!=AM$2,#REF!&lt;&gt;""),#REF!)</f>
        <v>#REF!</v>
      </c>
      <c r="AN93" s="57" t="e">
        <f>IF(AND(#REF!=AN$2,#REF!&lt;&gt;""),#REF!) + IF(AND(#REF!=AN$2,#REF!&lt;&gt;""),#REF!) + IF(AND(#REF!=AN$2,#REF!&lt;&gt;""),#REF!)</f>
        <v>#REF!</v>
      </c>
      <c r="AO93" s="57" t="e">
        <f>IF(AND(#REF!=AO$2,#REF!&lt;&gt;""),#REF!) + IF(AND(#REF!=AO$2,#REF!&lt;&gt;""),#REF!) + IF(AND(#REF!=AO$2,#REF!&lt;&gt;""),#REF!)</f>
        <v>#REF!</v>
      </c>
      <c r="AP93" s="57" t="e">
        <f>IF(AND(#REF!=AP$2,#REF!&lt;&gt;""),#REF!) + IF(AND(#REF!=AP$2,#REF!&lt;&gt;""),#REF!) + IF(AND(#REF!=AP$2,#REF!&lt;&gt;""),#REF!)</f>
        <v>#REF!</v>
      </c>
      <c r="AQ93" s="134"/>
      <c r="AR93" s="57" t="e">
        <f>IF(#REF!=AR$2,IF(#REF!=$Y$2,#REF!*plat_invest)) + IF(#REF!=AR$2,IF(#REF!=$Y$2,#REF!*plat_invest)) + IF(#REF!=AR$2,IF(#REF!=$Y$2,#REF!*plat_invest))</f>
        <v>#REF!</v>
      </c>
      <c r="AS93" s="57" t="e">
        <f>IF(#REF!=AS$2,IF(#REF!=$Y$2,#REF!*lumber_invest)) + IF(#REF!=AS$2,IF(#REF!=$Y$2,#REF!*lumber_invest)) + IF(#REF!=AS$2,IF(#REF!=$Y$2,#REF!*lumber_invest))</f>
        <v>#REF!</v>
      </c>
      <c r="AT93" s="57" t="e">
        <f>IF(#REF!=AT$2,IF(#REF!=$Y$2,#REF!*ore_invest)) + IF(#REF!=AT$2,IF(#REF!=$Y$2,#REF!*ore_invest)) + IF(#REF!=AT$2,IF(#REF!=$Y$2,#REF!*ore_invest))</f>
        <v>#REF!</v>
      </c>
      <c r="AU93" s="57" t="e">
        <f>IF(#REF!=AU$2,IF(#REF!=$Y$2,#REF!*gem_invest)) + IF(#REF!=AU$2,IF(#REF!=$Y$2,#REF!*gem_invest)) + IF(#REF!=AU$2,IF(#REF!=$Y$2,#REF!*gem_invest))</f>
        <v>#REF!</v>
      </c>
      <c r="AV93" s="134"/>
      <c r="AW93" s="57" t="e">
        <f>IF(#REF!=AW$2,IF(#REF!=$Z$2,#REF!*plat_invest)) + IF(#REF!=AW$2,IF(#REF!=$Z$2,#REF!*plat_invest)) + IF(#REF!=AW$2,IF(#REF!=$Z$2,#REF!*plat_invest))</f>
        <v>#REF!</v>
      </c>
      <c r="AX93" s="57" t="e">
        <f>IF(#REF!=AX$2,IF(#REF!=$Z$2,#REF!*lumber_invest)) + IF(#REF!=AX$2,IF(#REF!=$Z$2,#REF!*lumber_invest)) + IF(#REF!=AX$2,IF(#REF!=$Z$2,#REF!*lumber_invest))</f>
        <v>#REF!</v>
      </c>
      <c r="AY93" s="57" t="e">
        <f>IF(#REF!=AY$2,IF(#REF!=$Z$2,#REF!*ore_invest)) + IF(#REF!=AY$2,IF(#REF!=$Z$2,#REF!*ore_invest)) + IF(#REF!=AY$2,IF(#REF!=$Z$2,#REF!*ore_invest))</f>
        <v>#REF!</v>
      </c>
      <c r="AZ93" s="57" t="e">
        <f>IF(#REF!=AZ$2,IF(#REF!=$Z$2,#REF!*gem_invest)) + IF(#REF!=AZ$2,IF(#REF!=$Z$2,#REF!*gem_invest)) + IF(#REF!=AZ$2,IF(#REF!=$Z$2,#REF!*gem_invest))</f>
        <v>#REF!</v>
      </c>
      <c r="BA93" s="134"/>
      <c r="BB93" s="57" t="e">
        <f>IF(#REF!=BB$2,IF(#REF!=$AA$2,#REF!*plat_invest)) + IF(#REF!=BB$2,IF(#REF!=$AA$2,#REF!*plat_invest)) + IF(#REF!=BB$2,IF(#REF!=$AA$2,#REF!*plat_invest))</f>
        <v>#REF!</v>
      </c>
      <c r="BC93" s="57" t="e">
        <f>IF(#REF!=BC$2,IF(#REF!=$AA$2,#REF!*lumber_invest)) + IF(#REF!=BC$2,IF(#REF!=$AA$2,#REF!*lumber_invest)) + IF(#REF!=BC$2,IF(#REF!=$AA$2,#REF!*lumber_invest))</f>
        <v>#REF!</v>
      </c>
      <c r="BD93" s="57" t="e">
        <f>IF(#REF!=BD$2,IF(#REF!=$AA$2,#REF!*ore_invest)) + IF(#REF!=BD$2,IF(#REF!=$AA$2,#REF!*ore_invest)) + IF(#REF!=BD$2,IF(#REF!=$AA$2,#REF!*ore_invest))</f>
        <v>#REF!</v>
      </c>
      <c r="BE93" s="57" t="e">
        <f>IF(#REF!=BE$2,IF(#REF!=$AA$2,#REF!*gem_invest)) + IF(#REF!=BE$2,IF(#REF!=$AA$2,#REF!*gem_invest)) + IF(#REF!=BE$2,IF(#REF!=$AA$2,#REF!*gem_invest))</f>
        <v>#REF!</v>
      </c>
      <c r="BF93" s="134"/>
      <c r="BG93" s="57" t="e">
        <f>IF(#REF!=BG$2,IF(#REF!=$AB$2,#REF!*plat_invest)) + IF(#REF!=BG$2,IF(#REF!=$AB$2,#REF!*plat_invest)) + IF(#REF!=BG$2,IF(#REF!=$AB$2,#REF!*plat_invest))</f>
        <v>#REF!</v>
      </c>
      <c r="BH93" s="57" t="e">
        <f>IF(#REF!=BH$2,IF(#REF!=$AB$2,#REF!*lumber_invest)) + IF(#REF!=BH$2,IF(#REF!=$AB$2,#REF!*lumber_invest)) + IF(#REF!=BH$2,IF(#REF!=$AB$2,#REF!*lumber_invest))</f>
        <v>#REF!</v>
      </c>
      <c r="BI93" s="57" t="e">
        <f>IF(#REF!=BI$2,IF(#REF!=$AB$2,#REF!*ore_invest)) + IF(#REF!=BI$2,IF(#REF!=$AB$2,#REF!*ore_invest)) + IF(#REF!=BI$2,IF(#REF!=$AB$2,#REF!*ore_invest))</f>
        <v>#REF!</v>
      </c>
      <c r="BJ93" s="57" t="e">
        <f>IF(#REF!=BJ$2,IF(#REF!=$AB$2,#REF!*gem_invest)) + IF(#REF!=BJ$2,IF(#REF!=$AB$2,#REF!*gem_invest)) + IF(#REF!=BJ$2,IF(#REF!=$AB$2,#REF!*gem_invest))</f>
        <v>#REF!</v>
      </c>
      <c r="BK93" s="134"/>
      <c r="BL93" s="57" t="e">
        <f>IF(#REF!=BL$2,IF(#REF!=$AC$2,#REF!*plat_invest)) + IF(#REF!=BL$2,IF(#REF!=$AC$2,#REF!*plat_invest)) + IF(#REF!=BL$2,IF(#REF!=$AC$2,#REF!*plat_invest))</f>
        <v>#REF!</v>
      </c>
      <c r="BM93" s="57" t="e">
        <f>IF(#REF!=BM$2,IF(#REF!=$AC$2,#REF!*lumber_invest)) + IF(#REF!=BM$2,IF(#REF!=$AC$2,#REF!*lumber_invest)) + IF(#REF!=BM$2,IF(#REF!=$AC$2,#REF!*lumber_invest))</f>
        <v>#REF!</v>
      </c>
      <c r="BN93" s="57" t="e">
        <f>IF(#REF!=BN$2,IF(#REF!=$AC$2,#REF!*ore_invest)) + IF(#REF!=BN$2,IF(#REF!=$AC$2,#REF!*ore_invest)) + IF(#REF!=BN$2,IF(#REF!=$AC$2,#REF!*ore_invest))</f>
        <v>#REF!</v>
      </c>
      <c r="BO93" s="57" t="e">
        <f>IF(#REF!=BO$2,IF(#REF!=$AC$2,#REF!*gem_invest)) + IF(#REF!=BO$2,IF(#REF!=$AC$2,#REF!*gem_invest)) + IF(#REF!=BO$2,IF(#REF!=$AC$2,#REF!*gem_invest))</f>
        <v>#REF!</v>
      </c>
      <c r="BP93" s="134"/>
      <c r="BQ93" s="57" t="e">
        <f>IF(#REF!=BQ$2,IF(#REF!=$AD$2,#REF!*plat_invest)) + IF(#REF!=BQ$2,IF(#REF!=$AD$2,#REF!*plat_invest)) + IF(#REF!=BQ$2,IF(#REF!=$AD$2,#REF!*plat_invest))</f>
        <v>#REF!</v>
      </c>
      <c r="BR93" s="57" t="e">
        <f>IF(#REF!=BR$2,IF(#REF!=$AD$2,#REF!*lumber_invest)) + IF(#REF!=BR$2,IF(#REF!=$AD$2,#REF!*lumber_invest)) + IF(#REF!=BR$2,IF(#REF!=$AD$2,#REF!*lumber_invest))</f>
        <v>#REF!</v>
      </c>
      <c r="BS93" s="57" t="e">
        <f>IF(#REF!=BS$2,IF(#REF!=$AD$2,#REF!*ore_invest)) + IF(#REF!=BS$2,IF(#REF!=$AD$2,#REF!*ore_invest)) + IF(#REF!=BS$2,IF(#REF!=$AD$2,#REF!*ore_invest))</f>
        <v>#REF!</v>
      </c>
      <c r="BT93" s="57" t="e">
        <f>IF(#REF!=BT$2,IF(#REF!=$AD$2,#REF!*gem_invest)) + IF(#REF!=BT$2,IF(#REF!=$AD$2,#REF!*gem_invest)) + IF(#REF!=BT$2,IF(#REF!=$AD$2,#REF!*gem_invest))</f>
        <v>#REF!</v>
      </c>
      <c r="BU93" s="134"/>
      <c r="BV93" s="3" t="e">
        <f>OR(#REF!,#REF!,#REF!,#REF!,#REF!,#REF!,#REF!,#REF!,#REF!)</f>
        <v>#REF!</v>
      </c>
      <c r="BW93" s="61" t="e">
        <f>#REF!</f>
        <v>#REF!</v>
      </c>
      <c r="BX93" s="130"/>
      <c r="BY93" s="284" t="e">
        <f ca="1">OFFSET(#REF!,-1,0)+1/24</f>
        <v>#REF!</v>
      </c>
      <c r="BZ93" s="285" t="e">
        <f ca="1">OFFSET(#REF!,-1,0)+1/24</f>
        <v>#REF!</v>
      </c>
      <c r="CA93" s="57"/>
      <c r="CB93" s="283"/>
      <c r="CC93" s="283"/>
      <c r="CF93" s="286"/>
    </row>
    <row r="94" spans="1:84" x14ac:dyDescent="0.25">
      <c r="A94" s="206" t="e">
        <f>#REF!</f>
        <v>#REF!</v>
      </c>
      <c r="B94" s="134"/>
      <c r="C94" s="39" t="e">
        <f>#REF!</f>
        <v>#REF!</v>
      </c>
      <c r="D94" s="39" t="e">
        <f>#REF!</f>
        <v>#REF!</v>
      </c>
      <c r="E94" s="39" t="e">
        <f>#REF!</f>
        <v>#REF!</v>
      </c>
      <c r="F94" s="39" t="e">
        <f>#REF!</f>
        <v>#REF!</v>
      </c>
      <c r="G94" s="133"/>
      <c r="H94" s="39" t="e">
        <f>#REF!</f>
        <v>#REF!</v>
      </c>
      <c r="I94" s="132" t="e">
        <f>#REF!</f>
        <v>#REF!</v>
      </c>
      <c r="J94" s="132" t="e">
        <f>#REF!/#REF!</f>
        <v>#REF!</v>
      </c>
      <c r="K94" s="160" t="e">
        <f>#REF!</f>
        <v>#REF!</v>
      </c>
      <c r="L94" s="276" t="e">
        <f>#REF!</f>
        <v>#REF!</v>
      </c>
      <c r="M94" s="61">
        <f>IF(ISERROR(#REF!),0,#REF!*1)</f>
        <v>0</v>
      </c>
      <c r="N94" s="39" t="e">
        <f>#REF!</f>
        <v>#REF!</v>
      </c>
      <c r="O94" s="277" t="s">
        <v>4</v>
      </c>
      <c r="P94" s="278"/>
      <c r="Q94" s="277" t="s">
        <v>211</v>
      </c>
      <c r="R94" s="277" t="s">
        <v>7</v>
      </c>
      <c r="S94" s="278"/>
      <c r="T94" s="277" t="s">
        <v>211</v>
      </c>
      <c r="U94" s="277" t="s">
        <v>3</v>
      </c>
      <c r="V94" s="278"/>
      <c r="W94" s="277" t="s">
        <v>211</v>
      </c>
      <c r="X94" s="134"/>
      <c r="Y94" s="209" t="e">
        <f ca="1">science_cap*(1-EXP(-#REF!/(science_param*(OFFSET(#REF!,1,0)-OFFSET(#REF!,1,0)*20)+15000)))*(1+(mason_bonus*#REF!/#REF!))</f>
        <v>#REF!</v>
      </c>
      <c r="Z94" s="209" t="e">
        <f ca="1">keep_cap*(1-EXP(-#REF!/(keep_param*(OFFSET(#REF!,1,0)-OFFSET(#REF!,1,0)*20)+15000)))*(1+(mason_bonus*#REF!/#REF!))</f>
        <v>#REF!</v>
      </c>
      <c r="AA94" s="209" t="e">
        <f ca="1">harbor_towers_cap*(1-EXP(-#REF!/(towers_param*(OFFSET(#REF!,1,0)-OFFSET(#REF!,1,0)*20)+15000)))*(1+(mason_bonus*#REF!/#REF!))</f>
        <v>#REF!</v>
      </c>
      <c r="AB94" s="209" t="e">
        <f ca="1">walls_forges_cap*(1-EXP(-#REF!/(walls_forges_param*(OFFSET(#REF!,1,0)-OFFSET(#REF!,1,0)*20)+15000)))*(1+(mason_bonus*#REF!/#REF!))</f>
        <v>#REF!</v>
      </c>
      <c r="AC94" s="209" t="e">
        <f ca="1">walls_forges_cap*(1-EXP(-#REF!/(walls_forges_param*(OFFSET(#REF!,1,0)-OFFSET(#REF!,1,0)*20)+15000)))*(1+(mason_bonus*#REF!/#REF!))</f>
        <v>#REF!</v>
      </c>
      <c r="AD94" s="209" t="e">
        <f ca="1">harbor_towers_cap*(1-EXP(-#REF!/(harbor_towers_param*(OFFSET(#REF!,1,0)-OFFSET(#REF!,1,0)*20)+15000)))*(1+(mason_bonus*#REF!/#REF!))</f>
        <v>#REF!</v>
      </c>
      <c r="AE94" s="134"/>
      <c r="AF94" s="61" t="e">
        <f ca="1">(1+Overview!$I$28)*SUM(#REF!)+OFFSET(#REF!,-1,0)</f>
        <v>#REF!</v>
      </c>
      <c r="AG94" s="61" t="e">
        <f ca="1">(1+Overview!$I$28)*SUM(#REF!)+OFFSET(#REF!,-1,0)</f>
        <v>#REF!</v>
      </c>
      <c r="AH94" s="61" t="e">
        <f ca="1">(1+Overview!$I$28 + tech_7_1*#REF!)*SUM(#REF!)+OFFSET(#REF!,-1,0)</f>
        <v>#REF!</v>
      </c>
      <c r="AI94" s="61" t="e">
        <f ca="1">(1+Overview!$I$28)*SUM(#REF!)+OFFSET(#REF!,-1,0)</f>
        <v>#REF!</v>
      </c>
      <c r="AJ94" s="61" t="e">
        <f ca="1">(1+Overview!$I$28)*SUM(#REF!)+OFFSET(#REF!,-1,0)</f>
        <v>#REF!</v>
      </c>
      <c r="AK94" s="61" t="e">
        <f ca="1">(1+Overview!$I$28 + tech_7_1*#REF!)*SUM(#REF!)+OFFSET(#REF!,-1,0)</f>
        <v>#REF!</v>
      </c>
      <c r="AL94" s="134"/>
      <c r="AM94" s="57" t="e">
        <f>IF(AND(#REF!=AM$2,#REF!&lt;&gt;""),#REF!) + IF(AND(#REF!=AM$2,#REF!&lt;&gt;""),#REF!) + IF(AND(#REF!=AM$2,#REF!&lt;&gt;""),#REF!)</f>
        <v>#REF!</v>
      </c>
      <c r="AN94" s="57" t="e">
        <f>IF(AND(#REF!=AN$2,#REF!&lt;&gt;""),#REF!) + IF(AND(#REF!=AN$2,#REF!&lt;&gt;""),#REF!) + IF(AND(#REF!=AN$2,#REF!&lt;&gt;""),#REF!)</f>
        <v>#REF!</v>
      </c>
      <c r="AO94" s="57" t="e">
        <f>IF(AND(#REF!=AO$2,#REF!&lt;&gt;""),#REF!) + IF(AND(#REF!=AO$2,#REF!&lt;&gt;""),#REF!) + IF(AND(#REF!=AO$2,#REF!&lt;&gt;""),#REF!)</f>
        <v>#REF!</v>
      </c>
      <c r="AP94" s="57" t="e">
        <f>IF(AND(#REF!=AP$2,#REF!&lt;&gt;""),#REF!) + IF(AND(#REF!=AP$2,#REF!&lt;&gt;""),#REF!) + IF(AND(#REF!=AP$2,#REF!&lt;&gt;""),#REF!)</f>
        <v>#REF!</v>
      </c>
      <c r="AQ94" s="134"/>
      <c r="AR94" s="57" t="e">
        <f>IF(#REF!=AR$2,IF(#REF!=$Y$2,#REF!*plat_invest)) + IF(#REF!=AR$2,IF(#REF!=$Y$2,#REF!*plat_invest)) + IF(#REF!=AR$2,IF(#REF!=$Y$2,#REF!*plat_invest))</f>
        <v>#REF!</v>
      </c>
      <c r="AS94" s="57" t="e">
        <f>IF(#REF!=AS$2,IF(#REF!=$Y$2,#REF!*lumber_invest)) + IF(#REF!=AS$2,IF(#REF!=$Y$2,#REF!*lumber_invest)) + IF(#REF!=AS$2,IF(#REF!=$Y$2,#REF!*lumber_invest))</f>
        <v>#REF!</v>
      </c>
      <c r="AT94" s="57" t="e">
        <f>IF(#REF!=AT$2,IF(#REF!=$Y$2,#REF!*ore_invest)) + IF(#REF!=AT$2,IF(#REF!=$Y$2,#REF!*ore_invest)) + IF(#REF!=AT$2,IF(#REF!=$Y$2,#REF!*ore_invest))</f>
        <v>#REF!</v>
      </c>
      <c r="AU94" s="57" t="e">
        <f>IF(#REF!=AU$2,IF(#REF!=$Y$2,#REF!*gem_invest)) + IF(#REF!=AU$2,IF(#REF!=$Y$2,#REF!*gem_invest)) + IF(#REF!=AU$2,IF(#REF!=$Y$2,#REF!*gem_invest))</f>
        <v>#REF!</v>
      </c>
      <c r="AV94" s="134"/>
      <c r="AW94" s="57" t="e">
        <f>IF(#REF!=AW$2,IF(#REF!=$Z$2,#REF!*plat_invest)) + IF(#REF!=AW$2,IF(#REF!=$Z$2,#REF!*plat_invest)) + IF(#REF!=AW$2,IF(#REF!=$Z$2,#REF!*plat_invest))</f>
        <v>#REF!</v>
      </c>
      <c r="AX94" s="57" t="e">
        <f>IF(#REF!=AX$2,IF(#REF!=$Z$2,#REF!*lumber_invest)) + IF(#REF!=AX$2,IF(#REF!=$Z$2,#REF!*lumber_invest)) + IF(#REF!=AX$2,IF(#REF!=$Z$2,#REF!*lumber_invest))</f>
        <v>#REF!</v>
      </c>
      <c r="AY94" s="57" t="e">
        <f>IF(#REF!=AY$2,IF(#REF!=$Z$2,#REF!*ore_invest)) + IF(#REF!=AY$2,IF(#REF!=$Z$2,#REF!*ore_invest)) + IF(#REF!=AY$2,IF(#REF!=$Z$2,#REF!*ore_invest))</f>
        <v>#REF!</v>
      </c>
      <c r="AZ94" s="57" t="e">
        <f>IF(#REF!=AZ$2,IF(#REF!=$Z$2,#REF!*gem_invest)) + IF(#REF!=AZ$2,IF(#REF!=$Z$2,#REF!*gem_invest)) + IF(#REF!=AZ$2,IF(#REF!=$Z$2,#REF!*gem_invest))</f>
        <v>#REF!</v>
      </c>
      <c r="BA94" s="134"/>
      <c r="BB94" s="57" t="e">
        <f>IF(#REF!=BB$2,IF(#REF!=$AA$2,#REF!*plat_invest)) + IF(#REF!=BB$2,IF(#REF!=$AA$2,#REF!*plat_invest)) + IF(#REF!=BB$2,IF(#REF!=$AA$2,#REF!*plat_invest))</f>
        <v>#REF!</v>
      </c>
      <c r="BC94" s="57" t="e">
        <f>IF(#REF!=BC$2,IF(#REF!=$AA$2,#REF!*lumber_invest)) + IF(#REF!=BC$2,IF(#REF!=$AA$2,#REF!*lumber_invest)) + IF(#REF!=BC$2,IF(#REF!=$AA$2,#REF!*lumber_invest))</f>
        <v>#REF!</v>
      </c>
      <c r="BD94" s="57" t="e">
        <f>IF(#REF!=BD$2,IF(#REF!=$AA$2,#REF!*ore_invest)) + IF(#REF!=BD$2,IF(#REF!=$AA$2,#REF!*ore_invest)) + IF(#REF!=BD$2,IF(#REF!=$AA$2,#REF!*ore_invest))</f>
        <v>#REF!</v>
      </c>
      <c r="BE94" s="57" t="e">
        <f>IF(#REF!=BE$2,IF(#REF!=$AA$2,#REF!*gem_invest)) + IF(#REF!=BE$2,IF(#REF!=$AA$2,#REF!*gem_invest)) + IF(#REF!=BE$2,IF(#REF!=$AA$2,#REF!*gem_invest))</f>
        <v>#REF!</v>
      </c>
      <c r="BF94" s="134"/>
      <c r="BG94" s="57" t="e">
        <f>IF(#REF!=BG$2,IF(#REF!=$AB$2,#REF!*plat_invest)) + IF(#REF!=BG$2,IF(#REF!=$AB$2,#REF!*plat_invest)) + IF(#REF!=BG$2,IF(#REF!=$AB$2,#REF!*plat_invest))</f>
        <v>#REF!</v>
      </c>
      <c r="BH94" s="57" t="e">
        <f>IF(#REF!=BH$2,IF(#REF!=$AB$2,#REF!*lumber_invest)) + IF(#REF!=BH$2,IF(#REF!=$AB$2,#REF!*lumber_invest)) + IF(#REF!=BH$2,IF(#REF!=$AB$2,#REF!*lumber_invest))</f>
        <v>#REF!</v>
      </c>
      <c r="BI94" s="57" t="e">
        <f>IF(#REF!=BI$2,IF(#REF!=$AB$2,#REF!*ore_invest)) + IF(#REF!=BI$2,IF(#REF!=$AB$2,#REF!*ore_invest)) + IF(#REF!=BI$2,IF(#REF!=$AB$2,#REF!*ore_invest))</f>
        <v>#REF!</v>
      </c>
      <c r="BJ94" s="57" t="e">
        <f>IF(#REF!=BJ$2,IF(#REF!=$AB$2,#REF!*gem_invest)) + IF(#REF!=BJ$2,IF(#REF!=$AB$2,#REF!*gem_invest)) + IF(#REF!=BJ$2,IF(#REF!=$AB$2,#REF!*gem_invest))</f>
        <v>#REF!</v>
      </c>
      <c r="BK94" s="134"/>
      <c r="BL94" s="57" t="e">
        <f>IF(#REF!=BL$2,IF(#REF!=$AC$2,#REF!*plat_invest)) + IF(#REF!=BL$2,IF(#REF!=$AC$2,#REF!*plat_invest)) + IF(#REF!=BL$2,IF(#REF!=$AC$2,#REF!*plat_invest))</f>
        <v>#REF!</v>
      </c>
      <c r="BM94" s="57" t="e">
        <f>IF(#REF!=BM$2,IF(#REF!=$AC$2,#REF!*lumber_invest)) + IF(#REF!=BM$2,IF(#REF!=$AC$2,#REF!*lumber_invest)) + IF(#REF!=BM$2,IF(#REF!=$AC$2,#REF!*lumber_invest))</f>
        <v>#REF!</v>
      </c>
      <c r="BN94" s="57" t="e">
        <f>IF(#REF!=BN$2,IF(#REF!=$AC$2,#REF!*ore_invest)) + IF(#REF!=BN$2,IF(#REF!=$AC$2,#REF!*ore_invest)) + IF(#REF!=BN$2,IF(#REF!=$AC$2,#REF!*ore_invest))</f>
        <v>#REF!</v>
      </c>
      <c r="BO94" s="57" t="e">
        <f>IF(#REF!=BO$2,IF(#REF!=$AC$2,#REF!*gem_invest)) + IF(#REF!=BO$2,IF(#REF!=$AC$2,#REF!*gem_invest)) + IF(#REF!=BO$2,IF(#REF!=$AC$2,#REF!*gem_invest))</f>
        <v>#REF!</v>
      </c>
      <c r="BP94" s="134"/>
      <c r="BQ94" s="57" t="e">
        <f>IF(#REF!=BQ$2,IF(#REF!=$AD$2,#REF!*plat_invest)) + IF(#REF!=BQ$2,IF(#REF!=$AD$2,#REF!*plat_invest)) + IF(#REF!=BQ$2,IF(#REF!=$AD$2,#REF!*plat_invest))</f>
        <v>#REF!</v>
      </c>
      <c r="BR94" s="57" t="e">
        <f>IF(#REF!=BR$2,IF(#REF!=$AD$2,#REF!*lumber_invest)) + IF(#REF!=BR$2,IF(#REF!=$AD$2,#REF!*lumber_invest)) + IF(#REF!=BR$2,IF(#REF!=$AD$2,#REF!*lumber_invest))</f>
        <v>#REF!</v>
      </c>
      <c r="BS94" s="57" t="e">
        <f>IF(#REF!=BS$2,IF(#REF!=$AD$2,#REF!*ore_invest)) + IF(#REF!=BS$2,IF(#REF!=$AD$2,#REF!*ore_invest)) + IF(#REF!=BS$2,IF(#REF!=$AD$2,#REF!*ore_invest))</f>
        <v>#REF!</v>
      </c>
      <c r="BT94" s="57" t="e">
        <f>IF(#REF!=BT$2,IF(#REF!=$AD$2,#REF!*gem_invest)) + IF(#REF!=BT$2,IF(#REF!=$AD$2,#REF!*gem_invest)) + IF(#REF!=BT$2,IF(#REF!=$AD$2,#REF!*gem_invest))</f>
        <v>#REF!</v>
      </c>
      <c r="BU94" s="134"/>
      <c r="BV94" s="3" t="e">
        <f>OR(#REF!,#REF!,#REF!,#REF!,#REF!,#REF!,#REF!,#REF!,#REF!)</f>
        <v>#REF!</v>
      </c>
      <c r="BW94" s="61" t="e">
        <f>#REF!</f>
        <v>#REF!</v>
      </c>
      <c r="BX94" s="130"/>
      <c r="BY94" s="284" t="e">
        <f ca="1">OFFSET(#REF!,-1,0)+1/24</f>
        <v>#REF!</v>
      </c>
      <c r="BZ94" s="285" t="e">
        <f ca="1">OFFSET(#REF!,-1,0)+1/24</f>
        <v>#REF!</v>
      </c>
      <c r="CA94" s="57"/>
      <c r="CB94" s="283"/>
      <c r="CC94" s="283"/>
    </row>
    <row r="95" spans="1:84" x14ac:dyDescent="0.25">
      <c r="A95" s="206" t="e">
        <f>#REF!</f>
        <v>#REF!</v>
      </c>
      <c r="B95" s="134"/>
      <c r="C95" s="39" t="e">
        <f>#REF!</f>
        <v>#REF!</v>
      </c>
      <c r="D95" s="39" t="e">
        <f>#REF!</f>
        <v>#REF!</v>
      </c>
      <c r="E95" s="39" t="e">
        <f>#REF!</f>
        <v>#REF!</v>
      </c>
      <c r="F95" s="39" t="e">
        <f>#REF!</f>
        <v>#REF!</v>
      </c>
      <c r="G95" s="133"/>
      <c r="H95" s="39" t="e">
        <f>#REF!</f>
        <v>#REF!</v>
      </c>
      <c r="I95" s="132" t="e">
        <f>#REF!</f>
        <v>#REF!</v>
      </c>
      <c r="J95" s="132" t="e">
        <f>#REF!/#REF!</f>
        <v>#REF!</v>
      </c>
      <c r="K95" s="160" t="e">
        <f>#REF!</f>
        <v>#REF!</v>
      </c>
      <c r="L95" s="276" t="e">
        <f>#REF!</f>
        <v>#REF!</v>
      </c>
      <c r="M95" s="61">
        <f>IF(ISERROR(#REF!),0,#REF!*1)</f>
        <v>0</v>
      </c>
      <c r="N95" s="39" t="e">
        <f>#REF!</f>
        <v>#REF!</v>
      </c>
      <c r="O95" s="277" t="s">
        <v>4</v>
      </c>
      <c r="P95" s="278"/>
      <c r="Q95" s="277" t="s">
        <v>211</v>
      </c>
      <c r="R95" s="277" t="s">
        <v>7</v>
      </c>
      <c r="S95" s="278"/>
      <c r="T95" s="277" t="s">
        <v>211</v>
      </c>
      <c r="U95" s="277" t="s">
        <v>3</v>
      </c>
      <c r="V95" s="278"/>
      <c r="W95" s="277" t="s">
        <v>211</v>
      </c>
      <c r="X95" s="134"/>
      <c r="Y95" s="209" t="e">
        <f ca="1">science_cap*(1-EXP(-#REF!/(science_param*(OFFSET(#REF!,1,0)-OFFSET(#REF!,1,0)*20)+15000)))*(1+(mason_bonus*#REF!/#REF!))</f>
        <v>#REF!</v>
      </c>
      <c r="Z95" s="209" t="e">
        <f ca="1">keep_cap*(1-EXP(-#REF!/(keep_param*(OFFSET(#REF!,1,0)-OFFSET(#REF!,1,0)*20)+15000)))*(1+(mason_bonus*#REF!/#REF!))</f>
        <v>#REF!</v>
      </c>
      <c r="AA95" s="209" t="e">
        <f ca="1">harbor_towers_cap*(1-EXP(-#REF!/(towers_param*(OFFSET(#REF!,1,0)-OFFSET(#REF!,1,0)*20)+15000)))*(1+(mason_bonus*#REF!/#REF!))</f>
        <v>#REF!</v>
      </c>
      <c r="AB95" s="209" t="e">
        <f ca="1">walls_forges_cap*(1-EXP(-#REF!/(walls_forges_param*(OFFSET(#REF!,1,0)-OFFSET(#REF!,1,0)*20)+15000)))*(1+(mason_bonus*#REF!/#REF!))</f>
        <v>#REF!</v>
      </c>
      <c r="AC95" s="209" t="e">
        <f ca="1">walls_forges_cap*(1-EXP(-#REF!/(walls_forges_param*(OFFSET(#REF!,1,0)-OFFSET(#REF!,1,0)*20)+15000)))*(1+(mason_bonus*#REF!/#REF!))</f>
        <v>#REF!</v>
      </c>
      <c r="AD95" s="209" t="e">
        <f ca="1">harbor_towers_cap*(1-EXP(-#REF!/(harbor_towers_param*(OFFSET(#REF!,1,0)-OFFSET(#REF!,1,0)*20)+15000)))*(1+(mason_bonus*#REF!/#REF!))</f>
        <v>#REF!</v>
      </c>
      <c r="AE95" s="134"/>
      <c r="AF95" s="61" t="e">
        <f ca="1">(1+Overview!$I$28)*SUM(#REF!)+OFFSET(#REF!,-1,0)</f>
        <v>#REF!</v>
      </c>
      <c r="AG95" s="61" t="e">
        <f ca="1">(1+Overview!$I$28)*SUM(#REF!)+OFFSET(#REF!,-1,0)</f>
        <v>#REF!</v>
      </c>
      <c r="AH95" s="61" t="e">
        <f ca="1">(1+Overview!$I$28 + tech_7_1*#REF!)*SUM(#REF!)+OFFSET(#REF!,-1,0)</f>
        <v>#REF!</v>
      </c>
      <c r="AI95" s="61" t="e">
        <f ca="1">(1+Overview!$I$28)*SUM(#REF!)+OFFSET(#REF!,-1,0)</f>
        <v>#REF!</v>
      </c>
      <c r="AJ95" s="61" t="e">
        <f ca="1">(1+Overview!$I$28)*SUM(#REF!)+OFFSET(#REF!,-1,0)</f>
        <v>#REF!</v>
      </c>
      <c r="AK95" s="61" t="e">
        <f ca="1">(1+Overview!$I$28 + tech_7_1*#REF!)*SUM(#REF!)+OFFSET(#REF!,-1,0)</f>
        <v>#REF!</v>
      </c>
      <c r="AL95" s="134"/>
      <c r="AM95" s="57" t="e">
        <f>IF(AND(#REF!=AM$2,#REF!&lt;&gt;""),#REF!) + IF(AND(#REF!=AM$2,#REF!&lt;&gt;""),#REF!) + IF(AND(#REF!=AM$2,#REF!&lt;&gt;""),#REF!)</f>
        <v>#REF!</v>
      </c>
      <c r="AN95" s="57" t="e">
        <f>IF(AND(#REF!=AN$2,#REF!&lt;&gt;""),#REF!) + IF(AND(#REF!=AN$2,#REF!&lt;&gt;""),#REF!) + IF(AND(#REF!=AN$2,#REF!&lt;&gt;""),#REF!)</f>
        <v>#REF!</v>
      </c>
      <c r="AO95" s="57" t="e">
        <f>IF(AND(#REF!=AO$2,#REF!&lt;&gt;""),#REF!) + IF(AND(#REF!=AO$2,#REF!&lt;&gt;""),#REF!) + IF(AND(#REF!=AO$2,#REF!&lt;&gt;""),#REF!)</f>
        <v>#REF!</v>
      </c>
      <c r="AP95" s="57" t="e">
        <f>IF(AND(#REF!=AP$2,#REF!&lt;&gt;""),#REF!) + IF(AND(#REF!=AP$2,#REF!&lt;&gt;""),#REF!) + IF(AND(#REF!=AP$2,#REF!&lt;&gt;""),#REF!)</f>
        <v>#REF!</v>
      </c>
      <c r="AQ95" s="134"/>
      <c r="AR95" s="57" t="e">
        <f>IF(#REF!=AR$2,IF(#REF!=$Y$2,#REF!*plat_invest)) + IF(#REF!=AR$2,IF(#REF!=$Y$2,#REF!*plat_invest)) + IF(#REF!=AR$2,IF(#REF!=$Y$2,#REF!*plat_invest))</f>
        <v>#REF!</v>
      </c>
      <c r="AS95" s="57" t="e">
        <f>IF(#REF!=AS$2,IF(#REF!=$Y$2,#REF!*lumber_invest)) + IF(#REF!=AS$2,IF(#REF!=$Y$2,#REF!*lumber_invest)) + IF(#REF!=AS$2,IF(#REF!=$Y$2,#REF!*lumber_invest))</f>
        <v>#REF!</v>
      </c>
      <c r="AT95" s="57" t="e">
        <f>IF(#REF!=AT$2,IF(#REF!=$Y$2,#REF!*ore_invest)) + IF(#REF!=AT$2,IF(#REF!=$Y$2,#REF!*ore_invest)) + IF(#REF!=AT$2,IF(#REF!=$Y$2,#REF!*ore_invest))</f>
        <v>#REF!</v>
      </c>
      <c r="AU95" s="57" t="e">
        <f>IF(#REF!=AU$2,IF(#REF!=$Y$2,#REF!*gem_invest)) + IF(#REF!=AU$2,IF(#REF!=$Y$2,#REF!*gem_invest)) + IF(#REF!=AU$2,IF(#REF!=$Y$2,#REF!*gem_invest))</f>
        <v>#REF!</v>
      </c>
      <c r="AV95" s="134"/>
      <c r="AW95" s="57" t="e">
        <f>IF(#REF!=AW$2,IF(#REF!=$Z$2,#REF!*plat_invest)) + IF(#REF!=AW$2,IF(#REF!=$Z$2,#REF!*plat_invest)) + IF(#REF!=AW$2,IF(#REF!=$Z$2,#REF!*plat_invest))</f>
        <v>#REF!</v>
      </c>
      <c r="AX95" s="57" t="e">
        <f>IF(#REF!=AX$2,IF(#REF!=$Z$2,#REF!*lumber_invest)) + IF(#REF!=AX$2,IF(#REF!=$Z$2,#REF!*lumber_invest)) + IF(#REF!=AX$2,IF(#REF!=$Z$2,#REF!*lumber_invest))</f>
        <v>#REF!</v>
      </c>
      <c r="AY95" s="57" t="e">
        <f>IF(#REF!=AY$2,IF(#REF!=$Z$2,#REF!*ore_invest)) + IF(#REF!=AY$2,IF(#REF!=$Z$2,#REF!*ore_invest)) + IF(#REF!=AY$2,IF(#REF!=$Z$2,#REF!*ore_invest))</f>
        <v>#REF!</v>
      </c>
      <c r="AZ95" s="57" t="e">
        <f>IF(#REF!=AZ$2,IF(#REF!=$Z$2,#REF!*gem_invest)) + IF(#REF!=AZ$2,IF(#REF!=$Z$2,#REF!*gem_invest)) + IF(#REF!=AZ$2,IF(#REF!=$Z$2,#REF!*gem_invest))</f>
        <v>#REF!</v>
      </c>
      <c r="BA95" s="134"/>
      <c r="BB95" s="57" t="e">
        <f>IF(#REF!=BB$2,IF(#REF!=$AA$2,#REF!*plat_invest)) + IF(#REF!=BB$2,IF(#REF!=$AA$2,#REF!*plat_invest)) + IF(#REF!=BB$2,IF(#REF!=$AA$2,#REF!*plat_invest))</f>
        <v>#REF!</v>
      </c>
      <c r="BC95" s="57" t="e">
        <f>IF(#REF!=BC$2,IF(#REF!=$AA$2,#REF!*lumber_invest)) + IF(#REF!=BC$2,IF(#REF!=$AA$2,#REF!*lumber_invest)) + IF(#REF!=BC$2,IF(#REF!=$AA$2,#REF!*lumber_invest))</f>
        <v>#REF!</v>
      </c>
      <c r="BD95" s="57" t="e">
        <f>IF(#REF!=BD$2,IF(#REF!=$AA$2,#REF!*ore_invest)) + IF(#REF!=BD$2,IF(#REF!=$AA$2,#REF!*ore_invest)) + IF(#REF!=BD$2,IF(#REF!=$AA$2,#REF!*ore_invest))</f>
        <v>#REF!</v>
      </c>
      <c r="BE95" s="57" t="e">
        <f>IF(#REF!=BE$2,IF(#REF!=$AA$2,#REF!*gem_invest)) + IF(#REF!=BE$2,IF(#REF!=$AA$2,#REF!*gem_invest)) + IF(#REF!=BE$2,IF(#REF!=$AA$2,#REF!*gem_invest))</f>
        <v>#REF!</v>
      </c>
      <c r="BF95" s="134"/>
      <c r="BG95" s="57" t="e">
        <f>IF(#REF!=BG$2,IF(#REF!=$AB$2,#REF!*plat_invest)) + IF(#REF!=BG$2,IF(#REF!=$AB$2,#REF!*plat_invest)) + IF(#REF!=BG$2,IF(#REF!=$AB$2,#REF!*plat_invest))</f>
        <v>#REF!</v>
      </c>
      <c r="BH95" s="57" t="e">
        <f>IF(#REF!=BH$2,IF(#REF!=$AB$2,#REF!*lumber_invest)) + IF(#REF!=BH$2,IF(#REF!=$AB$2,#REF!*lumber_invest)) + IF(#REF!=BH$2,IF(#REF!=$AB$2,#REF!*lumber_invest))</f>
        <v>#REF!</v>
      </c>
      <c r="BI95" s="57" t="e">
        <f>IF(#REF!=BI$2,IF(#REF!=$AB$2,#REF!*ore_invest)) + IF(#REF!=BI$2,IF(#REF!=$AB$2,#REF!*ore_invest)) + IF(#REF!=BI$2,IF(#REF!=$AB$2,#REF!*ore_invest))</f>
        <v>#REF!</v>
      </c>
      <c r="BJ95" s="57" t="e">
        <f>IF(#REF!=BJ$2,IF(#REF!=$AB$2,#REF!*gem_invest)) + IF(#REF!=BJ$2,IF(#REF!=$AB$2,#REF!*gem_invest)) + IF(#REF!=BJ$2,IF(#REF!=$AB$2,#REF!*gem_invest))</f>
        <v>#REF!</v>
      </c>
      <c r="BK95" s="134"/>
      <c r="BL95" s="57" t="e">
        <f>IF(#REF!=BL$2,IF(#REF!=$AC$2,#REF!*plat_invest)) + IF(#REF!=BL$2,IF(#REF!=$AC$2,#REF!*plat_invest)) + IF(#REF!=BL$2,IF(#REF!=$AC$2,#REF!*plat_invest))</f>
        <v>#REF!</v>
      </c>
      <c r="BM95" s="57" t="e">
        <f>IF(#REF!=BM$2,IF(#REF!=$AC$2,#REF!*lumber_invest)) + IF(#REF!=BM$2,IF(#REF!=$AC$2,#REF!*lumber_invest)) + IF(#REF!=BM$2,IF(#REF!=$AC$2,#REF!*lumber_invest))</f>
        <v>#REF!</v>
      </c>
      <c r="BN95" s="57" t="e">
        <f>IF(#REF!=BN$2,IF(#REF!=$AC$2,#REF!*ore_invest)) + IF(#REF!=BN$2,IF(#REF!=$AC$2,#REF!*ore_invest)) + IF(#REF!=BN$2,IF(#REF!=$AC$2,#REF!*ore_invest))</f>
        <v>#REF!</v>
      </c>
      <c r="BO95" s="57" t="e">
        <f>IF(#REF!=BO$2,IF(#REF!=$AC$2,#REF!*gem_invest)) + IF(#REF!=BO$2,IF(#REF!=$AC$2,#REF!*gem_invest)) + IF(#REF!=BO$2,IF(#REF!=$AC$2,#REF!*gem_invest))</f>
        <v>#REF!</v>
      </c>
      <c r="BP95" s="134"/>
      <c r="BQ95" s="57" t="e">
        <f>IF(#REF!=BQ$2,IF(#REF!=$AD$2,#REF!*plat_invest)) + IF(#REF!=BQ$2,IF(#REF!=$AD$2,#REF!*plat_invest)) + IF(#REF!=BQ$2,IF(#REF!=$AD$2,#REF!*plat_invest))</f>
        <v>#REF!</v>
      </c>
      <c r="BR95" s="57" t="e">
        <f>IF(#REF!=BR$2,IF(#REF!=$AD$2,#REF!*lumber_invest)) + IF(#REF!=BR$2,IF(#REF!=$AD$2,#REF!*lumber_invest)) + IF(#REF!=BR$2,IF(#REF!=$AD$2,#REF!*lumber_invest))</f>
        <v>#REF!</v>
      </c>
      <c r="BS95" s="57" t="e">
        <f>IF(#REF!=BS$2,IF(#REF!=$AD$2,#REF!*ore_invest)) + IF(#REF!=BS$2,IF(#REF!=$AD$2,#REF!*ore_invest)) + IF(#REF!=BS$2,IF(#REF!=$AD$2,#REF!*ore_invest))</f>
        <v>#REF!</v>
      </c>
      <c r="BT95" s="57" t="e">
        <f>IF(#REF!=BT$2,IF(#REF!=$AD$2,#REF!*gem_invest)) + IF(#REF!=BT$2,IF(#REF!=$AD$2,#REF!*gem_invest)) + IF(#REF!=BT$2,IF(#REF!=$AD$2,#REF!*gem_invest))</f>
        <v>#REF!</v>
      </c>
      <c r="BU95" s="134"/>
      <c r="BV95" s="3" t="e">
        <f>OR(#REF!,#REF!,#REF!,#REF!,#REF!,#REF!,#REF!,#REF!,#REF!)</f>
        <v>#REF!</v>
      </c>
      <c r="BW95" s="61" t="e">
        <f>#REF!</f>
        <v>#REF!</v>
      </c>
      <c r="BX95" s="130"/>
      <c r="BY95" s="284" t="e">
        <f ca="1">OFFSET(#REF!,-1,0)+1/24</f>
        <v>#REF!</v>
      </c>
      <c r="BZ95" s="285" t="e">
        <f ca="1">OFFSET(#REF!,-1,0)+1/24</f>
        <v>#REF!</v>
      </c>
      <c r="CA95" s="57"/>
      <c r="CB95" s="283"/>
      <c r="CC95" s="283"/>
    </row>
    <row r="96" spans="1:84" x14ac:dyDescent="0.25">
      <c r="A96" s="206" t="e">
        <f>#REF!</f>
        <v>#REF!</v>
      </c>
      <c r="B96" s="134"/>
      <c r="C96" s="39" t="e">
        <f>#REF!</f>
        <v>#REF!</v>
      </c>
      <c r="D96" s="39" t="e">
        <f>#REF!</f>
        <v>#REF!</v>
      </c>
      <c r="E96" s="39" t="e">
        <f>#REF!</f>
        <v>#REF!</v>
      </c>
      <c r="F96" s="39" t="e">
        <f>#REF!</f>
        <v>#REF!</v>
      </c>
      <c r="G96" s="133"/>
      <c r="H96" s="39" t="e">
        <f>#REF!</f>
        <v>#REF!</v>
      </c>
      <c r="I96" s="132" t="e">
        <f>#REF!</f>
        <v>#REF!</v>
      </c>
      <c r="J96" s="132" t="e">
        <f>#REF!/#REF!</f>
        <v>#REF!</v>
      </c>
      <c r="K96" s="160" t="e">
        <f>#REF!</f>
        <v>#REF!</v>
      </c>
      <c r="L96" s="276" t="e">
        <f>#REF!</f>
        <v>#REF!</v>
      </c>
      <c r="M96" s="61">
        <f>IF(ISERROR(#REF!),0,#REF!*1)</f>
        <v>0</v>
      </c>
      <c r="N96" s="39" t="e">
        <f>#REF!</f>
        <v>#REF!</v>
      </c>
      <c r="O96" s="277" t="s">
        <v>4</v>
      </c>
      <c r="P96" s="278"/>
      <c r="Q96" s="277" t="s">
        <v>211</v>
      </c>
      <c r="R96" s="277" t="s">
        <v>7</v>
      </c>
      <c r="S96" s="278"/>
      <c r="T96" s="277" t="s">
        <v>211</v>
      </c>
      <c r="U96" s="277" t="s">
        <v>3</v>
      </c>
      <c r="V96" s="278"/>
      <c r="W96" s="277" t="s">
        <v>211</v>
      </c>
      <c r="X96" s="134"/>
      <c r="Y96" s="209" t="e">
        <f ca="1">science_cap*(1-EXP(-#REF!/(science_param*(OFFSET(#REF!,1,0)-OFFSET(#REF!,1,0)*20)+15000)))*(1+(mason_bonus*#REF!/#REF!))</f>
        <v>#REF!</v>
      </c>
      <c r="Z96" s="209" t="e">
        <f ca="1">keep_cap*(1-EXP(-#REF!/(keep_param*(OFFSET(#REF!,1,0)-OFFSET(#REF!,1,0)*20)+15000)))*(1+(mason_bonus*#REF!/#REF!))</f>
        <v>#REF!</v>
      </c>
      <c r="AA96" s="209" t="e">
        <f ca="1">harbor_towers_cap*(1-EXP(-#REF!/(towers_param*(OFFSET(#REF!,1,0)-OFFSET(#REF!,1,0)*20)+15000)))*(1+(mason_bonus*#REF!/#REF!))</f>
        <v>#REF!</v>
      </c>
      <c r="AB96" s="209" t="e">
        <f ca="1">walls_forges_cap*(1-EXP(-#REF!/(walls_forges_param*(OFFSET(#REF!,1,0)-OFFSET(#REF!,1,0)*20)+15000)))*(1+(mason_bonus*#REF!/#REF!))</f>
        <v>#REF!</v>
      </c>
      <c r="AC96" s="209" t="e">
        <f ca="1">walls_forges_cap*(1-EXP(-#REF!/(walls_forges_param*(OFFSET(#REF!,1,0)-OFFSET(#REF!,1,0)*20)+15000)))*(1+(mason_bonus*#REF!/#REF!))</f>
        <v>#REF!</v>
      </c>
      <c r="AD96" s="209" t="e">
        <f ca="1">harbor_towers_cap*(1-EXP(-#REF!/(harbor_towers_param*(OFFSET(#REF!,1,0)-OFFSET(#REF!,1,0)*20)+15000)))*(1+(mason_bonus*#REF!/#REF!))</f>
        <v>#REF!</v>
      </c>
      <c r="AE96" s="134"/>
      <c r="AF96" s="61" t="e">
        <f ca="1">(1+Overview!$I$28)*SUM(#REF!)+OFFSET(#REF!,-1,0)</f>
        <v>#REF!</v>
      </c>
      <c r="AG96" s="61" t="e">
        <f ca="1">(1+Overview!$I$28)*SUM(#REF!)+OFFSET(#REF!,-1,0)</f>
        <v>#REF!</v>
      </c>
      <c r="AH96" s="61" t="e">
        <f ca="1">(1+Overview!$I$28 + tech_7_1*#REF!)*SUM(#REF!)+OFFSET(#REF!,-1,0)</f>
        <v>#REF!</v>
      </c>
      <c r="AI96" s="61" t="e">
        <f ca="1">(1+Overview!$I$28)*SUM(#REF!)+OFFSET(#REF!,-1,0)</f>
        <v>#REF!</v>
      </c>
      <c r="AJ96" s="61" t="e">
        <f ca="1">(1+Overview!$I$28)*SUM(#REF!)+OFFSET(#REF!,-1,0)</f>
        <v>#REF!</v>
      </c>
      <c r="AK96" s="61" t="e">
        <f ca="1">(1+Overview!$I$28 + tech_7_1*#REF!)*SUM(#REF!)+OFFSET(#REF!,-1,0)</f>
        <v>#REF!</v>
      </c>
      <c r="AL96" s="134"/>
      <c r="AM96" s="57" t="e">
        <f>IF(AND(#REF!=AM$2,#REF!&lt;&gt;""),#REF!) + IF(AND(#REF!=AM$2,#REF!&lt;&gt;""),#REF!) + IF(AND(#REF!=AM$2,#REF!&lt;&gt;""),#REF!)</f>
        <v>#REF!</v>
      </c>
      <c r="AN96" s="57" t="e">
        <f>IF(AND(#REF!=AN$2,#REF!&lt;&gt;""),#REF!) + IF(AND(#REF!=AN$2,#REF!&lt;&gt;""),#REF!) + IF(AND(#REF!=AN$2,#REF!&lt;&gt;""),#REF!)</f>
        <v>#REF!</v>
      </c>
      <c r="AO96" s="57" t="e">
        <f>IF(AND(#REF!=AO$2,#REF!&lt;&gt;""),#REF!) + IF(AND(#REF!=AO$2,#REF!&lt;&gt;""),#REF!) + IF(AND(#REF!=AO$2,#REF!&lt;&gt;""),#REF!)</f>
        <v>#REF!</v>
      </c>
      <c r="AP96" s="57" t="e">
        <f>IF(AND(#REF!=AP$2,#REF!&lt;&gt;""),#REF!) + IF(AND(#REF!=AP$2,#REF!&lt;&gt;""),#REF!) + IF(AND(#REF!=AP$2,#REF!&lt;&gt;""),#REF!)</f>
        <v>#REF!</v>
      </c>
      <c r="AQ96" s="134"/>
      <c r="AR96" s="57" t="e">
        <f>IF(#REF!=AR$2,IF(#REF!=$Y$2,#REF!*plat_invest)) + IF(#REF!=AR$2,IF(#REF!=$Y$2,#REF!*plat_invest)) + IF(#REF!=AR$2,IF(#REF!=$Y$2,#REF!*plat_invest))</f>
        <v>#REF!</v>
      </c>
      <c r="AS96" s="57" t="e">
        <f>IF(#REF!=AS$2,IF(#REF!=$Y$2,#REF!*lumber_invest)) + IF(#REF!=AS$2,IF(#REF!=$Y$2,#REF!*lumber_invest)) + IF(#REF!=AS$2,IF(#REF!=$Y$2,#REF!*lumber_invest))</f>
        <v>#REF!</v>
      </c>
      <c r="AT96" s="57" t="e">
        <f>IF(#REF!=AT$2,IF(#REF!=$Y$2,#REF!*ore_invest)) + IF(#REF!=AT$2,IF(#REF!=$Y$2,#REF!*ore_invest)) + IF(#REF!=AT$2,IF(#REF!=$Y$2,#REF!*ore_invest))</f>
        <v>#REF!</v>
      </c>
      <c r="AU96" s="57" t="e">
        <f>IF(#REF!=AU$2,IF(#REF!=$Y$2,#REF!*gem_invest)) + IF(#REF!=AU$2,IF(#REF!=$Y$2,#REF!*gem_invest)) + IF(#REF!=AU$2,IF(#REF!=$Y$2,#REF!*gem_invest))</f>
        <v>#REF!</v>
      </c>
      <c r="AV96" s="134"/>
      <c r="AW96" s="57" t="e">
        <f>IF(#REF!=AW$2,IF(#REF!=$Z$2,#REF!*plat_invest)) + IF(#REF!=AW$2,IF(#REF!=$Z$2,#REF!*plat_invest)) + IF(#REF!=AW$2,IF(#REF!=$Z$2,#REF!*plat_invest))</f>
        <v>#REF!</v>
      </c>
      <c r="AX96" s="57" t="e">
        <f>IF(#REF!=AX$2,IF(#REF!=$Z$2,#REF!*lumber_invest)) + IF(#REF!=AX$2,IF(#REF!=$Z$2,#REF!*lumber_invest)) + IF(#REF!=AX$2,IF(#REF!=$Z$2,#REF!*lumber_invest))</f>
        <v>#REF!</v>
      </c>
      <c r="AY96" s="57" t="e">
        <f>IF(#REF!=AY$2,IF(#REF!=$Z$2,#REF!*ore_invest)) + IF(#REF!=AY$2,IF(#REF!=$Z$2,#REF!*ore_invest)) + IF(#REF!=AY$2,IF(#REF!=$Z$2,#REF!*ore_invest))</f>
        <v>#REF!</v>
      </c>
      <c r="AZ96" s="57" t="e">
        <f>IF(#REF!=AZ$2,IF(#REF!=$Z$2,#REF!*gem_invest)) + IF(#REF!=AZ$2,IF(#REF!=$Z$2,#REF!*gem_invest)) + IF(#REF!=AZ$2,IF(#REF!=$Z$2,#REF!*gem_invest))</f>
        <v>#REF!</v>
      </c>
      <c r="BA96" s="134"/>
      <c r="BB96" s="57" t="e">
        <f>IF(#REF!=BB$2,IF(#REF!=$AA$2,#REF!*plat_invest)) + IF(#REF!=BB$2,IF(#REF!=$AA$2,#REF!*plat_invest)) + IF(#REF!=BB$2,IF(#REF!=$AA$2,#REF!*plat_invest))</f>
        <v>#REF!</v>
      </c>
      <c r="BC96" s="57" t="e">
        <f>IF(#REF!=BC$2,IF(#REF!=$AA$2,#REF!*lumber_invest)) + IF(#REF!=BC$2,IF(#REF!=$AA$2,#REF!*lumber_invest)) + IF(#REF!=BC$2,IF(#REF!=$AA$2,#REF!*lumber_invest))</f>
        <v>#REF!</v>
      </c>
      <c r="BD96" s="57" t="e">
        <f>IF(#REF!=BD$2,IF(#REF!=$AA$2,#REF!*ore_invest)) + IF(#REF!=BD$2,IF(#REF!=$AA$2,#REF!*ore_invest)) + IF(#REF!=BD$2,IF(#REF!=$AA$2,#REF!*ore_invest))</f>
        <v>#REF!</v>
      </c>
      <c r="BE96" s="57" t="e">
        <f>IF(#REF!=BE$2,IF(#REF!=$AA$2,#REF!*gem_invest)) + IF(#REF!=BE$2,IF(#REF!=$AA$2,#REF!*gem_invest)) + IF(#REF!=BE$2,IF(#REF!=$AA$2,#REF!*gem_invest))</f>
        <v>#REF!</v>
      </c>
      <c r="BF96" s="134"/>
      <c r="BG96" s="57" t="e">
        <f>IF(#REF!=BG$2,IF(#REF!=$AB$2,#REF!*plat_invest)) + IF(#REF!=BG$2,IF(#REF!=$AB$2,#REF!*plat_invest)) + IF(#REF!=BG$2,IF(#REF!=$AB$2,#REF!*plat_invest))</f>
        <v>#REF!</v>
      </c>
      <c r="BH96" s="57" t="e">
        <f>IF(#REF!=BH$2,IF(#REF!=$AB$2,#REF!*lumber_invest)) + IF(#REF!=BH$2,IF(#REF!=$AB$2,#REF!*lumber_invest)) + IF(#REF!=BH$2,IF(#REF!=$AB$2,#REF!*lumber_invest))</f>
        <v>#REF!</v>
      </c>
      <c r="BI96" s="57" t="e">
        <f>IF(#REF!=BI$2,IF(#REF!=$AB$2,#REF!*ore_invest)) + IF(#REF!=BI$2,IF(#REF!=$AB$2,#REF!*ore_invest)) + IF(#REF!=BI$2,IF(#REF!=$AB$2,#REF!*ore_invest))</f>
        <v>#REF!</v>
      </c>
      <c r="BJ96" s="57" t="e">
        <f>IF(#REF!=BJ$2,IF(#REF!=$AB$2,#REF!*gem_invest)) + IF(#REF!=BJ$2,IF(#REF!=$AB$2,#REF!*gem_invest)) + IF(#REF!=BJ$2,IF(#REF!=$AB$2,#REF!*gem_invest))</f>
        <v>#REF!</v>
      </c>
      <c r="BK96" s="134"/>
      <c r="BL96" s="57" t="e">
        <f>IF(#REF!=BL$2,IF(#REF!=$AC$2,#REF!*plat_invest)) + IF(#REF!=BL$2,IF(#REF!=$AC$2,#REF!*plat_invest)) + IF(#REF!=BL$2,IF(#REF!=$AC$2,#REF!*plat_invest))</f>
        <v>#REF!</v>
      </c>
      <c r="BM96" s="57" t="e">
        <f>IF(#REF!=BM$2,IF(#REF!=$AC$2,#REF!*lumber_invest)) + IF(#REF!=BM$2,IF(#REF!=$AC$2,#REF!*lumber_invest)) + IF(#REF!=BM$2,IF(#REF!=$AC$2,#REF!*lumber_invest))</f>
        <v>#REF!</v>
      </c>
      <c r="BN96" s="57" t="e">
        <f>IF(#REF!=BN$2,IF(#REF!=$AC$2,#REF!*ore_invest)) + IF(#REF!=BN$2,IF(#REF!=$AC$2,#REF!*ore_invest)) + IF(#REF!=BN$2,IF(#REF!=$AC$2,#REF!*ore_invest))</f>
        <v>#REF!</v>
      </c>
      <c r="BO96" s="57" t="e">
        <f>IF(#REF!=BO$2,IF(#REF!=$AC$2,#REF!*gem_invest)) + IF(#REF!=BO$2,IF(#REF!=$AC$2,#REF!*gem_invest)) + IF(#REF!=BO$2,IF(#REF!=$AC$2,#REF!*gem_invest))</f>
        <v>#REF!</v>
      </c>
      <c r="BP96" s="134"/>
      <c r="BQ96" s="57" t="e">
        <f>IF(#REF!=BQ$2,IF(#REF!=$AD$2,#REF!*plat_invest)) + IF(#REF!=BQ$2,IF(#REF!=$AD$2,#REF!*plat_invest)) + IF(#REF!=BQ$2,IF(#REF!=$AD$2,#REF!*plat_invest))</f>
        <v>#REF!</v>
      </c>
      <c r="BR96" s="57" t="e">
        <f>IF(#REF!=BR$2,IF(#REF!=$AD$2,#REF!*lumber_invest)) + IF(#REF!=BR$2,IF(#REF!=$AD$2,#REF!*lumber_invest)) + IF(#REF!=BR$2,IF(#REF!=$AD$2,#REF!*lumber_invest))</f>
        <v>#REF!</v>
      </c>
      <c r="BS96" s="57" t="e">
        <f>IF(#REF!=BS$2,IF(#REF!=$AD$2,#REF!*ore_invest)) + IF(#REF!=BS$2,IF(#REF!=$AD$2,#REF!*ore_invest)) + IF(#REF!=BS$2,IF(#REF!=$AD$2,#REF!*ore_invest))</f>
        <v>#REF!</v>
      </c>
      <c r="BT96" s="57" t="e">
        <f>IF(#REF!=BT$2,IF(#REF!=$AD$2,#REF!*gem_invest)) + IF(#REF!=BT$2,IF(#REF!=$AD$2,#REF!*gem_invest)) + IF(#REF!=BT$2,IF(#REF!=$AD$2,#REF!*gem_invest))</f>
        <v>#REF!</v>
      </c>
      <c r="BU96" s="134"/>
      <c r="BV96" s="3" t="e">
        <f>OR(#REF!,#REF!,#REF!,#REF!,#REF!,#REF!,#REF!,#REF!,#REF!)</f>
        <v>#REF!</v>
      </c>
      <c r="BW96" s="61" t="e">
        <f>#REF!</f>
        <v>#REF!</v>
      </c>
      <c r="BX96" s="130"/>
      <c r="BY96" s="284" t="e">
        <f ca="1">OFFSET(#REF!,-1,0)+1/24</f>
        <v>#REF!</v>
      </c>
      <c r="BZ96" s="285" t="e">
        <f ca="1">OFFSET(#REF!,-1,0)+1/24</f>
        <v>#REF!</v>
      </c>
      <c r="CA96" s="57"/>
      <c r="CB96" s="283"/>
      <c r="CC96" s="283"/>
    </row>
    <row r="97" spans="1:82" x14ac:dyDescent="0.25">
      <c r="A97" s="206" t="e">
        <f>#REF!</f>
        <v>#REF!</v>
      </c>
      <c r="B97" s="134"/>
      <c r="C97" s="39" t="e">
        <f>#REF!</f>
        <v>#REF!</v>
      </c>
      <c r="D97" s="39" t="e">
        <f>#REF!</f>
        <v>#REF!</v>
      </c>
      <c r="E97" s="39" t="e">
        <f>#REF!</f>
        <v>#REF!</v>
      </c>
      <c r="F97" s="39" t="e">
        <f>#REF!</f>
        <v>#REF!</v>
      </c>
      <c r="G97" s="133"/>
      <c r="H97" s="39" t="e">
        <f>#REF!</f>
        <v>#REF!</v>
      </c>
      <c r="I97" s="132" t="e">
        <f>#REF!</f>
        <v>#REF!</v>
      </c>
      <c r="J97" s="132" t="e">
        <f>#REF!/#REF!</f>
        <v>#REF!</v>
      </c>
      <c r="K97" s="160" t="e">
        <f>#REF!</f>
        <v>#REF!</v>
      </c>
      <c r="L97" s="276" t="e">
        <f>#REF!</f>
        <v>#REF!</v>
      </c>
      <c r="M97" s="61">
        <f>IF(ISERROR(#REF!),0,#REF!*1)</f>
        <v>0</v>
      </c>
      <c r="N97" s="39" t="e">
        <f>#REF!</f>
        <v>#REF!</v>
      </c>
      <c r="O97" s="277" t="s">
        <v>4</v>
      </c>
      <c r="P97" s="278"/>
      <c r="Q97" s="277" t="s">
        <v>211</v>
      </c>
      <c r="R97" s="277" t="s">
        <v>7</v>
      </c>
      <c r="S97" s="278"/>
      <c r="T97" s="277" t="s">
        <v>211</v>
      </c>
      <c r="U97" s="277" t="s">
        <v>3</v>
      </c>
      <c r="V97" s="278"/>
      <c r="W97" s="277" t="s">
        <v>211</v>
      </c>
      <c r="X97" s="134"/>
      <c r="Y97" s="209" t="e">
        <f ca="1">science_cap*(1-EXP(-#REF!/(science_param*(OFFSET(#REF!,1,0)-OFFSET(#REF!,1,0)*20)+15000)))*(1+(mason_bonus*#REF!/#REF!))</f>
        <v>#REF!</v>
      </c>
      <c r="Z97" s="209" t="e">
        <f ca="1">keep_cap*(1-EXP(-#REF!/(keep_param*(OFFSET(#REF!,1,0)-OFFSET(#REF!,1,0)*20)+15000)))*(1+(mason_bonus*#REF!/#REF!))</f>
        <v>#REF!</v>
      </c>
      <c r="AA97" s="209" t="e">
        <f ca="1">harbor_towers_cap*(1-EXP(-#REF!/(towers_param*(OFFSET(#REF!,1,0)-OFFSET(#REF!,1,0)*20)+15000)))*(1+(mason_bonus*#REF!/#REF!))</f>
        <v>#REF!</v>
      </c>
      <c r="AB97" s="209" t="e">
        <f ca="1">walls_forges_cap*(1-EXP(-#REF!/(walls_forges_param*(OFFSET(#REF!,1,0)-OFFSET(#REF!,1,0)*20)+15000)))*(1+(mason_bonus*#REF!/#REF!))</f>
        <v>#REF!</v>
      </c>
      <c r="AC97" s="209" t="e">
        <f ca="1">walls_forges_cap*(1-EXP(-#REF!/(walls_forges_param*(OFFSET(#REF!,1,0)-OFFSET(#REF!,1,0)*20)+15000)))*(1+(mason_bonus*#REF!/#REF!))</f>
        <v>#REF!</v>
      </c>
      <c r="AD97" s="209" t="e">
        <f ca="1">harbor_towers_cap*(1-EXP(-#REF!/(harbor_towers_param*(OFFSET(#REF!,1,0)-OFFSET(#REF!,1,0)*20)+15000)))*(1+(mason_bonus*#REF!/#REF!))</f>
        <v>#REF!</v>
      </c>
      <c r="AE97" s="134"/>
      <c r="AF97" s="61" t="e">
        <f ca="1">(1+Overview!$I$28)*SUM(#REF!)+OFFSET(#REF!,-1,0)</f>
        <v>#REF!</v>
      </c>
      <c r="AG97" s="61" t="e">
        <f ca="1">(1+Overview!$I$28)*SUM(#REF!)+OFFSET(#REF!,-1,0)</f>
        <v>#REF!</v>
      </c>
      <c r="AH97" s="61" t="e">
        <f ca="1">(1+Overview!$I$28 + tech_7_1*#REF!)*SUM(#REF!)+OFFSET(#REF!,-1,0)</f>
        <v>#REF!</v>
      </c>
      <c r="AI97" s="61" t="e">
        <f ca="1">(1+Overview!$I$28)*SUM(#REF!)+OFFSET(#REF!,-1,0)</f>
        <v>#REF!</v>
      </c>
      <c r="AJ97" s="61" t="e">
        <f ca="1">(1+Overview!$I$28)*SUM(#REF!)+OFFSET(#REF!,-1,0)</f>
        <v>#REF!</v>
      </c>
      <c r="AK97" s="61" t="e">
        <f ca="1">(1+Overview!$I$28 + tech_7_1*#REF!)*SUM(#REF!)+OFFSET(#REF!,-1,0)</f>
        <v>#REF!</v>
      </c>
      <c r="AL97" s="134"/>
      <c r="AM97" s="57" t="e">
        <f>IF(AND(#REF!=AM$2,#REF!&lt;&gt;""),#REF!) + IF(AND(#REF!=AM$2,#REF!&lt;&gt;""),#REF!) + IF(AND(#REF!=AM$2,#REF!&lt;&gt;""),#REF!)</f>
        <v>#REF!</v>
      </c>
      <c r="AN97" s="57" t="e">
        <f>IF(AND(#REF!=AN$2,#REF!&lt;&gt;""),#REF!) + IF(AND(#REF!=AN$2,#REF!&lt;&gt;""),#REF!) + IF(AND(#REF!=AN$2,#REF!&lt;&gt;""),#REF!)</f>
        <v>#REF!</v>
      </c>
      <c r="AO97" s="57" t="e">
        <f>IF(AND(#REF!=AO$2,#REF!&lt;&gt;""),#REF!) + IF(AND(#REF!=AO$2,#REF!&lt;&gt;""),#REF!) + IF(AND(#REF!=AO$2,#REF!&lt;&gt;""),#REF!)</f>
        <v>#REF!</v>
      </c>
      <c r="AP97" s="57" t="e">
        <f>IF(AND(#REF!=AP$2,#REF!&lt;&gt;""),#REF!) + IF(AND(#REF!=AP$2,#REF!&lt;&gt;""),#REF!) + IF(AND(#REF!=AP$2,#REF!&lt;&gt;""),#REF!)</f>
        <v>#REF!</v>
      </c>
      <c r="AQ97" s="134"/>
      <c r="AR97" s="57" t="e">
        <f>IF(#REF!=AR$2,IF(#REF!=$Y$2,#REF!*plat_invest)) + IF(#REF!=AR$2,IF(#REF!=$Y$2,#REF!*plat_invest)) + IF(#REF!=AR$2,IF(#REF!=$Y$2,#REF!*plat_invest))</f>
        <v>#REF!</v>
      </c>
      <c r="AS97" s="57" t="e">
        <f>IF(#REF!=AS$2,IF(#REF!=$Y$2,#REF!*lumber_invest)) + IF(#REF!=AS$2,IF(#REF!=$Y$2,#REF!*lumber_invest)) + IF(#REF!=AS$2,IF(#REF!=$Y$2,#REF!*lumber_invest))</f>
        <v>#REF!</v>
      </c>
      <c r="AT97" s="57" t="e">
        <f>IF(#REF!=AT$2,IF(#REF!=$Y$2,#REF!*ore_invest)) + IF(#REF!=AT$2,IF(#REF!=$Y$2,#REF!*ore_invest)) + IF(#REF!=AT$2,IF(#REF!=$Y$2,#REF!*ore_invest))</f>
        <v>#REF!</v>
      </c>
      <c r="AU97" s="57" t="e">
        <f>IF(#REF!=AU$2,IF(#REF!=$Y$2,#REF!*gem_invest)) + IF(#REF!=AU$2,IF(#REF!=$Y$2,#REF!*gem_invest)) + IF(#REF!=AU$2,IF(#REF!=$Y$2,#REF!*gem_invest))</f>
        <v>#REF!</v>
      </c>
      <c r="AV97" s="134"/>
      <c r="AW97" s="57" t="e">
        <f>IF(#REF!=AW$2,IF(#REF!=$Z$2,#REF!*plat_invest)) + IF(#REF!=AW$2,IF(#REF!=$Z$2,#REF!*plat_invest)) + IF(#REF!=AW$2,IF(#REF!=$Z$2,#REF!*plat_invest))</f>
        <v>#REF!</v>
      </c>
      <c r="AX97" s="57" t="e">
        <f>IF(#REF!=AX$2,IF(#REF!=$Z$2,#REF!*lumber_invest)) + IF(#REF!=AX$2,IF(#REF!=$Z$2,#REF!*lumber_invest)) + IF(#REF!=AX$2,IF(#REF!=$Z$2,#REF!*lumber_invest))</f>
        <v>#REF!</v>
      </c>
      <c r="AY97" s="57" t="e">
        <f>IF(#REF!=AY$2,IF(#REF!=$Z$2,#REF!*ore_invest)) + IF(#REF!=AY$2,IF(#REF!=$Z$2,#REF!*ore_invest)) + IF(#REF!=AY$2,IF(#REF!=$Z$2,#REF!*ore_invest))</f>
        <v>#REF!</v>
      </c>
      <c r="AZ97" s="57" t="e">
        <f>IF(#REF!=AZ$2,IF(#REF!=$Z$2,#REF!*gem_invest)) + IF(#REF!=AZ$2,IF(#REF!=$Z$2,#REF!*gem_invest)) + IF(#REF!=AZ$2,IF(#REF!=$Z$2,#REF!*gem_invest))</f>
        <v>#REF!</v>
      </c>
      <c r="BA97" s="134"/>
      <c r="BB97" s="57" t="e">
        <f>IF(#REF!=BB$2,IF(#REF!=$AA$2,#REF!*plat_invest)) + IF(#REF!=BB$2,IF(#REF!=$AA$2,#REF!*plat_invest)) + IF(#REF!=BB$2,IF(#REF!=$AA$2,#REF!*plat_invest))</f>
        <v>#REF!</v>
      </c>
      <c r="BC97" s="57" t="e">
        <f>IF(#REF!=BC$2,IF(#REF!=$AA$2,#REF!*lumber_invest)) + IF(#REF!=BC$2,IF(#REF!=$AA$2,#REF!*lumber_invest)) + IF(#REF!=BC$2,IF(#REF!=$AA$2,#REF!*lumber_invest))</f>
        <v>#REF!</v>
      </c>
      <c r="BD97" s="57" t="e">
        <f>IF(#REF!=BD$2,IF(#REF!=$AA$2,#REF!*ore_invest)) + IF(#REF!=BD$2,IF(#REF!=$AA$2,#REF!*ore_invest)) + IF(#REF!=BD$2,IF(#REF!=$AA$2,#REF!*ore_invest))</f>
        <v>#REF!</v>
      </c>
      <c r="BE97" s="57" t="e">
        <f>IF(#REF!=BE$2,IF(#REF!=$AA$2,#REF!*gem_invest)) + IF(#REF!=BE$2,IF(#REF!=$AA$2,#REF!*gem_invest)) + IF(#REF!=BE$2,IF(#REF!=$AA$2,#REF!*gem_invest))</f>
        <v>#REF!</v>
      </c>
      <c r="BF97" s="134"/>
      <c r="BG97" s="57" t="e">
        <f>IF(#REF!=BG$2,IF(#REF!=$AB$2,#REF!*plat_invest)) + IF(#REF!=BG$2,IF(#REF!=$AB$2,#REF!*plat_invest)) + IF(#REF!=BG$2,IF(#REF!=$AB$2,#REF!*plat_invest))</f>
        <v>#REF!</v>
      </c>
      <c r="BH97" s="57" t="e">
        <f>IF(#REF!=BH$2,IF(#REF!=$AB$2,#REF!*lumber_invest)) + IF(#REF!=BH$2,IF(#REF!=$AB$2,#REF!*lumber_invest)) + IF(#REF!=BH$2,IF(#REF!=$AB$2,#REF!*lumber_invest))</f>
        <v>#REF!</v>
      </c>
      <c r="BI97" s="57" t="e">
        <f>IF(#REF!=BI$2,IF(#REF!=$AB$2,#REF!*ore_invest)) + IF(#REF!=BI$2,IF(#REF!=$AB$2,#REF!*ore_invest)) + IF(#REF!=BI$2,IF(#REF!=$AB$2,#REF!*ore_invest))</f>
        <v>#REF!</v>
      </c>
      <c r="BJ97" s="57" t="e">
        <f>IF(#REF!=BJ$2,IF(#REF!=$AB$2,#REF!*gem_invest)) + IF(#REF!=BJ$2,IF(#REF!=$AB$2,#REF!*gem_invest)) + IF(#REF!=BJ$2,IF(#REF!=$AB$2,#REF!*gem_invest))</f>
        <v>#REF!</v>
      </c>
      <c r="BK97" s="134"/>
      <c r="BL97" s="57" t="e">
        <f>IF(#REF!=BL$2,IF(#REF!=$AC$2,#REF!*plat_invest)) + IF(#REF!=BL$2,IF(#REF!=$AC$2,#REF!*plat_invest)) + IF(#REF!=BL$2,IF(#REF!=$AC$2,#REF!*plat_invest))</f>
        <v>#REF!</v>
      </c>
      <c r="BM97" s="57" t="e">
        <f>IF(#REF!=BM$2,IF(#REF!=$AC$2,#REF!*lumber_invest)) + IF(#REF!=BM$2,IF(#REF!=$AC$2,#REF!*lumber_invest)) + IF(#REF!=BM$2,IF(#REF!=$AC$2,#REF!*lumber_invest))</f>
        <v>#REF!</v>
      </c>
      <c r="BN97" s="57" t="e">
        <f>IF(#REF!=BN$2,IF(#REF!=$AC$2,#REF!*ore_invest)) + IF(#REF!=BN$2,IF(#REF!=$AC$2,#REF!*ore_invest)) + IF(#REF!=BN$2,IF(#REF!=$AC$2,#REF!*ore_invest))</f>
        <v>#REF!</v>
      </c>
      <c r="BO97" s="57" t="e">
        <f>IF(#REF!=BO$2,IF(#REF!=$AC$2,#REF!*gem_invest)) + IF(#REF!=BO$2,IF(#REF!=$AC$2,#REF!*gem_invest)) + IF(#REF!=BO$2,IF(#REF!=$AC$2,#REF!*gem_invest))</f>
        <v>#REF!</v>
      </c>
      <c r="BP97" s="134"/>
      <c r="BQ97" s="57" t="e">
        <f>IF(#REF!=BQ$2,IF(#REF!=$AD$2,#REF!*plat_invest)) + IF(#REF!=BQ$2,IF(#REF!=$AD$2,#REF!*plat_invest)) + IF(#REF!=BQ$2,IF(#REF!=$AD$2,#REF!*plat_invest))</f>
        <v>#REF!</v>
      </c>
      <c r="BR97" s="57" t="e">
        <f>IF(#REF!=BR$2,IF(#REF!=$AD$2,#REF!*lumber_invest)) + IF(#REF!=BR$2,IF(#REF!=$AD$2,#REF!*lumber_invest)) + IF(#REF!=BR$2,IF(#REF!=$AD$2,#REF!*lumber_invest))</f>
        <v>#REF!</v>
      </c>
      <c r="BS97" s="57" t="e">
        <f>IF(#REF!=BS$2,IF(#REF!=$AD$2,#REF!*ore_invest)) + IF(#REF!=BS$2,IF(#REF!=$AD$2,#REF!*ore_invest)) + IF(#REF!=BS$2,IF(#REF!=$AD$2,#REF!*ore_invest))</f>
        <v>#REF!</v>
      </c>
      <c r="BT97" s="57" t="e">
        <f>IF(#REF!=BT$2,IF(#REF!=$AD$2,#REF!*gem_invest)) + IF(#REF!=BT$2,IF(#REF!=$AD$2,#REF!*gem_invest)) + IF(#REF!=BT$2,IF(#REF!=$AD$2,#REF!*gem_invest))</f>
        <v>#REF!</v>
      </c>
      <c r="BU97" s="134"/>
      <c r="BV97" s="3" t="e">
        <f>OR(#REF!,#REF!,#REF!,#REF!,#REF!,#REF!,#REF!,#REF!,#REF!)</f>
        <v>#REF!</v>
      </c>
      <c r="BW97" s="61" t="e">
        <f>#REF!</f>
        <v>#REF!</v>
      </c>
      <c r="BX97" s="130"/>
      <c r="BY97" s="284" t="e">
        <f ca="1">OFFSET(#REF!,-1,0)+1/24</f>
        <v>#REF!</v>
      </c>
      <c r="BZ97" s="285" t="e">
        <f ca="1">OFFSET(#REF!,-1,0)+1/24</f>
        <v>#REF!</v>
      </c>
      <c r="CA97" s="57"/>
      <c r="CB97" s="283"/>
      <c r="CC97" s="283"/>
    </row>
    <row r="98" spans="1:82" x14ac:dyDescent="0.25">
      <c r="A98" s="206" t="e">
        <f>#REF!</f>
        <v>#REF!</v>
      </c>
      <c r="B98" s="134"/>
      <c r="C98" s="39" t="e">
        <f>#REF!</f>
        <v>#REF!</v>
      </c>
      <c r="D98" s="39" t="e">
        <f>#REF!</f>
        <v>#REF!</v>
      </c>
      <c r="E98" s="39" t="e">
        <f>#REF!</f>
        <v>#REF!</v>
      </c>
      <c r="F98" s="39" t="e">
        <f>#REF!</f>
        <v>#REF!</v>
      </c>
      <c r="G98" s="133"/>
      <c r="H98" s="39" t="e">
        <f>#REF!</f>
        <v>#REF!</v>
      </c>
      <c r="I98" s="132" t="e">
        <f>#REF!</f>
        <v>#REF!</v>
      </c>
      <c r="J98" s="132" t="e">
        <f>#REF!/#REF!</f>
        <v>#REF!</v>
      </c>
      <c r="K98" s="160" t="e">
        <f>#REF!</f>
        <v>#REF!</v>
      </c>
      <c r="L98" s="276" t="e">
        <f>#REF!</f>
        <v>#REF!</v>
      </c>
      <c r="M98" s="61">
        <f>IF(ISERROR(#REF!),0,#REF!*1)</f>
        <v>0</v>
      </c>
      <c r="N98" s="39" t="e">
        <f>#REF!</f>
        <v>#REF!</v>
      </c>
      <c r="O98" s="277" t="s">
        <v>4</v>
      </c>
      <c r="P98" s="278"/>
      <c r="Q98" s="277" t="s">
        <v>211</v>
      </c>
      <c r="R98" s="277" t="s">
        <v>7</v>
      </c>
      <c r="S98" s="278"/>
      <c r="T98" s="277" t="s">
        <v>211</v>
      </c>
      <c r="U98" s="277" t="s">
        <v>3</v>
      </c>
      <c r="V98" s="278"/>
      <c r="W98" s="277" t="s">
        <v>211</v>
      </c>
      <c r="X98" s="134"/>
      <c r="Y98" s="209" t="e">
        <f ca="1">science_cap*(1-EXP(-#REF!/(science_param*(OFFSET(#REF!,1,0)-OFFSET(#REF!,1,0)*20)+15000)))*(1+(mason_bonus*#REF!/#REF!))</f>
        <v>#REF!</v>
      </c>
      <c r="Z98" s="209" t="e">
        <f ca="1">keep_cap*(1-EXP(-#REF!/(keep_param*(OFFSET(#REF!,1,0)-OFFSET(#REF!,1,0)*20)+15000)))*(1+(mason_bonus*#REF!/#REF!))</f>
        <v>#REF!</v>
      </c>
      <c r="AA98" s="209" t="e">
        <f ca="1">harbor_towers_cap*(1-EXP(-#REF!/(towers_param*(OFFSET(#REF!,1,0)-OFFSET(#REF!,1,0)*20)+15000)))*(1+(mason_bonus*#REF!/#REF!))</f>
        <v>#REF!</v>
      </c>
      <c r="AB98" s="209" t="e">
        <f ca="1">walls_forges_cap*(1-EXP(-#REF!/(walls_forges_param*(OFFSET(#REF!,1,0)-OFFSET(#REF!,1,0)*20)+15000)))*(1+(mason_bonus*#REF!/#REF!))</f>
        <v>#REF!</v>
      </c>
      <c r="AC98" s="209" t="e">
        <f ca="1">walls_forges_cap*(1-EXP(-#REF!/(walls_forges_param*(OFFSET(#REF!,1,0)-OFFSET(#REF!,1,0)*20)+15000)))*(1+(mason_bonus*#REF!/#REF!))</f>
        <v>#REF!</v>
      </c>
      <c r="AD98" s="209" t="e">
        <f ca="1">harbor_towers_cap*(1-EXP(-#REF!/(harbor_towers_param*(OFFSET(#REF!,1,0)-OFFSET(#REF!,1,0)*20)+15000)))*(1+(mason_bonus*#REF!/#REF!))</f>
        <v>#REF!</v>
      </c>
      <c r="AE98" s="134"/>
      <c r="AF98" s="61" t="e">
        <f ca="1">(1+Overview!$I$28)*SUM(#REF!)+OFFSET(#REF!,-1,0)</f>
        <v>#REF!</v>
      </c>
      <c r="AG98" s="61" t="e">
        <f ca="1">(1+Overview!$I$28)*SUM(#REF!)+OFFSET(#REF!,-1,0)</f>
        <v>#REF!</v>
      </c>
      <c r="AH98" s="61" t="e">
        <f ca="1">(1+Overview!$I$28 + tech_7_1*#REF!)*SUM(#REF!)+OFFSET(#REF!,-1,0)</f>
        <v>#REF!</v>
      </c>
      <c r="AI98" s="61" t="e">
        <f ca="1">(1+Overview!$I$28)*SUM(#REF!)+OFFSET(#REF!,-1,0)</f>
        <v>#REF!</v>
      </c>
      <c r="AJ98" s="61" t="e">
        <f ca="1">(1+Overview!$I$28)*SUM(#REF!)+OFFSET(#REF!,-1,0)</f>
        <v>#REF!</v>
      </c>
      <c r="AK98" s="61" t="e">
        <f ca="1">(1+Overview!$I$28 + tech_7_1*#REF!)*SUM(#REF!)+OFFSET(#REF!,-1,0)</f>
        <v>#REF!</v>
      </c>
      <c r="AL98" s="134"/>
      <c r="AM98" s="57" t="e">
        <f>IF(AND(#REF!=AM$2,#REF!&lt;&gt;""),#REF!) + IF(AND(#REF!=AM$2,#REF!&lt;&gt;""),#REF!) + IF(AND(#REF!=AM$2,#REF!&lt;&gt;""),#REF!)</f>
        <v>#REF!</v>
      </c>
      <c r="AN98" s="57" t="e">
        <f>IF(AND(#REF!=AN$2,#REF!&lt;&gt;""),#REF!) + IF(AND(#REF!=AN$2,#REF!&lt;&gt;""),#REF!) + IF(AND(#REF!=AN$2,#REF!&lt;&gt;""),#REF!)</f>
        <v>#REF!</v>
      </c>
      <c r="AO98" s="57" t="e">
        <f>IF(AND(#REF!=AO$2,#REF!&lt;&gt;""),#REF!) + IF(AND(#REF!=AO$2,#REF!&lt;&gt;""),#REF!) + IF(AND(#REF!=AO$2,#REF!&lt;&gt;""),#REF!)</f>
        <v>#REF!</v>
      </c>
      <c r="AP98" s="57" t="e">
        <f>IF(AND(#REF!=AP$2,#REF!&lt;&gt;""),#REF!) + IF(AND(#REF!=AP$2,#REF!&lt;&gt;""),#REF!) + IF(AND(#REF!=AP$2,#REF!&lt;&gt;""),#REF!)</f>
        <v>#REF!</v>
      </c>
      <c r="AQ98" s="134"/>
      <c r="AR98" s="57" t="e">
        <f>IF(#REF!=AR$2,IF(#REF!=$Y$2,#REF!*plat_invest)) + IF(#REF!=AR$2,IF(#REF!=$Y$2,#REF!*plat_invest)) + IF(#REF!=AR$2,IF(#REF!=$Y$2,#REF!*plat_invest))</f>
        <v>#REF!</v>
      </c>
      <c r="AS98" s="57" t="e">
        <f>IF(#REF!=AS$2,IF(#REF!=$Y$2,#REF!*lumber_invest)) + IF(#REF!=AS$2,IF(#REF!=$Y$2,#REF!*lumber_invest)) + IF(#REF!=AS$2,IF(#REF!=$Y$2,#REF!*lumber_invest))</f>
        <v>#REF!</v>
      </c>
      <c r="AT98" s="57" t="e">
        <f>IF(#REF!=AT$2,IF(#REF!=$Y$2,#REF!*ore_invest)) + IF(#REF!=AT$2,IF(#REF!=$Y$2,#REF!*ore_invest)) + IF(#REF!=AT$2,IF(#REF!=$Y$2,#REF!*ore_invest))</f>
        <v>#REF!</v>
      </c>
      <c r="AU98" s="57" t="e">
        <f>IF(#REF!=AU$2,IF(#REF!=$Y$2,#REF!*gem_invest)) + IF(#REF!=AU$2,IF(#REF!=$Y$2,#REF!*gem_invest)) + IF(#REF!=AU$2,IF(#REF!=$Y$2,#REF!*gem_invest))</f>
        <v>#REF!</v>
      </c>
      <c r="AV98" s="134"/>
      <c r="AW98" s="57" t="e">
        <f>IF(#REF!=AW$2,IF(#REF!=$Z$2,#REF!*plat_invest)) + IF(#REF!=AW$2,IF(#REF!=$Z$2,#REF!*plat_invest)) + IF(#REF!=AW$2,IF(#REF!=$Z$2,#REF!*plat_invest))</f>
        <v>#REF!</v>
      </c>
      <c r="AX98" s="57" t="e">
        <f>IF(#REF!=AX$2,IF(#REF!=$Z$2,#REF!*lumber_invest)) + IF(#REF!=AX$2,IF(#REF!=$Z$2,#REF!*lumber_invest)) + IF(#REF!=AX$2,IF(#REF!=$Z$2,#REF!*lumber_invest))</f>
        <v>#REF!</v>
      </c>
      <c r="AY98" s="57" t="e">
        <f>IF(#REF!=AY$2,IF(#REF!=$Z$2,#REF!*ore_invest)) + IF(#REF!=AY$2,IF(#REF!=$Z$2,#REF!*ore_invest)) + IF(#REF!=AY$2,IF(#REF!=$Z$2,#REF!*ore_invest))</f>
        <v>#REF!</v>
      </c>
      <c r="AZ98" s="57" t="e">
        <f>IF(#REF!=AZ$2,IF(#REF!=$Z$2,#REF!*gem_invest)) + IF(#REF!=AZ$2,IF(#REF!=$Z$2,#REF!*gem_invest)) + IF(#REF!=AZ$2,IF(#REF!=$Z$2,#REF!*gem_invest))</f>
        <v>#REF!</v>
      </c>
      <c r="BA98" s="134"/>
      <c r="BB98" s="57" t="e">
        <f>IF(#REF!=BB$2,IF(#REF!=$AA$2,#REF!*plat_invest)) + IF(#REF!=BB$2,IF(#REF!=$AA$2,#REF!*plat_invest)) + IF(#REF!=BB$2,IF(#REF!=$AA$2,#REF!*plat_invest))</f>
        <v>#REF!</v>
      </c>
      <c r="BC98" s="57" t="e">
        <f>IF(#REF!=BC$2,IF(#REF!=$AA$2,#REF!*lumber_invest)) + IF(#REF!=BC$2,IF(#REF!=$AA$2,#REF!*lumber_invest)) + IF(#REF!=BC$2,IF(#REF!=$AA$2,#REF!*lumber_invest))</f>
        <v>#REF!</v>
      </c>
      <c r="BD98" s="57" t="e">
        <f>IF(#REF!=BD$2,IF(#REF!=$AA$2,#REF!*ore_invest)) + IF(#REF!=BD$2,IF(#REF!=$AA$2,#REF!*ore_invest)) + IF(#REF!=BD$2,IF(#REF!=$AA$2,#REF!*ore_invest))</f>
        <v>#REF!</v>
      </c>
      <c r="BE98" s="57" t="e">
        <f>IF(#REF!=BE$2,IF(#REF!=$AA$2,#REF!*gem_invest)) + IF(#REF!=BE$2,IF(#REF!=$AA$2,#REF!*gem_invest)) + IF(#REF!=BE$2,IF(#REF!=$AA$2,#REF!*gem_invest))</f>
        <v>#REF!</v>
      </c>
      <c r="BF98" s="134"/>
      <c r="BG98" s="57" t="e">
        <f>IF(#REF!=BG$2,IF(#REF!=$AB$2,#REF!*plat_invest)) + IF(#REF!=BG$2,IF(#REF!=$AB$2,#REF!*plat_invest)) + IF(#REF!=BG$2,IF(#REF!=$AB$2,#REF!*plat_invest))</f>
        <v>#REF!</v>
      </c>
      <c r="BH98" s="57" t="e">
        <f>IF(#REF!=BH$2,IF(#REF!=$AB$2,#REF!*lumber_invest)) + IF(#REF!=BH$2,IF(#REF!=$AB$2,#REF!*lumber_invest)) + IF(#REF!=BH$2,IF(#REF!=$AB$2,#REF!*lumber_invest))</f>
        <v>#REF!</v>
      </c>
      <c r="BI98" s="57" t="e">
        <f>IF(#REF!=BI$2,IF(#REF!=$AB$2,#REF!*ore_invest)) + IF(#REF!=BI$2,IF(#REF!=$AB$2,#REF!*ore_invest)) + IF(#REF!=BI$2,IF(#REF!=$AB$2,#REF!*ore_invest))</f>
        <v>#REF!</v>
      </c>
      <c r="BJ98" s="57" t="e">
        <f>IF(#REF!=BJ$2,IF(#REF!=$AB$2,#REF!*gem_invest)) + IF(#REF!=BJ$2,IF(#REF!=$AB$2,#REF!*gem_invest)) + IF(#REF!=BJ$2,IF(#REF!=$AB$2,#REF!*gem_invest))</f>
        <v>#REF!</v>
      </c>
      <c r="BK98" s="134"/>
      <c r="BL98" s="57" t="e">
        <f>IF(#REF!=BL$2,IF(#REF!=$AC$2,#REF!*plat_invest)) + IF(#REF!=BL$2,IF(#REF!=$AC$2,#REF!*plat_invest)) + IF(#REF!=BL$2,IF(#REF!=$AC$2,#REF!*plat_invest))</f>
        <v>#REF!</v>
      </c>
      <c r="BM98" s="57" t="e">
        <f>IF(#REF!=BM$2,IF(#REF!=$AC$2,#REF!*lumber_invest)) + IF(#REF!=BM$2,IF(#REF!=$AC$2,#REF!*lumber_invest)) + IF(#REF!=BM$2,IF(#REF!=$AC$2,#REF!*lumber_invest))</f>
        <v>#REF!</v>
      </c>
      <c r="BN98" s="57" t="e">
        <f>IF(#REF!=BN$2,IF(#REF!=$AC$2,#REF!*ore_invest)) + IF(#REF!=BN$2,IF(#REF!=$AC$2,#REF!*ore_invest)) + IF(#REF!=BN$2,IF(#REF!=$AC$2,#REF!*ore_invest))</f>
        <v>#REF!</v>
      </c>
      <c r="BO98" s="57" t="e">
        <f>IF(#REF!=BO$2,IF(#REF!=$AC$2,#REF!*gem_invest)) + IF(#REF!=BO$2,IF(#REF!=$AC$2,#REF!*gem_invest)) + IF(#REF!=BO$2,IF(#REF!=$AC$2,#REF!*gem_invest))</f>
        <v>#REF!</v>
      </c>
      <c r="BP98" s="134"/>
      <c r="BQ98" s="57" t="e">
        <f>IF(#REF!=BQ$2,IF(#REF!=$AD$2,#REF!*plat_invest)) + IF(#REF!=BQ$2,IF(#REF!=$AD$2,#REF!*plat_invest)) + IF(#REF!=BQ$2,IF(#REF!=$AD$2,#REF!*plat_invest))</f>
        <v>#REF!</v>
      </c>
      <c r="BR98" s="57" t="e">
        <f>IF(#REF!=BR$2,IF(#REF!=$AD$2,#REF!*lumber_invest)) + IF(#REF!=BR$2,IF(#REF!=$AD$2,#REF!*lumber_invest)) + IF(#REF!=BR$2,IF(#REF!=$AD$2,#REF!*lumber_invest))</f>
        <v>#REF!</v>
      </c>
      <c r="BS98" s="57" t="e">
        <f>IF(#REF!=BS$2,IF(#REF!=$AD$2,#REF!*ore_invest)) + IF(#REF!=BS$2,IF(#REF!=$AD$2,#REF!*ore_invest)) + IF(#REF!=BS$2,IF(#REF!=$AD$2,#REF!*ore_invest))</f>
        <v>#REF!</v>
      </c>
      <c r="BT98" s="57" t="e">
        <f>IF(#REF!=BT$2,IF(#REF!=$AD$2,#REF!*gem_invest)) + IF(#REF!=BT$2,IF(#REF!=$AD$2,#REF!*gem_invest)) + IF(#REF!=BT$2,IF(#REF!=$AD$2,#REF!*gem_invest))</f>
        <v>#REF!</v>
      </c>
      <c r="BU98" s="134"/>
      <c r="BV98" s="3" t="e">
        <f>OR(#REF!,#REF!,#REF!,#REF!,#REF!,#REF!,#REF!,#REF!,#REF!)</f>
        <v>#REF!</v>
      </c>
      <c r="BW98" s="61" t="e">
        <f>#REF!</f>
        <v>#REF!</v>
      </c>
      <c r="BX98" s="130"/>
      <c r="BY98" s="284" t="e">
        <f ca="1">OFFSET(#REF!,-1,0)+1/24</f>
        <v>#REF!</v>
      </c>
      <c r="BZ98" s="285" t="e">
        <f ca="1">OFFSET(#REF!,-1,0)+1/24</f>
        <v>#REF!</v>
      </c>
      <c r="CA98" s="57"/>
      <c r="CB98" s="283"/>
      <c r="CC98" s="283"/>
    </row>
    <row r="99" spans="1:82" x14ac:dyDescent="0.25">
      <c r="A99" s="206" t="e">
        <f>#REF!</f>
        <v>#REF!</v>
      </c>
      <c r="B99" s="134"/>
      <c r="C99" s="39" t="e">
        <f>#REF!</f>
        <v>#REF!</v>
      </c>
      <c r="D99" s="39" t="e">
        <f>#REF!</f>
        <v>#REF!</v>
      </c>
      <c r="E99" s="39" t="e">
        <f>#REF!</f>
        <v>#REF!</v>
      </c>
      <c r="F99" s="39" t="e">
        <f>#REF!</f>
        <v>#REF!</v>
      </c>
      <c r="G99" s="133"/>
      <c r="H99" s="39" t="e">
        <f>#REF!</f>
        <v>#REF!</v>
      </c>
      <c r="I99" s="132" t="e">
        <f>#REF!</f>
        <v>#REF!</v>
      </c>
      <c r="J99" s="132" t="e">
        <f>#REF!/#REF!</f>
        <v>#REF!</v>
      </c>
      <c r="K99" s="160" t="e">
        <f>#REF!</f>
        <v>#REF!</v>
      </c>
      <c r="L99" s="276" t="e">
        <f>#REF!</f>
        <v>#REF!</v>
      </c>
      <c r="M99" s="61">
        <f>IF(ISERROR(#REF!),0,#REF!*1)</f>
        <v>0</v>
      </c>
      <c r="N99" s="39" t="e">
        <f>#REF!</f>
        <v>#REF!</v>
      </c>
      <c r="O99" s="277" t="s">
        <v>4</v>
      </c>
      <c r="P99" s="278"/>
      <c r="Q99" s="277" t="s">
        <v>211</v>
      </c>
      <c r="R99" s="277" t="s">
        <v>7</v>
      </c>
      <c r="S99" s="278"/>
      <c r="T99" s="277" t="s">
        <v>211</v>
      </c>
      <c r="U99" s="277" t="s">
        <v>3</v>
      </c>
      <c r="V99" s="278"/>
      <c r="W99" s="277" t="s">
        <v>211</v>
      </c>
      <c r="X99" s="134"/>
      <c r="Y99" s="209" t="e">
        <f ca="1">science_cap*(1-EXP(-#REF!/(science_param*(OFFSET(#REF!,1,0)-OFFSET(#REF!,1,0)*20)+15000)))*(1+(mason_bonus*#REF!/#REF!))</f>
        <v>#REF!</v>
      </c>
      <c r="Z99" s="209" t="e">
        <f ca="1">keep_cap*(1-EXP(-#REF!/(keep_param*(OFFSET(#REF!,1,0)-OFFSET(#REF!,1,0)*20)+15000)))*(1+(mason_bonus*#REF!/#REF!))</f>
        <v>#REF!</v>
      </c>
      <c r="AA99" s="209" t="e">
        <f ca="1">harbor_towers_cap*(1-EXP(-#REF!/(towers_param*(OFFSET(#REF!,1,0)-OFFSET(#REF!,1,0)*20)+15000)))*(1+(mason_bonus*#REF!/#REF!))</f>
        <v>#REF!</v>
      </c>
      <c r="AB99" s="209" t="e">
        <f ca="1">walls_forges_cap*(1-EXP(-#REF!/(walls_forges_param*(OFFSET(#REF!,1,0)-OFFSET(#REF!,1,0)*20)+15000)))*(1+(mason_bonus*#REF!/#REF!))</f>
        <v>#REF!</v>
      </c>
      <c r="AC99" s="209" t="e">
        <f ca="1">walls_forges_cap*(1-EXP(-#REF!/(walls_forges_param*(OFFSET(#REF!,1,0)-OFFSET(#REF!,1,0)*20)+15000)))*(1+(mason_bonus*#REF!/#REF!))</f>
        <v>#REF!</v>
      </c>
      <c r="AD99" s="209" t="e">
        <f ca="1">harbor_towers_cap*(1-EXP(-#REF!/(harbor_towers_param*(OFFSET(#REF!,1,0)-OFFSET(#REF!,1,0)*20)+15000)))*(1+(mason_bonus*#REF!/#REF!))</f>
        <v>#REF!</v>
      </c>
      <c r="AE99" s="134"/>
      <c r="AF99" s="61" t="e">
        <f ca="1">(1+Overview!$I$28)*SUM(#REF!)+OFFSET(#REF!,-1,0)</f>
        <v>#REF!</v>
      </c>
      <c r="AG99" s="61" t="e">
        <f ca="1">(1+Overview!$I$28)*SUM(#REF!)+OFFSET(#REF!,-1,0)</f>
        <v>#REF!</v>
      </c>
      <c r="AH99" s="61" t="e">
        <f ca="1">(1+Overview!$I$28 + tech_7_1*#REF!)*SUM(#REF!)+OFFSET(#REF!,-1,0)</f>
        <v>#REF!</v>
      </c>
      <c r="AI99" s="61" t="e">
        <f ca="1">(1+Overview!$I$28)*SUM(#REF!)+OFFSET(#REF!,-1,0)</f>
        <v>#REF!</v>
      </c>
      <c r="AJ99" s="61" t="e">
        <f ca="1">(1+Overview!$I$28)*SUM(#REF!)+OFFSET(#REF!,-1,0)</f>
        <v>#REF!</v>
      </c>
      <c r="AK99" s="61" t="e">
        <f ca="1">(1+Overview!$I$28 + tech_7_1*#REF!)*SUM(#REF!)+OFFSET(#REF!,-1,0)</f>
        <v>#REF!</v>
      </c>
      <c r="AL99" s="134"/>
      <c r="AM99" s="57" t="e">
        <f>IF(AND(#REF!=AM$2,#REF!&lt;&gt;""),#REF!) + IF(AND(#REF!=AM$2,#REF!&lt;&gt;""),#REF!) + IF(AND(#REF!=AM$2,#REF!&lt;&gt;""),#REF!)</f>
        <v>#REF!</v>
      </c>
      <c r="AN99" s="57" t="e">
        <f>IF(AND(#REF!=AN$2,#REF!&lt;&gt;""),#REF!) + IF(AND(#REF!=AN$2,#REF!&lt;&gt;""),#REF!) + IF(AND(#REF!=AN$2,#REF!&lt;&gt;""),#REF!)</f>
        <v>#REF!</v>
      </c>
      <c r="AO99" s="57" t="e">
        <f>IF(AND(#REF!=AO$2,#REF!&lt;&gt;""),#REF!) + IF(AND(#REF!=AO$2,#REF!&lt;&gt;""),#REF!) + IF(AND(#REF!=AO$2,#REF!&lt;&gt;""),#REF!)</f>
        <v>#REF!</v>
      </c>
      <c r="AP99" s="57" t="e">
        <f>IF(AND(#REF!=AP$2,#REF!&lt;&gt;""),#REF!) + IF(AND(#REF!=AP$2,#REF!&lt;&gt;""),#REF!) + IF(AND(#REF!=AP$2,#REF!&lt;&gt;""),#REF!)</f>
        <v>#REF!</v>
      </c>
      <c r="AQ99" s="134"/>
      <c r="AR99" s="57" t="e">
        <f>IF(#REF!=AR$2,IF(#REF!=$Y$2,#REF!*plat_invest)) + IF(#REF!=AR$2,IF(#REF!=$Y$2,#REF!*plat_invest)) + IF(#REF!=AR$2,IF(#REF!=$Y$2,#REF!*plat_invest))</f>
        <v>#REF!</v>
      </c>
      <c r="AS99" s="57" t="e">
        <f>IF(#REF!=AS$2,IF(#REF!=$Y$2,#REF!*lumber_invest)) + IF(#REF!=AS$2,IF(#REF!=$Y$2,#REF!*lumber_invest)) + IF(#REF!=AS$2,IF(#REF!=$Y$2,#REF!*lumber_invest))</f>
        <v>#REF!</v>
      </c>
      <c r="AT99" s="57" t="e">
        <f>IF(#REF!=AT$2,IF(#REF!=$Y$2,#REF!*ore_invest)) + IF(#REF!=AT$2,IF(#REF!=$Y$2,#REF!*ore_invest)) + IF(#REF!=AT$2,IF(#REF!=$Y$2,#REF!*ore_invest))</f>
        <v>#REF!</v>
      </c>
      <c r="AU99" s="57" t="e">
        <f>IF(#REF!=AU$2,IF(#REF!=$Y$2,#REF!*gem_invest)) + IF(#REF!=AU$2,IF(#REF!=$Y$2,#REF!*gem_invest)) + IF(#REF!=AU$2,IF(#REF!=$Y$2,#REF!*gem_invest))</f>
        <v>#REF!</v>
      </c>
      <c r="AV99" s="134"/>
      <c r="AW99" s="57" t="e">
        <f>IF(#REF!=AW$2,IF(#REF!=$Z$2,#REF!*plat_invest)) + IF(#REF!=AW$2,IF(#REF!=$Z$2,#REF!*plat_invest)) + IF(#REF!=AW$2,IF(#REF!=$Z$2,#REF!*plat_invest))</f>
        <v>#REF!</v>
      </c>
      <c r="AX99" s="57" t="e">
        <f>IF(#REF!=AX$2,IF(#REF!=$Z$2,#REF!*lumber_invest)) + IF(#REF!=AX$2,IF(#REF!=$Z$2,#REF!*lumber_invest)) + IF(#REF!=AX$2,IF(#REF!=$Z$2,#REF!*lumber_invest))</f>
        <v>#REF!</v>
      </c>
      <c r="AY99" s="57" t="e">
        <f>IF(#REF!=AY$2,IF(#REF!=$Z$2,#REF!*ore_invest)) + IF(#REF!=AY$2,IF(#REF!=$Z$2,#REF!*ore_invest)) + IF(#REF!=AY$2,IF(#REF!=$Z$2,#REF!*ore_invest))</f>
        <v>#REF!</v>
      </c>
      <c r="AZ99" s="57" t="e">
        <f>IF(#REF!=AZ$2,IF(#REF!=$Z$2,#REF!*gem_invest)) + IF(#REF!=AZ$2,IF(#REF!=$Z$2,#REF!*gem_invest)) + IF(#REF!=AZ$2,IF(#REF!=$Z$2,#REF!*gem_invest))</f>
        <v>#REF!</v>
      </c>
      <c r="BA99" s="134"/>
      <c r="BB99" s="57" t="e">
        <f>IF(#REF!=BB$2,IF(#REF!=$AA$2,#REF!*plat_invest)) + IF(#REF!=BB$2,IF(#REF!=$AA$2,#REF!*plat_invest)) + IF(#REF!=BB$2,IF(#REF!=$AA$2,#REF!*plat_invest))</f>
        <v>#REF!</v>
      </c>
      <c r="BC99" s="57" t="e">
        <f>IF(#REF!=BC$2,IF(#REF!=$AA$2,#REF!*lumber_invest)) + IF(#REF!=BC$2,IF(#REF!=$AA$2,#REF!*lumber_invest)) + IF(#REF!=BC$2,IF(#REF!=$AA$2,#REF!*lumber_invest))</f>
        <v>#REF!</v>
      </c>
      <c r="BD99" s="57" t="e">
        <f>IF(#REF!=BD$2,IF(#REF!=$AA$2,#REF!*ore_invest)) + IF(#REF!=BD$2,IF(#REF!=$AA$2,#REF!*ore_invest)) + IF(#REF!=BD$2,IF(#REF!=$AA$2,#REF!*ore_invest))</f>
        <v>#REF!</v>
      </c>
      <c r="BE99" s="57" t="e">
        <f>IF(#REF!=BE$2,IF(#REF!=$AA$2,#REF!*gem_invest)) + IF(#REF!=BE$2,IF(#REF!=$AA$2,#REF!*gem_invest)) + IF(#REF!=BE$2,IF(#REF!=$AA$2,#REF!*gem_invest))</f>
        <v>#REF!</v>
      </c>
      <c r="BF99" s="134"/>
      <c r="BG99" s="57" t="e">
        <f>IF(#REF!=BG$2,IF(#REF!=$AB$2,#REF!*plat_invest)) + IF(#REF!=BG$2,IF(#REF!=$AB$2,#REF!*plat_invest)) + IF(#REF!=BG$2,IF(#REF!=$AB$2,#REF!*plat_invest))</f>
        <v>#REF!</v>
      </c>
      <c r="BH99" s="57" t="e">
        <f>IF(#REF!=BH$2,IF(#REF!=$AB$2,#REF!*lumber_invest)) + IF(#REF!=BH$2,IF(#REF!=$AB$2,#REF!*lumber_invest)) + IF(#REF!=BH$2,IF(#REF!=$AB$2,#REF!*lumber_invest))</f>
        <v>#REF!</v>
      </c>
      <c r="BI99" s="57" t="e">
        <f>IF(#REF!=BI$2,IF(#REF!=$AB$2,#REF!*ore_invest)) + IF(#REF!=BI$2,IF(#REF!=$AB$2,#REF!*ore_invest)) + IF(#REF!=BI$2,IF(#REF!=$AB$2,#REF!*ore_invest))</f>
        <v>#REF!</v>
      </c>
      <c r="BJ99" s="57" t="e">
        <f>IF(#REF!=BJ$2,IF(#REF!=$AB$2,#REF!*gem_invest)) + IF(#REF!=BJ$2,IF(#REF!=$AB$2,#REF!*gem_invest)) + IF(#REF!=BJ$2,IF(#REF!=$AB$2,#REF!*gem_invest))</f>
        <v>#REF!</v>
      </c>
      <c r="BK99" s="134"/>
      <c r="BL99" s="57" t="e">
        <f>IF(#REF!=BL$2,IF(#REF!=$AC$2,#REF!*plat_invest)) + IF(#REF!=BL$2,IF(#REF!=$AC$2,#REF!*plat_invest)) + IF(#REF!=BL$2,IF(#REF!=$AC$2,#REF!*plat_invest))</f>
        <v>#REF!</v>
      </c>
      <c r="BM99" s="57" t="e">
        <f>IF(#REF!=BM$2,IF(#REF!=$AC$2,#REF!*lumber_invest)) + IF(#REF!=BM$2,IF(#REF!=$AC$2,#REF!*lumber_invest)) + IF(#REF!=BM$2,IF(#REF!=$AC$2,#REF!*lumber_invest))</f>
        <v>#REF!</v>
      </c>
      <c r="BN99" s="57" t="e">
        <f>IF(#REF!=BN$2,IF(#REF!=$AC$2,#REF!*ore_invest)) + IF(#REF!=BN$2,IF(#REF!=$AC$2,#REF!*ore_invest)) + IF(#REF!=BN$2,IF(#REF!=$AC$2,#REF!*ore_invest))</f>
        <v>#REF!</v>
      </c>
      <c r="BO99" s="57" t="e">
        <f>IF(#REF!=BO$2,IF(#REF!=$AC$2,#REF!*gem_invest)) + IF(#REF!=BO$2,IF(#REF!=$AC$2,#REF!*gem_invest)) + IF(#REF!=BO$2,IF(#REF!=$AC$2,#REF!*gem_invest))</f>
        <v>#REF!</v>
      </c>
      <c r="BP99" s="134"/>
      <c r="BQ99" s="57" t="e">
        <f>IF(#REF!=BQ$2,IF(#REF!=$AD$2,#REF!*plat_invest)) + IF(#REF!=BQ$2,IF(#REF!=$AD$2,#REF!*plat_invest)) + IF(#REF!=BQ$2,IF(#REF!=$AD$2,#REF!*plat_invest))</f>
        <v>#REF!</v>
      </c>
      <c r="BR99" s="57" t="e">
        <f>IF(#REF!=BR$2,IF(#REF!=$AD$2,#REF!*lumber_invest)) + IF(#REF!=BR$2,IF(#REF!=$AD$2,#REF!*lumber_invest)) + IF(#REF!=BR$2,IF(#REF!=$AD$2,#REF!*lumber_invest))</f>
        <v>#REF!</v>
      </c>
      <c r="BS99" s="57" t="e">
        <f>IF(#REF!=BS$2,IF(#REF!=$AD$2,#REF!*ore_invest)) + IF(#REF!=BS$2,IF(#REF!=$AD$2,#REF!*ore_invest)) + IF(#REF!=BS$2,IF(#REF!=$AD$2,#REF!*ore_invest))</f>
        <v>#REF!</v>
      </c>
      <c r="BT99" s="57" t="e">
        <f>IF(#REF!=BT$2,IF(#REF!=$AD$2,#REF!*gem_invest)) + IF(#REF!=BT$2,IF(#REF!=$AD$2,#REF!*gem_invest)) + IF(#REF!=BT$2,IF(#REF!=$AD$2,#REF!*gem_invest))</f>
        <v>#REF!</v>
      </c>
      <c r="BU99" s="134"/>
      <c r="BV99" s="3" t="e">
        <f>OR(#REF!,#REF!,#REF!,#REF!,#REF!,#REF!,#REF!,#REF!,#REF!)</f>
        <v>#REF!</v>
      </c>
      <c r="BW99" s="61" t="e">
        <f>#REF!</f>
        <v>#REF!</v>
      </c>
      <c r="BX99" s="130"/>
      <c r="BY99" s="284" t="e">
        <f ca="1">OFFSET(#REF!,-1,0)+1/24</f>
        <v>#REF!</v>
      </c>
      <c r="BZ99" s="285" t="e">
        <f ca="1">OFFSET(#REF!,-1,0)+1/24</f>
        <v>#REF!</v>
      </c>
      <c r="CA99" s="57"/>
      <c r="CB99" s="283"/>
      <c r="CC99" s="283"/>
    </row>
    <row r="100" spans="1:82" x14ac:dyDescent="0.25">
      <c r="A100" s="206" t="e">
        <f>#REF!</f>
        <v>#REF!</v>
      </c>
      <c r="B100" s="134"/>
      <c r="C100" s="39" t="e">
        <f>#REF!</f>
        <v>#REF!</v>
      </c>
      <c r="D100" s="39" t="e">
        <f>#REF!</f>
        <v>#REF!</v>
      </c>
      <c r="E100" s="39" t="e">
        <f>#REF!</f>
        <v>#REF!</v>
      </c>
      <c r="F100" s="39" t="e">
        <f>#REF!</f>
        <v>#REF!</v>
      </c>
      <c r="G100" s="133"/>
      <c r="H100" s="39" t="e">
        <f>#REF!</f>
        <v>#REF!</v>
      </c>
      <c r="I100" s="132" t="e">
        <f>#REF!</f>
        <v>#REF!</v>
      </c>
      <c r="J100" s="132" t="e">
        <f>#REF!/#REF!</f>
        <v>#REF!</v>
      </c>
      <c r="K100" s="160" t="e">
        <f>#REF!</f>
        <v>#REF!</v>
      </c>
      <c r="L100" s="276" t="e">
        <f>#REF!</f>
        <v>#REF!</v>
      </c>
      <c r="M100" s="61">
        <f>IF(ISERROR(#REF!),0,#REF!*1)</f>
        <v>0</v>
      </c>
      <c r="N100" s="39" t="e">
        <f>#REF!</f>
        <v>#REF!</v>
      </c>
      <c r="O100" s="277" t="s">
        <v>4</v>
      </c>
      <c r="P100" s="278"/>
      <c r="Q100" s="277" t="s">
        <v>211</v>
      </c>
      <c r="R100" s="277" t="s">
        <v>7</v>
      </c>
      <c r="S100" s="278"/>
      <c r="T100" s="277" t="s">
        <v>211</v>
      </c>
      <c r="U100" s="277" t="s">
        <v>3</v>
      </c>
      <c r="V100" s="278"/>
      <c r="W100" s="277" t="s">
        <v>211</v>
      </c>
      <c r="X100" s="134"/>
      <c r="Y100" s="209" t="e">
        <f ca="1">science_cap*(1-EXP(-#REF!/(science_param*(OFFSET(#REF!,1,0)-OFFSET(#REF!,1,0)*20)+15000)))*(1+(mason_bonus*#REF!/#REF!))</f>
        <v>#REF!</v>
      </c>
      <c r="Z100" s="209" t="e">
        <f ca="1">keep_cap*(1-EXP(-#REF!/(keep_param*(OFFSET(#REF!,1,0)-OFFSET(#REF!,1,0)*20)+15000)))*(1+(mason_bonus*#REF!/#REF!))</f>
        <v>#REF!</v>
      </c>
      <c r="AA100" s="209" t="e">
        <f ca="1">harbor_towers_cap*(1-EXP(-#REF!/(towers_param*(OFFSET(#REF!,1,0)-OFFSET(#REF!,1,0)*20)+15000)))*(1+(mason_bonus*#REF!/#REF!))</f>
        <v>#REF!</v>
      </c>
      <c r="AB100" s="209" t="e">
        <f ca="1">walls_forges_cap*(1-EXP(-#REF!/(walls_forges_param*(OFFSET(#REF!,1,0)-OFFSET(#REF!,1,0)*20)+15000)))*(1+(mason_bonus*#REF!/#REF!))</f>
        <v>#REF!</v>
      </c>
      <c r="AC100" s="209" t="e">
        <f ca="1">walls_forges_cap*(1-EXP(-#REF!/(walls_forges_param*(OFFSET(#REF!,1,0)-OFFSET(#REF!,1,0)*20)+15000)))*(1+(mason_bonus*#REF!/#REF!))</f>
        <v>#REF!</v>
      </c>
      <c r="AD100" s="209" t="e">
        <f ca="1">harbor_towers_cap*(1-EXP(-#REF!/(harbor_towers_param*(OFFSET(#REF!,1,0)-OFFSET(#REF!,1,0)*20)+15000)))*(1+(mason_bonus*#REF!/#REF!))</f>
        <v>#REF!</v>
      </c>
      <c r="AE100" s="134"/>
      <c r="AF100" s="61" t="e">
        <f ca="1">(1+Overview!$I$28)*SUM(#REF!)+OFFSET(#REF!,-1,0)</f>
        <v>#REF!</v>
      </c>
      <c r="AG100" s="61" t="e">
        <f ca="1">(1+Overview!$I$28)*SUM(#REF!)+OFFSET(#REF!,-1,0)</f>
        <v>#REF!</v>
      </c>
      <c r="AH100" s="61" t="e">
        <f ca="1">(1+Overview!$I$28 + tech_7_1*#REF!)*SUM(#REF!)+OFFSET(#REF!,-1,0)</f>
        <v>#REF!</v>
      </c>
      <c r="AI100" s="61" t="e">
        <f ca="1">(1+Overview!$I$28)*SUM(#REF!)+OFFSET(#REF!,-1,0)</f>
        <v>#REF!</v>
      </c>
      <c r="AJ100" s="61" t="e">
        <f ca="1">(1+Overview!$I$28)*SUM(#REF!)+OFFSET(#REF!,-1,0)</f>
        <v>#REF!</v>
      </c>
      <c r="AK100" s="61" t="e">
        <f ca="1">(1+Overview!$I$28 + tech_7_1*#REF!)*SUM(#REF!)+OFFSET(#REF!,-1,0)</f>
        <v>#REF!</v>
      </c>
      <c r="AL100" s="134"/>
      <c r="AM100" s="57" t="e">
        <f>IF(AND(#REF!=AM$2,#REF!&lt;&gt;""),#REF!) + IF(AND(#REF!=AM$2,#REF!&lt;&gt;""),#REF!) + IF(AND(#REF!=AM$2,#REF!&lt;&gt;""),#REF!)</f>
        <v>#REF!</v>
      </c>
      <c r="AN100" s="57" t="e">
        <f>IF(AND(#REF!=AN$2,#REF!&lt;&gt;""),#REF!) + IF(AND(#REF!=AN$2,#REF!&lt;&gt;""),#REF!) + IF(AND(#REF!=AN$2,#REF!&lt;&gt;""),#REF!)</f>
        <v>#REF!</v>
      </c>
      <c r="AO100" s="57" t="e">
        <f>IF(AND(#REF!=AO$2,#REF!&lt;&gt;""),#REF!) + IF(AND(#REF!=AO$2,#REF!&lt;&gt;""),#REF!) + IF(AND(#REF!=AO$2,#REF!&lt;&gt;""),#REF!)</f>
        <v>#REF!</v>
      </c>
      <c r="AP100" s="57" t="e">
        <f>IF(AND(#REF!=AP$2,#REF!&lt;&gt;""),#REF!) + IF(AND(#REF!=AP$2,#REF!&lt;&gt;""),#REF!) + IF(AND(#REF!=AP$2,#REF!&lt;&gt;""),#REF!)</f>
        <v>#REF!</v>
      </c>
      <c r="AQ100" s="134"/>
      <c r="AR100" s="57" t="e">
        <f>IF(#REF!=AR$2,IF(#REF!=$Y$2,#REF!*plat_invest)) + IF(#REF!=AR$2,IF(#REF!=$Y$2,#REF!*plat_invest)) + IF(#REF!=AR$2,IF(#REF!=$Y$2,#REF!*plat_invest))</f>
        <v>#REF!</v>
      </c>
      <c r="AS100" s="57" t="e">
        <f>IF(#REF!=AS$2,IF(#REF!=$Y$2,#REF!*lumber_invest)) + IF(#REF!=AS$2,IF(#REF!=$Y$2,#REF!*lumber_invest)) + IF(#REF!=AS$2,IF(#REF!=$Y$2,#REF!*lumber_invest))</f>
        <v>#REF!</v>
      </c>
      <c r="AT100" s="57" t="e">
        <f>IF(#REF!=AT$2,IF(#REF!=$Y$2,#REF!*ore_invest)) + IF(#REF!=AT$2,IF(#REF!=$Y$2,#REF!*ore_invest)) + IF(#REF!=AT$2,IF(#REF!=$Y$2,#REF!*ore_invest))</f>
        <v>#REF!</v>
      </c>
      <c r="AU100" s="57" t="e">
        <f>IF(#REF!=AU$2,IF(#REF!=$Y$2,#REF!*gem_invest)) + IF(#REF!=AU$2,IF(#REF!=$Y$2,#REF!*gem_invest)) + IF(#REF!=AU$2,IF(#REF!=$Y$2,#REF!*gem_invest))</f>
        <v>#REF!</v>
      </c>
      <c r="AV100" s="134"/>
      <c r="AW100" s="57" t="e">
        <f>IF(#REF!=AW$2,IF(#REF!=$Z$2,#REF!*plat_invest)) + IF(#REF!=AW$2,IF(#REF!=$Z$2,#REF!*plat_invest)) + IF(#REF!=AW$2,IF(#REF!=$Z$2,#REF!*plat_invest))</f>
        <v>#REF!</v>
      </c>
      <c r="AX100" s="57" t="e">
        <f>IF(#REF!=AX$2,IF(#REF!=$Z$2,#REF!*lumber_invest)) + IF(#REF!=AX$2,IF(#REF!=$Z$2,#REF!*lumber_invest)) + IF(#REF!=AX$2,IF(#REF!=$Z$2,#REF!*lumber_invest))</f>
        <v>#REF!</v>
      </c>
      <c r="AY100" s="57" t="e">
        <f>IF(#REF!=AY$2,IF(#REF!=$Z$2,#REF!*ore_invest)) + IF(#REF!=AY$2,IF(#REF!=$Z$2,#REF!*ore_invest)) + IF(#REF!=AY$2,IF(#REF!=$Z$2,#REF!*ore_invest))</f>
        <v>#REF!</v>
      </c>
      <c r="AZ100" s="57" t="e">
        <f>IF(#REF!=AZ$2,IF(#REF!=$Z$2,#REF!*gem_invest)) + IF(#REF!=AZ$2,IF(#REF!=$Z$2,#REF!*gem_invest)) + IF(#REF!=AZ$2,IF(#REF!=$Z$2,#REF!*gem_invest))</f>
        <v>#REF!</v>
      </c>
      <c r="BA100" s="134"/>
      <c r="BB100" s="57" t="e">
        <f>IF(#REF!=BB$2,IF(#REF!=$AA$2,#REF!*plat_invest)) + IF(#REF!=BB$2,IF(#REF!=$AA$2,#REF!*plat_invest)) + IF(#REF!=BB$2,IF(#REF!=$AA$2,#REF!*plat_invest))</f>
        <v>#REF!</v>
      </c>
      <c r="BC100" s="57" t="e">
        <f>IF(#REF!=BC$2,IF(#REF!=$AA$2,#REF!*lumber_invest)) + IF(#REF!=BC$2,IF(#REF!=$AA$2,#REF!*lumber_invest)) + IF(#REF!=BC$2,IF(#REF!=$AA$2,#REF!*lumber_invest))</f>
        <v>#REF!</v>
      </c>
      <c r="BD100" s="57" t="e">
        <f>IF(#REF!=BD$2,IF(#REF!=$AA$2,#REF!*ore_invest)) + IF(#REF!=BD$2,IF(#REF!=$AA$2,#REF!*ore_invest)) + IF(#REF!=BD$2,IF(#REF!=$AA$2,#REF!*ore_invest))</f>
        <v>#REF!</v>
      </c>
      <c r="BE100" s="57" t="e">
        <f>IF(#REF!=BE$2,IF(#REF!=$AA$2,#REF!*gem_invest)) + IF(#REF!=BE$2,IF(#REF!=$AA$2,#REF!*gem_invest)) + IF(#REF!=BE$2,IF(#REF!=$AA$2,#REF!*gem_invest))</f>
        <v>#REF!</v>
      </c>
      <c r="BF100" s="134"/>
      <c r="BG100" s="57" t="e">
        <f>IF(#REF!=BG$2,IF(#REF!=$AB$2,#REF!*plat_invest)) + IF(#REF!=BG$2,IF(#REF!=$AB$2,#REF!*plat_invest)) + IF(#REF!=BG$2,IF(#REF!=$AB$2,#REF!*plat_invest))</f>
        <v>#REF!</v>
      </c>
      <c r="BH100" s="57" t="e">
        <f>IF(#REF!=BH$2,IF(#REF!=$AB$2,#REF!*lumber_invest)) + IF(#REF!=BH$2,IF(#REF!=$AB$2,#REF!*lumber_invest)) + IF(#REF!=BH$2,IF(#REF!=$AB$2,#REF!*lumber_invest))</f>
        <v>#REF!</v>
      </c>
      <c r="BI100" s="57" t="e">
        <f>IF(#REF!=BI$2,IF(#REF!=$AB$2,#REF!*ore_invest)) + IF(#REF!=BI$2,IF(#REF!=$AB$2,#REF!*ore_invest)) + IF(#REF!=BI$2,IF(#REF!=$AB$2,#REF!*ore_invest))</f>
        <v>#REF!</v>
      </c>
      <c r="BJ100" s="57" t="e">
        <f>IF(#REF!=BJ$2,IF(#REF!=$AB$2,#REF!*gem_invest)) + IF(#REF!=BJ$2,IF(#REF!=$AB$2,#REF!*gem_invest)) + IF(#REF!=BJ$2,IF(#REF!=$AB$2,#REF!*gem_invest))</f>
        <v>#REF!</v>
      </c>
      <c r="BK100" s="134"/>
      <c r="BL100" s="57" t="e">
        <f>IF(#REF!=BL$2,IF(#REF!=$AC$2,#REF!*plat_invest)) + IF(#REF!=BL$2,IF(#REF!=$AC$2,#REF!*plat_invest)) + IF(#REF!=BL$2,IF(#REF!=$AC$2,#REF!*plat_invest))</f>
        <v>#REF!</v>
      </c>
      <c r="BM100" s="57" t="e">
        <f>IF(#REF!=BM$2,IF(#REF!=$AC$2,#REF!*lumber_invest)) + IF(#REF!=BM$2,IF(#REF!=$AC$2,#REF!*lumber_invest)) + IF(#REF!=BM$2,IF(#REF!=$AC$2,#REF!*lumber_invest))</f>
        <v>#REF!</v>
      </c>
      <c r="BN100" s="57" t="e">
        <f>IF(#REF!=BN$2,IF(#REF!=$AC$2,#REF!*ore_invest)) + IF(#REF!=BN$2,IF(#REF!=$AC$2,#REF!*ore_invest)) + IF(#REF!=BN$2,IF(#REF!=$AC$2,#REF!*ore_invest))</f>
        <v>#REF!</v>
      </c>
      <c r="BO100" s="57" t="e">
        <f>IF(#REF!=BO$2,IF(#REF!=$AC$2,#REF!*gem_invest)) + IF(#REF!=BO$2,IF(#REF!=$AC$2,#REF!*gem_invest)) + IF(#REF!=BO$2,IF(#REF!=$AC$2,#REF!*gem_invest))</f>
        <v>#REF!</v>
      </c>
      <c r="BP100" s="134"/>
      <c r="BQ100" s="57" t="e">
        <f>IF(#REF!=BQ$2,IF(#REF!=$AD$2,#REF!*plat_invest)) + IF(#REF!=BQ$2,IF(#REF!=$AD$2,#REF!*plat_invest)) + IF(#REF!=BQ$2,IF(#REF!=$AD$2,#REF!*plat_invest))</f>
        <v>#REF!</v>
      </c>
      <c r="BR100" s="57" t="e">
        <f>IF(#REF!=BR$2,IF(#REF!=$AD$2,#REF!*lumber_invest)) + IF(#REF!=BR$2,IF(#REF!=$AD$2,#REF!*lumber_invest)) + IF(#REF!=BR$2,IF(#REF!=$AD$2,#REF!*lumber_invest))</f>
        <v>#REF!</v>
      </c>
      <c r="BS100" s="57" t="e">
        <f>IF(#REF!=BS$2,IF(#REF!=$AD$2,#REF!*ore_invest)) + IF(#REF!=BS$2,IF(#REF!=$AD$2,#REF!*ore_invest)) + IF(#REF!=BS$2,IF(#REF!=$AD$2,#REF!*ore_invest))</f>
        <v>#REF!</v>
      </c>
      <c r="BT100" s="57" t="e">
        <f>IF(#REF!=BT$2,IF(#REF!=$AD$2,#REF!*gem_invest)) + IF(#REF!=BT$2,IF(#REF!=$AD$2,#REF!*gem_invest)) + IF(#REF!=BT$2,IF(#REF!=$AD$2,#REF!*gem_invest))</f>
        <v>#REF!</v>
      </c>
      <c r="BU100" s="134"/>
      <c r="BV100" s="3" t="e">
        <f>OR(#REF!,#REF!,#REF!,#REF!,#REF!,#REF!,#REF!,#REF!,#REF!)</f>
        <v>#REF!</v>
      </c>
      <c r="BW100" s="61" t="e">
        <f>#REF!</f>
        <v>#REF!</v>
      </c>
      <c r="BX100" s="130"/>
      <c r="BY100" s="284" t="e">
        <f ca="1">OFFSET(#REF!,-1,0)+1/24</f>
        <v>#REF!</v>
      </c>
      <c r="BZ100" s="285" t="e">
        <f ca="1">OFFSET(#REF!,-1,0)+1/24</f>
        <v>#REF!</v>
      </c>
      <c r="CA100" s="57"/>
      <c r="CB100" s="283"/>
      <c r="CC100" s="283"/>
    </row>
    <row r="101" spans="1:82" x14ac:dyDescent="0.25">
      <c r="A101" s="206" t="e">
        <f>#REF!</f>
        <v>#REF!</v>
      </c>
      <c r="B101" s="134"/>
      <c r="C101" s="39" t="e">
        <f>#REF!</f>
        <v>#REF!</v>
      </c>
      <c r="D101" s="39" t="e">
        <f>#REF!</f>
        <v>#REF!</v>
      </c>
      <c r="E101" s="39" t="e">
        <f>#REF!</f>
        <v>#REF!</v>
      </c>
      <c r="F101" s="39" t="e">
        <f>#REF!</f>
        <v>#REF!</v>
      </c>
      <c r="G101" s="133"/>
      <c r="H101" s="39" t="e">
        <f>#REF!</f>
        <v>#REF!</v>
      </c>
      <c r="I101" s="132" t="e">
        <f>#REF!</f>
        <v>#REF!</v>
      </c>
      <c r="J101" s="132" t="e">
        <f>#REF!/#REF!</f>
        <v>#REF!</v>
      </c>
      <c r="K101" s="160" t="e">
        <f>#REF!</f>
        <v>#REF!</v>
      </c>
      <c r="L101" s="276" t="e">
        <f>#REF!</f>
        <v>#REF!</v>
      </c>
      <c r="M101" s="61">
        <f>IF(ISERROR(#REF!),0,#REF!*1)</f>
        <v>0</v>
      </c>
      <c r="N101" s="39" t="e">
        <f>#REF!</f>
        <v>#REF!</v>
      </c>
      <c r="O101" s="277" t="s">
        <v>4</v>
      </c>
      <c r="P101" s="278"/>
      <c r="Q101" s="277" t="s">
        <v>211</v>
      </c>
      <c r="R101" s="277" t="s">
        <v>7</v>
      </c>
      <c r="S101" s="278"/>
      <c r="T101" s="277" t="s">
        <v>211</v>
      </c>
      <c r="U101" s="277" t="s">
        <v>3</v>
      </c>
      <c r="V101" s="278"/>
      <c r="W101" s="277" t="s">
        <v>211</v>
      </c>
      <c r="X101" s="134"/>
      <c r="Y101" s="209" t="e">
        <f ca="1">science_cap*(1-EXP(-#REF!/(science_param*(OFFSET(#REF!,1,0)-OFFSET(#REF!,1,0)*20)+15000)))*(1+(mason_bonus*#REF!/#REF!))</f>
        <v>#REF!</v>
      </c>
      <c r="Z101" s="209" t="e">
        <f ca="1">keep_cap*(1-EXP(-#REF!/(keep_param*(OFFSET(#REF!,1,0)-OFFSET(#REF!,1,0)*20)+15000)))*(1+(mason_bonus*#REF!/#REF!))</f>
        <v>#REF!</v>
      </c>
      <c r="AA101" s="209" t="e">
        <f ca="1">harbor_towers_cap*(1-EXP(-#REF!/(towers_param*(OFFSET(#REF!,1,0)-OFFSET(#REF!,1,0)*20)+15000)))*(1+(mason_bonus*#REF!/#REF!))</f>
        <v>#REF!</v>
      </c>
      <c r="AB101" s="209" t="e">
        <f ca="1">walls_forges_cap*(1-EXP(-#REF!/(walls_forges_param*(OFFSET(#REF!,1,0)-OFFSET(#REF!,1,0)*20)+15000)))*(1+(mason_bonus*#REF!/#REF!))</f>
        <v>#REF!</v>
      </c>
      <c r="AC101" s="209" t="e">
        <f ca="1">walls_forges_cap*(1-EXP(-#REF!/(walls_forges_param*(OFFSET(#REF!,1,0)-OFFSET(#REF!,1,0)*20)+15000)))*(1+(mason_bonus*#REF!/#REF!))</f>
        <v>#REF!</v>
      </c>
      <c r="AD101" s="209" t="e">
        <f ca="1">harbor_towers_cap*(1-EXP(-#REF!/(harbor_towers_param*(OFFSET(#REF!,1,0)-OFFSET(#REF!,1,0)*20)+15000)))*(1+(mason_bonus*#REF!/#REF!))</f>
        <v>#REF!</v>
      </c>
      <c r="AE101" s="134"/>
      <c r="AF101" s="61" t="e">
        <f ca="1">(1+Overview!$I$28)*SUM(#REF!)+OFFSET(#REF!,-1,0)</f>
        <v>#REF!</v>
      </c>
      <c r="AG101" s="61" t="e">
        <f ca="1">(1+Overview!$I$28)*SUM(#REF!)+OFFSET(#REF!,-1,0)</f>
        <v>#REF!</v>
      </c>
      <c r="AH101" s="61" t="e">
        <f ca="1">(1+Overview!$I$28 + tech_7_1*#REF!)*SUM(#REF!)+OFFSET(#REF!,-1,0)</f>
        <v>#REF!</v>
      </c>
      <c r="AI101" s="61" t="e">
        <f ca="1">(1+Overview!$I$28)*SUM(#REF!)+OFFSET(#REF!,-1,0)</f>
        <v>#REF!</v>
      </c>
      <c r="AJ101" s="61" t="e">
        <f ca="1">(1+Overview!$I$28)*SUM(#REF!)+OFFSET(#REF!,-1,0)</f>
        <v>#REF!</v>
      </c>
      <c r="AK101" s="61" t="e">
        <f ca="1">(1+Overview!$I$28 + tech_7_1*#REF!)*SUM(#REF!)+OFFSET(#REF!,-1,0)</f>
        <v>#REF!</v>
      </c>
      <c r="AL101" s="134"/>
      <c r="AM101" s="57" t="e">
        <f>IF(AND(#REF!=AM$2,#REF!&lt;&gt;""),#REF!) + IF(AND(#REF!=AM$2,#REF!&lt;&gt;""),#REF!) + IF(AND(#REF!=AM$2,#REF!&lt;&gt;""),#REF!)</f>
        <v>#REF!</v>
      </c>
      <c r="AN101" s="57" t="e">
        <f>IF(AND(#REF!=AN$2,#REF!&lt;&gt;""),#REF!) + IF(AND(#REF!=AN$2,#REF!&lt;&gt;""),#REF!) + IF(AND(#REF!=AN$2,#REF!&lt;&gt;""),#REF!)</f>
        <v>#REF!</v>
      </c>
      <c r="AO101" s="57" t="e">
        <f>IF(AND(#REF!=AO$2,#REF!&lt;&gt;""),#REF!) + IF(AND(#REF!=AO$2,#REF!&lt;&gt;""),#REF!) + IF(AND(#REF!=AO$2,#REF!&lt;&gt;""),#REF!)</f>
        <v>#REF!</v>
      </c>
      <c r="AP101" s="57" t="e">
        <f>IF(AND(#REF!=AP$2,#REF!&lt;&gt;""),#REF!) + IF(AND(#REF!=AP$2,#REF!&lt;&gt;""),#REF!) + IF(AND(#REF!=AP$2,#REF!&lt;&gt;""),#REF!)</f>
        <v>#REF!</v>
      </c>
      <c r="AQ101" s="134"/>
      <c r="AR101" s="57" t="e">
        <f>IF(#REF!=AR$2,IF(#REF!=$Y$2,#REF!*plat_invest)) + IF(#REF!=AR$2,IF(#REF!=$Y$2,#REF!*plat_invest)) + IF(#REF!=AR$2,IF(#REF!=$Y$2,#REF!*plat_invest))</f>
        <v>#REF!</v>
      </c>
      <c r="AS101" s="57" t="e">
        <f>IF(#REF!=AS$2,IF(#REF!=$Y$2,#REF!*lumber_invest)) + IF(#REF!=AS$2,IF(#REF!=$Y$2,#REF!*lumber_invest)) + IF(#REF!=AS$2,IF(#REF!=$Y$2,#REF!*lumber_invest))</f>
        <v>#REF!</v>
      </c>
      <c r="AT101" s="57" t="e">
        <f>IF(#REF!=AT$2,IF(#REF!=$Y$2,#REF!*ore_invest)) + IF(#REF!=AT$2,IF(#REF!=$Y$2,#REF!*ore_invest)) + IF(#REF!=AT$2,IF(#REF!=$Y$2,#REF!*ore_invest))</f>
        <v>#REF!</v>
      </c>
      <c r="AU101" s="57" t="e">
        <f>IF(#REF!=AU$2,IF(#REF!=$Y$2,#REF!*gem_invest)) + IF(#REF!=AU$2,IF(#REF!=$Y$2,#REF!*gem_invest)) + IF(#REF!=AU$2,IF(#REF!=$Y$2,#REF!*gem_invest))</f>
        <v>#REF!</v>
      </c>
      <c r="AV101" s="134"/>
      <c r="AW101" s="57" t="e">
        <f>IF(#REF!=AW$2,IF(#REF!=$Z$2,#REF!*plat_invest)) + IF(#REF!=AW$2,IF(#REF!=$Z$2,#REF!*plat_invest)) + IF(#REF!=AW$2,IF(#REF!=$Z$2,#REF!*plat_invest))</f>
        <v>#REF!</v>
      </c>
      <c r="AX101" s="57" t="e">
        <f>IF(#REF!=AX$2,IF(#REF!=$Z$2,#REF!*lumber_invest)) + IF(#REF!=AX$2,IF(#REF!=$Z$2,#REF!*lumber_invest)) + IF(#REF!=AX$2,IF(#REF!=$Z$2,#REF!*lumber_invest))</f>
        <v>#REF!</v>
      </c>
      <c r="AY101" s="57" t="e">
        <f>IF(#REF!=AY$2,IF(#REF!=$Z$2,#REF!*ore_invest)) + IF(#REF!=AY$2,IF(#REF!=$Z$2,#REF!*ore_invest)) + IF(#REF!=AY$2,IF(#REF!=$Z$2,#REF!*ore_invest))</f>
        <v>#REF!</v>
      </c>
      <c r="AZ101" s="57" t="e">
        <f>IF(#REF!=AZ$2,IF(#REF!=$Z$2,#REF!*gem_invest)) + IF(#REF!=AZ$2,IF(#REF!=$Z$2,#REF!*gem_invest)) + IF(#REF!=AZ$2,IF(#REF!=$Z$2,#REF!*gem_invest))</f>
        <v>#REF!</v>
      </c>
      <c r="BA101" s="134"/>
      <c r="BB101" s="57" t="e">
        <f>IF(#REF!=BB$2,IF(#REF!=$AA$2,#REF!*plat_invest)) + IF(#REF!=BB$2,IF(#REF!=$AA$2,#REF!*plat_invest)) + IF(#REF!=BB$2,IF(#REF!=$AA$2,#REF!*plat_invest))</f>
        <v>#REF!</v>
      </c>
      <c r="BC101" s="57" t="e">
        <f>IF(#REF!=BC$2,IF(#REF!=$AA$2,#REF!*lumber_invest)) + IF(#REF!=BC$2,IF(#REF!=$AA$2,#REF!*lumber_invest)) + IF(#REF!=BC$2,IF(#REF!=$AA$2,#REF!*lumber_invest))</f>
        <v>#REF!</v>
      </c>
      <c r="BD101" s="57" t="e">
        <f>IF(#REF!=BD$2,IF(#REF!=$AA$2,#REF!*ore_invest)) + IF(#REF!=BD$2,IF(#REF!=$AA$2,#REF!*ore_invest)) + IF(#REF!=BD$2,IF(#REF!=$AA$2,#REF!*ore_invest))</f>
        <v>#REF!</v>
      </c>
      <c r="BE101" s="57" t="e">
        <f>IF(#REF!=BE$2,IF(#REF!=$AA$2,#REF!*gem_invest)) + IF(#REF!=BE$2,IF(#REF!=$AA$2,#REF!*gem_invest)) + IF(#REF!=BE$2,IF(#REF!=$AA$2,#REF!*gem_invest))</f>
        <v>#REF!</v>
      </c>
      <c r="BF101" s="134"/>
      <c r="BG101" s="57" t="e">
        <f>IF(#REF!=BG$2,IF(#REF!=$AB$2,#REF!*plat_invest)) + IF(#REF!=BG$2,IF(#REF!=$AB$2,#REF!*plat_invest)) + IF(#REF!=BG$2,IF(#REF!=$AB$2,#REF!*plat_invest))</f>
        <v>#REF!</v>
      </c>
      <c r="BH101" s="57" t="e">
        <f>IF(#REF!=BH$2,IF(#REF!=$AB$2,#REF!*lumber_invest)) + IF(#REF!=BH$2,IF(#REF!=$AB$2,#REF!*lumber_invest)) + IF(#REF!=BH$2,IF(#REF!=$AB$2,#REF!*lumber_invest))</f>
        <v>#REF!</v>
      </c>
      <c r="BI101" s="57" t="e">
        <f>IF(#REF!=BI$2,IF(#REF!=$AB$2,#REF!*ore_invest)) + IF(#REF!=BI$2,IF(#REF!=$AB$2,#REF!*ore_invest)) + IF(#REF!=BI$2,IF(#REF!=$AB$2,#REF!*ore_invest))</f>
        <v>#REF!</v>
      </c>
      <c r="BJ101" s="57" t="e">
        <f>IF(#REF!=BJ$2,IF(#REF!=$AB$2,#REF!*gem_invest)) + IF(#REF!=BJ$2,IF(#REF!=$AB$2,#REF!*gem_invest)) + IF(#REF!=BJ$2,IF(#REF!=$AB$2,#REF!*gem_invest))</f>
        <v>#REF!</v>
      </c>
      <c r="BK101" s="134"/>
      <c r="BL101" s="57" t="e">
        <f>IF(#REF!=BL$2,IF(#REF!=$AC$2,#REF!*plat_invest)) + IF(#REF!=BL$2,IF(#REF!=$AC$2,#REF!*plat_invest)) + IF(#REF!=BL$2,IF(#REF!=$AC$2,#REF!*plat_invest))</f>
        <v>#REF!</v>
      </c>
      <c r="BM101" s="57" t="e">
        <f>IF(#REF!=BM$2,IF(#REF!=$AC$2,#REF!*lumber_invest)) + IF(#REF!=BM$2,IF(#REF!=$AC$2,#REF!*lumber_invest)) + IF(#REF!=BM$2,IF(#REF!=$AC$2,#REF!*lumber_invest))</f>
        <v>#REF!</v>
      </c>
      <c r="BN101" s="57" t="e">
        <f>IF(#REF!=BN$2,IF(#REF!=$AC$2,#REF!*ore_invest)) + IF(#REF!=BN$2,IF(#REF!=$AC$2,#REF!*ore_invest)) + IF(#REF!=BN$2,IF(#REF!=$AC$2,#REF!*ore_invest))</f>
        <v>#REF!</v>
      </c>
      <c r="BO101" s="57" t="e">
        <f>IF(#REF!=BO$2,IF(#REF!=$AC$2,#REF!*gem_invest)) + IF(#REF!=BO$2,IF(#REF!=$AC$2,#REF!*gem_invest)) + IF(#REF!=BO$2,IF(#REF!=$AC$2,#REF!*gem_invest))</f>
        <v>#REF!</v>
      </c>
      <c r="BP101" s="134"/>
      <c r="BQ101" s="57" t="e">
        <f>IF(#REF!=BQ$2,IF(#REF!=$AD$2,#REF!*plat_invest)) + IF(#REF!=BQ$2,IF(#REF!=$AD$2,#REF!*plat_invest)) + IF(#REF!=BQ$2,IF(#REF!=$AD$2,#REF!*plat_invest))</f>
        <v>#REF!</v>
      </c>
      <c r="BR101" s="57" t="e">
        <f>IF(#REF!=BR$2,IF(#REF!=$AD$2,#REF!*lumber_invest)) + IF(#REF!=BR$2,IF(#REF!=$AD$2,#REF!*lumber_invest)) + IF(#REF!=BR$2,IF(#REF!=$AD$2,#REF!*lumber_invest))</f>
        <v>#REF!</v>
      </c>
      <c r="BS101" s="57" t="e">
        <f>IF(#REF!=BS$2,IF(#REF!=$AD$2,#REF!*ore_invest)) + IF(#REF!=BS$2,IF(#REF!=$AD$2,#REF!*ore_invest)) + IF(#REF!=BS$2,IF(#REF!=$AD$2,#REF!*ore_invest))</f>
        <v>#REF!</v>
      </c>
      <c r="BT101" s="57" t="e">
        <f>IF(#REF!=BT$2,IF(#REF!=$AD$2,#REF!*gem_invest)) + IF(#REF!=BT$2,IF(#REF!=$AD$2,#REF!*gem_invest)) + IF(#REF!=BT$2,IF(#REF!=$AD$2,#REF!*gem_invest))</f>
        <v>#REF!</v>
      </c>
      <c r="BU101" s="134"/>
      <c r="BV101" s="3" t="e">
        <f>OR(#REF!,#REF!,#REF!,#REF!,#REF!,#REF!,#REF!,#REF!,#REF!)</f>
        <v>#REF!</v>
      </c>
      <c r="BW101" s="61" t="e">
        <f>#REF!</f>
        <v>#REF!</v>
      </c>
      <c r="BX101" s="130"/>
      <c r="BY101" s="284" t="e">
        <f ca="1">OFFSET(#REF!,-1,0)+1/24</f>
        <v>#REF!</v>
      </c>
      <c r="BZ101" s="285" t="e">
        <f ca="1">OFFSET(#REF!,-1,0)+1/24</f>
        <v>#REF!</v>
      </c>
      <c r="CA101" s="57"/>
      <c r="CB101" s="283"/>
      <c r="CC101" s="283"/>
    </row>
    <row r="102" spans="1:82" x14ac:dyDescent="0.25">
      <c r="A102" s="206" t="e">
        <f>#REF!</f>
        <v>#REF!</v>
      </c>
      <c r="B102" s="134"/>
      <c r="C102" s="39" t="e">
        <f>#REF!</f>
        <v>#REF!</v>
      </c>
      <c r="D102" s="39" t="e">
        <f>#REF!</f>
        <v>#REF!</v>
      </c>
      <c r="E102" s="39" t="e">
        <f>#REF!</f>
        <v>#REF!</v>
      </c>
      <c r="F102" s="39" t="e">
        <f>#REF!</f>
        <v>#REF!</v>
      </c>
      <c r="G102" s="133"/>
      <c r="H102" s="39" t="e">
        <f>#REF!</f>
        <v>#REF!</v>
      </c>
      <c r="I102" s="132" t="e">
        <f>#REF!</f>
        <v>#REF!</v>
      </c>
      <c r="J102" s="132" t="e">
        <f>#REF!/#REF!</f>
        <v>#REF!</v>
      </c>
      <c r="K102" s="160" t="e">
        <f>#REF!</f>
        <v>#REF!</v>
      </c>
      <c r="L102" s="276" t="e">
        <f>#REF!</f>
        <v>#REF!</v>
      </c>
      <c r="M102" s="61">
        <f>IF(ISERROR(#REF!),0,#REF!*1)</f>
        <v>0</v>
      </c>
      <c r="N102" s="39" t="e">
        <f>#REF!</f>
        <v>#REF!</v>
      </c>
      <c r="O102" s="277" t="s">
        <v>4</v>
      </c>
      <c r="P102" s="278"/>
      <c r="Q102" s="277" t="s">
        <v>211</v>
      </c>
      <c r="R102" s="277" t="s">
        <v>7</v>
      </c>
      <c r="S102" s="278"/>
      <c r="T102" s="277" t="s">
        <v>211</v>
      </c>
      <c r="U102" s="277" t="s">
        <v>3</v>
      </c>
      <c r="V102" s="278"/>
      <c r="W102" s="277" t="s">
        <v>211</v>
      </c>
      <c r="X102" s="134"/>
      <c r="Y102" s="209" t="e">
        <f ca="1">science_cap*(1-EXP(-#REF!/(science_param*(OFFSET(#REF!,1,0)-OFFSET(#REF!,1,0)*20)+15000)))*(1+(mason_bonus*#REF!/#REF!))</f>
        <v>#REF!</v>
      </c>
      <c r="Z102" s="209" t="e">
        <f ca="1">keep_cap*(1-EXP(-#REF!/(keep_param*(OFFSET(#REF!,1,0)-OFFSET(#REF!,1,0)*20)+15000)))*(1+(mason_bonus*#REF!/#REF!))</f>
        <v>#REF!</v>
      </c>
      <c r="AA102" s="209" t="e">
        <f ca="1">harbor_towers_cap*(1-EXP(-#REF!/(towers_param*(OFFSET(#REF!,1,0)-OFFSET(#REF!,1,0)*20)+15000)))*(1+(mason_bonus*#REF!/#REF!))</f>
        <v>#REF!</v>
      </c>
      <c r="AB102" s="209" t="e">
        <f ca="1">walls_forges_cap*(1-EXP(-#REF!/(walls_forges_param*(OFFSET(#REF!,1,0)-OFFSET(#REF!,1,0)*20)+15000)))*(1+(mason_bonus*#REF!/#REF!))</f>
        <v>#REF!</v>
      </c>
      <c r="AC102" s="209" t="e">
        <f ca="1">walls_forges_cap*(1-EXP(-#REF!/(walls_forges_param*(OFFSET(#REF!,1,0)-OFFSET(#REF!,1,0)*20)+15000)))*(1+(mason_bonus*#REF!/#REF!))</f>
        <v>#REF!</v>
      </c>
      <c r="AD102" s="209" t="e">
        <f ca="1">harbor_towers_cap*(1-EXP(-#REF!/(harbor_towers_param*(OFFSET(#REF!,1,0)-OFFSET(#REF!,1,0)*20)+15000)))*(1+(mason_bonus*#REF!/#REF!))</f>
        <v>#REF!</v>
      </c>
      <c r="AE102" s="134"/>
      <c r="AF102" s="61" t="e">
        <f ca="1">(1+Overview!$I$28)*SUM(#REF!)+OFFSET(#REF!,-1,0)</f>
        <v>#REF!</v>
      </c>
      <c r="AG102" s="61" t="e">
        <f ca="1">(1+Overview!$I$28)*SUM(#REF!)+OFFSET(#REF!,-1,0)</f>
        <v>#REF!</v>
      </c>
      <c r="AH102" s="61" t="e">
        <f ca="1">(1+Overview!$I$28 + tech_7_1*#REF!)*SUM(#REF!)+OFFSET(#REF!,-1,0)</f>
        <v>#REF!</v>
      </c>
      <c r="AI102" s="61" t="e">
        <f ca="1">(1+Overview!$I$28)*SUM(#REF!)+OFFSET(#REF!,-1,0)</f>
        <v>#REF!</v>
      </c>
      <c r="AJ102" s="61" t="e">
        <f ca="1">(1+Overview!$I$28)*SUM(#REF!)+OFFSET(#REF!,-1,0)</f>
        <v>#REF!</v>
      </c>
      <c r="AK102" s="61" t="e">
        <f ca="1">(1+Overview!$I$28 + tech_7_1*#REF!)*SUM(#REF!)+OFFSET(#REF!,-1,0)</f>
        <v>#REF!</v>
      </c>
      <c r="AL102" s="134"/>
      <c r="AM102" s="57" t="e">
        <f>IF(AND(#REF!=AM$2,#REF!&lt;&gt;""),#REF!) + IF(AND(#REF!=AM$2,#REF!&lt;&gt;""),#REF!) + IF(AND(#REF!=AM$2,#REF!&lt;&gt;""),#REF!)</f>
        <v>#REF!</v>
      </c>
      <c r="AN102" s="57" t="e">
        <f>IF(AND(#REF!=AN$2,#REF!&lt;&gt;""),#REF!) + IF(AND(#REF!=AN$2,#REF!&lt;&gt;""),#REF!) + IF(AND(#REF!=AN$2,#REF!&lt;&gt;""),#REF!)</f>
        <v>#REF!</v>
      </c>
      <c r="AO102" s="57" t="e">
        <f>IF(AND(#REF!=AO$2,#REF!&lt;&gt;""),#REF!) + IF(AND(#REF!=AO$2,#REF!&lt;&gt;""),#REF!) + IF(AND(#REF!=AO$2,#REF!&lt;&gt;""),#REF!)</f>
        <v>#REF!</v>
      </c>
      <c r="AP102" s="57" t="e">
        <f>IF(AND(#REF!=AP$2,#REF!&lt;&gt;""),#REF!) + IF(AND(#REF!=AP$2,#REF!&lt;&gt;""),#REF!) + IF(AND(#REF!=AP$2,#REF!&lt;&gt;""),#REF!)</f>
        <v>#REF!</v>
      </c>
      <c r="AQ102" s="134"/>
      <c r="AR102" s="57" t="e">
        <f>IF(#REF!=AR$2,IF(#REF!=$Y$2,#REF!*plat_invest)) + IF(#REF!=AR$2,IF(#REF!=$Y$2,#REF!*plat_invest)) + IF(#REF!=AR$2,IF(#REF!=$Y$2,#REF!*plat_invest))</f>
        <v>#REF!</v>
      </c>
      <c r="AS102" s="57" t="e">
        <f>IF(#REF!=AS$2,IF(#REF!=$Y$2,#REF!*lumber_invest)) + IF(#REF!=AS$2,IF(#REF!=$Y$2,#REF!*lumber_invest)) + IF(#REF!=AS$2,IF(#REF!=$Y$2,#REF!*lumber_invest))</f>
        <v>#REF!</v>
      </c>
      <c r="AT102" s="57" t="e">
        <f>IF(#REF!=AT$2,IF(#REF!=$Y$2,#REF!*ore_invest)) + IF(#REF!=AT$2,IF(#REF!=$Y$2,#REF!*ore_invest)) + IF(#REF!=AT$2,IF(#REF!=$Y$2,#REF!*ore_invest))</f>
        <v>#REF!</v>
      </c>
      <c r="AU102" s="57" t="e">
        <f>IF(#REF!=AU$2,IF(#REF!=$Y$2,#REF!*gem_invest)) + IF(#REF!=AU$2,IF(#REF!=$Y$2,#REF!*gem_invest)) + IF(#REF!=AU$2,IF(#REF!=$Y$2,#REF!*gem_invest))</f>
        <v>#REF!</v>
      </c>
      <c r="AV102" s="134"/>
      <c r="AW102" s="57" t="e">
        <f>IF(#REF!=AW$2,IF(#REF!=$Z$2,#REF!*plat_invest)) + IF(#REF!=AW$2,IF(#REF!=$Z$2,#REF!*plat_invest)) + IF(#REF!=AW$2,IF(#REF!=$Z$2,#REF!*plat_invest))</f>
        <v>#REF!</v>
      </c>
      <c r="AX102" s="57" t="e">
        <f>IF(#REF!=AX$2,IF(#REF!=$Z$2,#REF!*lumber_invest)) + IF(#REF!=AX$2,IF(#REF!=$Z$2,#REF!*lumber_invest)) + IF(#REF!=AX$2,IF(#REF!=$Z$2,#REF!*lumber_invest))</f>
        <v>#REF!</v>
      </c>
      <c r="AY102" s="57" t="e">
        <f>IF(#REF!=AY$2,IF(#REF!=$Z$2,#REF!*ore_invest)) + IF(#REF!=AY$2,IF(#REF!=$Z$2,#REF!*ore_invest)) + IF(#REF!=AY$2,IF(#REF!=$Z$2,#REF!*ore_invest))</f>
        <v>#REF!</v>
      </c>
      <c r="AZ102" s="57" t="e">
        <f>IF(#REF!=AZ$2,IF(#REF!=$Z$2,#REF!*gem_invest)) + IF(#REF!=AZ$2,IF(#REF!=$Z$2,#REF!*gem_invest)) + IF(#REF!=AZ$2,IF(#REF!=$Z$2,#REF!*gem_invest))</f>
        <v>#REF!</v>
      </c>
      <c r="BA102" s="134"/>
      <c r="BB102" s="57" t="e">
        <f>IF(#REF!=BB$2,IF(#REF!=$AA$2,#REF!*plat_invest)) + IF(#REF!=BB$2,IF(#REF!=$AA$2,#REF!*plat_invest)) + IF(#REF!=BB$2,IF(#REF!=$AA$2,#REF!*plat_invest))</f>
        <v>#REF!</v>
      </c>
      <c r="BC102" s="57" t="e">
        <f>IF(#REF!=BC$2,IF(#REF!=$AA$2,#REF!*lumber_invest)) + IF(#REF!=BC$2,IF(#REF!=$AA$2,#REF!*lumber_invest)) + IF(#REF!=BC$2,IF(#REF!=$AA$2,#REF!*lumber_invest))</f>
        <v>#REF!</v>
      </c>
      <c r="BD102" s="57" t="e">
        <f>IF(#REF!=BD$2,IF(#REF!=$AA$2,#REF!*ore_invest)) + IF(#REF!=BD$2,IF(#REF!=$AA$2,#REF!*ore_invest)) + IF(#REF!=BD$2,IF(#REF!=$AA$2,#REF!*ore_invest))</f>
        <v>#REF!</v>
      </c>
      <c r="BE102" s="57" t="e">
        <f>IF(#REF!=BE$2,IF(#REF!=$AA$2,#REF!*gem_invest)) + IF(#REF!=BE$2,IF(#REF!=$AA$2,#REF!*gem_invest)) + IF(#REF!=BE$2,IF(#REF!=$AA$2,#REF!*gem_invest))</f>
        <v>#REF!</v>
      </c>
      <c r="BF102" s="134"/>
      <c r="BG102" s="57" t="e">
        <f>IF(#REF!=BG$2,IF(#REF!=$AB$2,#REF!*plat_invest)) + IF(#REF!=BG$2,IF(#REF!=$AB$2,#REF!*plat_invest)) + IF(#REF!=BG$2,IF(#REF!=$AB$2,#REF!*plat_invest))</f>
        <v>#REF!</v>
      </c>
      <c r="BH102" s="57" t="e">
        <f>IF(#REF!=BH$2,IF(#REF!=$AB$2,#REF!*lumber_invest)) + IF(#REF!=BH$2,IF(#REF!=$AB$2,#REF!*lumber_invest)) + IF(#REF!=BH$2,IF(#REF!=$AB$2,#REF!*lumber_invest))</f>
        <v>#REF!</v>
      </c>
      <c r="BI102" s="57" t="e">
        <f>IF(#REF!=BI$2,IF(#REF!=$AB$2,#REF!*ore_invest)) + IF(#REF!=BI$2,IF(#REF!=$AB$2,#REF!*ore_invest)) + IF(#REF!=BI$2,IF(#REF!=$AB$2,#REF!*ore_invest))</f>
        <v>#REF!</v>
      </c>
      <c r="BJ102" s="57" t="e">
        <f>IF(#REF!=BJ$2,IF(#REF!=$AB$2,#REF!*gem_invest)) + IF(#REF!=BJ$2,IF(#REF!=$AB$2,#REF!*gem_invest)) + IF(#REF!=BJ$2,IF(#REF!=$AB$2,#REF!*gem_invest))</f>
        <v>#REF!</v>
      </c>
      <c r="BK102" s="134"/>
      <c r="BL102" s="57" t="e">
        <f>IF(#REF!=BL$2,IF(#REF!=$AC$2,#REF!*plat_invest)) + IF(#REF!=BL$2,IF(#REF!=$AC$2,#REF!*plat_invest)) + IF(#REF!=BL$2,IF(#REF!=$AC$2,#REF!*plat_invest))</f>
        <v>#REF!</v>
      </c>
      <c r="BM102" s="57" t="e">
        <f>IF(#REF!=BM$2,IF(#REF!=$AC$2,#REF!*lumber_invest)) + IF(#REF!=BM$2,IF(#REF!=$AC$2,#REF!*lumber_invest)) + IF(#REF!=BM$2,IF(#REF!=$AC$2,#REF!*lumber_invest))</f>
        <v>#REF!</v>
      </c>
      <c r="BN102" s="57" t="e">
        <f>IF(#REF!=BN$2,IF(#REF!=$AC$2,#REF!*ore_invest)) + IF(#REF!=BN$2,IF(#REF!=$AC$2,#REF!*ore_invest)) + IF(#REF!=BN$2,IF(#REF!=$AC$2,#REF!*ore_invest))</f>
        <v>#REF!</v>
      </c>
      <c r="BO102" s="57" t="e">
        <f>IF(#REF!=BO$2,IF(#REF!=$AC$2,#REF!*gem_invest)) + IF(#REF!=BO$2,IF(#REF!=$AC$2,#REF!*gem_invest)) + IF(#REF!=BO$2,IF(#REF!=$AC$2,#REF!*gem_invest))</f>
        <v>#REF!</v>
      </c>
      <c r="BP102" s="134"/>
      <c r="BQ102" s="57" t="e">
        <f>IF(#REF!=BQ$2,IF(#REF!=$AD$2,#REF!*plat_invest)) + IF(#REF!=BQ$2,IF(#REF!=$AD$2,#REF!*plat_invest)) + IF(#REF!=BQ$2,IF(#REF!=$AD$2,#REF!*plat_invest))</f>
        <v>#REF!</v>
      </c>
      <c r="BR102" s="57" t="e">
        <f>IF(#REF!=BR$2,IF(#REF!=$AD$2,#REF!*lumber_invest)) + IF(#REF!=BR$2,IF(#REF!=$AD$2,#REF!*lumber_invest)) + IF(#REF!=BR$2,IF(#REF!=$AD$2,#REF!*lumber_invest))</f>
        <v>#REF!</v>
      </c>
      <c r="BS102" s="57" t="e">
        <f>IF(#REF!=BS$2,IF(#REF!=$AD$2,#REF!*ore_invest)) + IF(#REF!=BS$2,IF(#REF!=$AD$2,#REF!*ore_invest)) + IF(#REF!=BS$2,IF(#REF!=$AD$2,#REF!*ore_invest))</f>
        <v>#REF!</v>
      </c>
      <c r="BT102" s="57" t="e">
        <f>IF(#REF!=BT$2,IF(#REF!=$AD$2,#REF!*gem_invest)) + IF(#REF!=BT$2,IF(#REF!=$AD$2,#REF!*gem_invest)) + IF(#REF!=BT$2,IF(#REF!=$AD$2,#REF!*gem_invest))</f>
        <v>#REF!</v>
      </c>
      <c r="BU102" s="134"/>
      <c r="BV102" s="3" t="e">
        <f>OR(#REF!,#REF!,#REF!,#REF!,#REF!,#REF!,#REF!,#REF!,#REF!)</f>
        <v>#REF!</v>
      </c>
      <c r="BW102" s="61" t="e">
        <f>#REF!</f>
        <v>#REF!</v>
      </c>
      <c r="BX102" s="130"/>
      <c r="BY102" s="284" t="e">
        <f ca="1">OFFSET(#REF!,-1,0)+1/24</f>
        <v>#REF!</v>
      </c>
      <c r="BZ102" s="285" t="e">
        <f ca="1">OFFSET(#REF!,-1,0)+1/24</f>
        <v>#REF!</v>
      </c>
      <c r="CA102" s="57"/>
      <c r="CB102" s="283"/>
      <c r="CC102" s="283"/>
      <c r="CD102" s="3" t="s">
        <v>4</v>
      </c>
    </row>
    <row r="103" spans="1:82" x14ac:dyDescent="0.25">
      <c r="A103" s="206" t="e">
        <f>#REF!</f>
        <v>#REF!</v>
      </c>
      <c r="B103" s="134"/>
      <c r="C103" s="39" t="e">
        <f>#REF!</f>
        <v>#REF!</v>
      </c>
      <c r="D103" s="39" t="e">
        <f>#REF!</f>
        <v>#REF!</v>
      </c>
      <c r="E103" s="39" t="e">
        <f>#REF!</f>
        <v>#REF!</v>
      </c>
      <c r="F103" s="39" t="e">
        <f>#REF!</f>
        <v>#REF!</v>
      </c>
      <c r="G103" s="133"/>
      <c r="H103" s="39" t="e">
        <f>#REF!</f>
        <v>#REF!</v>
      </c>
      <c r="I103" s="132" t="e">
        <f>#REF!</f>
        <v>#REF!</v>
      </c>
      <c r="J103" s="132" t="e">
        <f>#REF!/#REF!</f>
        <v>#REF!</v>
      </c>
      <c r="K103" s="160" t="e">
        <f>#REF!</f>
        <v>#REF!</v>
      </c>
      <c r="L103" s="276" t="e">
        <f>#REF!</f>
        <v>#REF!</v>
      </c>
      <c r="M103" s="61">
        <f>IF(ISERROR(#REF!),0,#REF!*1)</f>
        <v>0</v>
      </c>
      <c r="N103" s="39" t="e">
        <f>#REF!</f>
        <v>#REF!</v>
      </c>
      <c r="O103" s="277" t="s">
        <v>4</v>
      </c>
      <c r="P103" s="278"/>
      <c r="Q103" s="277" t="s">
        <v>211</v>
      </c>
      <c r="R103" s="277" t="s">
        <v>7</v>
      </c>
      <c r="S103" s="278"/>
      <c r="T103" s="277" t="s">
        <v>211</v>
      </c>
      <c r="U103" s="277" t="s">
        <v>3</v>
      </c>
      <c r="V103" s="278"/>
      <c r="W103" s="277" t="s">
        <v>211</v>
      </c>
      <c r="X103" s="134"/>
      <c r="Y103" s="209" t="e">
        <f ca="1">science_cap*(1-EXP(-#REF!/(science_param*(OFFSET(#REF!,1,0)-OFFSET(#REF!,1,0)*20)+15000)))*(1+(mason_bonus*#REF!/#REF!))</f>
        <v>#REF!</v>
      </c>
      <c r="Z103" s="209" t="e">
        <f ca="1">keep_cap*(1-EXP(-#REF!/(keep_param*(OFFSET(#REF!,1,0)-OFFSET(#REF!,1,0)*20)+15000)))*(1+(mason_bonus*#REF!/#REF!))</f>
        <v>#REF!</v>
      </c>
      <c r="AA103" s="209" t="e">
        <f ca="1">harbor_towers_cap*(1-EXP(-#REF!/(towers_param*(OFFSET(#REF!,1,0)-OFFSET(#REF!,1,0)*20)+15000)))*(1+(mason_bonus*#REF!/#REF!))</f>
        <v>#REF!</v>
      </c>
      <c r="AB103" s="209" t="e">
        <f ca="1">walls_forges_cap*(1-EXP(-#REF!/(walls_forges_param*(OFFSET(#REF!,1,0)-OFFSET(#REF!,1,0)*20)+15000)))*(1+(mason_bonus*#REF!/#REF!))</f>
        <v>#REF!</v>
      </c>
      <c r="AC103" s="209" t="e">
        <f ca="1">walls_forges_cap*(1-EXP(-#REF!/(walls_forges_param*(OFFSET(#REF!,1,0)-OFFSET(#REF!,1,0)*20)+15000)))*(1+(mason_bonus*#REF!/#REF!))</f>
        <v>#REF!</v>
      </c>
      <c r="AD103" s="209" t="e">
        <f ca="1">harbor_towers_cap*(1-EXP(-#REF!/(harbor_towers_param*(OFFSET(#REF!,1,0)-OFFSET(#REF!,1,0)*20)+15000)))*(1+(mason_bonus*#REF!/#REF!))</f>
        <v>#REF!</v>
      </c>
      <c r="AE103" s="134"/>
      <c r="AF103" s="61" t="e">
        <f ca="1">(1+Overview!$I$28)*SUM(#REF!)+OFFSET(#REF!,-1,0)</f>
        <v>#REF!</v>
      </c>
      <c r="AG103" s="61" t="e">
        <f ca="1">(1+Overview!$I$28)*SUM(#REF!)+OFFSET(#REF!,-1,0)</f>
        <v>#REF!</v>
      </c>
      <c r="AH103" s="61" t="e">
        <f ca="1">(1+Overview!$I$28 + tech_7_1*#REF!)*SUM(#REF!)+OFFSET(#REF!,-1,0)</f>
        <v>#REF!</v>
      </c>
      <c r="AI103" s="61" t="e">
        <f ca="1">(1+Overview!$I$28)*SUM(#REF!)+OFFSET(#REF!,-1,0)</f>
        <v>#REF!</v>
      </c>
      <c r="AJ103" s="61" t="e">
        <f ca="1">(1+Overview!$I$28)*SUM(#REF!)+OFFSET(#REF!,-1,0)</f>
        <v>#REF!</v>
      </c>
      <c r="AK103" s="61" t="e">
        <f ca="1">(1+Overview!$I$28 + tech_7_1*#REF!)*SUM(#REF!)+OFFSET(#REF!,-1,0)</f>
        <v>#REF!</v>
      </c>
      <c r="AL103" s="134"/>
      <c r="AM103" s="57" t="e">
        <f>IF(AND(#REF!=AM$2,#REF!&lt;&gt;""),#REF!) + IF(AND(#REF!=AM$2,#REF!&lt;&gt;""),#REF!) + IF(AND(#REF!=AM$2,#REF!&lt;&gt;""),#REF!)</f>
        <v>#REF!</v>
      </c>
      <c r="AN103" s="57" t="e">
        <f>IF(AND(#REF!=AN$2,#REF!&lt;&gt;""),#REF!) + IF(AND(#REF!=AN$2,#REF!&lt;&gt;""),#REF!) + IF(AND(#REF!=AN$2,#REF!&lt;&gt;""),#REF!)</f>
        <v>#REF!</v>
      </c>
      <c r="AO103" s="57" t="e">
        <f>IF(AND(#REF!=AO$2,#REF!&lt;&gt;""),#REF!) + IF(AND(#REF!=AO$2,#REF!&lt;&gt;""),#REF!) + IF(AND(#REF!=AO$2,#REF!&lt;&gt;""),#REF!)</f>
        <v>#REF!</v>
      </c>
      <c r="AP103" s="57" t="e">
        <f>IF(AND(#REF!=AP$2,#REF!&lt;&gt;""),#REF!) + IF(AND(#REF!=AP$2,#REF!&lt;&gt;""),#REF!) + IF(AND(#REF!=AP$2,#REF!&lt;&gt;""),#REF!)</f>
        <v>#REF!</v>
      </c>
      <c r="AQ103" s="134"/>
      <c r="AR103" s="57" t="e">
        <f>IF(#REF!=AR$2,IF(#REF!=$Y$2,#REF!*plat_invest)) + IF(#REF!=AR$2,IF(#REF!=$Y$2,#REF!*plat_invest)) + IF(#REF!=AR$2,IF(#REF!=$Y$2,#REF!*plat_invest))</f>
        <v>#REF!</v>
      </c>
      <c r="AS103" s="57" t="e">
        <f>IF(#REF!=AS$2,IF(#REF!=$Y$2,#REF!*lumber_invest)) + IF(#REF!=AS$2,IF(#REF!=$Y$2,#REF!*lumber_invest)) + IF(#REF!=AS$2,IF(#REF!=$Y$2,#REF!*lumber_invest))</f>
        <v>#REF!</v>
      </c>
      <c r="AT103" s="57" t="e">
        <f>IF(#REF!=AT$2,IF(#REF!=$Y$2,#REF!*ore_invest)) + IF(#REF!=AT$2,IF(#REF!=$Y$2,#REF!*ore_invest)) + IF(#REF!=AT$2,IF(#REF!=$Y$2,#REF!*ore_invest))</f>
        <v>#REF!</v>
      </c>
      <c r="AU103" s="57" t="e">
        <f>IF(#REF!=AU$2,IF(#REF!=$Y$2,#REF!*gem_invest)) + IF(#REF!=AU$2,IF(#REF!=$Y$2,#REF!*gem_invest)) + IF(#REF!=AU$2,IF(#REF!=$Y$2,#REF!*gem_invest))</f>
        <v>#REF!</v>
      </c>
      <c r="AV103" s="134"/>
      <c r="AW103" s="57" t="e">
        <f>IF(#REF!=AW$2,IF(#REF!=$Z$2,#REF!*plat_invest)) + IF(#REF!=AW$2,IF(#REF!=$Z$2,#REF!*plat_invest)) + IF(#REF!=AW$2,IF(#REF!=$Z$2,#REF!*plat_invest))</f>
        <v>#REF!</v>
      </c>
      <c r="AX103" s="57" t="e">
        <f>IF(#REF!=AX$2,IF(#REF!=$Z$2,#REF!*lumber_invest)) + IF(#REF!=AX$2,IF(#REF!=$Z$2,#REF!*lumber_invest)) + IF(#REF!=AX$2,IF(#REF!=$Z$2,#REF!*lumber_invest))</f>
        <v>#REF!</v>
      </c>
      <c r="AY103" s="57" t="e">
        <f>IF(#REF!=AY$2,IF(#REF!=$Z$2,#REF!*ore_invest)) + IF(#REF!=AY$2,IF(#REF!=$Z$2,#REF!*ore_invest)) + IF(#REF!=AY$2,IF(#REF!=$Z$2,#REF!*ore_invest))</f>
        <v>#REF!</v>
      </c>
      <c r="AZ103" s="57" t="e">
        <f>IF(#REF!=AZ$2,IF(#REF!=$Z$2,#REF!*gem_invest)) + IF(#REF!=AZ$2,IF(#REF!=$Z$2,#REF!*gem_invest)) + IF(#REF!=AZ$2,IF(#REF!=$Z$2,#REF!*gem_invest))</f>
        <v>#REF!</v>
      </c>
      <c r="BA103" s="134"/>
      <c r="BB103" s="57" t="e">
        <f>IF(#REF!=BB$2,IF(#REF!=$AA$2,#REF!*plat_invest)) + IF(#REF!=BB$2,IF(#REF!=$AA$2,#REF!*plat_invest)) + IF(#REF!=BB$2,IF(#REF!=$AA$2,#REF!*plat_invest))</f>
        <v>#REF!</v>
      </c>
      <c r="BC103" s="57" t="e">
        <f>IF(#REF!=BC$2,IF(#REF!=$AA$2,#REF!*lumber_invest)) + IF(#REF!=BC$2,IF(#REF!=$AA$2,#REF!*lumber_invest)) + IF(#REF!=BC$2,IF(#REF!=$AA$2,#REF!*lumber_invest))</f>
        <v>#REF!</v>
      </c>
      <c r="BD103" s="57" t="e">
        <f>IF(#REF!=BD$2,IF(#REF!=$AA$2,#REF!*ore_invest)) + IF(#REF!=BD$2,IF(#REF!=$AA$2,#REF!*ore_invest)) + IF(#REF!=BD$2,IF(#REF!=$AA$2,#REF!*ore_invest))</f>
        <v>#REF!</v>
      </c>
      <c r="BE103" s="57" t="e">
        <f>IF(#REF!=BE$2,IF(#REF!=$AA$2,#REF!*gem_invest)) + IF(#REF!=BE$2,IF(#REF!=$AA$2,#REF!*gem_invest)) + IF(#REF!=BE$2,IF(#REF!=$AA$2,#REF!*gem_invest))</f>
        <v>#REF!</v>
      </c>
      <c r="BF103" s="134"/>
      <c r="BG103" s="57" t="e">
        <f>IF(#REF!=BG$2,IF(#REF!=$AB$2,#REF!*plat_invest)) + IF(#REF!=BG$2,IF(#REF!=$AB$2,#REF!*plat_invest)) + IF(#REF!=BG$2,IF(#REF!=$AB$2,#REF!*plat_invest))</f>
        <v>#REF!</v>
      </c>
      <c r="BH103" s="57" t="e">
        <f>IF(#REF!=BH$2,IF(#REF!=$AB$2,#REF!*lumber_invest)) + IF(#REF!=BH$2,IF(#REF!=$AB$2,#REF!*lumber_invest)) + IF(#REF!=BH$2,IF(#REF!=$AB$2,#REF!*lumber_invest))</f>
        <v>#REF!</v>
      </c>
      <c r="BI103" s="57" t="e">
        <f>IF(#REF!=BI$2,IF(#REF!=$AB$2,#REF!*ore_invest)) + IF(#REF!=BI$2,IF(#REF!=$AB$2,#REF!*ore_invest)) + IF(#REF!=BI$2,IF(#REF!=$AB$2,#REF!*ore_invest))</f>
        <v>#REF!</v>
      </c>
      <c r="BJ103" s="57" t="e">
        <f>IF(#REF!=BJ$2,IF(#REF!=$AB$2,#REF!*gem_invest)) + IF(#REF!=BJ$2,IF(#REF!=$AB$2,#REF!*gem_invest)) + IF(#REF!=BJ$2,IF(#REF!=$AB$2,#REF!*gem_invest))</f>
        <v>#REF!</v>
      </c>
      <c r="BK103" s="134"/>
      <c r="BL103" s="57" t="e">
        <f>IF(#REF!=BL$2,IF(#REF!=$AC$2,#REF!*plat_invest)) + IF(#REF!=BL$2,IF(#REF!=$AC$2,#REF!*plat_invest)) + IF(#REF!=BL$2,IF(#REF!=$AC$2,#REF!*plat_invest))</f>
        <v>#REF!</v>
      </c>
      <c r="BM103" s="57" t="e">
        <f>IF(#REF!=BM$2,IF(#REF!=$AC$2,#REF!*lumber_invest)) + IF(#REF!=BM$2,IF(#REF!=$AC$2,#REF!*lumber_invest)) + IF(#REF!=BM$2,IF(#REF!=$AC$2,#REF!*lumber_invest))</f>
        <v>#REF!</v>
      </c>
      <c r="BN103" s="57" t="e">
        <f>IF(#REF!=BN$2,IF(#REF!=$AC$2,#REF!*ore_invest)) + IF(#REF!=BN$2,IF(#REF!=$AC$2,#REF!*ore_invest)) + IF(#REF!=BN$2,IF(#REF!=$AC$2,#REF!*ore_invest))</f>
        <v>#REF!</v>
      </c>
      <c r="BO103" s="57" t="e">
        <f>IF(#REF!=BO$2,IF(#REF!=$AC$2,#REF!*gem_invest)) + IF(#REF!=BO$2,IF(#REF!=$AC$2,#REF!*gem_invest)) + IF(#REF!=BO$2,IF(#REF!=$AC$2,#REF!*gem_invest))</f>
        <v>#REF!</v>
      </c>
      <c r="BP103" s="134"/>
      <c r="BQ103" s="57" t="e">
        <f>IF(#REF!=BQ$2,IF(#REF!=$AD$2,#REF!*plat_invest)) + IF(#REF!=BQ$2,IF(#REF!=$AD$2,#REF!*plat_invest)) + IF(#REF!=BQ$2,IF(#REF!=$AD$2,#REF!*plat_invest))</f>
        <v>#REF!</v>
      </c>
      <c r="BR103" s="57" t="e">
        <f>IF(#REF!=BR$2,IF(#REF!=$AD$2,#REF!*lumber_invest)) + IF(#REF!=BR$2,IF(#REF!=$AD$2,#REF!*lumber_invest)) + IF(#REF!=BR$2,IF(#REF!=$AD$2,#REF!*lumber_invest))</f>
        <v>#REF!</v>
      </c>
      <c r="BS103" s="57" t="e">
        <f>IF(#REF!=BS$2,IF(#REF!=$AD$2,#REF!*ore_invest)) + IF(#REF!=BS$2,IF(#REF!=$AD$2,#REF!*ore_invest)) + IF(#REF!=BS$2,IF(#REF!=$AD$2,#REF!*ore_invest))</f>
        <v>#REF!</v>
      </c>
      <c r="BT103" s="57" t="e">
        <f>IF(#REF!=BT$2,IF(#REF!=$AD$2,#REF!*gem_invest)) + IF(#REF!=BT$2,IF(#REF!=$AD$2,#REF!*gem_invest)) + IF(#REF!=BT$2,IF(#REF!=$AD$2,#REF!*gem_invest))</f>
        <v>#REF!</v>
      </c>
      <c r="BU103" s="134"/>
      <c r="BV103" s="3" t="e">
        <f>OR(#REF!,#REF!,#REF!,#REF!,#REF!,#REF!,#REF!,#REF!,#REF!)</f>
        <v>#REF!</v>
      </c>
      <c r="BW103" s="61" t="e">
        <f>#REF!</f>
        <v>#REF!</v>
      </c>
      <c r="BX103" s="130"/>
      <c r="BY103" s="284" t="e">
        <f ca="1">OFFSET(#REF!,-1,0)+1/24</f>
        <v>#REF!</v>
      </c>
      <c r="BZ103" s="285" t="e">
        <f ca="1">OFFSET(#REF!,-1,0)+1/24</f>
        <v>#REF!</v>
      </c>
      <c r="CA103" s="57"/>
      <c r="CB103" s="283"/>
      <c r="CC103" s="283"/>
      <c r="CD103" s="3" t="s">
        <v>7</v>
      </c>
    </row>
    <row r="104" spans="1:82" x14ac:dyDescent="0.25">
      <c r="A104" s="206" t="e">
        <f>#REF!</f>
        <v>#REF!</v>
      </c>
      <c r="B104" s="134"/>
      <c r="C104" s="39" t="e">
        <f>#REF!</f>
        <v>#REF!</v>
      </c>
      <c r="D104" s="39" t="e">
        <f>#REF!</f>
        <v>#REF!</v>
      </c>
      <c r="E104" s="39" t="e">
        <f>#REF!</f>
        <v>#REF!</v>
      </c>
      <c r="F104" s="39" t="e">
        <f>#REF!</f>
        <v>#REF!</v>
      </c>
      <c r="G104" s="133"/>
      <c r="H104" s="39" t="e">
        <f>#REF!</f>
        <v>#REF!</v>
      </c>
      <c r="I104" s="132" t="e">
        <f>#REF!</f>
        <v>#REF!</v>
      </c>
      <c r="J104" s="132" t="e">
        <f>#REF!/#REF!</f>
        <v>#REF!</v>
      </c>
      <c r="K104" s="160" t="e">
        <f>#REF!</f>
        <v>#REF!</v>
      </c>
      <c r="L104" s="276" t="e">
        <f>#REF!</f>
        <v>#REF!</v>
      </c>
      <c r="M104" s="61">
        <f>IF(ISERROR(#REF!),0,#REF!*1)</f>
        <v>0</v>
      </c>
      <c r="N104" s="39" t="e">
        <f>#REF!</f>
        <v>#REF!</v>
      </c>
      <c r="O104" s="277" t="s">
        <v>4</v>
      </c>
      <c r="P104" s="278"/>
      <c r="Q104" s="277" t="s">
        <v>211</v>
      </c>
      <c r="R104" s="277" t="s">
        <v>7</v>
      </c>
      <c r="S104" s="278"/>
      <c r="T104" s="277" t="s">
        <v>211</v>
      </c>
      <c r="U104" s="277" t="s">
        <v>3</v>
      </c>
      <c r="V104" s="278"/>
      <c r="W104" s="277" t="s">
        <v>211</v>
      </c>
      <c r="X104" s="134"/>
      <c r="Y104" s="209" t="e">
        <f ca="1">science_cap*(1-EXP(-#REF!/(science_param*(OFFSET(#REF!,1,0)-OFFSET(#REF!,1,0)*20)+15000)))*(1+(mason_bonus*#REF!/#REF!))</f>
        <v>#REF!</v>
      </c>
      <c r="Z104" s="209" t="e">
        <f ca="1">keep_cap*(1-EXP(-#REF!/(keep_param*(OFFSET(#REF!,1,0)-OFFSET(#REF!,1,0)*20)+15000)))*(1+(mason_bonus*#REF!/#REF!))</f>
        <v>#REF!</v>
      </c>
      <c r="AA104" s="209" t="e">
        <f ca="1">harbor_towers_cap*(1-EXP(-#REF!/(towers_param*(OFFSET(#REF!,1,0)-OFFSET(#REF!,1,0)*20)+15000)))*(1+(mason_bonus*#REF!/#REF!))</f>
        <v>#REF!</v>
      </c>
      <c r="AB104" s="209" t="e">
        <f ca="1">walls_forges_cap*(1-EXP(-#REF!/(walls_forges_param*(OFFSET(#REF!,1,0)-OFFSET(#REF!,1,0)*20)+15000)))*(1+(mason_bonus*#REF!/#REF!))</f>
        <v>#REF!</v>
      </c>
      <c r="AC104" s="209" t="e">
        <f ca="1">walls_forges_cap*(1-EXP(-#REF!/(walls_forges_param*(OFFSET(#REF!,1,0)-OFFSET(#REF!,1,0)*20)+15000)))*(1+(mason_bonus*#REF!/#REF!))</f>
        <v>#REF!</v>
      </c>
      <c r="AD104" s="209" t="e">
        <f ca="1">harbor_towers_cap*(1-EXP(-#REF!/(harbor_towers_param*(OFFSET(#REF!,1,0)-OFFSET(#REF!,1,0)*20)+15000)))*(1+(mason_bonus*#REF!/#REF!))</f>
        <v>#REF!</v>
      </c>
      <c r="AE104" s="134"/>
      <c r="AF104" s="61" t="e">
        <f ca="1">(1+Overview!$I$28)*SUM(#REF!)+OFFSET(#REF!,-1,0)</f>
        <v>#REF!</v>
      </c>
      <c r="AG104" s="61" t="e">
        <f ca="1">(1+Overview!$I$28)*SUM(#REF!)+OFFSET(#REF!,-1,0)</f>
        <v>#REF!</v>
      </c>
      <c r="AH104" s="61" t="e">
        <f ca="1">(1+Overview!$I$28 + tech_7_1*#REF!)*SUM(#REF!)+OFFSET(#REF!,-1,0)</f>
        <v>#REF!</v>
      </c>
      <c r="AI104" s="61" t="e">
        <f ca="1">(1+Overview!$I$28)*SUM(#REF!)+OFFSET(#REF!,-1,0)</f>
        <v>#REF!</v>
      </c>
      <c r="AJ104" s="61" t="e">
        <f ca="1">(1+Overview!$I$28)*SUM(#REF!)+OFFSET(#REF!,-1,0)</f>
        <v>#REF!</v>
      </c>
      <c r="AK104" s="61" t="e">
        <f ca="1">(1+Overview!$I$28 + tech_7_1*#REF!)*SUM(#REF!)+OFFSET(#REF!,-1,0)</f>
        <v>#REF!</v>
      </c>
      <c r="AL104" s="134"/>
      <c r="AM104" s="57" t="e">
        <f>IF(AND(#REF!=AM$2,#REF!&lt;&gt;""),#REF!) + IF(AND(#REF!=AM$2,#REF!&lt;&gt;""),#REF!) + IF(AND(#REF!=AM$2,#REF!&lt;&gt;""),#REF!)</f>
        <v>#REF!</v>
      </c>
      <c r="AN104" s="57" t="e">
        <f>IF(AND(#REF!=AN$2,#REF!&lt;&gt;""),#REF!) + IF(AND(#REF!=AN$2,#REF!&lt;&gt;""),#REF!) + IF(AND(#REF!=AN$2,#REF!&lt;&gt;""),#REF!)</f>
        <v>#REF!</v>
      </c>
      <c r="AO104" s="57" t="e">
        <f>IF(AND(#REF!=AO$2,#REF!&lt;&gt;""),#REF!) + IF(AND(#REF!=AO$2,#REF!&lt;&gt;""),#REF!) + IF(AND(#REF!=AO$2,#REF!&lt;&gt;""),#REF!)</f>
        <v>#REF!</v>
      </c>
      <c r="AP104" s="57" t="e">
        <f>IF(AND(#REF!=AP$2,#REF!&lt;&gt;""),#REF!) + IF(AND(#REF!=AP$2,#REF!&lt;&gt;""),#REF!) + IF(AND(#REF!=AP$2,#REF!&lt;&gt;""),#REF!)</f>
        <v>#REF!</v>
      </c>
      <c r="AQ104" s="134"/>
      <c r="AR104" s="57" t="e">
        <f>IF(#REF!=AR$2,IF(#REF!=$Y$2,#REF!*plat_invest)) + IF(#REF!=AR$2,IF(#REF!=$Y$2,#REF!*plat_invest)) + IF(#REF!=AR$2,IF(#REF!=$Y$2,#REF!*plat_invest))</f>
        <v>#REF!</v>
      </c>
      <c r="AS104" s="57" t="e">
        <f>IF(#REF!=AS$2,IF(#REF!=$Y$2,#REF!*lumber_invest)) + IF(#REF!=AS$2,IF(#REF!=$Y$2,#REF!*lumber_invest)) + IF(#REF!=AS$2,IF(#REF!=$Y$2,#REF!*lumber_invest))</f>
        <v>#REF!</v>
      </c>
      <c r="AT104" s="57" t="e">
        <f>IF(#REF!=AT$2,IF(#REF!=$Y$2,#REF!*ore_invest)) + IF(#REF!=AT$2,IF(#REF!=$Y$2,#REF!*ore_invest)) + IF(#REF!=AT$2,IF(#REF!=$Y$2,#REF!*ore_invest))</f>
        <v>#REF!</v>
      </c>
      <c r="AU104" s="57" t="e">
        <f>IF(#REF!=AU$2,IF(#REF!=$Y$2,#REF!*gem_invest)) + IF(#REF!=AU$2,IF(#REF!=$Y$2,#REF!*gem_invest)) + IF(#REF!=AU$2,IF(#REF!=$Y$2,#REF!*gem_invest))</f>
        <v>#REF!</v>
      </c>
      <c r="AV104" s="134"/>
      <c r="AW104" s="57" t="e">
        <f>IF(#REF!=AW$2,IF(#REF!=$Z$2,#REF!*plat_invest)) + IF(#REF!=AW$2,IF(#REF!=$Z$2,#REF!*plat_invest)) + IF(#REF!=AW$2,IF(#REF!=$Z$2,#REF!*plat_invest))</f>
        <v>#REF!</v>
      </c>
      <c r="AX104" s="57" t="e">
        <f>IF(#REF!=AX$2,IF(#REF!=$Z$2,#REF!*lumber_invest)) + IF(#REF!=AX$2,IF(#REF!=$Z$2,#REF!*lumber_invest)) + IF(#REF!=AX$2,IF(#REF!=$Z$2,#REF!*lumber_invest))</f>
        <v>#REF!</v>
      </c>
      <c r="AY104" s="57" t="e">
        <f>IF(#REF!=AY$2,IF(#REF!=$Z$2,#REF!*ore_invest)) + IF(#REF!=AY$2,IF(#REF!=$Z$2,#REF!*ore_invest)) + IF(#REF!=AY$2,IF(#REF!=$Z$2,#REF!*ore_invest))</f>
        <v>#REF!</v>
      </c>
      <c r="AZ104" s="57" t="e">
        <f>IF(#REF!=AZ$2,IF(#REF!=$Z$2,#REF!*gem_invest)) + IF(#REF!=AZ$2,IF(#REF!=$Z$2,#REF!*gem_invest)) + IF(#REF!=AZ$2,IF(#REF!=$Z$2,#REF!*gem_invest))</f>
        <v>#REF!</v>
      </c>
      <c r="BA104" s="134"/>
      <c r="BB104" s="57" t="e">
        <f>IF(#REF!=BB$2,IF(#REF!=$AA$2,#REF!*plat_invest)) + IF(#REF!=BB$2,IF(#REF!=$AA$2,#REF!*plat_invest)) + IF(#REF!=BB$2,IF(#REF!=$AA$2,#REF!*plat_invest))</f>
        <v>#REF!</v>
      </c>
      <c r="BC104" s="57" t="e">
        <f>IF(#REF!=BC$2,IF(#REF!=$AA$2,#REF!*lumber_invest)) + IF(#REF!=BC$2,IF(#REF!=$AA$2,#REF!*lumber_invest)) + IF(#REF!=BC$2,IF(#REF!=$AA$2,#REF!*lumber_invest))</f>
        <v>#REF!</v>
      </c>
      <c r="BD104" s="57" t="e">
        <f>IF(#REF!=BD$2,IF(#REF!=$AA$2,#REF!*ore_invest)) + IF(#REF!=BD$2,IF(#REF!=$AA$2,#REF!*ore_invest)) + IF(#REF!=BD$2,IF(#REF!=$AA$2,#REF!*ore_invest))</f>
        <v>#REF!</v>
      </c>
      <c r="BE104" s="57" t="e">
        <f>IF(#REF!=BE$2,IF(#REF!=$AA$2,#REF!*gem_invest)) + IF(#REF!=BE$2,IF(#REF!=$AA$2,#REF!*gem_invest)) + IF(#REF!=BE$2,IF(#REF!=$AA$2,#REF!*gem_invest))</f>
        <v>#REF!</v>
      </c>
      <c r="BF104" s="134"/>
      <c r="BG104" s="57" t="e">
        <f>IF(#REF!=BG$2,IF(#REF!=$AB$2,#REF!*plat_invest)) + IF(#REF!=BG$2,IF(#REF!=$AB$2,#REF!*plat_invest)) + IF(#REF!=BG$2,IF(#REF!=$AB$2,#REF!*plat_invest))</f>
        <v>#REF!</v>
      </c>
      <c r="BH104" s="57" t="e">
        <f>IF(#REF!=BH$2,IF(#REF!=$AB$2,#REF!*lumber_invest)) + IF(#REF!=BH$2,IF(#REF!=$AB$2,#REF!*lumber_invest)) + IF(#REF!=BH$2,IF(#REF!=$AB$2,#REF!*lumber_invest))</f>
        <v>#REF!</v>
      </c>
      <c r="BI104" s="57" t="e">
        <f>IF(#REF!=BI$2,IF(#REF!=$AB$2,#REF!*ore_invest)) + IF(#REF!=BI$2,IF(#REF!=$AB$2,#REF!*ore_invest)) + IF(#REF!=BI$2,IF(#REF!=$AB$2,#REF!*ore_invest))</f>
        <v>#REF!</v>
      </c>
      <c r="BJ104" s="57" t="e">
        <f>IF(#REF!=BJ$2,IF(#REF!=$AB$2,#REF!*gem_invest)) + IF(#REF!=BJ$2,IF(#REF!=$AB$2,#REF!*gem_invest)) + IF(#REF!=BJ$2,IF(#REF!=$AB$2,#REF!*gem_invest))</f>
        <v>#REF!</v>
      </c>
      <c r="BK104" s="134"/>
      <c r="BL104" s="57" t="e">
        <f>IF(#REF!=BL$2,IF(#REF!=$AC$2,#REF!*plat_invest)) + IF(#REF!=BL$2,IF(#REF!=$AC$2,#REF!*plat_invest)) + IF(#REF!=BL$2,IF(#REF!=$AC$2,#REF!*plat_invest))</f>
        <v>#REF!</v>
      </c>
      <c r="BM104" s="57" t="e">
        <f>IF(#REF!=BM$2,IF(#REF!=$AC$2,#REF!*lumber_invest)) + IF(#REF!=BM$2,IF(#REF!=$AC$2,#REF!*lumber_invest)) + IF(#REF!=BM$2,IF(#REF!=$AC$2,#REF!*lumber_invest))</f>
        <v>#REF!</v>
      </c>
      <c r="BN104" s="57" t="e">
        <f>IF(#REF!=BN$2,IF(#REF!=$AC$2,#REF!*ore_invest)) + IF(#REF!=BN$2,IF(#REF!=$AC$2,#REF!*ore_invest)) + IF(#REF!=BN$2,IF(#REF!=$AC$2,#REF!*ore_invest))</f>
        <v>#REF!</v>
      </c>
      <c r="BO104" s="57" t="e">
        <f>IF(#REF!=BO$2,IF(#REF!=$AC$2,#REF!*gem_invest)) + IF(#REF!=BO$2,IF(#REF!=$AC$2,#REF!*gem_invest)) + IF(#REF!=BO$2,IF(#REF!=$AC$2,#REF!*gem_invest))</f>
        <v>#REF!</v>
      </c>
      <c r="BP104" s="134"/>
      <c r="BQ104" s="57" t="e">
        <f>IF(#REF!=BQ$2,IF(#REF!=$AD$2,#REF!*plat_invest)) + IF(#REF!=BQ$2,IF(#REF!=$AD$2,#REF!*plat_invest)) + IF(#REF!=BQ$2,IF(#REF!=$AD$2,#REF!*plat_invest))</f>
        <v>#REF!</v>
      </c>
      <c r="BR104" s="57" t="e">
        <f>IF(#REF!=BR$2,IF(#REF!=$AD$2,#REF!*lumber_invest)) + IF(#REF!=BR$2,IF(#REF!=$AD$2,#REF!*lumber_invest)) + IF(#REF!=BR$2,IF(#REF!=$AD$2,#REF!*lumber_invest))</f>
        <v>#REF!</v>
      </c>
      <c r="BS104" s="57" t="e">
        <f>IF(#REF!=BS$2,IF(#REF!=$AD$2,#REF!*ore_invest)) + IF(#REF!=BS$2,IF(#REF!=$AD$2,#REF!*ore_invest)) + IF(#REF!=BS$2,IF(#REF!=$AD$2,#REF!*ore_invest))</f>
        <v>#REF!</v>
      </c>
      <c r="BT104" s="57" t="e">
        <f>IF(#REF!=BT$2,IF(#REF!=$AD$2,#REF!*gem_invest)) + IF(#REF!=BT$2,IF(#REF!=$AD$2,#REF!*gem_invest)) + IF(#REF!=BT$2,IF(#REF!=$AD$2,#REF!*gem_invest))</f>
        <v>#REF!</v>
      </c>
      <c r="BU104" s="134"/>
      <c r="BV104" s="3" t="e">
        <f>OR(#REF!,#REF!,#REF!,#REF!,#REF!,#REF!,#REF!,#REF!,#REF!)</f>
        <v>#REF!</v>
      </c>
      <c r="BW104" s="61" t="e">
        <f>#REF!</f>
        <v>#REF!</v>
      </c>
      <c r="BX104" s="130"/>
      <c r="BY104" s="284" t="e">
        <f ca="1">OFFSET(#REF!,-1,0)+1/24</f>
        <v>#REF!</v>
      </c>
      <c r="BZ104" s="285" t="e">
        <f ca="1">OFFSET(#REF!,-1,0)+1/24</f>
        <v>#REF!</v>
      </c>
      <c r="CA104" s="57"/>
      <c r="CB104" s="283"/>
      <c r="CC104" s="283"/>
      <c r="CD104" s="3" t="s">
        <v>3</v>
      </c>
    </row>
    <row r="105" spans="1:82" x14ac:dyDescent="0.25">
      <c r="A105" s="206" t="e">
        <f>#REF!</f>
        <v>#REF!</v>
      </c>
      <c r="B105" s="134"/>
      <c r="C105" s="39" t="e">
        <f>#REF!</f>
        <v>#REF!</v>
      </c>
      <c r="D105" s="39" t="e">
        <f>#REF!</f>
        <v>#REF!</v>
      </c>
      <c r="E105" s="39" t="e">
        <f>#REF!</f>
        <v>#REF!</v>
      </c>
      <c r="F105" s="39" t="e">
        <f>#REF!</f>
        <v>#REF!</v>
      </c>
      <c r="G105" s="133"/>
      <c r="H105" s="39" t="e">
        <f>#REF!</f>
        <v>#REF!</v>
      </c>
      <c r="I105" s="132" t="e">
        <f>#REF!</f>
        <v>#REF!</v>
      </c>
      <c r="J105" s="132" t="e">
        <f>#REF!/#REF!</f>
        <v>#REF!</v>
      </c>
      <c r="K105" s="160" t="e">
        <f>#REF!</f>
        <v>#REF!</v>
      </c>
      <c r="L105" s="276" t="e">
        <f>#REF!</f>
        <v>#REF!</v>
      </c>
      <c r="M105" s="61">
        <f>IF(ISERROR(#REF!),0,#REF!*1)</f>
        <v>0</v>
      </c>
      <c r="N105" s="39" t="e">
        <f>#REF!</f>
        <v>#REF!</v>
      </c>
      <c r="O105" s="277" t="s">
        <v>4</v>
      </c>
      <c r="P105" s="278"/>
      <c r="Q105" s="277" t="s">
        <v>211</v>
      </c>
      <c r="R105" s="277" t="s">
        <v>7</v>
      </c>
      <c r="S105" s="278"/>
      <c r="T105" s="277" t="s">
        <v>211</v>
      </c>
      <c r="U105" s="277" t="s">
        <v>3</v>
      </c>
      <c r="V105" s="278"/>
      <c r="W105" s="277" t="s">
        <v>211</v>
      </c>
      <c r="X105" s="134"/>
      <c r="Y105" s="209" t="e">
        <f ca="1">science_cap*(1-EXP(-#REF!/(science_param*(OFFSET(#REF!,1,0)-OFFSET(#REF!,1,0)*20)+15000)))*(1+(mason_bonus*#REF!/#REF!))</f>
        <v>#REF!</v>
      </c>
      <c r="Z105" s="209" t="e">
        <f ca="1">keep_cap*(1-EXP(-#REF!/(keep_param*(OFFSET(#REF!,1,0)-OFFSET(#REF!,1,0)*20)+15000)))*(1+(mason_bonus*#REF!/#REF!))</f>
        <v>#REF!</v>
      </c>
      <c r="AA105" s="209" t="e">
        <f ca="1">harbor_towers_cap*(1-EXP(-#REF!/(towers_param*(OFFSET(#REF!,1,0)-OFFSET(#REF!,1,0)*20)+15000)))*(1+(mason_bonus*#REF!/#REF!))</f>
        <v>#REF!</v>
      </c>
      <c r="AB105" s="209" t="e">
        <f ca="1">walls_forges_cap*(1-EXP(-#REF!/(walls_forges_param*(OFFSET(#REF!,1,0)-OFFSET(#REF!,1,0)*20)+15000)))*(1+(mason_bonus*#REF!/#REF!))</f>
        <v>#REF!</v>
      </c>
      <c r="AC105" s="209" t="e">
        <f ca="1">walls_forges_cap*(1-EXP(-#REF!/(walls_forges_param*(OFFSET(#REF!,1,0)-OFFSET(#REF!,1,0)*20)+15000)))*(1+(mason_bonus*#REF!/#REF!))</f>
        <v>#REF!</v>
      </c>
      <c r="AD105" s="209" t="e">
        <f ca="1">harbor_towers_cap*(1-EXP(-#REF!/(harbor_towers_param*(OFFSET(#REF!,1,0)-OFFSET(#REF!,1,0)*20)+15000)))*(1+(mason_bonus*#REF!/#REF!))</f>
        <v>#REF!</v>
      </c>
      <c r="AE105" s="134"/>
      <c r="AF105" s="61" t="e">
        <f ca="1">(1+Overview!$I$28)*SUM(#REF!)+OFFSET(#REF!,-1,0)</f>
        <v>#REF!</v>
      </c>
      <c r="AG105" s="61" t="e">
        <f ca="1">(1+Overview!$I$28)*SUM(#REF!)+OFFSET(#REF!,-1,0)</f>
        <v>#REF!</v>
      </c>
      <c r="AH105" s="61" t="e">
        <f ca="1">(1+Overview!$I$28 + tech_7_1*#REF!)*SUM(#REF!)+OFFSET(#REF!,-1,0)</f>
        <v>#REF!</v>
      </c>
      <c r="AI105" s="61" t="e">
        <f ca="1">(1+Overview!$I$28)*SUM(#REF!)+OFFSET(#REF!,-1,0)</f>
        <v>#REF!</v>
      </c>
      <c r="AJ105" s="61" t="e">
        <f ca="1">(1+Overview!$I$28)*SUM(#REF!)+OFFSET(#REF!,-1,0)</f>
        <v>#REF!</v>
      </c>
      <c r="AK105" s="61" t="e">
        <f ca="1">(1+Overview!$I$28 + tech_7_1*#REF!)*SUM(#REF!)+OFFSET(#REF!,-1,0)</f>
        <v>#REF!</v>
      </c>
      <c r="AL105" s="134"/>
      <c r="AM105" s="57" t="e">
        <f>IF(AND(#REF!=AM$2,#REF!&lt;&gt;""),#REF!) + IF(AND(#REF!=AM$2,#REF!&lt;&gt;""),#REF!) + IF(AND(#REF!=AM$2,#REF!&lt;&gt;""),#REF!)</f>
        <v>#REF!</v>
      </c>
      <c r="AN105" s="57" t="e">
        <f>IF(AND(#REF!=AN$2,#REF!&lt;&gt;""),#REF!) + IF(AND(#REF!=AN$2,#REF!&lt;&gt;""),#REF!) + IF(AND(#REF!=AN$2,#REF!&lt;&gt;""),#REF!)</f>
        <v>#REF!</v>
      </c>
      <c r="AO105" s="57" t="e">
        <f>IF(AND(#REF!=AO$2,#REF!&lt;&gt;""),#REF!) + IF(AND(#REF!=AO$2,#REF!&lt;&gt;""),#REF!) + IF(AND(#REF!=AO$2,#REF!&lt;&gt;""),#REF!)</f>
        <v>#REF!</v>
      </c>
      <c r="AP105" s="57" t="e">
        <f>IF(AND(#REF!=AP$2,#REF!&lt;&gt;""),#REF!) + IF(AND(#REF!=AP$2,#REF!&lt;&gt;""),#REF!) + IF(AND(#REF!=AP$2,#REF!&lt;&gt;""),#REF!)</f>
        <v>#REF!</v>
      </c>
      <c r="AQ105" s="134"/>
      <c r="AR105" s="57" t="e">
        <f>IF(#REF!=AR$2,IF(#REF!=$Y$2,#REF!*plat_invest)) + IF(#REF!=AR$2,IF(#REF!=$Y$2,#REF!*plat_invest)) + IF(#REF!=AR$2,IF(#REF!=$Y$2,#REF!*plat_invest))</f>
        <v>#REF!</v>
      </c>
      <c r="AS105" s="57" t="e">
        <f>IF(#REF!=AS$2,IF(#REF!=$Y$2,#REF!*lumber_invest)) + IF(#REF!=AS$2,IF(#REF!=$Y$2,#REF!*lumber_invest)) + IF(#REF!=AS$2,IF(#REF!=$Y$2,#REF!*lumber_invest))</f>
        <v>#REF!</v>
      </c>
      <c r="AT105" s="57" t="e">
        <f>IF(#REF!=AT$2,IF(#REF!=$Y$2,#REF!*ore_invest)) + IF(#REF!=AT$2,IF(#REF!=$Y$2,#REF!*ore_invest)) + IF(#REF!=AT$2,IF(#REF!=$Y$2,#REF!*ore_invest))</f>
        <v>#REF!</v>
      </c>
      <c r="AU105" s="57" t="e">
        <f>IF(#REF!=AU$2,IF(#REF!=$Y$2,#REF!*gem_invest)) + IF(#REF!=AU$2,IF(#REF!=$Y$2,#REF!*gem_invest)) + IF(#REF!=AU$2,IF(#REF!=$Y$2,#REF!*gem_invest))</f>
        <v>#REF!</v>
      </c>
      <c r="AV105" s="134"/>
      <c r="AW105" s="57" t="e">
        <f>IF(#REF!=AW$2,IF(#REF!=$Z$2,#REF!*plat_invest)) + IF(#REF!=AW$2,IF(#REF!=$Z$2,#REF!*plat_invest)) + IF(#REF!=AW$2,IF(#REF!=$Z$2,#REF!*plat_invest))</f>
        <v>#REF!</v>
      </c>
      <c r="AX105" s="57" t="e">
        <f>IF(#REF!=AX$2,IF(#REF!=$Z$2,#REF!*lumber_invest)) + IF(#REF!=AX$2,IF(#REF!=$Z$2,#REF!*lumber_invest)) + IF(#REF!=AX$2,IF(#REF!=$Z$2,#REF!*lumber_invest))</f>
        <v>#REF!</v>
      </c>
      <c r="AY105" s="57" t="e">
        <f>IF(#REF!=AY$2,IF(#REF!=$Z$2,#REF!*ore_invest)) + IF(#REF!=AY$2,IF(#REF!=$Z$2,#REF!*ore_invest)) + IF(#REF!=AY$2,IF(#REF!=$Z$2,#REF!*ore_invest))</f>
        <v>#REF!</v>
      </c>
      <c r="AZ105" s="57" t="e">
        <f>IF(#REF!=AZ$2,IF(#REF!=$Z$2,#REF!*gem_invest)) + IF(#REF!=AZ$2,IF(#REF!=$Z$2,#REF!*gem_invest)) + IF(#REF!=AZ$2,IF(#REF!=$Z$2,#REF!*gem_invest))</f>
        <v>#REF!</v>
      </c>
      <c r="BA105" s="134"/>
      <c r="BB105" s="57" t="e">
        <f>IF(#REF!=BB$2,IF(#REF!=$AA$2,#REF!*plat_invest)) + IF(#REF!=BB$2,IF(#REF!=$AA$2,#REF!*plat_invest)) + IF(#REF!=BB$2,IF(#REF!=$AA$2,#REF!*plat_invest))</f>
        <v>#REF!</v>
      </c>
      <c r="BC105" s="57" t="e">
        <f>IF(#REF!=BC$2,IF(#REF!=$AA$2,#REF!*lumber_invest)) + IF(#REF!=BC$2,IF(#REF!=$AA$2,#REF!*lumber_invest)) + IF(#REF!=BC$2,IF(#REF!=$AA$2,#REF!*lumber_invest))</f>
        <v>#REF!</v>
      </c>
      <c r="BD105" s="57" t="e">
        <f>IF(#REF!=BD$2,IF(#REF!=$AA$2,#REF!*ore_invest)) + IF(#REF!=BD$2,IF(#REF!=$AA$2,#REF!*ore_invest)) + IF(#REF!=BD$2,IF(#REF!=$AA$2,#REF!*ore_invest))</f>
        <v>#REF!</v>
      </c>
      <c r="BE105" s="57" t="e">
        <f>IF(#REF!=BE$2,IF(#REF!=$AA$2,#REF!*gem_invest)) + IF(#REF!=BE$2,IF(#REF!=$AA$2,#REF!*gem_invest)) + IF(#REF!=BE$2,IF(#REF!=$AA$2,#REF!*gem_invest))</f>
        <v>#REF!</v>
      </c>
      <c r="BF105" s="134"/>
      <c r="BG105" s="57" t="e">
        <f>IF(#REF!=BG$2,IF(#REF!=$AB$2,#REF!*plat_invest)) + IF(#REF!=BG$2,IF(#REF!=$AB$2,#REF!*plat_invest)) + IF(#REF!=BG$2,IF(#REF!=$AB$2,#REF!*plat_invest))</f>
        <v>#REF!</v>
      </c>
      <c r="BH105" s="57" t="e">
        <f>IF(#REF!=BH$2,IF(#REF!=$AB$2,#REF!*lumber_invest)) + IF(#REF!=BH$2,IF(#REF!=$AB$2,#REF!*lumber_invest)) + IF(#REF!=BH$2,IF(#REF!=$AB$2,#REF!*lumber_invest))</f>
        <v>#REF!</v>
      </c>
      <c r="BI105" s="57" t="e">
        <f>IF(#REF!=BI$2,IF(#REF!=$AB$2,#REF!*ore_invest)) + IF(#REF!=BI$2,IF(#REF!=$AB$2,#REF!*ore_invest)) + IF(#REF!=BI$2,IF(#REF!=$AB$2,#REF!*ore_invest))</f>
        <v>#REF!</v>
      </c>
      <c r="BJ105" s="57" t="e">
        <f>IF(#REF!=BJ$2,IF(#REF!=$AB$2,#REF!*gem_invest)) + IF(#REF!=BJ$2,IF(#REF!=$AB$2,#REF!*gem_invest)) + IF(#REF!=BJ$2,IF(#REF!=$AB$2,#REF!*gem_invest))</f>
        <v>#REF!</v>
      </c>
      <c r="BK105" s="134"/>
      <c r="BL105" s="57" t="e">
        <f>IF(#REF!=BL$2,IF(#REF!=$AC$2,#REF!*plat_invest)) + IF(#REF!=BL$2,IF(#REF!=$AC$2,#REF!*plat_invest)) + IF(#REF!=BL$2,IF(#REF!=$AC$2,#REF!*plat_invest))</f>
        <v>#REF!</v>
      </c>
      <c r="BM105" s="57" t="e">
        <f>IF(#REF!=BM$2,IF(#REF!=$AC$2,#REF!*lumber_invest)) + IF(#REF!=BM$2,IF(#REF!=$AC$2,#REF!*lumber_invest)) + IF(#REF!=BM$2,IF(#REF!=$AC$2,#REF!*lumber_invest))</f>
        <v>#REF!</v>
      </c>
      <c r="BN105" s="57" t="e">
        <f>IF(#REF!=BN$2,IF(#REF!=$AC$2,#REF!*ore_invest)) + IF(#REF!=BN$2,IF(#REF!=$AC$2,#REF!*ore_invest)) + IF(#REF!=BN$2,IF(#REF!=$AC$2,#REF!*ore_invest))</f>
        <v>#REF!</v>
      </c>
      <c r="BO105" s="57" t="e">
        <f>IF(#REF!=BO$2,IF(#REF!=$AC$2,#REF!*gem_invest)) + IF(#REF!=BO$2,IF(#REF!=$AC$2,#REF!*gem_invest)) + IF(#REF!=BO$2,IF(#REF!=$AC$2,#REF!*gem_invest))</f>
        <v>#REF!</v>
      </c>
      <c r="BP105" s="134"/>
      <c r="BQ105" s="57" t="e">
        <f>IF(#REF!=BQ$2,IF(#REF!=$AD$2,#REF!*plat_invest)) + IF(#REF!=BQ$2,IF(#REF!=$AD$2,#REF!*plat_invest)) + IF(#REF!=BQ$2,IF(#REF!=$AD$2,#REF!*plat_invest))</f>
        <v>#REF!</v>
      </c>
      <c r="BR105" s="57" t="e">
        <f>IF(#REF!=BR$2,IF(#REF!=$AD$2,#REF!*lumber_invest)) + IF(#REF!=BR$2,IF(#REF!=$AD$2,#REF!*lumber_invest)) + IF(#REF!=BR$2,IF(#REF!=$AD$2,#REF!*lumber_invest))</f>
        <v>#REF!</v>
      </c>
      <c r="BS105" s="57" t="e">
        <f>IF(#REF!=BS$2,IF(#REF!=$AD$2,#REF!*ore_invest)) + IF(#REF!=BS$2,IF(#REF!=$AD$2,#REF!*ore_invest)) + IF(#REF!=BS$2,IF(#REF!=$AD$2,#REF!*ore_invest))</f>
        <v>#REF!</v>
      </c>
      <c r="BT105" s="57" t="e">
        <f>IF(#REF!=BT$2,IF(#REF!=$AD$2,#REF!*gem_invest)) + IF(#REF!=BT$2,IF(#REF!=$AD$2,#REF!*gem_invest)) + IF(#REF!=BT$2,IF(#REF!=$AD$2,#REF!*gem_invest))</f>
        <v>#REF!</v>
      </c>
      <c r="BU105" s="134"/>
      <c r="BV105" s="3" t="e">
        <f>OR(#REF!,#REF!,#REF!,#REF!,#REF!,#REF!,#REF!,#REF!,#REF!)</f>
        <v>#REF!</v>
      </c>
      <c r="BW105" s="61" t="e">
        <f>#REF!</f>
        <v>#REF!</v>
      </c>
      <c r="BX105" s="130"/>
      <c r="BY105" s="284" t="e">
        <f ca="1">OFFSET(#REF!,-1,0)+1/24</f>
        <v>#REF!</v>
      </c>
      <c r="BZ105" s="285" t="e">
        <f ca="1">OFFSET(#REF!,-1,0)+1/24</f>
        <v>#REF!</v>
      </c>
      <c r="CA105" s="57"/>
      <c r="CB105" s="283"/>
      <c r="CC105" s="283"/>
      <c r="CD105" s="3" t="s">
        <v>2</v>
      </c>
    </row>
    <row r="106" spans="1:82" x14ac:dyDescent="0.25">
      <c r="A106" s="206" t="e">
        <f>#REF!</f>
        <v>#REF!</v>
      </c>
      <c r="B106" s="134"/>
      <c r="C106" s="39" t="e">
        <f>#REF!</f>
        <v>#REF!</v>
      </c>
      <c r="D106" s="39" t="e">
        <f>#REF!</f>
        <v>#REF!</v>
      </c>
      <c r="E106" s="39" t="e">
        <f>#REF!</f>
        <v>#REF!</v>
      </c>
      <c r="F106" s="39" t="e">
        <f>#REF!</f>
        <v>#REF!</v>
      </c>
      <c r="G106" s="133"/>
      <c r="H106" s="39" t="e">
        <f>#REF!</f>
        <v>#REF!</v>
      </c>
      <c r="I106" s="132" t="e">
        <f>#REF!</f>
        <v>#REF!</v>
      </c>
      <c r="J106" s="132" t="e">
        <f>#REF!/#REF!</f>
        <v>#REF!</v>
      </c>
      <c r="K106" s="160" t="e">
        <f>#REF!</f>
        <v>#REF!</v>
      </c>
      <c r="L106" s="276" t="e">
        <f>#REF!</f>
        <v>#REF!</v>
      </c>
      <c r="M106" s="61">
        <f>IF(ISERROR(#REF!),0,#REF!*1)</f>
        <v>0</v>
      </c>
      <c r="N106" s="39" t="e">
        <f>#REF!</f>
        <v>#REF!</v>
      </c>
      <c r="O106" s="277" t="s">
        <v>4</v>
      </c>
      <c r="P106" s="278"/>
      <c r="Q106" s="277" t="s">
        <v>211</v>
      </c>
      <c r="R106" s="277" t="s">
        <v>7</v>
      </c>
      <c r="S106" s="278"/>
      <c r="T106" s="277" t="s">
        <v>211</v>
      </c>
      <c r="U106" s="277" t="s">
        <v>3</v>
      </c>
      <c r="V106" s="278"/>
      <c r="W106" s="277" t="s">
        <v>211</v>
      </c>
      <c r="X106" s="134"/>
      <c r="Y106" s="209" t="e">
        <f ca="1">science_cap*(1-EXP(-#REF!/(science_param*(OFFSET(#REF!,1,0)-OFFSET(#REF!,1,0)*20)+15000)))*(1+(mason_bonus*#REF!/#REF!))</f>
        <v>#REF!</v>
      </c>
      <c r="Z106" s="209" t="e">
        <f ca="1">keep_cap*(1-EXP(-#REF!/(keep_param*(OFFSET(#REF!,1,0)-OFFSET(#REF!,1,0)*20)+15000)))*(1+(mason_bonus*#REF!/#REF!))</f>
        <v>#REF!</v>
      </c>
      <c r="AA106" s="209" t="e">
        <f ca="1">harbor_towers_cap*(1-EXP(-#REF!/(towers_param*(OFFSET(#REF!,1,0)-OFFSET(#REF!,1,0)*20)+15000)))*(1+(mason_bonus*#REF!/#REF!))</f>
        <v>#REF!</v>
      </c>
      <c r="AB106" s="209" t="e">
        <f ca="1">walls_forges_cap*(1-EXP(-#REF!/(walls_forges_param*(OFFSET(#REF!,1,0)-OFFSET(#REF!,1,0)*20)+15000)))*(1+(mason_bonus*#REF!/#REF!))</f>
        <v>#REF!</v>
      </c>
      <c r="AC106" s="209" t="e">
        <f ca="1">walls_forges_cap*(1-EXP(-#REF!/(walls_forges_param*(OFFSET(#REF!,1,0)-OFFSET(#REF!,1,0)*20)+15000)))*(1+(mason_bonus*#REF!/#REF!))</f>
        <v>#REF!</v>
      </c>
      <c r="AD106" s="209" t="e">
        <f ca="1">harbor_towers_cap*(1-EXP(-#REF!/(harbor_towers_param*(OFFSET(#REF!,1,0)-OFFSET(#REF!,1,0)*20)+15000)))*(1+(mason_bonus*#REF!/#REF!))</f>
        <v>#REF!</v>
      </c>
      <c r="AE106" s="134"/>
      <c r="AF106" s="61" t="e">
        <f ca="1">(1+Overview!$I$28)*SUM(#REF!)+OFFSET(#REF!,-1,0)</f>
        <v>#REF!</v>
      </c>
      <c r="AG106" s="61" t="e">
        <f ca="1">(1+Overview!$I$28)*SUM(#REF!)+OFFSET(#REF!,-1,0)</f>
        <v>#REF!</v>
      </c>
      <c r="AH106" s="61" t="e">
        <f ca="1">(1+Overview!$I$28 + tech_7_1*#REF!)*SUM(#REF!)+OFFSET(#REF!,-1,0)</f>
        <v>#REF!</v>
      </c>
      <c r="AI106" s="61" t="e">
        <f ca="1">(1+Overview!$I$28)*SUM(#REF!)+OFFSET(#REF!,-1,0)</f>
        <v>#REF!</v>
      </c>
      <c r="AJ106" s="61" t="e">
        <f ca="1">(1+Overview!$I$28)*SUM(#REF!)+OFFSET(#REF!,-1,0)</f>
        <v>#REF!</v>
      </c>
      <c r="AK106" s="61" t="e">
        <f ca="1">(1+Overview!$I$28 + tech_7_1*#REF!)*SUM(#REF!)+OFFSET(#REF!,-1,0)</f>
        <v>#REF!</v>
      </c>
      <c r="AL106" s="134"/>
      <c r="AM106" s="57" t="e">
        <f>IF(AND(#REF!=AM$2,#REF!&lt;&gt;""),#REF!) + IF(AND(#REF!=AM$2,#REF!&lt;&gt;""),#REF!) + IF(AND(#REF!=AM$2,#REF!&lt;&gt;""),#REF!)</f>
        <v>#REF!</v>
      </c>
      <c r="AN106" s="57" t="e">
        <f>IF(AND(#REF!=AN$2,#REF!&lt;&gt;""),#REF!) + IF(AND(#REF!=AN$2,#REF!&lt;&gt;""),#REF!) + IF(AND(#REF!=AN$2,#REF!&lt;&gt;""),#REF!)</f>
        <v>#REF!</v>
      </c>
      <c r="AO106" s="57" t="e">
        <f>IF(AND(#REF!=AO$2,#REF!&lt;&gt;""),#REF!) + IF(AND(#REF!=AO$2,#REF!&lt;&gt;""),#REF!) + IF(AND(#REF!=AO$2,#REF!&lt;&gt;""),#REF!)</f>
        <v>#REF!</v>
      </c>
      <c r="AP106" s="57" t="e">
        <f>IF(AND(#REF!=AP$2,#REF!&lt;&gt;""),#REF!) + IF(AND(#REF!=AP$2,#REF!&lt;&gt;""),#REF!) + IF(AND(#REF!=AP$2,#REF!&lt;&gt;""),#REF!)</f>
        <v>#REF!</v>
      </c>
      <c r="AQ106" s="134"/>
      <c r="AR106" s="57" t="e">
        <f>IF(#REF!=AR$2,IF(#REF!=$Y$2,#REF!*plat_invest)) + IF(#REF!=AR$2,IF(#REF!=$Y$2,#REF!*plat_invest)) + IF(#REF!=AR$2,IF(#REF!=$Y$2,#REF!*plat_invest))</f>
        <v>#REF!</v>
      </c>
      <c r="AS106" s="57" t="e">
        <f>IF(#REF!=AS$2,IF(#REF!=$Y$2,#REF!*lumber_invest)) + IF(#REF!=AS$2,IF(#REF!=$Y$2,#REF!*lumber_invest)) + IF(#REF!=AS$2,IF(#REF!=$Y$2,#REF!*lumber_invest))</f>
        <v>#REF!</v>
      </c>
      <c r="AT106" s="57" t="e">
        <f>IF(#REF!=AT$2,IF(#REF!=$Y$2,#REF!*ore_invest)) + IF(#REF!=AT$2,IF(#REF!=$Y$2,#REF!*ore_invest)) + IF(#REF!=AT$2,IF(#REF!=$Y$2,#REF!*ore_invest))</f>
        <v>#REF!</v>
      </c>
      <c r="AU106" s="57" t="e">
        <f>IF(#REF!=AU$2,IF(#REF!=$Y$2,#REF!*gem_invest)) + IF(#REF!=AU$2,IF(#REF!=$Y$2,#REF!*gem_invest)) + IF(#REF!=AU$2,IF(#REF!=$Y$2,#REF!*gem_invest))</f>
        <v>#REF!</v>
      </c>
      <c r="AV106" s="134"/>
      <c r="AW106" s="57" t="e">
        <f>IF(#REF!=AW$2,IF(#REF!=$Z$2,#REF!*plat_invest)) + IF(#REF!=AW$2,IF(#REF!=$Z$2,#REF!*plat_invest)) + IF(#REF!=AW$2,IF(#REF!=$Z$2,#REF!*plat_invest))</f>
        <v>#REF!</v>
      </c>
      <c r="AX106" s="57" t="e">
        <f>IF(#REF!=AX$2,IF(#REF!=$Z$2,#REF!*lumber_invest)) + IF(#REF!=AX$2,IF(#REF!=$Z$2,#REF!*lumber_invest)) + IF(#REF!=AX$2,IF(#REF!=$Z$2,#REF!*lumber_invest))</f>
        <v>#REF!</v>
      </c>
      <c r="AY106" s="57" t="e">
        <f>IF(#REF!=AY$2,IF(#REF!=$Z$2,#REF!*ore_invest)) + IF(#REF!=AY$2,IF(#REF!=$Z$2,#REF!*ore_invest)) + IF(#REF!=AY$2,IF(#REF!=$Z$2,#REF!*ore_invest))</f>
        <v>#REF!</v>
      </c>
      <c r="AZ106" s="57" t="e">
        <f>IF(#REF!=AZ$2,IF(#REF!=$Z$2,#REF!*gem_invest)) + IF(#REF!=AZ$2,IF(#REF!=$Z$2,#REF!*gem_invest)) + IF(#REF!=AZ$2,IF(#REF!=$Z$2,#REF!*gem_invest))</f>
        <v>#REF!</v>
      </c>
      <c r="BA106" s="134"/>
      <c r="BB106" s="57" t="e">
        <f>IF(#REF!=BB$2,IF(#REF!=$AA$2,#REF!*plat_invest)) + IF(#REF!=BB$2,IF(#REF!=$AA$2,#REF!*plat_invest)) + IF(#REF!=BB$2,IF(#REF!=$AA$2,#REF!*plat_invest))</f>
        <v>#REF!</v>
      </c>
      <c r="BC106" s="57" t="e">
        <f>IF(#REF!=BC$2,IF(#REF!=$AA$2,#REF!*lumber_invest)) + IF(#REF!=BC$2,IF(#REF!=$AA$2,#REF!*lumber_invest)) + IF(#REF!=BC$2,IF(#REF!=$AA$2,#REF!*lumber_invest))</f>
        <v>#REF!</v>
      </c>
      <c r="BD106" s="57" t="e">
        <f>IF(#REF!=BD$2,IF(#REF!=$AA$2,#REF!*ore_invest)) + IF(#REF!=BD$2,IF(#REF!=$AA$2,#REF!*ore_invest)) + IF(#REF!=BD$2,IF(#REF!=$AA$2,#REF!*ore_invest))</f>
        <v>#REF!</v>
      </c>
      <c r="BE106" s="57" t="e">
        <f>IF(#REF!=BE$2,IF(#REF!=$AA$2,#REF!*gem_invest)) + IF(#REF!=BE$2,IF(#REF!=$AA$2,#REF!*gem_invest)) + IF(#REF!=BE$2,IF(#REF!=$AA$2,#REF!*gem_invest))</f>
        <v>#REF!</v>
      </c>
      <c r="BF106" s="134"/>
      <c r="BG106" s="57" t="e">
        <f>IF(#REF!=BG$2,IF(#REF!=$AB$2,#REF!*plat_invest)) + IF(#REF!=BG$2,IF(#REF!=$AB$2,#REF!*plat_invest)) + IF(#REF!=BG$2,IF(#REF!=$AB$2,#REF!*plat_invest))</f>
        <v>#REF!</v>
      </c>
      <c r="BH106" s="57" t="e">
        <f>IF(#REF!=BH$2,IF(#REF!=$AB$2,#REF!*lumber_invest)) + IF(#REF!=BH$2,IF(#REF!=$AB$2,#REF!*lumber_invest)) + IF(#REF!=BH$2,IF(#REF!=$AB$2,#REF!*lumber_invest))</f>
        <v>#REF!</v>
      </c>
      <c r="BI106" s="57" t="e">
        <f>IF(#REF!=BI$2,IF(#REF!=$AB$2,#REF!*ore_invest)) + IF(#REF!=BI$2,IF(#REF!=$AB$2,#REF!*ore_invest)) + IF(#REF!=BI$2,IF(#REF!=$AB$2,#REF!*ore_invest))</f>
        <v>#REF!</v>
      </c>
      <c r="BJ106" s="57" t="e">
        <f>IF(#REF!=BJ$2,IF(#REF!=$AB$2,#REF!*gem_invest)) + IF(#REF!=BJ$2,IF(#REF!=$AB$2,#REF!*gem_invest)) + IF(#REF!=BJ$2,IF(#REF!=$AB$2,#REF!*gem_invest))</f>
        <v>#REF!</v>
      </c>
      <c r="BK106" s="134"/>
      <c r="BL106" s="57" t="e">
        <f>IF(#REF!=BL$2,IF(#REF!=$AC$2,#REF!*plat_invest)) + IF(#REF!=BL$2,IF(#REF!=$AC$2,#REF!*plat_invest)) + IF(#REF!=BL$2,IF(#REF!=$AC$2,#REF!*plat_invest))</f>
        <v>#REF!</v>
      </c>
      <c r="BM106" s="57" t="e">
        <f>IF(#REF!=BM$2,IF(#REF!=$AC$2,#REF!*lumber_invest)) + IF(#REF!=BM$2,IF(#REF!=$AC$2,#REF!*lumber_invest)) + IF(#REF!=BM$2,IF(#REF!=$AC$2,#REF!*lumber_invest))</f>
        <v>#REF!</v>
      </c>
      <c r="BN106" s="57" t="e">
        <f>IF(#REF!=BN$2,IF(#REF!=$AC$2,#REF!*ore_invest)) + IF(#REF!=BN$2,IF(#REF!=$AC$2,#REF!*ore_invest)) + IF(#REF!=BN$2,IF(#REF!=$AC$2,#REF!*ore_invest))</f>
        <v>#REF!</v>
      </c>
      <c r="BO106" s="57" t="e">
        <f>IF(#REF!=BO$2,IF(#REF!=$AC$2,#REF!*gem_invest)) + IF(#REF!=BO$2,IF(#REF!=$AC$2,#REF!*gem_invest)) + IF(#REF!=BO$2,IF(#REF!=$AC$2,#REF!*gem_invest))</f>
        <v>#REF!</v>
      </c>
      <c r="BP106" s="134"/>
      <c r="BQ106" s="57" t="e">
        <f>IF(#REF!=BQ$2,IF(#REF!=$AD$2,#REF!*plat_invest)) + IF(#REF!=BQ$2,IF(#REF!=$AD$2,#REF!*plat_invest)) + IF(#REF!=BQ$2,IF(#REF!=$AD$2,#REF!*plat_invest))</f>
        <v>#REF!</v>
      </c>
      <c r="BR106" s="57" t="e">
        <f>IF(#REF!=BR$2,IF(#REF!=$AD$2,#REF!*lumber_invest)) + IF(#REF!=BR$2,IF(#REF!=$AD$2,#REF!*lumber_invest)) + IF(#REF!=BR$2,IF(#REF!=$AD$2,#REF!*lumber_invest))</f>
        <v>#REF!</v>
      </c>
      <c r="BS106" s="57" t="e">
        <f>IF(#REF!=BS$2,IF(#REF!=$AD$2,#REF!*ore_invest)) + IF(#REF!=BS$2,IF(#REF!=$AD$2,#REF!*ore_invest)) + IF(#REF!=BS$2,IF(#REF!=$AD$2,#REF!*ore_invest))</f>
        <v>#REF!</v>
      </c>
      <c r="BT106" s="57" t="e">
        <f>IF(#REF!=BT$2,IF(#REF!=$AD$2,#REF!*gem_invest)) + IF(#REF!=BT$2,IF(#REF!=$AD$2,#REF!*gem_invest)) + IF(#REF!=BT$2,IF(#REF!=$AD$2,#REF!*gem_invest))</f>
        <v>#REF!</v>
      </c>
      <c r="BU106" s="134"/>
      <c r="BV106" s="3" t="e">
        <f>OR(#REF!,#REF!,#REF!,#REF!,#REF!,#REF!,#REF!,#REF!,#REF!)</f>
        <v>#REF!</v>
      </c>
      <c r="BW106" s="61" t="e">
        <f>#REF!</f>
        <v>#REF!</v>
      </c>
      <c r="BX106" s="130"/>
      <c r="BY106" s="284" t="e">
        <f ca="1">OFFSET(#REF!,-1,0)+1/24</f>
        <v>#REF!</v>
      </c>
      <c r="BZ106" s="285" t="e">
        <f ca="1">OFFSET(#REF!,-1,0)+1/24</f>
        <v>#REF!</v>
      </c>
      <c r="CA106" s="57"/>
      <c r="CB106" s="283"/>
      <c r="CC106" s="283"/>
    </row>
    <row r="107" spans="1:82" x14ac:dyDescent="0.25">
      <c r="A107" s="206" t="e">
        <f>#REF!</f>
        <v>#REF!</v>
      </c>
      <c r="B107" s="134"/>
      <c r="C107" s="39" t="e">
        <f>#REF!</f>
        <v>#REF!</v>
      </c>
      <c r="D107" s="39" t="e">
        <f>#REF!</f>
        <v>#REF!</v>
      </c>
      <c r="E107" s="39" t="e">
        <f>#REF!</f>
        <v>#REF!</v>
      </c>
      <c r="F107" s="39" t="e">
        <f>#REF!</f>
        <v>#REF!</v>
      </c>
      <c r="G107" s="133"/>
      <c r="H107" s="39" t="e">
        <f>#REF!</f>
        <v>#REF!</v>
      </c>
      <c r="I107" s="132" t="e">
        <f>#REF!</f>
        <v>#REF!</v>
      </c>
      <c r="J107" s="132" t="e">
        <f>#REF!/#REF!</f>
        <v>#REF!</v>
      </c>
      <c r="K107" s="160" t="e">
        <f>#REF!</f>
        <v>#REF!</v>
      </c>
      <c r="L107" s="276" t="e">
        <f>#REF!</f>
        <v>#REF!</v>
      </c>
      <c r="M107" s="61">
        <f>IF(ISERROR(#REF!),0,#REF!*1)</f>
        <v>0</v>
      </c>
      <c r="N107" s="39" t="e">
        <f>#REF!</f>
        <v>#REF!</v>
      </c>
      <c r="O107" s="277" t="s">
        <v>4</v>
      </c>
      <c r="P107" s="278"/>
      <c r="Q107" s="277" t="s">
        <v>211</v>
      </c>
      <c r="R107" s="277" t="s">
        <v>7</v>
      </c>
      <c r="S107" s="278"/>
      <c r="T107" s="277" t="s">
        <v>211</v>
      </c>
      <c r="U107" s="277" t="s">
        <v>3</v>
      </c>
      <c r="V107" s="278"/>
      <c r="W107" s="277" t="s">
        <v>211</v>
      </c>
      <c r="X107" s="134"/>
      <c r="Y107" s="209" t="e">
        <f ca="1">science_cap*(1-EXP(-#REF!/(science_param*(OFFSET(#REF!,1,0)-OFFSET(#REF!,1,0)*20)+15000)))*(1+(mason_bonus*#REF!/#REF!))</f>
        <v>#REF!</v>
      </c>
      <c r="Z107" s="209" t="e">
        <f ca="1">keep_cap*(1-EXP(-#REF!/(keep_param*(OFFSET(#REF!,1,0)-OFFSET(#REF!,1,0)*20)+15000)))*(1+(mason_bonus*#REF!/#REF!))</f>
        <v>#REF!</v>
      </c>
      <c r="AA107" s="209" t="e">
        <f ca="1">harbor_towers_cap*(1-EXP(-#REF!/(towers_param*(OFFSET(#REF!,1,0)-OFFSET(#REF!,1,0)*20)+15000)))*(1+(mason_bonus*#REF!/#REF!))</f>
        <v>#REF!</v>
      </c>
      <c r="AB107" s="209" t="e">
        <f ca="1">walls_forges_cap*(1-EXP(-#REF!/(walls_forges_param*(OFFSET(#REF!,1,0)-OFFSET(#REF!,1,0)*20)+15000)))*(1+(mason_bonus*#REF!/#REF!))</f>
        <v>#REF!</v>
      </c>
      <c r="AC107" s="209" t="e">
        <f ca="1">walls_forges_cap*(1-EXP(-#REF!/(walls_forges_param*(OFFSET(#REF!,1,0)-OFFSET(#REF!,1,0)*20)+15000)))*(1+(mason_bonus*#REF!/#REF!))</f>
        <v>#REF!</v>
      </c>
      <c r="AD107" s="209" t="e">
        <f ca="1">harbor_towers_cap*(1-EXP(-#REF!/(harbor_towers_param*(OFFSET(#REF!,1,0)-OFFSET(#REF!,1,0)*20)+15000)))*(1+(mason_bonus*#REF!/#REF!))</f>
        <v>#REF!</v>
      </c>
      <c r="AE107" s="134"/>
      <c r="AF107" s="61" t="e">
        <f ca="1">(1+Overview!$I$28)*SUM(#REF!)+OFFSET(#REF!,-1,0)</f>
        <v>#REF!</v>
      </c>
      <c r="AG107" s="61" t="e">
        <f ca="1">(1+Overview!$I$28)*SUM(#REF!)+OFFSET(#REF!,-1,0)</f>
        <v>#REF!</v>
      </c>
      <c r="AH107" s="61" t="e">
        <f ca="1">(1+Overview!$I$28 + tech_7_1*#REF!)*SUM(#REF!)+OFFSET(#REF!,-1,0)</f>
        <v>#REF!</v>
      </c>
      <c r="AI107" s="61" t="e">
        <f ca="1">(1+Overview!$I$28)*SUM(#REF!)+OFFSET(#REF!,-1,0)</f>
        <v>#REF!</v>
      </c>
      <c r="AJ107" s="61" t="e">
        <f ca="1">(1+Overview!$I$28)*SUM(#REF!)+OFFSET(#REF!,-1,0)</f>
        <v>#REF!</v>
      </c>
      <c r="AK107" s="61" t="e">
        <f ca="1">(1+Overview!$I$28 + tech_7_1*#REF!)*SUM(#REF!)+OFFSET(#REF!,-1,0)</f>
        <v>#REF!</v>
      </c>
      <c r="AL107" s="134"/>
      <c r="AM107" s="57" t="e">
        <f>IF(AND(#REF!=AM$2,#REF!&lt;&gt;""),#REF!) + IF(AND(#REF!=AM$2,#REF!&lt;&gt;""),#REF!) + IF(AND(#REF!=AM$2,#REF!&lt;&gt;""),#REF!)</f>
        <v>#REF!</v>
      </c>
      <c r="AN107" s="57" t="e">
        <f>IF(AND(#REF!=AN$2,#REF!&lt;&gt;""),#REF!) + IF(AND(#REF!=AN$2,#REF!&lt;&gt;""),#REF!) + IF(AND(#REF!=AN$2,#REF!&lt;&gt;""),#REF!)</f>
        <v>#REF!</v>
      </c>
      <c r="AO107" s="57" t="e">
        <f>IF(AND(#REF!=AO$2,#REF!&lt;&gt;""),#REF!) + IF(AND(#REF!=AO$2,#REF!&lt;&gt;""),#REF!) + IF(AND(#REF!=AO$2,#REF!&lt;&gt;""),#REF!)</f>
        <v>#REF!</v>
      </c>
      <c r="AP107" s="57" t="e">
        <f>IF(AND(#REF!=AP$2,#REF!&lt;&gt;""),#REF!) + IF(AND(#REF!=AP$2,#REF!&lt;&gt;""),#REF!) + IF(AND(#REF!=AP$2,#REF!&lt;&gt;""),#REF!)</f>
        <v>#REF!</v>
      </c>
      <c r="AQ107" s="134"/>
      <c r="AR107" s="57" t="e">
        <f>IF(#REF!=AR$2,IF(#REF!=$Y$2,#REF!*plat_invest)) + IF(#REF!=AR$2,IF(#REF!=$Y$2,#REF!*plat_invest)) + IF(#REF!=AR$2,IF(#REF!=$Y$2,#REF!*plat_invest))</f>
        <v>#REF!</v>
      </c>
      <c r="AS107" s="57" t="e">
        <f>IF(#REF!=AS$2,IF(#REF!=$Y$2,#REF!*lumber_invest)) + IF(#REF!=AS$2,IF(#REF!=$Y$2,#REF!*lumber_invest)) + IF(#REF!=AS$2,IF(#REF!=$Y$2,#REF!*lumber_invest))</f>
        <v>#REF!</v>
      </c>
      <c r="AT107" s="57" t="e">
        <f>IF(#REF!=AT$2,IF(#REF!=$Y$2,#REF!*ore_invest)) + IF(#REF!=AT$2,IF(#REF!=$Y$2,#REF!*ore_invest)) + IF(#REF!=AT$2,IF(#REF!=$Y$2,#REF!*ore_invest))</f>
        <v>#REF!</v>
      </c>
      <c r="AU107" s="57" t="e">
        <f>IF(#REF!=AU$2,IF(#REF!=$Y$2,#REF!*gem_invest)) + IF(#REF!=AU$2,IF(#REF!=$Y$2,#REF!*gem_invest)) + IF(#REF!=AU$2,IF(#REF!=$Y$2,#REF!*gem_invest))</f>
        <v>#REF!</v>
      </c>
      <c r="AV107" s="134"/>
      <c r="AW107" s="57" t="e">
        <f>IF(#REF!=AW$2,IF(#REF!=$Z$2,#REF!*plat_invest)) + IF(#REF!=AW$2,IF(#REF!=$Z$2,#REF!*plat_invest)) + IF(#REF!=AW$2,IF(#REF!=$Z$2,#REF!*plat_invest))</f>
        <v>#REF!</v>
      </c>
      <c r="AX107" s="57" t="e">
        <f>IF(#REF!=AX$2,IF(#REF!=$Z$2,#REF!*lumber_invest)) + IF(#REF!=AX$2,IF(#REF!=$Z$2,#REF!*lumber_invest)) + IF(#REF!=AX$2,IF(#REF!=$Z$2,#REF!*lumber_invest))</f>
        <v>#REF!</v>
      </c>
      <c r="AY107" s="57" t="e">
        <f>IF(#REF!=AY$2,IF(#REF!=$Z$2,#REF!*ore_invest)) + IF(#REF!=AY$2,IF(#REF!=$Z$2,#REF!*ore_invest)) + IF(#REF!=AY$2,IF(#REF!=$Z$2,#REF!*ore_invest))</f>
        <v>#REF!</v>
      </c>
      <c r="AZ107" s="57" t="e">
        <f>IF(#REF!=AZ$2,IF(#REF!=$Z$2,#REF!*gem_invest)) + IF(#REF!=AZ$2,IF(#REF!=$Z$2,#REF!*gem_invest)) + IF(#REF!=AZ$2,IF(#REF!=$Z$2,#REF!*gem_invest))</f>
        <v>#REF!</v>
      </c>
      <c r="BA107" s="134"/>
      <c r="BB107" s="57" t="e">
        <f>IF(#REF!=BB$2,IF(#REF!=$AA$2,#REF!*plat_invest)) + IF(#REF!=BB$2,IF(#REF!=$AA$2,#REF!*plat_invest)) + IF(#REF!=BB$2,IF(#REF!=$AA$2,#REF!*plat_invest))</f>
        <v>#REF!</v>
      </c>
      <c r="BC107" s="57" t="e">
        <f>IF(#REF!=BC$2,IF(#REF!=$AA$2,#REF!*lumber_invest)) + IF(#REF!=BC$2,IF(#REF!=$AA$2,#REF!*lumber_invest)) + IF(#REF!=BC$2,IF(#REF!=$AA$2,#REF!*lumber_invest))</f>
        <v>#REF!</v>
      </c>
      <c r="BD107" s="57" t="e">
        <f>IF(#REF!=BD$2,IF(#REF!=$AA$2,#REF!*ore_invest)) + IF(#REF!=BD$2,IF(#REF!=$AA$2,#REF!*ore_invest)) + IF(#REF!=BD$2,IF(#REF!=$AA$2,#REF!*ore_invest))</f>
        <v>#REF!</v>
      </c>
      <c r="BE107" s="57" t="e">
        <f>IF(#REF!=BE$2,IF(#REF!=$AA$2,#REF!*gem_invest)) + IF(#REF!=BE$2,IF(#REF!=$AA$2,#REF!*gem_invest)) + IF(#REF!=BE$2,IF(#REF!=$AA$2,#REF!*gem_invest))</f>
        <v>#REF!</v>
      </c>
      <c r="BF107" s="134"/>
      <c r="BG107" s="57" t="e">
        <f>IF(#REF!=BG$2,IF(#REF!=$AB$2,#REF!*plat_invest)) + IF(#REF!=BG$2,IF(#REF!=$AB$2,#REF!*plat_invest)) + IF(#REF!=BG$2,IF(#REF!=$AB$2,#REF!*plat_invest))</f>
        <v>#REF!</v>
      </c>
      <c r="BH107" s="57" t="e">
        <f>IF(#REF!=BH$2,IF(#REF!=$AB$2,#REF!*lumber_invest)) + IF(#REF!=BH$2,IF(#REF!=$AB$2,#REF!*lumber_invest)) + IF(#REF!=BH$2,IF(#REF!=$AB$2,#REF!*lumber_invest))</f>
        <v>#REF!</v>
      </c>
      <c r="BI107" s="57" t="e">
        <f>IF(#REF!=BI$2,IF(#REF!=$AB$2,#REF!*ore_invest)) + IF(#REF!=BI$2,IF(#REF!=$AB$2,#REF!*ore_invest)) + IF(#REF!=BI$2,IF(#REF!=$AB$2,#REF!*ore_invest))</f>
        <v>#REF!</v>
      </c>
      <c r="BJ107" s="57" t="e">
        <f>IF(#REF!=BJ$2,IF(#REF!=$AB$2,#REF!*gem_invest)) + IF(#REF!=BJ$2,IF(#REF!=$AB$2,#REF!*gem_invest)) + IF(#REF!=BJ$2,IF(#REF!=$AB$2,#REF!*gem_invest))</f>
        <v>#REF!</v>
      </c>
      <c r="BK107" s="134"/>
      <c r="BL107" s="57" t="e">
        <f>IF(#REF!=BL$2,IF(#REF!=$AC$2,#REF!*plat_invest)) + IF(#REF!=BL$2,IF(#REF!=$AC$2,#REF!*plat_invest)) + IF(#REF!=BL$2,IF(#REF!=$AC$2,#REF!*plat_invest))</f>
        <v>#REF!</v>
      </c>
      <c r="BM107" s="57" t="e">
        <f>IF(#REF!=BM$2,IF(#REF!=$AC$2,#REF!*lumber_invest)) + IF(#REF!=BM$2,IF(#REF!=$AC$2,#REF!*lumber_invest)) + IF(#REF!=BM$2,IF(#REF!=$AC$2,#REF!*lumber_invest))</f>
        <v>#REF!</v>
      </c>
      <c r="BN107" s="57" t="e">
        <f>IF(#REF!=BN$2,IF(#REF!=$AC$2,#REF!*ore_invest)) + IF(#REF!=BN$2,IF(#REF!=$AC$2,#REF!*ore_invest)) + IF(#REF!=BN$2,IF(#REF!=$AC$2,#REF!*ore_invest))</f>
        <v>#REF!</v>
      </c>
      <c r="BO107" s="57" t="e">
        <f>IF(#REF!=BO$2,IF(#REF!=$AC$2,#REF!*gem_invest)) + IF(#REF!=BO$2,IF(#REF!=$AC$2,#REF!*gem_invest)) + IF(#REF!=BO$2,IF(#REF!=$AC$2,#REF!*gem_invest))</f>
        <v>#REF!</v>
      </c>
      <c r="BP107" s="134"/>
      <c r="BQ107" s="57" t="e">
        <f>IF(#REF!=BQ$2,IF(#REF!=$AD$2,#REF!*plat_invest)) + IF(#REF!=BQ$2,IF(#REF!=$AD$2,#REF!*plat_invest)) + IF(#REF!=BQ$2,IF(#REF!=$AD$2,#REF!*plat_invest))</f>
        <v>#REF!</v>
      </c>
      <c r="BR107" s="57" t="e">
        <f>IF(#REF!=BR$2,IF(#REF!=$AD$2,#REF!*lumber_invest)) + IF(#REF!=BR$2,IF(#REF!=$AD$2,#REF!*lumber_invest)) + IF(#REF!=BR$2,IF(#REF!=$AD$2,#REF!*lumber_invest))</f>
        <v>#REF!</v>
      </c>
      <c r="BS107" s="57" t="e">
        <f>IF(#REF!=BS$2,IF(#REF!=$AD$2,#REF!*ore_invest)) + IF(#REF!=BS$2,IF(#REF!=$AD$2,#REF!*ore_invest)) + IF(#REF!=BS$2,IF(#REF!=$AD$2,#REF!*ore_invest))</f>
        <v>#REF!</v>
      </c>
      <c r="BT107" s="57" t="e">
        <f>IF(#REF!=BT$2,IF(#REF!=$AD$2,#REF!*gem_invest)) + IF(#REF!=BT$2,IF(#REF!=$AD$2,#REF!*gem_invest)) + IF(#REF!=BT$2,IF(#REF!=$AD$2,#REF!*gem_invest))</f>
        <v>#REF!</v>
      </c>
      <c r="BU107" s="134"/>
      <c r="BV107" s="3" t="e">
        <f>OR(#REF!,#REF!,#REF!,#REF!,#REF!,#REF!,#REF!,#REF!,#REF!)</f>
        <v>#REF!</v>
      </c>
      <c r="BW107" s="61" t="e">
        <f>#REF!</f>
        <v>#REF!</v>
      </c>
      <c r="BX107" s="130"/>
      <c r="BY107" s="284" t="e">
        <f ca="1">OFFSET(#REF!,-1,0)+1/24</f>
        <v>#REF!</v>
      </c>
      <c r="BZ107" s="285" t="e">
        <f ca="1">OFFSET(#REF!,-1,0)+1/24</f>
        <v>#REF!</v>
      </c>
      <c r="CA107" s="57"/>
      <c r="CB107" s="283"/>
      <c r="CC107" s="283"/>
      <c r="CD107" s="3" t="s">
        <v>209</v>
      </c>
    </row>
    <row r="108" spans="1:82" x14ac:dyDescent="0.25">
      <c r="A108" s="206" t="e">
        <f>#REF!</f>
        <v>#REF!</v>
      </c>
      <c r="B108" s="134"/>
      <c r="C108" s="39" t="e">
        <f>#REF!</f>
        <v>#REF!</v>
      </c>
      <c r="D108" s="39" t="e">
        <f>#REF!</f>
        <v>#REF!</v>
      </c>
      <c r="E108" s="39" t="e">
        <f>#REF!</f>
        <v>#REF!</v>
      </c>
      <c r="F108" s="39" t="e">
        <f>#REF!</f>
        <v>#REF!</v>
      </c>
      <c r="G108" s="133"/>
      <c r="H108" s="39" t="e">
        <f>#REF!</f>
        <v>#REF!</v>
      </c>
      <c r="I108" s="132" t="e">
        <f>#REF!</f>
        <v>#REF!</v>
      </c>
      <c r="J108" s="132" t="e">
        <f>#REF!/#REF!</f>
        <v>#REF!</v>
      </c>
      <c r="K108" s="160" t="e">
        <f>#REF!</f>
        <v>#REF!</v>
      </c>
      <c r="L108" s="276" t="e">
        <f>#REF!</f>
        <v>#REF!</v>
      </c>
      <c r="M108" s="61">
        <f>IF(ISERROR(#REF!),0,#REF!*1)</f>
        <v>0</v>
      </c>
      <c r="N108" s="39" t="e">
        <f>#REF!</f>
        <v>#REF!</v>
      </c>
      <c r="O108" s="277" t="s">
        <v>4</v>
      </c>
      <c r="P108" s="278"/>
      <c r="Q108" s="277" t="s">
        <v>211</v>
      </c>
      <c r="R108" s="277" t="s">
        <v>7</v>
      </c>
      <c r="S108" s="278"/>
      <c r="T108" s="277" t="s">
        <v>211</v>
      </c>
      <c r="U108" s="277" t="s">
        <v>3</v>
      </c>
      <c r="V108" s="278"/>
      <c r="W108" s="277" t="s">
        <v>211</v>
      </c>
      <c r="X108" s="134"/>
      <c r="Y108" s="209" t="e">
        <f ca="1">science_cap*(1-EXP(-#REF!/(science_param*(OFFSET(#REF!,1,0)-OFFSET(#REF!,1,0)*20)+15000)))*(1+(mason_bonus*#REF!/#REF!))</f>
        <v>#REF!</v>
      </c>
      <c r="Z108" s="209" t="e">
        <f ca="1">keep_cap*(1-EXP(-#REF!/(keep_param*(OFFSET(#REF!,1,0)-OFFSET(#REF!,1,0)*20)+15000)))*(1+(mason_bonus*#REF!/#REF!))</f>
        <v>#REF!</v>
      </c>
      <c r="AA108" s="209" t="e">
        <f ca="1">harbor_towers_cap*(1-EXP(-#REF!/(towers_param*(OFFSET(#REF!,1,0)-OFFSET(#REF!,1,0)*20)+15000)))*(1+(mason_bonus*#REF!/#REF!))</f>
        <v>#REF!</v>
      </c>
      <c r="AB108" s="209" t="e">
        <f ca="1">walls_forges_cap*(1-EXP(-#REF!/(walls_forges_param*(OFFSET(#REF!,1,0)-OFFSET(#REF!,1,0)*20)+15000)))*(1+(mason_bonus*#REF!/#REF!))</f>
        <v>#REF!</v>
      </c>
      <c r="AC108" s="209" t="e">
        <f ca="1">walls_forges_cap*(1-EXP(-#REF!/(walls_forges_param*(OFFSET(#REF!,1,0)-OFFSET(#REF!,1,0)*20)+15000)))*(1+(mason_bonus*#REF!/#REF!))</f>
        <v>#REF!</v>
      </c>
      <c r="AD108" s="209" t="e">
        <f ca="1">harbor_towers_cap*(1-EXP(-#REF!/(harbor_towers_param*(OFFSET(#REF!,1,0)-OFFSET(#REF!,1,0)*20)+15000)))*(1+(mason_bonus*#REF!/#REF!))</f>
        <v>#REF!</v>
      </c>
      <c r="AE108" s="134"/>
      <c r="AF108" s="61" t="e">
        <f ca="1">(1+Overview!$I$28)*SUM(#REF!)+OFFSET(#REF!,-1,0)</f>
        <v>#REF!</v>
      </c>
      <c r="AG108" s="61" t="e">
        <f ca="1">(1+Overview!$I$28)*SUM(#REF!)+OFFSET(#REF!,-1,0)</f>
        <v>#REF!</v>
      </c>
      <c r="AH108" s="61" t="e">
        <f ca="1">(1+Overview!$I$28 + tech_7_1*#REF!)*SUM(#REF!)+OFFSET(#REF!,-1,0)</f>
        <v>#REF!</v>
      </c>
      <c r="AI108" s="61" t="e">
        <f ca="1">(1+Overview!$I$28)*SUM(#REF!)+OFFSET(#REF!,-1,0)</f>
        <v>#REF!</v>
      </c>
      <c r="AJ108" s="61" t="e">
        <f ca="1">(1+Overview!$I$28)*SUM(#REF!)+OFFSET(#REF!,-1,0)</f>
        <v>#REF!</v>
      </c>
      <c r="AK108" s="61" t="e">
        <f ca="1">(1+Overview!$I$28 + tech_7_1*#REF!)*SUM(#REF!)+OFFSET(#REF!,-1,0)</f>
        <v>#REF!</v>
      </c>
      <c r="AL108" s="134"/>
      <c r="AM108" s="57" t="e">
        <f>IF(AND(#REF!=AM$2,#REF!&lt;&gt;""),#REF!) + IF(AND(#REF!=AM$2,#REF!&lt;&gt;""),#REF!) + IF(AND(#REF!=AM$2,#REF!&lt;&gt;""),#REF!)</f>
        <v>#REF!</v>
      </c>
      <c r="AN108" s="57" t="e">
        <f>IF(AND(#REF!=AN$2,#REF!&lt;&gt;""),#REF!) + IF(AND(#REF!=AN$2,#REF!&lt;&gt;""),#REF!) + IF(AND(#REF!=AN$2,#REF!&lt;&gt;""),#REF!)</f>
        <v>#REF!</v>
      </c>
      <c r="AO108" s="57" t="e">
        <f>IF(AND(#REF!=AO$2,#REF!&lt;&gt;""),#REF!) + IF(AND(#REF!=AO$2,#REF!&lt;&gt;""),#REF!) + IF(AND(#REF!=AO$2,#REF!&lt;&gt;""),#REF!)</f>
        <v>#REF!</v>
      </c>
      <c r="AP108" s="57" t="e">
        <f>IF(AND(#REF!=AP$2,#REF!&lt;&gt;""),#REF!) + IF(AND(#REF!=AP$2,#REF!&lt;&gt;""),#REF!) + IF(AND(#REF!=AP$2,#REF!&lt;&gt;""),#REF!)</f>
        <v>#REF!</v>
      </c>
      <c r="AQ108" s="134"/>
      <c r="AR108" s="57" t="e">
        <f>IF(#REF!=AR$2,IF(#REF!=$Y$2,#REF!*plat_invest)) + IF(#REF!=AR$2,IF(#REF!=$Y$2,#REF!*plat_invest)) + IF(#REF!=AR$2,IF(#REF!=$Y$2,#REF!*plat_invest))</f>
        <v>#REF!</v>
      </c>
      <c r="AS108" s="57" t="e">
        <f>IF(#REF!=AS$2,IF(#REF!=$Y$2,#REF!*lumber_invest)) + IF(#REF!=AS$2,IF(#REF!=$Y$2,#REF!*lumber_invest)) + IF(#REF!=AS$2,IF(#REF!=$Y$2,#REF!*lumber_invest))</f>
        <v>#REF!</v>
      </c>
      <c r="AT108" s="57" t="e">
        <f>IF(#REF!=AT$2,IF(#REF!=$Y$2,#REF!*ore_invest)) + IF(#REF!=AT$2,IF(#REF!=$Y$2,#REF!*ore_invest)) + IF(#REF!=AT$2,IF(#REF!=$Y$2,#REF!*ore_invest))</f>
        <v>#REF!</v>
      </c>
      <c r="AU108" s="57" t="e">
        <f>IF(#REF!=AU$2,IF(#REF!=$Y$2,#REF!*gem_invest)) + IF(#REF!=AU$2,IF(#REF!=$Y$2,#REF!*gem_invest)) + IF(#REF!=AU$2,IF(#REF!=$Y$2,#REF!*gem_invest))</f>
        <v>#REF!</v>
      </c>
      <c r="AV108" s="134"/>
      <c r="AW108" s="57" t="e">
        <f>IF(#REF!=AW$2,IF(#REF!=$Z$2,#REF!*plat_invest)) + IF(#REF!=AW$2,IF(#REF!=$Z$2,#REF!*plat_invest)) + IF(#REF!=AW$2,IF(#REF!=$Z$2,#REF!*plat_invest))</f>
        <v>#REF!</v>
      </c>
      <c r="AX108" s="57" t="e">
        <f>IF(#REF!=AX$2,IF(#REF!=$Z$2,#REF!*lumber_invest)) + IF(#REF!=AX$2,IF(#REF!=$Z$2,#REF!*lumber_invest)) + IF(#REF!=AX$2,IF(#REF!=$Z$2,#REF!*lumber_invest))</f>
        <v>#REF!</v>
      </c>
      <c r="AY108" s="57" t="e">
        <f>IF(#REF!=AY$2,IF(#REF!=$Z$2,#REF!*ore_invest)) + IF(#REF!=AY$2,IF(#REF!=$Z$2,#REF!*ore_invest)) + IF(#REF!=AY$2,IF(#REF!=$Z$2,#REF!*ore_invest))</f>
        <v>#REF!</v>
      </c>
      <c r="AZ108" s="57" t="e">
        <f>IF(#REF!=AZ$2,IF(#REF!=$Z$2,#REF!*gem_invest)) + IF(#REF!=AZ$2,IF(#REF!=$Z$2,#REF!*gem_invest)) + IF(#REF!=AZ$2,IF(#REF!=$Z$2,#REF!*gem_invest))</f>
        <v>#REF!</v>
      </c>
      <c r="BA108" s="134"/>
      <c r="BB108" s="57" t="e">
        <f>IF(#REF!=BB$2,IF(#REF!=$AA$2,#REF!*plat_invest)) + IF(#REF!=BB$2,IF(#REF!=$AA$2,#REF!*plat_invest)) + IF(#REF!=BB$2,IF(#REF!=$AA$2,#REF!*plat_invest))</f>
        <v>#REF!</v>
      </c>
      <c r="BC108" s="57" t="e">
        <f>IF(#REF!=BC$2,IF(#REF!=$AA$2,#REF!*lumber_invest)) + IF(#REF!=BC$2,IF(#REF!=$AA$2,#REF!*lumber_invest)) + IF(#REF!=BC$2,IF(#REF!=$AA$2,#REF!*lumber_invest))</f>
        <v>#REF!</v>
      </c>
      <c r="BD108" s="57" t="e">
        <f>IF(#REF!=BD$2,IF(#REF!=$AA$2,#REF!*ore_invest)) + IF(#REF!=BD$2,IF(#REF!=$AA$2,#REF!*ore_invest)) + IF(#REF!=BD$2,IF(#REF!=$AA$2,#REF!*ore_invest))</f>
        <v>#REF!</v>
      </c>
      <c r="BE108" s="57" t="e">
        <f>IF(#REF!=BE$2,IF(#REF!=$AA$2,#REF!*gem_invest)) + IF(#REF!=BE$2,IF(#REF!=$AA$2,#REF!*gem_invest)) + IF(#REF!=BE$2,IF(#REF!=$AA$2,#REF!*gem_invest))</f>
        <v>#REF!</v>
      </c>
      <c r="BF108" s="134"/>
      <c r="BG108" s="57" t="e">
        <f>IF(#REF!=BG$2,IF(#REF!=$AB$2,#REF!*plat_invest)) + IF(#REF!=BG$2,IF(#REF!=$AB$2,#REF!*plat_invest)) + IF(#REF!=BG$2,IF(#REF!=$AB$2,#REF!*plat_invest))</f>
        <v>#REF!</v>
      </c>
      <c r="BH108" s="57" t="e">
        <f>IF(#REF!=BH$2,IF(#REF!=$AB$2,#REF!*lumber_invest)) + IF(#REF!=BH$2,IF(#REF!=$AB$2,#REF!*lumber_invest)) + IF(#REF!=BH$2,IF(#REF!=$AB$2,#REF!*lumber_invest))</f>
        <v>#REF!</v>
      </c>
      <c r="BI108" s="57" t="e">
        <f>IF(#REF!=BI$2,IF(#REF!=$AB$2,#REF!*ore_invest)) + IF(#REF!=BI$2,IF(#REF!=$AB$2,#REF!*ore_invest)) + IF(#REF!=BI$2,IF(#REF!=$AB$2,#REF!*ore_invest))</f>
        <v>#REF!</v>
      </c>
      <c r="BJ108" s="57" t="e">
        <f>IF(#REF!=BJ$2,IF(#REF!=$AB$2,#REF!*gem_invest)) + IF(#REF!=BJ$2,IF(#REF!=$AB$2,#REF!*gem_invest)) + IF(#REF!=BJ$2,IF(#REF!=$AB$2,#REF!*gem_invest))</f>
        <v>#REF!</v>
      </c>
      <c r="BK108" s="134"/>
      <c r="BL108" s="57" t="e">
        <f>IF(#REF!=BL$2,IF(#REF!=$AC$2,#REF!*plat_invest)) + IF(#REF!=BL$2,IF(#REF!=$AC$2,#REF!*plat_invest)) + IF(#REF!=BL$2,IF(#REF!=$AC$2,#REF!*plat_invest))</f>
        <v>#REF!</v>
      </c>
      <c r="BM108" s="57" t="e">
        <f>IF(#REF!=BM$2,IF(#REF!=$AC$2,#REF!*lumber_invest)) + IF(#REF!=BM$2,IF(#REF!=$AC$2,#REF!*lumber_invest)) + IF(#REF!=BM$2,IF(#REF!=$AC$2,#REF!*lumber_invest))</f>
        <v>#REF!</v>
      </c>
      <c r="BN108" s="57" t="e">
        <f>IF(#REF!=BN$2,IF(#REF!=$AC$2,#REF!*ore_invest)) + IF(#REF!=BN$2,IF(#REF!=$AC$2,#REF!*ore_invest)) + IF(#REF!=BN$2,IF(#REF!=$AC$2,#REF!*ore_invest))</f>
        <v>#REF!</v>
      </c>
      <c r="BO108" s="57" t="e">
        <f>IF(#REF!=BO$2,IF(#REF!=$AC$2,#REF!*gem_invest)) + IF(#REF!=BO$2,IF(#REF!=$AC$2,#REF!*gem_invest)) + IF(#REF!=BO$2,IF(#REF!=$AC$2,#REF!*gem_invest))</f>
        <v>#REF!</v>
      </c>
      <c r="BP108" s="134"/>
      <c r="BQ108" s="57" t="e">
        <f>IF(#REF!=BQ$2,IF(#REF!=$AD$2,#REF!*plat_invest)) + IF(#REF!=BQ$2,IF(#REF!=$AD$2,#REF!*plat_invest)) + IF(#REF!=BQ$2,IF(#REF!=$AD$2,#REF!*plat_invest))</f>
        <v>#REF!</v>
      </c>
      <c r="BR108" s="57" t="e">
        <f>IF(#REF!=BR$2,IF(#REF!=$AD$2,#REF!*lumber_invest)) + IF(#REF!=BR$2,IF(#REF!=$AD$2,#REF!*lumber_invest)) + IF(#REF!=BR$2,IF(#REF!=$AD$2,#REF!*lumber_invest))</f>
        <v>#REF!</v>
      </c>
      <c r="BS108" s="57" t="e">
        <f>IF(#REF!=BS$2,IF(#REF!=$AD$2,#REF!*ore_invest)) + IF(#REF!=BS$2,IF(#REF!=$AD$2,#REF!*ore_invest)) + IF(#REF!=BS$2,IF(#REF!=$AD$2,#REF!*ore_invest))</f>
        <v>#REF!</v>
      </c>
      <c r="BT108" s="57" t="e">
        <f>IF(#REF!=BT$2,IF(#REF!=$AD$2,#REF!*gem_invest)) + IF(#REF!=BT$2,IF(#REF!=$AD$2,#REF!*gem_invest)) + IF(#REF!=BT$2,IF(#REF!=$AD$2,#REF!*gem_invest))</f>
        <v>#REF!</v>
      </c>
      <c r="BU108" s="134"/>
      <c r="BV108" s="3" t="e">
        <f>OR(#REF!,#REF!,#REF!,#REF!,#REF!,#REF!,#REF!,#REF!,#REF!)</f>
        <v>#REF!</v>
      </c>
      <c r="BW108" s="61" t="e">
        <f>#REF!</f>
        <v>#REF!</v>
      </c>
      <c r="BX108" s="130"/>
      <c r="BY108" s="284" t="e">
        <f ca="1">OFFSET(#REF!,-1,0)+1/24</f>
        <v>#REF!</v>
      </c>
      <c r="BZ108" s="285" t="e">
        <f ca="1">OFFSET(#REF!,-1,0)+1/24</f>
        <v>#REF!</v>
      </c>
      <c r="CA108" s="57"/>
      <c r="CB108" s="283"/>
      <c r="CC108" s="283"/>
      <c r="CD108" s="3" t="s">
        <v>211</v>
      </c>
    </row>
    <row r="109" spans="1:82" x14ac:dyDescent="0.25">
      <c r="A109" s="206" t="e">
        <f>#REF!</f>
        <v>#REF!</v>
      </c>
      <c r="B109" s="134"/>
      <c r="C109" s="39" t="e">
        <f>#REF!</f>
        <v>#REF!</v>
      </c>
      <c r="D109" s="39" t="e">
        <f>#REF!</f>
        <v>#REF!</v>
      </c>
      <c r="E109" s="39" t="e">
        <f>#REF!</f>
        <v>#REF!</v>
      </c>
      <c r="F109" s="39" t="e">
        <f>#REF!</f>
        <v>#REF!</v>
      </c>
      <c r="G109" s="133"/>
      <c r="H109" s="39" t="e">
        <f>#REF!</f>
        <v>#REF!</v>
      </c>
      <c r="I109" s="132" t="e">
        <f>#REF!</f>
        <v>#REF!</v>
      </c>
      <c r="J109" s="132" t="e">
        <f>#REF!/#REF!</f>
        <v>#REF!</v>
      </c>
      <c r="K109" s="160" t="e">
        <f>#REF!</f>
        <v>#REF!</v>
      </c>
      <c r="L109" s="276" t="e">
        <f>#REF!</f>
        <v>#REF!</v>
      </c>
      <c r="M109" s="61">
        <f>IF(ISERROR(#REF!),0,#REF!*1)</f>
        <v>0</v>
      </c>
      <c r="N109" s="39" t="e">
        <f>#REF!</f>
        <v>#REF!</v>
      </c>
      <c r="O109" s="277" t="s">
        <v>4</v>
      </c>
      <c r="P109" s="278"/>
      <c r="Q109" s="277" t="s">
        <v>211</v>
      </c>
      <c r="R109" s="277" t="s">
        <v>7</v>
      </c>
      <c r="S109" s="278"/>
      <c r="T109" s="277" t="s">
        <v>211</v>
      </c>
      <c r="U109" s="277" t="s">
        <v>3</v>
      </c>
      <c r="V109" s="278"/>
      <c r="W109" s="277" t="s">
        <v>211</v>
      </c>
      <c r="X109" s="134"/>
      <c r="Y109" s="209" t="e">
        <f ca="1">science_cap*(1-EXP(-#REF!/(science_param*(OFFSET(#REF!,1,0)-OFFSET(#REF!,1,0)*20)+15000)))*(1+(mason_bonus*#REF!/#REF!))</f>
        <v>#REF!</v>
      </c>
      <c r="Z109" s="209" t="e">
        <f ca="1">keep_cap*(1-EXP(-#REF!/(keep_param*(OFFSET(#REF!,1,0)-OFFSET(#REF!,1,0)*20)+15000)))*(1+(mason_bonus*#REF!/#REF!))</f>
        <v>#REF!</v>
      </c>
      <c r="AA109" s="209" t="e">
        <f ca="1">harbor_towers_cap*(1-EXP(-#REF!/(towers_param*(OFFSET(#REF!,1,0)-OFFSET(#REF!,1,0)*20)+15000)))*(1+(mason_bonus*#REF!/#REF!))</f>
        <v>#REF!</v>
      </c>
      <c r="AB109" s="209" t="e">
        <f ca="1">walls_forges_cap*(1-EXP(-#REF!/(walls_forges_param*(OFFSET(#REF!,1,0)-OFFSET(#REF!,1,0)*20)+15000)))*(1+(mason_bonus*#REF!/#REF!))</f>
        <v>#REF!</v>
      </c>
      <c r="AC109" s="209" t="e">
        <f ca="1">walls_forges_cap*(1-EXP(-#REF!/(walls_forges_param*(OFFSET(#REF!,1,0)-OFFSET(#REF!,1,0)*20)+15000)))*(1+(mason_bonus*#REF!/#REF!))</f>
        <v>#REF!</v>
      </c>
      <c r="AD109" s="209" t="e">
        <f ca="1">harbor_towers_cap*(1-EXP(-#REF!/(harbor_towers_param*(OFFSET(#REF!,1,0)-OFFSET(#REF!,1,0)*20)+15000)))*(1+(mason_bonus*#REF!/#REF!))</f>
        <v>#REF!</v>
      </c>
      <c r="AE109" s="134"/>
      <c r="AF109" s="61" t="e">
        <f ca="1">(1+Overview!$I$28)*SUM(#REF!)+OFFSET(#REF!,-1,0)</f>
        <v>#REF!</v>
      </c>
      <c r="AG109" s="61" t="e">
        <f ca="1">(1+Overview!$I$28)*SUM(#REF!)+OFFSET(#REF!,-1,0)</f>
        <v>#REF!</v>
      </c>
      <c r="AH109" s="61" t="e">
        <f ca="1">(1+Overview!$I$28 + tech_7_1*#REF!)*SUM(#REF!)+OFFSET(#REF!,-1,0)</f>
        <v>#REF!</v>
      </c>
      <c r="AI109" s="61" t="e">
        <f ca="1">(1+Overview!$I$28)*SUM(#REF!)+OFFSET(#REF!,-1,0)</f>
        <v>#REF!</v>
      </c>
      <c r="AJ109" s="61" t="e">
        <f ca="1">(1+Overview!$I$28)*SUM(#REF!)+OFFSET(#REF!,-1,0)</f>
        <v>#REF!</v>
      </c>
      <c r="AK109" s="61" t="e">
        <f ca="1">(1+Overview!$I$28 + tech_7_1*#REF!)*SUM(#REF!)+OFFSET(#REF!,-1,0)</f>
        <v>#REF!</v>
      </c>
      <c r="AL109" s="134"/>
      <c r="AM109" s="57" t="e">
        <f>IF(AND(#REF!=AM$2,#REF!&lt;&gt;""),#REF!) + IF(AND(#REF!=AM$2,#REF!&lt;&gt;""),#REF!) + IF(AND(#REF!=AM$2,#REF!&lt;&gt;""),#REF!)</f>
        <v>#REF!</v>
      </c>
      <c r="AN109" s="57" t="e">
        <f>IF(AND(#REF!=AN$2,#REF!&lt;&gt;""),#REF!) + IF(AND(#REF!=AN$2,#REF!&lt;&gt;""),#REF!) + IF(AND(#REF!=AN$2,#REF!&lt;&gt;""),#REF!)</f>
        <v>#REF!</v>
      </c>
      <c r="AO109" s="57" t="e">
        <f>IF(AND(#REF!=AO$2,#REF!&lt;&gt;""),#REF!) + IF(AND(#REF!=AO$2,#REF!&lt;&gt;""),#REF!) + IF(AND(#REF!=AO$2,#REF!&lt;&gt;""),#REF!)</f>
        <v>#REF!</v>
      </c>
      <c r="AP109" s="57" t="e">
        <f>IF(AND(#REF!=AP$2,#REF!&lt;&gt;""),#REF!) + IF(AND(#REF!=AP$2,#REF!&lt;&gt;""),#REF!) + IF(AND(#REF!=AP$2,#REF!&lt;&gt;""),#REF!)</f>
        <v>#REF!</v>
      </c>
      <c r="AQ109" s="134"/>
      <c r="AR109" s="57" t="e">
        <f>IF(#REF!=AR$2,IF(#REF!=$Y$2,#REF!*plat_invest)) + IF(#REF!=AR$2,IF(#REF!=$Y$2,#REF!*plat_invest)) + IF(#REF!=AR$2,IF(#REF!=$Y$2,#REF!*plat_invest))</f>
        <v>#REF!</v>
      </c>
      <c r="AS109" s="57" t="e">
        <f>IF(#REF!=AS$2,IF(#REF!=$Y$2,#REF!*lumber_invest)) + IF(#REF!=AS$2,IF(#REF!=$Y$2,#REF!*lumber_invest)) + IF(#REF!=AS$2,IF(#REF!=$Y$2,#REF!*lumber_invest))</f>
        <v>#REF!</v>
      </c>
      <c r="AT109" s="57" t="e">
        <f>IF(#REF!=AT$2,IF(#REF!=$Y$2,#REF!*ore_invest)) + IF(#REF!=AT$2,IF(#REF!=$Y$2,#REF!*ore_invest)) + IF(#REF!=AT$2,IF(#REF!=$Y$2,#REF!*ore_invest))</f>
        <v>#REF!</v>
      </c>
      <c r="AU109" s="57" t="e">
        <f>IF(#REF!=AU$2,IF(#REF!=$Y$2,#REF!*gem_invest)) + IF(#REF!=AU$2,IF(#REF!=$Y$2,#REF!*gem_invest)) + IF(#REF!=AU$2,IF(#REF!=$Y$2,#REF!*gem_invest))</f>
        <v>#REF!</v>
      </c>
      <c r="AV109" s="134"/>
      <c r="AW109" s="57" t="e">
        <f>IF(#REF!=AW$2,IF(#REF!=$Z$2,#REF!*plat_invest)) + IF(#REF!=AW$2,IF(#REF!=$Z$2,#REF!*plat_invest)) + IF(#REF!=AW$2,IF(#REF!=$Z$2,#REF!*plat_invest))</f>
        <v>#REF!</v>
      </c>
      <c r="AX109" s="57" t="e">
        <f>IF(#REF!=AX$2,IF(#REF!=$Z$2,#REF!*lumber_invest)) + IF(#REF!=AX$2,IF(#REF!=$Z$2,#REF!*lumber_invest)) + IF(#REF!=AX$2,IF(#REF!=$Z$2,#REF!*lumber_invest))</f>
        <v>#REF!</v>
      </c>
      <c r="AY109" s="57" t="e">
        <f>IF(#REF!=AY$2,IF(#REF!=$Z$2,#REF!*ore_invest)) + IF(#REF!=AY$2,IF(#REF!=$Z$2,#REF!*ore_invest)) + IF(#REF!=AY$2,IF(#REF!=$Z$2,#REF!*ore_invest))</f>
        <v>#REF!</v>
      </c>
      <c r="AZ109" s="57" t="e">
        <f>IF(#REF!=AZ$2,IF(#REF!=$Z$2,#REF!*gem_invest)) + IF(#REF!=AZ$2,IF(#REF!=$Z$2,#REF!*gem_invest)) + IF(#REF!=AZ$2,IF(#REF!=$Z$2,#REF!*gem_invest))</f>
        <v>#REF!</v>
      </c>
      <c r="BA109" s="134"/>
      <c r="BB109" s="57" t="e">
        <f>IF(#REF!=BB$2,IF(#REF!=$AA$2,#REF!*plat_invest)) + IF(#REF!=BB$2,IF(#REF!=$AA$2,#REF!*plat_invest)) + IF(#REF!=BB$2,IF(#REF!=$AA$2,#REF!*plat_invest))</f>
        <v>#REF!</v>
      </c>
      <c r="BC109" s="57" t="e">
        <f>IF(#REF!=BC$2,IF(#REF!=$AA$2,#REF!*lumber_invest)) + IF(#REF!=BC$2,IF(#REF!=$AA$2,#REF!*lumber_invest)) + IF(#REF!=BC$2,IF(#REF!=$AA$2,#REF!*lumber_invest))</f>
        <v>#REF!</v>
      </c>
      <c r="BD109" s="57" t="e">
        <f>IF(#REF!=BD$2,IF(#REF!=$AA$2,#REF!*ore_invest)) + IF(#REF!=BD$2,IF(#REF!=$AA$2,#REF!*ore_invest)) + IF(#REF!=BD$2,IF(#REF!=$AA$2,#REF!*ore_invest))</f>
        <v>#REF!</v>
      </c>
      <c r="BE109" s="57" t="e">
        <f>IF(#REF!=BE$2,IF(#REF!=$AA$2,#REF!*gem_invest)) + IF(#REF!=BE$2,IF(#REF!=$AA$2,#REF!*gem_invest)) + IF(#REF!=BE$2,IF(#REF!=$AA$2,#REF!*gem_invest))</f>
        <v>#REF!</v>
      </c>
      <c r="BF109" s="134"/>
      <c r="BG109" s="57" t="e">
        <f>IF(#REF!=BG$2,IF(#REF!=$AB$2,#REF!*plat_invest)) + IF(#REF!=BG$2,IF(#REF!=$AB$2,#REF!*plat_invest)) + IF(#REF!=BG$2,IF(#REF!=$AB$2,#REF!*plat_invest))</f>
        <v>#REF!</v>
      </c>
      <c r="BH109" s="57" t="e">
        <f>IF(#REF!=BH$2,IF(#REF!=$AB$2,#REF!*lumber_invest)) + IF(#REF!=BH$2,IF(#REF!=$AB$2,#REF!*lumber_invest)) + IF(#REF!=BH$2,IF(#REF!=$AB$2,#REF!*lumber_invest))</f>
        <v>#REF!</v>
      </c>
      <c r="BI109" s="57" t="e">
        <f>IF(#REF!=BI$2,IF(#REF!=$AB$2,#REF!*ore_invest)) + IF(#REF!=BI$2,IF(#REF!=$AB$2,#REF!*ore_invest)) + IF(#REF!=BI$2,IF(#REF!=$AB$2,#REF!*ore_invest))</f>
        <v>#REF!</v>
      </c>
      <c r="BJ109" s="57" t="e">
        <f>IF(#REF!=BJ$2,IF(#REF!=$AB$2,#REF!*gem_invest)) + IF(#REF!=BJ$2,IF(#REF!=$AB$2,#REF!*gem_invest)) + IF(#REF!=BJ$2,IF(#REF!=$AB$2,#REF!*gem_invest))</f>
        <v>#REF!</v>
      </c>
      <c r="BK109" s="134"/>
      <c r="BL109" s="57" t="e">
        <f>IF(#REF!=BL$2,IF(#REF!=$AC$2,#REF!*plat_invest)) + IF(#REF!=BL$2,IF(#REF!=$AC$2,#REF!*plat_invest)) + IF(#REF!=BL$2,IF(#REF!=$AC$2,#REF!*plat_invest))</f>
        <v>#REF!</v>
      </c>
      <c r="BM109" s="57" t="e">
        <f>IF(#REF!=BM$2,IF(#REF!=$AC$2,#REF!*lumber_invest)) + IF(#REF!=BM$2,IF(#REF!=$AC$2,#REF!*lumber_invest)) + IF(#REF!=BM$2,IF(#REF!=$AC$2,#REF!*lumber_invest))</f>
        <v>#REF!</v>
      </c>
      <c r="BN109" s="57" t="e">
        <f>IF(#REF!=BN$2,IF(#REF!=$AC$2,#REF!*ore_invest)) + IF(#REF!=BN$2,IF(#REF!=$AC$2,#REF!*ore_invest)) + IF(#REF!=BN$2,IF(#REF!=$AC$2,#REF!*ore_invest))</f>
        <v>#REF!</v>
      </c>
      <c r="BO109" s="57" t="e">
        <f>IF(#REF!=BO$2,IF(#REF!=$AC$2,#REF!*gem_invest)) + IF(#REF!=BO$2,IF(#REF!=$AC$2,#REF!*gem_invest)) + IF(#REF!=BO$2,IF(#REF!=$AC$2,#REF!*gem_invest))</f>
        <v>#REF!</v>
      </c>
      <c r="BP109" s="134"/>
      <c r="BQ109" s="57" t="e">
        <f>IF(#REF!=BQ$2,IF(#REF!=$AD$2,#REF!*plat_invest)) + IF(#REF!=BQ$2,IF(#REF!=$AD$2,#REF!*plat_invest)) + IF(#REF!=BQ$2,IF(#REF!=$AD$2,#REF!*plat_invest))</f>
        <v>#REF!</v>
      </c>
      <c r="BR109" s="57" t="e">
        <f>IF(#REF!=BR$2,IF(#REF!=$AD$2,#REF!*lumber_invest)) + IF(#REF!=BR$2,IF(#REF!=$AD$2,#REF!*lumber_invest)) + IF(#REF!=BR$2,IF(#REF!=$AD$2,#REF!*lumber_invest))</f>
        <v>#REF!</v>
      </c>
      <c r="BS109" s="57" t="e">
        <f>IF(#REF!=BS$2,IF(#REF!=$AD$2,#REF!*ore_invest)) + IF(#REF!=BS$2,IF(#REF!=$AD$2,#REF!*ore_invest)) + IF(#REF!=BS$2,IF(#REF!=$AD$2,#REF!*ore_invest))</f>
        <v>#REF!</v>
      </c>
      <c r="BT109" s="57" t="e">
        <f>IF(#REF!=BT$2,IF(#REF!=$AD$2,#REF!*gem_invest)) + IF(#REF!=BT$2,IF(#REF!=$AD$2,#REF!*gem_invest)) + IF(#REF!=BT$2,IF(#REF!=$AD$2,#REF!*gem_invest))</f>
        <v>#REF!</v>
      </c>
      <c r="BU109" s="134"/>
      <c r="BV109" s="3" t="e">
        <f>OR(#REF!,#REF!,#REF!,#REF!,#REF!,#REF!,#REF!,#REF!,#REF!)</f>
        <v>#REF!</v>
      </c>
      <c r="BW109" s="61" t="e">
        <f>#REF!</f>
        <v>#REF!</v>
      </c>
      <c r="BX109" s="130"/>
      <c r="BY109" s="284" t="e">
        <f ca="1">OFFSET(#REF!,-1,0)+1/24</f>
        <v>#REF!</v>
      </c>
      <c r="BZ109" s="285" t="e">
        <f ca="1">OFFSET(#REF!,-1,0)+1/24</f>
        <v>#REF!</v>
      </c>
      <c r="CA109" s="57"/>
      <c r="CB109" s="283"/>
      <c r="CC109" s="283"/>
      <c r="CD109" s="3" t="s">
        <v>212</v>
      </c>
    </row>
    <row r="110" spans="1:82" x14ac:dyDescent="0.25">
      <c r="A110" s="206" t="e">
        <f>#REF!</f>
        <v>#REF!</v>
      </c>
      <c r="B110" s="134"/>
      <c r="C110" s="39" t="e">
        <f>#REF!</f>
        <v>#REF!</v>
      </c>
      <c r="D110" s="39" t="e">
        <f>#REF!</f>
        <v>#REF!</v>
      </c>
      <c r="E110" s="39" t="e">
        <f>#REF!</f>
        <v>#REF!</v>
      </c>
      <c r="F110" s="39" t="e">
        <f>#REF!</f>
        <v>#REF!</v>
      </c>
      <c r="G110" s="133"/>
      <c r="H110" s="39" t="e">
        <f>#REF!</f>
        <v>#REF!</v>
      </c>
      <c r="I110" s="132" t="e">
        <f>#REF!</f>
        <v>#REF!</v>
      </c>
      <c r="J110" s="132" t="e">
        <f>#REF!/#REF!</f>
        <v>#REF!</v>
      </c>
      <c r="K110" s="160" t="e">
        <f>#REF!</f>
        <v>#REF!</v>
      </c>
      <c r="L110" s="276" t="e">
        <f>#REF!</f>
        <v>#REF!</v>
      </c>
      <c r="M110" s="61">
        <f>IF(ISERROR(#REF!),0,#REF!*1)</f>
        <v>0</v>
      </c>
      <c r="N110" s="39" t="e">
        <f>#REF!</f>
        <v>#REF!</v>
      </c>
      <c r="O110" s="277" t="s">
        <v>4</v>
      </c>
      <c r="P110" s="278"/>
      <c r="Q110" s="277" t="s">
        <v>211</v>
      </c>
      <c r="R110" s="277" t="s">
        <v>7</v>
      </c>
      <c r="S110" s="278"/>
      <c r="T110" s="277" t="s">
        <v>211</v>
      </c>
      <c r="U110" s="277" t="s">
        <v>3</v>
      </c>
      <c r="V110" s="278"/>
      <c r="W110" s="277" t="s">
        <v>211</v>
      </c>
      <c r="X110" s="134"/>
      <c r="Y110" s="209" t="e">
        <f ca="1">science_cap*(1-EXP(-#REF!/(science_param*(OFFSET(#REF!,1,0)-OFFSET(#REF!,1,0)*20)+15000)))*(1+(mason_bonus*#REF!/#REF!))</f>
        <v>#REF!</v>
      </c>
      <c r="Z110" s="209" t="e">
        <f ca="1">keep_cap*(1-EXP(-#REF!/(keep_param*(OFFSET(#REF!,1,0)-OFFSET(#REF!,1,0)*20)+15000)))*(1+(mason_bonus*#REF!/#REF!))</f>
        <v>#REF!</v>
      </c>
      <c r="AA110" s="209" t="e">
        <f ca="1">harbor_towers_cap*(1-EXP(-#REF!/(towers_param*(OFFSET(#REF!,1,0)-OFFSET(#REF!,1,0)*20)+15000)))*(1+(mason_bonus*#REF!/#REF!))</f>
        <v>#REF!</v>
      </c>
      <c r="AB110" s="209" t="e">
        <f ca="1">walls_forges_cap*(1-EXP(-#REF!/(walls_forges_param*(OFFSET(#REF!,1,0)-OFFSET(#REF!,1,0)*20)+15000)))*(1+(mason_bonus*#REF!/#REF!))</f>
        <v>#REF!</v>
      </c>
      <c r="AC110" s="209" t="e">
        <f ca="1">walls_forges_cap*(1-EXP(-#REF!/(walls_forges_param*(OFFSET(#REF!,1,0)-OFFSET(#REF!,1,0)*20)+15000)))*(1+(mason_bonus*#REF!/#REF!))</f>
        <v>#REF!</v>
      </c>
      <c r="AD110" s="209" t="e">
        <f ca="1">harbor_towers_cap*(1-EXP(-#REF!/(harbor_towers_param*(OFFSET(#REF!,1,0)-OFFSET(#REF!,1,0)*20)+15000)))*(1+(mason_bonus*#REF!/#REF!))</f>
        <v>#REF!</v>
      </c>
      <c r="AE110" s="134"/>
      <c r="AF110" s="61" t="e">
        <f ca="1">(1+Overview!$I$28)*SUM(#REF!)+OFFSET(#REF!,-1,0)</f>
        <v>#REF!</v>
      </c>
      <c r="AG110" s="61" t="e">
        <f ca="1">(1+Overview!$I$28)*SUM(#REF!)+OFFSET(#REF!,-1,0)</f>
        <v>#REF!</v>
      </c>
      <c r="AH110" s="61" t="e">
        <f ca="1">(1+Overview!$I$28 + tech_7_1*#REF!)*SUM(#REF!)+OFFSET(#REF!,-1,0)</f>
        <v>#REF!</v>
      </c>
      <c r="AI110" s="61" t="e">
        <f ca="1">(1+Overview!$I$28)*SUM(#REF!)+OFFSET(#REF!,-1,0)</f>
        <v>#REF!</v>
      </c>
      <c r="AJ110" s="61" t="e">
        <f ca="1">(1+Overview!$I$28)*SUM(#REF!)+OFFSET(#REF!,-1,0)</f>
        <v>#REF!</v>
      </c>
      <c r="AK110" s="61" t="e">
        <f ca="1">(1+Overview!$I$28 + tech_7_1*#REF!)*SUM(#REF!)+OFFSET(#REF!,-1,0)</f>
        <v>#REF!</v>
      </c>
      <c r="AL110" s="134"/>
      <c r="AM110" s="57" t="e">
        <f>IF(AND(#REF!=AM$2,#REF!&lt;&gt;""),#REF!) + IF(AND(#REF!=AM$2,#REF!&lt;&gt;""),#REF!) + IF(AND(#REF!=AM$2,#REF!&lt;&gt;""),#REF!)</f>
        <v>#REF!</v>
      </c>
      <c r="AN110" s="57" t="e">
        <f>IF(AND(#REF!=AN$2,#REF!&lt;&gt;""),#REF!) + IF(AND(#REF!=AN$2,#REF!&lt;&gt;""),#REF!) + IF(AND(#REF!=AN$2,#REF!&lt;&gt;""),#REF!)</f>
        <v>#REF!</v>
      </c>
      <c r="AO110" s="57" t="e">
        <f>IF(AND(#REF!=AO$2,#REF!&lt;&gt;""),#REF!) + IF(AND(#REF!=AO$2,#REF!&lt;&gt;""),#REF!) + IF(AND(#REF!=AO$2,#REF!&lt;&gt;""),#REF!)</f>
        <v>#REF!</v>
      </c>
      <c r="AP110" s="57" t="e">
        <f>IF(AND(#REF!=AP$2,#REF!&lt;&gt;""),#REF!) + IF(AND(#REF!=AP$2,#REF!&lt;&gt;""),#REF!) + IF(AND(#REF!=AP$2,#REF!&lt;&gt;""),#REF!)</f>
        <v>#REF!</v>
      </c>
      <c r="AQ110" s="134"/>
      <c r="AR110" s="57" t="e">
        <f>IF(#REF!=AR$2,IF(#REF!=$Y$2,#REF!*plat_invest)) + IF(#REF!=AR$2,IF(#REF!=$Y$2,#REF!*plat_invest)) + IF(#REF!=AR$2,IF(#REF!=$Y$2,#REF!*plat_invest))</f>
        <v>#REF!</v>
      </c>
      <c r="AS110" s="57" t="e">
        <f>IF(#REF!=AS$2,IF(#REF!=$Y$2,#REF!*lumber_invest)) + IF(#REF!=AS$2,IF(#REF!=$Y$2,#REF!*lumber_invest)) + IF(#REF!=AS$2,IF(#REF!=$Y$2,#REF!*lumber_invest))</f>
        <v>#REF!</v>
      </c>
      <c r="AT110" s="57" t="e">
        <f>IF(#REF!=AT$2,IF(#REF!=$Y$2,#REF!*ore_invest)) + IF(#REF!=AT$2,IF(#REF!=$Y$2,#REF!*ore_invest)) + IF(#REF!=AT$2,IF(#REF!=$Y$2,#REF!*ore_invest))</f>
        <v>#REF!</v>
      </c>
      <c r="AU110" s="57" t="e">
        <f>IF(#REF!=AU$2,IF(#REF!=$Y$2,#REF!*gem_invest)) + IF(#REF!=AU$2,IF(#REF!=$Y$2,#REF!*gem_invest)) + IF(#REF!=AU$2,IF(#REF!=$Y$2,#REF!*gem_invest))</f>
        <v>#REF!</v>
      </c>
      <c r="AV110" s="134"/>
      <c r="AW110" s="57" t="e">
        <f>IF(#REF!=AW$2,IF(#REF!=$Z$2,#REF!*plat_invest)) + IF(#REF!=AW$2,IF(#REF!=$Z$2,#REF!*plat_invest)) + IF(#REF!=AW$2,IF(#REF!=$Z$2,#REF!*plat_invest))</f>
        <v>#REF!</v>
      </c>
      <c r="AX110" s="57" t="e">
        <f>IF(#REF!=AX$2,IF(#REF!=$Z$2,#REF!*lumber_invest)) + IF(#REF!=AX$2,IF(#REF!=$Z$2,#REF!*lumber_invest)) + IF(#REF!=AX$2,IF(#REF!=$Z$2,#REF!*lumber_invest))</f>
        <v>#REF!</v>
      </c>
      <c r="AY110" s="57" t="e">
        <f>IF(#REF!=AY$2,IF(#REF!=$Z$2,#REF!*ore_invest)) + IF(#REF!=AY$2,IF(#REF!=$Z$2,#REF!*ore_invest)) + IF(#REF!=AY$2,IF(#REF!=$Z$2,#REF!*ore_invest))</f>
        <v>#REF!</v>
      </c>
      <c r="AZ110" s="57" t="e">
        <f>IF(#REF!=AZ$2,IF(#REF!=$Z$2,#REF!*gem_invest)) + IF(#REF!=AZ$2,IF(#REF!=$Z$2,#REF!*gem_invest)) + IF(#REF!=AZ$2,IF(#REF!=$Z$2,#REF!*gem_invest))</f>
        <v>#REF!</v>
      </c>
      <c r="BA110" s="134"/>
      <c r="BB110" s="57" t="e">
        <f>IF(#REF!=BB$2,IF(#REF!=$AA$2,#REF!*plat_invest)) + IF(#REF!=BB$2,IF(#REF!=$AA$2,#REF!*plat_invest)) + IF(#REF!=BB$2,IF(#REF!=$AA$2,#REF!*plat_invest))</f>
        <v>#REF!</v>
      </c>
      <c r="BC110" s="57" t="e">
        <f>IF(#REF!=BC$2,IF(#REF!=$AA$2,#REF!*lumber_invest)) + IF(#REF!=BC$2,IF(#REF!=$AA$2,#REF!*lumber_invest)) + IF(#REF!=BC$2,IF(#REF!=$AA$2,#REF!*lumber_invest))</f>
        <v>#REF!</v>
      </c>
      <c r="BD110" s="57" t="e">
        <f>IF(#REF!=BD$2,IF(#REF!=$AA$2,#REF!*ore_invest)) + IF(#REF!=BD$2,IF(#REF!=$AA$2,#REF!*ore_invest)) + IF(#REF!=BD$2,IF(#REF!=$AA$2,#REF!*ore_invest))</f>
        <v>#REF!</v>
      </c>
      <c r="BE110" s="57" t="e">
        <f>IF(#REF!=BE$2,IF(#REF!=$AA$2,#REF!*gem_invest)) + IF(#REF!=BE$2,IF(#REF!=$AA$2,#REF!*gem_invest)) + IF(#REF!=BE$2,IF(#REF!=$AA$2,#REF!*gem_invest))</f>
        <v>#REF!</v>
      </c>
      <c r="BF110" s="134"/>
      <c r="BG110" s="57" t="e">
        <f>IF(#REF!=BG$2,IF(#REF!=$AB$2,#REF!*plat_invest)) + IF(#REF!=BG$2,IF(#REF!=$AB$2,#REF!*plat_invest)) + IF(#REF!=BG$2,IF(#REF!=$AB$2,#REF!*plat_invest))</f>
        <v>#REF!</v>
      </c>
      <c r="BH110" s="57" t="e">
        <f>IF(#REF!=BH$2,IF(#REF!=$AB$2,#REF!*lumber_invest)) + IF(#REF!=BH$2,IF(#REF!=$AB$2,#REF!*lumber_invest)) + IF(#REF!=BH$2,IF(#REF!=$AB$2,#REF!*lumber_invest))</f>
        <v>#REF!</v>
      </c>
      <c r="BI110" s="57" t="e">
        <f>IF(#REF!=BI$2,IF(#REF!=$AB$2,#REF!*ore_invest)) + IF(#REF!=BI$2,IF(#REF!=$AB$2,#REF!*ore_invest)) + IF(#REF!=BI$2,IF(#REF!=$AB$2,#REF!*ore_invest))</f>
        <v>#REF!</v>
      </c>
      <c r="BJ110" s="57" t="e">
        <f>IF(#REF!=BJ$2,IF(#REF!=$AB$2,#REF!*gem_invest)) + IF(#REF!=BJ$2,IF(#REF!=$AB$2,#REF!*gem_invest)) + IF(#REF!=BJ$2,IF(#REF!=$AB$2,#REF!*gem_invest))</f>
        <v>#REF!</v>
      </c>
      <c r="BK110" s="134"/>
      <c r="BL110" s="57" t="e">
        <f>IF(#REF!=BL$2,IF(#REF!=$AC$2,#REF!*plat_invest)) + IF(#REF!=BL$2,IF(#REF!=$AC$2,#REF!*plat_invest)) + IF(#REF!=BL$2,IF(#REF!=$AC$2,#REF!*plat_invest))</f>
        <v>#REF!</v>
      </c>
      <c r="BM110" s="57" t="e">
        <f>IF(#REF!=BM$2,IF(#REF!=$AC$2,#REF!*lumber_invest)) + IF(#REF!=BM$2,IF(#REF!=$AC$2,#REF!*lumber_invest)) + IF(#REF!=BM$2,IF(#REF!=$AC$2,#REF!*lumber_invest))</f>
        <v>#REF!</v>
      </c>
      <c r="BN110" s="57" t="e">
        <f>IF(#REF!=BN$2,IF(#REF!=$AC$2,#REF!*ore_invest)) + IF(#REF!=BN$2,IF(#REF!=$AC$2,#REF!*ore_invest)) + IF(#REF!=BN$2,IF(#REF!=$AC$2,#REF!*ore_invest))</f>
        <v>#REF!</v>
      </c>
      <c r="BO110" s="57" t="e">
        <f>IF(#REF!=BO$2,IF(#REF!=$AC$2,#REF!*gem_invest)) + IF(#REF!=BO$2,IF(#REF!=$AC$2,#REF!*gem_invest)) + IF(#REF!=BO$2,IF(#REF!=$AC$2,#REF!*gem_invest))</f>
        <v>#REF!</v>
      </c>
      <c r="BP110" s="134"/>
      <c r="BQ110" s="57" t="e">
        <f>IF(#REF!=BQ$2,IF(#REF!=$AD$2,#REF!*plat_invest)) + IF(#REF!=BQ$2,IF(#REF!=$AD$2,#REF!*plat_invest)) + IF(#REF!=BQ$2,IF(#REF!=$AD$2,#REF!*plat_invest))</f>
        <v>#REF!</v>
      </c>
      <c r="BR110" s="57" t="e">
        <f>IF(#REF!=BR$2,IF(#REF!=$AD$2,#REF!*lumber_invest)) + IF(#REF!=BR$2,IF(#REF!=$AD$2,#REF!*lumber_invest)) + IF(#REF!=BR$2,IF(#REF!=$AD$2,#REF!*lumber_invest))</f>
        <v>#REF!</v>
      </c>
      <c r="BS110" s="57" t="e">
        <f>IF(#REF!=BS$2,IF(#REF!=$AD$2,#REF!*ore_invest)) + IF(#REF!=BS$2,IF(#REF!=$AD$2,#REF!*ore_invest)) + IF(#REF!=BS$2,IF(#REF!=$AD$2,#REF!*ore_invest))</f>
        <v>#REF!</v>
      </c>
      <c r="BT110" s="57" t="e">
        <f>IF(#REF!=BT$2,IF(#REF!=$AD$2,#REF!*gem_invest)) + IF(#REF!=BT$2,IF(#REF!=$AD$2,#REF!*gem_invest)) + IF(#REF!=BT$2,IF(#REF!=$AD$2,#REF!*gem_invest))</f>
        <v>#REF!</v>
      </c>
      <c r="BU110" s="134"/>
      <c r="BV110" s="3" t="e">
        <f>OR(#REF!,#REF!,#REF!,#REF!,#REF!,#REF!,#REF!,#REF!,#REF!)</f>
        <v>#REF!</v>
      </c>
      <c r="BW110" s="61" t="e">
        <f>#REF!</f>
        <v>#REF!</v>
      </c>
      <c r="BX110" s="130"/>
      <c r="BY110" s="284" t="e">
        <f ca="1">OFFSET(#REF!,-1,0)+1/24</f>
        <v>#REF!</v>
      </c>
      <c r="BZ110" s="285" t="e">
        <f ca="1">OFFSET(#REF!,-1,0)+1/24</f>
        <v>#REF!</v>
      </c>
      <c r="CA110" s="57"/>
      <c r="CB110" s="283"/>
      <c r="CC110" s="283"/>
      <c r="CD110" s="3" t="s">
        <v>213</v>
      </c>
    </row>
    <row r="111" spans="1:82" x14ac:dyDescent="0.25">
      <c r="A111" s="206" t="e">
        <f>#REF!</f>
        <v>#REF!</v>
      </c>
      <c r="B111" s="134"/>
      <c r="C111" s="39" t="e">
        <f>#REF!</f>
        <v>#REF!</v>
      </c>
      <c r="D111" s="39" t="e">
        <f>#REF!</f>
        <v>#REF!</v>
      </c>
      <c r="E111" s="39" t="e">
        <f>#REF!</f>
        <v>#REF!</v>
      </c>
      <c r="F111" s="39" t="e">
        <f>#REF!</f>
        <v>#REF!</v>
      </c>
      <c r="G111" s="133"/>
      <c r="H111" s="39" t="e">
        <f>#REF!</f>
        <v>#REF!</v>
      </c>
      <c r="I111" s="132" t="e">
        <f>#REF!</f>
        <v>#REF!</v>
      </c>
      <c r="J111" s="132" t="e">
        <f>#REF!/#REF!</f>
        <v>#REF!</v>
      </c>
      <c r="K111" s="160" t="e">
        <f>#REF!</f>
        <v>#REF!</v>
      </c>
      <c r="L111" s="276" t="e">
        <f>#REF!</f>
        <v>#REF!</v>
      </c>
      <c r="M111" s="61">
        <f>IF(ISERROR(#REF!),0,#REF!*1)</f>
        <v>0</v>
      </c>
      <c r="N111" s="39" t="e">
        <f>#REF!</f>
        <v>#REF!</v>
      </c>
      <c r="O111" s="277" t="s">
        <v>4</v>
      </c>
      <c r="P111" s="278"/>
      <c r="Q111" s="277" t="s">
        <v>211</v>
      </c>
      <c r="R111" s="277" t="s">
        <v>7</v>
      </c>
      <c r="S111" s="278"/>
      <c r="T111" s="277" t="s">
        <v>211</v>
      </c>
      <c r="U111" s="277" t="s">
        <v>3</v>
      </c>
      <c r="V111" s="278"/>
      <c r="W111" s="277" t="s">
        <v>211</v>
      </c>
      <c r="X111" s="134"/>
      <c r="Y111" s="209" t="e">
        <f ca="1">science_cap*(1-EXP(-#REF!/(science_param*(OFFSET(#REF!,1,0)-OFFSET(#REF!,1,0)*20)+15000)))*(1+(mason_bonus*#REF!/#REF!))</f>
        <v>#REF!</v>
      </c>
      <c r="Z111" s="209" t="e">
        <f ca="1">keep_cap*(1-EXP(-#REF!/(keep_param*(OFFSET(#REF!,1,0)-OFFSET(#REF!,1,0)*20)+15000)))*(1+(mason_bonus*#REF!/#REF!))</f>
        <v>#REF!</v>
      </c>
      <c r="AA111" s="209" t="e">
        <f ca="1">harbor_towers_cap*(1-EXP(-#REF!/(towers_param*(OFFSET(#REF!,1,0)-OFFSET(#REF!,1,0)*20)+15000)))*(1+(mason_bonus*#REF!/#REF!))</f>
        <v>#REF!</v>
      </c>
      <c r="AB111" s="209" t="e">
        <f ca="1">walls_forges_cap*(1-EXP(-#REF!/(walls_forges_param*(OFFSET(#REF!,1,0)-OFFSET(#REF!,1,0)*20)+15000)))*(1+(mason_bonus*#REF!/#REF!))</f>
        <v>#REF!</v>
      </c>
      <c r="AC111" s="209" t="e">
        <f ca="1">walls_forges_cap*(1-EXP(-#REF!/(walls_forges_param*(OFFSET(#REF!,1,0)-OFFSET(#REF!,1,0)*20)+15000)))*(1+(mason_bonus*#REF!/#REF!))</f>
        <v>#REF!</v>
      </c>
      <c r="AD111" s="209" t="e">
        <f ca="1">harbor_towers_cap*(1-EXP(-#REF!/(harbor_towers_param*(OFFSET(#REF!,1,0)-OFFSET(#REF!,1,0)*20)+15000)))*(1+(mason_bonus*#REF!/#REF!))</f>
        <v>#REF!</v>
      </c>
      <c r="AE111" s="134"/>
      <c r="AF111" s="61" t="e">
        <f ca="1">(1+Overview!$I$28)*SUM(#REF!)+OFFSET(#REF!,-1,0)</f>
        <v>#REF!</v>
      </c>
      <c r="AG111" s="61" t="e">
        <f ca="1">(1+Overview!$I$28)*SUM(#REF!)+OFFSET(#REF!,-1,0)</f>
        <v>#REF!</v>
      </c>
      <c r="AH111" s="61" t="e">
        <f ca="1">(1+Overview!$I$28 + tech_7_1*#REF!)*SUM(#REF!)+OFFSET(#REF!,-1,0)</f>
        <v>#REF!</v>
      </c>
      <c r="AI111" s="61" t="e">
        <f ca="1">(1+Overview!$I$28)*SUM(#REF!)+OFFSET(#REF!,-1,0)</f>
        <v>#REF!</v>
      </c>
      <c r="AJ111" s="61" t="e">
        <f ca="1">(1+Overview!$I$28)*SUM(#REF!)+OFFSET(#REF!,-1,0)</f>
        <v>#REF!</v>
      </c>
      <c r="AK111" s="61" t="e">
        <f ca="1">(1+Overview!$I$28 + tech_7_1*#REF!)*SUM(#REF!)+OFFSET(#REF!,-1,0)</f>
        <v>#REF!</v>
      </c>
      <c r="AL111" s="134"/>
      <c r="AM111" s="57" t="e">
        <f>IF(AND(#REF!=AM$2,#REF!&lt;&gt;""),#REF!) + IF(AND(#REF!=AM$2,#REF!&lt;&gt;""),#REF!) + IF(AND(#REF!=AM$2,#REF!&lt;&gt;""),#REF!)</f>
        <v>#REF!</v>
      </c>
      <c r="AN111" s="57" t="e">
        <f>IF(AND(#REF!=AN$2,#REF!&lt;&gt;""),#REF!) + IF(AND(#REF!=AN$2,#REF!&lt;&gt;""),#REF!) + IF(AND(#REF!=AN$2,#REF!&lt;&gt;""),#REF!)</f>
        <v>#REF!</v>
      </c>
      <c r="AO111" s="57" t="e">
        <f>IF(AND(#REF!=AO$2,#REF!&lt;&gt;""),#REF!) + IF(AND(#REF!=AO$2,#REF!&lt;&gt;""),#REF!) + IF(AND(#REF!=AO$2,#REF!&lt;&gt;""),#REF!)</f>
        <v>#REF!</v>
      </c>
      <c r="AP111" s="57" t="e">
        <f>IF(AND(#REF!=AP$2,#REF!&lt;&gt;""),#REF!) + IF(AND(#REF!=AP$2,#REF!&lt;&gt;""),#REF!) + IF(AND(#REF!=AP$2,#REF!&lt;&gt;""),#REF!)</f>
        <v>#REF!</v>
      </c>
      <c r="AQ111" s="134"/>
      <c r="AR111" s="57" t="e">
        <f>IF(#REF!=AR$2,IF(#REF!=$Y$2,#REF!*plat_invest)) + IF(#REF!=AR$2,IF(#REF!=$Y$2,#REF!*plat_invest)) + IF(#REF!=AR$2,IF(#REF!=$Y$2,#REF!*plat_invest))</f>
        <v>#REF!</v>
      </c>
      <c r="AS111" s="57" t="e">
        <f>IF(#REF!=AS$2,IF(#REF!=$Y$2,#REF!*lumber_invest)) + IF(#REF!=AS$2,IF(#REF!=$Y$2,#REF!*lumber_invest)) + IF(#REF!=AS$2,IF(#REF!=$Y$2,#REF!*lumber_invest))</f>
        <v>#REF!</v>
      </c>
      <c r="AT111" s="57" t="e">
        <f>IF(#REF!=AT$2,IF(#REF!=$Y$2,#REF!*ore_invest)) + IF(#REF!=AT$2,IF(#REF!=$Y$2,#REF!*ore_invest)) + IF(#REF!=AT$2,IF(#REF!=$Y$2,#REF!*ore_invest))</f>
        <v>#REF!</v>
      </c>
      <c r="AU111" s="57" t="e">
        <f>IF(#REF!=AU$2,IF(#REF!=$Y$2,#REF!*gem_invest)) + IF(#REF!=AU$2,IF(#REF!=$Y$2,#REF!*gem_invest)) + IF(#REF!=AU$2,IF(#REF!=$Y$2,#REF!*gem_invest))</f>
        <v>#REF!</v>
      </c>
      <c r="AV111" s="134"/>
      <c r="AW111" s="57" t="e">
        <f>IF(#REF!=AW$2,IF(#REF!=$Z$2,#REF!*plat_invest)) + IF(#REF!=AW$2,IF(#REF!=$Z$2,#REF!*plat_invest)) + IF(#REF!=AW$2,IF(#REF!=$Z$2,#REF!*plat_invest))</f>
        <v>#REF!</v>
      </c>
      <c r="AX111" s="57" t="e">
        <f>IF(#REF!=AX$2,IF(#REF!=$Z$2,#REF!*lumber_invest)) + IF(#REF!=AX$2,IF(#REF!=$Z$2,#REF!*lumber_invest)) + IF(#REF!=AX$2,IF(#REF!=$Z$2,#REF!*lumber_invest))</f>
        <v>#REF!</v>
      </c>
      <c r="AY111" s="57" t="e">
        <f>IF(#REF!=AY$2,IF(#REF!=$Z$2,#REF!*ore_invest)) + IF(#REF!=AY$2,IF(#REF!=$Z$2,#REF!*ore_invest)) + IF(#REF!=AY$2,IF(#REF!=$Z$2,#REF!*ore_invest))</f>
        <v>#REF!</v>
      </c>
      <c r="AZ111" s="57" t="e">
        <f>IF(#REF!=AZ$2,IF(#REF!=$Z$2,#REF!*gem_invest)) + IF(#REF!=AZ$2,IF(#REF!=$Z$2,#REF!*gem_invest)) + IF(#REF!=AZ$2,IF(#REF!=$Z$2,#REF!*gem_invest))</f>
        <v>#REF!</v>
      </c>
      <c r="BA111" s="134"/>
      <c r="BB111" s="57" t="e">
        <f>IF(#REF!=BB$2,IF(#REF!=$AA$2,#REF!*plat_invest)) + IF(#REF!=BB$2,IF(#REF!=$AA$2,#REF!*plat_invest)) + IF(#REF!=BB$2,IF(#REF!=$AA$2,#REF!*plat_invest))</f>
        <v>#REF!</v>
      </c>
      <c r="BC111" s="57" t="e">
        <f>IF(#REF!=BC$2,IF(#REF!=$AA$2,#REF!*lumber_invest)) + IF(#REF!=BC$2,IF(#REF!=$AA$2,#REF!*lumber_invest)) + IF(#REF!=BC$2,IF(#REF!=$AA$2,#REF!*lumber_invest))</f>
        <v>#REF!</v>
      </c>
      <c r="BD111" s="57" t="e">
        <f>IF(#REF!=BD$2,IF(#REF!=$AA$2,#REF!*ore_invest)) + IF(#REF!=BD$2,IF(#REF!=$AA$2,#REF!*ore_invest)) + IF(#REF!=BD$2,IF(#REF!=$AA$2,#REF!*ore_invest))</f>
        <v>#REF!</v>
      </c>
      <c r="BE111" s="57" t="e">
        <f>IF(#REF!=BE$2,IF(#REF!=$AA$2,#REF!*gem_invest)) + IF(#REF!=BE$2,IF(#REF!=$AA$2,#REF!*gem_invest)) + IF(#REF!=BE$2,IF(#REF!=$AA$2,#REF!*gem_invest))</f>
        <v>#REF!</v>
      </c>
      <c r="BF111" s="134"/>
      <c r="BG111" s="57" t="e">
        <f>IF(#REF!=BG$2,IF(#REF!=$AB$2,#REF!*plat_invest)) + IF(#REF!=BG$2,IF(#REF!=$AB$2,#REF!*plat_invest)) + IF(#REF!=BG$2,IF(#REF!=$AB$2,#REF!*plat_invest))</f>
        <v>#REF!</v>
      </c>
      <c r="BH111" s="57" t="e">
        <f>IF(#REF!=BH$2,IF(#REF!=$AB$2,#REF!*lumber_invest)) + IF(#REF!=BH$2,IF(#REF!=$AB$2,#REF!*lumber_invest)) + IF(#REF!=BH$2,IF(#REF!=$AB$2,#REF!*lumber_invest))</f>
        <v>#REF!</v>
      </c>
      <c r="BI111" s="57" t="e">
        <f>IF(#REF!=BI$2,IF(#REF!=$AB$2,#REF!*ore_invest)) + IF(#REF!=BI$2,IF(#REF!=$AB$2,#REF!*ore_invest)) + IF(#REF!=BI$2,IF(#REF!=$AB$2,#REF!*ore_invest))</f>
        <v>#REF!</v>
      </c>
      <c r="BJ111" s="57" t="e">
        <f>IF(#REF!=BJ$2,IF(#REF!=$AB$2,#REF!*gem_invest)) + IF(#REF!=BJ$2,IF(#REF!=$AB$2,#REF!*gem_invest)) + IF(#REF!=BJ$2,IF(#REF!=$AB$2,#REF!*gem_invest))</f>
        <v>#REF!</v>
      </c>
      <c r="BK111" s="134"/>
      <c r="BL111" s="57" t="e">
        <f>IF(#REF!=BL$2,IF(#REF!=$AC$2,#REF!*plat_invest)) + IF(#REF!=BL$2,IF(#REF!=$AC$2,#REF!*plat_invest)) + IF(#REF!=BL$2,IF(#REF!=$AC$2,#REF!*plat_invest))</f>
        <v>#REF!</v>
      </c>
      <c r="BM111" s="57" t="e">
        <f>IF(#REF!=BM$2,IF(#REF!=$AC$2,#REF!*lumber_invest)) + IF(#REF!=BM$2,IF(#REF!=$AC$2,#REF!*lumber_invest)) + IF(#REF!=BM$2,IF(#REF!=$AC$2,#REF!*lumber_invest))</f>
        <v>#REF!</v>
      </c>
      <c r="BN111" s="57" t="e">
        <f>IF(#REF!=BN$2,IF(#REF!=$AC$2,#REF!*ore_invest)) + IF(#REF!=BN$2,IF(#REF!=$AC$2,#REF!*ore_invest)) + IF(#REF!=BN$2,IF(#REF!=$AC$2,#REF!*ore_invest))</f>
        <v>#REF!</v>
      </c>
      <c r="BO111" s="57" t="e">
        <f>IF(#REF!=BO$2,IF(#REF!=$AC$2,#REF!*gem_invest)) + IF(#REF!=BO$2,IF(#REF!=$AC$2,#REF!*gem_invest)) + IF(#REF!=BO$2,IF(#REF!=$AC$2,#REF!*gem_invest))</f>
        <v>#REF!</v>
      </c>
      <c r="BP111" s="134"/>
      <c r="BQ111" s="57" t="e">
        <f>IF(#REF!=BQ$2,IF(#REF!=$AD$2,#REF!*plat_invest)) + IF(#REF!=BQ$2,IF(#REF!=$AD$2,#REF!*plat_invest)) + IF(#REF!=BQ$2,IF(#REF!=$AD$2,#REF!*plat_invest))</f>
        <v>#REF!</v>
      </c>
      <c r="BR111" s="57" t="e">
        <f>IF(#REF!=BR$2,IF(#REF!=$AD$2,#REF!*lumber_invest)) + IF(#REF!=BR$2,IF(#REF!=$AD$2,#REF!*lumber_invest)) + IF(#REF!=BR$2,IF(#REF!=$AD$2,#REF!*lumber_invest))</f>
        <v>#REF!</v>
      </c>
      <c r="BS111" s="57" t="e">
        <f>IF(#REF!=BS$2,IF(#REF!=$AD$2,#REF!*ore_invest)) + IF(#REF!=BS$2,IF(#REF!=$AD$2,#REF!*ore_invest)) + IF(#REF!=BS$2,IF(#REF!=$AD$2,#REF!*ore_invest))</f>
        <v>#REF!</v>
      </c>
      <c r="BT111" s="57" t="e">
        <f>IF(#REF!=BT$2,IF(#REF!=$AD$2,#REF!*gem_invest)) + IF(#REF!=BT$2,IF(#REF!=$AD$2,#REF!*gem_invest)) + IF(#REF!=BT$2,IF(#REF!=$AD$2,#REF!*gem_invest))</f>
        <v>#REF!</v>
      </c>
      <c r="BU111" s="134"/>
      <c r="BV111" s="3" t="e">
        <f>OR(#REF!,#REF!,#REF!,#REF!,#REF!,#REF!,#REF!,#REF!,#REF!)</f>
        <v>#REF!</v>
      </c>
      <c r="BW111" s="61" t="e">
        <f>#REF!</f>
        <v>#REF!</v>
      </c>
      <c r="BX111" s="130"/>
      <c r="BY111" s="284" t="e">
        <f ca="1">OFFSET(#REF!,-1,0)+1/24</f>
        <v>#REF!</v>
      </c>
      <c r="BZ111" s="285" t="e">
        <f ca="1">OFFSET(#REF!,-1,0)+1/24</f>
        <v>#REF!</v>
      </c>
      <c r="CA111" s="57"/>
      <c r="CB111" s="283"/>
      <c r="CC111" s="283"/>
      <c r="CD111" s="3" t="s">
        <v>214</v>
      </c>
    </row>
    <row r="112" spans="1:82" x14ac:dyDescent="0.25">
      <c r="A112" s="206" t="e">
        <f>#REF!</f>
        <v>#REF!</v>
      </c>
      <c r="B112" s="134"/>
      <c r="C112" s="39" t="e">
        <f>#REF!</f>
        <v>#REF!</v>
      </c>
      <c r="D112" s="39" t="e">
        <f>#REF!</f>
        <v>#REF!</v>
      </c>
      <c r="E112" s="39" t="e">
        <f>#REF!</f>
        <v>#REF!</v>
      </c>
      <c r="F112" s="39" t="e">
        <f>#REF!</f>
        <v>#REF!</v>
      </c>
      <c r="G112" s="133"/>
      <c r="H112" s="39" t="e">
        <f>#REF!</f>
        <v>#REF!</v>
      </c>
      <c r="I112" s="132" t="e">
        <f>#REF!</f>
        <v>#REF!</v>
      </c>
      <c r="J112" s="132" t="e">
        <f>#REF!/#REF!</f>
        <v>#REF!</v>
      </c>
      <c r="K112" s="160" t="e">
        <f>#REF!</f>
        <v>#REF!</v>
      </c>
      <c r="L112" s="276" t="e">
        <f>#REF!</f>
        <v>#REF!</v>
      </c>
      <c r="M112" s="61">
        <f>IF(ISERROR(#REF!),0,#REF!*1)</f>
        <v>0</v>
      </c>
      <c r="N112" s="39" t="e">
        <f>#REF!</f>
        <v>#REF!</v>
      </c>
      <c r="O112" s="277" t="s">
        <v>4</v>
      </c>
      <c r="P112" s="278"/>
      <c r="Q112" s="277" t="s">
        <v>211</v>
      </c>
      <c r="R112" s="277" t="s">
        <v>7</v>
      </c>
      <c r="S112" s="278"/>
      <c r="T112" s="277" t="s">
        <v>211</v>
      </c>
      <c r="U112" s="277" t="s">
        <v>3</v>
      </c>
      <c r="V112" s="278"/>
      <c r="W112" s="277" t="s">
        <v>211</v>
      </c>
      <c r="X112" s="134"/>
      <c r="Y112" s="209" t="e">
        <f ca="1">science_cap*(1-EXP(-#REF!/(science_param*(OFFSET(#REF!,1,0)-OFFSET(#REF!,1,0)*20)+15000)))*(1+(mason_bonus*#REF!/#REF!))</f>
        <v>#REF!</v>
      </c>
      <c r="Z112" s="209" t="e">
        <f ca="1">keep_cap*(1-EXP(-#REF!/(keep_param*(OFFSET(#REF!,1,0)-OFFSET(#REF!,1,0)*20)+15000)))*(1+(mason_bonus*#REF!/#REF!))</f>
        <v>#REF!</v>
      </c>
      <c r="AA112" s="209" t="e">
        <f ca="1">harbor_towers_cap*(1-EXP(-#REF!/(towers_param*(OFFSET(#REF!,1,0)-OFFSET(#REF!,1,0)*20)+15000)))*(1+(mason_bonus*#REF!/#REF!))</f>
        <v>#REF!</v>
      </c>
      <c r="AB112" s="209" t="e">
        <f ca="1">walls_forges_cap*(1-EXP(-#REF!/(walls_forges_param*(OFFSET(#REF!,1,0)-OFFSET(#REF!,1,0)*20)+15000)))*(1+(mason_bonus*#REF!/#REF!))</f>
        <v>#REF!</v>
      </c>
      <c r="AC112" s="209" t="e">
        <f ca="1">walls_forges_cap*(1-EXP(-#REF!/(walls_forges_param*(OFFSET(#REF!,1,0)-OFFSET(#REF!,1,0)*20)+15000)))*(1+(mason_bonus*#REF!/#REF!))</f>
        <v>#REF!</v>
      </c>
      <c r="AD112" s="209" t="e">
        <f ca="1">harbor_towers_cap*(1-EXP(-#REF!/(harbor_towers_param*(OFFSET(#REF!,1,0)-OFFSET(#REF!,1,0)*20)+15000)))*(1+(mason_bonus*#REF!/#REF!))</f>
        <v>#REF!</v>
      </c>
      <c r="AE112" s="134"/>
      <c r="AF112" s="61" t="e">
        <f ca="1">(1+Overview!$I$28)*SUM(#REF!)+OFFSET(#REF!,-1,0)</f>
        <v>#REF!</v>
      </c>
      <c r="AG112" s="61" t="e">
        <f ca="1">(1+Overview!$I$28)*SUM(#REF!)+OFFSET(#REF!,-1,0)</f>
        <v>#REF!</v>
      </c>
      <c r="AH112" s="61" t="e">
        <f ca="1">(1+Overview!$I$28 + tech_7_1*#REF!)*SUM(#REF!)+OFFSET(#REF!,-1,0)</f>
        <v>#REF!</v>
      </c>
      <c r="AI112" s="61" t="e">
        <f ca="1">(1+Overview!$I$28)*SUM(#REF!)+OFFSET(#REF!,-1,0)</f>
        <v>#REF!</v>
      </c>
      <c r="AJ112" s="61" t="e">
        <f ca="1">(1+Overview!$I$28)*SUM(#REF!)+OFFSET(#REF!,-1,0)</f>
        <v>#REF!</v>
      </c>
      <c r="AK112" s="61" t="e">
        <f ca="1">(1+Overview!$I$28 + tech_7_1*#REF!)*SUM(#REF!)+OFFSET(#REF!,-1,0)</f>
        <v>#REF!</v>
      </c>
      <c r="AL112" s="134"/>
      <c r="AM112" s="57" t="e">
        <f>IF(AND(#REF!=AM$2,#REF!&lt;&gt;""),#REF!) + IF(AND(#REF!=AM$2,#REF!&lt;&gt;""),#REF!) + IF(AND(#REF!=AM$2,#REF!&lt;&gt;""),#REF!)</f>
        <v>#REF!</v>
      </c>
      <c r="AN112" s="57" t="e">
        <f>IF(AND(#REF!=AN$2,#REF!&lt;&gt;""),#REF!) + IF(AND(#REF!=AN$2,#REF!&lt;&gt;""),#REF!) + IF(AND(#REF!=AN$2,#REF!&lt;&gt;""),#REF!)</f>
        <v>#REF!</v>
      </c>
      <c r="AO112" s="57" t="e">
        <f>IF(AND(#REF!=AO$2,#REF!&lt;&gt;""),#REF!) + IF(AND(#REF!=AO$2,#REF!&lt;&gt;""),#REF!) + IF(AND(#REF!=AO$2,#REF!&lt;&gt;""),#REF!)</f>
        <v>#REF!</v>
      </c>
      <c r="AP112" s="57" t="e">
        <f>IF(AND(#REF!=AP$2,#REF!&lt;&gt;""),#REF!) + IF(AND(#REF!=AP$2,#REF!&lt;&gt;""),#REF!) + IF(AND(#REF!=AP$2,#REF!&lt;&gt;""),#REF!)</f>
        <v>#REF!</v>
      </c>
      <c r="AQ112" s="134"/>
      <c r="AR112" s="57" t="e">
        <f>IF(#REF!=AR$2,IF(#REF!=$Y$2,#REF!*plat_invest)) + IF(#REF!=AR$2,IF(#REF!=$Y$2,#REF!*plat_invest)) + IF(#REF!=AR$2,IF(#REF!=$Y$2,#REF!*plat_invest))</f>
        <v>#REF!</v>
      </c>
      <c r="AS112" s="57" t="e">
        <f>IF(#REF!=AS$2,IF(#REF!=$Y$2,#REF!*lumber_invest)) + IF(#REF!=AS$2,IF(#REF!=$Y$2,#REF!*lumber_invest)) + IF(#REF!=AS$2,IF(#REF!=$Y$2,#REF!*lumber_invest))</f>
        <v>#REF!</v>
      </c>
      <c r="AT112" s="57" t="e">
        <f>IF(#REF!=AT$2,IF(#REF!=$Y$2,#REF!*ore_invest)) + IF(#REF!=AT$2,IF(#REF!=$Y$2,#REF!*ore_invest)) + IF(#REF!=AT$2,IF(#REF!=$Y$2,#REF!*ore_invest))</f>
        <v>#REF!</v>
      </c>
      <c r="AU112" s="57" t="e">
        <f>IF(#REF!=AU$2,IF(#REF!=$Y$2,#REF!*gem_invest)) + IF(#REF!=AU$2,IF(#REF!=$Y$2,#REF!*gem_invest)) + IF(#REF!=AU$2,IF(#REF!=$Y$2,#REF!*gem_invest))</f>
        <v>#REF!</v>
      </c>
      <c r="AV112" s="134"/>
      <c r="AW112" s="57" t="e">
        <f>IF(#REF!=AW$2,IF(#REF!=$Z$2,#REF!*plat_invest)) + IF(#REF!=AW$2,IF(#REF!=$Z$2,#REF!*plat_invest)) + IF(#REF!=AW$2,IF(#REF!=$Z$2,#REF!*plat_invest))</f>
        <v>#REF!</v>
      </c>
      <c r="AX112" s="57" t="e">
        <f>IF(#REF!=AX$2,IF(#REF!=$Z$2,#REF!*lumber_invest)) + IF(#REF!=AX$2,IF(#REF!=$Z$2,#REF!*lumber_invest)) + IF(#REF!=AX$2,IF(#REF!=$Z$2,#REF!*lumber_invest))</f>
        <v>#REF!</v>
      </c>
      <c r="AY112" s="57" t="e">
        <f>IF(#REF!=AY$2,IF(#REF!=$Z$2,#REF!*ore_invest)) + IF(#REF!=AY$2,IF(#REF!=$Z$2,#REF!*ore_invest)) + IF(#REF!=AY$2,IF(#REF!=$Z$2,#REF!*ore_invest))</f>
        <v>#REF!</v>
      </c>
      <c r="AZ112" s="57" t="e">
        <f>IF(#REF!=AZ$2,IF(#REF!=$Z$2,#REF!*gem_invest)) + IF(#REF!=AZ$2,IF(#REF!=$Z$2,#REF!*gem_invest)) + IF(#REF!=AZ$2,IF(#REF!=$Z$2,#REF!*gem_invest))</f>
        <v>#REF!</v>
      </c>
      <c r="BA112" s="134"/>
      <c r="BB112" s="57" t="e">
        <f>IF(#REF!=BB$2,IF(#REF!=$AA$2,#REF!*plat_invest)) + IF(#REF!=BB$2,IF(#REF!=$AA$2,#REF!*plat_invest)) + IF(#REF!=BB$2,IF(#REF!=$AA$2,#REF!*plat_invest))</f>
        <v>#REF!</v>
      </c>
      <c r="BC112" s="57" t="e">
        <f>IF(#REF!=BC$2,IF(#REF!=$AA$2,#REF!*lumber_invest)) + IF(#REF!=BC$2,IF(#REF!=$AA$2,#REF!*lumber_invest)) + IF(#REF!=BC$2,IF(#REF!=$AA$2,#REF!*lumber_invest))</f>
        <v>#REF!</v>
      </c>
      <c r="BD112" s="57" t="e">
        <f>IF(#REF!=BD$2,IF(#REF!=$AA$2,#REF!*ore_invest)) + IF(#REF!=BD$2,IF(#REF!=$AA$2,#REF!*ore_invest)) + IF(#REF!=BD$2,IF(#REF!=$AA$2,#REF!*ore_invest))</f>
        <v>#REF!</v>
      </c>
      <c r="BE112" s="57" t="e">
        <f>IF(#REF!=BE$2,IF(#REF!=$AA$2,#REF!*gem_invest)) + IF(#REF!=BE$2,IF(#REF!=$AA$2,#REF!*gem_invest)) + IF(#REF!=BE$2,IF(#REF!=$AA$2,#REF!*gem_invest))</f>
        <v>#REF!</v>
      </c>
      <c r="BF112" s="134"/>
      <c r="BG112" s="57" t="e">
        <f>IF(#REF!=BG$2,IF(#REF!=$AB$2,#REF!*plat_invest)) + IF(#REF!=BG$2,IF(#REF!=$AB$2,#REF!*plat_invest)) + IF(#REF!=BG$2,IF(#REF!=$AB$2,#REF!*plat_invest))</f>
        <v>#REF!</v>
      </c>
      <c r="BH112" s="57" t="e">
        <f>IF(#REF!=BH$2,IF(#REF!=$AB$2,#REF!*lumber_invest)) + IF(#REF!=BH$2,IF(#REF!=$AB$2,#REF!*lumber_invest)) + IF(#REF!=BH$2,IF(#REF!=$AB$2,#REF!*lumber_invest))</f>
        <v>#REF!</v>
      </c>
      <c r="BI112" s="57" t="e">
        <f>IF(#REF!=BI$2,IF(#REF!=$AB$2,#REF!*ore_invest)) + IF(#REF!=BI$2,IF(#REF!=$AB$2,#REF!*ore_invest)) + IF(#REF!=BI$2,IF(#REF!=$AB$2,#REF!*ore_invest))</f>
        <v>#REF!</v>
      </c>
      <c r="BJ112" s="57" t="e">
        <f>IF(#REF!=BJ$2,IF(#REF!=$AB$2,#REF!*gem_invest)) + IF(#REF!=BJ$2,IF(#REF!=$AB$2,#REF!*gem_invest)) + IF(#REF!=BJ$2,IF(#REF!=$AB$2,#REF!*gem_invest))</f>
        <v>#REF!</v>
      </c>
      <c r="BK112" s="134"/>
      <c r="BL112" s="57" t="e">
        <f>IF(#REF!=BL$2,IF(#REF!=$AC$2,#REF!*plat_invest)) + IF(#REF!=BL$2,IF(#REF!=$AC$2,#REF!*plat_invest)) + IF(#REF!=BL$2,IF(#REF!=$AC$2,#REF!*plat_invest))</f>
        <v>#REF!</v>
      </c>
      <c r="BM112" s="57" t="e">
        <f>IF(#REF!=BM$2,IF(#REF!=$AC$2,#REF!*lumber_invest)) + IF(#REF!=BM$2,IF(#REF!=$AC$2,#REF!*lumber_invest)) + IF(#REF!=BM$2,IF(#REF!=$AC$2,#REF!*lumber_invest))</f>
        <v>#REF!</v>
      </c>
      <c r="BN112" s="57" t="e">
        <f>IF(#REF!=BN$2,IF(#REF!=$AC$2,#REF!*ore_invest)) + IF(#REF!=BN$2,IF(#REF!=$AC$2,#REF!*ore_invest)) + IF(#REF!=BN$2,IF(#REF!=$AC$2,#REF!*ore_invest))</f>
        <v>#REF!</v>
      </c>
      <c r="BO112" s="57" t="e">
        <f>IF(#REF!=BO$2,IF(#REF!=$AC$2,#REF!*gem_invest)) + IF(#REF!=BO$2,IF(#REF!=$AC$2,#REF!*gem_invest)) + IF(#REF!=BO$2,IF(#REF!=$AC$2,#REF!*gem_invest))</f>
        <v>#REF!</v>
      </c>
      <c r="BP112" s="134"/>
      <c r="BQ112" s="57" t="e">
        <f>IF(#REF!=BQ$2,IF(#REF!=$AD$2,#REF!*plat_invest)) + IF(#REF!=BQ$2,IF(#REF!=$AD$2,#REF!*plat_invest)) + IF(#REF!=BQ$2,IF(#REF!=$AD$2,#REF!*plat_invest))</f>
        <v>#REF!</v>
      </c>
      <c r="BR112" s="57" t="e">
        <f>IF(#REF!=BR$2,IF(#REF!=$AD$2,#REF!*lumber_invest)) + IF(#REF!=BR$2,IF(#REF!=$AD$2,#REF!*lumber_invest)) + IF(#REF!=BR$2,IF(#REF!=$AD$2,#REF!*lumber_invest))</f>
        <v>#REF!</v>
      </c>
      <c r="BS112" s="57" t="e">
        <f>IF(#REF!=BS$2,IF(#REF!=$AD$2,#REF!*ore_invest)) + IF(#REF!=BS$2,IF(#REF!=$AD$2,#REF!*ore_invest)) + IF(#REF!=BS$2,IF(#REF!=$AD$2,#REF!*ore_invest))</f>
        <v>#REF!</v>
      </c>
      <c r="BT112" s="57" t="e">
        <f>IF(#REF!=BT$2,IF(#REF!=$AD$2,#REF!*gem_invest)) + IF(#REF!=BT$2,IF(#REF!=$AD$2,#REF!*gem_invest)) + IF(#REF!=BT$2,IF(#REF!=$AD$2,#REF!*gem_invest))</f>
        <v>#REF!</v>
      </c>
      <c r="BU112" s="134"/>
      <c r="BV112" s="3" t="e">
        <f>OR(#REF!,#REF!,#REF!,#REF!,#REF!,#REF!,#REF!,#REF!,#REF!)</f>
        <v>#REF!</v>
      </c>
      <c r="BW112" s="61" t="e">
        <f>#REF!</f>
        <v>#REF!</v>
      </c>
      <c r="BX112" s="130"/>
      <c r="BY112" s="284" t="e">
        <f ca="1">OFFSET(#REF!,-1,0)+1/24</f>
        <v>#REF!</v>
      </c>
      <c r="BZ112" s="285" t="e">
        <f ca="1">OFFSET(#REF!,-1,0)+1/24</f>
        <v>#REF!</v>
      </c>
      <c r="CA112" s="57"/>
      <c r="CB112" s="283"/>
      <c r="CC112" s="283"/>
      <c r="CD112" s="3" t="s">
        <v>215</v>
      </c>
    </row>
    <row r="113" spans="1:81" x14ac:dyDescent="0.25">
      <c r="A113" s="206" t="e">
        <f>#REF!</f>
        <v>#REF!</v>
      </c>
      <c r="B113" s="134"/>
      <c r="C113" s="39" t="e">
        <f>#REF!</f>
        <v>#REF!</v>
      </c>
      <c r="D113" s="39" t="e">
        <f>#REF!</f>
        <v>#REF!</v>
      </c>
      <c r="E113" s="39" t="e">
        <f>#REF!</f>
        <v>#REF!</v>
      </c>
      <c r="F113" s="39" t="e">
        <f>#REF!</f>
        <v>#REF!</v>
      </c>
      <c r="G113" s="133"/>
      <c r="H113" s="39" t="e">
        <f>#REF!</f>
        <v>#REF!</v>
      </c>
      <c r="I113" s="132" t="e">
        <f>#REF!</f>
        <v>#REF!</v>
      </c>
      <c r="J113" s="132" t="e">
        <f>#REF!/#REF!</f>
        <v>#REF!</v>
      </c>
      <c r="K113" s="160" t="e">
        <f>#REF!</f>
        <v>#REF!</v>
      </c>
      <c r="L113" s="276" t="e">
        <f>#REF!</f>
        <v>#REF!</v>
      </c>
      <c r="M113" s="61">
        <f>IF(ISERROR(#REF!),0,#REF!*1)</f>
        <v>0</v>
      </c>
      <c r="N113" s="39" t="e">
        <f>#REF!</f>
        <v>#REF!</v>
      </c>
      <c r="O113" s="277" t="s">
        <v>4</v>
      </c>
      <c r="P113" s="278"/>
      <c r="Q113" s="277" t="s">
        <v>211</v>
      </c>
      <c r="R113" s="277" t="s">
        <v>7</v>
      </c>
      <c r="S113" s="278"/>
      <c r="T113" s="277" t="s">
        <v>211</v>
      </c>
      <c r="U113" s="277" t="s">
        <v>3</v>
      </c>
      <c r="V113" s="278"/>
      <c r="W113" s="277" t="s">
        <v>211</v>
      </c>
      <c r="X113" s="134"/>
      <c r="Y113" s="209" t="e">
        <f ca="1">science_cap*(1-EXP(-#REF!/(science_param*(OFFSET(#REF!,1,0)-OFFSET(#REF!,1,0)*20)+15000)))*(1+(mason_bonus*#REF!/#REF!))</f>
        <v>#REF!</v>
      </c>
      <c r="Z113" s="209" t="e">
        <f ca="1">keep_cap*(1-EXP(-#REF!/(keep_param*(OFFSET(#REF!,1,0)-OFFSET(#REF!,1,0)*20)+15000)))*(1+(mason_bonus*#REF!/#REF!))</f>
        <v>#REF!</v>
      </c>
      <c r="AA113" s="209" t="e">
        <f ca="1">harbor_towers_cap*(1-EXP(-#REF!/(towers_param*(OFFSET(#REF!,1,0)-OFFSET(#REF!,1,0)*20)+15000)))*(1+(mason_bonus*#REF!/#REF!))</f>
        <v>#REF!</v>
      </c>
      <c r="AB113" s="209" t="e">
        <f ca="1">walls_forges_cap*(1-EXP(-#REF!/(walls_forges_param*(OFFSET(#REF!,1,0)-OFFSET(#REF!,1,0)*20)+15000)))*(1+(mason_bonus*#REF!/#REF!))</f>
        <v>#REF!</v>
      </c>
      <c r="AC113" s="209" t="e">
        <f ca="1">walls_forges_cap*(1-EXP(-#REF!/(walls_forges_param*(OFFSET(#REF!,1,0)-OFFSET(#REF!,1,0)*20)+15000)))*(1+(mason_bonus*#REF!/#REF!))</f>
        <v>#REF!</v>
      </c>
      <c r="AD113" s="209" t="e">
        <f ca="1">harbor_towers_cap*(1-EXP(-#REF!/(harbor_towers_param*(OFFSET(#REF!,1,0)-OFFSET(#REF!,1,0)*20)+15000)))*(1+(mason_bonus*#REF!/#REF!))</f>
        <v>#REF!</v>
      </c>
      <c r="AE113" s="134"/>
      <c r="AF113" s="61" t="e">
        <f ca="1">(1+Overview!$I$28)*SUM(#REF!)+OFFSET(#REF!,-1,0)</f>
        <v>#REF!</v>
      </c>
      <c r="AG113" s="61" t="e">
        <f ca="1">(1+Overview!$I$28)*SUM(#REF!)+OFFSET(#REF!,-1,0)</f>
        <v>#REF!</v>
      </c>
      <c r="AH113" s="61" t="e">
        <f ca="1">(1+Overview!$I$28 + tech_7_1*#REF!)*SUM(#REF!)+OFFSET(#REF!,-1,0)</f>
        <v>#REF!</v>
      </c>
      <c r="AI113" s="61" t="e">
        <f ca="1">(1+Overview!$I$28)*SUM(#REF!)+OFFSET(#REF!,-1,0)</f>
        <v>#REF!</v>
      </c>
      <c r="AJ113" s="61" t="e">
        <f ca="1">(1+Overview!$I$28)*SUM(#REF!)+OFFSET(#REF!,-1,0)</f>
        <v>#REF!</v>
      </c>
      <c r="AK113" s="61" t="e">
        <f ca="1">(1+Overview!$I$28 + tech_7_1*#REF!)*SUM(#REF!)+OFFSET(#REF!,-1,0)</f>
        <v>#REF!</v>
      </c>
      <c r="AL113" s="134"/>
      <c r="AM113" s="57" t="e">
        <f>IF(AND(#REF!=AM$2,#REF!&lt;&gt;""),#REF!) + IF(AND(#REF!=AM$2,#REF!&lt;&gt;""),#REF!) + IF(AND(#REF!=AM$2,#REF!&lt;&gt;""),#REF!)</f>
        <v>#REF!</v>
      </c>
      <c r="AN113" s="57" t="e">
        <f>IF(AND(#REF!=AN$2,#REF!&lt;&gt;""),#REF!) + IF(AND(#REF!=AN$2,#REF!&lt;&gt;""),#REF!) + IF(AND(#REF!=AN$2,#REF!&lt;&gt;""),#REF!)</f>
        <v>#REF!</v>
      </c>
      <c r="AO113" s="57" t="e">
        <f>IF(AND(#REF!=AO$2,#REF!&lt;&gt;""),#REF!) + IF(AND(#REF!=AO$2,#REF!&lt;&gt;""),#REF!) + IF(AND(#REF!=AO$2,#REF!&lt;&gt;""),#REF!)</f>
        <v>#REF!</v>
      </c>
      <c r="AP113" s="57" t="e">
        <f>IF(AND(#REF!=AP$2,#REF!&lt;&gt;""),#REF!) + IF(AND(#REF!=AP$2,#REF!&lt;&gt;""),#REF!) + IF(AND(#REF!=AP$2,#REF!&lt;&gt;""),#REF!)</f>
        <v>#REF!</v>
      </c>
      <c r="AQ113" s="134"/>
      <c r="AR113" s="57" t="e">
        <f>IF(#REF!=AR$2,IF(#REF!=$Y$2,#REF!*plat_invest)) + IF(#REF!=AR$2,IF(#REF!=$Y$2,#REF!*plat_invest)) + IF(#REF!=AR$2,IF(#REF!=$Y$2,#REF!*plat_invest))</f>
        <v>#REF!</v>
      </c>
      <c r="AS113" s="57" t="e">
        <f>IF(#REF!=AS$2,IF(#REF!=$Y$2,#REF!*lumber_invest)) + IF(#REF!=AS$2,IF(#REF!=$Y$2,#REF!*lumber_invest)) + IF(#REF!=AS$2,IF(#REF!=$Y$2,#REF!*lumber_invest))</f>
        <v>#REF!</v>
      </c>
      <c r="AT113" s="57" t="e">
        <f>IF(#REF!=AT$2,IF(#REF!=$Y$2,#REF!*ore_invest)) + IF(#REF!=AT$2,IF(#REF!=$Y$2,#REF!*ore_invest)) + IF(#REF!=AT$2,IF(#REF!=$Y$2,#REF!*ore_invest))</f>
        <v>#REF!</v>
      </c>
      <c r="AU113" s="57" t="e">
        <f>IF(#REF!=AU$2,IF(#REF!=$Y$2,#REF!*gem_invest)) + IF(#REF!=AU$2,IF(#REF!=$Y$2,#REF!*gem_invest)) + IF(#REF!=AU$2,IF(#REF!=$Y$2,#REF!*gem_invest))</f>
        <v>#REF!</v>
      </c>
      <c r="AV113" s="134"/>
      <c r="AW113" s="57" t="e">
        <f>IF(#REF!=AW$2,IF(#REF!=$Z$2,#REF!*plat_invest)) + IF(#REF!=AW$2,IF(#REF!=$Z$2,#REF!*plat_invest)) + IF(#REF!=AW$2,IF(#REF!=$Z$2,#REF!*plat_invest))</f>
        <v>#REF!</v>
      </c>
      <c r="AX113" s="57" t="e">
        <f>IF(#REF!=AX$2,IF(#REF!=$Z$2,#REF!*lumber_invest)) + IF(#REF!=AX$2,IF(#REF!=$Z$2,#REF!*lumber_invest)) + IF(#REF!=AX$2,IF(#REF!=$Z$2,#REF!*lumber_invest))</f>
        <v>#REF!</v>
      </c>
      <c r="AY113" s="57" t="e">
        <f>IF(#REF!=AY$2,IF(#REF!=$Z$2,#REF!*ore_invest)) + IF(#REF!=AY$2,IF(#REF!=$Z$2,#REF!*ore_invest)) + IF(#REF!=AY$2,IF(#REF!=$Z$2,#REF!*ore_invest))</f>
        <v>#REF!</v>
      </c>
      <c r="AZ113" s="57" t="e">
        <f>IF(#REF!=AZ$2,IF(#REF!=$Z$2,#REF!*gem_invest)) + IF(#REF!=AZ$2,IF(#REF!=$Z$2,#REF!*gem_invest)) + IF(#REF!=AZ$2,IF(#REF!=$Z$2,#REF!*gem_invest))</f>
        <v>#REF!</v>
      </c>
      <c r="BA113" s="134"/>
      <c r="BB113" s="57" t="e">
        <f>IF(#REF!=BB$2,IF(#REF!=$AA$2,#REF!*plat_invest)) + IF(#REF!=BB$2,IF(#REF!=$AA$2,#REF!*plat_invest)) + IF(#REF!=BB$2,IF(#REF!=$AA$2,#REF!*plat_invest))</f>
        <v>#REF!</v>
      </c>
      <c r="BC113" s="57" t="e">
        <f>IF(#REF!=BC$2,IF(#REF!=$AA$2,#REF!*lumber_invest)) + IF(#REF!=BC$2,IF(#REF!=$AA$2,#REF!*lumber_invest)) + IF(#REF!=BC$2,IF(#REF!=$AA$2,#REF!*lumber_invest))</f>
        <v>#REF!</v>
      </c>
      <c r="BD113" s="57" t="e">
        <f>IF(#REF!=BD$2,IF(#REF!=$AA$2,#REF!*ore_invest)) + IF(#REF!=BD$2,IF(#REF!=$AA$2,#REF!*ore_invest)) + IF(#REF!=BD$2,IF(#REF!=$AA$2,#REF!*ore_invest))</f>
        <v>#REF!</v>
      </c>
      <c r="BE113" s="57" t="e">
        <f>IF(#REF!=BE$2,IF(#REF!=$AA$2,#REF!*gem_invest)) + IF(#REF!=BE$2,IF(#REF!=$AA$2,#REF!*gem_invest)) + IF(#REF!=BE$2,IF(#REF!=$AA$2,#REF!*gem_invest))</f>
        <v>#REF!</v>
      </c>
      <c r="BF113" s="134"/>
      <c r="BG113" s="57" t="e">
        <f>IF(#REF!=BG$2,IF(#REF!=$AB$2,#REF!*plat_invest)) + IF(#REF!=BG$2,IF(#REF!=$AB$2,#REF!*plat_invest)) + IF(#REF!=BG$2,IF(#REF!=$AB$2,#REF!*plat_invest))</f>
        <v>#REF!</v>
      </c>
      <c r="BH113" s="57" t="e">
        <f>IF(#REF!=BH$2,IF(#REF!=$AB$2,#REF!*lumber_invest)) + IF(#REF!=BH$2,IF(#REF!=$AB$2,#REF!*lumber_invest)) + IF(#REF!=BH$2,IF(#REF!=$AB$2,#REF!*lumber_invest))</f>
        <v>#REF!</v>
      </c>
      <c r="BI113" s="57" t="e">
        <f>IF(#REF!=BI$2,IF(#REF!=$AB$2,#REF!*ore_invest)) + IF(#REF!=BI$2,IF(#REF!=$AB$2,#REF!*ore_invest)) + IF(#REF!=BI$2,IF(#REF!=$AB$2,#REF!*ore_invest))</f>
        <v>#REF!</v>
      </c>
      <c r="BJ113" s="57" t="e">
        <f>IF(#REF!=BJ$2,IF(#REF!=$AB$2,#REF!*gem_invest)) + IF(#REF!=BJ$2,IF(#REF!=$AB$2,#REF!*gem_invest)) + IF(#REF!=BJ$2,IF(#REF!=$AB$2,#REF!*gem_invest))</f>
        <v>#REF!</v>
      </c>
      <c r="BK113" s="134"/>
      <c r="BL113" s="57" t="e">
        <f>IF(#REF!=BL$2,IF(#REF!=$AC$2,#REF!*plat_invest)) + IF(#REF!=BL$2,IF(#REF!=$AC$2,#REF!*plat_invest)) + IF(#REF!=BL$2,IF(#REF!=$AC$2,#REF!*plat_invest))</f>
        <v>#REF!</v>
      </c>
      <c r="BM113" s="57" t="e">
        <f>IF(#REF!=BM$2,IF(#REF!=$AC$2,#REF!*lumber_invest)) + IF(#REF!=BM$2,IF(#REF!=$AC$2,#REF!*lumber_invest)) + IF(#REF!=BM$2,IF(#REF!=$AC$2,#REF!*lumber_invest))</f>
        <v>#REF!</v>
      </c>
      <c r="BN113" s="57" t="e">
        <f>IF(#REF!=BN$2,IF(#REF!=$AC$2,#REF!*ore_invest)) + IF(#REF!=BN$2,IF(#REF!=$AC$2,#REF!*ore_invest)) + IF(#REF!=BN$2,IF(#REF!=$AC$2,#REF!*ore_invest))</f>
        <v>#REF!</v>
      </c>
      <c r="BO113" s="57" t="e">
        <f>IF(#REF!=BO$2,IF(#REF!=$AC$2,#REF!*gem_invest)) + IF(#REF!=BO$2,IF(#REF!=$AC$2,#REF!*gem_invest)) + IF(#REF!=BO$2,IF(#REF!=$AC$2,#REF!*gem_invest))</f>
        <v>#REF!</v>
      </c>
      <c r="BP113" s="134"/>
      <c r="BQ113" s="57" t="e">
        <f>IF(#REF!=BQ$2,IF(#REF!=$AD$2,#REF!*plat_invest)) + IF(#REF!=BQ$2,IF(#REF!=$AD$2,#REF!*plat_invest)) + IF(#REF!=BQ$2,IF(#REF!=$AD$2,#REF!*plat_invest))</f>
        <v>#REF!</v>
      </c>
      <c r="BR113" s="57" t="e">
        <f>IF(#REF!=BR$2,IF(#REF!=$AD$2,#REF!*lumber_invest)) + IF(#REF!=BR$2,IF(#REF!=$AD$2,#REF!*lumber_invest)) + IF(#REF!=BR$2,IF(#REF!=$AD$2,#REF!*lumber_invest))</f>
        <v>#REF!</v>
      </c>
      <c r="BS113" s="57" t="e">
        <f>IF(#REF!=BS$2,IF(#REF!=$AD$2,#REF!*ore_invest)) + IF(#REF!=BS$2,IF(#REF!=$AD$2,#REF!*ore_invest)) + IF(#REF!=BS$2,IF(#REF!=$AD$2,#REF!*ore_invest))</f>
        <v>#REF!</v>
      </c>
      <c r="BT113" s="57" t="e">
        <f>IF(#REF!=BT$2,IF(#REF!=$AD$2,#REF!*gem_invest)) + IF(#REF!=BT$2,IF(#REF!=$AD$2,#REF!*gem_invest)) + IF(#REF!=BT$2,IF(#REF!=$AD$2,#REF!*gem_invest))</f>
        <v>#REF!</v>
      </c>
      <c r="BU113" s="134"/>
      <c r="BV113" s="3" t="e">
        <f>OR(#REF!,#REF!,#REF!,#REF!,#REF!,#REF!,#REF!,#REF!,#REF!)</f>
        <v>#REF!</v>
      </c>
      <c r="BW113" s="61" t="e">
        <f>#REF!</f>
        <v>#REF!</v>
      </c>
      <c r="BX113" s="130"/>
      <c r="BY113" s="284" t="e">
        <f ca="1">OFFSET(#REF!,-1,0)+1/24</f>
        <v>#REF!</v>
      </c>
      <c r="BZ113" s="285" t="e">
        <f ca="1">OFFSET(#REF!,-1,0)+1/24</f>
        <v>#REF!</v>
      </c>
      <c r="CA113" s="57"/>
      <c r="CB113" s="283"/>
      <c r="CC113" s="283"/>
    </row>
    <row r="114" spans="1:81" x14ac:dyDescent="0.25">
      <c r="A114" s="206" t="e">
        <f>#REF!</f>
        <v>#REF!</v>
      </c>
      <c r="B114" s="134"/>
      <c r="C114" s="39" t="e">
        <f>#REF!</f>
        <v>#REF!</v>
      </c>
      <c r="D114" s="39" t="e">
        <f>#REF!</f>
        <v>#REF!</v>
      </c>
      <c r="E114" s="39" t="e">
        <f>#REF!</f>
        <v>#REF!</v>
      </c>
      <c r="F114" s="39" t="e">
        <f>#REF!</f>
        <v>#REF!</v>
      </c>
      <c r="G114" s="133"/>
      <c r="H114" s="39" t="e">
        <f>#REF!</f>
        <v>#REF!</v>
      </c>
      <c r="I114" s="132" t="e">
        <f>#REF!</f>
        <v>#REF!</v>
      </c>
      <c r="J114" s="132" t="e">
        <f>#REF!/#REF!</f>
        <v>#REF!</v>
      </c>
      <c r="K114" s="160" t="e">
        <f>#REF!</f>
        <v>#REF!</v>
      </c>
      <c r="L114" s="276" t="e">
        <f>#REF!</f>
        <v>#REF!</v>
      </c>
      <c r="M114" s="61">
        <f>IF(ISERROR(#REF!),0,#REF!*1)</f>
        <v>0</v>
      </c>
      <c r="N114" s="39" t="e">
        <f>#REF!</f>
        <v>#REF!</v>
      </c>
      <c r="O114" s="277" t="s">
        <v>4</v>
      </c>
      <c r="P114" s="278"/>
      <c r="Q114" s="277" t="s">
        <v>211</v>
      </c>
      <c r="R114" s="277" t="s">
        <v>7</v>
      </c>
      <c r="S114" s="278"/>
      <c r="T114" s="277" t="s">
        <v>211</v>
      </c>
      <c r="U114" s="277" t="s">
        <v>3</v>
      </c>
      <c r="V114" s="278"/>
      <c r="W114" s="277" t="s">
        <v>211</v>
      </c>
      <c r="X114" s="134"/>
      <c r="Y114" s="209" t="e">
        <f ca="1">science_cap*(1-EXP(-#REF!/(science_param*(OFFSET(#REF!,1,0)-OFFSET(#REF!,1,0)*20)+15000)))*(1+(mason_bonus*#REF!/#REF!))</f>
        <v>#REF!</v>
      </c>
      <c r="Z114" s="209" t="e">
        <f ca="1">keep_cap*(1-EXP(-#REF!/(keep_param*(OFFSET(#REF!,1,0)-OFFSET(#REF!,1,0)*20)+15000)))*(1+(mason_bonus*#REF!/#REF!))</f>
        <v>#REF!</v>
      </c>
      <c r="AA114" s="209" t="e">
        <f ca="1">harbor_towers_cap*(1-EXP(-#REF!/(towers_param*(OFFSET(#REF!,1,0)-OFFSET(#REF!,1,0)*20)+15000)))*(1+(mason_bonus*#REF!/#REF!))</f>
        <v>#REF!</v>
      </c>
      <c r="AB114" s="209" t="e">
        <f ca="1">walls_forges_cap*(1-EXP(-#REF!/(walls_forges_param*(OFFSET(#REF!,1,0)-OFFSET(#REF!,1,0)*20)+15000)))*(1+(mason_bonus*#REF!/#REF!))</f>
        <v>#REF!</v>
      </c>
      <c r="AC114" s="209" t="e">
        <f ca="1">walls_forges_cap*(1-EXP(-#REF!/(walls_forges_param*(OFFSET(#REF!,1,0)-OFFSET(#REF!,1,0)*20)+15000)))*(1+(mason_bonus*#REF!/#REF!))</f>
        <v>#REF!</v>
      </c>
      <c r="AD114" s="209" t="e">
        <f ca="1">harbor_towers_cap*(1-EXP(-#REF!/(harbor_towers_param*(OFFSET(#REF!,1,0)-OFFSET(#REF!,1,0)*20)+15000)))*(1+(mason_bonus*#REF!/#REF!))</f>
        <v>#REF!</v>
      </c>
      <c r="AE114" s="134"/>
      <c r="AF114" s="61" t="e">
        <f ca="1">(1+Overview!$I$28)*SUM(#REF!)+OFFSET(#REF!,-1,0)</f>
        <v>#REF!</v>
      </c>
      <c r="AG114" s="61" t="e">
        <f ca="1">(1+Overview!$I$28)*SUM(#REF!)+OFFSET(#REF!,-1,0)</f>
        <v>#REF!</v>
      </c>
      <c r="AH114" s="61" t="e">
        <f ca="1">(1+Overview!$I$28 + tech_7_1*#REF!)*SUM(#REF!)+OFFSET(#REF!,-1,0)</f>
        <v>#REF!</v>
      </c>
      <c r="AI114" s="61" t="e">
        <f ca="1">(1+Overview!$I$28)*SUM(#REF!)+OFFSET(#REF!,-1,0)</f>
        <v>#REF!</v>
      </c>
      <c r="AJ114" s="61" t="e">
        <f ca="1">(1+Overview!$I$28)*SUM(#REF!)+OFFSET(#REF!,-1,0)</f>
        <v>#REF!</v>
      </c>
      <c r="AK114" s="61" t="e">
        <f ca="1">(1+Overview!$I$28 + tech_7_1*#REF!)*SUM(#REF!)+OFFSET(#REF!,-1,0)</f>
        <v>#REF!</v>
      </c>
      <c r="AL114" s="134"/>
      <c r="AM114" s="57" t="e">
        <f>IF(AND(#REF!=AM$2,#REF!&lt;&gt;""),#REF!) + IF(AND(#REF!=AM$2,#REF!&lt;&gt;""),#REF!) + IF(AND(#REF!=AM$2,#REF!&lt;&gt;""),#REF!)</f>
        <v>#REF!</v>
      </c>
      <c r="AN114" s="57" t="e">
        <f>IF(AND(#REF!=AN$2,#REF!&lt;&gt;""),#REF!) + IF(AND(#REF!=AN$2,#REF!&lt;&gt;""),#REF!) + IF(AND(#REF!=AN$2,#REF!&lt;&gt;""),#REF!)</f>
        <v>#REF!</v>
      </c>
      <c r="AO114" s="57" t="e">
        <f>IF(AND(#REF!=AO$2,#REF!&lt;&gt;""),#REF!) + IF(AND(#REF!=AO$2,#REF!&lt;&gt;""),#REF!) + IF(AND(#REF!=AO$2,#REF!&lt;&gt;""),#REF!)</f>
        <v>#REF!</v>
      </c>
      <c r="AP114" s="57" t="e">
        <f>IF(AND(#REF!=AP$2,#REF!&lt;&gt;""),#REF!) + IF(AND(#REF!=AP$2,#REF!&lt;&gt;""),#REF!) + IF(AND(#REF!=AP$2,#REF!&lt;&gt;""),#REF!)</f>
        <v>#REF!</v>
      </c>
      <c r="AQ114" s="134"/>
      <c r="AR114" s="57" t="e">
        <f>IF(#REF!=AR$2,IF(#REF!=$Y$2,#REF!*plat_invest)) + IF(#REF!=AR$2,IF(#REF!=$Y$2,#REF!*plat_invest)) + IF(#REF!=AR$2,IF(#REF!=$Y$2,#REF!*plat_invest))</f>
        <v>#REF!</v>
      </c>
      <c r="AS114" s="57" t="e">
        <f>IF(#REF!=AS$2,IF(#REF!=$Y$2,#REF!*lumber_invest)) + IF(#REF!=AS$2,IF(#REF!=$Y$2,#REF!*lumber_invest)) + IF(#REF!=AS$2,IF(#REF!=$Y$2,#REF!*lumber_invest))</f>
        <v>#REF!</v>
      </c>
      <c r="AT114" s="57" t="e">
        <f>IF(#REF!=AT$2,IF(#REF!=$Y$2,#REF!*ore_invest)) + IF(#REF!=AT$2,IF(#REF!=$Y$2,#REF!*ore_invest)) + IF(#REF!=AT$2,IF(#REF!=$Y$2,#REF!*ore_invest))</f>
        <v>#REF!</v>
      </c>
      <c r="AU114" s="57" t="e">
        <f>IF(#REF!=AU$2,IF(#REF!=$Y$2,#REF!*gem_invest)) + IF(#REF!=AU$2,IF(#REF!=$Y$2,#REF!*gem_invest)) + IF(#REF!=AU$2,IF(#REF!=$Y$2,#REF!*gem_invest))</f>
        <v>#REF!</v>
      </c>
      <c r="AV114" s="134"/>
      <c r="AW114" s="57" t="e">
        <f>IF(#REF!=AW$2,IF(#REF!=$Z$2,#REF!*plat_invest)) + IF(#REF!=AW$2,IF(#REF!=$Z$2,#REF!*plat_invest)) + IF(#REF!=AW$2,IF(#REF!=$Z$2,#REF!*plat_invest))</f>
        <v>#REF!</v>
      </c>
      <c r="AX114" s="57" t="e">
        <f>IF(#REF!=AX$2,IF(#REF!=$Z$2,#REF!*lumber_invest)) + IF(#REF!=AX$2,IF(#REF!=$Z$2,#REF!*lumber_invest)) + IF(#REF!=AX$2,IF(#REF!=$Z$2,#REF!*lumber_invest))</f>
        <v>#REF!</v>
      </c>
      <c r="AY114" s="57" t="e">
        <f>IF(#REF!=AY$2,IF(#REF!=$Z$2,#REF!*ore_invest)) + IF(#REF!=AY$2,IF(#REF!=$Z$2,#REF!*ore_invest)) + IF(#REF!=AY$2,IF(#REF!=$Z$2,#REF!*ore_invest))</f>
        <v>#REF!</v>
      </c>
      <c r="AZ114" s="57" t="e">
        <f>IF(#REF!=AZ$2,IF(#REF!=$Z$2,#REF!*gem_invest)) + IF(#REF!=AZ$2,IF(#REF!=$Z$2,#REF!*gem_invest)) + IF(#REF!=AZ$2,IF(#REF!=$Z$2,#REF!*gem_invest))</f>
        <v>#REF!</v>
      </c>
      <c r="BA114" s="134"/>
      <c r="BB114" s="57" t="e">
        <f>IF(#REF!=BB$2,IF(#REF!=$AA$2,#REF!*plat_invest)) + IF(#REF!=BB$2,IF(#REF!=$AA$2,#REF!*plat_invest)) + IF(#REF!=BB$2,IF(#REF!=$AA$2,#REF!*plat_invest))</f>
        <v>#REF!</v>
      </c>
      <c r="BC114" s="57" t="e">
        <f>IF(#REF!=BC$2,IF(#REF!=$AA$2,#REF!*lumber_invest)) + IF(#REF!=BC$2,IF(#REF!=$AA$2,#REF!*lumber_invest)) + IF(#REF!=BC$2,IF(#REF!=$AA$2,#REF!*lumber_invest))</f>
        <v>#REF!</v>
      </c>
      <c r="BD114" s="57" t="e">
        <f>IF(#REF!=BD$2,IF(#REF!=$AA$2,#REF!*ore_invest)) + IF(#REF!=BD$2,IF(#REF!=$AA$2,#REF!*ore_invest)) + IF(#REF!=BD$2,IF(#REF!=$AA$2,#REF!*ore_invest))</f>
        <v>#REF!</v>
      </c>
      <c r="BE114" s="57" t="e">
        <f>IF(#REF!=BE$2,IF(#REF!=$AA$2,#REF!*gem_invest)) + IF(#REF!=BE$2,IF(#REF!=$AA$2,#REF!*gem_invest)) + IF(#REF!=BE$2,IF(#REF!=$AA$2,#REF!*gem_invest))</f>
        <v>#REF!</v>
      </c>
      <c r="BF114" s="134"/>
      <c r="BG114" s="57" t="e">
        <f>IF(#REF!=BG$2,IF(#REF!=$AB$2,#REF!*plat_invest)) + IF(#REF!=BG$2,IF(#REF!=$AB$2,#REF!*plat_invest)) + IF(#REF!=BG$2,IF(#REF!=$AB$2,#REF!*plat_invest))</f>
        <v>#REF!</v>
      </c>
      <c r="BH114" s="57" t="e">
        <f>IF(#REF!=BH$2,IF(#REF!=$AB$2,#REF!*lumber_invest)) + IF(#REF!=BH$2,IF(#REF!=$AB$2,#REF!*lumber_invest)) + IF(#REF!=BH$2,IF(#REF!=$AB$2,#REF!*lumber_invest))</f>
        <v>#REF!</v>
      </c>
      <c r="BI114" s="57" t="e">
        <f>IF(#REF!=BI$2,IF(#REF!=$AB$2,#REF!*ore_invest)) + IF(#REF!=BI$2,IF(#REF!=$AB$2,#REF!*ore_invest)) + IF(#REF!=BI$2,IF(#REF!=$AB$2,#REF!*ore_invest))</f>
        <v>#REF!</v>
      </c>
      <c r="BJ114" s="57" t="e">
        <f>IF(#REF!=BJ$2,IF(#REF!=$AB$2,#REF!*gem_invest)) + IF(#REF!=BJ$2,IF(#REF!=$AB$2,#REF!*gem_invest)) + IF(#REF!=BJ$2,IF(#REF!=$AB$2,#REF!*gem_invest))</f>
        <v>#REF!</v>
      </c>
      <c r="BK114" s="134"/>
      <c r="BL114" s="57" t="e">
        <f>IF(#REF!=BL$2,IF(#REF!=$AC$2,#REF!*plat_invest)) + IF(#REF!=BL$2,IF(#REF!=$AC$2,#REF!*plat_invest)) + IF(#REF!=BL$2,IF(#REF!=$AC$2,#REF!*plat_invest))</f>
        <v>#REF!</v>
      </c>
      <c r="BM114" s="57" t="e">
        <f>IF(#REF!=BM$2,IF(#REF!=$AC$2,#REF!*lumber_invest)) + IF(#REF!=BM$2,IF(#REF!=$AC$2,#REF!*lumber_invest)) + IF(#REF!=BM$2,IF(#REF!=$AC$2,#REF!*lumber_invest))</f>
        <v>#REF!</v>
      </c>
      <c r="BN114" s="57" t="e">
        <f>IF(#REF!=BN$2,IF(#REF!=$AC$2,#REF!*ore_invest)) + IF(#REF!=BN$2,IF(#REF!=$AC$2,#REF!*ore_invest)) + IF(#REF!=BN$2,IF(#REF!=$AC$2,#REF!*ore_invest))</f>
        <v>#REF!</v>
      </c>
      <c r="BO114" s="57" t="e">
        <f>IF(#REF!=BO$2,IF(#REF!=$AC$2,#REF!*gem_invest)) + IF(#REF!=BO$2,IF(#REF!=$AC$2,#REF!*gem_invest)) + IF(#REF!=BO$2,IF(#REF!=$AC$2,#REF!*gem_invest))</f>
        <v>#REF!</v>
      </c>
      <c r="BP114" s="134"/>
      <c r="BQ114" s="57" t="e">
        <f>IF(#REF!=BQ$2,IF(#REF!=$AD$2,#REF!*plat_invest)) + IF(#REF!=BQ$2,IF(#REF!=$AD$2,#REF!*plat_invest)) + IF(#REF!=BQ$2,IF(#REF!=$AD$2,#REF!*plat_invest))</f>
        <v>#REF!</v>
      </c>
      <c r="BR114" s="57" t="e">
        <f>IF(#REF!=BR$2,IF(#REF!=$AD$2,#REF!*lumber_invest)) + IF(#REF!=BR$2,IF(#REF!=$AD$2,#REF!*lumber_invest)) + IF(#REF!=BR$2,IF(#REF!=$AD$2,#REF!*lumber_invest))</f>
        <v>#REF!</v>
      </c>
      <c r="BS114" s="57" t="e">
        <f>IF(#REF!=BS$2,IF(#REF!=$AD$2,#REF!*ore_invest)) + IF(#REF!=BS$2,IF(#REF!=$AD$2,#REF!*ore_invest)) + IF(#REF!=BS$2,IF(#REF!=$AD$2,#REF!*ore_invest))</f>
        <v>#REF!</v>
      </c>
      <c r="BT114" s="57" t="e">
        <f>IF(#REF!=BT$2,IF(#REF!=$AD$2,#REF!*gem_invest)) + IF(#REF!=BT$2,IF(#REF!=$AD$2,#REF!*gem_invest)) + IF(#REF!=BT$2,IF(#REF!=$AD$2,#REF!*gem_invest))</f>
        <v>#REF!</v>
      </c>
      <c r="BU114" s="134"/>
      <c r="BV114" s="3" t="e">
        <f>OR(#REF!,#REF!,#REF!,#REF!,#REF!,#REF!,#REF!,#REF!,#REF!)</f>
        <v>#REF!</v>
      </c>
      <c r="BW114" s="61" t="e">
        <f>#REF!</f>
        <v>#REF!</v>
      </c>
      <c r="BX114" s="130"/>
      <c r="BY114" s="284" t="e">
        <f ca="1">OFFSET(#REF!,-1,0)+1/24</f>
        <v>#REF!</v>
      </c>
      <c r="BZ114" s="285" t="e">
        <f ca="1">OFFSET(#REF!,-1,0)+1/24</f>
        <v>#REF!</v>
      </c>
      <c r="CA114" s="288"/>
      <c r="CB114" s="283"/>
      <c r="CC114" s="283"/>
    </row>
    <row r="115" spans="1:81" x14ac:dyDescent="0.25">
      <c r="A115" s="206" t="e">
        <f>#REF!</f>
        <v>#REF!</v>
      </c>
      <c r="B115" s="134"/>
      <c r="C115" s="39" t="e">
        <f>#REF!</f>
        <v>#REF!</v>
      </c>
      <c r="D115" s="39" t="e">
        <f>#REF!</f>
        <v>#REF!</v>
      </c>
      <c r="E115" s="39" t="e">
        <f>#REF!</f>
        <v>#REF!</v>
      </c>
      <c r="F115" s="39" t="e">
        <f>#REF!</f>
        <v>#REF!</v>
      </c>
      <c r="G115" s="133"/>
      <c r="H115" s="39" t="e">
        <f>#REF!</f>
        <v>#REF!</v>
      </c>
      <c r="I115" s="132" t="e">
        <f>#REF!</f>
        <v>#REF!</v>
      </c>
      <c r="J115" s="132" t="e">
        <f>#REF!/#REF!</f>
        <v>#REF!</v>
      </c>
      <c r="K115" s="160" t="e">
        <f>#REF!</f>
        <v>#REF!</v>
      </c>
      <c r="L115" s="276" t="e">
        <f>#REF!</f>
        <v>#REF!</v>
      </c>
      <c r="M115" s="61">
        <f>IF(ISERROR(#REF!),0,#REF!*1)</f>
        <v>0</v>
      </c>
      <c r="N115" s="39" t="e">
        <f>#REF!</f>
        <v>#REF!</v>
      </c>
      <c r="O115" s="277" t="s">
        <v>4</v>
      </c>
      <c r="P115" s="278"/>
      <c r="Q115" s="277" t="s">
        <v>211</v>
      </c>
      <c r="R115" s="277" t="s">
        <v>7</v>
      </c>
      <c r="S115" s="278"/>
      <c r="T115" s="277" t="s">
        <v>211</v>
      </c>
      <c r="U115" s="277" t="s">
        <v>3</v>
      </c>
      <c r="V115" s="278"/>
      <c r="W115" s="277" t="s">
        <v>211</v>
      </c>
      <c r="X115" s="134"/>
      <c r="Y115" s="209" t="e">
        <f ca="1">science_cap*(1-EXP(-#REF!/(science_param*(OFFSET(#REF!,1,0)-OFFSET(#REF!,1,0)*20)+15000)))*(1+(mason_bonus*#REF!/#REF!))</f>
        <v>#REF!</v>
      </c>
      <c r="Z115" s="209" t="e">
        <f ca="1">keep_cap*(1-EXP(-#REF!/(keep_param*(OFFSET(#REF!,1,0)-OFFSET(#REF!,1,0)*20)+15000)))*(1+(mason_bonus*#REF!/#REF!))</f>
        <v>#REF!</v>
      </c>
      <c r="AA115" s="209" t="e">
        <f ca="1">harbor_towers_cap*(1-EXP(-#REF!/(towers_param*(OFFSET(#REF!,1,0)-OFFSET(#REF!,1,0)*20)+15000)))*(1+(mason_bonus*#REF!/#REF!))</f>
        <v>#REF!</v>
      </c>
      <c r="AB115" s="209" t="e">
        <f ca="1">walls_forges_cap*(1-EXP(-#REF!/(walls_forges_param*(OFFSET(#REF!,1,0)-OFFSET(#REF!,1,0)*20)+15000)))*(1+(mason_bonus*#REF!/#REF!))</f>
        <v>#REF!</v>
      </c>
      <c r="AC115" s="209" t="e">
        <f ca="1">walls_forges_cap*(1-EXP(-#REF!/(walls_forges_param*(OFFSET(#REF!,1,0)-OFFSET(#REF!,1,0)*20)+15000)))*(1+(mason_bonus*#REF!/#REF!))</f>
        <v>#REF!</v>
      </c>
      <c r="AD115" s="209" t="e">
        <f ca="1">harbor_towers_cap*(1-EXP(-#REF!/(harbor_towers_param*(OFFSET(#REF!,1,0)-OFFSET(#REF!,1,0)*20)+15000)))*(1+(mason_bonus*#REF!/#REF!))</f>
        <v>#REF!</v>
      </c>
      <c r="AE115" s="134"/>
      <c r="AF115" s="61" t="e">
        <f ca="1">(1+Overview!$I$28)*SUM(#REF!)+OFFSET(#REF!,-1,0)</f>
        <v>#REF!</v>
      </c>
      <c r="AG115" s="61" t="e">
        <f ca="1">(1+Overview!$I$28)*SUM(#REF!)+OFFSET(#REF!,-1,0)</f>
        <v>#REF!</v>
      </c>
      <c r="AH115" s="61" t="e">
        <f ca="1">(1+Overview!$I$28 + tech_7_1*#REF!)*SUM(#REF!)+OFFSET(#REF!,-1,0)</f>
        <v>#REF!</v>
      </c>
      <c r="AI115" s="61" t="e">
        <f ca="1">(1+Overview!$I$28)*SUM(#REF!)+OFFSET(#REF!,-1,0)</f>
        <v>#REF!</v>
      </c>
      <c r="AJ115" s="61" t="e">
        <f ca="1">(1+Overview!$I$28)*SUM(#REF!)+OFFSET(#REF!,-1,0)</f>
        <v>#REF!</v>
      </c>
      <c r="AK115" s="61" t="e">
        <f ca="1">(1+Overview!$I$28 + tech_7_1*#REF!)*SUM(#REF!)+OFFSET(#REF!,-1,0)</f>
        <v>#REF!</v>
      </c>
      <c r="AL115" s="134"/>
      <c r="AM115" s="57" t="e">
        <f>IF(AND(#REF!=AM$2,#REF!&lt;&gt;""),#REF!) + IF(AND(#REF!=AM$2,#REF!&lt;&gt;""),#REF!) + IF(AND(#REF!=AM$2,#REF!&lt;&gt;""),#REF!)</f>
        <v>#REF!</v>
      </c>
      <c r="AN115" s="57" t="e">
        <f>IF(AND(#REF!=AN$2,#REF!&lt;&gt;""),#REF!) + IF(AND(#REF!=AN$2,#REF!&lt;&gt;""),#REF!) + IF(AND(#REF!=AN$2,#REF!&lt;&gt;""),#REF!)</f>
        <v>#REF!</v>
      </c>
      <c r="AO115" s="57" t="e">
        <f>IF(AND(#REF!=AO$2,#REF!&lt;&gt;""),#REF!) + IF(AND(#REF!=AO$2,#REF!&lt;&gt;""),#REF!) + IF(AND(#REF!=AO$2,#REF!&lt;&gt;""),#REF!)</f>
        <v>#REF!</v>
      </c>
      <c r="AP115" s="57" t="e">
        <f>IF(AND(#REF!=AP$2,#REF!&lt;&gt;""),#REF!) + IF(AND(#REF!=AP$2,#REF!&lt;&gt;""),#REF!) + IF(AND(#REF!=AP$2,#REF!&lt;&gt;""),#REF!)</f>
        <v>#REF!</v>
      </c>
      <c r="AQ115" s="134"/>
      <c r="AR115" s="57" t="e">
        <f>IF(#REF!=AR$2,IF(#REF!=$Y$2,#REF!*plat_invest)) + IF(#REF!=AR$2,IF(#REF!=$Y$2,#REF!*plat_invest)) + IF(#REF!=AR$2,IF(#REF!=$Y$2,#REF!*plat_invest))</f>
        <v>#REF!</v>
      </c>
      <c r="AS115" s="57" t="e">
        <f>IF(#REF!=AS$2,IF(#REF!=$Y$2,#REF!*lumber_invest)) + IF(#REF!=AS$2,IF(#REF!=$Y$2,#REF!*lumber_invest)) + IF(#REF!=AS$2,IF(#REF!=$Y$2,#REF!*lumber_invest))</f>
        <v>#REF!</v>
      </c>
      <c r="AT115" s="57" t="e">
        <f>IF(#REF!=AT$2,IF(#REF!=$Y$2,#REF!*ore_invest)) + IF(#REF!=AT$2,IF(#REF!=$Y$2,#REF!*ore_invest)) + IF(#REF!=AT$2,IF(#REF!=$Y$2,#REF!*ore_invest))</f>
        <v>#REF!</v>
      </c>
      <c r="AU115" s="57" t="e">
        <f>IF(#REF!=AU$2,IF(#REF!=$Y$2,#REF!*gem_invest)) + IF(#REF!=AU$2,IF(#REF!=$Y$2,#REF!*gem_invest)) + IF(#REF!=AU$2,IF(#REF!=$Y$2,#REF!*gem_invest))</f>
        <v>#REF!</v>
      </c>
      <c r="AV115" s="134"/>
      <c r="AW115" s="57" t="e">
        <f>IF(#REF!=AW$2,IF(#REF!=$Z$2,#REF!*plat_invest)) + IF(#REF!=AW$2,IF(#REF!=$Z$2,#REF!*plat_invest)) + IF(#REF!=AW$2,IF(#REF!=$Z$2,#REF!*plat_invest))</f>
        <v>#REF!</v>
      </c>
      <c r="AX115" s="57" t="e">
        <f>IF(#REF!=AX$2,IF(#REF!=$Z$2,#REF!*lumber_invest)) + IF(#REF!=AX$2,IF(#REF!=$Z$2,#REF!*lumber_invest)) + IF(#REF!=AX$2,IF(#REF!=$Z$2,#REF!*lumber_invest))</f>
        <v>#REF!</v>
      </c>
      <c r="AY115" s="57" t="e">
        <f>IF(#REF!=AY$2,IF(#REF!=$Z$2,#REF!*ore_invest)) + IF(#REF!=AY$2,IF(#REF!=$Z$2,#REF!*ore_invest)) + IF(#REF!=AY$2,IF(#REF!=$Z$2,#REF!*ore_invest))</f>
        <v>#REF!</v>
      </c>
      <c r="AZ115" s="57" t="e">
        <f>IF(#REF!=AZ$2,IF(#REF!=$Z$2,#REF!*gem_invest)) + IF(#REF!=AZ$2,IF(#REF!=$Z$2,#REF!*gem_invest)) + IF(#REF!=AZ$2,IF(#REF!=$Z$2,#REF!*gem_invest))</f>
        <v>#REF!</v>
      </c>
      <c r="BA115" s="134"/>
      <c r="BB115" s="57" t="e">
        <f>IF(#REF!=BB$2,IF(#REF!=$AA$2,#REF!*plat_invest)) + IF(#REF!=BB$2,IF(#REF!=$AA$2,#REF!*plat_invest)) + IF(#REF!=BB$2,IF(#REF!=$AA$2,#REF!*plat_invest))</f>
        <v>#REF!</v>
      </c>
      <c r="BC115" s="57" t="e">
        <f>IF(#REF!=BC$2,IF(#REF!=$AA$2,#REF!*lumber_invest)) + IF(#REF!=BC$2,IF(#REF!=$AA$2,#REF!*lumber_invest)) + IF(#REF!=BC$2,IF(#REF!=$AA$2,#REF!*lumber_invest))</f>
        <v>#REF!</v>
      </c>
      <c r="BD115" s="57" t="e">
        <f>IF(#REF!=BD$2,IF(#REF!=$AA$2,#REF!*ore_invest)) + IF(#REF!=BD$2,IF(#REF!=$AA$2,#REF!*ore_invest)) + IF(#REF!=BD$2,IF(#REF!=$AA$2,#REF!*ore_invest))</f>
        <v>#REF!</v>
      </c>
      <c r="BE115" s="57" t="e">
        <f>IF(#REF!=BE$2,IF(#REF!=$AA$2,#REF!*gem_invest)) + IF(#REF!=BE$2,IF(#REF!=$AA$2,#REF!*gem_invest)) + IF(#REF!=BE$2,IF(#REF!=$AA$2,#REF!*gem_invest))</f>
        <v>#REF!</v>
      </c>
      <c r="BF115" s="134"/>
      <c r="BG115" s="57" t="e">
        <f>IF(#REF!=BG$2,IF(#REF!=$AB$2,#REF!*plat_invest)) + IF(#REF!=BG$2,IF(#REF!=$AB$2,#REF!*plat_invest)) + IF(#REF!=BG$2,IF(#REF!=$AB$2,#REF!*plat_invest))</f>
        <v>#REF!</v>
      </c>
      <c r="BH115" s="57" t="e">
        <f>IF(#REF!=BH$2,IF(#REF!=$AB$2,#REF!*lumber_invest)) + IF(#REF!=BH$2,IF(#REF!=$AB$2,#REF!*lumber_invest)) + IF(#REF!=BH$2,IF(#REF!=$AB$2,#REF!*lumber_invest))</f>
        <v>#REF!</v>
      </c>
      <c r="BI115" s="57" t="e">
        <f>IF(#REF!=BI$2,IF(#REF!=$AB$2,#REF!*ore_invest)) + IF(#REF!=BI$2,IF(#REF!=$AB$2,#REF!*ore_invest)) + IF(#REF!=BI$2,IF(#REF!=$AB$2,#REF!*ore_invest))</f>
        <v>#REF!</v>
      </c>
      <c r="BJ115" s="57" t="e">
        <f>IF(#REF!=BJ$2,IF(#REF!=$AB$2,#REF!*gem_invest)) + IF(#REF!=BJ$2,IF(#REF!=$AB$2,#REF!*gem_invest)) + IF(#REF!=BJ$2,IF(#REF!=$AB$2,#REF!*gem_invest))</f>
        <v>#REF!</v>
      </c>
      <c r="BK115" s="134"/>
      <c r="BL115" s="57" t="e">
        <f>IF(#REF!=BL$2,IF(#REF!=$AC$2,#REF!*plat_invest)) + IF(#REF!=BL$2,IF(#REF!=$AC$2,#REF!*plat_invest)) + IF(#REF!=BL$2,IF(#REF!=$AC$2,#REF!*plat_invest))</f>
        <v>#REF!</v>
      </c>
      <c r="BM115" s="57" t="e">
        <f>IF(#REF!=BM$2,IF(#REF!=$AC$2,#REF!*lumber_invest)) + IF(#REF!=BM$2,IF(#REF!=$AC$2,#REF!*lumber_invest)) + IF(#REF!=BM$2,IF(#REF!=$AC$2,#REF!*lumber_invest))</f>
        <v>#REF!</v>
      </c>
      <c r="BN115" s="57" t="e">
        <f>IF(#REF!=BN$2,IF(#REF!=$AC$2,#REF!*ore_invest)) + IF(#REF!=BN$2,IF(#REF!=$AC$2,#REF!*ore_invest)) + IF(#REF!=BN$2,IF(#REF!=$AC$2,#REF!*ore_invest))</f>
        <v>#REF!</v>
      </c>
      <c r="BO115" s="57" t="e">
        <f>IF(#REF!=BO$2,IF(#REF!=$AC$2,#REF!*gem_invest)) + IF(#REF!=BO$2,IF(#REF!=$AC$2,#REF!*gem_invest)) + IF(#REF!=BO$2,IF(#REF!=$AC$2,#REF!*gem_invest))</f>
        <v>#REF!</v>
      </c>
      <c r="BP115" s="134"/>
      <c r="BQ115" s="57" t="e">
        <f>IF(#REF!=BQ$2,IF(#REF!=$AD$2,#REF!*plat_invest)) + IF(#REF!=BQ$2,IF(#REF!=$AD$2,#REF!*plat_invest)) + IF(#REF!=BQ$2,IF(#REF!=$AD$2,#REF!*plat_invest))</f>
        <v>#REF!</v>
      </c>
      <c r="BR115" s="57" t="e">
        <f>IF(#REF!=BR$2,IF(#REF!=$AD$2,#REF!*lumber_invest)) + IF(#REF!=BR$2,IF(#REF!=$AD$2,#REF!*lumber_invest)) + IF(#REF!=BR$2,IF(#REF!=$AD$2,#REF!*lumber_invest))</f>
        <v>#REF!</v>
      </c>
      <c r="BS115" s="57" t="e">
        <f>IF(#REF!=BS$2,IF(#REF!=$AD$2,#REF!*ore_invest)) + IF(#REF!=BS$2,IF(#REF!=$AD$2,#REF!*ore_invest)) + IF(#REF!=BS$2,IF(#REF!=$AD$2,#REF!*ore_invest))</f>
        <v>#REF!</v>
      </c>
      <c r="BT115" s="57" t="e">
        <f>IF(#REF!=BT$2,IF(#REF!=$AD$2,#REF!*gem_invest)) + IF(#REF!=BT$2,IF(#REF!=$AD$2,#REF!*gem_invest)) + IF(#REF!=BT$2,IF(#REF!=$AD$2,#REF!*gem_invest))</f>
        <v>#REF!</v>
      </c>
      <c r="BU115" s="134"/>
      <c r="BV115" s="3" t="e">
        <f>OR(#REF!,#REF!,#REF!,#REF!,#REF!,#REF!,#REF!,#REF!,#REF!)</f>
        <v>#REF!</v>
      </c>
      <c r="BW115" s="61" t="e">
        <f>#REF!</f>
        <v>#REF!</v>
      </c>
      <c r="BX115" s="130"/>
      <c r="BY115" s="284" t="e">
        <f ca="1">OFFSET(#REF!,-1,0)+1/24</f>
        <v>#REF!</v>
      </c>
      <c r="BZ115" s="285" t="e">
        <f ca="1">OFFSET(#REF!,-1,0)+1/24</f>
        <v>#REF!</v>
      </c>
      <c r="CA115" s="57"/>
      <c r="CB115" s="283"/>
      <c r="CC115" s="283"/>
    </row>
    <row r="116" spans="1:81" x14ac:dyDescent="0.25">
      <c r="A116" s="206" t="e">
        <f>#REF!</f>
        <v>#REF!</v>
      </c>
      <c r="B116" s="134"/>
      <c r="C116" s="39" t="e">
        <f>#REF!</f>
        <v>#REF!</v>
      </c>
      <c r="D116" s="39" t="e">
        <f>#REF!</f>
        <v>#REF!</v>
      </c>
      <c r="E116" s="39" t="e">
        <f>#REF!</f>
        <v>#REF!</v>
      </c>
      <c r="F116" s="39" t="e">
        <f>#REF!</f>
        <v>#REF!</v>
      </c>
      <c r="G116" s="133"/>
      <c r="H116" s="39" t="e">
        <f>#REF!</f>
        <v>#REF!</v>
      </c>
      <c r="I116" s="132" t="e">
        <f>#REF!</f>
        <v>#REF!</v>
      </c>
      <c r="J116" s="132" t="e">
        <f>#REF!/#REF!</f>
        <v>#REF!</v>
      </c>
      <c r="K116" s="160" t="e">
        <f>#REF!</f>
        <v>#REF!</v>
      </c>
      <c r="L116" s="276" t="e">
        <f>#REF!</f>
        <v>#REF!</v>
      </c>
      <c r="M116" s="61">
        <f>IF(ISERROR(#REF!),0,#REF!*1)</f>
        <v>0</v>
      </c>
      <c r="N116" s="39" t="e">
        <f>#REF!</f>
        <v>#REF!</v>
      </c>
      <c r="O116" s="277" t="s">
        <v>4</v>
      </c>
      <c r="P116" s="278"/>
      <c r="Q116" s="277" t="s">
        <v>211</v>
      </c>
      <c r="R116" s="277" t="s">
        <v>7</v>
      </c>
      <c r="S116" s="278"/>
      <c r="T116" s="277" t="s">
        <v>211</v>
      </c>
      <c r="U116" s="277" t="s">
        <v>3</v>
      </c>
      <c r="V116" s="278"/>
      <c r="W116" s="277" t="s">
        <v>211</v>
      </c>
      <c r="X116" s="134"/>
      <c r="Y116" s="209" t="e">
        <f ca="1">science_cap*(1-EXP(-#REF!/(science_param*(OFFSET(#REF!,1,0)-OFFSET(#REF!,1,0)*20)+15000)))*(1+(mason_bonus*#REF!/#REF!))</f>
        <v>#REF!</v>
      </c>
      <c r="Z116" s="209" t="e">
        <f ca="1">keep_cap*(1-EXP(-#REF!/(keep_param*(OFFSET(#REF!,1,0)-OFFSET(#REF!,1,0)*20)+15000)))*(1+(mason_bonus*#REF!/#REF!))</f>
        <v>#REF!</v>
      </c>
      <c r="AA116" s="209" t="e">
        <f ca="1">harbor_towers_cap*(1-EXP(-#REF!/(towers_param*(OFFSET(#REF!,1,0)-OFFSET(#REF!,1,0)*20)+15000)))*(1+(mason_bonus*#REF!/#REF!))</f>
        <v>#REF!</v>
      </c>
      <c r="AB116" s="209" t="e">
        <f ca="1">walls_forges_cap*(1-EXP(-#REF!/(walls_forges_param*(OFFSET(#REF!,1,0)-OFFSET(#REF!,1,0)*20)+15000)))*(1+(mason_bonus*#REF!/#REF!))</f>
        <v>#REF!</v>
      </c>
      <c r="AC116" s="209" t="e">
        <f ca="1">walls_forges_cap*(1-EXP(-#REF!/(walls_forges_param*(OFFSET(#REF!,1,0)-OFFSET(#REF!,1,0)*20)+15000)))*(1+(mason_bonus*#REF!/#REF!))</f>
        <v>#REF!</v>
      </c>
      <c r="AD116" s="209" t="e">
        <f ca="1">harbor_towers_cap*(1-EXP(-#REF!/(harbor_towers_param*(OFFSET(#REF!,1,0)-OFFSET(#REF!,1,0)*20)+15000)))*(1+(mason_bonus*#REF!/#REF!))</f>
        <v>#REF!</v>
      </c>
      <c r="AE116" s="134"/>
      <c r="AF116" s="61" t="e">
        <f ca="1">(1+Overview!$I$28)*SUM(#REF!)+OFFSET(#REF!,-1,0)</f>
        <v>#REF!</v>
      </c>
      <c r="AG116" s="61" t="e">
        <f ca="1">(1+Overview!$I$28)*SUM(#REF!)+OFFSET(#REF!,-1,0)</f>
        <v>#REF!</v>
      </c>
      <c r="AH116" s="61" t="e">
        <f ca="1">(1+Overview!$I$28 + tech_7_1*#REF!)*SUM(#REF!)+OFFSET(#REF!,-1,0)</f>
        <v>#REF!</v>
      </c>
      <c r="AI116" s="61" t="e">
        <f ca="1">(1+Overview!$I$28)*SUM(#REF!)+OFFSET(#REF!,-1,0)</f>
        <v>#REF!</v>
      </c>
      <c r="AJ116" s="61" t="e">
        <f ca="1">(1+Overview!$I$28)*SUM(#REF!)+OFFSET(#REF!,-1,0)</f>
        <v>#REF!</v>
      </c>
      <c r="AK116" s="61" t="e">
        <f ca="1">(1+Overview!$I$28 + tech_7_1*#REF!)*SUM(#REF!)+OFFSET(#REF!,-1,0)</f>
        <v>#REF!</v>
      </c>
      <c r="AL116" s="134"/>
      <c r="AM116" s="57" t="e">
        <f>IF(AND(#REF!=AM$2,#REF!&lt;&gt;""),#REF!) + IF(AND(#REF!=AM$2,#REF!&lt;&gt;""),#REF!) + IF(AND(#REF!=AM$2,#REF!&lt;&gt;""),#REF!)</f>
        <v>#REF!</v>
      </c>
      <c r="AN116" s="57" t="e">
        <f>IF(AND(#REF!=AN$2,#REF!&lt;&gt;""),#REF!) + IF(AND(#REF!=AN$2,#REF!&lt;&gt;""),#REF!) + IF(AND(#REF!=AN$2,#REF!&lt;&gt;""),#REF!)</f>
        <v>#REF!</v>
      </c>
      <c r="AO116" s="57" t="e">
        <f>IF(AND(#REF!=AO$2,#REF!&lt;&gt;""),#REF!) + IF(AND(#REF!=AO$2,#REF!&lt;&gt;""),#REF!) + IF(AND(#REF!=AO$2,#REF!&lt;&gt;""),#REF!)</f>
        <v>#REF!</v>
      </c>
      <c r="AP116" s="57" t="e">
        <f>IF(AND(#REF!=AP$2,#REF!&lt;&gt;""),#REF!) + IF(AND(#REF!=AP$2,#REF!&lt;&gt;""),#REF!) + IF(AND(#REF!=AP$2,#REF!&lt;&gt;""),#REF!)</f>
        <v>#REF!</v>
      </c>
      <c r="AQ116" s="134"/>
      <c r="AR116" s="57" t="e">
        <f>IF(#REF!=AR$2,IF(#REF!=$Y$2,#REF!*plat_invest)) + IF(#REF!=AR$2,IF(#REF!=$Y$2,#REF!*plat_invest)) + IF(#REF!=AR$2,IF(#REF!=$Y$2,#REF!*plat_invest))</f>
        <v>#REF!</v>
      </c>
      <c r="AS116" s="57" t="e">
        <f>IF(#REF!=AS$2,IF(#REF!=$Y$2,#REF!*lumber_invest)) + IF(#REF!=AS$2,IF(#REF!=$Y$2,#REF!*lumber_invest)) + IF(#REF!=AS$2,IF(#REF!=$Y$2,#REF!*lumber_invest))</f>
        <v>#REF!</v>
      </c>
      <c r="AT116" s="57" t="e">
        <f>IF(#REF!=AT$2,IF(#REF!=$Y$2,#REF!*ore_invest)) + IF(#REF!=AT$2,IF(#REF!=$Y$2,#REF!*ore_invest)) + IF(#REF!=AT$2,IF(#REF!=$Y$2,#REF!*ore_invest))</f>
        <v>#REF!</v>
      </c>
      <c r="AU116" s="57" t="e">
        <f>IF(#REF!=AU$2,IF(#REF!=$Y$2,#REF!*gem_invest)) + IF(#REF!=AU$2,IF(#REF!=$Y$2,#REF!*gem_invest)) + IF(#REF!=AU$2,IF(#REF!=$Y$2,#REF!*gem_invest))</f>
        <v>#REF!</v>
      </c>
      <c r="AV116" s="134"/>
      <c r="AW116" s="57" t="e">
        <f>IF(#REF!=AW$2,IF(#REF!=$Z$2,#REF!*plat_invest)) + IF(#REF!=AW$2,IF(#REF!=$Z$2,#REF!*plat_invest)) + IF(#REF!=AW$2,IF(#REF!=$Z$2,#REF!*plat_invest))</f>
        <v>#REF!</v>
      </c>
      <c r="AX116" s="57" t="e">
        <f>IF(#REF!=AX$2,IF(#REF!=$Z$2,#REF!*lumber_invest)) + IF(#REF!=AX$2,IF(#REF!=$Z$2,#REF!*lumber_invest)) + IF(#REF!=AX$2,IF(#REF!=$Z$2,#REF!*lumber_invest))</f>
        <v>#REF!</v>
      </c>
      <c r="AY116" s="57" t="e">
        <f>IF(#REF!=AY$2,IF(#REF!=$Z$2,#REF!*ore_invest)) + IF(#REF!=AY$2,IF(#REF!=$Z$2,#REF!*ore_invest)) + IF(#REF!=AY$2,IF(#REF!=$Z$2,#REF!*ore_invest))</f>
        <v>#REF!</v>
      </c>
      <c r="AZ116" s="57" t="e">
        <f>IF(#REF!=AZ$2,IF(#REF!=$Z$2,#REF!*gem_invest)) + IF(#REF!=AZ$2,IF(#REF!=$Z$2,#REF!*gem_invest)) + IF(#REF!=AZ$2,IF(#REF!=$Z$2,#REF!*gem_invest))</f>
        <v>#REF!</v>
      </c>
      <c r="BA116" s="134"/>
      <c r="BB116" s="57" t="e">
        <f>IF(#REF!=BB$2,IF(#REF!=$AA$2,#REF!*plat_invest)) + IF(#REF!=BB$2,IF(#REF!=$AA$2,#REF!*plat_invest)) + IF(#REF!=BB$2,IF(#REF!=$AA$2,#REF!*plat_invest))</f>
        <v>#REF!</v>
      </c>
      <c r="BC116" s="57" t="e">
        <f>IF(#REF!=BC$2,IF(#REF!=$AA$2,#REF!*lumber_invest)) + IF(#REF!=BC$2,IF(#REF!=$AA$2,#REF!*lumber_invest)) + IF(#REF!=BC$2,IF(#REF!=$AA$2,#REF!*lumber_invest))</f>
        <v>#REF!</v>
      </c>
      <c r="BD116" s="57" t="e">
        <f>IF(#REF!=BD$2,IF(#REF!=$AA$2,#REF!*ore_invest)) + IF(#REF!=BD$2,IF(#REF!=$AA$2,#REF!*ore_invest)) + IF(#REF!=BD$2,IF(#REF!=$AA$2,#REF!*ore_invest))</f>
        <v>#REF!</v>
      </c>
      <c r="BE116" s="57" t="e">
        <f>IF(#REF!=BE$2,IF(#REF!=$AA$2,#REF!*gem_invest)) + IF(#REF!=BE$2,IF(#REF!=$AA$2,#REF!*gem_invest)) + IF(#REF!=BE$2,IF(#REF!=$AA$2,#REF!*gem_invest))</f>
        <v>#REF!</v>
      </c>
      <c r="BF116" s="134"/>
      <c r="BG116" s="57" t="e">
        <f>IF(#REF!=BG$2,IF(#REF!=$AB$2,#REF!*plat_invest)) + IF(#REF!=BG$2,IF(#REF!=$AB$2,#REF!*plat_invest)) + IF(#REF!=BG$2,IF(#REF!=$AB$2,#REF!*plat_invest))</f>
        <v>#REF!</v>
      </c>
      <c r="BH116" s="57" t="e">
        <f>IF(#REF!=BH$2,IF(#REF!=$AB$2,#REF!*lumber_invest)) + IF(#REF!=BH$2,IF(#REF!=$AB$2,#REF!*lumber_invest)) + IF(#REF!=BH$2,IF(#REF!=$AB$2,#REF!*lumber_invest))</f>
        <v>#REF!</v>
      </c>
      <c r="BI116" s="57" t="e">
        <f>IF(#REF!=BI$2,IF(#REF!=$AB$2,#REF!*ore_invest)) + IF(#REF!=BI$2,IF(#REF!=$AB$2,#REF!*ore_invest)) + IF(#REF!=BI$2,IF(#REF!=$AB$2,#REF!*ore_invest))</f>
        <v>#REF!</v>
      </c>
      <c r="BJ116" s="57" t="e">
        <f>IF(#REF!=BJ$2,IF(#REF!=$AB$2,#REF!*gem_invest)) + IF(#REF!=BJ$2,IF(#REF!=$AB$2,#REF!*gem_invest)) + IF(#REF!=BJ$2,IF(#REF!=$AB$2,#REF!*gem_invest))</f>
        <v>#REF!</v>
      </c>
      <c r="BK116" s="134"/>
      <c r="BL116" s="57" t="e">
        <f>IF(#REF!=BL$2,IF(#REF!=$AC$2,#REF!*plat_invest)) + IF(#REF!=BL$2,IF(#REF!=$AC$2,#REF!*plat_invest)) + IF(#REF!=BL$2,IF(#REF!=$AC$2,#REF!*plat_invest))</f>
        <v>#REF!</v>
      </c>
      <c r="BM116" s="57" t="e">
        <f>IF(#REF!=BM$2,IF(#REF!=$AC$2,#REF!*lumber_invest)) + IF(#REF!=BM$2,IF(#REF!=$AC$2,#REF!*lumber_invest)) + IF(#REF!=BM$2,IF(#REF!=$AC$2,#REF!*lumber_invest))</f>
        <v>#REF!</v>
      </c>
      <c r="BN116" s="57" t="e">
        <f>IF(#REF!=BN$2,IF(#REF!=$AC$2,#REF!*ore_invest)) + IF(#REF!=BN$2,IF(#REF!=$AC$2,#REF!*ore_invest)) + IF(#REF!=BN$2,IF(#REF!=$AC$2,#REF!*ore_invest))</f>
        <v>#REF!</v>
      </c>
      <c r="BO116" s="57" t="e">
        <f>IF(#REF!=BO$2,IF(#REF!=$AC$2,#REF!*gem_invest)) + IF(#REF!=BO$2,IF(#REF!=$AC$2,#REF!*gem_invest)) + IF(#REF!=BO$2,IF(#REF!=$AC$2,#REF!*gem_invest))</f>
        <v>#REF!</v>
      </c>
      <c r="BP116" s="134"/>
      <c r="BQ116" s="57" t="e">
        <f>IF(#REF!=BQ$2,IF(#REF!=$AD$2,#REF!*plat_invest)) + IF(#REF!=BQ$2,IF(#REF!=$AD$2,#REF!*plat_invest)) + IF(#REF!=BQ$2,IF(#REF!=$AD$2,#REF!*plat_invest))</f>
        <v>#REF!</v>
      </c>
      <c r="BR116" s="57" t="e">
        <f>IF(#REF!=BR$2,IF(#REF!=$AD$2,#REF!*lumber_invest)) + IF(#REF!=BR$2,IF(#REF!=$AD$2,#REF!*lumber_invest)) + IF(#REF!=BR$2,IF(#REF!=$AD$2,#REF!*lumber_invest))</f>
        <v>#REF!</v>
      </c>
      <c r="BS116" s="57" t="e">
        <f>IF(#REF!=BS$2,IF(#REF!=$AD$2,#REF!*ore_invest)) + IF(#REF!=BS$2,IF(#REF!=$AD$2,#REF!*ore_invest)) + IF(#REF!=BS$2,IF(#REF!=$AD$2,#REF!*ore_invest))</f>
        <v>#REF!</v>
      </c>
      <c r="BT116" s="57" t="e">
        <f>IF(#REF!=BT$2,IF(#REF!=$AD$2,#REF!*gem_invest)) + IF(#REF!=BT$2,IF(#REF!=$AD$2,#REF!*gem_invest)) + IF(#REF!=BT$2,IF(#REF!=$AD$2,#REF!*gem_invest))</f>
        <v>#REF!</v>
      </c>
      <c r="BU116" s="134"/>
      <c r="BV116" s="3" t="e">
        <f>OR(#REF!,#REF!,#REF!,#REF!,#REF!,#REF!,#REF!,#REF!,#REF!)</f>
        <v>#REF!</v>
      </c>
      <c r="BW116" s="61" t="e">
        <f>#REF!</f>
        <v>#REF!</v>
      </c>
      <c r="BX116" s="130"/>
      <c r="BY116" s="284" t="e">
        <f ca="1">OFFSET(#REF!,-1,0)+1/24</f>
        <v>#REF!</v>
      </c>
      <c r="BZ116" s="285" t="e">
        <f ca="1">OFFSET(#REF!,-1,0)+1/24</f>
        <v>#REF!</v>
      </c>
      <c r="CA116" s="57"/>
      <c r="CB116" s="283"/>
      <c r="CC116" s="283"/>
    </row>
    <row r="117" spans="1:81" x14ac:dyDescent="0.25">
      <c r="A117" s="206" t="e">
        <f>#REF!</f>
        <v>#REF!</v>
      </c>
      <c r="B117" s="134"/>
      <c r="C117" s="39" t="e">
        <f>#REF!</f>
        <v>#REF!</v>
      </c>
      <c r="D117" s="39" t="e">
        <f>#REF!</f>
        <v>#REF!</v>
      </c>
      <c r="E117" s="39" t="e">
        <f>#REF!</f>
        <v>#REF!</v>
      </c>
      <c r="F117" s="39" t="e">
        <f>#REF!</f>
        <v>#REF!</v>
      </c>
      <c r="G117" s="133"/>
      <c r="H117" s="39" t="e">
        <f>#REF!</f>
        <v>#REF!</v>
      </c>
      <c r="I117" s="132" t="e">
        <f>#REF!</f>
        <v>#REF!</v>
      </c>
      <c r="J117" s="132" t="e">
        <f>#REF!/#REF!</f>
        <v>#REF!</v>
      </c>
      <c r="K117" s="160" t="e">
        <f>#REF!</f>
        <v>#REF!</v>
      </c>
      <c r="L117" s="276" t="e">
        <f>#REF!</f>
        <v>#REF!</v>
      </c>
      <c r="M117" s="61">
        <f>IF(ISERROR(#REF!),0,#REF!*1)</f>
        <v>0</v>
      </c>
      <c r="N117" s="39" t="e">
        <f>#REF!</f>
        <v>#REF!</v>
      </c>
      <c r="O117" s="277" t="s">
        <v>4</v>
      </c>
      <c r="P117" s="278"/>
      <c r="Q117" s="277" t="s">
        <v>211</v>
      </c>
      <c r="R117" s="277" t="s">
        <v>7</v>
      </c>
      <c r="S117" s="278"/>
      <c r="T117" s="277" t="s">
        <v>211</v>
      </c>
      <c r="U117" s="277" t="s">
        <v>3</v>
      </c>
      <c r="V117" s="278"/>
      <c r="W117" s="277" t="s">
        <v>211</v>
      </c>
      <c r="X117" s="134"/>
      <c r="Y117" s="209" t="e">
        <f ca="1">science_cap*(1-EXP(-#REF!/(science_param*(OFFSET(#REF!,1,0)-OFFSET(#REF!,1,0)*20)+15000)))*(1+(mason_bonus*#REF!/#REF!))</f>
        <v>#REF!</v>
      </c>
      <c r="Z117" s="209" t="e">
        <f ca="1">keep_cap*(1-EXP(-#REF!/(keep_param*(OFFSET(#REF!,1,0)-OFFSET(#REF!,1,0)*20)+15000)))*(1+(mason_bonus*#REF!/#REF!))</f>
        <v>#REF!</v>
      </c>
      <c r="AA117" s="209" t="e">
        <f ca="1">harbor_towers_cap*(1-EXP(-#REF!/(towers_param*(OFFSET(#REF!,1,0)-OFFSET(#REF!,1,0)*20)+15000)))*(1+(mason_bonus*#REF!/#REF!))</f>
        <v>#REF!</v>
      </c>
      <c r="AB117" s="209" t="e">
        <f ca="1">walls_forges_cap*(1-EXP(-#REF!/(walls_forges_param*(OFFSET(#REF!,1,0)-OFFSET(#REF!,1,0)*20)+15000)))*(1+(mason_bonus*#REF!/#REF!))</f>
        <v>#REF!</v>
      </c>
      <c r="AC117" s="209" t="e">
        <f ca="1">walls_forges_cap*(1-EXP(-#REF!/(walls_forges_param*(OFFSET(#REF!,1,0)-OFFSET(#REF!,1,0)*20)+15000)))*(1+(mason_bonus*#REF!/#REF!))</f>
        <v>#REF!</v>
      </c>
      <c r="AD117" s="209" t="e">
        <f ca="1">harbor_towers_cap*(1-EXP(-#REF!/(harbor_towers_param*(OFFSET(#REF!,1,0)-OFFSET(#REF!,1,0)*20)+15000)))*(1+(mason_bonus*#REF!/#REF!))</f>
        <v>#REF!</v>
      </c>
      <c r="AE117" s="134"/>
      <c r="AF117" s="61" t="e">
        <f ca="1">(1+Overview!$I$28)*SUM(#REF!)+OFFSET(#REF!,-1,0)</f>
        <v>#REF!</v>
      </c>
      <c r="AG117" s="61" t="e">
        <f ca="1">(1+Overview!$I$28)*SUM(#REF!)+OFFSET(#REF!,-1,0)</f>
        <v>#REF!</v>
      </c>
      <c r="AH117" s="61" t="e">
        <f ca="1">(1+Overview!$I$28 + tech_7_1*#REF!)*SUM(#REF!)+OFFSET(#REF!,-1,0)</f>
        <v>#REF!</v>
      </c>
      <c r="AI117" s="61" t="e">
        <f ca="1">(1+Overview!$I$28)*SUM(#REF!)+OFFSET(#REF!,-1,0)</f>
        <v>#REF!</v>
      </c>
      <c r="AJ117" s="61" t="e">
        <f ca="1">(1+Overview!$I$28)*SUM(#REF!)+OFFSET(#REF!,-1,0)</f>
        <v>#REF!</v>
      </c>
      <c r="AK117" s="61" t="e">
        <f ca="1">(1+Overview!$I$28 + tech_7_1*#REF!)*SUM(#REF!)+OFFSET(#REF!,-1,0)</f>
        <v>#REF!</v>
      </c>
      <c r="AL117" s="134"/>
      <c r="AM117" s="57" t="e">
        <f>IF(AND(#REF!=AM$2,#REF!&lt;&gt;""),#REF!) + IF(AND(#REF!=AM$2,#REF!&lt;&gt;""),#REF!) + IF(AND(#REF!=AM$2,#REF!&lt;&gt;""),#REF!)</f>
        <v>#REF!</v>
      </c>
      <c r="AN117" s="57" t="e">
        <f>IF(AND(#REF!=AN$2,#REF!&lt;&gt;""),#REF!) + IF(AND(#REF!=AN$2,#REF!&lt;&gt;""),#REF!) + IF(AND(#REF!=AN$2,#REF!&lt;&gt;""),#REF!)</f>
        <v>#REF!</v>
      </c>
      <c r="AO117" s="57" t="e">
        <f>IF(AND(#REF!=AO$2,#REF!&lt;&gt;""),#REF!) + IF(AND(#REF!=AO$2,#REF!&lt;&gt;""),#REF!) + IF(AND(#REF!=AO$2,#REF!&lt;&gt;""),#REF!)</f>
        <v>#REF!</v>
      </c>
      <c r="AP117" s="57" t="e">
        <f>IF(AND(#REF!=AP$2,#REF!&lt;&gt;""),#REF!) + IF(AND(#REF!=AP$2,#REF!&lt;&gt;""),#REF!) + IF(AND(#REF!=AP$2,#REF!&lt;&gt;""),#REF!)</f>
        <v>#REF!</v>
      </c>
      <c r="AQ117" s="134"/>
      <c r="AR117" s="57" t="e">
        <f>IF(#REF!=AR$2,IF(#REF!=$Y$2,#REF!*plat_invest)) + IF(#REF!=AR$2,IF(#REF!=$Y$2,#REF!*plat_invest)) + IF(#REF!=AR$2,IF(#REF!=$Y$2,#REF!*plat_invest))</f>
        <v>#REF!</v>
      </c>
      <c r="AS117" s="57" t="e">
        <f>IF(#REF!=AS$2,IF(#REF!=$Y$2,#REF!*lumber_invest)) + IF(#REF!=AS$2,IF(#REF!=$Y$2,#REF!*lumber_invest)) + IF(#REF!=AS$2,IF(#REF!=$Y$2,#REF!*lumber_invest))</f>
        <v>#REF!</v>
      </c>
      <c r="AT117" s="57" t="e">
        <f>IF(#REF!=AT$2,IF(#REF!=$Y$2,#REF!*ore_invest)) + IF(#REF!=AT$2,IF(#REF!=$Y$2,#REF!*ore_invest)) + IF(#REF!=AT$2,IF(#REF!=$Y$2,#REF!*ore_invest))</f>
        <v>#REF!</v>
      </c>
      <c r="AU117" s="57" t="e">
        <f>IF(#REF!=AU$2,IF(#REF!=$Y$2,#REF!*gem_invest)) + IF(#REF!=AU$2,IF(#REF!=$Y$2,#REF!*gem_invest)) + IF(#REF!=AU$2,IF(#REF!=$Y$2,#REF!*gem_invest))</f>
        <v>#REF!</v>
      </c>
      <c r="AV117" s="134"/>
      <c r="AW117" s="57" t="e">
        <f>IF(#REF!=AW$2,IF(#REF!=$Z$2,#REF!*plat_invest)) + IF(#REF!=AW$2,IF(#REF!=$Z$2,#REF!*plat_invest)) + IF(#REF!=AW$2,IF(#REF!=$Z$2,#REF!*plat_invest))</f>
        <v>#REF!</v>
      </c>
      <c r="AX117" s="57" t="e">
        <f>IF(#REF!=AX$2,IF(#REF!=$Z$2,#REF!*lumber_invest)) + IF(#REF!=AX$2,IF(#REF!=$Z$2,#REF!*lumber_invest)) + IF(#REF!=AX$2,IF(#REF!=$Z$2,#REF!*lumber_invest))</f>
        <v>#REF!</v>
      </c>
      <c r="AY117" s="57" t="e">
        <f>IF(#REF!=AY$2,IF(#REF!=$Z$2,#REF!*ore_invest)) + IF(#REF!=AY$2,IF(#REF!=$Z$2,#REF!*ore_invest)) + IF(#REF!=AY$2,IF(#REF!=$Z$2,#REF!*ore_invest))</f>
        <v>#REF!</v>
      </c>
      <c r="AZ117" s="57" t="e">
        <f>IF(#REF!=AZ$2,IF(#REF!=$Z$2,#REF!*gem_invest)) + IF(#REF!=AZ$2,IF(#REF!=$Z$2,#REF!*gem_invest)) + IF(#REF!=AZ$2,IF(#REF!=$Z$2,#REF!*gem_invest))</f>
        <v>#REF!</v>
      </c>
      <c r="BA117" s="134"/>
      <c r="BB117" s="57" t="e">
        <f>IF(#REF!=BB$2,IF(#REF!=$AA$2,#REF!*plat_invest)) + IF(#REF!=BB$2,IF(#REF!=$AA$2,#REF!*plat_invest)) + IF(#REF!=BB$2,IF(#REF!=$AA$2,#REF!*plat_invest))</f>
        <v>#REF!</v>
      </c>
      <c r="BC117" s="57" t="e">
        <f>IF(#REF!=BC$2,IF(#REF!=$AA$2,#REF!*lumber_invest)) + IF(#REF!=BC$2,IF(#REF!=$AA$2,#REF!*lumber_invest)) + IF(#REF!=BC$2,IF(#REF!=$AA$2,#REF!*lumber_invest))</f>
        <v>#REF!</v>
      </c>
      <c r="BD117" s="57" t="e">
        <f>IF(#REF!=BD$2,IF(#REF!=$AA$2,#REF!*ore_invest)) + IF(#REF!=BD$2,IF(#REF!=$AA$2,#REF!*ore_invest)) + IF(#REF!=BD$2,IF(#REF!=$AA$2,#REF!*ore_invest))</f>
        <v>#REF!</v>
      </c>
      <c r="BE117" s="57" t="e">
        <f>IF(#REF!=BE$2,IF(#REF!=$AA$2,#REF!*gem_invest)) + IF(#REF!=BE$2,IF(#REF!=$AA$2,#REF!*gem_invest)) + IF(#REF!=BE$2,IF(#REF!=$AA$2,#REF!*gem_invest))</f>
        <v>#REF!</v>
      </c>
      <c r="BF117" s="134"/>
      <c r="BG117" s="57" t="e">
        <f>IF(#REF!=BG$2,IF(#REF!=$AB$2,#REF!*plat_invest)) + IF(#REF!=BG$2,IF(#REF!=$AB$2,#REF!*plat_invest)) + IF(#REF!=BG$2,IF(#REF!=$AB$2,#REF!*plat_invest))</f>
        <v>#REF!</v>
      </c>
      <c r="BH117" s="57" t="e">
        <f>IF(#REF!=BH$2,IF(#REF!=$AB$2,#REF!*lumber_invest)) + IF(#REF!=BH$2,IF(#REF!=$AB$2,#REF!*lumber_invest)) + IF(#REF!=BH$2,IF(#REF!=$AB$2,#REF!*lumber_invest))</f>
        <v>#REF!</v>
      </c>
      <c r="BI117" s="57" t="e">
        <f>IF(#REF!=BI$2,IF(#REF!=$AB$2,#REF!*ore_invest)) + IF(#REF!=BI$2,IF(#REF!=$AB$2,#REF!*ore_invest)) + IF(#REF!=BI$2,IF(#REF!=$AB$2,#REF!*ore_invest))</f>
        <v>#REF!</v>
      </c>
      <c r="BJ117" s="57" t="e">
        <f>IF(#REF!=BJ$2,IF(#REF!=$AB$2,#REF!*gem_invest)) + IF(#REF!=BJ$2,IF(#REF!=$AB$2,#REF!*gem_invest)) + IF(#REF!=BJ$2,IF(#REF!=$AB$2,#REF!*gem_invest))</f>
        <v>#REF!</v>
      </c>
      <c r="BK117" s="134"/>
      <c r="BL117" s="57" t="e">
        <f>IF(#REF!=BL$2,IF(#REF!=$AC$2,#REF!*plat_invest)) + IF(#REF!=BL$2,IF(#REF!=$AC$2,#REF!*plat_invest)) + IF(#REF!=BL$2,IF(#REF!=$AC$2,#REF!*plat_invest))</f>
        <v>#REF!</v>
      </c>
      <c r="BM117" s="57" t="e">
        <f>IF(#REF!=BM$2,IF(#REF!=$AC$2,#REF!*lumber_invest)) + IF(#REF!=BM$2,IF(#REF!=$AC$2,#REF!*lumber_invest)) + IF(#REF!=BM$2,IF(#REF!=$AC$2,#REF!*lumber_invest))</f>
        <v>#REF!</v>
      </c>
      <c r="BN117" s="57" t="e">
        <f>IF(#REF!=BN$2,IF(#REF!=$AC$2,#REF!*ore_invest)) + IF(#REF!=BN$2,IF(#REF!=$AC$2,#REF!*ore_invest)) + IF(#REF!=BN$2,IF(#REF!=$AC$2,#REF!*ore_invest))</f>
        <v>#REF!</v>
      </c>
      <c r="BO117" s="57" t="e">
        <f>IF(#REF!=BO$2,IF(#REF!=$AC$2,#REF!*gem_invest)) + IF(#REF!=BO$2,IF(#REF!=$AC$2,#REF!*gem_invest)) + IF(#REF!=BO$2,IF(#REF!=$AC$2,#REF!*gem_invest))</f>
        <v>#REF!</v>
      </c>
      <c r="BP117" s="134"/>
      <c r="BQ117" s="57" t="e">
        <f>IF(#REF!=BQ$2,IF(#REF!=$AD$2,#REF!*plat_invest)) + IF(#REF!=BQ$2,IF(#REF!=$AD$2,#REF!*plat_invest)) + IF(#REF!=BQ$2,IF(#REF!=$AD$2,#REF!*plat_invest))</f>
        <v>#REF!</v>
      </c>
      <c r="BR117" s="57" t="e">
        <f>IF(#REF!=BR$2,IF(#REF!=$AD$2,#REF!*lumber_invest)) + IF(#REF!=BR$2,IF(#REF!=$AD$2,#REF!*lumber_invest)) + IF(#REF!=BR$2,IF(#REF!=$AD$2,#REF!*lumber_invest))</f>
        <v>#REF!</v>
      </c>
      <c r="BS117" s="57" t="e">
        <f>IF(#REF!=BS$2,IF(#REF!=$AD$2,#REF!*ore_invest)) + IF(#REF!=BS$2,IF(#REF!=$AD$2,#REF!*ore_invest)) + IF(#REF!=BS$2,IF(#REF!=$AD$2,#REF!*ore_invest))</f>
        <v>#REF!</v>
      </c>
      <c r="BT117" s="57" t="e">
        <f>IF(#REF!=BT$2,IF(#REF!=$AD$2,#REF!*gem_invest)) + IF(#REF!=BT$2,IF(#REF!=$AD$2,#REF!*gem_invest)) + IF(#REF!=BT$2,IF(#REF!=$AD$2,#REF!*gem_invest))</f>
        <v>#REF!</v>
      </c>
      <c r="BU117" s="134"/>
      <c r="BV117" s="3" t="e">
        <f>OR(#REF!,#REF!,#REF!,#REF!,#REF!,#REF!,#REF!,#REF!,#REF!)</f>
        <v>#REF!</v>
      </c>
      <c r="BW117" s="61" t="e">
        <f>#REF!</f>
        <v>#REF!</v>
      </c>
      <c r="BX117" s="130"/>
      <c r="BY117" s="284" t="e">
        <f ca="1">OFFSET(#REF!,-1,0)+1/24</f>
        <v>#REF!</v>
      </c>
      <c r="BZ117" s="285" t="e">
        <f ca="1">OFFSET(#REF!,-1,0)+1/24</f>
        <v>#REF!</v>
      </c>
      <c r="CA117" s="57"/>
      <c r="CB117" s="283"/>
      <c r="CC117" s="283"/>
    </row>
    <row r="118" spans="1:81" x14ac:dyDescent="0.25">
      <c r="A118" s="206" t="e">
        <f>#REF!</f>
        <v>#REF!</v>
      </c>
      <c r="B118" s="134"/>
      <c r="C118" s="39" t="e">
        <f>#REF!</f>
        <v>#REF!</v>
      </c>
      <c r="D118" s="39" t="e">
        <f>#REF!</f>
        <v>#REF!</v>
      </c>
      <c r="E118" s="39" t="e">
        <f>#REF!</f>
        <v>#REF!</v>
      </c>
      <c r="F118" s="39" t="e">
        <f>#REF!</f>
        <v>#REF!</v>
      </c>
      <c r="G118" s="133"/>
      <c r="H118" s="39" t="e">
        <f>#REF!</f>
        <v>#REF!</v>
      </c>
      <c r="I118" s="132" t="e">
        <f>#REF!</f>
        <v>#REF!</v>
      </c>
      <c r="J118" s="132" t="e">
        <f>#REF!/#REF!</f>
        <v>#REF!</v>
      </c>
      <c r="K118" s="160" t="e">
        <f>#REF!</f>
        <v>#REF!</v>
      </c>
      <c r="L118" s="276" t="e">
        <f>#REF!</f>
        <v>#REF!</v>
      </c>
      <c r="M118" s="61">
        <f>IF(ISERROR(#REF!),0,#REF!*1)</f>
        <v>0</v>
      </c>
      <c r="N118" s="39" t="e">
        <f>#REF!</f>
        <v>#REF!</v>
      </c>
      <c r="O118" s="277" t="s">
        <v>4</v>
      </c>
      <c r="P118" s="278"/>
      <c r="Q118" s="277" t="s">
        <v>211</v>
      </c>
      <c r="R118" s="277" t="s">
        <v>7</v>
      </c>
      <c r="S118" s="278"/>
      <c r="T118" s="277" t="s">
        <v>211</v>
      </c>
      <c r="U118" s="277" t="s">
        <v>3</v>
      </c>
      <c r="V118" s="278"/>
      <c r="W118" s="277" t="s">
        <v>211</v>
      </c>
      <c r="X118" s="134"/>
      <c r="Y118" s="209" t="e">
        <f ca="1">science_cap*(1-EXP(-#REF!/(science_param*(OFFSET(#REF!,1,0)-OFFSET(#REF!,1,0)*20)+15000)))*(1+(mason_bonus*#REF!/#REF!))</f>
        <v>#REF!</v>
      </c>
      <c r="Z118" s="209" t="e">
        <f ca="1">keep_cap*(1-EXP(-#REF!/(keep_param*(OFFSET(#REF!,1,0)-OFFSET(#REF!,1,0)*20)+15000)))*(1+(mason_bonus*#REF!/#REF!))</f>
        <v>#REF!</v>
      </c>
      <c r="AA118" s="209" t="e">
        <f ca="1">harbor_towers_cap*(1-EXP(-#REF!/(towers_param*(OFFSET(#REF!,1,0)-OFFSET(#REF!,1,0)*20)+15000)))*(1+(mason_bonus*#REF!/#REF!))</f>
        <v>#REF!</v>
      </c>
      <c r="AB118" s="209" t="e">
        <f ca="1">walls_forges_cap*(1-EXP(-#REF!/(walls_forges_param*(OFFSET(#REF!,1,0)-OFFSET(#REF!,1,0)*20)+15000)))*(1+(mason_bonus*#REF!/#REF!))</f>
        <v>#REF!</v>
      </c>
      <c r="AC118" s="209" t="e">
        <f ca="1">walls_forges_cap*(1-EXP(-#REF!/(walls_forges_param*(OFFSET(#REF!,1,0)-OFFSET(#REF!,1,0)*20)+15000)))*(1+(mason_bonus*#REF!/#REF!))</f>
        <v>#REF!</v>
      </c>
      <c r="AD118" s="209" t="e">
        <f ca="1">harbor_towers_cap*(1-EXP(-#REF!/(harbor_towers_param*(OFFSET(#REF!,1,0)-OFFSET(#REF!,1,0)*20)+15000)))*(1+(mason_bonus*#REF!/#REF!))</f>
        <v>#REF!</v>
      </c>
      <c r="AE118" s="134"/>
      <c r="AF118" s="61" t="e">
        <f ca="1">(1+Overview!$I$28)*SUM(#REF!)+OFFSET(#REF!,-1,0)</f>
        <v>#REF!</v>
      </c>
      <c r="AG118" s="61" t="e">
        <f ca="1">(1+Overview!$I$28)*SUM(#REF!)+OFFSET(#REF!,-1,0)</f>
        <v>#REF!</v>
      </c>
      <c r="AH118" s="61" t="e">
        <f ca="1">(1+Overview!$I$28 + tech_7_1*#REF!)*SUM(#REF!)+OFFSET(#REF!,-1,0)</f>
        <v>#REF!</v>
      </c>
      <c r="AI118" s="61" t="e">
        <f ca="1">(1+Overview!$I$28)*SUM(#REF!)+OFFSET(#REF!,-1,0)</f>
        <v>#REF!</v>
      </c>
      <c r="AJ118" s="61" t="e">
        <f ca="1">(1+Overview!$I$28)*SUM(#REF!)+OFFSET(#REF!,-1,0)</f>
        <v>#REF!</v>
      </c>
      <c r="AK118" s="61" t="e">
        <f ca="1">(1+Overview!$I$28 + tech_7_1*#REF!)*SUM(#REF!)+OFFSET(#REF!,-1,0)</f>
        <v>#REF!</v>
      </c>
      <c r="AL118" s="134"/>
      <c r="AM118" s="57" t="e">
        <f>IF(AND(#REF!=AM$2,#REF!&lt;&gt;""),#REF!) + IF(AND(#REF!=AM$2,#REF!&lt;&gt;""),#REF!) + IF(AND(#REF!=AM$2,#REF!&lt;&gt;""),#REF!)</f>
        <v>#REF!</v>
      </c>
      <c r="AN118" s="57" t="e">
        <f>IF(AND(#REF!=AN$2,#REF!&lt;&gt;""),#REF!) + IF(AND(#REF!=AN$2,#REF!&lt;&gt;""),#REF!) + IF(AND(#REF!=AN$2,#REF!&lt;&gt;""),#REF!)</f>
        <v>#REF!</v>
      </c>
      <c r="AO118" s="57" t="e">
        <f>IF(AND(#REF!=AO$2,#REF!&lt;&gt;""),#REF!) + IF(AND(#REF!=AO$2,#REF!&lt;&gt;""),#REF!) + IF(AND(#REF!=AO$2,#REF!&lt;&gt;""),#REF!)</f>
        <v>#REF!</v>
      </c>
      <c r="AP118" s="57" t="e">
        <f>IF(AND(#REF!=AP$2,#REF!&lt;&gt;""),#REF!) + IF(AND(#REF!=AP$2,#REF!&lt;&gt;""),#REF!) + IF(AND(#REF!=AP$2,#REF!&lt;&gt;""),#REF!)</f>
        <v>#REF!</v>
      </c>
      <c r="AQ118" s="134"/>
      <c r="AR118" s="57" t="e">
        <f>IF(#REF!=AR$2,IF(#REF!=$Y$2,#REF!*plat_invest)) + IF(#REF!=AR$2,IF(#REF!=$Y$2,#REF!*plat_invest)) + IF(#REF!=AR$2,IF(#REF!=$Y$2,#REF!*plat_invest))</f>
        <v>#REF!</v>
      </c>
      <c r="AS118" s="57" t="e">
        <f>IF(#REF!=AS$2,IF(#REF!=$Y$2,#REF!*lumber_invest)) + IF(#REF!=AS$2,IF(#REF!=$Y$2,#REF!*lumber_invest)) + IF(#REF!=AS$2,IF(#REF!=$Y$2,#REF!*lumber_invest))</f>
        <v>#REF!</v>
      </c>
      <c r="AT118" s="57" t="e">
        <f>IF(#REF!=AT$2,IF(#REF!=$Y$2,#REF!*ore_invest)) + IF(#REF!=AT$2,IF(#REF!=$Y$2,#REF!*ore_invest)) + IF(#REF!=AT$2,IF(#REF!=$Y$2,#REF!*ore_invest))</f>
        <v>#REF!</v>
      </c>
      <c r="AU118" s="57" t="e">
        <f>IF(#REF!=AU$2,IF(#REF!=$Y$2,#REF!*gem_invest)) + IF(#REF!=AU$2,IF(#REF!=$Y$2,#REF!*gem_invest)) + IF(#REF!=AU$2,IF(#REF!=$Y$2,#REF!*gem_invest))</f>
        <v>#REF!</v>
      </c>
      <c r="AV118" s="134"/>
      <c r="AW118" s="57" t="e">
        <f>IF(#REF!=AW$2,IF(#REF!=$Z$2,#REF!*plat_invest)) + IF(#REF!=AW$2,IF(#REF!=$Z$2,#REF!*plat_invest)) + IF(#REF!=AW$2,IF(#REF!=$Z$2,#REF!*plat_invest))</f>
        <v>#REF!</v>
      </c>
      <c r="AX118" s="57" t="e">
        <f>IF(#REF!=AX$2,IF(#REF!=$Z$2,#REF!*lumber_invest)) + IF(#REF!=AX$2,IF(#REF!=$Z$2,#REF!*lumber_invest)) + IF(#REF!=AX$2,IF(#REF!=$Z$2,#REF!*lumber_invest))</f>
        <v>#REF!</v>
      </c>
      <c r="AY118" s="57" t="e">
        <f>IF(#REF!=AY$2,IF(#REF!=$Z$2,#REF!*ore_invest)) + IF(#REF!=AY$2,IF(#REF!=$Z$2,#REF!*ore_invest)) + IF(#REF!=AY$2,IF(#REF!=$Z$2,#REF!*ore_invest))</f>
        <v>#REF!</v>
      </c>
      <c r="AZ118" s="57" t="e">
        <f>IF(#REF!=AZ$2,IF(#REF!=$Z$2,#REF!*gem_invest)) + IF(#REF!=AZ$2,IF(#REF!=$Z$2,#REF!*gem_invest)) + IF(#REF!=AZ$2,IF(#REF!=$Z$2,#REF!*gem_invest))</f>
        <v>#REF!</v>
      </c>
      <c r="BA118" s="134"/>
      <c r="BB118" s="57" t="e">
        <f>IF(#REF!=BB$2,IF(#REF!=$AA$2,#REF!*plat_invest)) + IF(#REF!=BB$2,IF(#REF!=$AA$2,#REF!*plat_invest)) + IF(#REF!=BB$2,IF(#REF!=$AA$2,#REF!*plat_invest))</f>
        <v>#REF!</v>
      </c>
      <c r="BC118" s="57" t="e">
        <f>IF(#REF!=BC$2,IF(#REF!=$AA$2,#REF!*lumber_invest)) + IF(#REF!=BC$2,IF(#REF!=$AA$2,#REF!*lumber_invest)) + IF(#REF!=BC$2,IF(#REF!=$AA$2,#REF!*lumber_invest))</f>
        <v>#REF!</v>
      </c>
      <c r="BD118" s="57" t="e">
        <f>IF(#REF!=BD$2,IF(#REF!=$AA$2,#REF!*ore_invest)) + IF(#REF!=BD$2,IF(#REF!=$AA$2,#REF!*ore_invest)) + IF(#REF!=BD$2,IF(#REF!=$AA$2,#REF!*ore_invest))</f>
        <v>#REF!</v>
      </c>
      <c r="BE118" s="57" t="e">
        <f>IF(#REF!=BE$2,IF(#REF!=$AA$2,#REF!*gem_invest)) + IF(#REF!=BE$2,IF(#REF!=$AA$2,#REF!*gem_invest)) + IF(#REF!=BE$2,IF(#REF!=$AA$2,#REF!*gem_invest))</f>
        <v>#REF!</v>
      </c>
      <c r="BF118" s="134"/>
      <c r="BG118" s="57" t="e">
        <f>IF(#REF!=BG$2,IF(#REF!=$AB$2,#REF!*plat_invest)) + IF(#REF!=BG$2,IF(#REF!=$AB$2,#REF!*plat_invest)) + IF(#REF!=BG$2,IF(#REF!=$AB$2,#REF!*plat_invest))</f>
        <v>#REF!</v>
      </c>
      <c r="BH118" s="57" t="e">
        <f>IF(#REF!=BH$2,IF(#REF!=$AB$2,#REF!*lumber_invest)) + IF(#REF!=BH$2,IF(#REF!=$AB$2,#REF!*lumber_invest)) + IF(#REF!=BH$2,IF(#REF!=$AB$2,#REF!*lumber_invest))</f>
        <v>#REF!</v>
      </c>
      <c r="BI118" s="57" t="e">
        <f>IF(#REF!=BI$2,IF(#REF!=$AB$2,#REF!*ore_invest)) + IF(#REF!=BI$2,IF(#REF!=$AB$2,#REF!*ore_invest)) + IF(#REF!=BI$2,IF(#REF!=$AB$2,#REF!*ore_invest))</f>
        <v>#REF!</v>
      </c>
      <c r="BJ118" s="57" t="e">
        <f>IF(#REF!=BJ$2,IF(#REF!=$AB$2,#REF!*gem_invest)) + IF(#REF!=BJ$2,IF(#REF!=$AB$2,#REF!*gem_invest)) + IF(#REF!=BJ$2,IF(#REF!=$AB$2,#REF!*gem_invest))</f>
        <v>#REF!</v>
      </c>
      <c r="BK118" s="134"/>
      <c r="BL118" s="57" t="e">
        <f>IF(#REF!=BL$2,IF(#REF!=$AC$2,#REF!*plat_invest)) + IF(#REF!=BL$2,IF(#REF!=$AC$2,#REF!*plat_invest)) + IF(#REF!=BL$2,IF(#REF!=$AC$2,#REF!*plat_invest))</f>
        <v>#REF!</v>
      </c>
      <c r="BM118" s="57" t="e">
        <f>IF(#REF!=BM$2,IF(#REF!=$AC$2,#REF!*lumber_invest)) + IF(#REF!=BM$2,IF(#REF!=$AC$2,#REF!*lumber_invest)) + IF(#REF!=BM$2,IF(#REF!=$AC$2,#REF!*lumber_invest))</f>
        <v>#REF!</v>
      </c>
      <c r="BN118" s="57" t="e">
        <f>IF(#REF!=BN$2,IF(#REF!=$AC$2,#REF!*ore_invest)) + IF(#REF!=BN$2,IF(#REF!=$AC$2,#REF!*ore_invest)) + IF(#REF!=BN$2,IF(#REF!=$AC$2,#REF!*ore_invest))</f>
        <v>#REF!</v>
      </c>
      <c r="BO118" s="57" t="e">
        <f>IF(#REF!=BO$2,IF(#REF!=$AC$2,#REF!*gem_invest)) + IF(#REF!=BO$2,IF(#REF!=$AC$2,#REF!*gem_invest)) + IF(#REF!=BO$2,IF(#REF!=$AC$2,#REF!*gem_invest))</f>
        <v>#REF!</v>
      </c>
      <c r="BP118" s="134"/>
      <c r="BQ118" s="57" t="e">
        <f>IF(#REF!=BQ$2,IF(#REF!=$AD$2,#REF!*plat_invest)) + IF(#REF!=BQ$2,IF(#REF!=$AD$2,#REF!*plat_invest)) + IF(#REF!=BQ$2,IF(#REF!=$AD$2,#REF!*plat_invest))</f>
        <v>#REF!</v>
      </c>
      <c r="BR118" s="57" t="e">
        <f>IF(#REF!=BR$2,IF(#REF!=$AD$2,#REF!*lumber_invest)) + IF(#REF!=BR$2,IF(#REF!=$AD$2,#REF!*lumber_invest)) + IF(#REF!=BR$2,IF(#REF!=$AD$2,#REF!*lumber_invest))</f>
        <v>#REF!</v>
      </c>
      <c r="BS118" s="57" t="e">
        <f>IF(#REF!=BS$2,IF(#REF!=$AD$2,#REF!*ore_invest)) + IF(#REF!=BS$2,IF(#REF!=$AD$2,#REF!*ore_invest)) + IF(#REF!=BS$2,IF(#REF!=$AD$2,#REF!*ore_invest))</f>
        <v>#REF!</v>
      </c>
      <c r="BT118" s="57" t="e">
        <f>IF(#REF!=BT$2,IF(#REF!=$AD$2,#REF!*gem_invest)) + IF(#REF!=BT$2,IF(#REF!=$AD$2,#REF!*gem_invest)) + IF(#REF!=BT$2,IF(#REF!=$AD$2,#REF!*gem_invest))</f>
        <v>#REF!</v>
      </c>
      <c r="BU118" s="134"/>
      <c r="BV118" s="3" t="e">
        <f>OR(#REF!,#REF!,#REF!,#REF!,#REF!,#REF!,#REF!,#REF!,#REF!)</f>
        <v>#REF!</v>
      </c>
      <c r="BW118" s="61" t="e">
        <f>#REF!</f>
        <v>#REF!</v>
      </c>
      <c r="BX118" s="130"/>
      <c r="BY118" s="284" t="e">
        <f ca="1">OFFSET(#REF!,-1,0)+1/24</f>
        <v>#REF!</v>
      </c>
      <c r="BZ118" s="285" t="e">
        <f ca="1">OFFSET(#REF!,-1,0)+1/24</f>
        <v>#REF!</v>
      </c>
      <c r="CA118" s="57"/>
      <c r="CB118" s="283"/>
      <c r="CC118" s="283"/>
    </row>
    <row r="119" spans="1:81" x14ac:dyDescent="0.25">
      <c r="A119" s="206" t="e">
        <f>#REF!</f>
        <v>#REF!</v>
      </c>
      <c r="B119" s="134"/>
      <c r="C119" s="39" t="e">
        <f>#REF!</f>
        <v>#REF!</v>
      </c>
      <c r="D119" s="39" t="e">
        <f>#REF!</f>
        <v>#REF!</v>
      </c>
      <c r="E119" s="39" t="e">
        <f>#REF!</f>
        <v>#REF!</v>
      </c>
      <c r="F119" s="39" t="e">
        <f>#REF!</f>
        <v>#REF!</v>
      </c>
      <c r="G119" s="133"/>
      <c r="H119" s="39" t="e">
        <f>#REF!</f>
        <v>#REF!</v>
      </c>
      <c r="I119" s="132" t="e">
        <f>#REF!</f>
        <v>#REF!</v>
      </c>
      <c r="J119" s="132" t="e">
        <f>#REF!/#REF!</f>
        <v>#REF!</v>
      </c>
      <c r="K119" s="160" t="e">
        <f>#REF!</f>
        <v>#REF!</v>
      </c>
      <c r="L119" s="276" t="e">
        <f>#REF!</f>
        <v>#REF!</v>
      </c>
      <c r="M119" s="61">
        <f>IF(ISERROR(#REF!),0,#REF!*1)</f>
        <v>0</v>
      </c>
      <c r="N119" s="39" t="e">
        <f>#REF!</f>
        <v>#REF!</v>
      </c>
      <c r="O119" s="277" t="s">
        <v>4</v>
      </c>
      <c r="P119" s="278"/>
      <c r="Q119" s="277" t="s">
        <v>211</v>
      </c>
      <c r="R119" s="277" t="s">
        <v>7</v>
      </c>
      <c r="S119" s="278"/>
      <c r="T119" s="277" t="s">
        <v>211</v>
      </c>
      <c r="U119" s="277" t="s">
        <v>3</v>
      </c>
      <c r="V119" s="278"/>
      <c r="W119" s="277" t="s">
        <v>211</v>
      </c>
      <c r="X119" s="134"/>
      <c r="Y119" s="209" t="e">
        <f ca="1">science_cap*(1-EXP(-#REF!/(science_param*(OFFSET(#REF!,1,0)-OFFSET(#REF!,1,0)*20)+15000)))*(1+(mason_bonus*#REF!/#REF!))</f>
        <v>#REF!</v>
      </c>
      <c r="Z119" s="209" t="e">
        <f ca="1">keep_cap*(1-EXP(-#REF!/(keep_param*(OFFSET(#REF!,1,0)-OFFSET(#REF!,1,0)*20)+15000)))*(1+(mason_bonus*#REF!/#REF!))</f>
        <v>#REF!</v>
      </c>
      <c r="AA119" s="209" t="e">
        <f ca="1">harbor_towers_cap*(1-EXP(-#REF!/(towers_param*(OFFSET(#REF!,1,0)-OFFSET(#REF!,1,0)*20)+15000)))*(1+(mason_bonus*#REF!/#REF!))</f>
        <v>#REF!</v>
      </c>
      <c r="AB119" s="209" t="e">
        <f ca="1">walls_forges_cap*(1-EXP(-#REF!/(walls_forges_param*(OFFSET(#REF!,1,0)-OFFSET(#REF!,1,0)*20)+15000)))*(1+(mason_bonus*#REF!/#REF!))</f>
        <v>#REF!</v>
      </c>
      <c r="AC119" s="209" t="e">
        <f ca="1">walls_forges_cap*(1-EXP(-#REF!/(walls_forges_param*(OFFSET(#REF!,1,0)-OFFSET(#REF!,1,0)*20)+15000)))*(1+(mason_bonus*#REF!/#REF!))</f>
        <v>#REF!</v>
      </c>
      <c r="AD119" s="209" t="e">
        <f ca="1">harbor_towers_cap*(1-EXP(-#REF!/(harbor_towers_param*(OFFSET(#REF!,1,0)-OFFSET(#REF!,1,0)*20)+15000)))*(1+(mason_bonus*#REF!/#REF!))</f>
        <v>#REF!</v>
      </c>
      <c r="AE119" s="134"/>
      <c r="AF119" s="61" t="e">
        <f ca="1">(1+Overview!$I$28)*SUM(#REF!)+OFFSET(#REF!,-1,0)</f>
        <v>#REF!</v>
      </c>
      <c r="AG119" s="61" t="e">
        <f ca="1">(1+Overview!$I$28)*SUM(#REF!)+OFFSET(#REF!,-1,0)</f>
        <v>#REF!</v>
      </c>
      <c r="AH119" s="61" t="e">
        <f ca="1">(1+Overview!$I$28 + tech_7_1*#REF!)*SUM(#REF!)+OFFSET(#REF!,-1,0)</f>
        <v>#REF!</v>
      </c>
      <c r="AI119" s="61" t="e">
        <f ca="1">(1+Overview!$I$28)*SUM(#REF!)+OFFSET(#REF!,-1,0)</f>
        <v>#REF!</v>
      </c>
      <c r="AJ119" s="61" t="e">
        <f ca="1">(1+Overview!$I$28)*SUM(#REF!)+OFFSET(#REF!,-1,0)</f>
        <v>#REF!</v>
      </c>
      <c r="AK119" s="61" t="e">
        <f ca="1">(1+Overview!$I$28 + tech_7_1*#REF!)*SUM(#REF!)+OFFSET(#REF!,-1,0)</f>
        <v>#REF!</v>
      </c>
      <c r="AL119" s="134"/>
      <c r="AM119" s="57" t="e">
        <f>IF(AND(#REF!=AM$2,#REF!&lt;&gt;""),#REF!) + IF(AND(#REF!=AM$2,#REF!&lt;&gt;""),#REF!) + IF(AND(#REF!=AM$2,#REF!&lt;&gt;""),#REF!)</f>
        <v>#REF!</v>
      </c>
      <c r="AN119" s="57" t="e">
        <f>IF(AND(#REF!=AN$2,#REF!&lt;&gt;""),#REF!) + IF(AND(#REF!=AN$2,#REF!&lt;&gt;""),#REF!) + IF(AND(#REF!=AN$2,#REF!&lt;&gt;""),#REF!)</f>
        <v>#REF!</v>
      </c>
      <c r="AO119" s="57" t="e">
        <f>IF(AND(#REF!=AO$2,#REF!&lt;&gt;""),#REF!) + IF(AND(#REF!=AO$2,#REF!&lt;&gt;""),#REF!) + IF(AND(#REF!=AO$2,#REF!&lt;&gt;""),#REF!)</f>
        <v>#REF!</v>
      </c>
      <c r="AP119" s="57" t="e">
        <f>IF(AND(#REF!=AP$2,#REF!&lt;&gt;""),#REF!) + IF(AND(#REF!=AP$2,#REF!&lt;&gt;""),#REF!) + IF(AND(#REF!=AP$2,#REF!&lt;&gt;""),#REF!)</f>
        <v>#REF!</v>
      </c>
      <c r="AQ119" s="134"/>
      <c r="AR119" s="57" t="e">
        <f>IF(#REF!=AR$2,IF(#REF!=$Y$2,#REF!*plat_invest)) + IF(#REF!=AR$2,IF(#REF!=$Y$2,#REF!*plat_invest)) + IF(#REF!=AR$2,IF(#REF!=$Y$2,#REF!*plat_invest))</f>
        <v>#REF!</v>
      </c>
      <c r="AS119" s="57" t="e">
        <f>IF(#REF!=AS$2,IF(#REF!=$Y$2,#REF!*lumber_invest)) + IF(#REF!=AS$2,IF(#REF!=$Y$2,#REF!*lumber_invest)) + IF(#REF!=AS$2,IF(#REF!=$Y$2,#REF!*lumber_invest))</f>
        <v>#REF!</v>
      </c>
      <c r="AT119" s="57" t="e">
        <f>IF(#REF!=AT$2,IF(#REF!=$Y$2,#REF!*ore_invest)) + IF(#REF!=AT$2,IF(#REF!=$Y$2,#REF!*ore_invest)) + IF(#REF!=AT$2,IF(#REF!=$Y$2,#REF!*ore_invest))</f>
        <v>#REF!</v>
      </c>
      <c r="AU119" s="57" t="e">
        <f>IF(#REF!=AU$2,IF(#REF!=$Y$2,#REF!*gem_invest)) + IF(#REF!=AU$2,IF(#REF!=$Y$2,#REF!*gem_invest)) + IF(#REF!=AU$2,IF(#REF!=$Y$2,#REF!*gem_invest))</f>
        <v>#REF!</v>
      </c>
      <c r="AV119" s="134"/>
      <c r="AW119" s="57" t="e">
        <f>IF(#REF!=AW$2,IF(#REF!=$Z$2,#REF!*plat_invest)) + IF(#REF!=AW$2,IF(#REF!=$Z$2,#REF!*plat_invest)) + IF(#REF!=AW$2,IF(#REF!=$Z$2,#REF!*plat_invest))</f>
        <v>#REF!</v>
      </c>
      <c r="AX119" s="57" t="e">
        <f>IF(#REF!=AX$2,IF(#REF!=$Z$2,#REF!*lumber_invest)) + IF(#REF!=AX$2,IF(#REF!=$Z$2,#REF!*lumber_invest)) + IF(#REF!=AX$2,IF(#REF!=$Z$2,#REF!*lumber_invest))</f>
        <v>#REF!</v>
      </c>
      <c r="AY119" s="57" t="e">
        <f>IF(#REF!=AY$2,IF(#REF!=$Z$2,#REF!*ore_invest)) + IF(#REF!=AY$2,IF(#REF!=$Z$2,#REF!*ore_invest)) + IF(#REF!=AY$2,IF(#REF!=$Z$2,#REF!*ore_invest))</f>
        <v>#REF!</v>
      </c>
      <c r="AZ119" s="57" t="e">
        <f>IF(#REF!=AZ$2,IF(#REF!=$Z$2,#REF!*gem_invest)) + IF(#REF!=AZ$2,IF(#REF!=$Z$2,#REF!*gem_invest)) + IF(#REF!=AZ$2,IF(#REF!=$Z$2,#REF!*gem_invest))</f>
        <v>#REF!</v>
      </c>
      <c r="BA119" s="134"/>
      <c r="BB119" s="57" t="e">
        <f>IF(#REF!=BB$2,IF(#REF!=$AA$2,#REF!*plat_invest)) + IF(#REF!=BB$2,IF(#REF!=$AA$2,#REF!*plat_invest)) + IF(#REF!=BB$2,IF(#REF!=$AA$2,#REF!*plat_invest))</f>
        <v>#REF!</v>
      </c>
      <c r="BC119" s="57" t="e">
        <f>IF(#REF!=BC$2,IF(#REF!=$AA$2,#REF!*lumber_invest)) + IF(#REF!=BC$2,IF(#REF!=$AA$2,#REF!*lumber_invest)) + IF(#REF!=BC$2,IF(#REF!=$AA$2,#REF!*lumber_invest))</f>
        <v>#REF!</v>
      </c>
      <c r="BD119" s="57" t="e">
        <f>IF(#REF!=BD$2,IF(#REF!=$AA$2,#REF!*ore_invest)) + IF(#REF!=BD$2,IF(#REF!=$AA$2,#REF!*ore_invest)) + IF(#REF!=BD$2,IF(#REF!=$AA$2,#REF!*ore_invest))</f>
        <v>#REF!</v>
      </c>
      <c r="BE119" s="57" t="e">
        <f>IF(#REF!=BE$2,IF(#REF!=$AA$2,#REF!*gem_invest)) + IF(#REF!=BE$2,IF(#REF!=$AA$2,#REF!*gem_invest)) + IF(#REF!=BE$2,IF(#REF!=$AA$2,#REF!*gem_invest))</f>
        <v>#REF!</v>
      </c>
      <c r="BF119" s="134"/>
      <c r="BG119" s="57" t="e">
        <f>IF(#REF!=BG$2,IF(#REF!=$AB$2,#REF!*plat_invest)) + IF(#REF!=BG$2,IF(#REF!=$AB$2,#REF!*plat_invest)) + IF(#REF!=BG$2,IF(#REF!=$AB$2,#REF!*plat_invest))</f>
        <v>#REF!</v>
      </c>
      <c r="BH119" s="57" t="e">
        <f>IF(#REF!=BH$2,IF(#REF!=$AB$2,#REF!*lumber_invest)) + IF(#REF!=BH$2,IF(#REF!=$AB$2,#REF!*lumber_invest)) + IF(#REF!=BH$2,IF(#REF!=$AB$2,#REF!*lumber_invest))</f>
        <v>#REF!</v>
      </c>
      <c r="BI119" s="57" t="e">
        <f>IF(#REF!=BI$2,IF(#REF!=$AB$2,#REF!*ore_invest)) + IF(#REF!=BI$2,IF(#REF!=$AB$2,#REF!*ore_invest)) + IF(#REF!=BI$2,IF(#REF!=$AB$2,#REF!*ore_invest))</f>
        <v>#REF!</v>
      </c>
      <c r="BJ119" s="57" t="e">
        <f>IF(#REF!=BJ$2,IF(#REF!=$AB$2,#REF!*gem_invest)) + IF(#REF!=BJ$2,IF(#REF!=$AB$2,#REF!*gem_invest)) + IF(#REF!=BJ$2,IF(#REF!=$AB$2,#REF!*gem_invest))</f>
        <v>#REF!</v>
      </c>
      <c r="BK119" s="134"/>
      <c r="BL119" s="57" t="e">
        <f>IF(#REF!=BL$2,IF(#REF!=$AC$2,#REF!*plat_invest)) + IF(#REF!=BL$2,IF(#REF!=$AC$2,#REF!*plat_invest)) + IF(#REF!=BL$2,IF(#REF!=$AC$2,#REF!*plat_invest))</f>
        <v>#REF!</v>
      </c>
      <c r="BM119" s="57" t="e">
        <f>IF(#REF!=BM$2,IF(#REF!=$AC$2,#REF!*lumber_invest)) + IF(#REF!=BM$2,IF(#REF!=$AC$2,#REF!*lumber_invest)) + IF(#REF!=BM$2,IF(#REF!=$AC$2,#REF!*lumber_invest))</f>
        <v>#REF!</v>
      </c>
      <c r="BN119" s="57" t="e">
        <f>IF(#REF!=BN$2,IF(#REF!=$AC$2,#REF!*ore_invest)) + IF(#REF!=BN$2,IF(#REF!=$AC$2,#REF!*ore_invest)) + IF(#REF!=BN$2,IF(#REF!=$AC$2,#REF!*ore_invest))</f>
        <v>#REF!</v>
      </c>
      <c r="BO119" s="57" t="e">
        <f>IF(#REF!=BO$2,IF(#REF!=$AC$2,#REF!*gem_invest)) + IF(#REF!=BO$2,IF(#REF!=$AC$2,#REF!*gem_invest)) + IF(#REF!=BO$2,IF(#REF!=$AC$2,#REF!*gem_invest))</f>
        <v>#REF!</v>
      </c>
      <c r="BP119" s="134"/>
      <c r="BQ119" s="57" t="e">
        <f>IF(#REF!=BQ$2,IF(#REF!=$AD$2,#REF!*plat_invest)) + IF(#REF!=BQ$2,IF(#REF!=$AD$2,#REF!*plat_invest)) + IF(#REF!=BQ$2,IF(#REF!=$AD$2,#REF!*plat_invest))</f>
        <v>#REF!</v>
      </c>
      <c r="BR119" s="57" t="e">
        <f>IF(#REF!=BR$2,IF(#REF!=$AD$2,#REF!*lumber_invest)) + IF(#REF!=BR$2,IF(#REF!=$AD$2,#REF!*lumber_invest)) + IF(#REF!=BR$2,IF(#REF!=$AD$2,#REF!*lumber_invest))</f>
        <v>#REF!</v>
      </c>
      <c r="BS119" s="57" t="e">
        <f>IF(#REF!=BS$2,IF(#REF!=$AD$2,#REF!*ore_invest)) + IF(#REF!=BS$2,IF(#REF!=$AD$2,#REF!*ore_invest)) + IF(#REF!=BS$2,IF(#REF!=$AD$2,#REF!*ore_invest))</f>
        <v>#REF!</v>
      </c>
      <c r="BT119" s="57" t="e">
        <f>IF(#REF!=BT$2,IF(#REF!=$AD$2,#REF!*gem_invest)) + IF(#REF!=BT$2,IF(#REF!=$AD$2,#REF!*gem_invest)) + IF(#REF!=BT$2,IF(#REF!=$AD$2,#REF!*gem_invest))</f>
        <v>#REF!</v>
      </c>
      <c r="BU119" s="134"/>
      <c r="BV119" s="3" t="e">
        <f>OR(#REF!,#REF!,#REF!,#REF!,#REF!,#REF!,#REF!,#REF!,#REF!)</f>
        <v>#REF!</v>
      </c>
      <c r="BW119" s="61" t="e">
        <f>#REF!</f>
        <v>#REF!</v>
      </c>
      <c r="BX119" s="130"/>
      <c r="BY119" s="284" t="e">
        <f ca="1">OFFSET(#REF!,-1,0)+1/24</f>
        <v>#REF!</v>
      </c>
      <c r="BZ119" s="285" t="e">
        <f ca="1">OFFSET(#REF!,-1,0)+1/24</f>
        <v>#REF!</v>
      </c>
      <c r="CA119" s="57"/>
      <c r="CB119" s="283"/>
      <c r="CC119" s="283"/>
    </row>
    <row r="120" spans="1:81" x14ac:dyDescent="0.25">
      <c r="A120" s="206" t="e">
        <f>#REF!</f>
        <v>#REF!</v>
      </c>
      <c r="B120" s="134"/>
      <c r="C120" s="39" t="e">
        <f>#REF!</f>
        <v>#REF!</v>
      </c>
      <c r="D120" s="39" t="e">
        <f>#REF!</f>
        <v>#REF!</v>
      </c>
      <c r="E120" s="39" t="e">
        <f>#REF!</f>
        <v>#REF!</v>
      </c>
      <c r="F120" s="39" t="e">
        <f>#REF!</f>
        <v>#REF!</v>
      </c>
      <c r="G120" s="133"/>
      <c r="H120" s="39" t="e">
        <f>#REF!</f>
        <v>#REF!</v>
      </c>
      <c r="I120" s="132" t="e">
        <f>#REF!</f>
        <v>#REF!</v>
      </c>
      <c r="J120" s="132" t="e">
        <f>#REF!/#REF!</f>
        <v>#REF!</v>
      </c>
      <c r="K120" s="160" t="e">
        <f>#REF!</f>
        <v>#REF!</v>
      </c>
      <c r="L120" s="276" t="e">
        <f>#REF!</f>
        <v>#REF!</v>
      </c>
      <c r="M120" s="61">
        <f>IF(ISERROR(#REF!),0,#REF!*1)</f>
        <v>0</v>
      </c>
      <c r="N120" s="39" t="e">
        <f>#REF!</f>
        <v>#REF!</v>
      </c>
      <c r="O120" s="277" t="s">
        <v>4</v>
      </c>
      <c r="P120" s="278"/>
      <c r="Q120" s="277" t="s">
        <v>211</v>
      </c>
      <c r="R120" s="277" t="s">
        <v>7</v>
      </c>
      <c r="S120" s="278"/>
      <c r="T120" s="277" t="s">
        <v>211</v>
      </c>
      <c r="U120" s="277" t="s">
        <v>3</v>
      </c>
      <c r="V120" s="278"/>
      <c r="W120" s="277" t="s">
        <v>211</v>
      </c>
      <c r="X120" s="134"/>
      <c r="Y120" s="209" t="e">
        <f ca="1">science_cap*(1-EXP(-#REF!/(science_param*(OFFSET(#REF!,1,0)-OFFSET(#REF!,1,0)*20)+15000)))*(1+(mason_bonus*#REF!/#REF!))</f>
        <v>#REF!</v>
      </c>
      <c r="Z120" s="209" t="e">
        <f ca="1">keep_cap*(1-EXP(-#REF!/(keep_param*(OFFSET(#REF!,1,0)-OFFSET(#REF!,1,0)*20)+15000)))*(1+(mason_bonus*#REF!/#REF!))</f>
        <v>#REF!</v>
      </c>
      <c r="AA120" s="209" t="e">
        <f ca="1">harbor_towers_cap*(1-EXP(-#REF!/(towers_param*(OFFSET(#REF!,1,0)-OFFSET(#REF!,1,0)*20)+15000)))*(1+(mason_bonus*#REF!/#REF!))</f>
        <v>#REF!</v>
      </c>
      <c r="AB120" s="209" t="e">
        <f ca="1">walls_forges_cap*(1-EXP(-#REF!/(walls_forges_param*(OFFSET(#REF!,1,0)-OFFSET(#REF!,1,0)*20)+15000)))*(1+(mason_bonus*#REF!/#REF!))</f>
        <v>#REF!</v>
      </c>
      <c r="AC120" s="209" t="e">
        <f ca="1">walls_forges_cap*(1-EXP(-#REF!/(walls_forges_param*(OFFSET(#REF!,1,0)-OFFSET(#REF!,1,0)*20)+15000)))*(1+(mason_bonus*#REF!/#REF!))</f>
        <v>#REF!</v>
      </c>
      <c r="AD120" s="209" t="e">
        <f ca="1">harbor_towers_cap*(1-EXP(-#REF!/(harbor_towers_param*(OFFSET(#REF!,1,0)-OFFSET(#REF!,1,0)*20)+15000)))*(1+(mason_bonus*#REF!/#REF!))</f>
        <v>#REF!</v>
      </c>
      <c r="AE120" s="134"/>
      <c r="AF120" s="61" t="e">
        <f ca="1">(1+Overview!$I$28)*SUM(#REF!)+OFFSET(#REF!,-1,0)</f>
        <v>#REF!</v>
      </c>
      <c r="AG120" s="61" t="e">
        <f ca="1">(1+Overview!$I$28)*SUM(#REF!)+OFFSET(#REF!,-1,0)</f>
        <v>#REF!</v>
      </c>
      <c r="AH120" s="61" t="e">
        <f ca="1">(1+Overview!$I$28 + tech_7_1*#REF!)*SUM(#REF!)+OFFSET(#REF!,-1,0)</f>
        <v>#REF!</v>
      </c>
      <c r="AI120" s="61" t="e">
        <f ca="1">(1+Overview!$I$28)*SUM(#REF!)+OFFSET(#REF!,-1,0)</f>
        <v>#REF!</v>
      </c>
      <c r="AJ120" s="61" t="e">
        <f ca="1">(1+Overview!$I$28)*SUM(#REF!)+OFFSET(#REF!,-1,0)</f>
        <v>#REF!</v>
      </c>
      <c r="AK120" s="61" t="e">
        <f ca="1">(1+Overview!$I$28 + tech_7_1*#REF!)*SUM(#REF!)+OFFSET(#REF!,-1,0)</f>
        <v>#REF!</v>
      </c>
      <c r="AL120" s="134"/>
      <c r="AM120" s="57" t="e">
        <f>IF(AND(#REF!=AM$2,#REF!&lt;&gt;""),#REF!) + IF(AND(#REF!=AM$2,#REF!&lt;&gt;""),#REF!) + IF(AND(#REF!=AM$2,#REF!&lt;&gt;""),#REF!)</f>
        <v>#REF!</v>
      </c>
      <c r="AN120" s="57" t="e">
        <f>IF(AND(#REF!=AN$2,#REF!&lt;&gt;""),#REF!) + IF(AND(#REF!=AN$2,#REF!&lt;&gt;""),#REF!) + IF(AND(#REF!=AN$2,#REF!&lt;&gt;""),#REF!)</f>
        <v>#REF!</v>
      </c>
      <c r="AO120" s="57" t="e">
        <f>IF(AND(#REF!=AO$2,#REF!&lt;&gt;""),#REF!) + IF(AND(#REF!=AO$2,#REF!&lt;&gt;""),#REF!) + IF(AND(#REF!=AO$2,#REF!&lt;&gt;""),#REF!)</f>
        <v>#REF!</v>
      </c>
      <c r="AP120" s="57" t="e">
        <f>IF(AND(#REF!=AP$2,#REF!&lt;&gt;""),#REF!) + IF(AND(#REF!=AP$2,#REF!&lt;&gt;""),#REF!) + IF(AND(#REF!=AP$2,#REF!&lt;&gt;""),#REF!)</f>
        <v>#REF!</v>
      </c>
      <c r="AQ120" s="134"/>
      <c r="AR120" s="57" t="e">
        <f>IF(#REF!=AR$2,IF(#REF!=$Y$2,#REF!*plat_invest)) + IF(#REF!=AR$2,IF(#REF!=$Y$2,#REF!*plat_invest)) + IF(#REF!=AR$2,IF(#REF!=$Y$2,#REF!*plat_invest))</f>
        <v>#REF!</v>
      </c>
      <c r="AS120" s="57" t="e">
        <f>IF(#REF!=AS$2,IF(#REF!=$Y$2,#REF!*lumber_invest)) + IF(#REF!=AS$2,IF(#REF!=$Y$2,#REF!*lumber_invest)) + IF(#REF!=AS$2,IF(#REF!=$Y$2,#REF!*lumber_invest))</f>
        <v>#REF!</v>
      </c>
      <c r="AT120" s="57" t="e">
        <f>IF(#REF!=AT$2,IF(#REF!=$Y$2,#REF!*ore_invest)) + IF(#REF!=AT$2,IF(#REF!=$Y$2,#REF!*ore_invest)) + IF(#REF!=AT$2,IF(#REF!=$Y$2,#REF!*ore_invest))</f>
        <v>#REF!</v>
      </c>
      <c r="AU120" s="57" t="e">
        <f>IF(#REF!=AU$2,IF(#REF!=$Y$2,#REF!*gem_invest)) + IF(#REF!=AU$2,IF(#REF!=$Y$2,#REF!*gem_invest)) + IF(#REF!=AU$2,IF(#REF!=$Y$2,#REF!*gem_invest))</f>
        <v>#REF!</v>
      </c>
      <c r="AV120" s="134"/>
      <c r="AW120" s="57" t="e">
        <f>IF(#REF!=AW$2,IF(#REF!=$Z$2,#REF!*plat_invest)) + IF(#REF!=AW$2,IF(#REF!=$Z$2,#REF!*plat_invest)) + IF(#REF!=AW$2,IF(#REF!=$Z$2,#REF!*plat_invest))</f>
        <v>#REF!</v>
      </c>
      <c r="AX120" s="57" t="e">
        <f>IF(#REF!=AX$2,IF(#REF!=$Z$2,#REF!*lumber_invest)) + IF(#REF!=AX$2,IF(#REF!=$Z$2,#REF!*lumber_invest)) + IF(#REF!=AX$2,IF(#REF!=$Z$2,#REF!*lumber_invest))</f>
        <v>#REF!</v>
      </c>
      <c r="AY120" s="57" t="e">
        <f>IF(#REF!=AY$2,IF(#REF!=$Z$2,#REF!*ore_invest)) + IF(#REF!=AY$2,IF(#REF!=$Z$2,#REF!*ore_invest)) + IF(#REF!=AY$2,IF(#REF!=$Z$2,#REF!*ore_invest))</f>
        <v>#REF!</v>
      </c>
      <c r="AZ120" s="57" t="e">
        <f>IF(#REF!=AZ$2,IF(#REF!=$Z$2,#REF!*gem_invest)) + IF(#REF!=AZ$2,IF(#REF!=$Z$2,#REF!*gem_invest)) + IF(#REF!=AZ$2,IF(#REF!=$Z$2,#REF!*gem_invest))</f>
        <v>#REF!</v>
      </c>
      <c r="BA120" s="134"/>
      <c r="BB120" s="57" t="e">
        <f>IF(#REF!=BB$2,IF(#REF!=$AA$2,#REF!*plat_invest)) + IF(#REF!=BB$2,IF(#REF!=$AA$2,#REF!*plat_invest)) + IF(#REF!=BB$2,IF(#REF!=$AA$2,#REF!*plat_invest))</f>
        <v>#REF!</v>
      </c>
      <c r="BC120" s="57" t="e">
        <f>IF(#REF!=BC$2,IF(#REF!=$AA$2,#REF!*lumber_invest)) + IF(#REF!=BC$2,IF(#REF!=$AA$2,#REF!*lumber_invest)) + IF(#REF!=BC$2,IF(#REF!=$AA$2,#REF!*lumber_invest))</f>
        <v>#REF!</v>
      </c>
      <c r="BD120" s="57" t="e">
        <f>IF(#REF!=BD$2,IF(#REF!=$AA$2,#REF!*ore_invest)) + IF(#REF!=BD$2,IF(#REF!=$AA$2,#REF!*ore_invest)) + IF(#REF!=BD$2,IF(#REF!=$AA$2,#REF!*ore_invest))</f>
        <v>#REF!</v>
      </c>
      <c r="BE120" s="57" t="e">
        <f>IF(#REF!=BE$2,IF(#REF!=$AA$2,#REF!*gem_invest)) + IF(#REF!=BE$2,IF(#REF!=$AA$2,#REF!*gem_invest)) + IF(#REF!=BE$2,IF(#REF!=$AA$2,#REF!*gem_invest))</f>
        <v>#REF!</v>
      </c>
      <c r="BF120" s="134"/>
      <c r="BG120" s="57" t="e">
        <f>IF(#REF!=BG$2,IF(#REF!=$AB$2,#REF!*plat_invest)) + IF(#REF!=BG$2,IF(#REF!=$AB$2,#REF!*plat_invest)) + IF(#REF!=BG$2,IF(#REF!=$AB$2,#REF!*plat_invest))</f>
        <v>#REF!</v>
      </c>
      <c r="BH120" s="57" t="e">
        <f>IF(#REF!=BH$2,IF(#REF!=$AB$2,#REF!*lumber_invest)) + IF(#REF!=BH$2,IF(#REF!=$AB$2,#REF!*lumber_invest)) + IF(#REF!=BH$2,IF(#REF!=$AB$2,#REF!*lumber_invest))</f>
        <v>#REF!</v>
      </c>
      <c r="BI120" s="57" t="e">
        <f>IF(#REF!=BI$2,IF(#REF!=$AB$2,#REF!*ore_invest)) + IF(#REF!=BI$2,IF(#REF!=$AB$2,#REF!*ore_invest)) + IF(#REF!=BI$2,IF(#REF!=$AB$2,#REF!*ore_invest))</f>
        <v>#REF!</v>
      </c>
      <c r="BJ120" s="57" t="e">
        <f>IF(#REF!=BJ$2,IF(#REF!=$AB$2,#REF!*gem_invest)) + IF(#REF!=BJ$2,IF(#REF!=$AB$2,#REF!*gem_invest)) + IF(#REF!=BJ$2,IF(#REF!=$AB$2,#REF!*gem_invest))</f>
        <v>#REF!</v>
      </c>
      <c r="BK120" s="134"/>
      <c r="BL120" s="57" t="e">
        <f>IF(#REF!=BL$2,IF(#REF!=$AC$2,#REF!*plat_invest)) + IF(#REF!=BL$2,IF(#REF!=$AC$2,#REF!*plat_invest)) + IF(#REF!=BL$2,IF(#REF!=$AC$2,#REF!*plat_invest))</f>
        <v>#REF!</v>
      </c>
      <c r="BM120" s="57" t="e">
        <f>IF(#REF!=BM$2,IF(#REF!=$AC$2,#REF!*lumber_invest)) + IF(#REF!=BM$2,IF(#REF!=$AC$2,#REF!*lumber_invest)) + IF(#REF!=BM$2,IF(#REF!=$AC$2,#REF!*lumber_invest))</f>
        <v>#REF!</v>
      </c>
      <c r="BN120" s="57" t="e">
        <f>IF(#REF!=BN$2,IF(#REF!=$AC$2,#REF!*ore_invest)) + IF(#REF!=BN$2,IF(#REF!=$AC$2,#REF!*ore_invest)) + IF(#REF!=BN$2,IF(#REF!=$AC$2,#REF!*ore_invest))</f>
        <v>#REF!</v>
      </c>
      <c r="BO120" s="57" t="e">
        <f>IF(#REF!=BO$2,IF(#REF!=$AC$2,#REF!*gem_invest)) + IF(#REF!=BO$2,IF(#REF!=$AC$2,#REF!*gem_invest)) + IF(#REF!=BO$2,IF(#REF!=$AC$2,#REF!*gem_invest))</f>
        <v>#REF!</v>
      </c>
      <c r="BP120" s="134"/>
      <c r="BQ120" s="57" t="e">
        <f>IF(#REF!=BQ$2,IF(#REF!=$AD$2,#REF!*plat_invest)) + IF(#REF!=BQ$2,IF(#REF!=$AD$2,#REF!*plat_invest)) + IF(#REF!=BQ$2,IF(#REF!=$AD$2,#REF!*plat_invest))</f>
        <v>#REF!</v>
      </c>
      <c r="BR120" s="57" t="e">
        <f>IF(#REF!=BR$2,IF(#REF!=$AD$2,#REF!*lumber_invest)) + IF(#REF!=BR$2,IF(#REF!=$AD$2,#REF!*lumber_invest)) + IF(#REF!=BR$2,IF(#REF!=$AD$2,#REF!*lumber_invest))</f>
        <v>#REF!</v>
      </c>
      <c r="BS120" s="57" t="e">
        <f>IF(#REF!=BS$2,IF(#REF!=$AD$2,#REF!*ore_invest)) + IF(#REF!=BS$2,IF(#REF!=$AD$2,#REF!*ore_invest)) + IF(#REF!=BS$2,IF(#REF!=$AD$2,#REF!*ore_invest))</f>
        <v>#REF!</v>
      </c>
      <c r="BT120" s="57" t="e">
        <f>IF(#REF!=BT$2,IF(#REF!=$AD$2,#REF!*gem_invest)) + IF(#REF!=BT$2,IF(#REF!=$AD$2,#REF!*gem_invest)) + IF(#REF!=BT$2,IF(#REF!=$AD$2,#REF!*gem_invest))</f>
        <v>#REF!</v>
      </c>
      <c r="BU120" s="134"/>
      <c r="BV120" s="3" t="e">
        <f>OR(#REF!,#REF!,#REF!,#REF!,#REF!,#REF!,#REF!,#REF!,#REF!)</f>
        <v>#REF!</v>
      </c>
      <c r="BW120" s="61" t="e">
        <f>#REF!</f>
        <v>#REF!</v>
      </c>
      <c r="BX120" s="130"/>
      <c r="BY120" s="284" t="e">
        <f ca="1">OFFSET(#REF!,-1,0)+1/24</f>
        <v>#REF!</v>
      </c>
      <c r="BZ120" s="285" t="e">
        <f ca="1">OFFSET(#REF!,-1,0)+1/24</f>
        <v>#REF!</v>
      </c>
      <c r="CA120" s="57"/>
      <c r="CB120" s="283"/>
      <c r="CC120" s="283"/>
    </row>
    <row r="121" spans="1:81" x14ac:dyDescent="0.25">
      <c r="A121" s="206" t="e">
        <f>#REF!</f>
        <v>#REF!</v>
      </c>
      <c r="B121" s="134"/>
      <c r="C121" s="39" t="e">
        <f>#REF!</f>
        <v>#REF!</v>
      </c>
      <c r="D121" s="39" t="e">
        <f>#REF!</f>
        <v>#REF!</v>
      </c>
      <c r="E121" s="39" t="e">
        <f>#REF!</f>
        <v>#REF!</v>
      </c>
      <c r="F121" s="39" t="e">
        <f>#REF!</f>
        <v>#REF!</v>
      </c>
      <c r="G121" s="133"/>
      <c r="H121" s="39" t="e">
        <f>#REF!</f>
        <v>#REF!</v>
      </c>
      <c r="I121" s="132" t="e">
        <f>#REF!</f>
        <v>#REF!</v>
      </c>
      <c r="J121" s="132" t="e">
        <f>#REF!/#REF!</f>
        <v>#REF!</v>
      </c>
      <c r="K121" s="160" t="e">
        <f>#REF!</f>
        <v>#REF!</v>
      </c>
      <c r="L121" s="276" t="e">
        <f>#REF!</f>
        <v>#REF!</v>
      </c>
      <c r="M121" s="61">
        <f>IF(ISERROR(#REF!),0,#REF!*1)</f>
        <v>0</v>
      </c>
      <c r="N121" s="39" t="e">
        <f>#REF!</f>
        <v>#REF!</v>
      </c>
      <c r="O121" s="277" t="s">
        <v>4</v>
      </c>
      <c r="P121" s="278"/>
      <c r="Q121" s="277" t="s">
        <v>211</v>
      </c>
      <c r="R121" s="277" t="s">
        <v>7</v>
      </c>
      <c r="S121" s="278"/>
      <c r="T121" s="277" t="s">
        <v>211</v>
      </c>
      <c r="U121" s="277" t="s">
        <v>3</v>
      </c>
      <c r="V121" s="278"/>
      <c r="W121" s="277" t="s">
        <v>211</v>
      </c>
      <c r="X121" s="134"/>
      <c r="Y121" s="209" t="e">
        <f ca="1">science_cap*(1-EXP(-#REF!/(science_param*(OFFSET(#REF!,1,0)-OFFSET(#REF!,1,0)*20)+15000)))*(1+(mason_bonus*#REF!/#REF!))</f>
        <v>#REF!</v>
      </c>
      <c r="Z121" s="209" t="e">
        <f ca="1">keep_cap*(1-EXP(-#REF!/(keep_param*(OFFSET(#REF!,1,0)-OFFSET(#REF!,1,0)*20)+15000)))*(1+(mason_bonus*#REF!/#REF!))</f>
        <v>#REF!</v>
      </c>
      <c r="AA121" s="209" t="e">
        <f ca="1">harbor_towers_cap*(1-EXP(-#REF!/(towers_param*(OFFSET(#REF!,1,0)-OFFSET(#REF!,1,0)*20)+15000)))*(1+(mason_bonus*#REF!/#REF!))</f>
        <v>#REF!</v>
      </c>
      <c r="AB121" s="209" t="e">
        <f ca="1">walls_forges_cap*(1-EXP(-#REF!/(walls_forges_param*(OFFSET(#REF!,1,0)-OFFSET(#REF!,1,0)*20)+15000)))*(1+(mason_bonus*#REF!/#REF!))</f>
        <v>#REF!</v>
      </c>
      <c r="AC121" s="209" t="e">
        <f ca="1">walls_forges_cap*(1-EXP(-#REF!/(walls_forges_param*(OFFSET(#REF!,1,0)-OFFSET(#REF!,1,0)*20)+15000)))*(1+(mason_bonus*#REF!/#REF!))</f>
        <v>#REF!</v>
      </c>
      <c r="AD121" s="209" t="e">
        <f ca="1">harbor_towers_cap*(1-EXP(-#REF!/(harbor_towers_param*(OFFSET(#REF!,1,0)-OFFSET(#REF!,1,0)*20)+15000)))*(1+(mason_bonus*#REF!/#REF!))</f>
        <v>#REF!</v>
      </c>
      <c r="AE121" s="134"/>
      <c r="AF121" s="61" t="e">
        <f ca="1">(1+Overview!$I$28)*SUM(#REF!)+OFFSET(#REF!,-1,0)</f>
        <v>#REF!</v>
      </c>
      <c r="AG121" s="61" t="e">
        <f ca="1">(1+Overview!$I$28)*SUM(#REF!)+OFFSET(#REF!,-1,0)</f>
        <v>#REF!</v>
      </c>
      <c r="AH121" s="61" t="e">
        <f ca="1">(1+Overview!$I$28 + tech_7_1*#REF!)*SUM(#REF!)+OFFSET(#REF!,-1,0)</f>
        <v>#REF!</v>
      </c>
      <c r="AI121" s="61" t="e">
        <f ca="1">(1+Overview!$I$28)*SUM(#REF!)+OFFSET(#REF!,-1,0)</f>
        <v>#REF!</v>
      </c>
      <c r="AJ121" s="61" t="e">
        <f ca="1">(1+Overview!$I$28)*SUM(#REF!)+OFFSET(#REF!,-1,0)</f>
        <v>#REF!</v>
      </c>
      <c r="AK121" s="61" t="e">
        <f ca="1">(1+Overview!$I$28 + tech_7_1*#REF!)*SUM(#REF!)+OFFSET(#REF!,-1,0)</f>
        <v>#REF!</v>
      </c>
      <c r="AL121" s="134"/>
      <c r="AM121" s="57" t="e">
        <f>IF(AND(#REF!=AM$2,#REF!&lt;&gt;""),#REF!) + IF(AND(#REF!=AM$2,#REF!&lt;&gt;""),#REF!) + IF(AND(#REF!=AM$2,#REF!&lt;&gt;""),#REF!)</f>
        <v>#REF!</v>
      </c>
      <c r="AN121" s="57" t="e">
        <f>IF(AND(#REF!=AN$2,#REF!&lt;&gt;""),#REF!) + IF(AND(#REF!=AN$2,#REF!&lt;&gt;""),#REF!) + IF(AND(#REF!=AN$2,#REF!&lt;&gt;""),#REF!)</f>
        <v>#REF!</v>
      </c>
      <c r="AO121" s="57" t="e">
        <f>IF(AND(#REF!=AO$2,#REF!&lt;&gt;""),#REF!) + IF(AND(#REF!=AO$2,#REF!&lt;&gt;""),#REF!) + IF(AND(#REF!=AO$2,#REF!&lt;&gt;""),#REF!)</f>
        <v>#REF!</v>
      </c>
      <c r="AP121" s="57" t="e">
        <f>IF(AND(#REF!=AP$2,#REF!&lt;&gt;""),#REF!) + IF(AND(#REF!=AP$2,#REF!&lt;&gt;""),#REF!) + IF(AND(#REF!=AP$2,#REF!&lt;&gt;""),#REF!)</f>
        <v>#REF!</v>
      </c>
      <c r="AQ121" s="134"/>
      <c r="AR121" s="57" t="e">
        <f>IF(#REF!=AR$2,IF(#REF!=$Y$2,#REF!*plat_invest)) + IF(#REF!=AR$2,IF(#REF!=$Y$2,#REF!*plat_invest)) + IF(#REF!=AR$2,IF(#REF!=$Y$2,#REF!*plat_invest))</f>
        <v>#REF!</v>
      </c>
      <c r="AS121" s="57" t="e">
        <f>IF(#REF!=AS$2,IF(#REF!=$Y$2,#REF!*lumber_invest)) + IF(#REF!=AS$2,IF(#REF!=$Y$2,#REF!*lumber_invest)) + IF(#REF!=AS$2,IF(#REF!=$Y$2,#REF!*lumber_invest))</f>
        <v>#REF!</v>
      </c>
      <c r="AT121" s="57" t="e">
        <f>IF(#REF!=AT$2,IF(#REF!=$Y$2,#REF!*ore_invest)) + IF(#REF!=AT$2,IF(#REF!=$Y$2,#REF!*ore_invest)) + IF(#REF!=AT$2,IF(#REF!=$Y$2,#REF!*ore_invest))</f>
        <v>#REF!</v>
      </c>
      <c r="AU121" s="57" t="e">
        <f>IF(#REF!=AU$2,IF(#REF!=$Y$2,#REF!*gem_invest)) + IF(#REF!=AU$2,IF(#REF!=$Y$2,#REF!*gem_invest)) + IF(#REF!=AU$2,IF(#REF!=$Y$2,#REF!*gem_invest))</f>
        <v>#REF!</v>
      </c>
      <c r="AV121" s="134"/>
      <c r="AW121" s="57" t="e">
        <f>IF(#REF!=AW$2,IF(#REF!=$Z$2,#REF!*plat_invest)) + IF(#REF!=AW$2,IF(#REF!=$Z$2,#REF!*plat_invest)) + IF(#REF!=AW$2,IF(#REF!=$Z$2,#REF!*plat_invest))</f>
        <v>#REF!</v>
      </c>
      <c r="AX121" s="57" t="e">
        <f>IF(#REF!=AX$2,IF(#REF!=$Z$2,#REF!*lumber_invest)) + IF(#REF!=AX$2,IF(#REF!=$Z$2,#REF!*lumber_invest)) + IF(#REF!=AX$2,IF(#REF!=$Z$2,#REF!*lumber_invest))</f>
        <v>#REF!</v>
      </c>
      <c r="AY121" s="57" t="e">
        <f>IF(#REF!=AY$2,IF(#REF!=$Z$2,#REF!*ore_invest)) + IF(#REF!=AY$2,IF(#REF!=$Z$2,#REF!*ore_invest)) + IF(#REF!=AY$2,IF(#REF!=$Z$2,#REF!*ore_invest))</f>
        <v>#REF!</v>
      </c>
      <c r="AZ121" s="57" t="e">
        <f>IF(#REF!=AZ$2,IF(#REF!=$Z$2,#REF!*gem_invest)) + IF(#REF!=AZ$2,IF(#REF!=$Z$2,#REF!*gem_invest)) + IF(#REF!=AZ$2,IF(#REF!=$Z$2,#REF!*gem_invest))</f>
        <v>#REF!</v>
      </c>
      <c r="BA121" s="134"/>
      <c r="BB121" s="57" t="e">
        <f>IF(#REF!=BB$2,IF(#REF!=$AA$2,#REF!*plat_invest)) + IF(#REF!=BB$2,IF(#REF!=$AA$2,#REF!*plat_invest)) + IF(#REF!=BB$2,IF(#REF!=$AA$2,#REF!*plat_invest))</f>
        <v>#REF!</v>
      </c>
      <c r="BC121" s="57" t="e">
        <f>IF(#REF!=BC$2,IF(#REF!=$AA$2,#REF!*lumber_invest)) + IF(#REF!=BC$2,IF(#REF!=$AA$2,#REF!*lumber_invest)) + IF(#REF!=BC$2,IF(#REF!=$AA$2,#REF!*lumber_invest))</f>
        <v>#REF!</v>
      </c>
      <c r="BD121" s="57" t="e">
        <f>IF(#REF!=BD$2,IF(#REF!=$AA$2,#REF!*ore_invest)) + IF(#REF!=BD$2,IF(#REF!=$AA$2,#REF!*ore_invest)) + IF(#REF!=BD$2,IF(#REF!=$AA$2,#REF!*ore_invest))</f>
        <v>#REF!</v>
      </c>
      <c r="BE121" s="57" t="e">
        <f>IF(#REF!=BE$2,IF(#REF!=$AA$2,#REF!*gem_invest)) + IF(#REF!=BE$2,IF(#REF!=$AA$2,#REF!*gem_invest)) + IF(#REF!=BE$2,IF(#REF!=$AA$2,#REF!*gem_invest))</f>
        <v>#REF!</v>
      </c>
      <c r="BF121" s="134"/>
      <c r="BG121" s="57" t="e">
        <f>IF(#REF!=BG$2,IF(#REF!=$AB$2,#REF!*plat_invest)) + IF(#REF!=BG$2,IF(#REF!=$AB$2,#REF!*plat_invest)) + IF(#REF!=BG$2,IF(#REF!=$AB$2,#REF!*plat_invest))</f>
        <v>#REF!</v>
      </c>
      <c r="BH121" s="57" t="e">
        <f>IF(#REF!=BH$2,IF(#REF!=$AB$2,#REF!*lumber_invest)) + IF(#REF!=BH$2,IF(#REF!=$AB$2,#REF!*lumber_invest)) + IF(#REF!=BH$2,IF(#REF!=$AB$2,#REF!*lumber_invest))</f>
        <v>#REF!</v>
      </c>
      <c r="BI121" s="57" t="e">
        <f>IF(#REF!=BI$2,IF(#REF!=$AB$2,#REF!*ore_invest)) + IF(#REF!=BI$2,IF(#REF!=$AB$2,#REF!*ore_invest)) + IF(#REF!=BI$2,IF(#REF!=$AB$2,#REF!*ore_invest))</f>
        <v>#REF!</v>
      </c>
      <c r="BJ121" s="57" t="e">
        <f>IF(#REF!=BJ$2,IF(#REF!=$AB$2,#REF!*gem_invest)) + IF(#REF!=BJ$2,IF(#REF!=$AB$2,#REF!*gem_invest)) + IF(#REF!=BJ$2,IF(#REF!=$AB$2,#REF!*gem_invest))</f>
        <v>#REF!</v>
      </c>
      <c r="BK121" s="134"/>
      <c r="BL121" s="57" t="e">
        <f>IF(#REF!=BL$2,IF(#REF!=$AC$2,#REF!*plat_invest)) + IF(#REF!=BL$2,IF(#REF!=$AC$2,#REF!*plat_invest)) + IF(#REF!=BL$2,IF(#REF!=$AC$2,#REF!*plat_invest))</f>
        <v>#REF!</v>
      </c>
      <c r="BM121" s="57" t="e">
        <f>IF(#REF!=BM$2,IF(#REF!=$AC$2,#REF!*lumber_invest)) + IF(#REF!=BM$2,IF(#REF!=$AC$2,#REF!*lumber_invest)) + IF(#REF!=BM$2,IF(#REF!=$AC$2,#REF!*lumber_invest))</f>
        <v>#REF!</v>
      </c>
      <c r="BN121" s="57" t="e">
        <f>IF(#REF!=BN$2,IF(#REF!=$AC$2,#REF!*ore_invest)) + IF(#REF!=BN$2,IF(#REF!=$AC$2,#REF!*ore_invest)) + IF(#REF!=BN$2,IF(#REF!=$AC$2,#REF!*ore_invest))</f>
        <v>#REF!</v>
      </c>
      <c r="BO121" s="57" t="e">
        <f>IF(#REF!=BO$2,IF(#REF!=$AC$2,#REF!*gem_invest)) + IF(#REF!=BO$2,IF(#REF!=$AC$2,#REF!*gem_invest)) + IF(#REF!=BO$2,IF(#REF!=$AC$2,#REF!*gem_invest))</f>
        <v>#REF!</v>
      </c>
      <c r="BP121" s="134"/>
      <c r="BQ121" s="57" t="e">
        <f>IF(#REF!=BQ$2,IF(#REF!=$AD$2,#REF!*plat_invest)) + IF(#REF!=BQ$2,IF(#REF!=$AD$2,#REF!*plat_invest)) + IF(#REF!=BQ$2,IF(#REF!=$AD$2,#REF!*plat_invest))</f>
        <v>#REF!</v>
      </c>
      <c r="BR121" s="57" t="e">
        <f>IF(#REF!=BR$2,IF(#REF!=$AD$2,#REF!*lumber_invest)) + IF(#REF!=BR$2,IF(#REF!=$AD$2,#REF!*lumber_invest)) + IF(#REF!=BR$2,IF(#REF!=$AD$2,#REF!*lumber_invest))</f>
        <v>#REF!</v>
      </c>
      <c r="BS121" s="57" t="e">
        <f>IF(#REF!=BS$2,IF(#REF!=$AD$2,#REF!*ore_invest)) + IF(#REF!=BS$2,IF(#REF!=$AD$2,#REF!*ore_invest)) + IF(#REF!=BS$2,IF(#REF!=$AD$2,#REF!*ore_invest))</f>
        <v>#REF!</v>
      </c>
      <c r="BT121" s="57" t="e">
        <f>IF(#REF!=BT$2,IF(#REF!=$AD$2,#REF!*gem_invest)) + IF(#REF!=BT$2,IF(#REF!=$AD$2,#REF!*gem_invest)) + IF(#REF!=BT$2,IF(#REF!=$AD$2,#REF!*gem_invest))</f>
        <v>#REF!</v>
      </c>
      <c r="BU121" s="134"/>
      <c r="BV121" s="3" t="e">
        <f>OR(#REF!,#REF!,#REF!,#REF!,#REF!,#REF!,#REF!,#REF!,#REF!)</f>
        <v>#REF!</v>
      </c>
      <c r="BW121" s="61" t="e">
        <f>#REF!</f>
        <v>#REF!</v>
      </c>
      <c r="BX121" s="130"/>
      <c r="BY121" s="284" t="e">
        <f ca="1">OFFSET(#REF!,-1,0)+1/24</f>
        <v>#REF!</v>
      </c>
      <c r="BZ121" s="285" t="e">
        <f ca="1">OFFSET(#REF!,-1,0)+1/24</f>
        <v>#REF!</v>
      </c>
      <c r="CA121" s="57"/>
      <c r="CB121" s="283"/>
      <c r="CC121" s="283"/>
    </row>
    <row r="122" spans="1:81" x14ac:dyDescent="0.25">
      <c r="A122" s="206" t="e">
        <f>#REF!</f>
        <v>#REF!</v>
      </c>
      <c r="B122" s="134"/>
      <c r="C122" s="39" t="e">
        <f>#REF!</f>
        <v>#REF!</v>
      </c>
      <c r="D122" s="39" t="e">
        <f>#REF!</f>
        <v>#REF!</v>
      </c>
      <c r="E122" s="39" t="e">
        <f>#REF!</f>
        <v>#REF!</v>
      </c>
      <c r="F122" s="39" t="e">
        <f>#REF!</f>
        <v>#REF!</v>
      </c>
      <c r="G122" s="133"/>
      <c r="H122" s="39" t="e">
        <f>#REF!</f>
        <v>#REF!</v>
      </c>
      <c r="I122" s="132" t="e">
        <f>#REF!</f>
        <v>#REF!</v>
      </c>
      <c r="J122" s="132" t="e">
        <f>#REF!/#REF!</f>
        <v>#REF!</v>
      </c>
      <c r="K122" s="160" t="e">
        <f>#REF!</f>
        <v>#REF!</v>
      </c>
      <c r="L122" s="276" t="e">
        <f>#REF!</f>
        <v>#REF!</v>
      </c>
      <c r="M122" s="61">
        <f>IF(ISERROR(#REF!),0,#REF!*1)</f>
        <v>0</v>
      </c>
      <c r="N122" s="39" t="e">
        <f>#REF!</f>
        <v>#REF!</v>
      </c>
      <c r="O122" s="277" t="s">
        <v>4</v>
      </c>
      <c r="P122" s="278"/>
      <c r="Q122" s="277" t="s">
        <v>211</v>
      </c>
      <c r="R122" s="277" t="s">
        <v>7</v>
      </c>
      <c r="S122" s="278"/>
      <c r="T122" s="277" t="s">
        <v>211</v>
      </c>
      <c r="U122" s="277" t="s">
        <v>3</v>
      </c>
      <c r="V122" s="278"/>
      <c r="W122" s="277" t="s">
        <v>211</v>
      </c>
      <c r="X122" s="134"/>
      <c r="Y122" s="209" t="e">
        <f ca="1">science_cap*(1-EXP(-#REF!/(science_param*(OFFSET(#REF!,1,0)-OFFSET(#REF!,1,0)*20)+15000)))*(1+(mason_bonus*#REF!/#REF!))</f>
        <v>#REF!</v>
      </c>
      <c r="Z122" s="209" t="e">
        <f ca="1">keep_cap*(1-EXP(-#REF!/(keep_param*(OFFSET(#REF!,1,0)-OFFSET(#REF!,1,0)*20)+15000)))*(1+(mason_bonus*#REF!/#REF!))</f>
        <v>#REF!</v>
      </c>
      <c r="AA122" s="209" t="e">
        <f ca="1">harbor_towers_cap*(1-EXP(-#REF!/(towers_param*(OFFSET(#REF!,1,0)-OFFSET(#REF!,1,0)*20)+15000)))*(1+(mason_bonus*#REF!/#REF!))</f>
        <v>#REF!</v>
      </c>
      <c r="AB122" s="209" t="e">
        <f ca="1">walls_forges_cap*(1-EXP(-#REF!/(walls_forges_param*(OFFSET(#REF!,1,0)-OFFSET(#REF!,1,0)*20)+15000)))*(1+(mason_bonus*#REF!/#REF!))</f>
        <v>#REF!</v>
      </c>
      <c r="AC122" s="209" t="e">
        <f ca="1">walls_forges_cap*(1-EXP(-#REF!/(walls_forges_param*(OFFSET(#REF!,1,0)-OFFSET(#REF!,1,0)*20)+15000)))*(1+(mason_bonus*#REF!/#REF!))</f>
        <v>#REF!</v>
      </c>
      <c r="AD122" s="209" t="e">
        <f ca="1">harbor_towers_cap*(1-EXP(-#REF!/(harbor_towers_param*(OFFSET(#REF!,1,0)-OFFSET(#REF!,1,0)*20)+15000)))*(1+(mason_bonus*#REF!/#REF!))</f>
        <v>#REF!</v>
      </c>
      <c r="AE122" s="134"/>
      <c r="AF122" s="61" t="e">
        <f ca="1">(1+Overview!$I$28)*SUM(#REF!)+OFFSET(#REF!,-1,0)</f>
        <v>#REF!</v>
      </c>
      <c r="AG122" s="61" t="e">
        <f ca="1">(1+Overview!$I$28)*SUM(#REF!)+OFFSET(#REF!,-1,0)</f>
        <v>#REF!</v>
      </c>
      <c r="AH122" s="61" t="e">
        <f ca="1">(1+Overview!$I$28 + tech_7_1*#REF!)*SUM(#REF!)+OFFSET(#REF!,-1,0)</f>
        <v>#REF!</v>
      </c>
      <c r="AI122" s="61" t="e">
        <f ca="1">(1+Overview!$I$28)*SUM(#REF!)+OFFSET(#REF!,-1,0)</f>
        <v>#REF!</v>
      </c>
      <c r="AJ122" s="61" t="e">
        <f ca="1">(1+Overview!$I$28)*SUM(#REF!)+OFFSET(#REF!,-1,0)</f>
        <v>#REF!</v>
      </c>
      <c r="AK122" s="61" t="e">
        <f ca="1">(1+Overview!$I$28 + tech_7_1*#REF!)*SUM(#REF!)+OFFSET(#REF!,-1,0)</f>
        <v>#REF!</v>
      </c>
      <c r="AL122" s="134"/>
      <c r="AM122" s="57" t="e">
        <f>IF(AND(#REF!=AM$2,#REF!&lt;&gt;""),#REF!) + IF(AND(#REF!=AM$2,#REF!&lt;&gt;""),#REF!) + IF(AND(#REF!=AM$2,#REF!&lt;&gt;""),#REF!)</f>
        <v>#REF!</v>
      </c>
      <c r="AN122" s="57" t="e">
        <f>IF(AND(#REF!=AN$2,#REF!&lt;&gt;""),#REF!) + IF(AND(#REF!=AN$2,#REF!&lt;&gt;""),#REF!) + IF(AND(#REF!=AN$2,#REF!&lt;&gt;""),#REF!)</f>
        <v>#REF!</v>
      </c>
      <c r="AO122" s="57" t="e">
        <f>IF(AND(#REF!=AO$2,#REF!&lt;&gt;""),#REF!) + IF(AND(#REF!=AO$2,#REF!&lt;&gt;""),#REF!) + IF(AND(#REF!=AO$2,#REF!&lt;&gt;""),#REF!)</f>
        <v>#REF!</v>
      </c>
      <c r="AP122" s="57" t="e">
        <f>IF(AND(#REF!=AP$2,#REF!&lt;&gt;""),#REF!) + IF(AND(#REF!=AP$2,#REF!&lt;&gt;""),#REF!) + IF(AND(#REF!=AP$2,#REF!&lt;&gt;""),#REF!)</f>
        <v>#REF!</v>
      </c>
      <c r="AQ122" s="134"/>
      <c r="AR122" s="57" t="e">
        <f>IF(#REF!=AR$2,IF(#REF!=$Y$2,#REF!*plat_invest)) + IF(#REF!=AR$2,IF(#REF!=$Y$2,#REF!*plat_invest)) + IF(#REF!=AR$2,IF(#REF!=$Y$2,#REF!*plat_invest))</f>
        <v>#REF!</v>
      </c>
      <c r="AS122" s="57" t="e">
        <f>IF(#REF!=AS$2,IF(#REF!=$Y$2,#REF!*lumber_invest)) + IF(#REF!=AS$2,IF(#REF!=$Y$2,#REF!*lumber_invest)) + IF(#REF!=AS$2,IF(#REF!=$Y$2,#REF!*lumber_invest))</f>
        <v>#REF!</v>
      </c>
      <c r="AT122" s="57" t="e">
        <f>IF(#REF!=AT$2,IF(#REF!=$Y$2,#REF!*ore_invest)) + IF(#REF!=AT$2,IF(#REF!=$Y$2,#REF!*ore_invest)) + IF(#REF!=AT$2,IF(#REF!=$Y$2,#REF!*ore_invest))</f>
        <v>#REF!</v>
      </c>
      <c r="AU122" s="57" t="e">
        <f>IF(#REF!=AU$2,IF(#REF!=$Y$2,#REF!*gem_invest)) + IF(#REF!=AU$2,IF(#REF!=$Y$2,#REF!*gem_invest)) + IF(#REF!=AU$2,IF(#REF!=$Y$2,#REF!*gem_invest))</f>
        <v>#REF!</v>
      </c>
      <c r="AV122" s="134"/>
      <c r="AW122" s="57" t="e">
        <f>IF(#REF!=AW$2,IF(#REF!=$Z$2,#REF!*plat_invest)) + IF(#REF!=AW$2,IF(#REF!=$Z$2,#REF!*plat_invest)) + IF(#REF!=AW$2,IF(#REF!=$Z$2,#REF!*plat_invest))</f>
        <v>#REF!</v>
      </c>
      <c r="AX122" s="57" t="e">
        <f>IF(#REF!=AX$2,IF(#REF!=$Z$2,#REF!*lumber_invest)) + IF(#REF!=AX$2,IF(#REF!=$Z$2,#REF!*lumber_invest)) + IF(#REF!=AX$2,IF(#REF!=$Z$2,#REF!*lumber_invest))</f>
        <v>#REF!</v>
      </c>
      <c r="AY122" s="57" t="e">
        <f>IF(#REF!=AY$2,IF(#REF!=$Z$2,#REF!*ore_invest)) + IF(#REF!=AY$2,IF(#REF!=$Z$2,#REF!*ore_invest)) + IF(#REF!=AY$2,IF(#REF!=$Z$2,#REF!*ore_invest))</f>
        <v>#REF!</v>
      </c>
      <c r="AZ122" s="57" t="e">
        <f>IF(#REF!=AZ$2,IF(#REF!=$Z$2,#REF!*gem_invest)) + IF(#REF!=AZ$2,IF(#REF!=$Z$2,#REF!*gem_invest)) + IF(#REF!=AZ$2,IF(#REF!=$Z$2,#REF!*gem_invest))</f>
        <v>#REF!</v>
      </c>
      <c r="BA122" s="134"/>
      <c r="BB122" s="57" t="e">
        <f>IF(#REF!=BB$2,IF(#REF!=$AA$2,#REF!*plat_invest)) + IF(#REF!=BB$2,IF(#REF!=$AA$2,#REF!*plat_invest)) + IF(#REF!=BB$2,IF(#REF!=$AA$2,#REF!*plat_invest))</f>
        <v>#REF!</v>
      </c>
      <c r="BC122" s="57" t="e">
        <f>IF(#REF!=BC$2,IF(#REF!=$AA$2,#REF!*lumber_invest)) + IF(#REF!=BC$2,IF(#REF!=$AA$2,#REF!*lumber_invest)) + IF(#REF!=BC$2,IF(#REF!=$AA$2,#REF!*lumber_invest))</f>
        <v>#REF!</v>
      </c>
      <c r="BD122" s="57" t="e">
        <f>IF(#REF!=BD$2,IF(#REF!=$AA$2,#REF!*ore_invest)) + IF(#REF!=BD$2,IF(#REF!=$AA$2,#REF!*ore_invest)) + IF(#REF!=BD$2,IF(#REF!=$AA$2,#REF!*ore_invest))</f>
        <v>#REF!</v>
      </c>
      <c r="BE122" s="57" t="e">
        <f>IF(#REF!=BE$2,IF(#REF!=$AA$2,#REF!*gem_invest)) + IF(#REF!=BE$2,IF(#REF!=$AA$2,#REF!*gem_invest)) + IF(#REF!=BE$2,IF(#REF!=$AA$2,#REF!*gem_invest))</f>
        <v>#REF!</v>
      </c>
      <c r="BF122" s="134"/>
      <c r="BG122" s="57" t="e">
        <f>IF(#REF!=BG$2,IF(#REF!=$AB$2,#REF!*plat_invest)) + IF(#REF!=BG$2,IF(#REF!=$AB$2,#REF!*plat_invest)) + IF(#REF!=BG$2,IF(#REF!=$AB$2,#REF!*plat_invest))</f>
        <v>#REF!</v>
      </c>
      <c r="BH122" s="57" t="e">
        <f>IF(#REF!=BH$2,IF(#REF!=$AB$2,#REF!*lumber_invest)) + IF(#REF!=BH$2,IF(#REF!=$AB$2,#REF!*lumber_invest)) + IF(#REF!=BH$2,IF(#REF!=$AB$2,#REF!*lumber_invest))</f>
        <v>#REF!</v>
      </c>
      <c r="BI122" s="57" t="e">
        <f>IF(#REF!=BI$2,IF(#REF!=$AB$2,#REF!*ore_invest)) + IF(#REF!=BI$2,IF(#REF!=$AB$2,#REF!*ore_invest)) + IF(#REF!=BI$2,IF(#REF!=$AB$2,#REF!*ore_invest))</f>
        <v>#REF!</v>
      </c>
      <c r="BJ122" s="57" t="e">
        <f>IF(#REF!=BJ$2,IF(#REF!=$AB$2,#REF!*gem_invest)) + IF(#REF!=BJ$2,IF(#REF!=$AB$2,#REF!*gem_invest)) + IF(#REF!=BJ$2,IF(#REF!=$AB$2,#REF!*gem_invest))</f>
        <v>#REF!</v>
      </c>
      <c r="BK122" s="134"/>
      <c r="BL122" s="57" t="e">
        <f>IF(#REF!=BL$2,IF(#REF!=$AC$2,#REF!*plat_invest)) + IF(#REF!=BL$2,IF(#REF!=$AC$2,#REF!*plat_invest)) + IF(#REF!=BL$2,IF(#REF!=$AC$2,#REF!*plat_invest))</f>
        <v>#REF!</v>
      </c>
      <c r="BM122" s="57" t="e">
        <f>IF(#REF!=BM$2,IF(#REF!=$AC$2,#REF!*lumber_invest)) + IF(#REF!=BM$2,IF(#REF!=$AC$2,#REF!*lumber_invest)) + IF(#REF!=BM$2,IF(#REF!=$AC$2,#REF!*lumber_invest))</f>
        <v>#REF!</v>
      </c>
      <c r="BN122" s="57" t="e">
        <f>IF(#REF!=BN$2,IF(#REF!=$AC$2,#REF!*ore_invest)) + IF(#REF!=BN$2,IF(#REF!=$AC$2,#REF!*ore_invest)) + IF(#REF!=BN$2,IF(#REF!=$AC$2,#REF!*ore_invest))</f>
        <v>#REF!</v>
      </c>
      <c r="BO122" s="57" t="e">
        <f>IF(#REF!=BO$2,IF(#REF!=$AC$2,#REF!*gem_invest)) + IF(#REF!=BO$2,IF(#REF!=$AC$2,#REF!*gem_invest)) + IF(#REF!=BO$2,IF(#REF!=$AC$2,#REF!*gem_invest))</f>
        <v>#REF!</v>
      </c>
      <c r="BP122" s="134"/>
      <c r="BQ122" s="57" t="e">
        <f>IF(#REF!=BQ$2,IF(#REF!=$AD$2,#REF!*plat_invest)) + IF(#REF!=BQ$2,IF(#REF!=$AD$2,#REF!*plat_invest)) + IF(#REF!=BQ$2,IF(#REF!=$AD$2,#REF!*plat_invest))</f>
        <v>#REF!</v>
      </c>
      <c r="BR122" s="57" t="e">
        <f>IF(#REF!=BR$2,IF(#REF!=$AD$2,#REF!*lumber_invest)) + IF(#REF!=BR$2,IF(#REF!=$AD$2,#REF!*lumber_invest)) + IF(#REF!=BR$2,IF(#REF!=$AD$2,#REF!*lumber_invest))</f>
        <v>#REF!</v>
      </c>
      <c r="BS122" s="57" t="e">
        <f>IF(#REF!=BS$2,IF(#REF!=$AD$2,#REF!*ore_invest)) + IF(#REF!=BS$2,IF(#REF!=$AD$2,#REF!*ore_invest)) + IF(#REF!=BS$2,IF(#REF!=$AD$2,#REF!*ore_invest))</f>
        <v>#REF!</v>
      </c>
      <c r="BT122" s="57" t="e">
        <f>IF(#REF!=BT$2,IF(#REF!=$AD$2,#REF!*gem_invest)) + IF(#REF!=BT$2,IF(#REF!=$AD$2,#REF!*gem_invest)) + IF(#REF!=BT$2,IF(#REF!=$AD$2,#REF!*gem_invest))</f>
        <v>#REF!</v>
      </c>
      <c r="BU122" s="134"/>
      <c r="BV122" s="3" t="e">
        <f>OR(#REF!,#REF!,#REF!,#REF!,#REF!,#REF!,#REF!,#REF!,#REF!)</f>
        <v>#REF!</v>
      </c>
      <c r="BW122" s="61" t="e">
        <f>#REF!</f>
        <v>#REF!</v>
      </c>
      <c r="BX122" s="130"/>
      <c r="BY122" s="284" t="e">
        <f ca="1">OFFSET(#REF!,-1,0)+1/24</f>
        <v>#REF!</v>
      </c>
      <c r="BZ122" s="285" t="e">
        <f ca="1">OFFSET(#REF!,-1,0)+1/24</f>
        <v>#REF!</v>
      </c>
      <c r="CA122" s="57"/>
      <c r="CB122" s="283"/>
      <c r="CC122" s="283"/>
    </row>
    <row r="123" spans="1:81" x14ac:dyDescent="0.25">
      <c r="A123" s="206" t="e">
        <f>#REF!</f>
        <v>#REF!</v>
      </c>
      <c r="B123" s="134"/>
      <c r="C123" s="39" t="e">
        <f>#REF!</f>
        <v>#REF!</v>
      </c>
      <c r="D123" s="39" t="e">
        <f>#REF!</f>
        <v>#REF!</v>
      </c>
      <c r="E123" s="39" t="e">
        <f>#REF!</f>
        <v>#REF!</v>
      </c>
      <c r="F123" s="39" t="e">
        <f>#REF!</f>
        <v>#REF!</v>
      </c>
      <c r="G123" s="133"/>
      <c r="H123" s="39" t="e">
        <f>#REF!</f>
        <v>#REF!</v>
      </c>
      <c r="I123" s="132" t="e">
        <f>#REF!</f>
        <v>#REF!</v>
      </c>
      <c r="J123" s="132" t="e">
        <f>#REF!/#REF!</f>
        <v>#REF!</v>
      </c>
      <c r="K123" s="160" t="e">
        <f>#REF!</f>
        <v>#REF!</v>
      </c>
      <c r="L123" s="276" t="e">
        <f>#REF!</f>
        <v>#REF!</v>
      </c>
      <c r="M123" s="61">
        <f>IF(ISERROR(#REF!),0,#REF!*1)</f>
        <v>0</v>
      </c>
      <c r="N123" s="39" t="e">
        <f>#REF!</f>
        <v>#REF!</v>
      </c>
      <c r="O123" s="277" t="s">
        <v>4</v>
      </c>
      <c r="P123" s="278"/>
      <c r="Q123" s="277" t="s">
        <v>211</v>
      </c>
      <c r="R123" s="277" t="s">
        <v>7</v>
      </c>
      <c r="S123" s="278"/>
      <c r="T123" s="277" t="s">
        <v>211</v>
      </c>
      <c r="U123" s="277" t="s">
        <v>3</v>
      </c>
      <c r="V123" s="278"/>
      <c r="W123" s="277" t="s">
        <v>211</v>
      </c>
      <c r="X123" s="134"/>
      <c r="Y123" s="209" t="e">
        <f ca="1">science_cap*(1-EXP(-#REF!/(science_param*(OFFSET(#REF!,1,0)-OFFSET(#REF!,1,0)*20)+15000)))*(1+(mason_bonus*#REF!/#REF!))</f>
        <v>#REF!</v>
      </c>
      <c r="Z123" s="209" t="e">
        <f ca="1">keep_cap*(1-EXP(-#REF!/(keep_param*(OFFSET(#REF!,1,0)-OFFSET(#REF!,1,0)*20)+15000)))*(1+(mason_bonus*#REF!/#REF!))</f>
        <v>#REF!</v>
      </c>
      <c r="AA123" s="209" t="e">
        <f ca="1">harbor_towers_cap*(1-EXP(-#REF!/(towers_param*(OFFSET(#REF!,1,0)-OFFSET(#REF!,1,0)*20)+15000)))*(1+(mason_bonus*#REF!/#REF!))</f>
        <v>#REF!</v>
      </c>
      <c r="AB123" s="209" t="e">
        <f ca="1">walls_forges_cap*(1-EXP(-#REF!/(walls_forges_param*(OFFSET(#REF!,1,0)-OFFSET(#REF!,1,0)*20)+15000)))*(1+(mason_bonus*#REF!/#REF!))</f>
        <v>#REF!</v>
      </c>
      <c r="AC123" s="209" t="e">
        <f ca="1">walls_forges_cap*(1-EXP(-#REF!/(walls_forges_param*(OFFSET(#REF!,1,0)-OFFSET(#REF!,1,0)*20)+15000)))*(1+(mason_bonus*#REF!/#REF!))</f>
        <v>#REF!</v>
      </c>
      <c r="AD123" s="209" t="e">
        <f ca="1">harbor_towers_cap*(1-EXP(-#REF!/(harbor_towers_param*(OFFSET(#REF!,1,0)-OFFSET(#REF!,1,0)*20)+15000)))*(1+(mason_bonus*#REF!/#REF!))</f>
        <v>#REF!</v>
      </c>
      <c r="AE123" s="134"/>
      <c r="AF123" s="61" t="e">
        <f ca="1">(1+Overview!$I$28)*SUM(#REF!)+OFFSET(#REF!,-1,0)</f>
        <v>#REF!</v>
      </c>
      <c r="AG123" s="61" t="e">
        <f ca="1">(1+Overview!$I$28)*SUM(#REF!)+OFFSET(#REF!,-1,0)</f>
        <v>#REF!</v>
      </c>
      <c r="AH123" s="61" t="e">
        <f ca="1">(1+Overview!$I$28 + tech_7_1*#REF!)*SUM(#REF!)+OFFSET(#REF!,-1,0)</f>
        <v>#REF!</v>
      </c>
      <c r="AI123" s="61" t="e">
        <f ca="1">(1+Overview!$I$28)*SUM(#REF!)+OFFSET(#REF!,-1,0)</f>
        <v>#REF!</v>
      </c>
      <c r="AJ123" s="61" t="e">
        <f ca="1">(1+Overview!$I$28)*SUM(#REF!)+OFFSET(#REF!,-1,0)</f>
        <v>#REF!</v>
      </c>
      <c r="AK123" s="61" t="e">
        <f ca="1">(1+Overview!$I$28 + tech_7_1*#REF!)*SUM(#REF!)+OFFSET(#REF!,-1,0)</f>
        <v>#REF!</v>
      </c>
      <c r="AL123" s="134"/>
      <c r="AM123" s="57" t="e">
        <f>IF(AND(#REF!=AM$2,#REF!&lt;&gt;""),#REF!) + IF(AND(#REF!=AM$2,#REF!&lt;&gt;""),#REF!) + IF(AND(#REF!=AM$2,#REF!&lt;&gt;""),#REF!)</f>
        <v>#REF!</v>
      </c>
      <c r="AN123" s="57" t="e">
        <f>IF(AND(#REF!=AN$2,#REF!&lt;&gt;""),#REF!) + IF(AND(#REF!=AN$2,#REF!&lt;&gt;""),#REF!) + IF(AND(#REF!=AN$2,#REF!&lt;&gt;""),#REF!)</f>
        <v>#REF!</v>
      </c>
      <c r="AO123" s="57" t="e">
        <f>IF(AND(#REF!=AO$2,#REF!&lt;&gt;""),#REF!) + IF(AND(#REF!=AO$2,#REF!&lt;&gt;""),#REF!) + IF(AND(#REF!=AO$2,#REF!&lt;&gt;""),#REF!)</f>
        <v>#REF!</v>
      </c>
      <c r="AP123" s="57" t="e">
        <f>IF(AND(#REF!=AP$2,#REF!&lt;&gt;""),#REF!) + IF(AND(#REF!=AP$2,#REF!&lt;&gt;""),#REF!) + IF(AND(#REF!=AP$2,#REF!&lt;&gt;""),#REF!)</f>
        <v>#REF!</v>
      </c>
      <c r="AQ123" s="134"/>
      <c r="AR123" s="57" t="e">
        <f>IF(#REF!=AR$2,IF(#REF!=$Y$2,#REF!*plat_invest)) + IF(#REF!=AR$2,IF(#REF!=$Y$2,#REF!*plat_invest)) + IF(#REF!=AR$2,IF(#REF!=$Y$2,#REF!*plat_invest))</f>
        <v>#REF!</v>
      </c>
      <c r="AS123" s="57" t="e">
        <f>IF(#REF!=AS$2,IF(#REF!=$Y$2,#REF!*lumber_invest)) + IF(#REF!=AS$2,IF(#REF!=$Y$2,#REF!*lumber_invest)) + IF(#REF!=AS$2,IF(#REF!=$Y$2,#REF!*lumber_invest))</f>
        <v>#REF!</v>
      </c>
      <c r="AT123" s="57" t="e">
        <f>IF(#REF!=AT$2,IF(#REF!=$Y$2,#REF!*ore_invest)) + IF(#REF!=AT$2,IF(#REF!=$Y$2,#REF!*ore_invest)) + IF(#REF!=AT$2,IF(#REF!=$Y$2,#REF!*ore_invest))</f>
        <v>#REF!</v>
      </c>
      <c r="AU123" s="57" t="e">
        <f>IF(#REF!=AU$2,IF(#REF!=$Y$2,#REF!*gem_invest)) + IF(#REF!=AU$2,IF(#REF!=$Y$2,#REF!*gem_invest)) + IF(#REF!=AU$2,IF(#REF!=$Y$2,#REF!*gem_invest))</f>
        <v>#REF!</v>
      </c>
      <c r="AV123" s="134"/>
      <c r="AW123" s="57" t="e">
        <f>IF(#REF!=AW$2,IF(#REF!=$Z$2,#REF!*plat_invest)) + IF(#REF!=AW$2,IF(#REF!=$Z$2,#REF!*plat_invest)) + IF(#REF!=AW$2,IF(#REF!=$Z$2,#REF!*plat_invest))</f>
        <v>#REF!</v>
      </c>
      <c r="AX123" s="57" t="e">
        <f>IF(#REF!=AX$2,IF(#REF!=$Z$2,#REF!*lumber_invest)) + IF(#REF!=AX$2,IF(#REF!=$Z$2,#REF!*lumber_invest)) + IF(#REF!=AX$2,IF(#REF!=$Z$2,#REF!*lumber_invest))</f>
        <v>#REF!</v>
      </c>
      <c r="AY123" s="57" t="e">
        <f>IF(#REF!=AY$2,IF(#REF!=$Z$2,#REF!*ore_invest)) + IF(#REF!=AY$2,IF(#REF!=$Z$2,#REF!*ore_invest)) + IF(#REF!=AY$2,IF(#REF!=$Z$2,#REF!*ore_invest))</f>
        <v>#REF!</v>
      </c>
      <c r="AZ123" s="57" t="e">
        <f>IF(#REF!=AZ$2,IF(#REF!=$Z$2,#REF!*gem_invest)) + IF(#REF!=AZ$2,IF(#REF!=$Z$2,#REF!*gem_invest)) + IF(#REF!=AZ$2,IF(#REF!=$Z$2,#REF!*gem_invest))</f>
        <v>#REF!</v>
      </c>
      <c r="BA123" s="134"/>
      <c r="BB123" s="57" t="e">
        <f>IF(#REF!=BB$2,IF(#REF!=$AA$2,#REF!*plat_invest)) + IF(#REF!=BB$2,IF(#REF!=$AA$2,#REF!*plat_invest)) + IF(#REF!=BB$2,IF(#REF!=$AA$2,#REF!*plat_invest))</f>
        <v>#REF!</v>
      </c>
      <c r="BC123" s="57" t="e">
        <f>IF(#REF!=BC$2,IF(#REF!=$AA$2,#REF!*lumber_invest)) + IF(#REF!=BC$2,IF(#REF!=$AA$2,#REF!*lumber_invest)) + IF(#REF!=BC$2,IF(#REF!=$AA$2,#REF!*lumber_invest))</f>
        <v>#REF!</v>
      </c>
      <c r="BD123" s="57" t="e">
        <f>IF(#REF!=BD$2,IF(#REF!=$AA$2,#REF!*ore_invest)) + IF(#REF!=BD$2,IF(#REF!=$AA$2,#REF!*ore_invest)) + IF(#REF!=BD$2,IF(#REF!=$AA$2,#REF!*ore_invest))</f>
        <v>#REF!</v>
      </c>
      <c r="BE123" s="57" t="e">
        <f>IF(#REF!=BE$2,IF(#REF!=$AA$2,#REF!*gem_invest)) + IF(#REF!=BE$2,IF(#REF!=$AA$2,#REF!*gem_invest)) + IF(#REF!=BE$2,IF(#REF!=$AA$2,#REF!*gem_invest))</f>
        <v>#REF!</v>
      </c>
      <c r="BF123" s="134"/>
      <c r="BG123" s="57" t="e">
        <f>IF(#REF!=BG$2,IF(#REF!=$AB$2,#REF!*plat_invest)) + IF(#REF!=BG$2,IF(#REF!=$AB$2,#REF!*plat_invest)) + IF(#REF!=BG$2,IF(#REF!=$AB$2,#REF!*plat_invest))</f>
        <v>#REF!</v>
      </c>
      <c r="BH123" s="57" t="e">
        <f>IF(#REF!=BH$2,IF(#REF!=$AB$2,#REF!*lumber_invest)) + IF(#REF!=BH$2,IF(#REF!=$AB$2,#REF!*lumber_invest)) + IF(#REF!=BH$2,IF(#REF!=$AB$2,#REF!*lumber_invest))</f>
        <v>#REF!</v>
      </c>
      <c r="BI123" s="57" t="e">
        <f>IF(#REF!=BI$2,IF(#REF!=$AB$2,#REF!*ore_invest)) + IF(#REF!=BI$2,IF(#REF!=$AB$2,#REF!*ore_invest)) + IF(#REF!=BI$2,IF(#REF!=$AB$2,#REF!*ore_invest))</f>
        <v>#REF!</v>
      </c>
      <c r="BJ123" s="57" t="e">
        <f>IF(#REF!=BJ$2,IF(#REF!=$AB$2,#REF!*gem_invest)) + IF(#REF!=BJ$2,IF(#REF!=$AB$2,#REF!*gem_invest)) + IF(#REF!=BJ$2,IF(#REF!=$AB$2,#REF!*gem_invest))</f>
        <v>#REF!</v>
      </c>
      <c r="BK123" s="134"/>
      <c r="BL123" s="57" t="e">
        <f>IF(#REF!=BL$2,IF(#REF!=$AC$2,#REF!*plat_invest)) + IF(#REF!=BL$2,IF(#REF!=$AC$2,#REF!*plat_invest)) + IF(#REF!=BL$2,IF(#REF!=$AC$2,#REF!*plat_invest))</f>
        <v>#REF!</v>
      </c>
      <c r="BM123" s="57" t="e">
        <f>IF(#REF!=BM$2,IF(#REF!=$AC$2,#REF!*lumber_invest)) + IF(#REF!=BM$2,IF(#REF!=$AC$2,#REF!*lumber_invest)) + IF(#REF!=BM$2,IF(#REF!=$AC$2,#REF!*lumber_invest))</f>
        <v>#REF!</v>
      </c>
      <c r="BN123" s="57" t="e">
        <f>IF(#REF!=BN$2,IF(#REF!=$AC$2,#REF!*ore_invest)) + IF(#REF!=BN$2,IF(#REF!=$AC$2,#REF!*ore_invest)) + IF(#REF!=BN$2,IF(#REF!=$AC$2,#REF!*ore_invest))</f>
        <v>#REF!</v>
      </c>
      <c r="BO123" s="57" t="e">
        <f>IF(#REF!=BO$2,IF(#REF!=$AC$2,#REF!*gem_invest)) + IF(#REF!=BO$2,IF(#REF!=$AC$2,#REF!*gem_invest)) + IF(#REF!=BO$2,IF(#REF!=$AC$2,#REF!*gem_invest))</f>
        <v>#REF!</v>
      </c>
      <c r="BP123" s="134"/>
      <c r="BQ123" s="57" t="e">
        <f>IF(#REF!=BQ$2,IF(#REF!=$AD$2,#REF!*plat_invest)) + IF(#REF!=BQ$2,IF(#REF!=$AD$2,#REF!*plat_invest)) + IF(#REF!=BQ$2,IF(#REF!=$AD$2,#REF!*plat_invest))</f>
        <v>#REF!</v>
      </c>
      <c r="BR123" s="57" t="e">
        <f>IF(#REF!=BR$2,IF(#REF!=$AD$2,#REF!*lumber_invest)) + IF(#REF!=BR$2,IF(#REF!=$AD$2,#REF!*lumber_invest)) + IF(#REF!=BR$2,IF(#REF!=$AD$2,#REF!*lumber_invest))</f>
        <v>#REF!</v>
      </c>
      <c r="BS123" s="57" t="e">
        <f>IF(#REF!=BS$2,IF(#REF!=$AD$2,#REF!*ore_invest)) + IF(#REF!=BS$2,IF(#REF!=$AD$2,#REF!*ore_invest)) + IF(#REF!=BS$2,IF(#REF!=$AD$2,#REF!*ore_invest))</f>
        <v>#REF!</v>
      </c>
      <c r="BT123" s="57" t="e">
        <f>IF(#REF!=BT$2,IF(#REF!=$AD$2,#REF!*gem_invest)) + IF(#REF!=BT$2,IF(#REF!=$AD$2,#REF!*gem_invest)) + IF(#REF!=BT$2,IF(#REF!=$AD$2,#REF!*gem_invest))</f>
        <v>#REF!</v>
      </c>
      <c r="BU123" s="134"/>
      <c r="BV123" s="3" t="e">
        <f>OR(#REF!,#REF!,#REF!,#REF!,#REF!,#REF!,#REF!,#REF!,#REF!)</f>
        <v>#REF!</v>
      </c>
      <c r="BW123" s="61" t="e">
        <f>#REF!</f>
        <v>#REF!</v>
      </c>
      <c r="BX123" s="130"/>
      <c r="BY123" s="284" t="e">
        <f ca="1">OFFSET(#REF!,-1,0)+1/24</f>
        <v>#REF!</v>
      </c>
      <c r="BZ123" s="285" t="e">
        <f ca="1">OFFSET(#REF!,-1,0)+1/24</f>
        <v>#REF!</v>
      </c>
      <c r="CA123" s="57"/>
      <c r="CB123" s="283"/>
      <c r="CC123" s="283"/>
    </row>
    <row r="124" spans="1:81" x14ac:dyDescent="0.25">
      <c r="A124" s="206" t="e">
        <f>#REF!</f>
        <v>#REF!</v>
      </c>
      <c r="B124" s="134"/>
      <c r="C124" s="39" t="e">
        <f>#REF!</f>
        <v>#REF!</v>
      </c>
      <c r="D124" s="39" t="e">
        <f>#REF!</f>
        <v>#REF!</v>
      </c>
      <c r="E124" s="39" t="e">
        <f>#REF!</f>
        <v>#REF!</v>
      </c>
      <c r="F124" s="39" t="e">
        <f>#REF!</f>
        <v>#REF!</v>
      </c>
      <c r="G124" s="133"/>
      <c r="H124" s="39" t="e">
        <f>#REF!</f>
        <v>#REF!</v>
      </c>
      <c r="I124" s="132" t="e">
        <f>#REF!</f>
        <v>#REF!</v>
      </c>
      <c r="J124" s="132" t="e">
        <f>#REF!/#REF!</f>
        <v>#REF!</v>
      </c>
      <c r="K124" s="160" t="e">
        <f>#REF!</f>
        <v>#REF!</v>
      </c>
      <c r="L124" s="276" t="e">
        <f>#REF!</f>
        <v>#REF!</v>
      </c>
      <c r="M124" s="61">
        <f>IF(ISERROR(#REF!),0,#REF!*1)</f>
        <v>0</v>
      </c>
      <c r="N124" s="39" t="e">
        <f>#REF!</f>
        <v>#REF!</v>
      </c>
      <c r="O124" s="277" t="s">
        <v>4</v>
      </c>
      <c r="P124" s="278"/>
      <c r="Q124" s="277" t="s">
        <v>211</v>
      </c>
      <c r="R124" s="277" t="s">
        <v>7</v>
      </c>
      <c r="S124" s="278"/>
      <c r="T124" s="277" t="s">
        <v>211</v>
      </c>
      <c r="U124" s="277" t="s">
        <v>3</v>
      </c>
      <c r="V124" s="278"/>
      <c r="W124" s="277" t="s">
        <v>211</v>
      </c>
      <c r="X124" s="134"/>
      <c r="Y124" s="209" t="e">
        <f ca="1">science_cap*(1-EXP(-#REF!/(science_param*(OFFSET(#REF!,1,0)-OFFSET(#REF!,1,0)*20)+15000)))*(1+(mason_bonus*#REF!/#REF!))</f>
        <v>#REF!</v>
      </c>
      <c r="Z124" s="209" t="e">
        <f ca="1">keep_cap*(1-EXP(-#REF!/(keep_param*(OFFSET(#REF!,1,0)-OFFSET(#REF!,1,0)*20)+15000)))*(1+(mason_bonus*#REF!/#REF!))</f>
        <v>#REF!</v>
      </c>
      <c r="AA124" s="209" t="e">
        <f ca="1">harbor_towers_cap*(1-EXP(-#REF!/(towers_param*(OFFSET(#REF!,1,0)-OFFSET(#REF!,1,0)*20)+15000)))*(1+(mason_bonus*#REF!/#REF!))</f>
        <v>#REF!</v>
      </c>
      <c r="AB124" s="209" t="e">
        <f ca="1">walls_forges_cap*(1-EXP(-#REF!/(walls_forges_param*(OFFSET(#REF!,1,0)-OFFSET(#REF!,1,0)*20)+15000)))*(1+(mason_bonus*#REF!/#REF!))</f>
        <v>#REF!</v>
      </c>
      <c r="AC124" s="209" t="e">
        <f ca="1">walls_forges_cap*(1-EXP(-#REF!/(walls_forges_param*(OFFSET(#REF!,1,0)-OFFSET(#REF!,1,0)*20)+15000)))*(1+(mason_bonus*#REF!/#REF!))</f>
        <v>#REF!</v>
      </c>
      <c r="AD124" s="209" t="e">
        <f ca="1">harbor_towers_cap*(1-EXP(-#REF!/(harbor_towers_param*(OFFSET(#REF!,1,0)-OFFSET(#REF!,1,0)*20)+15000)))*(1+(mason_bonus*#REF!/#REF!))</f>
        <v>#REF!</v>
      </c>
      <c r="AE124" s="134"/>
      <c r="AF124" s="61" t="e">
        <f ca="1">(1+Overview!$I$28)*SUM(#REF!)+OFFSET(#REF!,-1,0)</f>
        <v>#REF!</v>
      </c>
      <c r="AG124" s="61" t="e">
        <f ca="1">(1+Overview!$I$28)*SUM(#REF!)+OFFSET(#REF!,-1,0)</f>
        <v>#REF!</v>
      </c>
      <c r="AH124" s="61" t="e">
        <f ca="1">(1+Overview!$I$28 + tech_7_1*#REF!)*SUM(#REF!)+OFFSET(#REF!,-1,0)</f>
        <v>#REF!</v>
      </c>
      <c r="AI124" s="61" t="e">
        <f ca="1">(1+Overview!$I$28)*SUM(#REF!)+OFFSET(#REF!,-1,0)</f>
        <v>#REF!</v>
      </c>
      <c r="AJ124" s="61" t="e">
        <f ca="1">(1+Overview!$I$28)*SUM(#REF!)+OFFSET(#REF!,-1,0)</f>
        <v>#REF!</v>
      </c>
      <c r="AK124" s="61" t="e">
        <f ca="1">(1+Overview!$I$28 + tech_7_1*#REF!)*SUM(#REF!)+OFFSET(#REF!,-1,0)</f>
        <v>#REF!</v>
      </c>
      <c r="AL124" s="134"/>
      <c r="AM124" s="57" t="e">
        <f>IF(AND(#REF!=AM$2,#REF!&lt;&gt;""),#REF!) + IF(AND(#REF!=AM$2,#REF!&lt;&gt;""),#REF!) + IF(AND(#REF!=AM$2,#REF!&lt;&gt;""),#REF!)</f>
        <v>#REF!</v>
      </c>
      <c r="AN124" s="57" t="e">
        <f>IF(AND(#REF!=AN$2,#REF!&lt;&gt;""),#REF!) + IF(AND(#REF!=AN$2,#REF!&lt;&gt;""),#REF!) + IF(AND(#REF!=AN$2,#REF!&lt;&gt;""),#REF!)</f>
        <v>#REF!</v>
      </c>
      <c r="AO124" s="57" t="e">
        <f>IF(AND(#REF!=AO$2,#REF!&lt;&gt;""),#REF!) + IF(AND(#REF!=AO$2,#REF!&lt;&gt;""),#REF!) + IF(AND(#REF!=AO$2,#REF!&lt;&gt;""),#REF!)</f>
        <v>#REF!</v>
      </c>
      <c r="AP124" s="57" t="e">
        <f>IF(AND(#REF!=AP$2,#REF!&lt;&gt;""),#REF!) + IF(AND(#REF!=AP$2,#REF!&lt;&gt;""),#REF!) + IF(AND(#REF!=AP$2,#REF!&lt;&gt;""),#REF!)</f>
        <v>#REF!</v>
      </c>
      <c r="AQ124" s="134"/>
      <c r="AR124" s="57" t="e">
        <f>IF(#REF!=AR$2,IF(#REF!=$Y$2,#REF!*plat_invest)) + IF(#REF!=AR$2,IF(#REF!=$Y$2,#REF!*plat_invest)) + IF(#REF!=AR$2,IF(#REF!=$Y$2,#REF!*plat_invest))</f>
        <v>#REF!</v>
      </c>
      <c r="AS124" s="57" t="e">
        <f>IF(#REF!=AS$2,IF(#REF!=$Y$2,#REF!*lumber_invest)) + IF(#REF!=AS$2,IF(#REF!=$Y$2,#REF!*lumber_invest)) + IF(#REF!=AS$2,IF(#REF!=$Y$2,#REF!*lumber_invest))</f>
        <v>#REF!</v>
      </c>
      <c r="AT124" s="57" t="e">
        <f>IF(#REF!=AT$2,IF(#REF!=$Y$2,#REF!*ore_invest)) + IF(#REF!=AT$2,IF(#REF!=$Y$2,#REF!*ore_invest)) + IF(#REF!=AT$2,IF(#REF!=$Y$2,#REF!*ore_invest))</f>
        <v>#REF!</v>
      </c>
      <c r="AU124" s="57" t="e">
        <f>IF(#REF!=AU$2,IF(#REF!=$Y$2,#REF!*gem_invest)) + IF(#REF!=AU$2,IF(#REF!=$Y$2,#REF!*gem_invest)) + IF(#REF!=AU$2,IF(#REF!=$Y$2,#REF!*gem_invest))</f>
        <v>#REF!</v>
      </c>
      <c r="AV124" s="134"/>
      <c r="AW124" s="57" t="e">
        <f>IF(#REF!=AW$2,IF(#REF!=$Z$2,#REF!*plat_invest)) + IF(#REF!=AW$2,IF(#REF!=$Z$2,#REF!*plat_invest)) + IF(#REF!=AW$2,IF(#REF!=$Z$2,#REF!*plat_invest))</f>
        <v>#REF!</v>
      </c>
      <c r="AX124" s="57" t="e">
        <f>IF(#REF!=AX$2,IF(#REF!=$Z$2,#REF!*lumber_invest)) + IF(#REF!=AX$2,IF(#REF!=$Z$2,#REF!*lumber_invest)) + IF(#REF!=AX$2,IF(#REF!=$Z$2,#REF!*lumber_invest))</f>
        <v>#REF!</v>
      </c>
      <c r="AY124" s="57" t="e">
        <f>IF(#REF!=AY$2,IF(#REF!=$Z$2,#REF!*ore_invest)) + IF(#REF!=AY$2,IF(#REF!=$Z$2,#REF!*ore_invest)) + IF(#REF!=AY$2,IF(#REF!=$Z$2,#REF!*ore_invest))</f>
        <v>#REF!</v>
      </c>
      <c r="AZ124" s="57" t="e">
        <f>IF(#REF!=AZ$2,IF(#REF!=$Z$2,#REF!*gem_invest)) + IF(#REF!=AZ$2,IF(#REF!=$Z$2,#REF!*gem_invest)) + IF(#REF!=AZ$2,IF(#REF!=$Z$2,#REF!*gem_invest))</f>
        <v>#REF!</v>
      </c>
      <c r="BA124" s="134"/>
      <c r="BB124" s="57" t="e">
        <f>IF(#REF!=BB$2,IF(#REF!=$AA$2,#REF!*plat_invest)) + IF(#REF!=BB$2,IF(#REF!=$AA$2,#REF!*plat_invest)) + IF(#REF!=BB$2,IF(#REF!=$AA$2,#REF!*plat_invest))</f>
        <v>#REF!</v>
      </c>
      <c r="BC124" s="57" t="e">
        <f>IF(#REF!=BC$2,IF(#REF!=$AA$2,#REF!*lumber_invest)) + IF(#REF!=BC$2,IF(#REF!=$AA$2,#REF!*lumber_invest)) + IF(#REF!=BC$2,IF(#REF!=$AA$2,#REF!*lumber_invest))</f>
        <v>#REF!</v>
      </c>
      <c r="BD124" s="57" t="e">
        <f>IF(#REF!=BD$2,IF(#REF!=$AA$2,#REF!*ore_invest)) + IF(#REF!=BD$2,IF(#REF!=$AA$2,#REF!*ore_invest)) + IF(#REF!=BD$2,IF(#REF!=$AA$2,#REF!*ore_invest))</f>
        <v>#REF!</v>
      </c>
      <c r="BE124" s="57" t="e">
        <f>IF(#REF!=BE$2,IF(#REF!=$AA$2,#REF!*gem_invest)) + IF(#REF!=BE$2,IF(#REF!=$AA$2,#REF!*gem_invest)) + IF(#REF!=BE$2,IF(#REF!=$AA$2,#REF!*gem_invest))</f>
        <v>#REF!</v>
      </c>
      <c r="BF124" s="134"/>
      <c r="BG124" s="57" t="e">
        <f>IF(#REF!=BG$2,IF(#REF!=$AB$2,#REF!*plat_invest)) + IF(#REF!=BG$2,IF(#REF!=$AB$2,#REF!*plat_invest)) + IF(#REF!=BG$2,IF(#REF!=$AB$2,#REF!*plat_invest))</f>
        <v>#REF!</v>
      </c>
      <c r="BH124" s="57" t="e">
        <f>IF(#REF!=BH$2,IF(#REF!=$AB$2,#REF!*lumber_invest)) + IF(#REF!=BH$2,IF(#REF!=$AB$2,#REF!*lumber_invest)) + IF(#REF!=BH$2,IF(#REF!=$AB$2,#REF!*lumber_invest))</f>
        <v>#REF!</v>
      </c>
      <c r="BI124" s="57" t="e">
        <f>IF(#REF!=BI$2,IF(#REF!=$AB$2,#REF!*ore_invest)) + IF(#REF!=BI$2,IF(#REF!=$AB$2,#REF!*ore_invest)) + IF(#REF!=BI$2,IF(#REF!=$AB$2,#REF!*ore_invest))</f>
        <v>#REF!</v>
      </c>
      <c r="BJ124" s="57" t="e">
        <f>IF(#REF!=BJ$2,IF(#REF!=$AB$2,#REF!*gem_invest)) + IF(#REF!=BJ$2,IF(#REF!=$AB$2,#REF!*gem_invest)) + IF(#REF!=BJ$2,IF(#REF!=$AB$2,#REF!*gem_invest))</f>
        <v>#REF!</v>
      </c>
      <c r="BK124" s="134"/>
      <c r="BL124" s="57" t="e">
        <f>IF(#REF!=BL$2,IF(#REF!=$AC$2,#REF!*plat_invest)) + IF(#REF!=BL$2,IF(#REF!=$AC$2,#REF!*plat_invest)) + IF(#REF!=BL$2,IF(#REF!=$AC$2,#REF!*plat_invest))</f>
        <v>#REF!</v>
      </c>
      <c r="BM124" s="57" t="e">
        <f>IF(#REF!=BM$2,IF(#REF!=$AC$2,#REF!*lumber_invest)) + IF(#REF!=BM$2,IF(#REF!=$AC$2,#REF!*lumber_invest)) + IF(#REF!=BM$2,IF(#REF!=$AC$2,#REF!*lumber_invest))</f>
        <v>#REF!</v>
      </c>
      <c r="BN124" s="57" t="e">
        <f>IF(#REF!=BN$2,IF(#REF!=$AC$2,#REF!*ore_invest)) + IF(#REF!=BN$2,IF(#REF!=$AC$2,#REF!*ore_invest)) + IF(#REF!=BN$2,IF(#REF!=$AC$2,#REF!*ore_invest))</f>
        <v>#REF!</v>
      </c>
      <c r="BO124" s="57" t="e">
        <f>IF(#REF!=BO$2,IF(#REF!=$AC$2,#REF!*gem_invest)) + IF(#REF!=BO$2,IF(#REF!=$AC$2,#REF!*gem_invest)) + IF(#REF!=BO$2,IF(#REF!=$AC$2,#REF!*gem_invest))</f>
        <v>#REF!</v>
      </c>
      <c r="BP124" s="134"/>
      <c r="BQ124" s="57" t="e">
        <f>IF(#REF!=BQ$2,IF(#REF!=$AD$2,#REF!*plat_invest)) + IF(#REF!=BQ$2,IF(#REF!=$AD$2,#REF!*plat_invest)) + IF(#REF!=BQ$2,IF(#REF!=$AD$2,#REF!*plat_invest))</f>
        <v>#REF!</v>
      </c>
      <c r="BR124" s="57" t="e">
        <f>IF(#REF!=BR$2,IF(#REF!=$AD$2,#REF!*lumber_invest)) + IF(#REF!=BR$2,IF(#REF!=$AD$2,#REF!*lumber_invest)) + IF(#REF!=BR$2,IF(#REF!=$AD$2,#REF!*lumber_invest))</f>
        <v>#REF!</v>
      </c>
      <c r="BS124" s="57" t="e">
        <f>IF(#REF!=BS$2,IF(#REF!=$AD$2,#REF!*ore_invest)) + IF(#REF!=BS$2,IF(#REF!=$AD$2,#REF!*ore_invest)) + IF(#REF!=BS$2,IF(#REF!=$AD$2,#REF!*ore_invest))</f>
        <v>#REF!</v>
      </c>
      <c r="BT124" s="57" t="e">
        <f>IF(#REF!=BT$2,IF(#REF!=$AD$2,#REF!*gem_invest)) + IF(#REF!=BT$2,IF(#REF!=$AD$2,#REF!*gem_invest)) + IF(#REF!=BT$2,IF(#REF!=$AD$2,#REF!*gem_invest))</f>
        <v>#REF!</v>
      </c>
      <c r="BU124" s="134"/>
      <c r="BV124" s="3" t="e">
        <f>OR(#REF!,#REF!,#REF!,#REF!,#REF!,#REF!,#REF!,#REF!,#REF!)</f>
        <v>#REF!</v>
      </c>
      <c r="BW124" s="61" t="e">
        <f>#REF!</f>
        <v>#REF!</v>
      </c>
      <c r="BX124" s="130"/>
      <c r="BY124" s="284" t="e">
        <f ca="1">OFFSET(#REF!,-1,0)+1/24</f>
        <v>#REF!</v>
      </c>
      <c r="BZ124" s="285" t="e">
        <f ca="1">OFFSET(#REF!,-1,0)+1/24</f>
        <v>#REF!</v>
      </c>
      <c r="CA124" s="57"/>
      <c r="CB124" s="283"/>
      <c r="CC124" s="283"/>
    </row>
    <row r="125" spans="1:81" x14ac:dyDescent="0.25">
      <c r="A125" s="206" t="e">
        <f>#REF!</f>
        <v>#REF!</v>
      </c>
      <c r="B125" s="134"/>
      <c r="C125" s="39" t="e">
        <f>#REF!</f>
        <v>#REF!</v>
      </c>
      <c r="D125" s="39" t="e">
        <f>#REF!</f>
        <v>#REF!</v>
      </c>
      <c r="E125" s="39" t="e">
        <f>#REF!</f>
        <v>#REF!</v>
      </c>
      <c r="F125" s="39" t="e">
        <f>#REF!</f>
        <v>#REF!</v>
      </c>
      <c r="G125" s="133"/>
      <c r="H125" s="39" t="e">
        <f>#REF!</f>
        <v>#REF!</v>
      </c>
      <c r="I125" s="132" t="e">
        <f>#REF!</f>
        <v>#REF!</v>
      </c>
      <c r="J125" s="132" t="e">
        <f>#REF!/#REF!</f>
        <v>#REF!</v>
      </c>
      <c r="K125" s="160" t="e">
        <f>#REF!</f>
        <v>#REF!</v>
      </c>
      <c r="L125" s="276" t="e">
        <f>#REF!</f>
        <v>#REF!</v>
      </c>
      <c r="M125" s="61">
        <f>IF(ISERROR(#REF!),0,#REF!*1)</f>
        <v>0</v>
      </c>
      <c r="N125" s="39" t="e">
        <f>#REF!</f>
        <v>#REF!</v>
      </c>
      <c r="O125" s="277" t="s">
        <v>4</v>
      </c>
      <c r="P125" s="278"/>
      <c r="Q125" s="277" t="s">
        <v>211</v>
      </c>
      <c r="R125" s="277" t="s">
        <v>7</v>
      </c>
      <c r="S125" s="278"/>
      <c r="T125" s="277" t="s">
        <v>211</v>
      </c>
      <c r="U125" s="277" t="s">
        <v>3</v>
      </c>
      <c r="V125" s="278"/>
      <c r="W125" s="277" t="s">
        <v>211</v>
      </c>
      <c r="X125" s="134"/>
      <c r="Y125" s="209" t="e">
        <f ca="1">science_cap*(1-EXP(-#REF!/(science_param*(OFFSET(#REF!,1,0)-OFFSET(#REF!,1,0)*20)+15000)))*(1+(mason_bonus*#REF!/#REF!))</f>
        <v>#REF!</v>
      </c>
      <c r="Z125" s="209" t="e">
        <f ca="1">keep_cap*(1-EXP(-#REF!/(keep_param*(OFFSET(#REF!,1,0)-OFFSET(#REF!,1,0)*20)+15000)))*(1+(mason_bonus*#REF!/#REF!))</f>
        <v>#REF!</v>
      </c>
      <c r="AA125" s="209" t="e">
        <f ca="1">harbor_towers_cap*(1-EXP(-#REF!/(towers_param*(OFFSET(#REF!,1,0)-OFFSET(#REF!,1,0)*20)+15000)))*(1+(mason_bonus*#REF!/#REF!))</f>
        <v>#REF!</v>
      </c>
      <c r="AB125" s="209" t="e">
        <f ca="1">walls_forges_cap*(1-EXP(-#REF!/(walls_forges_param*(OFFSET(#REF!,1,0)-OFFSET(#REF!,1,0)*20)+15000)))*(1+(mason_bonus*#REF!/#REF!))</f>
        <v>#REF!</v>
      </c>
      <c r="AC125" s="209" t="e">
        <f ca="1">walls_forges_cap*(1-EXP(-#REF!/(walls_forges_param*(OFFSET(#REF!,1,0)-OFFSET(#REF!,1,0)*20)+15000)))*(1+(mason_bonus*#REF!/#REF!))</f>
        <v>#REF!</v>
      </c>
      <c r="AD125" s="209" t="e">
        <f ca="1">harbor_towers_cap*(1-EXP(-#REF!/(harbor_towers_param*(OFFSET(#REF!,1,0)-OFFSET(#REF!,1,0)*20)+15000)))*(1+(mason_bonus*#REF!/#REF!))</f>
        <v>#REF!</v>
      </c>
      <c r="AE125" s="134"/>
      <c r="AF125" s="61" t="e">
        <f ca="1">(1+Overview!$I$28)*SUM(#REF!)+OFFSET(#REF!,-1,0)</f>
        <v>#REF!</v>
      </c>
      <c r="AG125" s="61" t="e">
        <f ca="1">(1+Overview!$I$28)*SUM(#REF!)+OFFSET(#REF!,-1,0)</f>
        <v>#REF!</v>
      </c>
      <c r="AH125" s="61" t="e">
        <f ca="1">(1+Overview!$I$28 + tech_7_1*#REF!)*SUM(#REF!)+OFFSET(#REF!,-1,0)</f>
        <v>#REF!</v>
      </c>
      <c r="AI125" s="61" t="e">
        <f ca="1">(1+Overview!$I$28)*SUM(#REF!)+OFFSET(#REF!,-1,0)</f>
        <v>#REF!</v>
      </c>
      <c r="AJ125" s="61" t="e">
        <f ca="1">(1+Overview!$I$28)*SUM(#REF!)+OFFSET(#REF!,-1,0)</f>
        <v>#REF!</v>
      </c>
      <c r="AK125" s="61" t="e">
        <f ca="1">(1+Overview!$I$28 + tech_7_1*#REF!)*SUM(#REF!)+OFFSET(#REF!,-1,0)</f>
        <v>#REF!</v>
      </c>
      <c r="AL125" s="134"/>
      <c r="AM125" s="57" t="e">
        <f>IF(AND(#REF!=AM$2,#REF!&lt;&gt;""),#REF!) + IF(AND(#REF!=AM$2,#REF!&lt;&gt;""),#REF!) + IF(AND(#REF!=AM$2,#REF!&lt;&gt;""),#REF!)</f>
        <v>#REF!</v>
      </c>
      <c r="AN125" s="57" t="e">
        <f>IF(AND(#REF!=AN$2,#REF!&lt;&gt;""),#REF!) + IF(AND(#REF!=AN$2,#REF!&lt;&gt;""),#REF!) + IF(AND(#REF!=AN$2,#REF!&lt;&gt;""),#REF!)</f>
        <v>#REF!</v>
      </c>
      <c r="AO125" s="57" t="e">
        <f>IF(AND(#REF!=AO$2,#REF!&lt;&gt;""),#REF!) + IF(AND(#REF!=AO$2,#REF!&lt;&gt;""),#REF!) + IF(AND(#REF!=AO$2,#REF!&lt;&gt;""),#REF!)</f>
        <v>#REF!</v>
      </c>
      <c r="AP125" s="57" t="e">
        <f>IF(AND(#REF!=AP$2,#REF!&lt;&gt;""),#REF!) + IF(AND(#REF!=AP$2,#REF!&lt;&gt;""),#REF!) + IF(AND(#REF!=AP$2,#REF!&lt;&gt;""),#REF!)</f>
        <v>#REF!</v>
      </c>
      <c r="AQ125" s="134"/>
      <c r="AR125" s="57" t="e">
        <f>IF(#REF!=AR$2,IF(#REF!=$Y$2,#REF!*plat_invest)) + IF(#REF!=AR$2,IF(#REF!=$Y$2,#REF!*plat_invest)) + IF(#REF!=AR$2,IF(#REF!=$Y$2,#REF!*plat_invest))</f>
        <v>#REF!</v>
      </c>
      <c r="AS125" s="57" t="e">
        <f>IF(#REF!=AS$2,IF(#REF!=$Y$2,#REF!*lumber_invest)) + IF(#REF!=AS$2,IF(#REF!=$Y$2,#REF!*lumber_invest)) + IF(#REF!=AS$2,IF(#REF!=$Y$2,#REF!*lumber_invest))</f>
        <v>#REF!</v>
      </c>
      <c r="AT125" s="57" t="e">
        <f>IF(#REF!=AT$2,IF(#REF!=$Y$2,#REF!*ore_invest)) + IF(#REF!=AT$2,IF(#REF!=$Y$2,#REF!*ore_invest)) + IF(#REF!=AT$2,IF(#REF!=$Y$2,#REF!*ore_invest))</f>
        <v>#REF!</v>
      </c>
      <c r="AU125" s="57" t="e">
        <f>IF(#REF!=AU$2,IF(#REF!=$Y$2,#REF!*gem_invest)) + IF(#REF!=AU$2,IF(#REF!=$Y$2,#REF!*gem_invest)) + IF(#REF!=AU$2,IF(#REF!=$Y$2,#REF!*gem_invest))</f>
        <v>#REF!</v>
      </c>
      <c r="AV125" s="134"/>
      <c r="AW125" s="57" t="e">
        <f>IF(#REF!=AW$2,IF(#REF!=$Z$2,#REF!*plat_invest)) + IF(#REF!=AW$2,IF(#REF!=$Z$2,#REF!*plat_invest)) + IF(#REF!=AW$2,IF(#REF!=$Z$2,#REF!*plat_invest))</f>
        <v>#REF!</v>
      </c>
      <c r="AX125" s="57" t="e">
        <f>IF(#REF!=AX$2,IF(#REF!=$Z$2,#REF!*lumber_invest)) + IF(#REF!=AX$2,IF(#REF!=$Z$2,#REF!*lumber_invest)) + IF(#REF!=AX$2,IF(#REF!=$Z$2,#REF!*lumber_invest))</f>
        <v>#REF!</v>
      </c>
      <c r="AY125" s="57" t="e">
        <f>IF(#REF!=AY$2,IF(#REF!=$Z$2,#REF!*ore_invest)) + IF(#REF!=AY$2,IF(#REF!=$Z$2,#REF!*ore_invest)) + IF(#REF!=AY$2,IF(#REF!=$Z$2,#REF!*ore_invest))</f>
        <v>#REF!</v>
      </c>
      <c r="AZ125" s="57" t="e">
        <f>IF(#REF!=AZ$2,IF(#REF!=$Z$2,#REF!*gem_invest)) + IF(#REF!=AZ$2,IF(#REF!=$Z$2,#REF!*gem_invest)) + IF(#REF!=AZ$2,IF(#REF!=$Z$2,#REF!*gem_invest))</f>
        <v>#REF!</v>
      </c>
      <c r="BA125" s="134"/>
      <c r="BB125" s="57" t="e">
        <f>IF(#REF!=BB$2,IF(#REF!=$AA$2,#REF!*plat_invest)) + IF(#REF!=BB$2,IF(#REF!=$AA$2,#REF!*plat_invest)) + IF(#REF!=BB$2,IF(#REF!=$AA$2,#REF!*plat_invest))</f>
        <v>#REF!</v>
      </c>
      <c r="BC125" s="57" t="e">
        <f>IF(#REF!=BC$2,IF(#REF!=$AA$2,#REF!*lumber_invest)) + IF(#REF!=BC$2,IF(#REF!=$AA$2,#REF!*lumber_invest)) + IF(#REF!=BC$2,IF(#REF!=$AA$2,#REF!*lumber_invest))</f>
        <v>#REF!</v>
      </c>
      <c r="BD125" s="57" t="e">
        <f>IF(#REF!=BD$2,IF(#REF!=$AA$2,#REF!*ore_invest)) + IF(#REF!=BD$2,IF(#REF!=$AA$2,#REF!*ore_invest)) + IF(#REF!=BD$2,IF(#REF!=$AA$2,#REF!*ore_invest))</f>
        <v>#REF!</v>
      </c>
      <c r="BE125" s="57" t="e">
        <f>IF(#REF!=BE$2,IF(#REF!=$AA$2,#REF!*gem_invest)) + IF(#REF!=BE$2,IF(#REF!=$AA$2,#REF!*gem_invest)) + IF(#REF!=BE$2,IF(#REF!=$AA$2,#REF!*gem_invest))</f>
        <v>#REF!</v>
      </c>
      <c r="BF125" s="134"/>
      <c r="BG125" s="57" t="e">
        <f>IF(#REF!=BG$2,IF(#REF!=$AB$2,#REF!*plat_invest)) + IF(#REF!=BG$2,IF(#REF!=$AB$2,#REF!*plat_invest)) + IF(#REF!=BG$2,IF(#REF!=$AB$2,#REF!*plat_invest))</f>
        <v>#REF!</v>
      </c>
      <c r="BH125" s="57" t="e">
        <f>IF(#REF!=BH$2,IF(#REF!=$AB$2,#REF!*lumber_invest)) + IF(#REF!=BH$2,IF(#REF!=$AB$2,#REF!*lumber_invest)) + IF(#REF!=BH$2,IF(#REF!=$AB$2,#REF!*lumber_invest))</f>
        <v>#REF!</v>
      </c>
      <c r="BI125" s="57" t="e">
        <f>IF(#REF!=BI$2,IF(#REF!=$AB$2,#REF!*ore_invest)) + IF(#REF!=BI$2,IF(#REF!=$AB$2,#REF!*ore_invest)) + IF(#REF!=BI$2,IF(#REF!=$AB$2,#REF!*ore_invest))</f>
        <v>#REF!</v>
      </c>
      <c r="BJ125" s="57" t="e">
        <f>IF(#REF!=BJ$2,IF(#REF!=$AB$2,#REF!*gem_invest)) + IF(#REF!=BJ$2,IF(#REF!=$AB$2,#REF!*gem_invest)) + IF(#REF!=BJ$2,IF(#REF!=$AB$2,#REF!*gem_invest))</f>
        <v>#REF!</v>
      </c>
      <c r="BK125" s="134"/>
      <c r="BL125" s="57" t="e">
        <f>IF(#REF!=BL$2,IF(#REF!=$AC$2,#REF!*plat_invest)) + IF(#REF!=BL$2,IF(#REF!=$AC$2,#REF!*plat_invest)) + IF(#REF!=BL$2,IF(#REF!=$AC$2,#REF!*plat_invest))</f>
        <v>#REF!</v>
      </c>
      <c r="BM125" s="57" t="e">
        <f>IF(#REF!=BM$2,IF(#REF!=$AC$2,#REF!*lumber_invest)) + IF(#REF!=BM$2,IF(#REF!=$AC$2,#REF!*lumber_invest)) + IF(#REF!=BM$2,IF(#REF!=$AC$2,#REF!*lumber_invest))</f>
        <v>#REF!</v>
      </c>
      <c r="BN125" s="57" t="e">
        <f>IF(#REF!=BN$2,IF(#REF!=$AC$2,#REF!*ore_invest)) + IF(#REF!=BN$2,IF(#REF!=$AC$2,#REF!*ore_invest)) + IF(#REF!=BN$2,IF(#REF!=$AC$2,#REF!*ore_invest))</f>
        <v>#REF!</v>
      </c>
      <c r="BO125" s="57" t="e">
        <f>IF(#REF!=BO$2,IF(#REF!=$AC$2,#REF!*gem_invest)) + IF(#REF!=BO$2,IF(#REF!=$AC$2,#REF!*gem_invest)) + IF(#REF!=BO$2,IF(#REF!=$AC$2,#REF!*gem_invest))</f>
        <v>#REF!</v>
      </c>
      <c r="BP125" s="134"/>
      <c r="BQ125" s="57" t="e">
        <f>IF(#REF!=BQ$2,IF(#REF!=$AD$2,#REF!*plat_invest)) + IF(#REF!=BQ$2,IF(#REF!=$AD$2,#REF!*plat_invest)) + IF(#REF!=BQ$2,IF(#REF!=$AD$2,#REF!*plat_invest))</f>
        <v>#REF!</v>
      </c>
      <c r="BR125" s="57" t="e">
        <f>IF(#REF!=BR$2,IF(#REF!=$AD$2,#REF!*lumber_invest)) + IF(#REF!=BR$2,IF(#REF!=$AD$2,#REF!*lumber_invest)) + IF(#REF!=BR$2,IF(#REF!=$AD$2,#REF!*lumber_invest))</f>
        <v>#REF!</v>
      </c>
      <c r="BS125" s="57" t="e">
        <f>IF(#REF!=BS$2,IF(#REF!=$AD$2,#REF!*ore_invest)) + IF(#REF!=BS$2,IF(#REF!=$AD$2,#REF!*ore_invest)) + IF(#REF!=BS$2,IF(#REF!=$AD$2,#REF!*ore_invest))</f>
        <v>#REF!</v>
      </c>
      <c r="BT125" s="57" t="e">
        <f>IF(#REF!=BT$2,IF(#REF!=$AD$2,#REF!*gem_invest)) + IF(#REF!=BT$2,IF(#REF!=$AD$2,#REF!*gem_invest)) + IF(#REF!=BT$2,IF(#REF!=$AD$2,#REF!*gem_invest))</f>
        <v>#REF!</v>
      </c>
      <c r="BU125" s="134"/>
      <c r="BV125" s="3" t="e">
        <f>OR(#REF!,#REF!,#REF!,#REF!,#REF!,#REF!,#REF!,#REF!,#REF!)</f>
        <v>#REF!</v>
      </c>
      <c r="BW125" s="61" t="e">
        <f>#REF!</f>
        <v>#REF!</v>
      </c>
      <c r="BX125" s="130"/>
      <c r="BY125" s="284" t="e">
        <f ca="1">OFFSET(#REF!,-1,0)+1/24</f>
        <v>#REF!</v>
      </c>
      <c r="BZ125" s="285" t="e">
        <f ca="1">OFFSET(#REF!,-1,0)+1/24</f>
        <v>#REF!</v>
      </c>
      <c r="CA125" s="57"/>
      <c r="CB125" s="283"/>
      <c r="CC125" s="283"/>
    </row>
    <row r="126" spans="1:81" x14ac:dyDescent="0.25">
      <c r="A126" s="206" t="e">
        <f>#REF!</f>
        <v>#REF!</v>
      </c>
      <c r="B126" s="134"/>
      <c r="C126" s="39" t="e">
        <f>#REF!</f>
        <v>#REF!</v>
      </c>
      <c r="D126" s="39" t="e">
        <f>#REF!</f>
        <v>#REF!</v>
      </c>
      <c r="E126" s="39" t="e">
        <f>#REF!</f>
        <v>#REF!</v>
      </c>
      <c r="F126" s="39" t="e">
        <f>#REF!</f>
        <v>#REF!</v>
      </c>
      <c r="G126" s="133"/>
      <c r="H126" s="39" t="e">
        <f>#REF!</f>
        <v>#REF!</v>
      </c>
      <c r="I126" s="132" t="e">
        <f>#REF!</f>
        <v>#REF!</v>
      </c>
      <c r="J126" s="132" t="e">
        <f>#REF!/#REF!</f>
        <v>#REF!</v>
      </c>
      <c r="K126" s="160" t="e">
        <f>#REF!</f>
        <v>#REF!</v>
      </c>
      <c r="L126" s="276" t="e">
        <f>#REF!</f>
        <v>#REF!</v>
      </c>
      <c r="M126" s="61">
        <f>IF(ISERROR(#REF!),0,#REF!*1)</f>
        <v>0</v>
      </c>
      <c r="N126" s="39" t="e">
        <f>#REF!</f>
        <v>#REF!</v>
      </c>
      <c r="O126" s="277" t="s">
        <v>4</v>
      </c>
      <c r="P126" s="278"/>
      <c r="Q126" s="277" t="s">
        <v>211</v>
      </c>
      <c r="R126" s="277" t="s">
        <v>7</v>
      </c>
      <c r="S126" s="278"/>
      <c r="T126" s="277" t="s">
        <v>211</v>
      </c>
      <c r="U126" s="277" t="s">
        <v>3</v>
      </c>
      <c r="V126" s="278"/>
      <c r="W126" s="277" t="s">
        <v>211</v>
      </c>
      <c r="X126" s="134"/>
      <c r="Y126" s="209" t="e">
        <f ca="1">science_cap*(1-EXP(-#REF!/(science_param*(OFFSET(#REF!,1,0)-OFFSET(#REF!,1,0)*20)+15000)))*(1+(mason_bonus*#REF!/#REF!))</f>
        <v>#REF!</v>
      </c>
      <c r="Z126" s="209" t="e">
        <f ca="1">keep_cap*(1-EXP(-#REF!/(keep_param*(OFFSET(#REF!,1,0)-OFFSET(#REF!,1,0)*20)+15000)))*(1+(mason_bonus*#REF!/#REF!))</f>
        <v>#REF!</v>
      </c>
      <c r="AA126" s="209" t="e">
        <f ca="1">harbor_towers_cap*(1-EXP(-#REF!/(towers_param*(OFFSET(#REF!,1,0)-OFFSET(#REF!,1,0)*20)+15000)))*(1+(mason_bonus*#REF!/#REF!))</f>
        <v>#REF!</v>
      </c>
      <c r="AB126" s="209" t="e">
        <f ca="1">walls_forges_cap*(1-EXP(-#REF!/(walls_forges_param*(OFFSET(#REF!,1,0)-OFFSET(#REF!,1,0)*20)+15000)))*(1+(mason_bonus*#REF!/#REF!))</f>
        <v>#REF!</v>
      </c>
      <c r="AC126" s="209" t="e">
        <f ca="1">walls_forges_cap*(1-EXP(-#REF!/(walls_forges_param*(OFFSET(#REF!,1,0)-OFFSET(#REF!,1,0)*20)+15000)))*(1+(mason_bonus*#REF!/#REF!))</f>
        <v>#REF!</v>
      </c>
      <c r="AD126" s="209" t="e">
        <f ca="1">harbor_towers_cap*(1-EXP(-#REF!/(harbor_towers_param*(OFFSET(#REF!,1,0)-OFFSET(#REF!,1,0)*20)+15000)))*(1+(mason_bonus*#REF!/#REF!))</f>
        <v>#REF!</v>
      </c>
      <c r="AE126" s="134"/>
      <c r="AF126" s="61" t="e">
        <f ca="1">(1+Overview!$I$28)*SUM(#REF!)+OFFSET(#REF!,-1,0)</f>
        <v>#REF!</v>
      </c>
      <c r="AG126" s="61" t="e">
        <f ca="1">(1+Overview!$I$28)*SUM(#REF!)+OFFSET(#REF!,-1,0)</f>
        <v>#REF!</v>
      </c>
      <c r="AH126" s="61" t="e">
        <f ca="1">(1+Overview!$I$28 + tech_7_1*#REF!)*SUM(#REF!)+OFFSET(#REF!,-1,0)</f>
        <v>#REF!</v>
      </c>
      <c r="AI126" s="61" t="e">
        <f ca="1">(1+Overview!$I$28)*SUM(#REF!)+OFFSET(#REF!,-1,0)</f>
        <v>#REF!</v>
      </c>
      <c r="AJ126" s="61" t="e">
        <f ca="1">(1+Overview!$I$28)*SUM(#REF!)+OFFSET(#REF!,-1,0)</f>
        <v>#REF!</v>
      </c>
      <c r="AK126" s="61" t="e">
        <f ca="1">(1+Overview!$I$28 + tech_7_1*#REF!)*SUM(#REF!)+OFFSET(#REF!,-1,0)</f>
        <v>#REF!</v>
      </c>
      <c r="AL126" s="134"/>
      <c r="AM126" s="57" t="e">
        <f>IF(AND(#REF!=AM$2,#REF!&lt;&gt;""),#REF!) + IF(AND(#REF!=AM$2,#REF!&lt;&gt;""),#REF!) + IF(AND(#REF!=AM$2,#REF!&lt;&gt;""),#REF!)</f>
        <v>#REF!</v>
      </c>
      <c r="AN126" s="57" t="e">
        <f>IF(AND(#REF!=AN$2,#REF!&lt;&gt;""),#REF!) + IF(AND(#REF!=AN$2,#REF!&lt;&gt;""),#REF!) + IF(AND(#REF!=AN$2,#REF!&lt;&gt;""),#REF!)</f>
        <v>#REF!</v>
      </c>
      <c r="AO126" s="57" t="e">
        <f>IF(AND(#REF!=AO$2,#REF!&lt;&gt;""),#REF!) + IF(AND(#REF!=AO$2,#REF!&lt;&gt;""),#REF!) + IF(AND(#REF!=AO$2,#REF!&lt;&gt;""),#REF!)</f>
        <v>#REF!</v>
      </c>
      <c r="AP126" s="57" t="e">
        <f>IF(AND(#REF!=AP$2,#REF!&lt;&gt;""),#REF!) + IF(AND(#REF!=AP$2,#REF!&lt;&gt;""),#REF!) + IF(AND(#REF!=AP$2,#REF!&lt;&gt;""),#REF!)</f>
        <v>#REF!</v>
      </c>
      <c r="AQ126" s="134"/>
      <c r="AR126" s="57" t="e">
        <f>IF(#REF!=AR$2,IF(#REF!=$Y$2,#REF!*plat_invest)) + IF(#REF!=AR$2,IF(#REF!=$Y$2,#REF!*plat_invest)) + IF(#REF!=AR$2,IF(#REF!=$Y$2,#REF!*plat_invest))</f>
        <v>#REF!</v>
      </c>
      <c r="AS126" s="57" t="e">
        <f>IF(#REF!=AS$2,IF(#REF!=$Y$2,#REF!*lumber_invest)) + IF(#REF!=AS$2,IF(#REF!=$Y$2,#REF!*lumber_invest)) + IF(#REF!=AS$2,IF(#REF!=$Y$2,#REF!*lumber_invest))</f>
        <v>#REF!</v>
      </c>
      <c r="AT126" s="57" t="e">
        <f>IF(#REF!=AT$2,IF(#REF!=$Y$2,#REF!*ore_invest)) + IF(#REF!=AT$2,IF(#REF!=$Y$2,#REF!*ore_invest)) + IF(#REF!=AT$2,IF(#REF!=$Y$2,#REF!*ore_invest))</f>
        <v>#REF!</v>
      </c>
      <c r="AU126" s="57" t="e">
        <f>IF(#REF!=AU$2,IF(#REF!=$Y$2,#REF!*gem_invest)) + IF(#REF!=AU$2,IF(#REF!=$Y$2,#REF!*gem_invest)) + IF(#REF!=AU$2,IF(#REF!=$Y$2,#REF!*gem_invest))</f>
        <v>#REF!</v>
      </c>
      <c r="AV126" s="134"/>
      <c r="AW126" s="57" t="e">
        <f>IF(#REF!=AW$2,IF(#REF!=$Z$2,#REF!*plat_invest)) + IF(#REF!=AW$2,IF(#REF!=$Z$2,#REF!*plat_invest)) + IF(#REF!=AW$2,IF(#REF!=$Z$2,#REF!*plat_invest))</f>
        <v>#REF!</v>
      </c>
      <c r="AX126" s="57" t="e">
        <f>IF(#REF!=AX$2,IF(#REF!=$Z$2,#REF!*lumber_invest)) + IF(#REF!=AX$2,IF(#REF!=$Z$2,#REF!*lumber_invest)) + IF(#REF!=AX$2,IF(#REF!=$Z$2,#REF!*lumber_invest))</f>
        <v>#REF!</v>
      </c>
      <c r="AY126" s="57" t="e">
        <f>IF(#REF!=AY$2,IF(#REF!=$Z$2,#REF!*ore_invest)) + IF(#REF!=AY$2,IF(#REF!=$Z$2,#REF!*ore_invest)) + IF(#REF!=AY$2,IF(#REF!=$Z$2,#REF!*ore_invest))</f>
        <v>#REF!</v>
      </c>
      <c r="AZ126" s="57" t="e">
        <f>IF(#REF!=AZ$2,IF(#REF!=$Z$2,#REF!*gem_invest)) + IF(#REF!=AZ$2,IF(#REF!=$Z$2,#REF!*gem_invest)) + IF(#REF!=AZ$2,IF(#REF!=$Z$2,#REF!*gem_invest))</f>
        <v>#REF!</v>
      </c>
      <c r="BA126" s="134"/>
      <c r="BB126" s="57" t="e">
        <f>IF(#REF!=BB$2,IF(#REF!=$AA$2,#REF!*plat_invest)) + IF(#REF!=BB$2,IF(#REF!=$AA$2,#REF!*plat_invest)) + IF(#REF!=BB$2,IF(#REF!=$AA$2,#REF!*plat_invest))</f>
        <v>#REF!</v>
      </c>
      <c r="BC126" s="57" t="e">
        <f>IF(#REF!=BC$2,IF(#REF!=$AA$2,#REF!*lumber_invest)) + IF(#REF!=BC$2,IF(#REF!=$AA$2,#REF!*lumber_invest)) + IF(#REF!=BC$2,IF(#REF!=$AA$2,#REF!*lumber_invest))</f>
        <v>#REF!</v>
      </c>
      <c r="BD126" s="57" t="e">
        <f>IF(#REF!=BD$2,IF(#REF!=$AA$2,#REF!*ore_invest)) + IF(#REF!=BD$2,IF(#REF!=$AA$2,#REF!*ore_invest)) + IF(#REF!=BD$2,IF(#REF!=$AA$2,#REF!*ore_invest))</f>
        <v>#REF!</v>
      </c>
      <c r="BE126" s="57" t="e">
        <f>IF(#REF!=BE$2,IF(#REF!=$AA$2,#REF!*gem_invest)) + IF(#REF!=BE$2,IF(#REF!=$AA$2,#REF!*gem_invest)) + IF(#REF!=BE$2,IF(#REF!=$AA$2,#REF!*gem_invest))</f>
        <v>#REF!</v>
      </c>
      <c r="BF126" s="134"/>
      <c r="BG126" s="57" t="e">
        <f>IF(#REF!=BG$2,IF(#REF!=$AB$2,#REF!*plat_invest)) + IF(#REF!=BG$2,IF(#REF!=$AB$2,#REF!*plat_invest)) + IF(#REF!=BG$2,IF(#REF!=$AB$2,#REF!*plat_invest))</f>
        <v>#REF!</v>
      </c>
      <c r="BH126" s="57" t="e">
        <f>IF(#REF!=BH$2,IF(#REF!=$AB$2,#REF!*lumber_invest)) + IF(#REF!=BH$2,IF(#REF!=$AB$2,#REF!*lumber_invest)) + IF(#REF!=BH$2,IF(#REF!=$AB$2,#REF!*lumber_invest))</f>
        <v>#REF!</v>
      </c>
      <c r="BI126" s="57" t="e">
        <f>IF(#REF!=BI$2,IF(#REF!=$AB$2,#REF!*ore_invest)) + IF(#REF!=BI$2,IF(#REF!=$AB$2,#REF!*ore_invest)) + IF(#REF!=BI$2,IF(#REF!=$AB$2,#REF!*ore_invest))</f>
        <v>#REF!</v>
      </c>
      <c r="BJ126" s="57" t="e">
        <f>IF(#REF!=BJ$2,IF(#REF!=$AB$2,#REF!*gem_invest)) + IF(#REF!=BJ$2,IF(#REF!=$AB$2,#REF!*gem_invest)) + IF(#REF!=BJ$2,IF(#REF!=$AB$2,#REF!*gem_invest))</f>
        <v>#REF!</v>
      </c>
      <c r="BK126" s="134"/>
      <c r="BL126" s="57" t="e">
        <f>IF(#REF!=BL$2,IF(#REF!=$AC$2,#REF!*plat_invest)) + IF(#REF!=BL$2,IF(#REF!=$AC$2,#REF!*plat_invest)) + IF(#REF!=BL$2,IF(#REF!=$AC$2,#REF!*plat_invest))</f>
        <v>#REF!</v>
      </c>
      <c r="BM126" s="57" t="e">
        <f>IF(#REF!=BM$2,IF(#REF!=$AC$2,#REF!*lumber_invest)) + IF(#REF!=BM$2,IF(#REF!=$AC$2,#REF!*lumber_invest)) + IF(#REF!=BM$2,IF(#REF!=$AC$2,#REF!*lumber_invest))</f>
        <v>#REF!</v>
      </c>
      <c r="BN126" s="57" t="e">
        <f>IF(#REF!=BN$2,IF(#REF!=$AC$2,#REF!*ore_invest)) + IF(#REF!=BN$2,IF(#REF!=$AC$2,#REF!*ore_invest)) + IF(#REF!=BN$2,IF(#REF!=$AC$2,#REF!*ore_invest))</f>
        <v>#REF!</v>
      </c>
      <c r="BO126" s="57" t="e">
        <f>IF(#REF!=BO$2,IF(#REF!=$AC$2,#REF!*gem_invest)) + IF(#REF!=BO$2,IF(#REF!=$AC$2,#REF!*gem_invest)) + IF(#REF!=BO$2,IF(#REF!=$AC$2,#REF!*gem_invest))</f>
        <v>#REF!</v>
      </c>
      <c r="BP126" s="134"/>
      <c r="BQ126" s="57" t="e">
        <f>IF(#REF!=BQ$2,IF(#REF!=$AD$2,#REF!*plat_invest)) + IF(#REF!=BQ$2,IF(#REF!=$AD$2,#REF!*plat_invest)) + IF(#REF!=BQ$2,IF(#REF!=$AD$2,#REF!*plat_invest))</f>
        <v>#REF!</v>
      </c>
      <c r="BR126" s="57" t="e">
        <f>IF(#REF!=BR$2,IF(#REF!=$AD$2,#REF!*lumber_invest)) + IF(#REF!=BR$2,IF(#REF!=$AD$2,#REF!*lumber_invest)) + IF(#REF!=BR$2,IF(#REF!=$AD$2,#REF!*lumber_invest))</f>
        <v>#REF!</v>
      </c>
      <c r="BS126" s="57" t="e">
        <f>IF(#REF!=BS$2,IF(#REF!=$AD$2,#REF!*ore_invest)) + IF(#REF!=BS$2,IF(#REF!=$AD$2,#REF!*ore_invest)) + IF(#REF!=BS$2,IF(#REF!=$AD$2,#REF!*ore_invest))</f>
        <v>#REF!</v>
      </c>
      <c r="BT126" s="57" t="e">
        <f>IF(#REF!=BT$2,IF(#REF!=$AD$2,#REF!*gem_invest)) + IF(#REF!=BT$2,IF(#REF!=$AD$2,#REF!*gem_invest)) + IF(#REF!=BT$2,IF(#REF!=$AD$2,#REF!*gem_invest))</f>
        <v>#REF!</v>
      </c>
      <c r="BU126" s="134"/>
      <c r="BV126" s="3" t="e">
        <f>OR(#REF!,#REF!,#REF!,#REF!,#REF!,#REF!,#REF!,#REF!,#REF!)</f>
        <v>#REF!</v>
      </c>
      <c r="BW126" s="61" t="e">
        <f>#REF!</f>
        <v>#REF!</v>
      </c>
      <c r="BX126" s="130"/>
      <c r="BY126" s="284" t="e">
        <f ca="1">OFFSET(#REF!,-1,0)+1/24</f>
        <v>#REF!</v>
      </c>
      <c r="BZ126" s="285" t="e">
        <f ca="1">OFFSET(#REF!,-1,0)+1/24</f>
        <v>#REF!</v>
      </c>
      <c r="CA126" s="57"/>
      <c r="CB126" s="283"/>
      <c r="CC126" s="283"/>
    </row>
    <row r="127" spans="1:81" x14ac:dyDescent="0.25">
      <c r="A127" s="206" t="e">
        <f>#REF!</f>
        <v>#REF!</v>
      </c>
      <c r="B127" s="134"/>
      <c r="C127" s="39" t="e">
        <f>#REF!</f>
        <v>#REF!</v>
      </c>
      <c r="D127" s="39" t="e">
        <f>#REF!</f>
        <v>#REF!</v>
      </c>
      <c r="E127" s="39" t="e">
        <f>#REF!</f>
        <v>#REF!</v>
      </c>
      <c r="F127" s="39" t="e">
        <f>#REF!</f>
        <v>#REF!</v>
      </c>
      <c r="G127" s="133"/>
      <c r="H127" s="39" t="e">
        <f>#REF!</f>
        <v>#REF!</v>
      </c>
      <c r="I127" s="132" t="e">
        <f>#REF!</f>
        <v>#REF!</v>
      </c>
      <c r="J127" s="132" t="e">
        <f>#REF!/#REF!</f>
        <v>#REF!</v>
      </c>
      <c r="K127" s="160" t="e">
        <f>#REF!</f>
        <v>#REF!</v>
      </c>
      <c r="L127" s="276" t="e">
        <f>#REF!</f>
        <v>#REF!</v>
      </c>
      <c r="M127" s="61">
        <f>IF(ISERROR(#REF!),0,#REF!*1)</f>
        <v>0</v>
      </c>
      <c r="N127" s="39" t="e">
        <f>#REF!</f>
        <v>#REF!</v>
      </c>
      <c r="O127" s="277" t="s">
        <v>4</v>
      </c>
      <c r="P127" s="278"/>
      <c r="Q127" s="277" t="s">
        <v>211</v>
      </c>
      <c r="R127" s="277" t="s">
        <v>7</v>
      </c>
      <c r="S127" s="278"/>
      <c r="T127" s="277" t="s">
        <v>211</v>
      </c>
      <c r="U127" s="277" t="s">
        <v>3</v>
      </c>
      <c r="V127" s="278"/>
      <c r="W127" s="277" t="s">
        <v>211</v>
      </c>
      <c r="X127" s="134"/>
      <c r="Y127" s="209" t="e">
        <f ca="1">science_cap*(1-EXP(-#REF!/(science_param*(OFFSET(#REF!,1,0)-OFFSET(#REF!,1,0)*20)+15000)))*(1+(mason_bonus*#REF!/#REF!))</f>
        <v>#REF!</v>
      </c>
      <c r="Z127" s="209" t="e">
        <f ca="1">keep_cap*(1-EXP(-#REF!/(keep_param*(OFFSET(#REF!,1,0)-OFFSET(#REF!,1,0)*20)+15000)))*(1+(mason_bonus*#REF!/#REF!))</f>
        <v>#REF!</v>
      </c>
      <c r="AA127" s="209" t="e">
        <f ca="1">harbor_towers_cap*(1-EXP(-#REF!/(towers_param*(OFFSET(#REF!,1,0)-OFFSET(#REF!,1,0)*20)+15000)))*(1+(mason_bonus*#REF!/#REF!))</f>
        <v>#REF!</v>
      </c>
      <c r="AB127" s="209" t="e">
        <f ca="1">walls_forges_cap*(1-EXP(-#REF!/(walls_forges_param*(OFFSET(#REF!,1,0)-OFFSET(#REF!,1,0)*20)+15000)))*(1+(mason_bonus*#REF!/#REF!))</f>
        <v>#REF!</v>
      </c>
      <c r="AC127" s="209" t="e">
        <f ca="1">walls_forges_cap*(1-EXP(-#REF!/(walls_forges_param*(OFFSET(#REF!,1,0)-OFFSET(#REF!,1,0)*20)+15000)))*(1+(mason_bonus*#REF!/#REF!))</f>
        <v>#REF!</v>
      </c>
      <c r="AD127" s="209" t="e">
        <f ca="1">harbor_towers_cap*(1-EXP(-#REF!/(harbor_towers_param*(OFFSET(#REF!,1,0)-OFFSET(#REF!,1,0)*20)+15000)))*(1+(mason_bonus*#REF!/#REF!))</f>
        <v>#REF!</v>
      </c>
      <c r="AE127" s="134"/>
      <c r="AF127" s="61" t="e">
        <f ca="1">(1+Overview!$I$28)*SUM(#REF!)+OFFSET(#REF!,-1,0)</f>
        <v>#REF!</v>
      </c>
      <c r="AG127" s="61" t="e">
        <f ca="1">(1+Overview!$I$28)*SUM(#REF!)+OFFSET(#REF!,-1,0)</f>
        <v>#REF!</v>
      </c>
      <c r="AH127" s="61" t="e">
        <f ca="1">(1+Overview!$I$28 + tech_7_1*#REF!)*SUM(#REF!)+OFFSET(#REF!,-1,0)</f>
        <v>#REF!</v>
      </c>
      <c r="AI127" s="61" t="e">
        <f ca="1">(1+Overview!$I$28)*SUM(#REF!)+OFFSET(#REF!,-1,0)</f>
        <v>#REF!</v>
      </c>
      <c r="AJ127" s="61" t="e">
        <f ca="1">(1+Overview!$I$28)*SUM(#REF!)+OFFSET(#REF!,-1,0)</f>
        <v>#REF!</v>
      </c>
      <c r="AK127" s="61" t="e">
        <f ca="1">(1+Overview!$I$28 + tech_7_1*#REF!)*SUM(#REF!)+OFFSET(#REF!,-1,0)</f>
        <v>#REF!</v>
      </c>
      <c r="AL127" s="134"/>
      <c r="AM127" s="57" t="e">
        <f>IF(AND(#REF!=AM$2,#REF!&lt;&gt;""),#REF!) + IF(AND(#REF!=AM$2,#REF!&lt;&gt;""),#REF!) + IF(AND(#REF!=AM$2,#REF!&lt;&gt;""),#REF!)</f>
        <v>#REF!</v>
      </c>
      <c r="AN127" s="57" t="e">
        <f>IF(AND(#REF!=AN$2,#REF!&lt;&gt;""),#REF!) + IF(AND(#REF!=AN$2,#REF!&lt;&gt;""),#REF!) + IF(AND(#REF!=AN$2,#REF!&lt;&gt;""),#REF!)</f>
        <v>#REF!</v>
      </c>
      <c r="AO127" s="57" t="e">
        <f>IF(AND(#REF!=AO$2,#REF!&lt;&gt;""),#REF!) + IF(AND(#REF!=AO$2,#REF!&lt;&gt;""),#REF!) + IF(AND(#REF!=AO$2,#REF!&lt;&gt;""),#REF!)</f>
        <v>#REF!</v>
      </c>
      <c r="AP127" s="57" t="e">
        <f>IF(AND(#REF!=AP$2,#REF!&lt;&gt;""),#REF!) + IF(AND(#REF!=AP$2,#REF!&lt;&gt;""),#REF!) + IF(AND(#REF!=AP$2,#REF!&lt;&gt;""),#REF!)</f>
        <v>#REF!</v>
      </c>
      <c r="AQ127" s="134"/>
      <c r="AR127" s="57" t="e">
        <f>IF(#REF!=AR$2,IF(#REF!=$Y$2,#REF!*plat_invest)) + IF(#REF!=AR$2,IF(#REF!=$Y$2,#REF!*plat_invest)) + IF(#REF!=AR$2,IF(#REF!=$Y$2,#REF!*plat_invest))</f>
        <v>#REF!</v>
      </c>
      <c r="AS127" s="57" t="e">
        <f>IF(#REF!=AS$2,IF(#REF!=$Y$2,#REF!*lumber_invest)) + IF(#REF!=AS$2,IF(#REF!=$Y$2,#REF!*lumber_invest)) + IF(#REF!=AS$2,IF(#REF!=$Y$2,#REF!*lumber_invest))</f>
        <v>#REF!</v>
      </c>
      <c r="AT127" s="57" t="e">
        <f>IF(#REF!=AT$2,IF(#REF!=$Y$2,#REF!*ore_invest)) + IF(#REF!=AT$2,IF(#REF!=$Y$2,#REF!*ore_invest)) + IF(#REF!=AT$2,IF(#REF!=$Y$2,#REF!*ore_invest))</f>
        <v>#REF!</v>
      </c>
      <c r="AU127" s="57" t="e">
        <f>IF(#REF!=AU$2,IF(#REF!=$Y$2,#REF!*gem_invest)) + IF(#REF!=AU$2,IF(#REF!=$Y$2,#REF!*gem_invest)) + IF(#REF!=AU$2,IF(#REF!=$Y$2,#REF!*gem_invest))</f>
        <v>#REF!</v>
      </c>
      <c r="AV127" s="134"/>
      <c r="AW127" s="57" t="e">
        <f>IF(#REF!=AW$2,IF(#REF!=$Z$2,#REF!*plat_invest)) + IF(#REF!=AW$2,IF(#REF!=$Z$2,#REF!*plat_invest)) + IF(#REF!=AW$2,IF(#REF!=$Z$2,#REF!*plat_invest))</f>
        <v>#REF!</v>
      </c>
      <c r="AX127" s="57" t="e">
        <f>IF(#REF!=AX$2,IF(#REF!=$Z$2,#REF!*lumber_invest)) + IF(#REF!=AX$2,IF(#REF!=$Z$2,#REF!*lumber_invest)) + IF(#REF!=AX$2,IF(#REF!=$Z$2,#REF!*lumber_invest))</f>
        <v>#REF!</v>
      </c>
      <c r="AY127" s="57" t="e">
        <f>IF(#REF!=AY$2,IF(#REF!=$Z$2,#REF!*ore_invest)) + IF(#REF!=AY$2,IF(#REF!=$Z$2,#REF!*ore_invest)) + IF(#REF!=AY$2,IF(#REF!=$Z$2,#REF!*ore_invest))</f>
        <v>#REF!</v>
      </c>
      <c r="AZ127" s="57" t="e">
        <f>IF(#REF!=AZ$2,IF(#REF!=$Z$2,#REF!*gem_invest)) + IF(#REF!=AZ$2,IF(#REF!=$Z$2,#REF!*gem_invest)) + IF(#REF!=AZ$2,IF(#REF!=$Z$2,#REF!*gem_invest))</f>
        <v>#REF!</v>
      </c>
      <c r="BA127" s="134"/>
      <c r="BB127" s="57" t="e">
        <f>IF(#REF!=BB$2,IF(#REF!=$AA$2,#REF!*plat_invest)) + IF(#REF!=BB$2,IF(#REF!=$AA$2,#REF!*plat_invest)) + IF(#REF!=BB$2,IF(#REF!=$AA$2,#REF!*plat_invest))</f>
        <v>#REF!</v>
      </c>
      <c r="BC127" s="57" t="e">
        <f>IF(#REF!=BC$2,IF(#REF!=$AA$2,#REF!*lumber_invest)) + IF(#REF!=BC$2,IF(#REF!=$AA$2,#REF!*lumber_invest)) + IF(#REF!=BC$2,IF(#REF!=$AA$2,#REF!*lumber_invest))</f>
        <v>#REF!</v>
      </c>
      <c r="BD127" s="57" t="e">
        <f>IF(#REF!=BD$2,IF(#REF!=$AA$2,#REF!*ore_invest)) + IF(#REF!=BD$2,IF(#REF!=$AA$2,#REF!*ore_invest)) + IF(#REF!=BD$2,IF(#REF!=$AA$2,#REF!*ore_invest))</f>
        <v>#REF!</v>
      </c>
      <c r="BE127" s="57" t="e">
        <f>IF(#REF!=BE$2,IF(#REF!=$AA$2,#REF!*gem_invest)) + IF(#REF!=BE$2,IF(#REF!=$AA$2,#REF!*gem_invest)) + IF(#REF!=BE$2,IF(#REF!=$AA$2,#REF!*gem_invest))</f>
        <v>#REF!</v>
      </c>
      <c r="BF127" s="134"/>
      <c r="BG127" s="57" t="e">
        <f>IF(#REF!=BG$2,IF(#REF!=$AB$2,#REF!*plat_invest)) + IF(#REF!=BG$2,IF(#REF!=$AB$2,#REF!*plat_invest)) + IF(#REF!=BG$2,IF(#REF!=$AB$2,#REF!*plat_invest))</f>
        <v>#REF!</v>
      </c>
      <c r="BH127" s="57" t="e">
        <f>IF(#REF!=BH$2,IF(#REF!=$AB$2,#REF!*lumber_invest)) + IF(#REF!=BH$2,IF(#REF!=$AB$2,#REF!*lumber_invest)) + IF(#REF!=BH$2,IF(#REF!=$AB$2,#REF!*lumber_invest))</f>
        <v>#REF!</v>
      </c>
      <c r="BI127" s="57" t="e">
        <f>IF(#REF!=BI$2,IF(#REF!=$AB$2,#REF!*ore_invest)) + IF(#REF!=BI$2,IF(#REF!=$AB$2,#REF!*ore_invest)) + IF(#REF!=BI$2,IF(#REF!=$AB$2,#REF!*ore_invest))</f>
        <v>#REF!</v>
      </c>
      <c r="BJ127" s="57" t="e">
        <f>IF(#REF!=BJ$2,IF(#REF!=$AB$2,#REF!*gem_invest)) + IF(#REF!=BJ$2,IF(#REF!=$AB$2,#REF!*gem_invest)) + IF(#REF!=BJ$2,IF(#REF!=$AB$2,#REF!*gem_invest))</f>
        <v>#REF!</v>
      </c>
      <c r="BK127" s="134"/>
      <c r="BL127" s="57" t="e">
        <f>IF(#REF!=BL$2,IF(#REF!=$AC$2,#REF!*plat_invest)) + IF(#REF!=BL$2,IF(#REF!=$AC$2,#REF!*plat_invest)) + IF(#REF!=BL$2,IF(#REF!=$AC$2,#REF!*plat_invest))</f>
        <v>#REF!</v>
      </c>
      <c r="BM127" s="57" t="e">
        <f>IF(#REF!=BM$2,IF(#REF!=$AC$2,#REF!*lumber_invest)) + IF(#REF!=BM$2,IF(#REF!=$AC$2,#REF!*lumber_invest)) + IF(#REF!=BM$2,IF(#REF!=$AC$2,#REF!*lumber_invest))</f>
        <v>#REF!</v>
      </c>
      <c r="BN127" s="57" t="e">
        <f>IF(#REF!=BN$2,IF(#REF!=$AC$2,#REF!*ore_invest)) + IF(#REF!=BN$2,IF(#REF!=$AC$2,#REF!*ore_invest)) + IF(#REF!=BN$2,IF(#REF!=$AC$2,#REF!*ore_invest))</f>
        <v>#REF!</v>
      </c>
      <c r="BO127" s="57" t="e">
        <f>IF(#REF!=BO$2,IF(#REF!=$AC$2,#REF!*gem_invest)) + IF(#REF!=BO$2,IF(#REF!=$AC$2,#REF!*gem_invest)) + IF(#REF!=BO$2,IF(#REF!=$AC$2,#REF!*gem_invest))</f>
        <v>#REF!</v>
      </c>
      <c r="BP127" s="134"/>
      <c r="BQ127" s="57" t="e">
        <f>IF(#REF!=BQ$2,IF(#REF!=$AD$2,#REF!*plat_invest)) + IF(#REF!=BQ$2,IF(#REF!=$AD$2,#REF!*plat_invest)) + IF(#REF!=BQ$2,IF(#REF!=$AD$2,#REF!*plat_invest))</f>
        <v>#REF!</v>
      </c>
      <c r="BR127" s="57" t="e">
        <f>IF(#REF!=BR$2,IF(#REF!=$AD$2,#REF!*lumber_invest)) + IF(#REF!=BR$2,IF(#REF!=$AD$2,#REF!*lumber_invest)) + IF(#REF!=BR$2,IF(#REF!=$AD$2,#REF!*lumber_invest))</f>
        <v>#REF!</v>
      </c>
      <c r="BS127" s="57" t="e">
        <f>IF(#REF!=BS$2,IF(#REF!=$AD$2,#REF!*ore_invest)) + IF(#REF!=BS$2,IF(#REF!=$AD$2,#REF!*ore_invest)) + IF(#REF!=BS$2,IF(#REF!=$AD$2,#REF!*ore_invest))</f>
        <v>#REF!</v>
      </c>
      <c r="BT127" s="57" t="e">
        <f>IF(#REF!=BT$2,IF(#REF!=$AD$2,#REF!*gem_invest)) + IF(#REF!=BT$2,IF(#REF!=$AD$2,#REF!*gem_invest)) + IF(#REF!=BT$2,IF(#REF!=$AD$2,#REF!*gem_invest))</f>
        <v>#REF!</v>
      </c>
      <c r="BU127" s="134"/>
      <c r="BV127" s="3" t="e">
        <f>OR(#REF!,#REF!,#REF!,#REF!,#REF!,#REF!,#REF!,#REF!,#REF!)</f>
        <v>#REF!</v>
      </c>
      <c r="BW127" s="61" t="e">
        <f>#REF!</f>
        <v>#REF!</v>
      </c>
      <c r="BX127" s="130"/>
      <c r="BY127" s="284" t="e">
        <f ca="1">OFFSET(#REF!,-1,0)+1/24</f>
        <v>#REF!</v>
      </c>
      <c r="BZ127" s="285" t="e">
        <f ca="1">OFFSET(#REF!,-1,0)+1/24</f>
        <v>#REF!</v>
      </c>
      <c r="CA127" s="57"/>
      <c r="CB127" s="283"/>
      <c r="CC127" s="283"/>
    </row>
    <row r="128" spans="1:81" x14ac:dyDescent="0.25">
      <c r="A128" s="206" t="e">
        <f>#REF!</f>
        <v>#REF!</v>
      </c>
      <c r="B128" s="134"/>
      <c r="C128" s="39" t="e">
        <f>#REF!</f>
        <v>#REF!</v>
      </c>
      <c r="D128" s="39" t="e">
        <f>#REF!</f>
        <v>#REF!</v>
      </c>
      <c r="E128" s="39" t="e">
        <f>#REF!</f>
        <v>#REF!</v>
      </c>
      <c r="F128" s="39" t="e">
        <f>#REF!</f>
        <v>#REF!</v>
      </c>
      <c r="G128" s="133"/>
      <c r="H128" s="39" t="e">
        <f>#REF!</f>
        <v>#REF!</v>
      </c>
      <c r="I128" s="132" t="e">
        <f>#REF!</f>
        <v>#REF!</v>
      </c>
      <c r="J128" s="132" t="e">
        <f>#REF!/#REF!</f>
        <v>#REF!</v>
      </c>
      <c r="K128" s="160" t="e">
        <f>#REF!</f>
        <v>#REF!</v>
      </c>
      <c r="L128" s="276" t="e">
        <f>#REF!</f>
        <v>#REF!</v>
      </c>
      <c r="M128" s="61">
        <f>IF(ISERROR(#REF!),0,#REF!*1)</f>
        <v>0</v>
      </c>
      <c r="N128" s="39" t="e">
        <f>#REF!</f>
        <v>#REF!</v>
      </c>
      <c r="O128" s="277" t="s">
        <v>4</v>
      </c>
      <c r="P128" s="278"/>
      <c r="Q128" s="277" t="s">
        <v>211</v>
      </c>
      <c r="R128" s="277" t="s">
        <v>7</v>
      </c>
      <c r="S128" s="278"/>
      <c r="T128" s="277" t="s">
        <v>211</v>
      </c>
      <c r="U128" s="277" t="s">
        <v>3</v>
      </c>
      <c r="V128" s="278"/>
      <c r="W128" s="277" t="s">
        <v>211</v>
      </c>
      <c r="X128" s="134"/>
      <c r="Y128" s="209" t="e">
        <f ca="1">science_cap*(1-EXP(-#REF!/(science_param*(OFFSET(#REF!,1,0)-OFFSET(#REF!,1,0)*20)+15000)))*(1+(mason_bonus*#REF!/#REF!))</f>
        <v>#REF!</v>
      </c>
      <c r="Z128" s="209" t="e">
        <f ca="1">keep_cap*(1-EXP(-#REF!/(keep_param*(OFFSET(#REF!,1,0)-OFFSET(#REF!,1,0)*20)+15000)))*(1+(mason_bonus*#REF!/#REF!))</f>
        <v>#REF!</v>
      </c>
      <c r="AA128" s="209" t="e">
        <f ca="1">harbor_towers_cap*(1-EXP(-#REF!/(towers_param*(OFFSET(#REF!,1,0)-OFFSET(#REF!,1,0)*20)+15000)))*(1+(mason_bonus*#REF!/#REF!))</f>
        <v>#REF!</v>
      </c>
      <c r="AB128" s="209" t="e">
        <f ca="1">walls_forges_cap*(1-EXP(-#REF!/(walls_forges_param*(OFFSET(#REF!,1,0)-OFFSET(#REF!,1,0)*20)+15000)))*(1+(mason_bonus*#REF!/#REF!))</f>
        <v>#REF!</v>
      </c>
      <c r="AC128" s="209" t="e">
        <f ca="1">walls_forges_cap*(1-EXP(-#REF!/(walls_forges_param*(OFFSET(#REF!,1,0)-OFFSET(#REF!,1,0)*20)+15000)))*(1+(mason_bonus*#REF!/#REF!))</f>
        <v>#REF!</v>
      </c>
      <c r="AD128" s="209" t="e">
        <f ca="1">harbor_towers_cap*(1-EXP(-#REF!/(harbor_towers_param*(OFFSET(#REF!,1,0)-OFFSET(#REF!,1,0)*20)+15000)))*(1+(mason_bonus*#REF!/#REF!))</f>
        <v>#REF!</v>
      </c>
      <c r="AE128" s="134"/>
      <c r="AF128" s="61" t="e">
        <f ca="1">(1+Overview!$I$28)*SUM(#REF!)+OFFSET(#REF!,-1,0)</f>
        <v>#REF!</v>
      </c>
      <c r="AG128" s="61" t="e">
        <f ca="1">(1+Overview!$I$28)*SUM(#REF!)+OFFSET(#REF!,-1,0)</f>
        <v>#REF!</v>
      </c>
      <c r="AH128" s="61" t="e">
        <f ca="1">(1+Overview!$I$28 + tech_7_1*#REF!)*SUM(#REF!)+OFFSET(#REF!,-1,0)</f>
        <v>#REF!</v>
      </c>
      <c r="AI128" s="61" t="e">
        <f ca="1">(1+Overview!$I$28)*SUM(#REF!)+OFFSET(#REF!,-1,0)</f>
        <v>#REF!</v>
      </c>
      <c r="AJ128" s="61" t="e">
        <f ca="1">(1+Overview!$I$28)*SUM(#REF!)+OFFSET(#REF!,-1,0)</f>
        <v>#REF!</v>
      </c>
      <c r="AK128" s="61" t="e">
        <f ca="1">(1+Overview!$I$28 + tech_7_1*#REF!)*SUM(#REF!)+OFFSET(#REF!,-1,0)</f>
        <v>#REF!</v>
      </c>
      <c r="AL128" s="134"/>
      <c r="AM128" s="57" t="e">
        <f>IF(AND(#REF!=AM$2,#REF!&lt;&gt;""),#REF!) + IF(AND(#REF!=AM$2,#REF!&lt;&gt;""),#REF!) + IF(AND(#REF!=AM$2,#REF!&lt;&gt;""),#REF!)</f>
        <v>#REF!</v>
      </c>
      <c r="AN128" s="57" t="e">
        <f>IF(AND(#REF!=AN$2,#REF!&lt;&gt;""),#REF!) + IF(AND(#REF!=AN$2,#REF!&lt;&gt;""),#REF!) + IF(AND(#REF!=AN$2,#REF!&lt;&gt;""),#REF!)</f>
        <v>#REF!</v>
      </c>
      <c r="AO128" s="57" t="e">
        <f>IF(AND(#REF!=AO$2,#REF!&lt;&gt;""),#REF!) + IF(AND(#REF!=AO$2,#REF!&lt;&gt;""),#REF!) + IF(AND(#REF!=AO$2,#REF!&lt;&gt;""),#REF!)</f>
        <v>#REF!</v>
      </c>
      <c r="AP128" s="57" t="e">
        <f>IF(AND(#REF!=AP$2,#REF!&lt;&gt;""),#REF!) + IF(AND(#REF!=AP$2,#REF!&lt;&gt;""),#REF!) + IF(AND(#REF!=AP$2,#REF!&lt;&gt;""),#REF!)</f>
        <v>#REF!</v>
      </c>
      <c r="AQ128" s="134"/>
      <c r="AR128" s="57" t="e">
        <f>IF(#REF!=AR$2,IF(#REF!=$Y$2,#REF!*plat_invest)) + IF(#REF!=AR$2,IF(#REF!=$Y$2,#REF!*plat_invest)) + IF(#REF!=AR$2,IF(#REF!=$Y$2,#REF!*plat_invest))</f>
        <v>#REF!</v>
      </c>
      <c r="AS128" s="57" t="e">
        <f>IF(#REF!=AS$2,IF(#REF!=$Y$2,#REF!*lumber_invest)) + IF(#REF!=AS$2,IF(#REF!=$Y$2,#REF!*lumber_invest)) + IF(#REF!=AS$2,IF(#REF!=$Y$2,#REF!*lumber_invest))</f>
        <v>#REF!</v>
      </c>
      <c r="AT128" s="57" t="e">
        <f>IF(#REF!=AT$2,IF(#REF!=$Y$2,#REF!*ore_invest)) + IF(#REF!=AT$2,IF(#REF!=$Y$2,#REF!*ore_invest)) + IF(#REF!=AT$2,IF(#REF!=$Y$2,#REF!*ore_invest))</f>
        <v>#REF!</v>
      </c>
      <c r="AU128" s="57" t="e">
        <f>IF(#REF!=AU$2,IF(#REF!=$Y$2,#REF!*gem_invest)) + IF(#REF!=AU$2,IF(#REF!=$Y$2,#REF!*gem_invest)) + IF(#REF!=AU$2,IF(#REF!=$Y$2,#REF!*gem_invest))</f>
        <v>#REF!</v>
      </c>
      <c r="AV128" s="134"/>
      <c r="AW128" s="57" t="e">
        <f>IF(#REF!=AW$2,IF(#REF!=$Z$2,#REF!*plat_invest)) + IF(#REF!=AW$2,IF(#REF!=$Z$2,#REF!*plat_invest)) + IF(#REF!=AW$2,IF(#REF!=$Z$2,#REF!*plat_invest))</f>
        <v>#REF!</v>
      </c>
      <c r="AX128" s="57" t="e">
        <f>IF(#REF!=AX$2,IF(#REF!=$Z$2,#REF!*lumber_invest)) + IF(#REF!=AX$2,IF(#REF!=$Z$2,#REF!*lumber_invest)) + IF(#REF!=AX$2,IF(#REF!=$Z$2,#REF!*lumber_invest))</f>
        <v>#REF!</v>
      </c>
      <c r="AY128" s="57" t="e">
        <f>IF(#REF!=AY$2,IF(#REF!=$Z$2,#REF!*ore_invest)) + IF(#REF!=AY$2,IF(#REF!=$Z$2,#REF!*ore_invest)) + IF(#REF!=AY$2,IF(#REF!=$Z$2,#REF!*ore_invest))</f>
        <v>#REF!</v>
      </c>
      <c r="AZ128" s="57" t="e">
        <f>IF(#REF!=AZ$2,IF(#REF!=$Z$2,#REF!*gem_invest)) + IF(#REF!=AZ$2,IF(#REF!=$Z$2,#REF!*gem_invest)) + IF(#REF!=AZ$2,IF(#REF!=$Z$2,#REF!*gem_invest))</f>
        <v>#REF!</v>
      </c>
      <c r="BA128" s="134"/>
      <c r="BB128" s="57" t="e">
        <f>IF(#REF!=BB$2,IF(#REF!=$AA$2,#REF!*plat_invest)) + IF(#REF!=BB$2,IF(#REF!=$AA$2,#REF!*plat_invest)) + IF(#REF!=BB$2,IF(#REF!=$AA$2,#REF!*plat_invest))</f>
        <v>#REF!</v>
      </c>
      <c r="BC128" s="57" t="e">
        <f>IF(#REF!=BC$2,IF(#REF!=$AA$2,#REF!*lumber_invest)) + IF(#REF!=BC$2,IF(#REF!=$AA$2,#REF!*lumber_invest)) + IF(#REF!=BC$2,IF(#REF!=$AA$2,#REF!*lumber_invest))</f>
        <v>#REF!</v>
      </c>
      <c r="BD128" s="57" t="e">
        <f>IF(#REF!=BD$2,IF(#REF!=$AA$2,#REF!*ore_invest)) + IF(#REF!=BD$2,IF(#REF!=$AA$2,#REF!*ore_invest)) + IF(#REF!=BD$2,IF(#REF!=$AA$2,#REF!*ore_invest))</f>
        <v>#REF!</v>
      </c>
      <c r="BE128" s="57" t="e">
        <f>IF(#REF!=BE$2,IF(#REF!=$AA$2,#REF!*gem_invest)) + IF(#REF!=BE$2,IF(#REF!=$AA$2,#REF!*gem_invest)) + IF(#REF!=BE$2,IF(#REF!=$AA$2,#REF!*gem_invest))</f>
        <v>#REF!</v>
      </c>
      <c r="BF128" s="134"/>
      <c r="BG128" s="57" t="e">
        <f>IF(#REF!=BG$2,IF(#REF!=$AB$2,#REF!*plat_invest)) + IF(#REF!=BG$2,IF(#REF!=$AB$2,#REF!*plat_invest)) + IF(#REF!=BG$2,IF(#REF!=$AB$2,#REF!*plat_invest))</f>
        <v>#REF!</v>
      </c>
      <c r="BH128" s="57" t="e">
        <f>IF(#REF!=BH$2,IF(#REF!=$AB$2,#REF!*lumber_invest)) + IF(#REF!=BH$2,IF(#REF!=$AB$2,#REF!*lumber_invest)) + IF(#REF!=BH$2,IF(#REF!=$AB$2,#REF!*lumber_invest))</f>
        <v>#REF!</v>
      </c>
      <c r="BI128" s="57" t="e">
        <f>IF(#REF!=BI$2,IF(#REF!=$AB$2,#REF!*ore_invest)) + IF(#REF!=BI$2,IF(#REF!=$AB$2,#REF!*ore_invest)) + IF(#REF!=BI$2,IF(#REF!=$AB$2,#REF!*ore_invest))</f>
        <v>#REF!</v>
      </c>
      <c r="BJ128" s="57" t="e">
        <f>IF(#REF!=BJ$2,IF(#REF!=$AB$2,#REF!*gem_invest)) + IF(#REF!=BJ$2,IF(#REF!=$AB$2,#REF!*gem_invest)) + IF(#REF!=BJ$2,IF(#REF!=$AB$2,#REF!*gem_invest))</f>
        <v>#REF!</v>
      </c>
      <c r="BK128" s="134"/>
      <c r="BL128" s="57" t="e">
        <f>IF(#REF!=BL$2,IF(#REF!=$AC$2,#REF!*plat_invest)) + IF(#REF!=BL$2,IF(#REF!=$AC$2,#REF!*plat_invest)) + IF(#REF!=BL$2,IF(#REF!=$AC$2,#REF!*plat_invest))</f>
        <v>#REF!</v>
      </c>
      <c r="BM128" s="57" t="e">
        <f>IF(#REF!=BM$2,IF(#REF!=$AC$2,#REF!*lumber_invest)) + IF(#REF!=BM$2,IF(#REF!=$AC$2,#REF!*lumber_invest)) + IF(#REF!=BM$2,IF(#REF!=$AC$2,#REF!*lumber_invest))</f>
        <v>#REF!</v>
      </c>
      <c r="BN128" s="57" t="e">
        <f>IF(#REF!=BN$2,IF(#REF!=$AC$2,#REF!*ore_invest)) + IF(#REF!=BN$2,IF(#REF!=$AC$2,#REF!*ore_invest)) + IF(#REF!=BN$2,IF(#REF!=$AC$2,#REF!*ore_invest))</f>
        <v>#REF!</v>
      </c>
      <c r="BO128" s="57" t="e">
        <f>IF(#REF!=BO$2,IF(#REF!=$AC$2,#REF!*gem_invest)) + IF(#REF!=BO$2,IF(#REF!=$AC$2,#REF!*gem_invest)) + IF(#REF!=BO$2,IF(#REF!=$AC$2,#REF!*gem_invest))</f>
        <v>#REF!</v>
      </c>
      <c r="BP128" s="134"/>
      <c r="BQ128" s="57" t="e">
        <f>IF(#REF!=BQ$2,IF(#REF!=$AD$2,#REF!*plat_invest)) + IF(#REF!=BQ$2,IF(#REF!=$AD$2,#REF!*plat_invest)) + IF(#REF!=BQ$2,IF(#REF!=$AD$2,#REF!*plat_invest))</f>
        <v>#REF!</v>
      </c>
      <c r="BR128" s="57" t="e">
        <f>IF(#REF!=BR$2,IF(#REF!=$AD$2,#REF!*lumber_invest)) + IF(#REF!=BR$2,IF(#REF!=$AD$2,#REF!*lumber_invest)) + IF(#REF!=BR$2,IF(#REF!=$AD$2,#REF!*lumber_invest))</f>
        <v>#REF!</v>
      </c>
      <c r="BS128" s="57" t="e">
        <f>IF(#REF!=BS$2,IF(#REF!=$AD$2,#REF!*ore_invest)) + IF(#REF!=BS$2,IF(#REF!=$AD$2,#REF!*ore_invest)) + IF(#REF!=BS$2,IF(#REF!=$AD$2,#REF!*ore_invest))</f>
        <v>#REF!</v>
      </c>
      <c r="BT128" s="57" t="e">
        <f>IF(#REF!=BT$2,IF(#REF!=$AD$2,#REF!*gem_invest)) + IF(#REF!=BT$2,IF(#REF!=$AD$2,#REF!*gem_invest)) + IF(#REF!=BT$2,IF(#REF!=$AD$2,#REF!*gem_invest))</f>
        <v>#REF!</v>
      </c>
      <c r="BU128" s="134"/>
      <c r="BV128" s="3" t="e">
        <f>OR(#REF!,#REF!,#REF!,#REF!,#REF!,#REF!,#REF!,#REF!,#REF!)</f>
        <v>#REF!</v>
      </c>
      <c r="BW128" s="61" t="e">
        <f>#REF!</f>
        <v>#REF!</v>
      </c>
      <c r="BX128" s="130"/>
      <c r="BY128" s="284" t="e">
        <f ca="1">OFFSET(#REF!,-1,0)+1/24</f>
        <v>#REF!</v>
      </c>
      <c r="BZ128" s="285" t="e">
        <f ca="1">OFFSET(#REF!,-1,0)+1/24</f>
        <v>#REF!</v>
      </c>
      <c r="CA128" s="57"/>
      <c r="CB128" s="283"/>
      <c r="CC128" s="283"/>
    </row>
    <row r="129" spans="1:81" x14ac:dyDescent="0.25">
      <c r="A129" s="206" t="e">
        <f>#REF!</f>
        <v>#REF!</v>
      </c>
      <c r="B129" s="134"/>
      <c r="C129" s="39" t="e">
        <f>#REF!</f>
        <v>#REF!</v>
      </c>
      <c r="D129" s="39" t="e">
        <f>#REF!</f>
        <v>#REF!</v>
      </c>
      <c r="E129" s="39" t="e">
        <f>#REF!</f>
        <v>#REF!</v>
      </c>
      <c r="F129" s="39" t="e">
        <f>#REF!</f>
        <v>#REF!</v>
      </c>
      <c r="G129" s="133"/>
      <c r="H129" s="39" t="e">
        <f>#REF!</f>
        <v>#REF!</v>
      </c>
      <c r="I129" s="132" t="e">
        <f>#REF!</f>
        <v>#REF!</v>
      </c>
      <c r="J129" s="132" t="e">
        <f>#REF!/#REF!</f>
        <v>#REF!</v>
      </c>
      <c r="K129" s="160" t="e">
        <f>#REF!</f>
        <v>#REF!</v>
      </c>
      <c r="L129" s="276" t="e">
        <f>#REF!</f>
        <v>#REF!</v>
      </c>
      <c r="M129" s="61">
        <f>IF(ISERROR(#REF!),0,#REF!*1)</f>
        <v>0</v>
      </c>
      <c r="N129" s="39" t="e">
        <f>#REF!</f>
        <v>#REF!</v>
      </c>
      <c r="O129" s="277" t="s">
        <v>4</v>
      </c>
      <c r="P129" s="278"/>
      <c r="Q129" s="277" t="s">
        <v>211</v>
      </c>
      <c r="R129" s="277" t="s">
        <v>7</v>
      </c>
      <c r="S129" s="278"/>
      <c r="T129" s="277" t="s">
        <v>211</v>
      </c>
      <c r="U129" s="277" t="s">
        <v>3</v>
      </c>
      <c r="V129" s="278"/>
      <c r="W129" s="277" t="s">
        <v>211</v>
      </c>
      <c r="X129" s="134"/>
      <c r="Y129" s="209" t="e">
        <f ca="1">science_cap*(1-EXP(-#REF!/(science_param*(OFFSET(#REF!,1,0)-OFFSET(#REF!,1,0)*20)+15000)))*(1+(mason_bonus*#REF!/#REF!))</f>
        <v>#REF!</v>
      </c>
      <c r="Z129" s="209" t="e">
        <f ca="1">keep_cap*(1-EXP(-#REF!/(keep_param*(OFFSET(#REF!,1,0)-OFFSET(#REF!,1,0)*20)+15000)))*(1+(mason_bonus*#REF!/#REF!))</f>
        <v>#REF!</v>
      </c>
      <c r="AA129" s="209" t="e">
        <f ca="1">harbor_towers_cap*(1-EXP(-#REF!/(towers_param*(OFFSET(#REF!,1,0)-OFFSET(#REF!,1,0)*20)+15000)))*(1+(mason_bonus*#REF!/#REF!))</f>
        <v>#REF!</v>
      </c>
      <c r="AB129" s="209" t="e">
        <f ca="1">walls_forges_cap*(1-EXP(-#REF!/(walls_forges_param*(OFFSET(#REF!,1,0)-OFFSET(#REF!,1,0)*20)+15000)))*(1+(mason_bonus*#REF!/#REF!))</f>
        <v>#REF!</v>
      </c>
      <c r="AC129" s="209" t="e">
        <f ca="1">walls_forges_cap*(1-EXP(-#REF!/(walls_forges_param*(OFFSET(#REF!,1,0)-OFFSET(#REF!,1,0)*20)+15000)))*(1+(mason_bonus*#REF!/#REF!))</f>
        <v>#REF!</v>
      </c>
      <c r="AD129" s="209" t="e">
        <f ca="1">harbor_towers_cap*(1-EXP(-#REF!/(harbor_towers_param*(OFFSET(#REF!,1,0)-OFFSET(#REF!,1,0)*20)+15000)))*(1+(mason_bonus*#REF!/#REF!))</f>
        <v>#REF!</v>
      </c>
      <c r="AE129" s="134"/>
      <c r="AF129" s="61" t="e">
        <f ca="1">(1+Overview!$I$28)*SUM(#REF!)+OFFSET(#REF!,-1,0)</f>
        <v>#REF!</v>
      </c>
      <c r="AG129" s="61" t="e">
        <f ca="1">(1+Overview!$I$28)*SUM(#REF!)+OFFSET(#REF!,-1,0)</f>
        <v>#REF!</v>
      </c>
      <c r="AH129" s="61" t="e">
        <f ca="1">(1+Overview!$I$28 + tech_7_1*#REF!)*SUM(#REF!)+OFFSET(#REF!,-1,0)</f>
        <v>#REF!</v>
      </c>
      <c r="AI129" s="61" t="e">
        <f ca="1">(1+Overview!$I$28)*SUM(#REF!)+OFFSET(#REF!,-1,0)</f>
        <v>#REF!</v>
      </c>
      <c r="AJ129" s="61" t="e">
        <f ca="1">(1+Overview!$I$28)*SUM(#REF!)+OFFSET(#REF!,-1,0)</f>
        <v>#REF!</v>
      </c>
      <c r="AK129" s="61" t="e">
        <f ca="1">(1+Overview!$I$28 + tech_7_1*#REF!)*SUM(#REF!)+OFFSET(#REF!,-1,0)</f>
        <v>#REF!</v>
      </c>
      <c r="AL129" s="134"/>
      <c r="AM129" s="57" t="e">
        <f>IF(AND(#REF!=AM$2,#REF!&lt;&gt;""),#REF!) + IF(AND(#REF!=AM$2,#REF!&lt;&gt;""),#REF!) + IF(AND(#REF!=AM$2,#REF!&lt;&gt;""),#REF!)</f>
        <v>#REF!</v>
      </c>
      <c r="AN129" s="57" t="e">
        <f>IF(AND(#REF!=AN$2,#REF!&lt;&gt;""),#REF!) + IF(AND(#REF!=AN$2,#REF!&lt;&gt;""),#REF!) + IF(AND(#REF!=AN$2,#REF!&lt;&gt;""),#REF!)</f>
        <v>#REF!</v>
      </c>
      <c r="AO129" s="57" t="e">
        <f>IF(AND(#REF!=AO$2,#REF!&lt;&gt;""),#REF!) + IF(AND(#REF!=AO$2,#REF!&lt;&gt;""),#REF!) + IF(AND(#REF!=AO$2,#REF!&lt;&gt;""),#REF!)</f>
        <v>#REF!</v>
      </c>
      <c r="AP129" s="57" t="e">
        <f>IF(AND(#REF!=AP$2,#REF!&lt;&gt;""),#REF!) + IF(AND(#REF!=AP$2,#REF!&lt;&gt;""),#REF!) + IF(AND(#REF!=AP$2,#REF!&lt;&gt;""),#REF!)</f>
        <v>#REF!</v>
      </c>
      <c r="AQ129" s="134"/>
      <c r="AR129" s="57" t="e">
        <f>IF(#REF!=AR$2,IF(#REF!=$Y$2,#REF!*plat_invest)) + IF(#REF!=AR$2,IF(#REF!=$Y$2,#REF!*plat_invest)) + IF(#REF!=AR$2,IF(#REF!=$Y$2,#REF!*plat_invest))</f>
        <v>#REF!</v>
      </c>
      <c r="AS129" s="57" t="e">
        <f>IF(#REF!=AS$2,IF(#REF!=$Y$2,#REF!*lumber_invest)) + IF(#REF!=AS$2,IF(#REF!=$Y$2,#REF!*lumber_invest)) + IF(#REF!=AS$2,IF(#REF!=$Y$2,#REF!*lumber_invest))</f>
        <v>#REF!</v>
      </c>
      <c r="AT129" s="57" t="e">
        <f>IF(#REF!=AT$2,IF(#REF!=$Y$2,#REF!*ore_invest)) + IF(#REF!=AT$2,IF(#REF!=$Y$2,#REF!*ore_invest)) + IF(#REF!=AT$2,IF(#REF!=$Y$2,#REF!*ore_invest))</f>
        <v>#REF!</v>
      </c>
      <c r="AU129" s="57" t="e">
        <f>IF(#REF!=AU$2,IF(#REF!=$Y$2,#REF!*gem_invest)) + IF(#REF!=AU$2,IF(#REF!=$Y$2,#REF!*gem_invest)) + IF(#REF!=AU$2,IF(#REF!=$Y$2,#REF!*gem_invest))</f>
        <v>#REF!</v>
      </c>
      <c r="AV129" s="134"/>
      <c r="AW129" s="57" t="e">
        <f>IF(#REF!=AW$2,IF(#REF!=$Z$2,#REF!*plat_invest)) + IF(#REF!=AW$2,IF(#REF!=$Z$2,#REF!*plat_invest)) + IF(#REF!=AW$2,IF(#REF!=$Z$2,#REF!*plat_invest))</f>
        <v>#REF!</v>
      </c>
      <c r="AX129" s="57" t="e">
        <f>IF(#REF!=AX$2,IF(#REF!=$Z$2,#REF!*lumber_invest)) + IF(#REF!=AX$2,IF(#REF!=$Z$2,#REF!*lumber_invest)) + IF(#REF!=AX$2,IF(#REF!=$Z$2,#REF!*lumber_invest))</f>
        <v>#REF!</v>
      </c>
      <c r="AY129" s="57" t="e">
        <f>IF(#REF!=AY$2,IF(#REF!=$Z$2,#REF!*ore_invest)) + IF(#REF!=AY$2,IF(#REF!=$Z$2,#REF!*ore_invest)) + IF(#REF!=AY$2,IF(#REF!=$Z$2,#REF!*ore_invest))</f>
        <v>#REF!</v>
      </c>
      <c r="AZ129" s="57" t="e">
        <f>IF(#REF!=AZ$2,IF(#REF!=$Z$2,#REF!*gem_invest)) + IF(#REF!=AZ$2,IF(#REF!=$Z$2,#REF!*gem_invest)) + IF(#REF!=AZ$2,IF(#REF!=$Z$2,#REF!*gem_invest))</f>
        <v>#REF!</v>
      </c>
      <c r="BA129" s="134"/>
      <c r="BB129" s="57" t="e">
        <f>IF(#REF!=BB$2,IF(#REF!=$AA$2,#REF!*plat_invest)) + IF(#REF!=BB$2,IF(#REF!=$AA$2,#REF!*plat_invest)) + IF(#REF!=BB$2,IF(#REF!=$AA$2,#REF!*plat_invest))</f>
        <v>#REF!</v>
      </c>
      <c r="BC129" s="57" t="e">
        <f>IF(#REF!=BC$2,IF(#REF!=$AA$2,#REF!*lumber_invest)) + IF(#REF!=BC$2,IF(#REF!=$AA$2,#REF!*lumber_invest)) + IF(#REF!=BC$2,IF(#REF!=$AA$2,#REF!*lumber_invest))</f>
        <v>#REF!</v>
      </c>
      <c r="BD129" s="57" t="e">
        <f>IF(#REF!=BD$2,IF(#REF!=$AA$2,#REF!*ore_invest)) + IF(#REF!=BD$2,IF(#REF!=$AA$2,#REF!*ore_invest)) + IF(#REF!=BD$2,IF(#REF!=$AA$2,#REF!*ore_invest))</f>
        <v>#REF!</v>
      </c>
      <c r="BE129" s="57" t="e">
        <f>IF(#REF!=BE$2,IF(#REF!=$AA$2,#REF!*gem_invest)) + IF(#REF!=BE$2,IF(#REF!=$AA$2,#REF!*gem_invest)) + IF(#REF!=BE$2,IF(#REF!=$AA$2,#REF!*gem_invest))</f>
        <v>#REF!</v>
      </c>
      <c r="BF129" s="134"/>
      <c r="BG129" s="57" t="e">
        <f>IF(#REF!=BG$2,IF(#REF!=$AB$2,#REF!*plat_invest)) + IF(#REF!=BG$2,IF(#REF!=$AB$2,#REF!*plat_invest)) + IF(#REF!=BG$2,IF(#REF!=$AB$2,#REF!*plat_invest))</f>
        <v>#REF!</v>
      </c>
      <c r="BH129" s="57" t="e">
        <f>IF(#REF!=BH$2,IF(#REF!=$AB$2,#REF!*lumber_invest)) + IF(#REF!=BH$2,IF(#REF!=$AB$2,#REF!*lumber_invest)) + IF(#REF!=BH$2,IF(#REF!=$AB$2,#REF!*lumber_invest))</f>
        <v>#REF!</v>
      </c>
      <c r="BI129" s="57" t="e">
        <f>IF(#REF!=BI$2,IF(#REF!=$AB$2,#REF!*ore_invest)) + IF(#REF!=BI$2,IF(#REF!=$AB$2,#REF!*ore_invest)) + IF(#REF!=BI$2,IF(#REF!=$AB$2,#REF!*ore_invest))</f>
        <v>#REF!</v>
      </c>
      <c r="BJ129" s="57" t="e">
        <f>IF(#REF!=BJ$2,IF(#REF!=$AB$2,#REF!*gem_invest)) + IF(#REF!=BJ$2,IF(#REF!=$AB$2,#REF!*gem_invest)) + IF(#REF!=BJ$2,IF(#REF!=$AB$2,#REF!*gem_invest))</f>
        <v>#REF!</v>
      </c>
      <c r="BK129" s="134"/>
      <c r="BL129" s="57" t="e">
        <f>IF(#REF!=BL$2,IF(#REF!=$AC$2,#REF!*plat_invest)) + IF(#REF!=BL$2,IF(#REF!=$AC$2,#REF!*plat_invest)) + IF(#REF!=BL$2,IF(#REF!=$AC$2,#REF!*plat_invest))</f>
        <v>#REF!</v>
      </c>
      <c r="BM129" s="57" t="e">
        <f>IF(#REF!=BM$2,IF(#REF!=$AC$2,#REF!*lumber_invest)) + IF(#REF!=BM$2,IF(#REF!=$AC$2,#REF!*lumber_invest)) + IF(#REF!=BM$2,IF(#REF!=$AC$2,#REF!*lumber_invest))</f>
        <v>#REF!</v>
      </c>
      <c r="BN129" s="57" t="e">
        <f>IF(#REF!=BN$2,IF(#REF!=$AC$2,#REF!*ore_invest)) + IF(#REF!=BN$2,IF(#REF!=$AC$2,#REF!*ore_invest)) + IF(#REF!=BN$2,IF(#REF!=$AC$2,#REF!*ore_invest))</f>
        <v>#REF!</v>
      </c>
      <c r="BO129" s="57" t="e">
        <f>IF(#REF!=BO$2,IF(#REF!=$AC$2,#REF!*gem_invest)) + IF(#REF!=BO$2,IF(#REF!=$AC$2,#REF!*gem_invest)) + IF(#REF!=BO$2,IF(#REF!=$AC$2,#REF!*gem_invest))</f>
        <v>#REF!</v>
      </c>
      <c r="BP129" s="134"/>
      <c r="BQ129" s="57" t="e">
        <f>IF(#REF!=BQ$2,IF(#REF!=$AD$2,#REF!*plat_invest)) + IF(#REF!=BQ$2,IF(#REF!=$AD$2,#REF!*plat_invest)) + IF(#REF!=BQ$2,IF(#REF!=$AD$2,#REF!*plat_invest))</f>
        <v>#REF!</v>
      </c>
      <c r="BR129" s="57" t="e">
        <f>IF(#REF!=BR$2,IF(#REF!=$AD$2,#REF!*lumber_invest)) + IF(#REF!=BR$2,IF(#REF!=$AD$2,#REF!*lumber_invest)) + IF(#REF!=BR$2,IF(#REF!=$AD$2,#REF!*lumber_invest))</f>
        <v>#REF!</v>
      </c>
      <c r="BS129" s="57" t="e">
        <f>IF(#REF!=BS$2,IF(#REF!=$AD$2,#REF!*ore_invest)) + IF(#REF!=BS$2,IF(#REF!=$AD$2,#REF!*ore_invest)) + IF(#REF!=BS$2,IF(#REF!=$AD$2,#REF!*ore_invest))</f>
        <v>#REF!</v>
      </c>
      <c r="BT129" s="57" t="e">
        <f>IF(#REF!=BT$2,IF(#REF!=$AD$2,#REF!*gem_invest)) + IF(#REF!=BT$2,IF(#REF!=$AD$2,#REF!*gem_invest)) + IF(#REF!=BT$2,IF(#REF!=$AD$2,#REF!*gem_invest))</f>
        <v>#REF!</v>
      </c>
      <c r="BU129" s="134"/>
      <c r="BV129" s="3" t="e">
        <f>OR(#REF!,#REF!,#REF!,#REF!,#REF!,#REF!,#REF!,#REF!,#REF!)</f>
        <v>#REF!</v>
      </c>
      <c r="BW129" s="61" t="e">
        <f>#REF!</f>
        <v>#REF!</v>
      </c>
      <c r="BX129" s="130"/>
      <c r="BY129" s="284" t="e">
        <f ca="1">OFFSET(#REF!,-1,0)+1/24</f>
        <v>#REF!</v>
      </c>
      <c r="BZ129" s="285" t="e">
        <f ca="1">OFFSET(#REF!,-1,0)+1/24</f>
        <v>#REF!</v>
      </c>
      <c r="CA129" s="57"/>
      <c r="CB129" s="283"/>
      <c r="CC129" s="283"/>
    </row>
    <row r="130" spans="1:81" x14ac:dyDescent="0.25">
      <c r="A130" s="206" t="e">
        <f>#REF!</f>
        <v>#REF!</v>
      </c>
      <c r="B130" s="134"/>
      <c r="C130" s="39" t="e">
        <f>#REF!</f>
        <v>#REF!</v>
      </c>
      <c r="D130" s="39" t="e">
        <f>#REF!</f>
        <v>#REF!</v>
      </c>
      <c r="E130" s="39" t="e">
        <f>#REF!</f>
        <v>#REF!</v>
      </c>
      <c r="F130" s="39" t="e">
        <f>#REF!</f>
        <v>#REF!</v>
      </c>
      <c r="G130" s="133"/>
      <c r="H130" s="39" t="e">
        <f>#REF!</f>
        <v>#REF!</v>
      </c>
      <c r="I130" s="132" t="e">
        <f>#REF!</f>
        <v>#REF!</v>
      </c>
      <c r="J130" s="132" t="e">
        <f>#REF!/#REF!</f>
        <v>#REF!</v>
      </c>
      <c r="K130" s="160" t="e">
        <f>#REF!</f>
        <v>#REF!</v>
      </c>
      <c r="L130" s="276" t="e">
        <f>#REF!</f>
        <v>#REF!</v>
      </c>
      <c r="M130" s="61">
        <f>IF(ISERROR(#REF!),0,#REF!*1)</f>
        <v>0</v>
      </c>
      <c r="N130" s="39" t="e">
        <f>#REF!</f>
        <v>#REF!</v>
      </c>
      <c r="O130" s="277" t="s">
        <v>4</v>
      </c>
      <c r="P130" s="278"/>
      <c r="Q130" s="277" t="s">
        <v>211</v>
      </c>
      <c r="R130" s="277" t="s">
        <v>7</v>
      </c>
      <c r="S130" s="278"/>
      <c r="T130" s="277" t="s">
        <v>211</v>
      </c>
      <c r="U130" s="277" t="s">
        <v>3</v>
      </c>
      <c r="V130" s="278"/>
      <c r="W130" s="277" t="s">
        <v>211</v>
      </c>
      <c r="X130" s="134"/>
      <c r="Y130" s="209" t="e">
        <f ca="1">science_cap*(1-EXP(-#REF!/(science_param*(OFFSET(#REF!,1,0)-OFFSET(#REF!,1,0)*20)+15000)))*(1+(mason_bonus*#REF!/#REF!))</f>
        <v>#REF!</v>
      </c>
      <c r="Z130" s="209" t="e">
        <f ca="1">keep_cap*(1-EXP(-#REF!/(keep_param*(OFFSET(#REF!,1,0)-OFFSET(#REF!,1,0)*20)+15000)))*(1+(mason_bonus*#REF!/#REF!))</f>
        <v>#REF!</v>
      </c>
      <c r="AA130" s="209" t="e">
        <f ca="1">harbor_towers_cap*(1-EXP(-#REF!/(towers_param*(OFFSET(#REF!,1,0)-OFFSET(#REF!,1,0)*20)+15000)))*(1+(mason_bonus*#REF!/#REF!))</f>
        <v>#REF!</v>
      </c>
      <c r="AB130" s="209" t="e">
        <f ca="1">walls_forges_cap*(1-EXP(-#REF!/(walls_forges_param*(OFFSET(#REF!,1,0)-OFFSET(#REF!,1,0)*20)+15000)))*(1+(mason_bonus*#REF!/#REF!))</f>
        <v>#REF!</v>
      </c>
      <c r="AC130" s="209" t="e">
        <f ca="1">walls_forges_cap*(1-EXP(-#REF!/(walls_forges_param*(OFFSET(#REF!,1,0)-OFFSET(#REF!,1,0)*20)+15000)))*(1+(mason_bonus*#REF!/#REF!))</f>
        <v>#REF!</v>
      </c>
      <c r="AD130" s="209" t="e">
        <f ca="1">harbor_towers_cap*(1-EXP(-#REF!/(harbor_towers_param*(OFFSET(#REF!,1,0)-OFFSET(#REF!,1,0)*20)+15000)))*(1+(mason_bonus*#REF!/#REF!))</f>
        <v>#REF!</v>
      </c>
      <c r="AE130" s="134"/>
      <c r="AF130" s="61" t="e">
        <f ca="1">(1+Overview!$I$28)*SUM(#REF!)+OFFSET(#REF!,-1,0)</f>
        <v>#REF!</v>
      </c>
      <c r="AG130" s="61" t="e">
        <f ca="1">(1+Overview!$I$28)*SUM(#REF!)+OFFSET(#REF!,-1,0)</f>
        <v>#REF!</v>
      </c>
      <c r="AH130" s="61" t="e">
        <f ca="1">(1+Overview!$I$28 + tech_7_1*#REF!)*SUM(#REF!)+OFFSET(#REF!,-1,0)</f>
        <v>#REF!</v>
      </c>
      <c r="AI130" s="61" t="e">
        <f ca="1">(1+Overview!$I$28)*SUM(#REF!)+OFFSET(#REF!,-1,0)</f>
        <v>#REF!</v>
      </c>
      <c r="AJ130" s="61" t="e">
        <f ca="1">(1+Overview!$I$28)*SUM(#REF!)+OFFSET(#REF!,-1,0)</f>
        <v>#REF!</v>
      </c>
      <c r="AK130" s="61" t="e">
        <f ca="1">(1+Overview!$I$28 + tech_7_1*#REF!)*SUM(#REF!)+OFFSET(#REF!,-1,0)</f>
        <v>#REF!</v>
      </c>
      <c r="AL130" s="134"/>
      <c r="AM130" s="57" t="e">
        <f>IF(AND(#REF!=AM$2,#REF!&lt;&gt;""),#REF!) + IF(AND(#REF!=AM$2,#REF!&lt;&gt;""),#REF!) + IF(AND(#REF!=AM$2,#REF!&lt;&gt;""),#REF!)</f>
        <v>#REF!</v>
      </c>
      <c r="AN130" s="57" t="e">
        <f>IF(AND(#REF!=AN$2,#REF!&lt;&gt;""),#REF!) + IF(AND(#REF!=AN$2,#REF!&lt;&gt;""),#REF!) + IF(AND(#REF!=AN$2,#REF!&lt;&gt;""),#REF!)</f>
        <v>#REF!</v>
      </c>
      <c r="AO130" s="57" t="e">
        <f>IF(AND(#REF!=AO$2,#REF!&lt;&gt;""),#REF!) + IF(AND(#REF!=AO$2,#REF!&lt;&gt;""),#REF!) + IF(AND(#REF!=AO$2,#REF!&lt;&gt;""),#REF!)</f>
        <v>#REF!</v>
      </c>
      <c r="AP130" s="57" t="e">
        <f>IF(AND(#REF!=AP$2,#REF!&lt;&gt;""),#REF!) + IF(AND(#REF!=AP$2,#REF!&lt;&gt;""),#REF!) + IF(AND(#REF!=AP$2,#REF!&lt;&gt;""),#REF!)</f>
        <v>#REF!</v>
      </c>
      <c r="AQ130" s="134"/>
      <c r="AR130" s="57" t="e">
        <f>IF(#REF!=AR$2,IF(#REF!=$Y$2,#REF!*plat_invest)) + IF(#REF!=AR$2,IF(#REF!=$Y$2,#REF!*plat_invest)) + IF(#REF!=AR$2,IF(#REF!=$Y$2,#REF!*plat_invest))</f>
        <v>#REF!</v>
      </c>
      <c r="AS130" s="57" t="e">
        <f>IF(#REF!=AS$2,IF(#REF!=$Y$2,#REF!*lumber_invest)) + IF(#REF!=AS$2,IF(#REF!=$Y$2,#REF!*lumber_invest)) + IF(#REF!=AS$2,IF(#REF!=$Y$2,#REF!*lumber_invest))</f>
        <v>#REF!</v>
      </c>
      <c r="AT130" s="57" t="e">
        <f>IF(#REF!=AT$2,IF(#REF!=$Y$2,#REF!*ore_invest)) + IF(#REF!=AT$2,IF(#REF!=$Y$2,#REF!*ore_invest)) + IF(#REF!=AT$2,IF(#REF!=$Y$2,#REF!*ore_invest))</f>
        <v>#REF!</v>
      </c>
      <c r="AU130" s="57" t="e">
        <f>IF(#REF!=AU$2,IF(#REF!=$Y$2,#REF!*gem_invest)) + IF(#REF!=AU$2,IF(#REF!=$Y$2,#REF!*gem_invest)) + IF(#REF!=AU$2,IF(#REF!=$Y$2,#REF!*gem_invest))</f>
        <v>#REF!</v>
      </c>
      <c r="AV130" s="134"/>
      <c r="AW130" s="57" t="e">
        <f>IF(#REF!=AW$2,IF(#REF!=$Z$2,#REF!*plat_invest)) + IF(#REF!=AW$2,IF(#REF!=$Z$2,#REF!*plat_invest)) + IF(#REF!=AW$2,IF(#REF!=$Z$2,#REF!*plat_invest))</f>
        <v>#REF!</v>
      </c>
      <c r="AX130" s="57" t="e">
        <f>IF(#REF!=AX$2,IF(#REF!=$Z$2,#REF!*lumber_invest)) + IF(#REF!=AX$2,IF(#REF!=$Z$2,#REF!*lumber_invest)) + IF(#REF!=AX$2,IF(#REF!=$Z$2,#REF!*lumber_invest))</f>
        <v>#REF!</v>
      </c>
      <c r="AY130" s="57" t="e">
        <f>IF(#REF!=AY$2,IF(#REF!=$Z$2,#REF!*ore_invest)) + IF(#REF!=AY$2,IF(#REF!=$Z$2,#REF!*ore_invest)) + IF(#REF!=AY$2,IF(#REF!=$Z$2,#REF!*ore_invest))</f>
        <v>#REF!</v>
      </c>
      <c r="AZ130" s="57" t="e">
        <f>IF(#REF!=AZ$2,IF(#REF!=$Z$2,#REF!*gem_invest)) + IF(#REF!=AZ$2,IF(#REF!=$Z$2,#REF!*gem_invest)) + IF(#REF!=AZ$2,IF(#REF!=$Z$2,#REF!*gem_invest))</f>
        <v>#REF!</v>
      </c>
      <c r="BA130" s="134"/>
      <c r="BB130" s="57" t="e">
        <f>IF(#REF!=BB$2,IF(#REF!=$AA$2,#REF!*plat_invest)) + IF(#REF!=BB$2,IF(#REF!=$AA$2,#REF!*plat_invest)) + IF(#REF!=BB$2,IF(#REF!=$AA$2,#REF!*plat_invest))</f>
        <v>#REF!</v>
      </c>
      <c r="BC130" s="57" t="e">
        <f>IF(#REF!=BC$2,IF(#REF!=$AA$2,#REF!*lumber_invest)) + IF(#REF!=BC$2,IF(#REF!=$AA$2,#REF!*lumber_invest)) + IF(#REF!=BC$2,IF(#REF!=$AA$2,#REF!*lumber_invest))</f>
        <v>#REF!</v>
      </c>
      <c r="BD130" s="57" t="e">
        <f>IF(#REF!=BD$2,IF(#REF!=$AA$2,#REF!*ore_invest)) + IF(#REF!=BD$2,IF(#REF!=$AA$2,#REF!*ore_invest)) + IF(#REF!=BD$2,IF(#REF!=$AA$2,#REF!*ore_invest))</f>
        <v>#REF!</v>
      </c>
      <c r="BE130" s="57" t="e">
        <f>IF(#REF!=BE$2,IF(#REF!=$AA$2,#REF!*gem_invest)) + IF(#REF!=BE$2,IF(#REF!=$AA$2,#REF!*gem_invest)) + IF(#REF!=BE$2,IF(#REF!=$AA$2,#REF!*gem_invest))</f>
        <v>#REF!</v>
      </c>
      <c r="BF130" s="134"/>
      <c r="BG130" s="57" t="e">
        <f>IF(#REF!=BG$2,IF(#REF!=$AB$2,#REF!*plat_invest)) + IF(#REF!=BG$2,IF(#REF!=$AB$2,#REF!*plat_invest)) + IF(#REF!=BG$2,IF(#REF!=$AB$2,#REF!*plat_invest))</f>
        <v>#REF!</v>
      </c>
      <c r="BH130" s="57" t="e">
        <f>IF(#REF!=BH$2,IF(#REF!=$AB$2,#REF!*lumber_invest)) + IF(#REF!=BH$2,IF(#REF!=$AB$2,#REF!*lumber_invest)) + IF(#REF!=BH$2,IF(#REF!=$AB$2,#REF!*lumber_invest))</f>
        <v>#REF!</v>
      </c>
      <c r="BI130" s="57" t="e">
        <f>IF(#REF!=BI$2,IF(#REF!=$AB$2,#REF!*ore_invest)) + IF(#REF!=BI$2,IF(#REF!=$AB$2,#REF!*ore_invest)) + IF(#REF!=BI$2,IF(#REF!=$AB$2,#REF!*ore_invest))</f>
        <v>#REF!</v>
      </c>
      <c r="BJ130" s="57" t="e">
        <f>IF(#REF!=BJ$2,IF(#REF!=$AB$2,#REF!*gem_invest)) + IF(#REF!=BJ$2,IF(#REF!=$AB$2,#REF!*gem_invest)) + IF(#REF!=BJ$2,IF(#REF!=$AB$2,#REF!*gem_invest))</f>
        <v>#REF!</v>
      </c>
      <c r="BK130" s="134"/>
      <c r="BL130" s="57" t="e">
        <f>IF(#REF!=BL$2,IF(#REF!=$AC$2,#REF!*plat_invest)) + IF(#REF!=BL$2,IF(#REF!=$AC$2,#REF!*plat_invest)) + IF(#REF!=BL$2,IF(#REF!=$AC$2,#REF!*plat_invest))</f>
        <v>#REF!</v>
      </c>
      <c r="BM130" s="57" t="e">
        <f>IF(#REF!=BM$2,IF(#REF!=$AC$2,#REF!*lumber_invest)) + IF(#REF!=BM$2,IF(#REF!=$AC$2,#REF!*lumber_invest)) + IF(#REF!=BM$2,IF(#REF!=$AC$2,#REF!*lumber_invest))</f>
        <v>#REF!</v>
      </c>
      <c r="BN130" s="57" t="e">
        <f>IF(#REF!=BN$2,IF(#REF!=$AC$2,#REF!*ore_invest)) + IF(#REF!=BN$2,IF(#REF!=$AC$2,#REF!*ore_invest)) + IF(#REF!=BN$2,IF(#REF!=$AC$2,#REF!*ore_invest))</f>
        <v>#REF!</v>
      </c>
      <c r="BO130" s="57" t="e">
        <f>IF(#REF!=BO$2,IF(#REF!=$AC$2,#REF!*gem_invest)) + IF(#REF!=BO$2,IF(#REF!=$AC$2,#REF!*gem_invest)) + IF(#REF!=BO$2,IF(#REF!=$AC$2,#REF!*gem_invest))</f>
        <v>#REF!</v>
      </c>
      <c r="BP130" s="134"/>
      <c r="BQ130" s="57" t="e">
        <f>IF(#REF!=BQ$2,IF(#REF!=$AD$2,#REF!*plat_invest)) + IF(#REF!=BQ$2,IF(#REF!=$AD$2,#REF!*plat_invest)) + IF(#REF!=BQ$2,IF(#REF!=$AD$2,#REF!*plat_invest))</f>
        <v>#REF!</v>
      </c>
      <c r="BR130" s="57" t="e">
        <f>IF(#REF!=BR$2,IF(#REF!=$AD$2,#REF!*lumber_invest)) + IF(#REF!=BR$2,IF(#REF!=$AD$2,#REF!*lumber_invest)) + IF(#REF!=BR$2,IF(#REF!=$AD$2,#REF!*lumber_invest))</f>
        <v>#REF!</v>
      </c>
      <c r="BS130" s="57" t="e">
        <f>IF(#REF!=BS$2,IF(#REF!=$AD$2,#REF!*ore_invest)) + IF(#REF!=BS$2,IF(#REF!=$AD$2,#REF!*ore_invest)) + IF(#REF!=BS$2,IF(#REF!=$AD$2,#REF!*ore_invest))</f>
        <v>#REF!</v>
      </c>
      <c r="BT130" s="57" t="e">
        <f>IF(#REF!=BT$2,IF(#REF!=$AD$2,#REF!*gem_invest)) + IF(#REF!=BT$2,IF(#REF!=$AD$2,#REF!*gem_invest)) + IF(#REF!=BT$2,IF(#REF!=$AD$2,#REF!*gem_invest))</f>
        <v>#REF!</v>
      </c>
      <c r="BU130" s="134"/>
      <c r="BV130" s="3" t="e">
        <f>OR(#REF!,#REF!,#REF!,#REF!,#REF!,#REF!,#REF!,#REF!,#REF!)</f>
        <v>#REF!</v>
      </c>
      <c r="BW130" s="61" t="e">
        <f>#REF!</f>
        <v>#REF!</v>
      </c>
      <c r="BX130" s="130"/>
      <c r="BY130" s="284" t="e">
        <f ca="1">OFFSET(#REF!,-1,0)+1/24</f>
        <v>#REF!</v>
      </c>
      <c r="BZ130" s="285" t="e">
        <f ca="1">OFFSET(#REF!,-1,0)+1/24</f>
        <v>#REF!</v>
      </c>
      <c r="CA130" s="57"/>
      <c r="CB130" s="283"/>
      <c r="CC130" s="283"/>
    </row>
    <row r="131" spans="1:81" x14ac:dyDescent="0.25">
      <c r="A131" s="206" t="e">
        <f>#REF!</f>
        <v>#REF!</v>
      </c>
      <c r="B131" s="134"/>
      <c r="C131" s="39" t="e">
        <f>#REF!</f>
        <v>#REF!</v>
      </c>
      <c r="D131" s="39" t="e">
        <f>#REF!</f>
        <v>#REF!</v>
      </c>
      <c r="E131" s="39" t="e">
        <f>#REF!</f>
        <v>#REF!</v>
      </c>
      <c r="F131" s="39" t="e">
        <f>#REF!</f>
        <v>#REF!</v>
      </c>
      <c r="G131" s="133"/>
      <c r="H131" s="39" t="e">
        <f>#REF!</f>
        <v>#REF!</v>
      </c>
      <c r="I131" s="132" t="e">
        <f>#REF!</f>
        <v>#REF!</v>
      </c>
      <c r="J131" s="132" t="e">
        <f>#REF!/#REF!</f>
        <v>#REF!</v>
      </c>
      <c r="K131" s="160" t="e">
        <f>#REF!</f>
        <v>#REF!</v>
      </c>
      <c r="L131" s="276" t="e">
        <f>#REF!</f>
        <v>#REF!</v>
      </c>
      <c r="M131" s="61">
        <f>IF(ISERROR(#REF!),0,#REF!*1)</f>
        <v>0</v>
      </c>
      <c r="N131" s="39" t="e">
        <f>#REF!</f>
        <v>#REF!</v>
      </c>
      <c r="O131" s="277" t="s">
        <v>4</v>
      </c>
      <c r="P131" s="278"/>
      <c r="Q131" s="277" t="s">
        <v>211</v>
      </c>
      <c r="R131" s="277" t="s">
        <v>7</v>
      </c>
      <c r="S131" s="278"/>
      <c r="T131" s="277" t="s">
        <v>211</v>
      </c>
      <c r="U131" s="277" t="s">
        <v>3</v>
      </c>
      <c r="V131" s="278"/>
      <c r="W131" s="277" t="s">
        <v>211</v>
      </c>
      <c r="X131" s="134"/>
      <c r="Y131" s="209" t="e">
        <f ca="1">science_cap*(1-EXP(-#REF!/(science_param*(OFFSET(#REF!,1,0)-OFFSET(#REF!,1,0)*20)+15000)))*(1+(mason_bonus*#REF!/#REF!))</f>
        <v>#REF!</v>
      </c>
      <c r="Z131" s="209" t="e">
        <f ca="1">keep_cap*(1-EXP(-#REF!/(keep_param*(OFFSET(#REF!,1,0)-OFFSET(#REF!,1,0)*20)+15000)))*(1+(mason_bonus*#REF!/#REF!))</f>
        <v>#REF!</v>
      </c>
      <c r="AA131" s="209" t="e">
        <f ca="1">harbor_towers_cap*(1-EXP(-#REF!/(towers_param*(OFFSET(#REF!,1,0)-OFFSET(#REF!,1,0)*20)+15000)))*(1+(mason_bonus*#REF!/#REF!))</f>
        <v>#REF!</v>
      </c>
      <c r="AB131" s="209" t="e">
        <f ca="1">walls_forges_cap*(1-EXP(-#REF!/(walls_forges_param*(OFFSET(#REF!,1,0)-OFFSET(#REF!,1,0)*20)+15000)))*(1+(mason_bonus*#REF!/#REF!))</f>
        <v>#REF!</v>
      </c>
      <c r="AC131" s="209" t="e">
        <f ca="1">walls_forges_cap*(1-EXP(-#REF!/(walls_forges_param*(OFFSET(#REF!,1,0)-OFFSET(#REF!,1,0)*20)+15000)))*(1+(mason_bonus*#REF!/#REF!))</f>
        <v>#REF!</v>
      </c>
      <c r="AD131" s="209" t="e">
        <f ca="1">harbor_towers_cap*(1-EXP(-#REF!/(harbor_towers_param*(OFFSET(#REF!,1,0)-OFFSET(#REF!,1,0)*20)+15000)))*(1+(mason_bonus*#REF!/#REF!))</f>
        <v>#REF!</v>
      </c>
      <c r="AE131" s="134"/>
      <c r="AF131" s="61" t="e">
        <f ca="1">(1+Overview!$I$28)*SUM(#REF!)+OFFSET(#REF!,-1,0)</f>
        <v>#REF!</v>
      </c>
      <c r="AG131" s="61" t="e">
        <f ca="1">(1+Overview!$I$28)*SUM(#REF!)+OFFSET(#REF!,-1,0)</f>
        <v>#REF!</v>
      </c>
      <c r="AH131" s="61" t="e">
        <f ca="1">(1+Overview!$I$28 + tech_7_1*#REF!)*SUM(#REF!)+OFFSET(#REF!,-1,0)</f>
        <v>#REF!</v>
      </c>
      <c r="AI131" s="61" t="e">
        <f ca="1">(1+Overview!$I$28)*SUM(#REF!)+OFFSET(#REF!,-1,0)</f>
        <v>#REF!</v>
      </c>
      <c r="AJ131" s="61" t="e">
        <f ca="1">(1+Overview!$I$28)*SUM(#REF!)+OFFSET(#REF!,-1,0)</f>
        <v>#REF!</v>
      </c>
      <c r="AK131" s="61" t="e">
        <f ca="1">(1+Overview!$I$28 + tech_7_1*#REF!)*SUM(#REF!)+OFFSET(#REF!,-1,0)</f>
        <v>#REF!</v>
      </c>
      <c r="AL131" s="134"/>
      <c r="AM131" s="57" t="e">
        <f>IF(AND(#REF!=AM$2,#REF!&lt;&gt;""),#REF!) + IF(AND(#REF!=AM$2,#REF!&lt;&gt;""),#REF!) + IF(AND(#REF!=AM$2,#REF!&lt;&gt;""),#REF!)</f>
        <v>#REF!</v>
      </c>
      <c r="AN131" s="57" t="e">
        <f>IF(AND(#REF!=AN$2,#REF!&lt;&gt;""),#REF!) + IF(AND(#REF!=AN$2,#REF!&lt;&gt;""),#REF!) + IF(AND(#REF!=AN$2,#REF!&lt;&gt;""),#REF!)</f>
        <v>#REF!</v>
      </c>
      <c r="AO131" s="57" t="e">
        <f>IF(AND(#REF!=AO$2,#REF!&lt;&gt;""),#REF!) + IF(AND(#REF!=AO$2,#REF!&lt;&gt;""),#REF!) + IF(AND(#REF!=AO$2,#REF!&lt;&gt;""),#REF!)</f>
        <v>#REF!</v>
      </c>
      <c r="AP131" s="57" t="e">
        <f>IF(AND(#REF!=AP$2,#REF!&lt;&gt;""),#REF!) + IF(AND(#REF!=AP$2,#REF!&lt;&gt;""),#REF!) + IF(AND(#REF!=AP$2,#REF!&lt;&gt;""),#REF!)</f>
        <v>#REF!</v>
      </c>
      <c r="AQ131" s="134"/>
      <c r="AR131" s="57" t="e">
        <f>IF(#REF!=AR$2,IF(#REF!=$Y$2,#REF!*plat_invest)) + IF(#REF!=AR$2,IF(#REF!=$Y$2,#REF!*plat_invest)) + IF(#REF!=AR$2,IF(#REF!=$Y$2,#REF!*plat_invest))</f>
        <v>#REF!</v>
      </c>
      <c r="AS131" s="57" t="e">
        <f>IF(#REF!=AS$2,IF(#REF!=$Y$2,#REF!*lumber_invest)) + IF(#REF!=AS$2,IF(#REF!=$Y$2,#REF!*lumber_invest)) + IF(#REF!=AS$2,IF(#REF!=$Y$2,#REF!*lumber_invest))</f>
        <v>#REF!</v>
      </c>
      <c r="AT131" s="57" t="e">
        <f>IF(#REF!=AT$2,IF(#REF!=$Y$2,#REF!*ore_invest)) + IF(#REF!=AT$2,IF(#REF!=$Y$2,#REF!*ore_invest)) + IF(#REF!=AT$2,IF(#REF!=$Y$2,#REF!*ore_invest))</f>
        <v>#REF!</v>
      </c>
      <c r="AU131" s="57" t="e">
        <f>IF(#REF!=AU$2,IF(#REF!=$Y$2,#REF!*gem_invest)) + IF(#REF!=AU$2,IF(#REF!=$Y$2,#REF!*gem_invest)) + IF(#REF!=AU$2,IF(#REF!=$Y$2,#REF!*gem_invest))</f>
        <v>#REF!</v>
      </c>
      <c r="AV131" s="134"/>
      <c r="AW131" s="57" t="e">
        <f>IF(#REF!=AW$2,IF(#REF!=$Z$2,#REF!*plat_invest)) + IF(#REF!=AW$2,IF(#REF!=$Z$2,#REF!*plat_invest)) + IF(#REF!=AW$2,IF(#REF!=$Z$2,#REF!*plat_invest))</f>
        <v>#REF!</v>
      </c>
      <c r="AX131" s="57" t="e">
        <f>IF(#REF!=AX$2,IF(#REF!=$Z$2,#REF!*lumber_invest)) + IF(#REF!=AX$2,IF(#REF!=$Z$2,#REF!*lumber_invest)) + IF(#REF!=AX$2,IF(#REF!=$Z$2,#REF!*lumber_invest))</f>
        <v>#REF!</v>
      </c>
      <c r="AY131" s="57" t="e">
        <f>IF(#REF!=AY$2,IF(#REF!=$Z$2,#REF!*ore_invest)) + IF(#REF!=AY$2,IF(#REF!=$Z$2,#REF!*ore_invest)) + IF(#REF!=AY$2,IF(#REF!=$Z$2,#REF!*ore_invest))</f>
        <v>#REF!</v>
      </c>
      <c r="AZ131" s="57" t="e">
        <f>IF(#REF!=AZ$2,IF(#REF!=$Z$2,#REF!*gem_invest)) + IF(#REF!=AZ$2,IF(#REF!=$Z$2,#REF!*gem_invest)) + IF(#REF!=AZ$2,IF(#REF!=$Z$2,#REF!*gem_invest))</f>
        <v>#REF!</v>
      </c>
      <c r="BA131" s="134"/>
      <c r="BB131" s="57" t="e">
        <f>IF(#REF!=BB$2,IF(#REF!=$AA$2,#REF!*plat_invest)) + IF(#REF!=BB$2,IF(#REF!=$AA$2,#REF!*plat_invest)) + IF(#REF!=BB$2,IF(#REF!=$AA$2,#REF!*plat_invest))</f>
        <v>#REF!</v>
      </c>
      <c r="BC131" s="57" t="e">
        <f>IF(#REF!=BC$2,IF(#REF!=$AA$2,#REF!*lumber_invest)) + IF(#REF!=BC$2,IF(#REF!=$AA$2,#REF!*lumber_invest)) + IF(#REF!=BC$2,IF(#REF!=$AA$2,#REF!*lumber_invest))</f>
        <v>#REF!</v>
      </c>
      <c r="BD131" s="57" t="e">
        <f>IF(#REF!=BD$2,IF(#REF!=$AA$2,#REF!*ore_invest)) + IF(#REF!=BD$2,IF(#REF!=$AA$2,#REF!*ore_invest)) + IF(#REF!=BD$2,IF(#REF!=$AA$2,#REF!*ore_invest))</f>
        <v>#REF!</v>
      </c>
      <c r="BE131" s="57" t="e">
        <f>IF(#REF!=BE$2,IF(#REF!=$AA$2,#REF!*gem_invest)) + IF(#REF!=BE$2,IF(#REF!=$AA$2,#REF!*gem_invest)) + IF(#REF!=BE$2,IF(#REF!=$AA$2,#REF!*gem_invest))</f>
        <v>#REF!</v>
      </c>
      <c r="BF131" s="134"/>
      <c r="BG131" s="57" t="e">
        <f>IF(#REF!=BG$2,IF(#REF!=$AB$2,#REF!*plat_invest)) + IF(#REF!=BG$2,IF(#REF!=$AB$2,#REF!*plat_invest)) + IF(#REF!=BG$2,IF(#REF!=$AB$2,#REF!*plat_invest))</f>
        <v>#REF!</v>
      </c>
      <c r="BH131" s="57" t="e">
        <f>IF(#REF!=BH$2,IF(#REF!=$AB$2,#REF!*lumber_invest)) + IF(#REF!=BH$2,IF(#REF!=$AB$2,#REF!*lumber_invest)) + IF(#REF!=BH$2,IF(#REF!=$AB$2,#REF!*lumber_invest))</f>
        <v>#REF!</v>
      </c>
      <c r="BI131" s="57" t="e">
        <f>IF(#REF!=BI$2,IF(#REF!=$AB$2,#REF!*ore_invest)) + IF(#REF!=BI$2,IF(#REF!=$AB$2,#REF!*ore_invest)) + IF(#REF!=BI$2,IF(#REF!=$AB$2,#REF!*ore_invest))</f>
        <v>#REF!</v>
      </c>
      <c r="BJ131" s="57" t="e">
        <f>IF(#REF!=BJ$2,IF(#REF!=$AB$2,#REF!*gem_invest)) + IF(#REF!=BJ$2,IF(#REF!=$AB$2,#REF!*gem_invest)) + IF(#REF!=BJ$2,IF(#REF!=$AB$2,#REF!*gem_invest))</f>
        <v>#REF!</v>
      </c>
      <c r="BK131" s="134"/>
      <c r="BL131" s="57" t="e">
        <f>IF(#REF!=BL$2,IF(#REF!=$AC$2,#REF!*plat_invest)) + IF(#REF!=BL$2,IF(#REF!=$AC$2,#REF!*plat_invest)) + IF(#REF!=BL$2,IF(#REF!=$AC$2,#REF!*plat_invest))</f>
        <v>#REF!</v>
      </c>
      <c r="BM131" s="57" t="e">
        <f>IF(#REF!=BM$2,IF(#REF!=$AC$2,#REF!*lumber_invest)) + IF(#REF!=BM$2,IF(#REF!=$AC$2,#REF!*lumber_invest)) + IF(#REF!=BM$2,IF(#REF!=$AC$2,#REF!*lumber_invest))</f>
        <v>#REF!</v>
      </c>
      <c r="BN131" s="57" t="e">
        <f>IF(#REF!=BN$2,IF(#REF!=$AC$2,#REF!*ore_invest)) + IF(#REF!=BN$2,IF(#REF!=$AC$2,#REF!*ore_invest)) + IF(#REF!=BN$2,IF(#REF!=$AC$2,#REF!*ore_invest))</f>
        <v>#REF!</v>
      </c>
      <c r="BO131" s="57" t="e">
        <f>IF(#REF!=BO$2,IF(#REF!=$AC$2,#REF!*gem_invest)) + IF(#REF!=BO$2,IF(#REF!=$AC$2,#REF!*gem_invest)) + IF(#REF!=BO$2,IF(#REF!=$AC$2,#REF!*gem_invest))</f>
        <v>#REF!</v>
      </c>
      <c r="BP131" s="134"/>
      <c r="BQ131" s="57" t="e">
        <f>IF(#REF!=BQ$2,IF(#REF!=$AD$2,#REF!*plat_invest)) + IF(#REF!=BQ$2,IF(#REF!=$AD$2,#REF!*plat_invest)) + IF(#REF!=BQ$2,IF(#REF!=$AD$2,#REF!*plat_invest))</f>
        <v>#REF!</v>
      </c>
      <c r="BR131" s="57" t="e">
        <f>IF(#REF!=BR$2,IF(#REF!=$AD$2,#REF!*lumber_invest)) + IF(#REF!=BR$2,IF(#REF!=$AD$2,#REF!*lumber_invest)) + IF(#REF!=BR$2,IF(#REF!=$AD$2,#REF!*lumber_invest))</f>
        <v>#REF!</v>
      </c>
      <c r="BS131" s="57" t="e">
        <f>IF(#REF!=BS$2,IF(#REF!=$AD$2,#REF!*ore_invest)) + IF(#REF!=BS$2,IF(#REF!=$AD$2,#REF!*ore_invest)) + IF(#REF!=BS$2,IF(#REF!=$AD$2,#REF!*ore_invest))</f>
        <v>#REF!</v>
      </c>
      <c r="BT131" s="57" t="e">
        <f>IF(#REF!=BT$2,IF(#REF!=$AD$2,#REF!*gem_invest)) + IF(#REF!=BT$2,IF(#REF!=$AD$2,#REF!*gem_invest)) + IF(#REF!=BT$2,IF(#REF!=$AD$2,#REF!*gem_invest))</f>
        <v>#REF!</v>
      </c>
      <c r="BU131" s="134"/>
      <c r="BV131" s="3" t="e">
        <f>OR(#REF!,#REF!,#REF!,#REF!,#REF!,#REF!,#REF!,#REF!,#REF!)</f>
        <v>#REF!</v>
      </c>
      <c r="BW131" s="61" t="e">
        <f>#REF!</f>
        <v>#REF!</v>
      </c>
      <c r="BX131" s="130"/>
      <c r="BY131" s="284" t="e">
        <f ca="1">OFFSET(#REF!,-1,0)+1/24</f>
        <v>#REF!</v>
      </c>
      <c r="BZ131" s="285" t="e">
        <f ca="1">OFFSET(#REF!,-1,0)+1/24</f>
        <v>#REF!</v>
      </c>
      <c r="CA131" s="57"/>
      <c r="CB131" s="283"/>
      <c r="CC131" s="283"/>
    </row>
    <row r="132" spans="1:81" x14ac:dyDescent="0.25">
      <c r="A132" s="206" t="e">
        <f>#REF!</f>
        <v>#REF!</v>
      </c>
      <c r="B132" s="134"/>
      <c r="C132" s="39" t="e">
        <f>#REF!</f>
        <v>#REF!</v>
      </c>
      <c r="D132" s="39" t="e">
        <f>#REF!</f>
        <v>#REF!</v>
      </c>
      <c r="E132" s="39" t="e">
        <f>#REF!</f>
        <v>#REF!</v>
      </c>
      <c r="F132" s="39" t="e">
        <f>#REF!</f>
        <v>#REF!</v>
      </c>
      <c r="G132" s="133"/>
      <c r="H132" s="39" t="e">
        <f>#REF!</f>
        <v>#REF!</v>
      </c>
      <c r="I132" s="132" t="e">
        <f>#REF!</f>
        <v>#REF!</v>
      </c>
      <c r="J132" s="132" t="e">
        <f>#REF!/#REF!</f>
        <v>#REF!</v>
      </c>
      <c r="K132" s="160" t="e">
        <f>#REF!</f>
        <v>#REF!</v>
      </c>
      <c r="L132" s="276" t="e">
        <f>#REF!</f>
        <v>#REF!</v>
      </c>
      <c r="M132" s="61">
        <f>IF(ISERROR(#REF!),0,#REF!*1)</f>
        <v>0</v>
      </c>
      <c r="N132" s="39" t="e">
        <f>#REF!</f>
        <v>#REF!</v>
      </c>
      <c r="O132" s="277" t="s">
        <v>4</v>
      </c>
      <c r="P132" s="278"/>
      <c r="Q132" s="277" t="s">
        <v>211</v>
      </c>
      <c r="R132" s="277" t="s">
        <v>7</v>
      </c>
      <c r="S132" s="278"/>
      <c r="T132" s="277" t="s">
        <v>211</v>
      </c>
      <c r="U132" s="277" t="s">
        <v>3</v>
      </c>
      <c r="V132" s="278"/>
      <c r="W132" s="277" t="s">
        <v>211</v>
      </c>
      <c r="X132" s="134"/>
      <c r="Y132" s="209" t="e">
        <f ca="1">science_cap*(1-EXP(-#REF!/(science_param*(OFFSET(#REF!,1,0)-OFFSET(#REF!,1,0)*20)+15000)))*(1+(mason_bonus*#REF!/#REF!))</f>
        <v>#REF!</v>
      </c>
      <c r="Z132" s="209" t="e">
        <f ca="1">keep_cap*(1-EXP(-#REF!/(keep_param*(OFFSET(#REF!,1,0)-OFFSET(#REF!,1,0)*20)+15000)))*(1+(mason_bonus*#REF!/#REF!))</f>
        <v>#REF!</v>
      </c>
      <c r="AA132" s="209" t="e">
        <f ca="1">harbor_towers_cap*(1-EXP(-#REF!/(towers_param*(OFFSET(#REF!,1,0)-OFFSET(#REF!,1,0)*20)+15000)))*(1+(mason_bonus*#REF!/#REF!))</f>
        <v>#REF!</v>
      </c>
      <c r="AB132" s="209" t="e">
        <f ca="1">walls_forges_cap*(1-EXP(-#REF!/(walls_forges_param*(OFFSET(#REF!,1,0)-OFFSET(#REF!,1,0)*20)+15000)))*(1+(mason_bonus*#REF!/#REF!))</f>
        <v>#REF!</v>
      </c>
      <c r="AC132" s="209" t="e">
        <f ca="1">walls_forges_cap*(1-EXP(-#REF!/(walls_forges_param*(OFFSET(#REF!,1,0)-OFFSET(#REF!,1,0)*20)+15000)))*(1+(mason_bonus*#REF!/#REF!))</f>
        <v>#REF!</v>
      </c>
      <c r="AD132" s="209" t="e">
        <f ca="1">harbor_towers_cap*(1-EXP(-#REF!/(harbor_towers_param*(OFFSET(#REF!,1,0)-OFFSET(#REF!,1,0)*20)+15000)))*(1+(mason_bonus*#REF!/#REF!))</f>
        <v>#REF!</v>
      </c>
      <c r="AE132" s="134"/>
      <c r="AF132" s="61" t="e">
        <f ca="1">(1+Overview!$I$28)*SUM(#REF!)+OFFSET(#REF!,-1,0)</f>
        <v>#REF!</v>
      </c>
      <c r="AG132" s="61" t="e">
        <f ca="1">(1+Overview!$I$28)*SUM(#REF!)+OFFSET(#REF!,-1,0)</f>
        <v>#REF!</v>
      </c>
      <c r="AH132" s="61" t="e">
        <f ca="1">(1+Overview!$I$28 + tech_7_1*#REF!)*SUM(#REF!)+OFFSET(#REF!,-1,0)</f>
        <v>#REF!</v>
      </c>
      <c r="AI132" s="61" t="e">
        <f ca="1">(1+Overview!$I$28)*SUM(#REF!)+OFFSET(#REF!,-1,0)</f>
        <v>#REF!</v>
      </c>
      <c r="AJ132" s="61" t="e">
        <f ca="1">(1+Overview!$I$28)*SUM(#REF!)+OFFSET(#REF!,-1,0)</f>
        <v>#REF!</v>
      </c>
      <c r="AK132" s="61" t="e">
        <f ca="1">(1+Overview!$I$28 + tech_7_1*#REF!)*SUM(#REF!)+OFFSET(#REF!,-1,0)</f>
        <v>#REF!</v>
      </c>
      <c r="AL132" s="134"/>
      <c r="AM132" s="57" t="e">
        <f>IF(AND(#REF!=AM$2,#REF!&lt;&gt;""),#REF!) + IF(AND(#REF!=AM$2,#REF!&lt;&gt;""),#REF!) + IF(AND(#REF!=AM$2,#REF!&lt;&gt;""),#REF!)</f>
        <v>#REF!</v>
      </c>
      <c r="AN132" s="57" t="e">
        <f>IF(AND(#REF!=AN$2,#REF!&lt;&gt;""),#REF!) + IF(AND(#REF!=AN$2,#REF!&lt;&gt;""),#REF!) + IF(AND(#REF!=AN$2,#REF!&lt;&gt;""),#REF!)</f>
        <v>#REF!</v>
      </c>
      <c r="AO132" s="57" t="e">
        <f>IF(AND(#REF!=AO$2,#REF!&lt;&gt;""),#REF!) + IF(AND(#REF!=AO$2,#REF!&lt;&gt;""),#REF!) + IF(AND(#REF!=AO$2,#REF!&lt;&gt;""),#REF!)</f>
        <v>#REF!</v>
      </c>
      <c r="AP132" s="57" t="e">
        <f>IF(AND(#REF!=AP$2,#REF!&lt;&gt;""),#REF!) + IF(AND(#REF!=AP$2,#REF!&lt;&gt;""),#REF!) + IF(AND(#REF!=AP$2,#REF!&lt;&gt;""),#REF!)</f>
        <v>#REF!</v>
      </c>
      <c r="AQ132" s="134"/>
      <c r="AR132" s="57" t="e">
        <f>IF(#REF!=AR$2,IF(#REF!=$Y$2,#REF!*plat_invest)) + IF(#REF!=AR$2,IF(#REF!=$Y$2,#REF!*plat_invest)) + IF(#REF!=AR$2,IF(#REF!=$Y$2,#REF!*plat_invest))</f>
        <v>#REF!</v>
      </c>
      <c r="AS132" s="57" t="e">
        <f>IF(#REF!=AS$2,IF(#REF!=$Y$2,#REF!*lumber_invest)) + IF(#REF!=AS$2,IF(#REF!=$Y$2,#REF!*lumber_invest)) + IF(#REF!=AS$2,IF(#REF!=$Y$2,#REF!*lumber_invest))</f>
        <v>#REF!</v>
      </c>
      <c r="AT132" s="57" t="e">
        <f>IF(#REF!=AT$2,IF(#REF!=$Y$2,#REF!*ore_invest)) + IF(#REF!=AT$2,IF(#REF!=$Y$2,#REF!*ore_invest)) + IF(#REF!=AT$2,IF(#REF!=$Y$2,#REF!*ore_invest))</f>
        <v>#REF!</v>
      </c>
      <c r="AU132" s="57" t="e">
        <f>IF(#REF!=AU$2,IF(#REF!=$Y$2,#REF!*gem_invest)) + IF(#REF!=AU$2,IF(#REF!=$Y$2,#REF!*gem_invest)) + IF(#REF!=AU$2,IF(#REF!=$Y$2,#REF!*gem_invest))</f>
        <v>#REF!</v>
      </c>
      <c r="AV132" s="134"/>
      <c r="AW132" s="57" t="e">
        <f>IF(#REF!=AW$2,IF(#REF!=$Z$2,#REF!*plat_invest)) + IF(#REF!=AW$2,IF(#REF!=$Z$2,#REF!*plat_invest)) + IF(#REF!=AW$2,IF(#REF!=$Z$2,#REF!*plat_invest))</f>
        <v>#REF!</v>
      </c>
      <c r="AX132" s="57" t="e">
        <f>IF(#REF!=AX$2,IF(#REF!=$Z$2,#REF!*lumber_invest)) + IF(#REF!=AX$2,IF(#REF!=$Z$2,#REF!*lumber_invest)) + IF(#REF!=AX$2,IF(#REF!=$Z$2,#REF!*lumber_invest))</f>
        <v>#REF!</v>
      </c>
      <c r="AY132" s="57" t="e">
        <f>IF(#REF!=AY$2,IF(#REF!=$Z$2,#REF!*ore_invest)) + IF(#REF!=AY$2,IF(#REF!=$Z$2,#REF!*ore_invest)) + IF(#REF!=AY$2,IF(#REF!=$Z$2,#REF!*ore_invest))</f>
        <v>#REF!</v>
      </c>
      <c r="AZ132" s="57" t="e">
        <f>IF(#REF!=AZ$2,IF(#REF!=$Z$2,#REF!*gem_invest)) + IF(#REF!=AZ$2,IF(#REF!=$Z$2,#REF!*gem_invest)) + IF(#REF!=AZ$2,IF(#REF!=$Z$2,#REF!*gem_invest))</f>
        <v>#REF!</v>
      </c>
      <c r="BA132" s="134"/>
      <c r="BB132" s="57" t="e">
        <f>IF(#REF!=BB$2,IF(#REF!=$AA$2,#REF!*plat_invest)) + IF(#REF!=BB$2,IF(#REF!=$AA$2,#REF!*plat_invest)) + IF(#REF!=BB$2,IF(#REF!=$AA$2,#REF!*plat_invest))</f>
        <v>#REF!</v>
      </c>
      <c r="BC132" s="57" t="e">
        <f>IF(#REF!=BC$2,IF(#REF!=$AA$2,#REF!*lumber_invest)) + IF(#REF!=BC$2,IF(#REF!=$AA$2,#REF!*lumber_invest)) + IF(#REF!=BC$2,IF(#REF!=$AA$2,#REF!*lumber_invest))</f>
        <v>#REF!</v>
      </c>
      <c r="BD132" s="57" t="e">
        <f>IF(#REF!=BD$2,IF(#REF!=$AA$2,#REF!*ore_invest)) + IF(#REF!=BD$2,IF(#REF!=$AA$2,#REF!*ore_invest)) + IF(#REF!=BD$2,IF(#REF!=$AA$2,#REF!*ore_invest))</f>
        <v>#REF!</v>
      </c>
      <c r="BE132" s="57" t="e">
        <f>IF(#REF!=BE$2,IF(#REF!=$AA$2,#REF!*gem_invest)) + IF(#REF!=BE$2,IF(#REF!=$AA$2,#REF!*gem_invest)) + IF(#REF!=BE$2,IF(#REF!=$AA$2,#REF!*gem_invest))</f>
        <v>#REF!</v>
      </c>
      <c r="BF132" s="134"/>
      <c r="BG132" s="57" t="e">
        <f>IF(#REF!=BG$2,IF(#REF!=$AB$2,#REF!*plat_invest)) + IF(#REF!=BG$2,IF(#REF!=$AB$2,#REF!*plat_invest)) + IF(#REF!=BG$2,IF(#REF!=$AB$2,#REF!*plat_invest))</f>
        <v>#REF!</v>
      </c>
      <c r="BH132" s="57" t="e">
        <f>IF(#REF!=BH$2,IF(#REF!=$AB$2,#REF!*lumber_invest)) + IF(#REF!=BH$2,IF(#REF!=$AB$2,#REF!*lumber_invest)) + IF(#REF!=BH$2,IF(#REF!=$AB$2,#REF!*lumber_invest))</f>
        <v>#REF!</v>
      </c>
      <c r="BI132" s="57" t="e">
        <f>IF(#REF!=BI$2,IF(#REF!=$AB$2,#REF!*ore_invest)) + IF(#REF!=BI$2,IF(#REF!=$AB$2,#REF!*ore_invest)) + IF(#REF!=BI$2,IF(#REF!=$AB$2,#REF!*ore_invest))</f>
        <v>#REF!</v>
      </c>
      <c r="BJ132" s="57" t="e">
        <f>IF(#REF!=BJ$2,IF(#REF!=$AB$2,#REF!*gem_invest)) + IF(#REF!=BJ$2,IF(#REF!=$AB$2,#REF!*gem_invest)) + IF(#REF!=BJ$2,IF(#REF!=$AB$2,#REF!*gem_invest))</f>
        <v>#REF!</v>
      </c>
      <c r="BK132" s="134"/>
      <c r="BL132" s="57" t="e">
        <f>IF(#REF!=BL$2,IF(#REF!=$AC$2,#REF!*plat_invest)) + IF(#REF!=BL$2,IF(#REF!=$AC$2,#REF!*plat_invest)) + IF(#REF!=BL$2,IF(#REF!=$AC$2,#REF!*plat_invest))</f>
        <v>#REF!</v>
      </c>
      <c r="BM132" s="57" t="e">
        <f>IF(#REF!=BM$2,IF(#REF!=$AC$2,#REF!*lumber_invest)) + IF(#REF!=BM$2,IF(#REF!=$AC$2,#REF!*lumber_invest)) + IF(#REF!=BM$2,IF(#REF!=$AC$2,#REF!*lumber_invest))</f>
        <v>#REF!</v>
      </c>
      <c r="BN132" s="57" t="e">
        <f>IF(#REF!=BN$2,IF(#REF!=$AC$2,#REF!*ore_invest)) + IF(#REF!=BN$2,IF(#REF!=$AC$2,#REF!*ore_invest)) + IF(#REF!=BN$2,IF(#REF!=$AC$2,#REF!*ore_invest))</f>
        <v>#REF!</v>
      </c>
      <c r="BO132" s="57" t="e">
        <f>IF(#REF!=BO$2,IF(#REF!=$AC$2,#REF!*gem_invest)) + IF(#REF!=BO$2,IF(#REF!=$AC$2,#REF!*gem_invest)) + IF(#REF!=BO$2,IF(#REF!=$AC$2,#REF!*gem_invest))</f>
        <v>#REF!</v>
      </c>
      <c r="BP132" s="134"/>
      <c r="BQ132" s="57" t="e">
        <f>IF(#REF!=BQ$2,IF(#REF!=$AD$2,#REF!*plat_invest)) + IF(#REF!=BQ$2,IF(#REF!=$AD$2,#REF!*plat_invest)) + IF(#REF!=BQ$2,IF(#REF!=$AD$2,#REF!*plat_invest))</f>
        <v>#REF!</v>
      </c>
      <c r="BR132" s="57" t="e">
        <f>IF(#REF!=BR$2,IF(#REF!=$AD$2,#REF!*lumber_invest)) + IF(#REF!=BR$2,IF(#REF!=$AD$2,#REF!*lumber_invest)) + IF(#REF!=BR$2,IF(#REF!=$AD$2,#REF!*lumber_invest))</f>
        <v>#REF!</v>
      </c>
      <c r="BS132" s="57" t="e">
        <f>IF(#REF!=BS$2,IF(#REF!=$AD$2,#REF!*ore_invest)) + IF(#REF!=BS$2,IF(#REF!=$AD$2,#REF!*ore_invest)) + IF(#REF!=BS$2,IF(#REF!=$AD$2,#REF!*ore_invest))</f>
        <v>#REF!</v>
      </c>
      <c r="BT132" s="57" t="e">
        <f>IF(#REF!=BT$2,IF(#REF!=$AD$2,#REF!*gem_invest)) + IF(#REF!=BT$2,IF(#REF!=$AD$2,#REF!*gem_invest)) + IF(#REF!=BT$2,IF(#REF!=$AD$2,#REF!*gem_invest))</f>
        <v>#REF!</v>
      </c>
      <c r="BU132" s="134"/>
      <c r="BV132" s="3" t="e">
        <f>OR(#REF!,#REF!,#REF!,#REF!,#REF!,#REF!,#REF!,#REF!,#REF!)</f>
        <v>#REF!</v>
      </c>
      <c r="BW132" s="61" t="e">
        <f>#REF!</f>
        <v>#REF!</v>
      </c>
      <c r="BX132" s="130"/>
      <c r="BY132" s="284" t="e">
        <f ca="1">OFFSET(#REF!,-1,0)+1/24</f>
        <v>#REF!</v>
      </c>
      <c r="BZ132" s="285" t="e">
        <f ca="1">OFFSET(#REF!,-1,0)+1/24</f>
        <v>#REF!</v>
      </c>
      <c r="CA132" s="57"/>
      <c r="CB132" s="283"/>
      <c r="CC132" s="283"/>
    </row>
    <row r="133" spans="1:81" x14ac:dyDescent="0.25">
      <c r="A133" s="206" t="e">
        <f>#REF!</f>
        <v>#REF!</v>
      </c>
      <c r="B133" s="134"/>
      <c r="C133" s="39" t="e">
        <f>#REF!</f>
        <v>#REF!</v>
      </c>
      <c r="D133" s="39" t="e">
        <f>#REF!</f>
        <v>#REF!</v>
      </c>
      <c r="E133" s="39" t="e">
        <f>#REF!</f>
        <v>#REF!</v>
      </c>
      <c r="F133" s="39" t="e">
        <f>#REF!</f>
        <v>#REF!</v>
      </c>
      <c r="G133" s="133"/>
      <c r="H133" s="39" t="e">
        <f>#REF!</f>
        <v>#REF!</v>
      </c>
      <c r="I133" s="132" t="e">
        <f>#REF!</f>
        <v>#REF!</v>
      </c>
      <c r="J133" s="132" t="e">
        <f>#REF!/#REF!</f>
        <v>#REF!</v>
      </c>
      <c r="K133" s="160" t="e">
        <f>#REF!</f>
        <v>#REF!</v>
      </c>
      <c r="L133" s="276" t="e">
        <f>#REF!</f>
        <v>#REF!</v>
      </c>
      <c r="M133" s="61">
        <f>IF(ISERROR(#REF!),0,#REF!*1)</f>
        <v>0</v>
      </c>
      <c r="N133" s="39" t="e">
        <f>#REF!</f>
        <v>#REF!</v>
      </c>
      <c r="O133" s="277" t="s">
        <v>4</v>
      </c>
      <c r="P133" s="278"/>
      <c r="Q133" s="277" t="s">
        <v>211</v>
      </c>
      <c r="R133" s="277" t="s">
        <v>7</v>
      </c>
      <c r="S133" s="278"/>
      <c r="T133" s="277" t="s">
        <v>211</v>
      </c>
      <c r="U133" s="277" t="s">
        <v>3</v>
      </c>
      <c r="V133" s="278"/>
      <c r="W133" s="277" t="s">
        <v>211</v>
      </c>
      <c r="X133" s="134"/>
      <c r="Y133" s="209" t="e">
        <f ca="1">science_cap*(1-EXP(-#REF!/(science_param*(OFFSET(#REF!,1,0)-OFFSET(#REF!,1,0)*20)+15000)))*(1+(mason_bonus*#REF!/#REF!))</f>
        <v>#REF!</v>
      </c>
      <c r="Z133" s="209" t="e">
        <f ca="1">keep_cap*(1-EXP(-#REF!/(keep_param*(OFFSET(#REF!,1,0)-OFFSET(#REF!,1,0)*20)+15000)))*(1+(mason_bonus*#REF!/#REF!))</f>
        <v>#REF!</v>
      </c>
      <c r="AA133" s="209" t="e">
        <f ca="1">harbor_towers_cap*(1-EXP(-#REF!/(towers_param*(OFFSET(#REF!,1,0)-OFFSET(#REF!,1,0)*20)+15000)))*(1+(mason_bonus*#REF!/#REF!))</f>
        <v>#REF!</v>
      </c>
      <c r="AB133" s="209" t="e">
        <f ca="1">walls_forges_cap*(1-EXP(-#REF!/(walls_forges_param*(OFFSET(#REF!,1,0)-OFFSET(#REF!,1,0)*20)+15000)))*(1+(mason_bonus*#REF!/#REF!))</f>
        <v>#REF!</v>
      </c>
      <c r="AC133" s="209" t="e">
        <f ca="1">walls_forges_cap*(1-EXP(-#REF!/(walls_forges_param*(OFFSET(#REF!,1,0)-OFFSET(#REF!,1,0)*20)+15000)))*(1+(mason_bonus*#REF!/#REF!))</f>
        <v>#REF!</v>
      </c>
      <c r="AD133" s="209" t="e">
        <f ca="1">harbor_towers_cap*(1-EXP(-#REF!/(harbor_towers_param*(OFFSET(#REF!,1,0)-OFFSET(#REF!,1,0)*20)+15000)))*(1+(mason_bonus*#REF!/#REF!))</f>
        <v>#REF!</v>
      </c>
      <c r="AE133" s="134"/>
      <c r="AF133" s="61" t="e">
        <f ca="1">(1+Overview!$I$28)*SUM(#REF!)+OFFSET(#REF!,-1,0)</f>
        <v>#REF!</v>
      </c>
      <c r="AG133" s="61" t="e">
        <f ca="1">(1+Overview!$I$28)*SUM(#REF!)+OFFSET(#REF!,-1,0)</f>
        <v>#REF!</v>
      </c>
      <c r="AH133" s="61" t="e">
        <f ca="1">(1+Overview!$I$28 + tech_7_1*#REF!)*SUM(#REF!)+OFFSET(#REF!,-1,0)</f>
        <v>#REF!</v>
      </c>
      <c r="AI133" s="61" t="e">
        <f ca="1">(1+Overview!$I$28)*SUM(#REF!)+OFFSET(#REF!,-1,0)</f>
        <v>#REF!</v>
      </c>
      <c r="AJ133" s="61" t="e">
        <f ca="1">(1+Overview!$I$28)*SUM(#REF!)+OFFSET(#REF!,-1,0)</f>
        <v>#REF!</v>
      </c>
      <c r="AK133" s="61" t="e">
        <f ca="1">(1+Overview!$I$28 + tech_7_1*#REF!)*SUM(#REF!)+OFFSET(#REF!,-1,0)</f>
        <v>#REF!</v>
      </c>
      <c r="AL133" s="134"/>
      <c r="AM133" s="57" t="e">
        <f>IF(AND(#REF!=AM$2,#REF!&lt;&gt;""),#REF!) + IF(AND(#REF!=AM$2,#REF!&lt;&gt;""),#REF!) + IF(AND(#REF!=AM$2,#REF!&lt;&gt;""),#REF!)</f>
        <v>#REF!</v>
      </c>
      <c r="AN133" s="57" t="e">
        <f>IF(AND(#REF!=AN$2,#REF!&lt;&gt;""),#REF!) + IF(AND(#REF!=AN$2,#REF!&lt;&gt;""),#REF!) + IF(AND(#REF!=AN$2,#REF!&lt;&gt;""),#REF!)</f>
        <v>#REF!</v>
      </c>
      <c r="AO133" s="57" t="e">
        <f>IF(AND(#REF!=AO$2,#REF!&lt;&gt;""),#REF!) + IF(AND(#REF!=AO$2,#REF!&lt;&gt;""),#REF!) + IF(AND(#REF!=AO$2,#REF!&lt;&gt;""),#REF!)</f>
        <v>#REF!</v>
      </c>
      <c r="AP133" s="57" t="e">
        <f>IF(AND(#REF!=AP$2,#REF!&lt;&gt;""),#REF!) + IF(AND(#REF!=AP$2,#REF!&lt;&gt;""),#REF!) + IF(AND(#REF!=AP$2,#REF!&lt;&gt;""),#REF!)</f>
        <v>#REF!</v>
      </c>
      <c r="AQ133" s="134"/>
      <c r="AR133" s="57" t="e">
        <f>IF(#REF!=AR$2,IF(#REF!=$Y$2,#REF!*plat_invest)) + IF(#REF!=AR$2,IF(#REF!=$Y$2,#REF!*plat_invest)) + IF(#REF!=AR$2,IF(#REF!=$Y$2,#REF!*plat_invest))</f>
        <v>#REF!</v>
      </c>
      <c r="AS133" s="57" t="e">
        <f>IF(#REF!=AS$2,IF(#REF!=$Y$2,#REF!*lumber_invest)) + IF(#REF!=AS$2,IF(#REF!=$Y$2,#REF!*lumber_invest)) + IF(#REF!=AS$2,IF(#REF!=$Y$2,#REF!*lumber_invest))</f>
        <v>#REF!</v>
      </c>
      <c r="AT133" s="57" t="e">
        <f>IF(#REF!=AT$2,IF(#REF!=$Y$2,#REF!*ore_invest)) + IF(#REF!=AT$2,IF(#REF!=$Y$2,#REF!*ore_invest)) + IF(#REF!=AT$2,IF(#REF!=$Y$2,#REF!*ore_invest))</f>
        <v>#REF!</v>
      </c>
      <c r="AU133" s="57" t="e">
        <f>IF(#REF!=AU$2,IF(#REF!=$Y$2,#REF!*gem_invest)) + IF(#REF!=AU$2,IF(#REF!=$Y$2,#REF!*gem_invest)) + IF(#REF!=AU$2,IF(#REF!=$Y$2,#REF!*gem_invest))</f>
        <v>#REF!</v>
      </c>
      <c r="AV133" s="134"/>
      <c r="AW133" s="57" t="e">
        <f>IF(#REF!=AW$2,IF(#REF!=$Z$2,#REF!*plat_invest)) + IF(#REF!=AW$2,IF(#REF!=$Z$2,#REF!*plat_invest)) + IF(#REF!=AW$2,IF(#REF!=$Z$2,#REF!*plat_invest))</f>
        <v>#REF!</v>
      </c>
      <c r="AX133" s="57" t="e">
        <f>IF(#REF!=AX$2,IF(#REF!=$Z$2,#REF!*lumber_invest)) + IF(#REF!=AX$2,IF(#REF!=$Z$2,#REF!*lumber_invest)) + IF(#REF!=AX$2,IF(#REF!=$Z$2,#REF!*lumber_invest))</f>
        <v>#REF!</v>
      </c>
      <c r="AY133" s="57" t="e">
        <f>IF(#REF!=AY$2,IF(#REF!=$Z$2,#REF!*ore_invest)) + IF(#REF!=AY$2,IF(#REF!=$Z$2,#REF!*ore_invest)) + IF(#REF!=AY$2,IF(#REF!=$Z$2,#REF!*ore_invest))</f>
        <v>#REF!</v>
      </c>
      <c r="AZ133" s="57" t="e">
        <f>IF(#REF!=AZ$2,IF(#REF!=$Z$2,#REF!*gem_invest)) + IF(#REF!=AZ$2,IF(#REF!=$Z$2,#REF!*gem_invest)) + IF(#REF!=AZ$2,IF(#REF!=$Z$2,#REF!*gem_invest))</f>
        <v>#REF!</v>
      </c>
      <c r="BA133" s="134"/>
      <c r="BB133" s="57" t="e">
        <f>IF(#REF!=BB$2,IF(#REF!=$AA$2,#REF!*plat_invest)) + IF(#REF!=BB$2,IF(#REF!=$AA$2,#REF!*plat_invest)) + IF(#REF!=BB$2,IF(#REF!=$AA$2,#REF!*plat_invest))</f>
        <v>#REF!</v>
      </c>
      <c r="BC133" s="57" t="e">
        <f>IF(#REF!=BC$2,IF(#REF!=$AA$2,#REF!*lumber_invest)) + IF(#REF!=BC$2,IF(#REF!=$AA$2,#REF!*lumber_invest)) + IF(#REF!=BC$2,IF(#REF!=$AA$2,#REF!*lumber_invest))</f>
        <v>#REF!</v>
      </c>
      <c r="BD133" s="57" t="e">
        <f>IF(#REF!=BD$2,IF(#REF!=$AA$2,#REF!*ore_invest)) + IF(#REF!=BD$2,IF(#REF!=$AA$2,#REF!*ore_invest)) + IF(#REF!=BD$2,IF(#REF!=$AA$2,#REF!*ore_invest))</f>
        <v>#REF!</v>
      </c>
      <c r="BE133" s="57" t="e">
        <f>IF(#REF!=BE$2,IF(#REF!=$AA$2,#REF!*gem_invest)) + IF(#REF!=BE$2,IF(#REF!=$AA$2,#REF!*gem_invest)) + IF(#REF!=BE$2,IF(#REF!=$AA$2,#REF!*gem_invest))</f>
        <v>#REF!</v>
      </c>
      <c r="BF133" s="134"/>
      <c r="BG133" s="57" t="e">
        <f>IF(#REF!=BG$2,IF(#REF!=$AB$2,#REF!*plat_invest)) + IF(#REF!=BG$2,IF(#REF!=$AB$2,#REF!*plat_invest)) + IF(#REF!=BG$2,IF(#REF!=$AB$2,#REF!*plat_invest))</f>
        <v>#REF!</v>
      </c>
      <c r="BH133" s="57" t="e">
        <f>IF(#REF!=BH$2,IF(#REF!=$AB$2,#REF!*lumber_invest)) + IF(#REF!=BH$2,IF(#REF!=$AB$2,#REF!*lumber_invest)) + IF(#REF!=BH$2,IF(#REF!=$AB$2,#REF!*lumber_invest))</f>
        <v>#REF!</v>
      </c>
      <c r="BI133" s="57" t="e">
        <f>IF(#REF!=BI$2,IF(#REF!=$AB$2,#REF!*ore_invest)) + IF(#REF!=BI$2,IF(#REF!=$AB$2,#REF!*ore_invest)) + IF(#REF!=BI$2,IF(#REF!=$AB$2,#REF!*ore_invest))</f>
        <v>#REF!</v>
      </c>
      <c r="BJ133" s="57" t="e">
        <f>IF(#REF!=BJ$2,IF(#REF!=$AB$2,#REF!*gem_invest)) + IF(#REF!=BJ$2,IF(#REF!=$AB$2,#REF!*gem_invest)) + IF(#REF!=BJ$2,IF(#REF!=$AB$2,#REF!*gem_invest))</f>
        <v>#REF!</v>
      </c>
      <c r="BK133" s="134"/>
      <c r="BL133" s="57" t="e">
        <f>IF(#REF!=BL$2,IF(#REF!=$AC$2,#REF!*plat_invest)) + IF(#REF!=BL$2,IF(#REF!=$AC$2,#REF!*plat_invest)) + IF(#REF!=BL$2,IF(#REF!=$AC$2,#REF!*plat_invest))</f>
        <v>#REF!</v>
      </c>
      <c r="BM133" s="57" t="e">
        <f>IF(#REF!=BM$2,IF(#REF!=$AC$2,#REF!*lumber_invest)) + IF(#REF!=BM$2,IF(#REF!=$AC$2,#REF!*lumber_invest)) + IF(#REF!=BM$2,IF(#REF!=$AC$2,#REF!*lumber_invest))</f>
        <v>#REF!</v>
      </c>
      <c r="BN133" s="57" t="e">
        <f>IF(#REF!=BN$2,IF(#REF!=$AC$2,#REF!*ore_invest)) + IF(#REF!=BN$2,IF(#REF!=$AC$2,#REF!*ore_invest)) + IF(#REF!=BN$2,IF(#REF!=$AC$2,#REF!*ore_invest))</f>
        <v>#REF!</v>
      </c>
      <c r="BO133" s="57" t="e">
        <f>IF(#REF!=BO$2,IF(#REF!=$AC$2,#REF!*gem_invest)) + IF(#REF!=BO$2,IF(#REF!=$AC$2,#REF!*gem_invest)) + IF(#REF!=BO$2,IF(#REF!=$AC$2,#REF!*gem_invest))</f>
        <v>#REF!</v>
      </c>
      <c r="BP133" s="134"/>
      <c r="BQ133" s="57" t="e">
        <f>IF(#REF!=BQ$2,IF(#REF!=$AD$2,#REF!*plat_invest)) + IF(#REF!=BQ$2,IF(#REF!=$AD$2,#REF!*plat_invest)) + IF(#REF!=BQ$2,IF(#REF!=$AD$2,#REF!*plat_invest))</f>
        <v>#REF!</v>
      </c>
      <c r="BR133" s="57" t="e">
        <f>IF(#REF!=BR$2,IF(#REF!=$AD$2,#REF!*lumber_invest)) + IF(#REF!=BR$2,IF(#REF!=$AD$2,#REF!*lumber_invest)) + IF(#REF!=BR$2,IF(#REF!=$AD$2,#REF!*lumber_invest))</f>
        <v>#REF!</v>
      </c>
      <c r="BS133" s="57" t="e">
        <f>IF(#REF!=BS$2,IF(#REF!=$AD$2,#REF!*ore_invest)) + IF(#REF!=BS$2,IF(#REF!=$AD$2,#REF!*ore_invest)) + IF(#REF!=BS$2,IF(#REF!=$AD$2,#REF!*ore_invest))</f>
        <v>#REF!</v>
      </c>
      <c r="BT133" s="57" t="e">
        <f>IF(#REF!=BT$2,IF(#REF!=$AD$2,#REF!*gem_invest)) + IF(#REF!=BT$2,IF(#REF!=$AD$2,#REF!*gem_invest)) + IF(#REF!=BT$2,IF(#REF!=$AD$2,#REF!*gem_invest))</f>
        <v>#REF!</v>
      </c>
      <c r="BU133" s="134"/>
      <c r="BV133" s="3" t="e">
        <f>OR(#REF!,#REF!,#REF!,#REF!,#REF!,#REF!,#REF!,#REF!,#REF!)</f>
        <v>#REF!</v>
      </c>
      <c r="BW133" s="61" t="e">
        <f>#REF!</f>
        <v>#REF!</v>
      </c>
      <c r="BX133" s="130"/>
      <c r="BY133" s="284" t="e">
        <f ca="1">OFFSET(#REF!,-1,0)+1/24</f>
        <v>#REF!</v>
      </c>
      <c r="BZ133" s="285" t="e">
        <f ca="1">OFFSET(#REF!,-1,0)+1/24</f>
        <v>#REF!</v>
      </c>
      <c r="CA133" s="57"/>
      <c r="CB133" s="283"/>
      <c r="CC133" s="283"/>
    </row>
    <row r="134" spans="1:81" x14ac:dyDescent="0.25">
      <c r="A134" s="206" t="e">
        <f>#REF!</f>
        <v>#REF!</v>
      </c>
      <c r="B134" s="134"/>
      <c r="C134" s="39" t="e">
        <f>#REF!</f>
        <v>#REF!</v>
      </c>
      <c r="D134" s="39" t="e">
        <f>#REF!</f>
        <v>#REF!</v>
      </c>
      <c r="E134" s="39" t="e">
        <f>#REF!</f>
        <v>#REF!</v>
      </c>
      <c r="F134" s="39" t="e">
        <f>#REF!</f>
        <v>#REF!</v>
      </c>
      <c r="G134" s="133"/>
      <c r="H134" s="39" t="e">
        <f>#REF!</f>
        <v>#REF!</v>
      </c>
      <c r="I134" s="132" t="e">
        <f>#REF!</f>
        <v>#REF!</v>
      </c>
      <c r="J134" s="132" t="e">
        <f>#REF!/#REF!</f>
        <v>#REF!</v>
      </c>
      <c r="K134" s="160" t="e">
        <f>#REF!</f>
        <v>#REF!</v>
      </c>
      <c r="L134" s="276" t="e">
        <f>#REF!</f>
        <v>#REF!</v>
      </c>
      <c r="M134" s="61">
        <f>IF(ISERROR(#REF!),0,#REF!*1)</f>
        <v>0</v>
      </c>
      <c r="N134" s="39" t="e">
        <f>#REF!</f>
        <v>#REF!</v>
      </c>
      <c r="O134" s="277" t="s">
        <v>4</v>
      </c>
      <c r="P134" s="278"/>
      <c r="Q134" s="277" t="s">
        <v>211</v>
      </c>
      <c r="R134" s="277" t="s">
        <v>7</v>
      </c>
      <c r="S134" s="278"/>
      <c r="T134" s="277" t="s">
        <v>211</v>
      </c>
      <c r="U134" s="277" t="s">
        <v>3</v>
      </c>
      <c r="V134" s="278"/>
      <c r="W134" s="277" t="s">
        <v>211</v>
      </c>
      <c r="X134" s="134"/>
      <c r="Y134" s="209" t="e">
        <f ca="1">science_cap*(1-EXP(-#REF!/(science_param*(OFFSET(#REF!,1,0)-OFFSET(#REF!,1,0)*20)+15000)))*(1+(mason_bonus*#REF!/#REF!))</f>
        <v>#REF!</v>
      </c>
      <c r="Z134" s="209" t="e">
        <f ca="1">keep_cap*(1-EXP(-#REF!/(keep_param*(OFFSET(#REF!,1,0)-OFFSET(#REF!,1,0)*20)+15000)))*(1+(mason_bonus*#REF!/#REF!))</f>
        <v>#REF!</v>
      </c>
      <c r="AA134" s="209" t="e">
        <f ca="1">harbor_towers_cap*(1-EXP(-#REF!/(towers_param*(OFFSET(#REF!,1,0)-OFFSET(#REF!,1,0)*20)+15000)))*(1+(mason_bonus*#REF!/#REF!))</f>
        <v>#REF!</v>
      </c>
      <c r="AB134" s="209" t="e">
        <f ca="1">walls_forges_cap*(1-EXP(-#REF!/(walls_forges_param*(OFFSET(#REF!,1,0)-OFFSET(#REF!,1,0)*20)+15000)))*(1+(mason_bonus*#REF!/#REF!))</f>
        <v>#REF!</v>
      </c>
      <c r="AC134" s="209" t="e">
        <f ca="1">walls_forges_cap*(1-EXP(-#REF!/(walls_forges_param*(OFFSET(#REF!,1,0)-OFFSET(#REF!,1,0)*20)+15000)))*(1+(mason_bonus*#REF!/#REF!))</f>
        <v>#REF!</v>
      </c>
      <c r="AD134" s="209" t="e">
        <f ca="1">harbor_towers_cap*(1-EXP(-#REF!/(harbor_towers_param*(OFFSET(#REF!,1,0)-OFFSET(#REF!,1,0)*20)+15000)))*(1+(mason_bonus*#REF!/#REF!))</f>
        <v>#REF!</v>
      </c>
      <c r="AE134" s="134"/>
      <c r="AF134" s="61" t="e">
        <f ca="1">(1+Overview!$I$28)*SUM(#REF!)+OFFSET(#REF!,-1,0)</f>
        <v>#REF!</v>
      </c>
      <c r="AG134" s="61" t="e">
        <f ca="1">(1+Overview!$I$28)*SUM(#REF!)+OFFSET(#REF!,-1,0)</f>
        <v>#REF!</v>
      </c>
      <c r="AH134" s="61" t="e">
        <f ca="1">(1+Overview!$I$28 + tech_7_1*#REF!)*SUM(#REF!)+OFFSET(#REF!,-1,0)</f>
        <v>#REF!</v>
      </c>
      <c r="AI134" s="61" t="e">
        <f ca="1">(1+Overview!$I$28)*SUM(#REF!)+OFFSET(#REF!,-1,0)</f>
        <v>#REF!</v>
      </c>
      <c r="AJ134" s="61" t="e">
        <f ca="1">(1+Overview!$I$28)*SUM(#REF!)+OFFSET(#REF!,-1,0)</f>
        <v>#REF!</v>
      </c>
      <c r="AK134" s="61" t="e">
        <f ca="1">(1+Overview!$I$28 + tech_7_1*#REF!)*SUM(#REF!)+OFFSET(#REF!,-1,0)</f>
        <v>#REF!</v>
      </c>
      <c r="AL134" s="134"/>
      <c r="AM134" s="57" t="e">
        <f>IF(AND(#REF!=AM$2,#REF!&lt;&gt;""),#REF!) + IF(AND(#REF!=AM$2,#REF!&lt;&gt;""),#REF!) + IF(AND(#REF!=AM$2,#REF!&lt;&gt;""),#REF!)</f>
        <v>#REF!</v>
      </c>
      <c r="AN134" s="57" t="e">
        <f>IF(AND(#REF!=AN$2,#REF!&lt;&gt;""),#REF!) + IF(AND(#REF!=AN$2,#REF!&lt;&gt;""),#REF!) + IF(AND(#REF!=AN$2,#REF!&lt;&gt;""),#REF!)</f>
        <v>#REF!</v>
      </c>
      <c r="AO134" s="57" t="e">
        <f>IF(AND(#REF!=AO$2,#REF!&lt;&gt;""),#REF!) + IF(AND(#REF!=AO$2,#REF!&lt;&gt;""),#REF!) + IF(AND(#REF!=AO$2,#REF!&lt;&gt;""),#REF!)</f>
        <v>#REF!</v>
      </c>
      <c r="AP134" s="57" t="e">
        <f>IF(AND(#REF!=AP$2,#REF!&lt;&gt;""),#REF!) + IF(AND(#REF!=AP$2,#REF!&lt;&gt;""),#REF!) + IF(AND(#REF!=AP$2,#REF!&lt;&gt;""),#REF!)</f>
        <v>#REF!</v>
      </c>
      <c r="AQ134" s="134"/>
      <c r="AR134" s="57" t="e">
        <f>IF(#REF!=AR$2,IF(#REF!=$Y$2,#REF!*plat_invest)) + IF(#REF!=AR$2,IF(#REF!=$Y$2,#REF!*plat_invest)) + IF(#REF!=AR$2,IF(#REF!=$Y$2,#REF!*plat_invest))</f>
        <v>#REF!</v>
      </c>
      <c r="AS134" s="57" t="e">
        <f>IF(#REF!=AS$2,IF(#REF!=$Y$2,#REF!*lumber_invest)) + IF(#REF!=AS$2,IF(#REF!=$Y$2,#REF!*lumber_invest)) + IF(#REF!=AS$2,IF(#REF!=$Y$2,#REF!*lumber_invest))</f>
        <v>#REF!</v>
      </c>
      <c r="AT134" s="57" t="e">
        <f>IF(#REF!=AT$2,IF(#REF!=$Y$2,#REF!*ore_invest)) + IF(#REF!=AT$2,IF(#REF!=$Y$2,#REF!*ore_invest)) + IF(#REF!=AT$2,IF(#REF!=$Y$2,#REF!*ore_invest))</f>
        <v>#REF!</v>
      </c>
      <c r="AU134" s="57" t="e">
        <f>IF(#REF!=AU$2,IF(#REF!=$Y$2,#REF!*gem_invest)) + IF(#REF!=AU$2,IF(#REF!=$Y$2,#REF!*gem_invest)) + IF(#REF!=AU$2,IF(#REF!=$Y$2,#REF!*gem_invest))</f>
        <v>#REF!</v>
      </c>
      <c r="AV134" s="134"/>
      <c r="AW134" s="57" t="e">
        <f>IF(#REF!=AW$2,IF(#REF!=$Z$2,#REF!*plat_invest)) + IF(#REF!=AW$2,IF(#REF!=$Z$2,#REF!*plat_invest)) + IF(#REF!=AW$2,IF(#REF!=$Z$2,#REF!*plat_invest))</f>
        <v>#REF!</v>
      </c>
      <c r="AX134" s="57" t="e">
        <f>IF(#REF!=AX$2,IF(#REF!=$Z$2,#REF!*lumber_invest)) + IF(#REF!=AX$2,IF(#REF!=$Z$2,#REF!*lumber_invest)) + IF(#REF!=AX$2,IF(#REF!=$Z$2,#REF!*lumber_invest))</f>
        <v>#REF!</v>
      </c>
      <c r="AY134" s="57" t="e">
        <f>IF(#REF!=AY$2,IF(#REF!=$Z$2,#REF!*ore_invest)) + IF(#REF!=AY$2,IF(#REF!=$Z$2,#REF!*ore_invest)) + IF(#REF!=AY$2,IF(#REF!=$Z$2,#REF!*ore_invest))</f>
        <v>#REF!</v>
      </c>
      <c r="AZ134" s="57" t="e">
        <f>IF(#REF!=AZ$2,IF(#REF!=$Z$2,#REF!*gem_invest)) + IF(#REF!=AZ$2,IF(#REF!=$Z$2,#REF!*gem_invest)) + IF(#REF!=AZ$2,IF(#REF!=$Z$2,#REF!*gem_invest))</f>
        <v>#REF!</v>
      </c>
      <c r="BA134" s="134"/>
      <c r="BB134" s="57" t="e">
        <f>IF(#REF!=BB$2,IF(#REF!=$AA$2,#REF!*plat_invest)) + IF(#REF!=BB$2,IF(#REF!=$AA$2,#REF!*plat_invest)) + IF(#REF!=BB$2,IF(#REF!=$AA$2,#REF!*plat_invest))</f>
        <v>#REF!</v>
      </c>
      <c r="BC134" s="57" t="e">
        <f>IF(#REF!=BC$2,IF(#REF!=$AA$2,#REF!*lumber_invest)) + IF(#REF!=BC$2,IF(#REF!=$AA$2,#REF!*lumber_invest)) + IF(#REF!=BC$2,IF(#REF!=$AA$2,#REF!*lumber_invest))</f>
        <v>#REF!</v>
      </c>
      <c r="BD134" s="57" t="e">
        <f>IF(#REF!=BD$2,IF(#REF!=$AA$2,#REF!*ore_invest)) + IF(#REF!=BD$2,IF(#REF!=$AA$2,#REF!*ore_invest)) + IF(#REF!=BD$2,IF(#REF!=$AA$2,#REF!*ore_invest))</f>
        <v>#REF!</v>
      </c>
      <c r="BE134" s="57" t="e">
        <f>IF(#REF!=BE$2,IF(#REF!=$AA$2,#REF!*gem_invest)) + IF(#REF!=BE$2,IF(#REF!=$AA$2,#REF!*gem_invest)) + IF(#REF!=BE$2,IF(#REF!=$AA$2,#REF!*gem_invest))</f>
        <v>#REF!</v>
      </c>
      <c r="BF134" s="134"/>
      <c r="BG134" s="57" t="e">
        <f>IF(#REF!=BG$2,IF(#REF!=$AB$2,#REF!*plat_invest)) + IF(#REF!=BG$2,IF(#REF!=$AB$2,#REF!*plat_invest)) + IF(#REF!=BG$2,IF(#REF!=$AB$2,#REF!*plat_invest))</f>
        <v>#REF!</v>
      </c>
      <c r="BH134" s="57" t="e">
        <f>IF(#REF!=BH$2,IF(#REF!=$AB$2,#REF!*lumber_invest)) + IF(#REF!=BH$2,IF(#REF!=$AB$2,#REF!*lumber_invest)) + IF(#REF!=BH$2,IF(#REF!=$AB$2,#REF!*lumber_invest))</f>
        <v>#REF!</v>
      </c>
      <c r="BI134" s="57" t="e">
        <f>IF(#REF!=BI$2,IF(#REF!=$AB$2,#REF!*ore_invest)) + IF(#REF!=BI$2,IF(#REF!=$AB$2,#REF!*ore_invest)) + IF(#REF!=BI$2,IF(#REF!=$AB$2,#REF!*ore_invest))</f>
        <v>#REF!</v>
      </c>
      <c r="BJ134" s="57" t="e">
        <f>IF(#REF!=BJ$2,IF(#REF!=$AB$2,#REF!*gem_invest)) + IF(#REF!=BJ$2,IF(#REF!=$AB$2,#REF!*gem_invest)) + IF(#REF!=BJ$2,IF(#REF!=$AB$2,#REF!*gem_invest))</f>
        <v>#REF!</v>
      </c>
      <c r="BK134" s="134"/>
      <c r="BL134" s="57" t="e">
        <f>IF(#REF!=BL$2,IF(#REF!=$AC$2,#REF!*plat_invest)) + IF(#REF!=BL$2,IF(#REF!=$AC$2,#REF!*plat_invest)) + IF(#REF!=BL$2,IF(#REF!=$AC$2,#REF!*plat_invest))</f>
        <v>#REF!</v>
      </c>
      <c r="BM134" s="57" t="e">
        <f>IF(#REF!=BM$2,IF(#REF!=$AC$2,#REF!*lumber_invest)) + IF(#REF!=BM$2,IF(#REF!=$AC$2,#REF!*lumber_invest)) + IF(#REF!=BM$2,IF(#REF!=$AC$2,#REF!*lumber_invest))</f>
        <v>#REF!</v>
      </c>
      <c r="BN134" s="57" t="e">
        <f>IF(#REF!=BN$2,IF(#REF!=$AC$2,#REF!*ore_invest)) + IF(#REF!=BN$2,IF(#REF!=$AC$2,#REF!*ore_invest)) + IF(#REF!=BN$2,IF(#REF!=$AC$2,#REF!*ore_invest))</f>
        <v>#REF!</v>
      </c>
      <c r="BO134" s="57" t="e">
        <f>IF(#REF!=BO$2,IF(#REF!=$AC$2,#REF!*gem_invest)) + IF(#REF!=BO$2,IF(#REF!=$AC$2,#REF!*gem_invest)) + IF(#REF!=BO$2,IF(#REF!=$AC$2,#REF!*gem_invest))</f>
        <v>#REF!</v>
      </c>
      <c r="BP134" s="134"/>
      <c r="BQ134" s="57" t="e">
        <f>IF(#REF!=BQ$2,IF(#REF!=$AD$2,#REF!*plat_invest)) + IF(#REF!=BQ$2,IF(#REF!=$AD$2,#REF!*plat_invest)) + IF(#REF!=BQ$2,IF(#REF!=$AD$2,#REF!*plat_invest))</f>
        <v>#REF!</v>
      </c>
      <c r="BR134" s="57" t="e">
        <f>IF(#REF!=BR$2,IF(#REF!=$AD$2,#REF!*lumber_invest)) + IF(#REF!=BR$2,IF(#REF!=$AD$2,#REF!*lumber_invest)) + IF(#REF!=BR$2,IF(#REF!=$AD$2,#REF!*lumber_invest))</f>
        <v>#REF!</v>
      </c>
      <c r="BS134" s="57" t="e">
        <f>IF(#REF!=BS$2,IF(#REF!=$AD$2,#REF!*ore_invest)) + IF(#REF!=BS$2,IF(#REF!=$AD$2,#REF!*ore_invest)) + IF(#REF!=BS$2,IF(#REF!=$AD$2,#REF!*ore_invest))</f>
        <v>#REF!</v>
      </c>
      <c r="BT134" s="57" t="e">
        <f>IF(#REF!=BT$2,IF(#REF!=$AD$2,#REF!*gem_invest)) + IF(#REF!=BT$2,IF(#REF!=$AD$2,#REF!*gem_invest)) + IF(#REF!=BT$2,IF(#REF!=$AD$2,#REF!*gem_invest))</f>
        <v>#REF!</v>
      </c>
      <c r="BU134" s="134"/>
      <c r="BV134" s="3" t="e">
        <f>OR(#REF!,#REF!,#REF!,#REF!,#REF!,#REF!,#REF!,#REF!,#REF!)</f>
        <v>#REF!</v>
      </c>
      <c r="BW134" s="61" t="e">
        <f>#REF!</f>
        <v>#REF!</v>
      </c>
      <c r="BX134" s="130"/>
      <c r="BY134" s="284" t="e">
        <f ca="1">OFFSET(#REF!,-1,0)+1/24</f>
        <v>#REF!</v>
      </c>
      <c r="BZ134" s="285" t="e">
        <f ca="1">OFFSET(#REF!,-1,0)+1/24</f>
        <v>#REF!</v>
      </c>
      <c r="CA134" s="57"/>
      <c r="CB134" s="283"/>
      <c r="CC134" s="283"/>
    </row>
    <row r="135" spans="1:81" x14ac:dyDescent="0.25">
      <c r="A135" s="206" t="e">
        <f>#REF!</f>
        <v>#REF!</v>
      </c>
      <c r="B135" s="134"/>
      <c r="C135" s="39" t="e">
        <f>#REF!</f>
        <v>#REF!</v>
      </c>
      <c r="D135" s="39" t="e">
        <f>#REF!</f>
        <v>#REF!</v>
      </c>
      <c r="E135" s="39" t="e">
        <f>#REF!</f>
        <v>#REF!</v>
      </c>
      <c r="F135" s="39" t="e">
        <f>#REF!</f>
        <v>#REF!</v>
      </c>
      <c r="G135" s="133"/>
      <c r="H135" s="39" t="e">
        <f>#REF!</f>
        <v>#REF!</v>
      </c>
      <c r="I135" s="132" t="e">
        <f>#REF!</f>
        <v>#REF!</v>
      </c>
      <c r="J135" s="132" t="e">
        <f>#REF!/#REF!</f>
        <v>#REF!</v>
      </c>
      <c r="K135" s="160" t="e">
        <f>#REF!</f>
        <v>#REF!</v>
      </c>
      <c r="L135" s="276" t="e">
        <f>#REF!</f>
        <v>#REF!</v>
      </c>
      <c r="M135" s="61">
        <f>IF(ISERROR(#REF!),0,#REF!*1)</f>
        <v>0</v>
      </c>
      <c r="N135" s="39" t="e">
        <f>#REF!</f>
        <v>#REF!</v>
      </c>
      <c r="O135" s="277" t="s">
        <v>4</v>
      </c>
      <c r="P135" s="278"/>
      <c r="Q135" s="277" t="s">
        <v>211</v>
      </c>
      <c r="R135" s="277" t="s">
        <v>7</v>
      </c>
      <c r="S135" s="278"/>
      <c r="T135" s="277" t="s">
        <v>211</v>
      </c>
      <c r="U135" s="277" t="s">
        <v>3</v>
      </c>
      <c r="V135" s="278"/>
      <c r="W135" s="277" t="s">
        <v>211</v>
      </c>
      <c r="X135" s="134"/>
      <c r="Y135" s="209" t="e">
        <f ca="1">science_cap*(1-EXP(-#REF!/(science_param*(OFFSET(#REF!,1,0)-OFFSET(#REF!,1,0)*20)+15000)))*(1+(mason_bonus*#REF!/#REF!))</f>
        <v>#REF!</v>
      </c>
      <c r="Z135" s="209" t="e">
        <f ca="1">keep_cap*(1-EXP(-#REF!/(keep_param*(OFFSET(#REF!,1,0)-OFFSET(#REF!,1,0)*20)+15000)))*(1+(mason_bonus*#REF!/#REF!))</f>
        <v>#REF!</v>
      </c>
      <c r="AA135" s="209" t="e">
        <f ca="1">harbor_towers_cap*(1-EXP(-#REF!/(towers_param*(OFFSET(#REF!,1,0)-OFFSET(#REF!,1,0)*20)+15000)))*(1+(mason_bonus*#REF!/#REF!))</f>
        <v>#REF!</v>
      </c>
      <c r="AB135" s="209" t="e">
        <f ca="1">walls_forges_cap*(1-EXP(-#REF!/(walls_forges_param*(OFFSET(#REF!,1,0)-OFFSET(#REF!,1,0)*20)+15000)))*(1+(mason_bonus*#REF!/#REF!))</f>
        <v>#REF!</v>
      </c>
      <c r="AC135" s="209" t="e">
        <f ca="1">walls_forges_cap*(1-EXP(-#REF!/(walls_forges_param*(OFFSET(#REF!,1,0)-OFFSET(#REF!,1,0)*20)+15000)))*(1+(mason_bonus*#REF!/#REF!))</f>
        <v>#REF!</v>
      </c>
      <c r="AD135" s="209" t="e">
        <f ca="1">harbor_towers_cap*(1-EXP(-#REF!/(harbor_towers_param*(OFFSET(#REF!,1,0)-OFFSET(#REF!,1,0)*20)+15000)))*(1+(mason_bonus*#REF!/#REF!))</f>
        <v>#REF!</v>
      </c>
      <c r="AE135" s="134"/>
      <c r="AF135" s="61" t="e">
        <f ca="1">(1+Overview!$I$28)*SUM(#REF!)+OFFSET(#REF!,-1,0)</f>
        <v>#REF!</v>
      </c>
      <c r="AG135" s="61" t="e">
        <f ca="1">(1+Overview!$I$28)*SUM(#REF!)+OFFSET(#REF!,-1,0)</f>
        <v>#REF!</v>
      </c>
      <c r="AH135" s="61" t="e">
        <f ca="1">(1+Overview!$I$28 + tech_7_1*#REF!)*SUM(#REF!)+OFFSET(#REF!,-1,0)</f>
        <v>#REF!</v>
      </c>
      <c r="AI135" s="61" t="e">
        <f ca="1">(1+Overview!$I$28)*SUM(#REF!)+OFFSET(#REF!,-1,0)</f>
        <v>#REF!</v>
      </c>
      <c r="AJ135" s="61" t="e">
        <f ca="1">(1+Overview!$I$28)*SUM(#REF!)+OFFSET(#REF!,-1,0)</f>
        <v>#REF!</v>
      </c>
      <c r="AK135" s="61" t="e">
        <f ca="1">(1+Overview!$I$28 + tech_7_1*#REF!)*SUM(#REF!)+OFFSET(#REF!,-1,0)</f>
        <v>#REF!</v>
      </c>
      <c r="AL135" s="134"/>
      <c r="AM135" s="57" t="e">
        <f>IF(AND(#REF!=AM$2,#REF!&lt;&gt;""),#REF!) + IF(AND(#REF!=AM$2,#REF!&lt;&gt;""),#REF!) + IF(AND(#REF!=AM$2,#REF!&lt;&gt;""),#REF!)</f>
        <v>#REF!</v>
      </c>
      <c r="AN135" s="57" t="e">
        <f>IF(AND(#REF!=AN$2,#REF!&lt;&gt;""),#REF!) + IF(AND(#REF!=AN$2,#REF!&lt;&gt;""),#REF!) + IF(AND(#REF!=AN$2,#REF!&lt;&gt;""),#REF!)</f>
        <v>#REF!</v>
      </c>
      <c r="AO135" s="57" t="e">
        <f>IF(AND(#REF!=AO$2,#REF!&lt;&gt;""),#REF!) + IF(AND(#REF!=AO$2,#REF!&lt;&gt;""),#REF!) + IF(AND(#REF!=AO$2,#REF!&lt;&gt;""),#REF!)</f>
        <v>#REF!</v>
      </c>
      <c r="AP135" s="57" t="e">
        <f>IF(AND(#REF!=AP$2,#REF!&lt;&gt;""),#REF!) + IF(AND(#REF!=AP$2,#REF!&lt;&gt;""),#REF!) + IF(AND(#REF!=AP$2,#REF!&lt;&gt;""),#REF!)</f>
        <v>#REF!</v>
      </c>
      <c r="AQ135" s="134"/>
      <c r="AR135" s="57" t="e">
        <f>IF(#REF!=AR$2,IF(#REF!=$Y$2,#REF!*plat_invest)) + IF(#REF!=AR$2,IF(#REF!=$Y$2,#REF!*plat_invest)) + IF(#REF!=AR$2,IF(#REF!=$Y$2,#REF!*plat_invest))</f>
        <v>#REF!</v>
      </c>
      <c r="AS135" s="57" t="e">
        <f>IF(#REF!=AS$2,IF(#REF!=$Y$2,#REF!*lumber_invest)) + IF(#REF!=AS$2,IF(#REF!=$Y$2,#REF!*lumber_invest)) + IF(#REF!=AS$2,IF(#REF!=$Y$2,#REF!*lumber_invest))</f>
        <v>#REF!</v>
      </c>
      <c r="AT135" s="57" t="e">
        <f>IF(#REF!=AT$2,IF(#REF!=$Y$2,#REF!*ore_invest)) + IF(#REF!=AT$2,IF(#REF!=$Y$2,#REF!*ore_invest)) + IF(#REF!=AT$2,IF(#REF!=$Y$2,#REF!*ore_invest))</f>
        <v>#REF!</v>
      </c>
      <c r="AU135" s="57" t="e">
        <f>IF(#REF!=AU$2,IF(#REF!=$Y$2,#REF!*gem_invest)) + IF(#REF!=AU$2,IF(#REF!=$Y$2,#REF!*gem_invest)) + IF(#REF!=AU$2,IF(#REF!=$Y$2,#REF!*gem_invest))</f>
        <v>#REF!</v>
      </c>
      <c r="AV135" s="134"/>
      <c r="AW135" s="57" t="e">
        <f>IF(#REF!=AW$2,IF(#REF!=$Z$2,#REF!*plat_invest)) + IF(#REF!=AW$2,IF(#REF!=$Z$2,#REF!*plat_invest)) + IF(#REF!=AW$2,IF(#REF!=$Z$2,#REF!*plat_invest))</f>
        <v>#REF!</v>
      </c>
      <c r="AX135" s="57" t="e">
        <f>IF(#REF!=AX$2,IF(#REF!=$Z$2,#REF!*lumber_invest)) + IF(#REF!=AX$2,IF(#REF!=$Z$2,#REF!*lumber_invest)) + IF(#REF!=AX$2,IF(#REF!=$Z$2,#REF!*lumber_invest))</f>
        <v>#REF!</v>
      </c>
      <c r="AY135" s="57" t="e">
        <f>IF(#REF!=AY$2,IF(#REF!=$Z$2,#REF!*ore_invest)) + IF(#REF!=AY$2,IF(#REF!=$Z$2,#REF!*ore_invest)) + IF(#REF!=AY$2,IF(#REF!=$Z$2,#REF!*ore_invest))</f>
        <v>#REF!</v>
      </c>
      <c r="AZ135" s="57" t="e">
        <f>IF(#REF!=AZ$2,IF(#REF!=$Z$2,#REF!*gem_invest)) + IF(#REF!=AZ$2,IF(#REF!=$Z$2,#REF!*gem_invest)) + IF(#REF!=AZ$2,IF(#REF!=$Z$2,#REF!*gem_invest))</f>
        <v>#REF!</v>
      </c>
      <c r="BA135" s="134"/>
      <c r="BB135" s="57" t="e">
        <f>IF(#REF!=BB$2,IF(#REF!=$AA$2,#REF!*plat_invest)) + IF(#REF!=BB$2,IF(#REF!=$AA$2,#REF!*plat_invest)) + IF(#REF!=BB$2,IF(#REF!=$AA$2,#REF!*plat_invest))</f>
        <v>#REF!</v>
      </c>
      <c r="BC135" s="57" t="e">
        <f>IF(#REF!=BC$2,IF(#REF!=$AA$2,#REF!*lumber_invest)) + IF(#REF!=BC$2,IF(#REF!=$AA$2,#REF!*lumber_invest)) + IF(#REF!=BC$2,IF(#REF!=$AA$2,#REF!*lumber_invest))</f>
        <v>#REF!</v>
      </c>
      <c r="BD135" s="57" t="e">
        <f>IF(#REF!=BD$2,IF(#REF!=$AA$2,#REF!*ore_invest)) + IF(#REF!=BD$2,IF(#REF!=$AA$2,#REF!*ore_invest)) + IF(#REF!=BD$2,IF(#REF!=$AA$2,#REF!*ore_invest))</f>
        <v>#REF!</v>
      </c>
      <c r="BE135" s="57" t="e">
        <f>IF(#REF!=BE$2,IF(#REF!=$AA$2,#REF!*gem_invest)) + IF(#REF!=BE$2,IF(#REF!=$AA$2,#REF!*gem_invest)) + IF(#REF!=BE$2,IF(#REF!=$AA$2,#REF!*gem_invest))</f>
        <v>#REF!</v>
      </c>
      <c r="BF135" s="134"/>
      <c r="BG135" s="57" t="e">
        <f>IF(#REF!=BG$2,IF(#REF!=$AB$2,#REF!*plat_invest)) + IF(#REF!=BG$2,IF(#REF!=$AB$2,#REF!*plat_invest)) + IF(#REF!=BG$2,IF(#REF!=$AB$2,#REF!*plat_invest))</f>
        <v>#REF!</v>
      </c>
      <c r="BH135" s="57" t="e">
        <f>IF(#REF!=BH$2,IF(#REF!=$AB$2,#REF!*lumber_invest)) + IF(#REF!=BH$2,IF(#REF!=$AB$2,#REF!*lumber_invest)) + IF(#REF!=BH$2,IF(#REF!=$AB$2,#REF!*lumber_invest))</f>
        <v>#REF!</v>
      </c>
      <c r="BI135" s="57" t="e">
        <f>IF(#REF!=BI$2,IF(#REF!=$AB$2,#REF!*ore_invest)) + IF(#REF!=BI$2,IF(#REF!=$AB$2,#REF!*ore_invest)) + IF(#REF!=BI$2,IF(#REF!=$AB$2,#REF!*ore_invest))</f>
        <v>#REF!</v>
      </c>
      <c r="BJ135" s="57" t="e">
        <f>IF(#REF!=BJ$2,IF(#REF!=$AB$2,#REF!*gem_invest)) + IF(#REF!=BJ$2,IF(#REF!=$AB$2,#REF!*gem_invest)) + IF(#REF!=BJ$2,IF(#REF!=$AB$2,#REF!*gem_invest))</f>
        <v>#REF!</v>
      </c>
      <c r="BK135" s="134"/>
      <c r="BL135" s="57" t="e">
        <f>IF(#REF!=BL$2,IF(#REF!=$AC$2,#REF!*plat_invest)) + IF(#REF!=BL$2,IF(#REF!=$AC$2,#REF!*plat_invest)) + IF(#REF!=BL$2,IF(#REF!=$AC$2,#REF!*plat_invest))</f>
        <v>#REF!</v>
      </c>
      <c r="BM135" s="57" t="e">
        <f>IF(#REF!=BM$2,IF(#REF!=$AC$2,#REF!*lumber_invest)) + IF(#REF!=BM$2,IF(#REF!=$AC$2,#REF!*lumber_invest)) + IF(#REF!=BM$2,IF(#REF!=$AC$2,#REF!*lumber_invest))</f>
        <v>#REF!</v>
      </c>
      <c r="BN135" s="57" t="e">
        <f>IF(#REF!=BN$2,IF(#REF!=$AC$2,#REF!*ore_invest)) + IF(#REF!=BN$2,IF(#REF!=$AC$2,#REF!*ore_invest)) + IF(#REF!=BN$2,IF(#REF!=$AC$2,#REF!*ore_invest))</f>
        <v>#REF!</v>
      </c>
      <c r="BO135" s="57" t="e">
        <f>IF(#REF!=BO$2,IF(#REF!=$AC$2,#REF!*gem_invest)) + IF(#REF!=BO$2,IF(#REF!=$AC$2,#REF!*gem_invest)) + IF(#REF!=BO$2,IF(#REF!=$AC$2,#REF!*gem_invest))</f>
        <v>#REF!</v>
      </c>
      <c r="BP135" s="134"/>
      <c r="BQ135" s="57" t="e">
        <f>IF(#REF!=BQ$2,IF(#REF!=$AD$2,#REF!*plat_invest)) + IF(#REF!=BQ$2,IF(#REF!=$AD$2,#REF!*plat_invest)) + IF(#REF!=BQ$2,IF(#REF!=$AD$2,#REF!*plat_invest))</f>
        <v>#REF!</v>
      </c>
      <c r="BR135" s="57" t="e">
        <f>IF(#REF!=BR$2,IF(#REF!=$AD$2,#REF!*lumber_invest)) + IF(#REF!=BR$2,IF(#REF!=$AD$2,#REF!*lumber_invest)) + IF(#REF!=BR$2,IF(#REF!=$AD$2,#REF!*lumber_invest))</f>
        <v>#REF!</v>
      </c>
      <c r="BS135" s="57" t="e">
        <f>IF(#REF!=BS$2,IF(#REF!=$AD$2,#REF!*ore_invest)) + IF(#REF!=BS$2,IF(#REF!=$AD$2,#REF!*ore_invest)) + IF(#REF!=BS$2,IF(#REF!=$AD$2,#REF!*ore_invest))</f>
        <v>#REF!</v>
      </c>
      <c r="BT135" s="57" t="e">
        <f>IF(#REF!=BT$2,IF(#REF!=$AD$2,#REF!*gem_invest)) + IF(#REF!=BT$2,IF(#REF!=$AD$2,#REF!*gem_invest)) + IF(#REF!=BT$2,IF(#REF!=$AD$2,#REF!*gem_invest))</f>
        <v>#REF!</v>
      </c>
      <c r="BU135" s="134"/>
      <c r="BV135" s="3" t="e">
        <f>OR(#REF!,#REF!,#REF!,#REF!,#REF!,#REF!,#REF!,#REF!,#REF!)</f>
        <v>#REF!</v>
      </c>
      <c r="BW135" s="61" t="e">
        <f>#REF!</f>
        <v>#REF!</v>
      </c>
      <c r="BX135" s="130"/>
      <c r="BY135" s="284" t="e">
        <f ca="1">OFFSET(#REF!,-1,0)+1/24</f>
        <v>#REF!</v>
      </c>
      <c r="BZ135" s="285" t="e">
        <f ca="1">OFFSET(#REF!,-1,0)+1/24</f>
        <v>#REF!</v>
      </c>
      <c r="CA135" s="57"/>
      <c r="CB135" s="283"/>
      <c r="CC135" s="283"/>
    </row>
    <row r="136" spans="1:81" x14ac:dyDescent="0.25">
      <c r="A136" s="206" t="e">
        <f>#REF!</f>
        <v>#REF!</v>
      </c>
      <c r="B136" s="134"/>
      <c r="C136" s="39" t="e">
        <f>#REF!</f>
        <v>#REF!</v>
      </c>
      <c r="D136" s="39" t="e">
        <f>#REF!</f>
        <v>#REF!</v>
      </c>
      <c r="E136" s="39" t="e">
        <f>#REF!</f>
        <v>#REF!</v>
      </c>
      <c r="F136" s="39" t="e">
        <f>#REF!</f>
        <v>#REF!</v>
      </c>
      <c r="G136" s="133"/>
      <c r="H136" s="39" t="e">
        <f>#REF!</f>
        <v>#REF!</v>
      </c>
      <c r="I136" s="132" t="e">
        <f>#REF!</f>
        <v>#REF!</v>
      </c>
      <c r="J136" s="132" t="e">
        <f>#REF!/#REF!</f>
        <v>#REF!</v>
      </c>
      <c r="K136" s="160" t="e">
        <f>#REF!</f>
        <v>#REF!</v>
      </c>
      <c r="L136" s="276" t="e">
        <f>#REF!</f>
        <v>#REF!</v>
      </c>
      <c r="M136" s="61">
        <f>IF(ISERROR(#REF!),0,#REF!*1)</f>
        <v>0</v>
      </c>
      <c r="N136" s="39" t="e">
        <f>#REF!</f>
        <v>#REF!</v>
      </c>
      <c r="O136" s="277" t="s">
        <v>4</v>
      </c>
      <c r="P136" s="278"/>
      <c r="Q136" s="277" t="s">
        <v>211</v>
      </c>
      <c r="R136" s="277" t="s">
        <v>7</v>
      </c>
      <c r="S136" s="278"/>
      <c r="T136" s="277" t="s">
        <v>211</v>
      </c>
      <c r="U136" s="277" t="s">
        <v>3</v>
      </c>
      <c r="V136" s="278"/>
      <c r="W136" s="277" t="s">
        <v>211</v>
      </c>
      <c r="X136" s="134"/>
      <c r="Y136" s="209" t="e">
        <f ca="1">science_cap*(1-EXP(-#REF!/(science_param*(OFFSET(#REF!,1,0)-OFFSET(#REF!,1,0)*20)+15000)))*(1+(mason_bonus*#REF!/#REF!))</f>
        <v>#REF!</v>
      </c>
      <c r="Z136" s="209" t="e">
        <f ca="1">keep_cap*(1-EXP(-#REF!/(keep_param*(OFFSET(#REF!,1,0)-OFFSET(#REF!,1,0)*20)+15000)))*(1+(mason_bonus*#REF!/#REF!))</f>
        <v>#REF!</v>
      </c>
      <c r="AA136" s="209" t="e">
        <f ca="1">harbor_towers_cap*(1-EXP(-#REF!/(towers_param*(OFFSET(#REF!,1,0)-OFFSET(#REF!,1,0)*20)+15000)))*(1+(mason_bonus*#REF!/#REF!))</f>
        <v>#REF!</v>
      </c>
      <c r="AB136" s="209" t="e">
        <f ca="1">walls_forges_cap*(1-EXP(-#REF!/(walls_forges_param*(OFFSET(#REF!,1,0)-OFFSET(#REF!,1,0)*20)+15000)))*(1+(mason_bonus*#REF!/#REF!))</f>
        <v>#REF!</v>
      </c>
      <c r="AC136" s="209" t="e">
        <f ca="1">walls_forges_cap*(1-EXP(-#REF!/(walls_forges_param*(OFFSET(#REF!,1,0)-OFFSET(#REF!,1,0)*20)+15000)))*(1+(mason_bonus*#REF!/#REF!))</f>
        <v>#REF!</v>
      </c>
      <c r="AD136" s="209" t="e">
        <f ca="1">harbor_towers_cap*(1-EXP(-#REF!/(harbor_towers_param*(OFFSET(#REF!,1,0)-OFFSET(#REF!,1,0)*20)+15000)))*(1+(mason_bonus*#REF!/#REF!))</f>
        <v>#REF!</v>
      </c>
      <c r="AE136" s="134"/>
      <c r="AF136" s="61" t="e">
        <f ca="1">(1+Overview!$I$28)*SUM(#REF!)+OFFSET(#REF!,-1,0)</f>
        <v>#REF!</v>
      </c>
      <c r="AG136" s="61" t="e">
        <f ca="1">(1+Overview!$I$28)*SUM(#REF!)+OFFSET(#REF!,-1,0)</f>
        <v>#REF!</v>
      </c>
      <c r="AH136" s="61" t="e">
        <f ca="1">(1+Overview!$I$28 + tech_7_1*#REF!)*SUM(#REF!)+OFFSET(#REF!,-1,0)</f>
        <v>#REF!</v>
      </c>
      <c r="AI136" s="61" t="e">
        <f ca="1">(1+Overview!$I$28)*SUM(#REF!)+OFFSET(#REF!,-1,0)</f>
        <v>#REF!</v>
      </c>
      <c r="AJ136" s="61" t="e">
        <f ca="1">(1+Overview!$I$28)*SUM(#REF!)+OFFSET(#REF!,-1,0)</f>
        <v>#REF!</v>
      </c>
      <c r="AK136" s="61" t="e">
        <f ca="1">(1+Overview!$I$28 + tech_7_1*#REF!)*SUM(#REF!)+OFFSET(#REF!,-1,0)</f>
        <v>#REF!</v>
      </c>
      <c r="AL136" s="134"/>
      <c r="AM136" s="57" t="e">
        <f>IF(AND(#REF!=AM$2,#REF!&lt;&gt;""),#REF!) + IF(AND(#REF!=AM$2,#REF!&lt;&gt;""),#REF!) + IF(AND(#REF!=AM$2,#REF!&lt;&gt;""),#REF!)</f>
        <v>#REF!</v>
      </c>
      <c r="AN136" s="57" t="e">
        <f>IF(AND(#REF!=AN$2,#REF!&lt;&gt;""),#REF!) + IF(AND(#REF!=AN$2,#REF!&lt;&gt;""),#REF!) + IF(AND(#REF!=AN$2,#REF!&lt;&gt;""),#REF!)</f>
        <v>#REF!</v>
      </c>
      <c r="AO136" s="57" t="e">
        <f>IF(AND(#REF!=AO$2,#REF!&lt;&gt;""),#REF!) + IF(AND(#REF!=AO$2,#REF!&lt;&gt;""),#REF!) + IF(AND(#REF!=AO$2,#REF!&lt;&gt;""),#REF!)</f>
        <v>#REF!</v>
      </c>
      <c r="AP136" s="57" t="e">
        <f>IF(AND(#REF!=AP$2,#REF!&lt;&gt;""),#REF!) + IF(AND(#REF!=AP$2,#REF!&lt;&gt;""),#REF!) + IF(AND(#REF!=AP$2,#REF!&lt;&gt;""),#REF!)</f>
        <v>#REF!</v>
      </c>
      <c r="AQ136" s="134"/>
      <c r="AR136" s="57" t="e">
        <f>IF(#REF!=AR$2,IF(#REF!=$Y$2,#REF!*plat_invest)) + IF(#REF!=AR$2,IF(#REF!=$Y$2,#REF!*plat_invest)) + IF(#REF!=AR$2,IF(#REF!=$Y$2,#REF!*plat_invest))</f>
        <v>#REF!</v>
      </c>
      <c r="AS136" s="57" t="e">
        <f>IF(#REF!=AS$2,IF(#REF!=$Y$2,#REF!*lumber_invest)) + IF(#REF!=AS$2,IF(#REF!=$Y$2,#REF!*lumber_invest)) + IF(#REF!=AS$2,IF(#REF!=$Y$2,#REF!*lumber_invest))</f>
        <v>#REF!</v>
      </c>
      <c r="AT136" s="57" t="e">
        <f>IF(#REF!=AT$2,IF(#REF!=$Y$2,#REF!*ore_invest)) + IF(#REF!=AT$2,IF(#REF!=$Y$2,#REF!*ore_invest)) + IF(#REF!=AT$2,IF(#REF!=$Y$2,#REF!*ore_invest))</f>
        <v>#REF!</v>
      </c>
      <c r="AU136" s="57" t="e">
        <f>IF(#REF!=AU$2,IF(#REF!=$Y$2,#REF!*gem_invest)) + IF(#REF!=AU$2,IF(#REF!=$Y$2,#REF!*gem_invest)) + IF(#REF!=AU$2,IF(#REF!=$Y$2,#REF!*gem_invest))</f>
        <v>#REF!</v>
      </c>
      <c r="AV136" s="134"/>
      <c r="AW136" s="57" t="e">
        <f>IF(#REF!=AW$2,IF(#REF!=$Z$2,#REF!*plat_invest)) + IF(#REF!=AW$2,IF(#REF!=$Z$2,#REF!*plat_invest)) + IF(#REF!=AW$2,IF(#REF!=$Z$2,#REF!*plat_invest))</f>
        <v>#REF!</v>
      </c>
      <c r="AX136" s="57" t="e">
        <f>IF(#REF!=AX$2,IF(#REF!=$Z$2,#REF!*lumber_invest)) + IF(#REF!=AX$2,IF(#REF!=$Z$2,#REF!*lumber_invest)) + IF(#REF!=AX$2,IF(#REF!=$Z$2,#REF!*lumber_invest))</f>
        <v>#REF!</v>
      </c>
      <c r="AY136" s="57" t="e">
        <f>IF(#REF!=AY$2,IF(#REF!=$Z$2,#REF!*ore_invest)) + IF(#REF!=AY$2,IF(#REF!=$Z$2,#REF!*ore_invest)) + IF(#REF!=AY$2,IF(#REF!=$Z$2,#REF!*ore_invest))</f>
        <v>#REF!</v>
      </c>
      <c r="AZ136" s="57" t="e">
        <f>IF(#REF!=AZ$2,IF(#REF!=$Z$2,#REF!*gem_invest)) + IF(#REF!=AZ$2,IF(#REF!=$Z$2,#REF!*gem_invest)) + IF(#REF!=AZ$2,IF(#REF!=$Z$2,#REF!*gem_invest))</f>
        <v>#REF!</v>
      </c>
      <c r="BA136" s="134"/>
      <c r="BB136" s="57" t="e">
        <f>IF(#REF!=BB$2,IF(#REF!=$AA$2,#REF!*plat_invest)) + IF(#REF!=BB$2,IF(#REF!=$AA$2,#REF!*plat_invest)) + IF(#REF!=BB$2,IF(#REF!=$AA$2,#REF!*plat_invest))</f>
        <v>#REF!</v>
      </c>
      <c r="BC136" s="57" t="e">
        <f>IF(#REF!=BC$2,IF(#REF!=$AA$2,#REF!*lumber_invest)) + IF(#REF!=BC$2,IF(#REF!=$AA$2,#REF!*lumber_invest)) + IF(#REF!=BC$2,IF(#REF!=$AA$2,#REF!*lumber_invest))</f>
        <v>#REF!</v>
      </c>
      <c r="BD136" s="57" t="e">
        <f>IF(#REF!=BD$2,IF(#REF!=$AA$2,#REF!*ore_invest)) + IF(#REF!=BD$2,IF(#REF!=$AA$2,#REF!*ore_invest)) + IF(#REF!=BD$2,IF(#REF!=$AA$2,#REF!*ore_invest))</f>
        <v>#REF!</v>
      </c>
      <c r="BE136" s="57" t="e">
        <f>IF(#REF!=BE$2,IF(#REF!=$AA$2,#REF!*gem_invest)) + IF(#REF!=BE$2,IF(#REF!=$AA$2,#REF!*gem_invest)) + IF(#REF!=BE$2,IF(#REF!=$AA$2,#REF!*gem_invest))</f>
        <v>#REF!</v>
      </c>
      <c r="BF136" s="134"/>
      <c r="BG136" s="57" t="e">
        <f>IF(#REF!=BG$2,IF(#REF!=$AB$2,#REF!*plat_invest)) + IF(#REF!=BG$2,IF(#REF!=$AB$2,#REF!*plat_invest)) + IF(#REF!=BG$2,IF(#REF!=$AB$2,#REF!*plat_invest))</f>
        <v>#REF!</v>
      </c>
      <c r="BH136" s="57" t="e">
        <f>IF(#REF!=BH$2,IF(#REF!=$AB$2,#REF!*lumber_invest)) + IF(#REF!=BH$2,IF(#REF!=$AB$2,#REF!*lumber_invest)) + IF(#REF!=BH$2,IF(#REF!=$AB$2,#REF!*lumber_invest))</f>
        <v>#REF!</v>
      </c>
      <c r="BI136" s="57" t="e">
        <f>IF(#REF!=BI$2,IF(#REF!=$AB$2,#REF!*ore_invest)) + IF(#REF!=BI$2,IF(#REF!=$AB$2,#REF!*ore_invest)) + IF(#REF!=BI$2,IF(#REF!=$AB$2,#REF!*ore_invest))</f>
        <v>#REF!</v>
      </c>
      <c r="BJ136" s="57" t="e">
        <f>IF(#REF!=BJ$2,IF(#REF!=$AB$2,#REF!*gem_invest)) + IF(#REF!=BJ$2,IF(#REF!=$AB$2,#REF!*gem_invest)) + IF(#REF!=BJ$2,IF(#REF!=$AB$2,#REF!*gem_invest))</f>
        <v>#REF!</v>
      </c>
      <c r="BK136" s="134"/>
      <c r="BL136" s="57" t="e">
        <f>IF(#REF!=BL$2,IF(#REF!=$AC$2,#REF!*plat_invest)) + IF(#REF!=BL$2,IF(#REF!=$AC$2,#REF!*plat_invest)) + IF(#REF!=BL$2,IF(#REF!=$AC$2,#REF!*plat_invest))</f>
        <v>#REF!</v>
      </c>
      <c r="BM136" s="57" t="e">
        <f>IF(#REF!=BM$2,IF(#REF!=$AC$2,#REF!*lumber_invest)) + IF(#REF!=BM$2,IF(#REF!=$AC$2,#REF!*lumber_invest)) + IF(#REF!=BM$2,IF(#REF!=$AC$2,#REF!*lumber_invest))</f>
        <v>#REF!</v>
      </c>
      <c r="BN136" s="57" t="e">
        <f>IF(#REF!=BN$2,IF(#REF!=$AC$2,#REF!*ore_invest)) + IF(#REF!=BN$2,IF(#REF!=$AC$2,#REF!*ore_invest)) + IF(#REF!=BN$2,IF(#REF!=$AC$2,#REF!*ore_invest))</f>
        <v>#REF!</v>
      </c>
      <c r="BO136" s="57" t="e">
        <f>IF(#REF!=BO$2,IF(#REF!=$AC$2,#REF!*gem_invest)) + IF(#REF!=BO$2,IF(#REF!=$AC$2,#REF!*gem_invest)) + IF(#REF!=BO$2,IF(#REF!=$AC$2,#REF!*gem_invest))</f>
        <v>#REF!</v>
      </c>
      <c r="BP136" s="134"/>
      <c r="BQ136" s="57" t="e">
        <f>IF(#REF!=BQ$2,IF(#REF!=$AD$2,#REF!*plat_invest)) + IF(#REF!=BQ$2,IF(#REF!=$AD$2,#REF!*plat_invest)) + IF(#REF!=BQ$2,IF(#REF!=$AD$2,#REF!*plat_invest))</f>
        <v>#REF!</v>
      </c>
      <c r="BR136" s="57" t="e">
        <f>IF(#REF!=BR$2,IF(#REF!=$AD$2,#REF!*lumber_invest)) + IF(#REF!=BR$2,IF(#REF!=$AD$2,#REF!*lumber_invest)) + IF(#REF!=BR$2,IF(#REF!=$AD$2,#REF!*lumber_invest))</f>
        <v>#REF!</v>
      </c>
      <c r="BS136" s="57" t="e">
        <f>IF(#REF!=BS$2,IF(#REF!=$AD$2,#REF!*ore_invest)) + IF(#REF!=BS$2,IF(#REF!=$AD$2,#REF!*ore_invest)) + IF(#REF!=BS$2,IF(#REF!=$AD$2,#REF!*ore_invest))</f>
        <v>#REF!</v>
      </c>
      <c r="BT136" s="57" t="e">
        <f>IF(#REF!=BT$2,IF(#REF!=$AD$2,#REF!*gem_invest)) + IF(#REF!=BT$2,IF(#REF!=$AD$2,#REF!*gem_invest)) + IF(#REF!=BT$2,IF(#REF!=$AD$2,#REF!*gem_invest))</f>
        <v>#REF!</v>
      </c>
      <c r="BU136" s="134"/>
      <c r="BV136" s="3" t="e">
        <f>OR(#REF!,#REF!,#REF!,#REF!,#REF!,#REF!,#REF!,#REF!,#REF!)</f>
        <v>#REF!</v>
      </c>
      <c r="BW136" s="61" t="e">
        <f>#REF!</f>
        <v>#REF!</v>
      </c>
      <c r="BX136" s="130"/>
      <c r="BY136" s="284" t="e">
        <f ca="1">OFFSET(#REF!,-1,0)+1/24</f>
        <v>#REF!</v>
      </c>
      <c r="BZ136" s="285" t="e">
        <f ca="1">OFFSET(#REF!,-1,0)+1/24</f>
        <v>#REF!</v>
      </c>
      <c r="CA136" s="57"/>
      <c r="CB136" s="283"/>
      <c r="CC136" s="283"/>
    </row>
    <row r="1269" spans="2:23" ht="13" x14ac:dyDescent="0.3">
      <c r="B1269" s="448" t="s">
        <v>316</v>
      </c>
      <c r="C1269" s="405"/>
      <c r="W1269" s="127"/>
    </row>
    <row r="1270" spans="2:23" ht="13" x14ac:dyDescent="0.3">
      <c r="B1270" s="31" t="e">
        <f>Overview!E17</f>
        <v>#REF!</v>
      </c>
      <c r="C1270" s="31"/>
      <c r="W1270" s="127"/>
    </row>
  </sheetData>
  <mergeCells count="9">
    <mergeCell ref="BB1:BE1"/>
    <mergeCell ref="BG1:BI1"/>
    <mergeCell ref="BL1:BN1"/>
    <mergeCell ref="BQ1:BS1"/>
    <mergeCell ref="B1269:C1269"/>
    <mergeCell ref="AR1:AT1"/>
    <mergeCell ref="AW1:AY1"/>
    <mergeCell ref="AM1:AN1"/>
    <mergeCell ref="AF1:AG1"/>
  </mergeCells>
  <phoneticPr fontId="1"/>
  <conditionalFormatting sqref="A4:BZ136">
    <cfRule type="expression" dxfId="12" priority="1" stopIfTrue="1">
      <formula>ROW()-3=$B$1270</formula>
    </cfRule>
    <cfRule type="expression" dxfId="11" priority="2" stopIfTrue="1">
      <formula>OR(ROW()-3=$B$1270,A4&lt;0)</formula>
    </cfRule>
    <cfRule type="expression" dxfId="10" priority="7">
      <formula>$K4=73</formula>
    </cfRule>
    <cfRule type="expression" dxfId="9" priority="12">
      <formula>ROUND(($K4-1)/12,0)=INT($K4-1)/12</formula>
    </cfRule>
  </conditionalFormatting>
  <conditionalFormatting sqref="A1269:CC1269">
    <cfRule type="expression" dxfId="8" priority="9" stopIfTrue="1">
      <formula>$B$1270&gt;84</formula>
    </cfRule>
  </conditionalFormatting>
  <conditionalFormatting sqref="A1:XFD3">
    <cfRule type="expression" dxfId="7" priority="3">
      <formula>$B$1270&lt;0</formula>
    </cfRule>
  </conditionalFormatting>
  <conditionalFormatting sqref="A137:XFD1268 CD1271:IV60115 A1271:CC60158 IV29207:IV65010">
    <cfRule type="expression" dxfId="6" priority="8" stopIfTrue="1">
      <formula>ROW()-2=#REF!</formula>
    </cfRule>
  </conditionalFormatting>
  <conditionalFormatting sqref="A1269:XFD1270">
    <cfRule type="expression" dxfId="5" priority="10" stopIfTrue="1">
      <formula>$B$1270&gt;144</formula>
    </cfRule>
  </conditionalFormatting>
  <conditionalFormatting sqref="BV4:BV136">
    <cfRule type="expression" dxfId="4" priority="15" stopIfTrue="1">
      <formula>AND(ROW()-3=$B$1270,ISERROR(BV4))</formula>
    </cfRule>
    <cfRule type="expression" dxfId="3" priority="17" stopIfTrue="1">
      <formula>ISERROR(BV4)</formula>
    </cfRule>
  </conditionalFormatting>
  <conditionalFormatting sqref="BV76">
    <cfRule type="expression" dxfId="2" priority="20" stopIfTrue="1">
      <formula>ISERROR(BV76)</formula>
    </cfRule>
  </conditionalFormatting>
  <dataValidations count="2">
    <dataValidation type="list" allowBlank="1" showInputMessage="1" showErrorMessage="1" sqref="R4:R136 U4:U136 O4:O136" xr:uid="{00000000-0002-0000-0900-000000000000}">
      <formula1>resources</formula1>
    </dataValidation>
    <dataValidation type="list" allowBlank="1" showInputMessage="1" showErrorMessage="1" sqref="W4:W136 T4:T136 Q4:Q136" xr:uid="{00000000-0002-0000-0900-000001000000}">
      <formula1>Imps</formula1>
    </dataValidation>
  </dataValidations>
  <pageMargins left="0.75" right="0.75" top="1" bottom="1" header="0.5" footer="0.5"/>
  <pageSetup paperSize="9" orientation="portrait" horizontalDpi="300" verticalDpi="3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499984740745262"/>
  </sheetPr>
  <dimension ref="B2:L125"/>
  <sheetViews>
    <sheetView workbookViewId="0">
      <selection activeCell="B3" sqref="B3"/>
    </sheetView>
  </sheetViews>
  <sheetFormatPr defaultColWidth="9.1796875" defaultRowHeight="14.5" x14ac:dyDescent="0.35"/>
  <cols>
    <col min="1" max="1" width="3.26953125" style="41" customWidth="1"/>
    <col min="2" max="2" width="25.26953125" style="41" customWidth="1"/>
    <col min="3" max="3" width="8.54296875" style="41" customWidth="1"/>
    <col min="4" max="5" width="11.1796875" style="41" customWidth="1"/>
    <col min="6" max="6" width="5.26953125" style="41" customWidth="1"/>
    <col min="7" max="7" width="9.1796875" style="41" customWidth="1"/>
    <col min="8" max="16384" width="9.1796875" style="41"/>
  </cols>
  <sheetData>
    <row r="2" spans="2:5" s="42" customFormat="1" ht="27" customHeight="1" x14ac:dyDescent="0.35">
      <c r="B2" s="42" t="s">
        <v>257</v>
      </c>
      <c r="C2" s="42" t="s">
        <v>1003</v>
      </c>
      <c r="D2" s="42" t="s">
        <v>936</v>
      </c>
      <c r="E2" s="42" t="s">
        <v>1005</v>
      </c>
    </row>
    <row r="3" spans="2:5" ht="15.5" x14ac:dyDescent="0.35">
      <c r="B3" s="41" t="s">
        <v>982</v>
      </c>
      <c r="C3" s="43" t="s">
        <v>72</v>
      </c>
      <c r="D3" s="41" t="e">
        <f>_xlfn.IFNA(INDEX(#REF!,MATCH(#REF!,#REF!,0),MATCH(#REF!,#REF!,0)),0)</f>
        <v>#REF!</v>
      </c>
      <c r="E3" s="44" t="e">
        <f>#REF!/INDEX(#REF!,MATCH(#REF!,#REF!,0),6)</f>
        <v>#REF!</v>
      </c>
    </row>
    <row r="4" spans="2:5" ht="15.5" x14ac:dyDescent="0.35">
      <c r="B4" s="41" t="s">
        <v>983</v>
      </c>
      <c r="C4" s="43" t="s">
        <v>71</v>
      </c>
      <c r="D4" s="41" t="e">
        <f>_xlfn.IFNA(INDEX(#REF!,MATCH(#REF!,#REF!,0),MATCH(#REF!,#REF!,0)),0)</f>
        <v>#REF!</v>
      </c>
      <c r="E4" s="44" t="e">
        <f>#REF!/INDEX(#REF!,MATCH(#REF!,#REF!,0),6)</f>
        <v>#REF!</v>
      </c>
    </row>
    <row r="5" spans="2:5" ht="15.5" x14ac:dyDescent="0.35">
      <c r="B5" s="41" t="s">
        <v>985</v>
      </c>
      <c r="C5" s="43" t="s">
        <v>70</v>
      </c>
      <c r="D5" s="41" t="e">
        <f>_xlfn.IFNA(INDEX(#REF!,MATCH(#REF!,#REF!,0),MATCH(#REF!,#REF!,0)),0)</f>
        <v>#REF!</v>
      </c>
      <c r="E5" s="44" t="e">
        <f>#REF!/INDEX(#REF!,MATCH(#REF!,#REF!,0),6)</f>
        <v>#REF!</v>
      </c>
    </row>
    <row r="6" spans="2:5" ht="15.5" x14ac:dyDescent="0.35">
      <c r="B6" s="41" t="s">
        <v>984</v>
      </c>
      <c r="C6" s="43" t="s">
        <v>69</v>
      </c>
      <c r="D6" s="41" t="e">
        <f>_xlfn.IFNA(INDEX(#REF!,MATCH(#REF!,#REF!,0),MATCH(#REF!,#REF!,0)),0)</f>
        <v>#REF!</v>
      </c>
      <c r="E6" s="44" t="e">
        <f>#REF!/INDEX(#REF!,MATCH(#REF!,#REF!,0),6)</f>
        <v>#REF!</v>
      </c>
    </row>
    <row r="7" spans="2:5" ht="15.5" x14ac:dyDescent="0.35">
      <c r="B7" s="41" t="s">
        <v>986</v>
      </c>
      <c r="C7" s="43" t="s">
        <v>68</v>
      </c>
      <c r="D7" s="41" t="e">
        <f>_xlfn.IFNA(INDEX(#REF!,MATCH(#REF!,#REF!,0),MATCH(#REF!,#REF!,0)),0)</f>
        <v>#REF!</v>
      </c>
      <c r="E7" s="44" t="e">
        <f>#REF!/INDEX(#REF!,MATCH(#REF!,#REF!,0),6)</f>
        <v>#REF!</v>
      </c>
    </row>
    <row r="8" spans="2:5" ht="15.5" x14ac:dyDescent="0.35">
      <c r="B8" s="41" t="s">
        <v>987</v>
      </c>
      <c r="C8" s="43" t="s">
        <v>63</v>
      </c>
      <c r="D8" s="41" t="e">
        <f>_xlfn.IFNA(INDEX(#REF!,MATCH(#REF!,#REF!,0),MATCH(#REF!,#REF!,0)),0)</f>
        <v>#REF!</v>
      </c>
      <c r="E8" s="44" t="e">
        <f>#REF!/INDEX(#REF!,MATCH(#REF!,#REF!,0),6)</f>
        <v>#REF!</v>
      </c>
    </row>
    <row r="9" spans="2:5" ht="15.5" x14ac:dyDescent="0.35">
      <c r="B9" s="41" t="s">
        <v>988</v>
      </c>
      <c r="C9" s="43" t="s">
        <v>348</v>
      </c>
      <c r="D9" s="41" t="e">
        <f>_xlfn.IFNA(INDEX(#REF!,MATCH(#REF!,#REF!,0),MATCH(#REF!,#REF!,0)),0)</f>
        <v>#REF!</v>
      </c>
      <c r="E9" s="44" t="e">
        <f>#REF!/INDEX(#REF!,MATCH(#REF!,#REF!,0),6)</f>
        <v>#REF!</v>
      </c>
    </row>
    <row r="10" spans="2:5" ht="15.5" x14ac:dyDescent="0.35">
      <c r="B10" s="41" t="s">
        <v>989</v>
      </c>
      <c r="C10" s="43" t="s">
        <v>64</v>
      </c>
      <c r="D10" s="41" t="e">
        <f>_xlfn.IFNA(INDEX(#REF!,MATCH(#REF!,#REF!,0),MATCH(#REF!,#REF!,0)),0)</f>
        <v>#REF!</v>
      </c>
      <c r="E10" s="44" t="e">
        <f>#REF!/INDEX(#REF!,MATCH(#REF!,#REF!,0),6)</f>
        <v>#REF!</v>
      </c>
    </row>
    <row r="11" spans="2:5" ht="15.5" x14ac:dyDescent="0.35">
      <c r="B11" s="41" t="s">
        <v>990</v>
      </c>
      <c r="C11" s="43" t="s">
        <v>65</v>
      </c>
      <c r="D11" s="41" t="e">
        <f>_xlfn.IFNA(INDEX(#REF!,MATCH(#REF!,#REF!,0),MATCH(#REF!,#REF!,0)),0)</f>
        <v>#REF!</v>
      </c>
      <c r="E11" s="44" t="e">
        <f>#REF!/INDEX(#REF!,MATCH(#REF!,#REF!,0),6)</f>
        <v>#REF!</v>
      </c>
    </row>
    <row r="12" spans="2:5" ht="15.5" x14ac:dyDescent="0.35">
      <c r="B12" s="41" t="s">
        <v>991</v>
      </c>
      <c r="C12" s="43" t="s">
        <v>66</v>
      </c>
      <c r="D12" s="41" t="e">
        <f>_xlfn.IFNA(INDEX(#REF!,MATCH(#REF!,#REF!,0),MATCH(#REF!,#REF!,0)),0)</f>
        <v>#REF!</v>
      </c>
      <c r="E12" s="44" t="e">
        <f>#REF!/INDEX(#REF!,MATCH(#REF!,#REF!,0),6)</f>
        <v>#REF!</v>
      </c>
    </row>
    <row r="13" spans="2:5" ht="15.5" x14ac:dyDescent="0.35">
      <c r="B13" s="41" t="s">
        <v>992</v>
      </c>
      <c r="C13" s="43" t="s">
        <v>67</v>
      </c>
      <c r="D13" s="41" t="e">
        <f>_xlfn.IFNA(INDEX(#REF!,MATCH(#REF!,#REF!,0),MATCH(#REF!,#REF!,0)),0)</f>
        <v>#REF!</v>
      </c>
      <c r="E13" s="44" t="e">
        <f>#REF!/INDEX(#REF!,MATCH(#REF!,#REF!,0),6)</f>
        <v>#REF!</v>
      </c>
    </row>
    <row r="14" spans="2:5" ht="15.5" x14ac:dyDescent="0.35">
      <c r="B14" s="41" t="s">
        <v>993</v>
      </c>
      <c r="C14" s="43" t="s">
        <v>350</v>
      </c>
      <c r="D14" s="41" t="e">
        <f>_xlfn.IFNA(INDEX(#REF!,MATCH(#REF!,#REF!,0),MATCH(#REF!,#REF!,0)),0)</f>
        <v>#REF!</v>
      </c>
      <c r="E14" s="44" t="e">
        <f>#REF!/INDEX(#REF!,MATCH(#REF!,#REF!,0),6)</f>
        <v>#REF!</v>
      </c>
    </row>
    <row r="15" spans="2:5" ht="15.5" x14ac:dyDescent="0.35">
      <c r="B15" s="41" t="s">
        <v>994</v>
      </c>
      <c r="C15" s="43" t="s">
        <v>353</v>
      </c>
      <c r="D15" s="41" t="e">
        <f>_xlfn.IFNA(INDEX(#REF!,MATCH(#REF!,#REF!,0),MATCH(#REF!,#REF!,0)),0)</f>
        <v>#REF!</v>
      </c>
      <c r="E15" s="44" t="e">
        <f>#REF!/INDEX(#REF!,MATCH(#REF!,#REF!,0),6)</f>
        <v>#REF!</v>
      </c>
    </row>
    <row r="16" spans="2:5" ht="15.5" x14ac:dyDescent="0.35">
      <c r="B16" s="41" t="s">
        <v>995</v>
      </c>
      <c r="C16" s="43" t="s">
        <v>74</v>
      </c>
      <c r="D16" s="41" t="e">
        <f>_xlfn.IFNA(INDEX(#REF!,MATCH(#REF!,#REF!,0),MATCH(#REF!,#REF!,0)),0)</f>
        <v>#REF!</v>
      </c>
      <c r="E16" s="44" t="e">
        <f>#REF!/INDEX(#REF!,MATCH(#REF!,#REF!,0),6)</f>
        <v>#REF!</v>
      </c>
    </row>
    <row r="17" spans="2:12" ht="15.5" x14ac:dyDescent="0.35">
      <c r="B17" s="41" t="s">
        <v>996</v>
      </c>
      <c r="C17" s="43" t="s">
        <v>351</v>
      </c>
      <c r="D17" s="41" t="e">
        <f>_xlfn.IFNA(INDEX(#REF!,MATCH(#REF!,#REF!,0),MATCH(#REF!,#REF!,0)),0)</f>
        <v>#REF!</v>
      </c>
      <c r="E17" s="44" t="e">
        <f>#REF!/INDEX(#REF!,MATCH(#REF!,#REF!,0),6)</f>
        <v>#REF!</v>
      </c>
    </row>
    <row r="18" spans="2:12" ht="15.5" x14ac:dyDescent="0.35">
      <c r="B18" s="41" t="s">
        <v>997</v>
      </c>
      <c r="C18" s="43" t="s">
        <v>297</v>
      </c>
      <c r="D18" s="41" t="e">
        <f>_xlfn.IFNA(INDEX(#REF!,MATCH(#REF!,#REF!,0),MATCH(#REF!,#REF!,0)),0)</f>
        <v>#REF!</v>
      </c>
      <c r="E18" s="44" t="e">
        <f>#REF!/INDEX(#REF!,MATCH(#REF!,#REF!,0),6)</f>
        <v>#REF!</v>
      </c>
    </row>
    <row r="19" spans="2:12" ht="15.5" x14ac:dyDescent="0.35">
      <c r="B19" s="41" t="s">
        <v>998</v>
      </c>
      <c r="C19" s="43" t="s">
        <v>75</v>
      </c>
      <c r="D19" s="41" t="e">
        <f>_xlfn.IFNA(INDEX(#REF!,MATCH(#REF!,#REF!,0),MATCH(#REF!,#REF!,0)),0)</f>
        <v>#REF!</v>
      </c>
      <c r="E19" s="44" t="e">
        <f>#REF!/INDEX(#REF!,MATCH(#REF!,#REF!,0),6)</f>
        <v>#REF!</v>
      </c>
    </row>
    <row r="20" spans="2:12" ht="15.5" x14ac:dyDescent="0.35">
      <c r="B20" s="41" t="s">
        <v>999</v>
      </c>
      <c r="C20" s="43" t="s">
        <v>371</v>
      </c>
      <c r="D20" s="41" t="e">
        <f>_xlfn.IFNA(INDEX(#REF!,MATCH(#REF!,#REF!,0),MATCH(#REF!,#REF!,0)),0)</f>
        <v>#REF!</v>
      </c>
      <c r="E20" s="44" t="e">
        <f>#REF!/INDEX(#REF!,MATCH(#REF!,#REF!,0),6)</f>
        <v>#REF!</v>
      </c>
    </row>
    <row r="21" spans="2:12" ht="15.5" x14ac:dyDescent="0.35">
      <c r="B21" s="41" t="s">
        <v>1000</v>
      </c>
      <c r="C21" s="43" t="s">
        <v>76</v>
      </c>
      <c r="D21" s="41" t="e">
        <f>_xlfn.IFNA(INDEX(#REF!,MATCH(#REF!,#REF!,0),MATCH(#REF!,#REF!,0)),0)</f>
        <v>#REF!</v>
      </c>
      <c r="E21" s="44" t="e">
        <f>#REF!/INDEX(#REF!,MATCH(#REF!,#REF!,0),6)</f>
        <v>#REF!</v>
      </c>
    </row>
    <row r="22" spans="2:12" x14ac:dyDescent="0.35">
      <c r="B22" s="41" t="s">
        <v>1001</v>
      </c>
      <c r="C22" s="41" t="s">
        <v>54</v>
      </c>
      <c r="D22" s="41" t="e">
        <f>_xlfn.IFNA(INDEX(#REF!,MATCH(#REF!,#REF!,0),MATCH(#REF!,#REF!,0)),0)</f>
        <v>#REF!</v>
      </c>
      <c r="E22" s="44" t="e">
        <f>#REF!/INDEX(#REF!,MATCH(#REF!,#REF!,0),6)</f>
        <v>#REF!</v>
      </c>
    </row>
    <row r="23" spans="2:12" x14ac:dyDescent="0.35">
      <c r="B23" s="41" t="s">
        <v>1002</v>
      </c>
      <c r="C23" s="41" t="s">
        <v>1004</v>
      </c>
      <c r="D23" s="41" t="e">
        <f>_xlfn.IFNA(INDEX(#REF!,MATCH(#REF!,#REF!,0),MATCH(#REF!,#REF!,0)),0)</f>
        <v>#REF!</v>
      </c>
      <c r="E23" s="44" t="e">
        <f>#REF!/INDEX(#REF!,MATCH(#REF!,#REF!,0),6)</f>
        <v>#REF!</v>
      </c>
    </row>
    <row r="24" spans="2:12" x14ac:dyDescent="0.35">
      <c r="E24" s="44"/>
    </row>
    <row r="25" spans="2:12" x14ac:dyDescent="0.35">
      <c r="E25" s="44"/>
    </row>
    <row r="26" spans="2:12" x14ac:dyDescent="0.35">
      <c r="E26" s="44"/>
    </row>
    <row r="27" spans="2:12" x14ac:dyDescent="0.35">
      <c r="E27" s="44"/>
    </row>
    <row r="28" spans="2:12" x14ac:dyDescent="0.35">
      <c r="E28" s="44"/>
      <c r="L28" s="41" t="s">
        <v>981</v>
      </c>
    </row>
    <row r="29" spans="2:12" x14ac:dyDescent="0.35">
      <c r="E29" s="44"/>
    </row>
    <row r="30" spans="2:12" x14ac:dyDescent="0.35">
      <c r="E30" s="44"/>
    </row>
    <row r="31" spans="2:12" x14ac:dyDescent="0.35">
      <c r="E31" s="44"/>
    </row>
    <row r="32" spans="2:12" x14ac:dyDescent="0.35">
      <c r="E32" s="44"/>
    </row>
    <row r="33" spans="5:5" x14ac:dyDescent="0.35">
      <c r="E33" s="44"/>
    </row>
    <row r="34" spans="5:5" x14ac:dyDescent="0.35">
      <c r="E34" s="44"/>
    </row>
    <row r="35" spans="5:5" x14ac:dyDescent="0.35">
      <c r="E35" s="44"/>
    </row>
    <row r="36" spans="5:5" x14ac:dyDescent="0.35">
      <c r="E36" s="44"/>
    </row>
    <row r="37" spans="5:5" x14ac:dyDescent="0.35">
      <c r="E37" s="44"/>
    </row>
    <row r="38" spans="5:5" x14ac:dyDescent="0.35">
      <c r="E38" s="44"/>
    </row>
    <row r="39" spans="5:5" x14ac:dyDescent="0.35">
      <c r="E39" s="44"/>
    </row>
    <row r="40" spans="5:5" x14ac:dyDescent="0.35">
      <c r="E40" s="44"/>
    </row>
    <row r="41" spans="5:5" x14ac:dyDescent="0.35">
      <c r="E41" s="44"/>
    </row>
    <row r="42" spans="5:5" x14ac:dyDescent="0.35">
      <c r="E42" s="44"/>
    </row>
    <row r="43" spans="5:5" x14ac:dyDescent="0.35">
      <c r="E43" s="44"/>
    </row>
    <row r="44" spans="5:5" x14ac:dyDescent="0.35">
      <c r="E44" s="44"/>
    </row>
    <row r="45" spans="5:5" x14ac:dyDescent="0.35">
      <c r="E45" s="44"/>
    </row>
    <row r="46" spans="5:5" x14ac:dyDescent="0.35">
      <c r="E46" s="44"/>
    </row>
    <row r="47" spans="5:5" x14ac:dyDescent="0.35">
      <c r="E47" s="44"/>
    </row>
    <row r="48" spans="5:5" x14ac:dyDescent="0.35">
      <c r="E48" s="44"/>
    </row>
    <row r="49" spans="5:5" x14ac:dyDescent="0.35">
      <c r="E49" s="44"/>
    </row>
    <row r="50" spans="5:5" x14ac:dyDescent="0.35">
      <c r="E50" s="44"/>
    </row>
    <row r="51" spans="5:5" x14ac:dyDescent="0.35">
      <c r="E51" s="44"/>
    </row>
    <row r="52" spans="5:5" x14ac:dyDescent="0.35">
      <c r="E52" s="44"/>
    </row>
    <row r="53" spans="5:5" x14ac:dyDescent="0.35">
      <c r="E53" s="44"/>
    </row>
    <row r="54" spans="5:5" x14ac:dyDescent="0.35">
      <c r="E54" s="44"/>
    </row>
    <row r="55" spans="5:5" x14ac:dyDescent="0.35">
      <c r="E55" s="44"/>
    </row>
    <row r="56" spans="5:5" x14ac:dyDescent="0.35">
      <c r="E56" s="44"/>
    </row>
    <row r="57" spans="5:5" x14ac:dyDescent="0.35">
      <c r="E57" s="44"/>
    </row>
    <row r="58" spans="5:5" x14ac:dyDescent="0.35">
      <c r="E58" s="44"/>
    </row>
    <row r="59" spans="5:5" x14ac:dyDescent="0.35">
      <c r="E59" s="44"/>
    </row>
    <row r="60" spans="5:5" x14ac:dyDescent="0.35">
      <c r="E60" s="44"/>
    </row>
    <row r="61" spans="5:5" x14ac:dyDescent="0.35">
      <c r="E61" s="44"/>
    </row>
    <row r="62" spans="5:5" x14ac:dyDescent="0.35">
      <c r="E62" s="44"/>
    </row>
    <row r="63" spans="5:5" x14ac:dyDescent="0.35">
      <c r="E63" s="44"/>
    </row>
    <row r="64" spans="5:5" x14ac:dyDescent="0.35">
      <c r="E64" s="44"/>
    </row>
    <row r="65" spans="5:5" x14ac:dyDescent="0.35">
      <c r="E65" s="44"/>
    </row>
    <row r="66" spans="5:5" x14ac:dyDescent="0.35">
      <c r="E66" s="44"/>
    </row>
    <row r="67" spans="5:5" x14ac:dyDescent="0.35">
      <c r="E67" s="44"/>
    </row>
    <row r="68" spans="5:5" x14ac:dyDescent="0.35">
      <c r="E68" s="44"/>
    </row>
    <row r="69" spans="5:5" x14ac:dyDescent="0.35">
      <c r="E69" s="44"/>
    </row>
    <row r="70" spans="5:5" x14ac:dyDescent="0.35">
      <c r="E70" s="44"/>
    </row>
    <row r="71" spans="5:5" x14ac:dyDescent="0.35">
      <c r="E71" s="44"/>
    </row>
    <row r="72" spans="5:5" x14ac:dyDescent="0.35">
      <c r="E72" s="44"/>
    </row>
    <row r="73" spans="5:5" x14ac:dyDescent="0.35">
      <c r="E73" s="44"/>
    </row>
    <row r="74" spans="5:5" x14ac:dyDescent="0.35">
      <c r="E74" s="44"/>
    </row>
    <row r="75" spans="5:5" x14ac:dyDescent="0.35">
      <c r="E75" s="44"/>
    </row>
    <row r="76" spans="5:5" x14ac:dyDescent="0.35">
      <c r="E76" s="44"/>
    </row>
    <row r="77" spans="5:5" x14ac:dyDescent="0.35">
      <c r="E77" s="44"/>
    </row>
    <row r="78" spans="5:5" x14ac:dyDescent="0.35">
      <c r="E78" s="44"/>
    </row>
    <row r="79" spans="5:5" x14ac:dyDescent="0.35">
      <c r="E79" s="44"/>
    </row>
    <row r="80" spans="5:5" x14ac:dyDescent="0.35">
      <c r="E80" s="44"/>
    </row>
    <row r="81" spans="5:5" x14ac:dyDescent="0.35">
      <c r="E81" s="44"/>
    </row>
    <row r="82" spans="5:5" x14ac:dyDescent="0.35">
      <c r="E82" s="44"/>
    </row>
    <row r="83" spans="5:5" x14ac:dyDescent="0.35">
      <c r="E83" s="44"/>
    </row>
    <row r="84" spans="5:5" x14ac:dyDescent="0.35">
      <c r="E84" s="44"/>
    </row>
    <row r="85" spans="5:5" x14ac:dyDescent="0.35">
      <c r="E85" s="44"/>
    </row>
    <row r="86" spans="5:5" x14ac:dyDescent="0.35">
      <c r="E86" s="44"/>
    </row>
    <row r="87" spans="5:5" x14ac:dyDescent="0.35">
      <c r="E87" s="44"/>
    </row>
    <row r="88" spans="5:5" x14ac:dyDescent="0.35">
      <c r="E88" s="44"/>
    </row>
    <row r="89" spans="5:5" x14ac:dyDescent="0.35">
      <c r="E89" s="44"/>
    </row>
    <row r="90" spans="5:5" x14ac:dyDescent="0.35">
      <c r="E90" s="44"/>
    </row>
    <row r="91" spans="5:5" x14ac:dyDescent="0.35">
      <c r="E91" s="44"/>
    </row>
    <row r="92" spans="5:5" x14ac:dyDescent="0.35">
      <c r="E92" s="44"/>
    </row>
    <row r="93" spans="5:5" x14ac:dyDescent="0.35">
      <c r="E93" s="44"/>
    </row>
    <row r="94" spans="5:5" x14ac:dyDescent="0.35">
      <c r="E94" s="44"/>
    </row>
    <row r="95" spans="5:5" x14ac:dyDescent="0.35">
      <c r="E95" s="44"/>
    </row>
    <row r="96" spans="5:5" x14ac:dyDescent="0.35">
      <c r="E96" s="44"/>
    </row>
    <row r="97" spans="5:5" x14ac:dyDescent="0.35">
      <c r="E97" s="44"/>
    </row>
    <row r="98" spans="5:5" x14ac:dyDescent="0.35">
      <c r="E98" s="44"/>
    </row>
    <row r="99" spans="5:5" x14ac:dyDescent="0.35">
      <c r="E99" s="44"/>
    </row>
    <row r="100" spans="5:5" x14ac:dyDescent="0.35">
      <c r="E100" s="44"/>
    </row>
    <row r="101" spans="5:5" x14ac:dyDescent="0.35">
      <c r="E101" s="44"/>
    </row>
    <row r="102" spans="5:5" x14ac:dyDescent="0.35">
      <c r="E102" s="44"/>
    </row>
    <row r="103" spans="5:5" x14ac:dyDescent="0.35">
      <c r="E103" s="44"/>
    </row>
    <row r="104" spans="5:5" x14ac:dyDescent="0.35">
      <c r="E104" s="44"/>
    </row>
    <row r="105" spans="5:5" x14ac:dyDescent="0.35">
      <c r="E105" s="44"/>
    </row>
    <row r="106" spans="5:5" x14ac:dyDescent="0.35">
      <c r="E106" s="44"/>
    </row>
    <row r="107" spans="5:5" x14ac:dyDescent="0.35">
      <c r="E107" s="44"/>
    </row>
    <row r="108" spans="5:5" x14ac:dyDescent="0.35">
      <c r="E108" s="44"/>
    </row>
    <row r="109" spans="5:5" x14ac:dyDescent="0.35">
      <c r="E109" s="44"/>
    </row>
    <row r="110" spans="5:5" x14ac:dyDescent="0.35">
      <c r="E110" s="44"/>
    </row>
    <row r="111" spans="5:5" x14ac:dyDescent="0.35">
      <c r="E111" s="44"/>
    </row>
    <row r="112" spans="5:5" x14ac:dyDescent="0.35">
      <c r="E112" s="44"/>
    </row>
    <row r="113" spans="5:5" x14ac:dyDescent="0.35">
      <c r="E113" s="44"/>
    </row>
    <row r="114" spans="5:5" x14ac:dyDescent="0.35">
      <c r="E114" s="44"/>
    </row>
    <row r="115" spans="5:5" x14ac:dyDescent="0.35">
      <c r="E115" s="44"/>
    </row>
    <row r="116" spans="5:5" x14ac:dyDescent="0.35">
      <c r="E116" s="44"/>
    </row>
    <row r="117" spans="5:5" x14ac:dyDescent="0.35">
      <c r="E117" s="44"/>
    </row>
    <row r="118" spans="5:5" x14ac:dyDescent="0.35">
      <c r="E118" s="44"/>
    </row>
    <row r="119" spans="5:5" x14ac:dyDescent="0.35">
      <c r="E119" s="44"/>
    </row>
    <row r="120" spans="5:5" x14ac:dyDescent="0.35">
      <c r="E120" s="44"/>
    </row>
    <row r="121" spans="5:5" x14ac:dyDescent="0.35">
      <c r="E121" s="44"/>
    </row>
    <row r="122" spans="5:5" x14ac:dyDescent="0.35">
      <c r="E122" s="44"/>
    </row>
    <row r="123" spans="5:5" x14ac:dyDescent="0.35">
      <c r="E123" s="44"/>
    </row>
    <row r="124" spans="5:5" x14ac:dyDescent="0.35">
      <c r="E124" s="44"/>
    </row>
    <row r="125" spans="5:5" x14ac:dyDescent="0.35">
      <c r="E125" s="44"/>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499984740745262"/>
  </sheetPr>
  <dimension ref="A2:W165"/>
  <sheetViews>
    <sheetView topLeftCell="A85" zoomScale="70" zoomScaleNormal="70" workbookViewId="0">
      <selection activeCell="L109" sqref="L109"/>
    </sheetView>
  </sheetViews>
  <sheetFormatPr defaultColWidth="9.1796875" defaultRowHeight="12.5" x14ac:dyDescent="0.25"/>
  <cols>
    <col min="1" max="1" width="26.453125" style="295" customWidth="1"/>
    <col min="2" max="2" width="9.26953125" style="3" customWidth="1"/>
    <col min="3" max="3" width="13.7265625" style="3" customWidth="1"/>
    <col min="4" max="4" width="10.1796875" style="3" customWidth="1"/>
    <col min="5" max="5" width="8.453125" style="3" bestFit="1" customWidth="1"/>
    <col min="6" max="6" width="8.7265625" style="3" bestFit="1" customWidth="1"/>
    <col min="7" max="7" width="9.26953125" style="3" customWidth="1"/>
    <col min="8" max="8" width="8.54296875" style="3" customWidth="1"/>
    <col min="9" max="9" width="9.54296875" style="3" customWidth="1"/>
    <col min="10" max="10" width="8.453125" style="3" bestFit="1" customWidth="1"/>
    <col min="11" max="11" width="4.7265625" style="3" bestFit="1" customWidth="1"/>
    <col min="12" max="12" width="18.26953125" style="3" bestFit="1" customWidth="1"/>
    <col min="13" max="13" width="21.26953125" style="3" bestFit="1" customWidth="1"/>
    <col min="14" max="14" width="16.81640625" style="3" bestFit="1" customWidth="1"/>
    <col min="15" max="15" width="7.54296875" style="3" bestFit="1" customWidth="1"/>
    <col min="16" max="16" width="11.26953125" style="3" bestFit="1" customWidth="1"/>
    <col min="17" max="17" width="4.7265625" style="3" bestFit="1" customWidth="1"/>
    <col min="18" max="18" width="5.1796875" style="3" bestFit="1" customWidth="1"/>
    <col min="19" max="19" width="9.26953125" style="3" bestFit="1" customWidth="1"/>
    <col min="20" max="20" width="9.1796875" style="3" customWidth="1"/>
    <col min="21" max="16384" width="9.1796875" style="3"/>
  </cols>
  <sheetData>
    <row r="2" spans="1:6" ht="13" x14ac:dyDescent="0.3">
      <c r="A2" s="294" t="s">
        <v>43</v>
      </c>
    </row>
    <row r="3" spans="1:6" x14ac:dyDescent="0.25">
      <c r="A3" s="295" t="s">
        <v>49</v>
      </c>
    </row>
    <row r="4" spans="1:6" x14ac:dyDescent="0.25">
      <c r="A4" s="295" t="s">
        <v>44</v>
      </c>
      <c r="B4" s="3">
        <v>45</v>
      </c>
      <c r="C4" s="3" t="s">
        <v>6</v>
      </c>
    </row>
    <row r="5" spans="1:6" x14ac:dyDescent="0.25">
      <c r="A5" s="295" t="s">
        <v>51</v>
      </c>
      <c r="B5" s="3">
        <v>80</v>
      </c>
      <c r="C5" s="3" t="s">
        <v>9</v>
      </c>
    </row>
    <row r="6" spans="1:6" x14ac:dyDescent="0.25">
      <c r="A6" s="295" t="s">
        <v>45</v>
      </c>
      <c r="B6" s="3">
        <v>50</v>
      </c>
      <c r="C6" s="3" t="s">
        <v>8</v>
      </c>
    </row>
    <row r="7" spans="1:6" x14ac:dyDescent="0.25">
      <c r="A7" s="295" t="s">
        <v>47</v>
      </c>
      <c r="B7" s="3">
        <v>60</v>
      </c>
      <c r="C7" s="3" t="s">
        <v>10</v>
      </c>
    </row>
    <row r="8" spans="1:6" x14ac:dyDescent="0.25">
      <c r="A8" s="295" t="s">
        <v>48</v>
      </c>
      <c r="B8" s="3">
        <v>15</v>
      </c>
      <c r="C8" s="3" t="s">
        <v>11</v>
      </c>
    </row>
    <row r="9" spans="1:6" x14ac:dyDescent="0.25">
      <c r="A9" s="295" t="s">
        <v>52</v>
      </c>
      <c r="B9" s="3">
        <v>25</v>
      </c>
      <c r="C9" s="3" t="s">
        <v>13</v>
      </c>
    </row>
    <row r="10" spans="1:6" x14ac:dyDescent="0.25">
      <c r="A10" s="295" t="s">
        <v>46</v>
      </c>
      <c r="B10" s="3">
        <v>0.05</v>
      </c>
      <c r="C10" s="3" t="s">
        <v>50</v>
      </c>
      <c r="D10" s="3">
        <v>40</v>
      </c>
      <c r="E10" s="3" t="s">
        <v>9</v>
      </c>
    </row>
    <row r="11" spans="1:6" x14ac:dyDescent="0.25">
      <c r="A11" s="295" t="s">
        <v>535</v>
      </c>
      <c r="B11" s="3">
        <v>25</v>
      </c>
      <c r="C11" s="3" t="s">
        <v>8</v>
      </c>
    </row>
    <row r="12" spans="1:6" x14ac:dyDescent="0.25">
      <c r="A12" s="295" t="s">
        <v>67</v>
      </c>
      <c r="B12" s="241">
        <v>1.75</v>
      </c>
      <c r="C12" s="3" t="s">
        <v>510</v>
      </c>
      <c r="D12" s="135">
        <v>0.35</v>
      </c>
      <c r="E12" s="3" t="s">
        <v>437</v>
      </c>
    </row>
    <row r="13" spans="1:6" x14ac:dyDescent="0.25">
      <c r="A13" s="295" t="s">
        <v>65</v>
      </c>
      <c r="B13" s="241">
        <v>1.75</v>
      </c>
      <c r="C13" s="3" t="s">
        <v>511</v>
      </c>
      <c r="D13" s="135">
        <v>0.35</v>
      </c>
      <c r="E13" s="3" t="s">
        <v>437</v>
      </c>
    </row>
    <row r="14" spans="1:6" x14ac:dyDescent="0.25">
      <c r="A14" s="295" t="s">
        <v>480</v>
      </c>
      <c r="B14" s="3">
        <v>0</v>
      </c>
      <c r="C14" s="3" t="s">
        <v>481</v>
      </c>
      <c r="D14" s="296"/>
      <c r="F14" s="135"/>
    </row>
    <row r="15" spans="1:6" x14ac:dyDescent="0.25">
      <c r="B15" s="3">
        <v>3.5</v>
      </c>
      <c r="C15" s="3" t="s">
        <v>482</v>
      </c>
      <c r="D15" s="297">
        <v>0.35</v>
      </c>
      <c r="E15" s="3" t="s">
        <v>437</v>
      </c>
      <c r="F15" s="135"/>
    </row>
    <row r="16" spans="1:6" x14ac:dyDescent="0.25">
      <c r="A16" s="295" t="s">
        <v>477</v>
      </c>
      <c r="B16" s="3">
        <v>0</v>
      </c>
      <c r="C16" s="3" t="s">
        <v>484</v>
      </c>
      <c r="D16" s="297">
        <v>0</v>
      </c>
      <c r="E16" s="3" t="s">
        <v>437</v>
      </c>
      <c r="F16" s="135"/>
    </row>
    <row r="17" spans="1:19" x14ac:dyDescent="0.25">
      <c r="B17" s="3">
        <v>3.5</v>
      </c>
      <c r="C17" s="3" t="s">
        <v>483</v>
      </c>
      <c r="D17" s="297">
        <v>0.35</v>
      </c>
      <c r="E17" s="3" t="s">
        <v>437</v>
      </c>
      <c r="F17" s="135"/>
    </row>
    <row r="18" spans="1:19" x14ac:dyDescent="0.25">
      <c r="B18" s="3">
        <v>15</v>
      </c>
      <c r="C18" s="3" t="s">
        <v>13</v>
      </c>
      <c r="D18" s="297"/>
      <c r="F18" s="135"/>
    </row>
    <row r="19" spans="1:19" x14ac:dyDescent="0.25">
      <c r="A19" s="295" t="s">
        <v>184</v>
      </c>
      <c r="B19" s="3">
        <v>2</v>
      </c>
      <c r="C19" s="3" t="s">
        <v>438</v>
      </c>
      <c r="D19" s="135">
        <v>0.36</v>
      </c>
      <c r="E19" s="3" t="s">
        <v>437</v>
      </c>
    </row>
    <row r="20" spans="1:19" x14ac:dyDescent="0.25">
      <c r="A20" s="295" t="s">
        <v>453</v>
      </c>
      <c r="B20" s="3">
        <v>2.6</v>
      </c>
      <c r="C20" s="3" t="s">
        <v>485</v>
      </c>
    </row>
    <row r="21" spans="1:19" x14ac:dyDescent="0.25">
      <c r="A21" s="295" t="s">
        <v>454</v>
      </c>
      <c r="B21" s="237">
        <v>5</v>
      </c>
      <c r="C21" s="3" t="s">
        <v>455</v>
      </c>
      <c r="D21" s="135">
        <v>0.5</v>
      </c>
      <c r="E21" s="3" t="s">
        <v>437</v>
      </c>
    </row>
    <row r="22" spans="1:19" x14ac:dyDescent="0.25">
      <c r="B22" s="237">
        <v>5</v>
      </c>
      <c r="C22" s="3" t="s">
        <v>456</v>
      </c>
      <c r="D22" s="135">
        <v>0.5</v>
      </c>
      <c r="E22" s="3" t="s">
        <v>437</v>
      </c>
    </row>
    <row r="23" spans="1:19" x14ac:dyDescent="0.25">
      <c r="A23" s="295" t="s">
        <v>1070</v>
      </c>
      <c r="B23" s="237"/>
      <c r="C23" s="3" t="s">
        <v>1071</v>
      </c>
      <c r="D23" s="135">
        <v>0.5</v>
      </c>
      <c r="E23" s="3" t="s">
        <v>437</v>
      </c>
    </row>
    <row r="24" spans="1:19" ht="13" x14ac:dyDescent="0.3">
      <c r="A24" s="294" t="s">
        <v>80</v>
      </c>
    </row>
    <row r="25" spans="1:19" x14ac:dyDescent="0.25">
      <c r="A25" s="298" t="s">
        <v>72</v>
      </c>
      <c r="B25" s="298" t="s">
        <v>71</v>
      </c>
      <c r="C25" s="298" t="s">
        <v>70</v>
      </c>
      <c r="D25" s="298" t="s">
        <v>69</v>
      </c>
      <c r="E25" s="298" t="s">
        <v>68</v>
      </c>
      <c r="F25" s="299" t="s">
        <v>63</v>
      </c>
      <c r="G25" s="299" t="s">
        <v>348</v>
      </c>
      <c r="H25" s="300" t="s">
        <v>64</v>
      </c>
      <c r="I25" s="300" t="s">
        <v>65</v>
      </c>
      <c r="J25" s="301" t="s">
        <v>66</v>
      </c>
      <c r="K25" s="301" t="s">
        <v>67</v>
      </c>
      <c r="L25" s="301" t="s">
        <v>350</v>
      </c>
      <c r="M25" s="302" t="s">
        <v>353</v>
      </c>
      <c r="N25" s="303" t="s">
        <v>74</v>
      </c>
      <c r="O25" s="303" t="s">
        <v>351</v>
      </c>
      <c r="P25" s="303" t="s">
        <v>508</v>
      </c>
      <c r="Q25" s="304" t="s">
        <v>75</v>
      </c>
      <c r="R25" s="304" t="s">
        <v>371</v>
      </c>
      <c r="S25" s="305" t="s">
        <v>76</v>
      </c>
    </row>
    <row r="26" spans="1:19" x14ac:dyDescent="0.25">
      <c r="A26" s="295">
        <v>10</v>
      </c>
      <c r="B26" s="3">
        <v>30</v>
      </c>
      <c r="C26" s="3">
        <v>30</v>
      </c>
      <c r="D26" s="3">
        <v>0</v>
      </c>
      <c r="E26" s="3">
        <v>0</v>
      </c>
      <c r="F26" s="3">
        <v>20</v>
      </c>
      <c r="G26" s="3">
        <v>0</v>
      </c>
      <c r="H26" s="3">
        <v>0</v>
      </c>
      <c r="I26" s="3">
        <v>0</v>
      </c>
      <c r="J26" s="3">
        <v>0</v>
      </c>
      <c r="K26" s="3">
        <v>0</v>
      </c>
      <c r="L26" s="3">
        <v>0</v>
      </c>
      <c r="M26" s="3">
        <v>0</v>
      </c>
      <c r="N26" s="3">
        <v>0</v>
      </c>
      <c r="O26" s="3">
        <v>0</v>
      </c>
      <c r="P26" s="3">
        <v>0</v>
      </c>
      <c r="Q26" s="3">
        <v>0</v>
      </c>
      <c r="R26" s="3">
        <v>0</v>
      </c>
      <c r="S26" s="3">
        <v>0</v>
      </c>
    </row>
    <row r="28" spans="1:19" ht="13" x14ac:dyDescent="0.3">
      <c r="A28" s="294" t="s">
        <v>79</v>
      </c>
    </row>
    <row r="29" spans="1:19" x14ac:dyDescent="0.25">
      <c r="A29" s="306" t="s">
        <v>55</v>
      </c>
      <c r="B29" s="299" t="s">
        <v>58</v>
      </c>
      <c r="C29" s="300" t="s">
        <v>177</v>
      </c>
      <c r="D29" s="302" t="s">
        <v>59</v>
      </c>
      <c r="E29" s="303" t="s">
        <v>60</v>
      </c>
      <c r="F29" s="304" t="s">
        <v>61</v>
      </c>
      <c r="G29" s="305" t="s">
        <v>62</v>
      </c>
    </row>
    <row r="30" spans="1:19" s="8" customFormat="1" ht="13" x14ac:dyDescent="0.3">
      <c r="A30" s="295">
        <v>40</v>
      </c>
      <c r="B30" s="3">
        <v>20</v>
      </c>
      <c r="C30" s="3">
        <v>20</v>
      </c>
      <c r="D30" s="3">
        <v>20</v>
      </c>
      <c r="E30" s="3">
        <v>20</v>
      </c>
      <c r="F30" s="3">
        <v>20</v>
      </c>
      <c r="G30" s="3">
        <v>20</v>
      </c>
      <c r="H30" s="3"/>
      <c r="I30" s="3"/>
      <c r="J30" s="3"/>
      <c r="K30" s="3"/>
      <c r="L30" s="3"/>
      <c r="M30" s="3"/>
      <c r="N30" s="3"/>
      <c r="O30" s="3"/>
      <c r="P30" s="3"/>
      <c r="Q30" s="3"/>
      <c r="R30" s="3"/>
      <c r="S30" s="3"/>
    </row>
    <row r="32" spans="1:19" ht="13" x14ac:dyDescent="0.3">
      <c r="A32" s="294" t="s">
        <v>83</v>
      </c>
      <c r="B32" s="8"/>
      <c r="C32" s="8"/>
      <c r="D32" s="8" t="s">
        <v>234</v>
      </c>
      <c r="E32" s="8"/>
      <c r="F32" s="8"/>
      <c r="G32" s="8"/>
      <c r="H32" s="8"/>
      <c r="I32" s="8"/>
      <c r="J32" s="8"/>
      <c r="K32" s="8"/>
      <c r="L32" s="8" t="s">
        <v>395</v>
      </c>
      <c r="M32" s="8"/>
      <c r="N32" s="8"/>
      <c r="O32" s="8"/>
      <c r="P32" s="8"/>
      <c r="Q32" s="8"/>
      <c r="R32" s="8"/>
      <c r="S32" s="8"/>
    </row>
    <row r="33" spans="1:16" x14ac:dyDescent="0.25">
      <c r="A33" s="295" t="s">
        <v>21</v>
      </c>
      <c r="B33" s="3">
        <f>HLOOKUP(1,E33:J37,2)</f>
        <v>1300</v>
      </c>
      <c r="D33" s="3" t="s">
        <v>436</v>
      </c>
      <c r="E33" s="3">
        <v>1</v>
      </c>
      <c r="F33" s="3">
        <v>2</v>
      </c>
      <c r="G33" s="3">
        <v>3</v>
      </c>
      <c r="H33" s="3">
        <v>4</v>
      </c>
      <c r="I33" s="3">
        <v>5</v>
      </c>
      <c r="J33" s="3">
        <v>6</v>
      </c>
      <c r="L33" s="3" t="s">
        <v>385</v>
      </c>
      <c r="M33" s="135">
        <v>0.1</v>
      </c>
      <c r="N33" s="3" t="s">
        <v>396</v>
      </c>
    </row>
    <row r="34" spans="1:16" x14ac:dyDescent="0.25">
      <c r="A34" s="295" t="s">
        <v>24</v>
      </c>
      <c r="B34" s="3">
        <v>100</v>
      </c>
      <c r="D34" s="3" t="s">
        <v>21</v>
      </c>
      <c r="E34" s="39">
        <v>1300</v>
      </c>
      <c r="F34" s="39">
        <v>1390</v>
      </c>
      <c r="G34" s="39">
        <v>1480</v>
      </c>
      <c r="H34" s="39">
        <v>1570</v>
      </c>
      <c r="I34" s="39">
        <v>1660</v>
      </c>
      <c r="J34" s="39">
        <v>1750</v>
      </c>
      <c r="K34" s="39"/>
      <c r="M34" s="135">
        <v>0.05</v>
      </c>
      <c r="N34" s="3" t="s">
        <v>397</v>
      </c>
    </row>
    <row r="35" spans="1:16" x14ac:dyDescent="0.25">
      <c r="A35" s="295" t="str">
        <f>Overview!$A22</f>
        <v>Spearman</v>
      </c>
      <c r="B35" s="3">
        <v>0</v>
      </c>
      <c r="D35" s="3" t="s">
        <v>2</v>
      </c>
      <c r="E35" s="39">
        <v>100000</v>
      </c>
      <c r="F35" s="39">
        <v>110000</v>
      </c>
      <c r="G35" s="39">
        <v>120000</v>
      </c>
      <c r="H35" s="39">
        <v>130000</v>
      </c>
      <c r="I35" s="39">
        <v>140000</v>
      </c>
      <c r="J35" s="39">
        <v>150000</v>
      </c>
      <c r="M35" s="135">
        <v>0.05</v>
      </c>
      <c r="N35" s="3" t="s">
        <v>398</v>
      </c>
    </row>
    <row r="36" spans="1:16" x14ac:dyDescent="0.25">
      <c r="A36" s="295" t="str">
        <f>Overview!$A23</f>
        <v>Archer</v>
      </c>
      <c r="B36" s="3">
        <v>150</v>
      </c>
      <c r="D36" s="3" t="s">
        <v>5</v>
      </c>
      <c r="E36" s="39">
        <v>15000</v>
      </c>
      <c r="F36" s="39">
        <v>16000</v>
      </c>
      <c r="G36" s="39">
        <v>17000</v>
      </c>
      <c r="H36" s="39">
        <v>18000</v>
      </c>
      <c r="I36" s="39">
        <v>19000</v>
      </c>
      <c r="J36" s="39">
        <v>20000</v>
      </c>
      <c r="L36" s="3" t="s">
        <v>176</v>
      </c>
      <c r="M36" s="135">
        <v>-0.05</v>
      </c>
      <c r="N36" s="3" t="s">
        <v>399</v>
      </c>
    </row>
    <row r="37" spans="1:16" x14ac:dyDescent="0.25">
      <c r="A37" s="295" t="str">
        <f>Overview!$A24</f>
        <v>Knight</v>
      </c>
      <c r="B37" s="3">
        <v>0</v>
      </c>
      <c r="D37" s="3" t="s">
        <v>7</v>
      </c>
      <c r="E37" s="39">
        <v>15000</v>
      </c>
      <c r="F37" s="39">
        <v>15450</v>
      </c>
      <c r="G37" s="39">
        <v>15900</v>
      </c>
      <c r="H37" s="39">
        <v>16350</v>
      </c>
      <c r="I37" s="39">
        <v>16800</v>
      </c>
      <c r="J37" s="39">
        <v>17250</v>
      </c>
      <c r="M37" s="3">
        <v>-1</v>
      </c>
      <c r="N37" s="3" t="s">
        <v>400</v>
      </c>
    </row>
    <row r="38" spans="1:16" x14ac:dyDescent="0.25">
      <c r="A38" s="295" t="str">
        <f>Overview!$A25</f>
        <v>Cavalry</v>
      </c>
      <c r="B38" s="3">
        <v>0</v>
      </c>
      <c r="M38" s="135">
        <v>-0.1</v>
      </c>
      <c r="N38" s="3" t="s">
        <v>399</v>
      </c>
      <c r="O38" s="3">
        <v>-2</v>
      </c>
      <c r="P38" s="3" t="s">
        <v>400</v>
      </c>
    </row>
    <row r="39" spans="1:16" x14ac:dyDescent="0.25">
      <c r="A39" s="295" t="s">
        <v>25</v>
      </c>
      <c r="B39" s="3">
        <v>25</v>
      </c>
      <c r="D39" s="3" t="s">
        <v>370</v>
      </c>
      <c r="E39" s="39">
        <v>1</v>
      </c>
      <c r="F39" s="3">
        <v>2</v>
      </c>
      <c r="G39" s="3">
        <v>3</v>
      </c>
      <c r="H39" s="3">
        <v>4</v>
      </c>
      <c r="I39" s="3">
        <v>5</v>
      </c>
      <c r="J39" s="3">
        <v>6</v>
      </c>
      <c r="L39" s="3" t="s">
        <v>279</v>
      </c>
      <c r="M39" s="135">
        <v>-0.1</v>
      </c>
      <c r="N39" s="3" t="s">
        <v>401</v>
      </c>
    </row>
    <row r="40" spans="1:16" x14ac:dyDescent="0.25">
      <c r="A40" s="295" t="s">
        <v>1091</v>
      </c>
      <c r="B40" s="3">
        <v>0</v>
      </c>
      <c r="D40" s="3" t="s">
        <v>21</v>
      </c>
      <c r="E40" s="3">
        <v>1200</v>
      </c>
      <c r="F40" s="3">
        <v>1325</v>
      </c>
      <c r="G40" s="3">
        <v>1450</v>
      </c>
      <c r="H40" s="3">
        <v>1575</v>
      </c>
      <c r="I40" s="3">
        <v>1700</v>
      </c>
      <c r="J40" s="3">
        <v>1825</v>
      </c>
      <c r="M40" s="135">
        <v>-0.1</v>
      </c>
      <c r="N40" s="3" t="s">
        <v>402</v>
      </c>
    </row>
    <row r="41" spans="1:16" x14ac:dyDescent="0.25">
      <c r="A41" s="295" t="s">
        <v>26</v>
      </c>
      <c r="B41" s="3">
        <v>25</v>
      </c>
      <c r="D41" s="3" t="s">
        <v>2</v>
      </c>
      <c r="E41" s="3">
        <v>100000</v>
      </c>
      <c r="F41" s="3">
        <v>104750</v>
      </c>
      <c r="G41" s="3">
        <v>109500</v>
      </c>
      <c r="H41" s="3">
        <v>114250</v>
      </c>
      <c r="I41" s="3">
        <v>119000</v>
      </c>
      <c r="J41" s="3">
        <v>123750</v>
      </c>
      <c r="M41" s="135">
        <v>0.02</v>
      </c>
      <c r="N41" s="3" t="s">
        <v>403</v>
      </c>
    </row>
    <row r="42" spans="1:16" x14ac:dyDescent="0.25">
      <c r="A42" s="295" t="s">
        <v>27</v>
      </c>
      <c r="B42" s="3">
        <v>0</v>
      </c>
      <c r="D42" s="3" t="s">
        <v>5</v>
      </c>
      <c r="E42" s="3">
        <v>15000</v>
      </c>
      <c r="F42" s="3">
        <v>16000</v>
      </c>
      <c r="G42" s="3">
        <v>17000</v>
      </c>
      <c r="H42" s="3">
        <v>18000</v>
      </c>
      <c r="I42" s="3">
        <v>19000</v>
      </c>
      <c r="J42" s="3">
        <v>20000</v>
      </c>
      <c r="L42" s="3" t="s">
        <v>22</v>
      </c>
      <c r="M42" s="135">
        <v>-0.1</v>
      </c>
      <c r="N42" s="3" t="s">
        <v>404</v>
      </c>
    </row>
    <row r="43" spans="1:16" x14ac:dyDescent="0.25">
      <c r="D43" s="3" t="s">
        <v>7</v>
      </c>
      <c r="E43" s="3">
        <v>15000</v>
      </c>
      <c r="F43" s="3">
        <v>15450</v>
      </c>
      <c r="G43" s="3">
        <v>15900</v>
      </c>
      <c r="H43" s="3">
        <v>16350</v>
      </c>
      <c r="I43" s="3">
        <v>16800</v>
      </c>
      <c r="J43" s="3">
        <v>17250</v>
      </c>
      <c r="M43" s="135">
        <v>-0.1</v>
      </c>
      <c r="N43" s="3" t="s">
        <v>405</v>
      </c>
    </row>
    <row r="44" spans="1:16" ht="13" x14ac:dyDescent="0.3">
      <c r="A44" s="294" t="s">
        <v>78</v>
      </c>
      <c r="C44" s="39"/>
      <c r="M44" s="135">
        <v>0.05</v>
      </c>
      <c r="N44" s="3" t="s">
        <v>294</v>
      </c>
    </row>
    <row r="45" spans="1:16" x14ac:dyDescent="0.25">
      <c r="A45" s="295" t="s">
        <v>2</v>
      </c>
      <c r="B45" s="39">
        <f>HLOOKUP(1,E33:J37,3)</f>
        <v>100000</v>
      </c>
      <c r="C45" s="39"/>
      <c r="D45" s="3" t="s">
        <v>441</v>
      </c>
      <c r="L45" s="3" t="s">
        <v>73</v>
      </c>
      <c r="M45" s="135">
        <v>-0.1</v>
      </c>
      <c r="N45" s="3" t="s">
        <v>406</v>
      </c>
    </row>
    <row r="46" spans="1:16" x14ac:dyDescent="0.25">
      <c r="A46" s="295" t="s">
        <v>5</v>
      </c>
      <c r="B46" s="39">
        <f>HLOOKUP(1,E33:J37,4)</f>
        <v>15000</v>
      </c>
      <c r="C46" s="39"/>
      <c r="D46" s="3" t="s">
        <v>21</v>
      </c>
      <c r="E46" s="3">
        <v>100</v>
      </c>
      <c r="M46" s="135">
        <v>-0.2</v>
      </c>
      <c r="N46" s="3" t="s">
        <v>407</v>
      </c>
    </row>
    <row r="47" spans="1:16" x14ac:dyDescent="0.25">
      <c r="A47" s="295" t="s">
        <v>81</v>
      </c>
      <c r="B47" s="39">
        <f>HLOOKUP(1,E33:J37,5)</f>
        <v>15000</v>
      </c>
      <c r="C47" s="39"/>
      <c r="D47" s="3" t="s">
        <v>2</v>
      </c>
      <c r="E47" s="3">
        <v>5000</v>
      </c>
      <c r="M47" s="3">
        <v>1</v>
      </c>
      <c r="N47" s="3" t="s">
        <v>408</v>
      </c>
    </row>
    <row r="48" spans="1:16" x14ac:dyDescent="0.25">
      <c r="A48" s="295" t="s">
        <v>12</v>
      </c>
      <c r="B48" s="39">
        <v>0</v>
      </c>
      <c r="C48" s="39"/>
      <c r="D48" s="3" t="s">
        <v>5</v>
      </c>
      <c r="E48" s="3">
        <v>1500</v>
      </c>
      <c r="L48" s="3" t="s">
        <v>182</v>
      </c>
      <c r="M48" s="135">
        <v>-0.1</v>
      </c>
      <c r="N48" s="3" t="s">
        <v>409</v>
      </c>
    </row>
    <row r="49" spans="1:21" x14ac:dyDescent="0.25">
      <c r="A49" s="295" t="s">
        <v>3</v>
      </c>
      <c r="B49" s="39">
        <v>0</v>
      </c>
      <c r="C49" s="39"/>
      <c r="D49" s="3" t="s">
        <v>7</v>
      </c>
      <c r="E49" s="3">
        <v>2500</v>
      </c>
      <c r="M49" s="135">
        <v>-0.2</v>
      </c>
      <c r="N49" s="3" t="s">
        <v>410</v>
      </c>
    </row>
    <row r="50" spans="1:21" x14ac:dyDescent="0.25">
      <c r="A50" s="295" t="s">
        <v>4</v>
      </c>
      <c r="B50" s="39">
        <v>10000</v>
      </c>
      <c r="C50" s="39"/>
      <c r="D50" s="3" t="s">
        <v>3</v>
      </c>
      <c r="E50" s="3">
        <v>2500</v>
      </c>
      <c r="M50" s="3">
        <v>1</v>
      </c>
      <c r="N50" s="3" t="s">
        <v>411</v>
      </c>
    </row>
    <row r="51" spans="1:21" x14ac:dyDescent="0.25">
      <c r="A51" s="295" t="s">
        <v>82</v>
      </c>
      <c r="B51" s="39">
        <v>0</v>
      </c>
      <c r="D51" s="3" t="s">
        <v>12</v>
      </c>
      <c r="E51" s="3">
        <v>1000</v>
      </c>
      <c r="L51" s="3" t="s">
        <v>386</v>
      </c>
      <c r="M51" s="135">
        <v>-0.1</v>
      </c>
      <c r="N51" s="3" t="s">
        <v>412</v>
      </c>
    </row>
    <row r="52" spans="1:21" x14ac:dyDescent="0.25">
      <c r="D52" s="3" t="s">
        <v>442</v>
      </c>
      <c r="E52" s="3">
        <v>30</v>
      </c>
      <c r="L52" s="3" t="s">
        <v>387</v>
      </c>
      <c r="M52" s="135">
        <v>0.2</v>
      </c>
      <c r="N52" s="3" t="s">
        <v>413</v>
      </c>
      <c r="O52" s="135">
        <v>0.1</v>
      </c>
      <c r="P52" s="3" t="s">
        <v>397</v>
      </c>
    </row>
    <row r="53" spans="1:21" ht="13" x14ac:dyDescent="0.3">
      <c r="A53" s="294" t="s">
        <v>86</v>
      </c>
      <c r="D53" s="3" t="s">
        <v>443</v>
      </c>
      <c r="E53" s="3">
        <v>30</v>
      </c>
      <c r="L53" s="3" t="s">
        <v>388</v>
      </c>
      <c r="M53" s="132">
        <v>0.06</v>
      </c>
      <c r="N53" s="3" t="s">
        <v>403</v>
      </c>
    </row>
    <row r="54" spans="1:21" x14ac:dyDescent="0.25">
      <c r="A54" s="295" t="s">
        <v>21</v>
      </c>
      <c r="B54" s="135">
        <v>0.03</v>
      </c>
      <c r="L54" s="3" t="s">
        <v>389</v>
      </c>
      <c r="M54" s="104">
        <v>0.125</v>
      </c>
      <c r="N54" s="3" t="s">
        <v>398</v>
      </c>
    </row>
    <row r="55" spans="1:21" x14ac:dyDescent="0.25">
      <c r="A55" s="295" t="s">
        <v>24</v>
      </c>
      <c r="B55" s="135">
        <v>0.01</v>
      </c>
      <c r="L55" s="3" t="s">
        <v>390</v>
      </c>
      <c r="M55" s="135">
        <v>-0.3</v>
      </c>
      <c r="N55" s="3" t="s">
        <v>414</v>
      </c>
    </row>
    <row r="56" spans="1:21" x14ac:dyDescent="0.25">
      <c r="A56" s="295" t="s">
        <v>14</v>
      </c>
      <c r="B56" s="135">
        <v>0.01</v>
      </c>
      <c r="L56" s="3" t="s">
        <v>391</v>
      </c>
      <c r="M56" s="135">
        <v>-0.2</v>
      </c>
      <c r="N56" s="3" t="s">
        <v>399</v>
      </c>
      <c r="O56" s="135">
        <v>0.15</v>
      </c>
      <c r="P56" s="3" t="s">
        <v>415</v>
      </c>
    </row>
    <row r="57" spans="1:21" x14ac:dyDescent="0.25">
      <c r="A57" s="295" t="s">
        <v>16</v>
      </c>
      <c r="B57" s="135">
        <v>0.01</v>
      </c>
      <c r="L57" s="3" t="s">
        <v>392</v>
      </c>
      <c r="M57" s="135">
        <v>-0.25</v>
      </c>
      <c r="N57" s="3" t="s">
        <v>416</v>
      </c>
    </row>
    <row r="58" spans="1:21" x14ac:dyDescent="0.25">
      <c r="A58" s="295" t="s">
        <v>15</v>
      </c>
      <c r="B58" s="135">
        <v>0.02</v>
      </c>
      <c r="L58" s="3" t="s">
        <v>393</v>
      </c>
      <c r="M58" s="135">
        <v>0.1</v>
      </c>
      <c r="N58" s="3" t="s">
        <v>294</v>
      </c>
      <c r="O58" s="135">
        <v>0.15</v>
      </c>
      <c r="P58" s="3" t="s">
        <v>417</v>
      </c>
    </row>
    <row r="59" spans="1:21" x14ac:dyDescent="0.25">
      <c r="L59" s="3" t="s">
        <v>394</v>
      </c>
      <c r="M59" s="3">
        <v>3</v>
      </c>
      <c r="N59" s="3" t="s">
        <v>418</v>
      </c>
    </row>
    <row r="60" spans="1:21" x14ac:dyDescent="0.25">
      <c r="A60" s="295" t="s">
        <v>87</v>
      </c>
      <c r="B60" s="3">
        <v>0.25</v>
      </c>
      <c r="C60" s="3" t="s">
        <v>88</v>
      </c>
      <c r="U60" s="132"/>
    </row>
    <row r="61" spans="1:21" x14ac:dyDescent="0.25">
      <c r="A61" s="295" t="s">
        <v>166</v>
      </c>
      <c r="B61" s="3">
        <v>2.7</v>
      </c>
      <c r="C61" s="3" t="s">
        <v>167</v>
      </c>
      <c r="T61" s="103"/>
      <c r="U61" s="132"/>
    </row>
    <row r="62" spans="1:21" x14ac:dyDescent="0.25">
      <c r="L62" s="3" t="s">
        <v>33</v>
      </c>
      <c r="M62" s="3">
        <v>6.4</v>
      </c>
      <c r="N62" s="3" t="s">
        <v>471</v>
      </c>
      <c r="U62" s="132"/>
    </row>
    <row r="63" spans="1:21" ht="13" x14ac:dyDescent="0.3">
      <c r="A63" s="294" t="s">
        <v>169</v>
      </c>
    </row>
    <row r="64" spans="1:21" x14ac:dyDescent="0.25">
      <c r="A64" s="295" t="s">
        <v>345</v>
      </c>
      <c r="B64" s="3">
        <v>36</v>
      </c>
      <c r="C64" s="3" t="s">
        <v>346</v>
      </c>
      <c r="D64" s="3" t="s">
        <v>347</v>
      </c>
      <c r="L64" s="3" t="s">
        <v>470</v>
      </c>
      <c r="M64" s="3">
        <v>3780</v>
      </c>
      <c r="U64" s="135"/>
    </row>
    <row r="65" spans="1:21" x14ac:dyDescent="0.25">
      <c r="A65" s="295" t="s">
        <v>171</v>
      </c>
      <c r="B65" s="3">
        <v>30</v>
      </c>
      <c r="C65" s="3" t="s">
        <v>270</v>
      </c>
    </row>
    <row r="66" spans="1:21" ht="13" x14ac:dyDescent="0.3">
      <c r="A66" s="295" t="s">
        <v>476</v>
      </c>
      <c r="B66" s="3">
        <v>15</v>
      </c>
      <c r="C66" s="3" t="s">
        <v>270</v>
      </c>
      <c r="L66" s="8" t="s">
        <v>627</v>
      </c>
      <c r="U66" s="135"/>
    </row>
    <row r="67" spans="1:21" x14ac:dyDescent="0.25">
      <c r="A67" s="295" t="s">
        <v>349</v>
      </c>
      <c r="B67" s="3">
        <v>15</v>
      </c>
      <c r="C67" s="3" t="s">
        <v>270</v>
      </c>
      <c r="L67" s="103" t="s">
        <v>537</v>
      </c>
      <c r="M67" s="388">
        <v>2.5000000000000001E-2</v>
      </c>
      <c r="N67" s="3" t="s">
        <v>632</v>
      </c>
      <c r="S67" s="3" t="s">
        <v>681</v>
      </c>
      <c r="U67" s="135"/>
    </row>
    <row r="68" spans="1:21" x14ac:dyDescent="0.25">
      <c r="A68" s="295" t="s">
        <v>170</v>
      </c>
      <c r="B68" s="3">
        <v>15</v>
      </c>
      <c r="C68" s="3" t="str">
        <f>C65</f>
        <v>peasants</v>
      </c>
      <c r="L68" s="103" t="s">
        <v>539</v>
      </c>
      <c r="M68" s="388">
        <v>0.05</v>
      </c>
      <c r="N68" s="3" t="s">
        <v>633</v>
      </c>
      <c r="S68" s="3" t="s">
        <v>682</v>
      </c>
    </row>
    <row r="69" spans="1:21" x14ac:dyDescent="0.25">
      <c r="A69" s="295" t="s">
        <v>271</v>
      </c>
      <c r="B69" s="3">
        <f>IF(OR(Overview!$B$14="Halfling",Overview!$B$14="Dwarf",Overview!$B$14="Gnome"),10,IF(race="Nomad",25,5))</f>
        <v>5</v>
      </c>
      <c r="L69" s="3" t="s">
        <v>540</v>
      </c>
      <c r="M69" s="5">
        <v>0.05</v>
      </c>
      <c r="N69" s="3" t="s">
        <v>634</v>
      </c>
      <c r="S69" s="3" t="s">
        <v>683</v>
      </c>
    </row>
    <row r="70" spans="1:21" x14ac:dyDescent="0.25">
      <c r="L70" s="3" t="s">
        <v>542</v>
      </c>
      <c r="M70" s="388">
        <v>7.4999999999999997E-2</v>
      </c>
      <c r="N70" s="3" t="s">
        <v>632</v>
      </c>
      <c r="S70" s="3" t="s">
        <v>684</v>
      </c>
      <c r="T70" s="103"/>
      <c r="U70" s="132"/>
    </row>
    <row r="71" spans="1:21" x14ac:dyDescent="0.25">
      <c r="A71" s="307" t="s">
        <v>272</v>
      </c>
      <c r="L71" s="3" t="s">
        <v>544</v>
      </c>
      <c r="M71" s="388">
        <v>0.02</v>
      </c>
      <c r="N71" s="3" t="s">
        <v>635</v>
      </c>
      <c r="S71" s="3" t="s">
        <v>685</v>
      </c>
      <c r="U71" s="132"/>
    </row>
    <row r="72" spans="1:21" x14ac:dyDescent="0.25">
      <c r="A72" s="295" t="str">
        <f>CONCATENATE("Your race is ",Overview!B14)</f>
        <v>Your race is Human</v>
      </c>
      <c r="L72" s="3" t="s">
        <v>545</v>
      </c>
      <c r="M72" s="5">
        <v>0.05</v>
      </c>
      <c r="N72" s="3" t="s">
        <v>670</v>
      </c>
      <c r="S72" s="103" t="s">
        <v>696</v>
      </c>
      <c r="T72" s="103"/>
      <c r="U72" s="135"/>
    </row>
    <row r="73" spans="1:21" x14ac:dyDescent="0.25">
      <c r="L73" s="3" t="s">
        <v>546</v>
      </c>
      <c r="M73" s="5">
        <v>0.1</v>
      </c>
      <c r="N73" s="3" t="s">
        <v>751</v>
      </c>
      <c r="S73" s="103" t="s">
        <v>725</v>
      </c>
      <c r="T73" s="103"/>
      <c r="U73" s="135"/>
    </row>
    <row r="74" spans="1:21" ht="13" x14ac:dyDescent="0.3">
      <c r="A74" s="294" t="s">
        <v>202</v>
      </c>
      <c r="B74" s="3" t="s">
        <v>273</v>
      </c>
      <c r="F74" s="3" t="s">
        <v>207</v>
      </c>
      <c r="L74" s="3" t="s">
        <v>547</v>
      </c>
      <c r="M74" s="5">
        <v>-0.1</v>
      </c>
      <c r="N74" s="3" t="s">
        <v>668</v>
      </c>
      <c r="O74" s="3" t="s">
        <v>638</v>
      </c>
      <c r="S74" s="103" t="s">
        <v>688</v>
      </c>
      <c r="T74" s="103"/>
      <c r="U74" s="135"/>
    </row>
    <row r="75" spans="1:21" x14ac:dyDescent="0.25">
      <c r="A75" s="295" t="s">
        <v>197</v>
      </c>
      <c r="B75" s="3">
        <v>2</v>
      </c>
      <c r="C75" s="3" t="s">
        <v>203</v>
      </c>
      <c r="D75" s="135"/>
      <c r="F75" s="135">
        <v>0.1</v>
      </c>
      <c r="G75" s="3" t="s">
        <v>106</v>
      </c>
      <c r="L75" s="3" t="s">
        <v>548</v>
      </c>
      <c r="M75" s="5">
        <v>-0.05</v>
      </c>
      <c r="N75" s="3" t="s">
        <v>675</v>
      </c>
      <c r="O75" s="135">
        <v>-0.15</v>
      </c>
      <c r="P75" s="3" t="s">
        <v>653</v>
      </c>
      <c r="S75" s="103" t="s">
        <v>707</v>
      </c>
      <c r="T75" s="103"/>
      <c r="U75" s="132"/>
    </row>
    <row r="76" spans="1:21" x14ac:dyDescent="0.25">
      <c r="A76" s="295" t="s">
        <v>198</v>
      </c>
      <c r="B76" s="3">
        <v>2</v>
      </c>
      <c r="C76" s="3" t="s">
        <v>203</v>
      </c>
      <c r="D76" s="135"/>
      <c r="F76" s="135">
        <v>0.1</v>
      </c>
      <c r="G76" s="3" t="s">
        <v>109</v>
      </c>
      <c r="L76" s="3" t="s">
        <v>550</v>
      </c>
      <c r="M76" s="388">
        <v>-2.5000000000000001E-2</v>
      </c>
      <c r="N76" s="3" t="s">
        <v>639</v>
      </c>
      <c r="S76" s="103" t="s">
        <v>689</v>
      </c>
      <c r="T76" s="103"/>
      <c r="U76" s="135"/>
    </row>
    <row r="77" spans="1:21" x14ac:dyDescent="0.25">
      <c r="A77" s="295" t="s">
        <v>204</v>
      </c>
      <c r="B77" s="3">
        <v>2.5</v>
      </c>
      <c r="C77" s="3" t="s">
        <v>203</v>
      </c>
      <c r="D77" s="135"/>
      <c r="F77" s="135">
        <v>0.1</v>
      </c>
      <c r="G77" s="3" t="s">
        <v>32</v>
      </c>
      <c r="L77" s="3" t="s">
        <v>552</v>
      </c>
      <c r="M77" s="5">
        <v>-0.1</v>
      </c>
      <c r="N77" s="3" t="s">
        <v>752</v>
      </c>
      <c r="S77" s="103" t="s">
        <v>1063</v>
      </c>
      <c r="T77" s="103"/>
    </row>
    <row r="78" spans="1:21" x14ac:dyDescent="0.25">
      <c r="A78" s="295" t="s">
        <v>201</v>
      </c>
      <c r="B78" s="3">
        <v>2.5</v>
      </c>
      <c r="C78" s="3" t="s">
        <v>203</v>
      </c>
      <c r="D78" s="135"/>
      <c r="F78" s="135">
        <v>0.5</v>
      </c>
      <c r="G78" s="3" t="s">
        <v>208</v>
      </c>
      <c r="S78" s="103"/>
      <c r="T78" s="103"/>
    </row>
    <row r="79" spans="1:21" x14ac:dyDescent="0.25">
      <c r="A79" s="295" t="s">
        <v>205</v>
      </c>
      <c r="B79" s="3">
        <v>2.5</v>
      </c>
      <c r="C79" s="3" t="s">
        <v>203</v>
      </c>
      <c r="D79" s="135"/>
      <c r="F79" s="135">
        <v>0.1</v>
      </c>
      <c r="G79" s="3" t="s">
        <v>105</v>
      </c>
      <c r="L79" s="3" t="s">
        <v>553</v>
      </c>
      <c r="M79" s="388">
        <v>-0.1</v>
      </c>
      <c r="N79" s="3" t="s">
        <v>641</v>
      </c>
      <c r="S79" s="103" t="s">
        <v>691</v>
      </c>
      <c r="T79" s="103"/>
      <c r="U79" s="132"/>
    </row>
    <row r="80" spans="1:21" x14ac:dyDescent="0.25">
      <c r="A80" s="295" t="s">
        <v>529</v>
      </c>
      <c r="B80" s="3">
        <v>5</v>
      </c>
      <c r="C80" s="3" t="s">
        <v>203</v>
      </c>
      <c r="D80" s="135"/>
      <c r="F80" s="135">
        <v>0.2</v>
      </c>
      <c r="G80" s="3" t="s">
        <v>109</v>
      </c>
      <c r="H80" s="3" t="s">
        <v>247</v>
      </c>
      <c r="L80" s="3" t="s">
        <v>554</v>
      </c>
      <c r="M80" s="5">
        <v>0.15</v>
      </c>
      <c r="N80" s="3" t="s">
        <v>642</v>
      </c>
      <c r="S80" s="103" t="s">
        <v>692</v>
      </c>
      <c r="T80" s="103"/>
      <c r="U80" s="135"/>
    </row>
    <row r="81" spans="1:23" x14ac:dyDescent="0.25">
      <c r="A81" s="295" t="s">
        <v>530</v>
      </c>
      <c r="B81" s="3">
        <v>5</v>
      </c>
      <c r="C81" s="3" t="s">
        <v>203</v>
      </c>
      <c r="D81" s="135"/>
      <c r="F81" s="135">
        <v>0.3</v>
      </c>
      <c r="G81" s="3" t="s">
        <v>531</v>
      </c>
      <c r="L81" s="3" t="s">
        <v>555</v>
      </c>
      <c r="M81" s="5">
        <v>-0.1</v>
      </c>
      <c r="N81" s="3" t="s">
        <v>643</v>
      </c>
      <c r="S81" s="103" t="s">
        <v>693</v>
      </c>
      <c r="T81" s="103"/>
      <c r="U81" s="135"/>
    </row>
    <row r="82" spans="1:23" ht="13" x14ac:dyDescent="0.3">
      <c r="A82" s="295" t="s">
        <v>262</v>
      </c>
      <c r="B82" s="3">
        <f>B80</f>
        <v>5</v>
      </c>
      <c r="C82" s="3" t="str">
        <f>C80</f>
        <v>* Landsize</v>
      </c>
      <c r="D82" s="135"/>
      <c r="F82" s="135">
        <v>0.2</v>
      </c>
      <c r="G82" s="3" t="s">
        <v>32</v>
      </c>
      <c r="H82" s="3" t="s">
        <v>259</v>
      </c>
      <c r="L82" s="3" t="s">
        <v>557</v>
      </c>
      <c r="M82" s="5">
        <v>-0.2</v>
      </c>
      <c r="N82" s="3" t="s">
        <v>644</v>
      </c>
      <c r="O82" s="141">
        <v>0.1</v>
      </c>
      <c r="P82" s="8" t="s">
        <v>1099</v>
      </c>
      <c r="S82" s="103" t="s">
        <v>694</v>
      </c>
      <c r="T82" s="103"/>
      <c r="U82" s="135"/>
    </row>
    <row r="83" spans="1:23" x14ac:dyDescent="0.25">
      <c r="A83" s="295" t="s">
        <v>261</v>
      </c>
      <c r="B83" s="3">
        <f>B80</f>
        <v>5</v>
      </c>
      <c r="C83" s="3" t="str">
        <f>C80</f>
        <v>* Landsize</v>
      </c>
      <c r="D83" s="135"/>
      <c r="F83" s="135">
        <v>0.1</v>
      </c>
      <c r="G83" s="3" t="s">
        <v>31</v>
      </c>
      <c r="L83" s="3" t="s">
        <v>558</v>
      </c>
      <c r="M83" s="5">
        <v>0.01</v>
      </c>
      <c r="N83" s="3" t="s">
        <v>645</v>
      </c>
      <c r="O83" s="3" t="s">
        <v>638</v>
      </c>
      <c r="S83" s="103" t="s">
        <v>695</v>
      </c>
      <c r="T83" s="103"/>
      <c r="U83" s="135"/>
    </row>
    <row r="84" spans="1:23" x14ac:dyDescent="0.25">
      <c r="A84" s="295" t="s">
        <v>299</v>
      </c>
      <c r="B84" s="3">
        <v>5</v>
      </c>
      <c r="C84" s="3" t="str">
        <f t="shared" ref="C84:C90" si="0">C83</f>
        <v>* Landsize</v>
      </c>
      <c r="D84" s="135"/>
      <c r="F84" s="135">
        <v>0.2</v>
      </c>
      <c r="G84" s="3" t="s">
        <v>106</v>
      </c>
      <c r="H84" s="135">
        <v>0.1</v>
      </c>
      <c r="I84" s="3" t="s">
        <v>107</v>
      </c>
      <c r="L84" s="3" t="s">
        <v>559</v>
      </c>
      <c r="M84" s="18">
        <f>-2.5%/explore_tech_divisor</f>
        <v>-2.5000000000000001E-2</v>
      </c>
      <c r="N84" s="3" t="s">
        <v>637</v>
      </c>
      <c r="O84" s="132">
        <v>-0.05</v>
      </c>
      <c r="P84" s="3" t="s">
        <v>753</v>
      </c>
      <c r="S84" s="103" t="s">
        <v>687</v>
      </c>
      <c r="T84" s="103"/>
    </row>
    <row r="85" spans="1:23" x14ac:dyDescent="0.25">
      <c r="A85" s="295" t="s">
        <v>336</v>
      </c>
      <c r="B85" s="3">
        <f>B84</f>
        <v>5</v>
      </c>
      <c r="C85" s="3" t="str">
        <f t="shared" si="0"/>
        <v>* Landsize</v>
      </c>
      <c r="D85" s="135"/>
      <c r="F85" s="135">
        <v>0.1</v>
      </c>
      <c r="G85" s="3" t="s">
        <v>31</v>
      </c>
      <c r="H85" s="135">
        <v>0.1</v>
      </c>
      <c r="I85" s="3" t="s">
        <v>32</v>
      </c>
      <c r="L85" s="3" t="s">
        <v>561</v>
      </c>
      <c r="M85">
        <v>1.25</v>
      </c>
      <c r="N85" s="3" t="s">
        <v>672</v>
      </c>
      <c r="S85" s="103" t="s">
        <v>714</v>
      </c>
      <c r="T85" s="103"/>
      <c r="U85" s="132"/>
    </row>
    <row r="86" spans="1:23" x14ac:dyDescent="0.25">
      <c r="A86" s="295" t="s">
        <v>335</v>
      </c>
      <c r="B86" s="3">
        <f>B85</f>
        <v>5</v>
      </c>
      <c r="C86" s="3" t="str">
        <f t="shared" si="0"/>
        <v>* Landsize</v>
      </c>
      <c r="D86" s="135"/>
      <c r="F86" s="135">
        <v>0.15</v>
      </c>
      <c r="G86" s="3" t="s">
        <v>32</v>
      </c>
      <c r="H86" s="135" t="s">
        <v>337</v>
      </c>
      <c r="L86" s="3" t="s">
        <v>563</v>
      </c>
      <c r="M86" s="5">
        <v>-0.15</v>
      </c>
      <c r="N86" s="3" t="s">
        <v>641</v>
      </c>
      <c r="S86" s="103" t="s">
        <v>698</v>
      </c>
      <c r="T86" s="103"/>
      <c r="U86" s="135"/>
    </row>
    <row r="87" spans="1:23" x14ac:dyDescent="0.25">
      <c r="A87" s="295" t="s">
        <v>342</v>
      </c>
      <c r="B87" s="3">
        <v>5</v>
      </c>
      <c r="C87" s="3" t="str">
        <f t="shared" si="0"/>
        <v>* Landsize</v>
      </c>
      <c r="D87" s="135"/>
      <c r="F87" s="237">
        <v>13</v>
      </c>
      <c r="G87" s="3" t="s">
        <v>343</v>
      </c>
      <c r="H87" s="135"/>
      <c r="L87" s="3" t="s">
        <v>564</v>
      </c>
      <c r="M87" s="388">
        <f>-2.5%/explore_tech_divisor</f>
        <v>-2.5000000000000001E-2</v>
      </c>
      <c r="N87" s="3" t="s">
        <v>637</v>
      </c>
      <c r="O87" s="3">
        <v>-1</v>
      </c>
      <c r="P87" s="3" t="s">
        <v>669</v>
      </c>
      <c r="S87" s="103" t="s">
        <v>699</v>
      </c>
      <c r="T87" s="103"/>
      <c r="U87" s="135"/>
    </row>
    <row r="88" spans="1:23" x14ac:dyDescent="0.25">
      <c r="A88" s="295" t="s">
        <v>426</v>
      </c>
      <c r="B88" s="3">
        <v>5</v>
      </c>
      <c r="C88" s="3" t="str">
        <f t="shared" si="0"/>
        <v>* Landsize</v>
      </c>
      <c r="D88" s="135"/>
      <c r="F88" s="104">
        <v>0.05</v>
      </c>
      <c r="G88" s="3" t="s">
        <v>31</v>
      </c>
      <c r="L88" s="3" t="s">
        <v>565</v>
      </c>
      <c r="M88" s="388">
        <v>-2.5000000000000001E-2</v>
      </c>
      <c r="N88" s="3" t="s">
        <v>643</v>
      </c>
      <c r="S88" s="103" t="s">
        <v>700</v>
      </c>
      <c r="T88" s="103"/>
      <c r="U88" s="132"/>
    </row>
    <row r="89" spans="1:23" x14ac:dyDescent="0.25">
      <c r="A89" s="295" t="s">
        <v>1081</v>
      </c>
      <c r="B89" s="3">
        <v>5</v>
      </c>
      <c r="C89" s="3" t="str">
        <f t="shared" si="0"/>
        <v>* Landsize</v>
      </c>
      <c r="D89" s="104">
        <v>0.01</v>
      </c>
      <c r="E89" s="3" t="s">
        <v>359</v>
      </c>
      <c r="F89" s="135">
        <v>0.1</v>
      </c>
      <c r="G89" s="3" t="s">
        <v>1083</v>
      </c>
      <c r="S89" s="103"/>
      <c r="T89" s="103"/>
    </row>
    <row r="90" spans="1:23" x14ac:dyDescent="0.25">
      <c r="A90" s="295" t="s">
        <v>1088</v>
      </c>
      <c r="B90" s="3">
        <v>5</v>
      </c>
      <c r="C90" s="3" t="str">
        <f t="shared" si="0"/>
        <v>* Landsize</v>
      </c>
      <c r="F90" s="135">
        <v>0.15</v>
      </c>
      <c r="G90" s="3" t="s">
        <v>105</v>
      </c>
      <c r="L90" s="3" t="s">
        <v>567</v>
      </c>
      <c r="M90" s="5">
        <v>0.05</v>
      </c>
      <c r="N90" s="3" t="s">
        <v>646</v>
      </c>
      <c r="S90" s="103" t="s">
        <v>701</v>
      </c>
      <c r="T90" s="103"/>
    </row>
    <row r="91" spans="1:23" x14ac:dyDescent="0.25">
      <c r="L91" s="3" t="s">
        <v>569</v>
      </c>
      <c r="M91" s="388">
        <v>2.5000000000000001E-2</v>
      </c>
      <c r="N91" s="3" t="s">
        <v>648</v>
      </c>
      <c r="S91" s="103" t="s">
        <v>702</v>
      </c>
      <c r="T91" s="103"/>
      <c r="U91" s="132"/>
    </row>
    <row r="92" spans="1:23" ht="13" x14ac:dyDescent="0.3">
      <c r="A92" s="294" t="s">
        <v>82</v>
      </c>
      <c r="L92" s="3" t="s">
        <v>571</v>
      </c>
      <c r="M92" s="388">
        <v>7.4999999999999997E-2</v>
      </c>
      <c r="N92" s="3" t="s">
        <v>649</v>
      </c>
      <c r="O92" s="104">
        <v>0.25</v>
      </c>
      <c r="P92" s="3" t="s">
        <v>650</v>
      </c>
      <c r="S92" s="103" t="s">
        <v>703</v>
      </c>
      <c r="T92" s="103"/>
      <c r="U92" s="132"/>
      <c r="W92" s="135"/>
    </row>
    <row r="93" spans="1:23" x14ac:dyDescent="0.25">
      <c r="A93" s="295" t="s">
        <v>269</v>
      </c>
      <c r="B93" s="3">
        <f>IF(Overview!$B$14="Kobold",40,30)</f>
        <v>30</v>
      </c>
      <c r="C93" s="3" t="s">
        <v>240</v>
      </c>
      <c r="L93" s="3" t="s">
        <v>572</v>
      </c>
      <c r="M93" s="388">
        <v>0.1</v>
      </c>
      <c r="N93" s="3" t="s">
        <v>633</v>
      </c>
      <c r="O93" s="135">
        <v>0.05</v>
      </c>
      <c r="P93" s="3" t="s">
        <v>651</v>
      </c>
      <c r="S93" s="103" t="s">
        <v>704</v>
      </c>
      <c r="T93" s="103"/>
      <c r="U93" s="132"/>
      <c r="W93" s="135"/>
    </row>
    <row r="94" spans="1:23" x14ac:dyDescent="0.25">
      <c r="L94" s="3" t="s">
        <v>573</v>
      </c>
      <c r="M94" s="388">
        <v>-1.7500000000000002E-2</v>
      </c>
      <c r="N94" s="3" t="s">
        <v>636</v>
      </c>
      <c r="S94" s="103" t="s">
        <v>686</v>
      </c>
      <c r="T94" s="103"/>
    </row>
    <row r="95" spans="1:23" ht="13" x14ac:dyDescent="0.3">
      <c r="A95" s="294" t="s">
        <v>352</v>
      </c>
      <c r="L95" s="3" t="s">
        <v>574</v>
      </c>
      <c r="M95" s="388">
        <v>1.4999999999999999E-2</v>
      </c>
      <c r="N95" s="3" t="s">
        <v>647</v>
      </c>
      <c r="S95" s="103" t="s">
        <v>697</v>
      </c>
      <c r="T95" s="103"/>
      <c r="U95" s="135"/>
    </row>
    <row r="96" spans="1:23" x14ac:dyDescent="0.25">
      <c r="A96" s="295" t="s">
        <v>503</v>
      </c>
      <c r="B96" s="3">
        <v>250</v>
      </c>
      <c r="L96" s="3" t="s">
        <v>575</v>
      </c>
      <c r="M96" s="388">
        <f>-7.5%/explore_tech_divisor</f>
        <v>-7.4999999999999997E-2</v>
      </c>
      <c r="N96" s="3" t="s">
        <v>637</v>
      </c>
      <c r="O96" s="3">
        <v>-2</v>
      </c>
      <c r="P96" s="3" t="s">
        <v>669</v>
      </c>
      <c r="S96" s="103" t="s">
        <v>705</v>
      </c>
      <c r="T96" s="103"/>
      <c r="U96" s="132"/>
    </row>
    <row r="97" spans="1:23" x14ac:dyDescent="0.25">
      <c r="A97" s="295" t="s">
        <v>504</v>
      </c>
      <c r="B97" s="135">
        <v>0.01</v>
      </c>
      <c r="L97" s="3" t="s">
        <v>576</v>
      </c>
      <c r="M97" s="5">
        <v>-0.5</v>
      </c>
      <c r="N97" s="3" t="s">
        <v>652</v>
      </c>
      <c r="S97" s="103" t="s">
        <v>706</v>
      </c>
      <c r="T97" s="103"/>
      <c r="U97" s="135"/>
    </row>
    <row r="98" spans="1:23" x14ac:dyDescent="0.25">
      <c r="A98" s="295" t="s">
        <v>505</v>
      </c>
      <c r="B98" s="135">
        <v>0.01</v>
      </c>
      <c r="L98" s="3" t="s">
        <v>578</v>
      </c>
      <c r="M98" s="5">
        <v>-0.1</v>
      </c>
      <c r="N98" s="3" t="s">
        <v>640</v>
      </c>
      <c r="S98" s="103" t="s">
        <v>690</v>
      </c>
      <c r="T98" s="103"/>
      <c r="U98" s="135"/>
      <c r="W98" s="135"/>
    </row>
    <row r="99" spans="1:23" x14ac:dyDescent="0.25">
      <c r="A99" s="295" t="s">
        <v>506</v>
      </c>
      <c r="B99" s="135">
        <v>0.01</v>
      </c>
      <c r="S99" s="103"/>
      <c r="T99" s="103"/>
    </row>
    <row r="100" spans="1:23" x14ac:dyDescent="0.25">
      <c r="L100" s="3" t="s">
        <v>580</v>
      </c>
      <c r="M100" s="388">
        <v>0.125</v>
      </c>
      <c r="N100" s="3" t="s">
        <v>654</v>
      </c>
      <c r="S100" s="103" t="s">
        <v>708</v>
      </c>
      <c r="T100" s="103"/>
      <c r="U100" s="132"/>
    </row>
    <row r="101" spans="1:23" ht="13" x14ac:dyDescent="0.3">
      <c r="A101" s="294" t="s">
        <v>457</v>
      </c>
      <c r="L101" s="3" t="s">
        <v>581</v>
      </c>
      <c r="N101" s="3" t="s">
        <v>628</v>
      </c>
      <c r="S101" s="103" t="s">
        <v>709</v>
      </c>
      <c r="T101" s="103"/>
    </row>
    <row r="102" spans="1:23" x14ac:dyDescent="0.25">
      <c r="L102" s="3" t="s">
        <v>582</v>
      </c>
      <c r="M102" s="388">
        <v>2.5000000000000001E-2</v>
      </c>
      <c r="N102" s="3" t="s">
        <v>648</v>
      </c>
      <c r="O102" s="132">
        <v>7.4999999999999997E-2</v>
      </c>
      <c r="P102" s="3" t="s">
        <v>646</v>
      </c>
      <c r="S102" s="103" t="s">
        <v>710</v>
      </c>
      <c r="T102" s="103"/>
      <c r="U102" s="132"/>
      <c r="W102" s="132"/>
    </row>
    <row r="103" spans="1:23" x14ac:dyDescent="0.25">
      <c r="A103" s="295" t="s">
        <v>458</v>
      </c>
      <c r="B103" s="3" t="s">
        <v>211</v>
      </c>
      <c r="D103" s="135">
        <v>0.3</v>
      </c>
      <c r="E103" s="3" t="s">
        <v>437</v>
      </c>
      <c r="L103" s="3" t="s">
        <v>583</v>
      </c>
      <c r="M103" s="5">
        <v>0.04</v>
      </c>
      <c r="N103" s="3" t="s">
        <v>635</v>
      </c>
      <c r="S103" s="103" t="s">
        <v>711</v>
      </c>
      <c r="T103" s="103"/>
      <c r="U103" s="135"/>
    </row>
    <row r="104" spans="1:23" x14ac:dyDescent="0.25">
      <c r="B104" s="3" t="s">
        <v>209</v>
      </c>
      <c r="D104" s="135">
        <v>0.2</v>
      </c>
      <c r="E104" s="3" t="s">
        <v>437</v>
      </c>
      <c r="L104" s="3" t="s">
        <v>584</v>
      </c>
      <c r="M104">
        <v>2</v>
      </c>
      <c r="N104" s="3" t="s">
        <v>1098</v>
      </c>
      <c r="S104" s="103" t="s">
        <v>1062</v>
      </c>
      <c r="T104" s="103"/>
      <c r="U104" s="135"/>
    </row>
    <row r="105" spans="1:23" x14ac:dyDescent="0.25">
      <c r="B105" s="3" t="s">
        <v>459</v>
      </c>
      <c r="D105" s="135">
        <v>0.3</v>
      </c>
      <c r="E105" s="3" t="s">
        <v>437</v>
      </c>
      <c r="L105" s="3" t="s">
        <v>585</v>
      </c>
      <c r="M105" s="388">
        <v>-0.1</v>
      </c>
      <c r="N105" s="3" t="s">
        <v>643</v>
      </c>
      <c r="S105" s="103" t="s">
        <v>713</v>
      </c>
      <c r="T105" s="103"/>
      <c r="U105" s="135"/>
    </row>
    <row r="106" spans="1:23" x14ac:dyDescent="0.25">
      <c r="B106" s="3" t="s">
        <v>460</v>
      </c>
      <c r="D106" s="135">
        <v>0.6</v>
      </c>
      <c r="E106" s="3" t="s">
        <v>437</v>
      </c>
      <c r="L106" s="3" t="s">
        <v>587</v>
      </c>
      <c r="M106">
        <v>-1</v>
      </c>
      <c r="N106" s="3" t="s">
        <v>754</v>
      </c>
      <c r="S106" s="103" t="s">
        <v>1064</v>
      </c>
      <c r="T106" s="103"/>
      <c r="U106" s="132"/>
    </row>
    <row r="107" spans="1:23" x14ac:dyDescent="0.25">
      <c r="L107" s="3" t="s">
        <v>588</v>
      </c>
      <c r="M107" s="5">
        <v>-0.2</v>
      </c>
      <c r="N107" s="3" t="s">
        <v>655</v>
      </c>
      <c r="S107" s="103" t="s">
        <v>712</v>
      </c>
      <c r="T107" s="103"/>
    </row>
    <row r="108" spans="1:23" x14ac:dyDescent="0.25">
      <c r="A108" s="295" t="s">
        <v>461</v>
      </c>
      <c r="B108" s="3" t="s">
        <v>211</v>
      </c>
      <c r="D108" s="3">
        <v>4000</v>
      </c>
      <c r="E108" s="3" t="s">
        <v>507</v>
      </c>
    </row>
    <row r="109" spans="1:23" x14ac:dyDescent="0.25">
      <c r="B109" s="3" t="s">
        <v>209</v>
      </c>
      <c r="D109" s="3">
        <v>4000</v>
      </c>
      <c r="E109" s="3" t="s">
        <v>507</v>
      </c>
      <c r="L109" s="3" t="s">
        <v>589</v>
      </c>
      <c r="M109" s="388">
        <v>2.5000000000000001E-2</v>
      </c>
      <c r="N109" s="3" t="s">
        <v>1068</v>
      </c>
      <c r="O109" s="3" t="s">
        <v>657</v>
      </c>
      <c r="S109" s="103" t="s">
        <v>716</v>
      </c>
      <c r="T109" s="103"/>
      <c r="U109" s="135"/>
      <c r="W109" s="135"/>
    </row>
    <row r="110" spans="1:23" ht="13" x14ac:dyDescent="0.3">
      <c r="B110" s="3" t="s">
        <v>459</v>
      </c>
      <c r="D110" s="3">
        <v>7500</v>
      </c>
      <c r="E110" s="3" t="s">
        <v>507</v>
      </c>
      <c r="L110" s="3" t="s">
        <v>590</v>
      </c>
      <c r="M110" s="5">
        <v>-0.2</v>
      </c>
      <c r="N110" s="3" t="s">
        <v>673</v>
      </c>
      <c r="O110" s="135">
        <v>-0.2</v>
      </c>
      <c r="P110" s="3" t="s">
        <v>656</v>
      </c>
      <c r="Q110" s="8"/>
      <c r="R110" s="8"/>
      <c r="S110" s="103" t="s">
        <v>715</v>
      </c>
      <c r="T110" s="103"/>
    </row>
    <row r="111" spans="1:23" x14ac:dyDescent="0.25">
      <c r="B111" s="3" t="s">
        <v>527</v>
      </c>
      <c r="D111" s="3">
        <v>5000</v>
      </c>
      <c r="E111" s="3" t="s">
        <v>507</v>
      </c>
      <c r="L111" s="3" t="s">
        <v>591</v>
      </c>
      <c r="M111" s="388">
        <v>-1.7500000000000002E-2</v>
      </c>
      <c r="N111" s="3" t="s">
        <v>636</v>
      </c>
      <c r="S111" s="103" t="s">
        <v>717</v>
      </c>
      <c r="T111" s="103"/>
      <c r="U111" s="135"/>
    </row>
    <row r="112" spans="1:23" x14ac:dyDescent="0.25">
      <c r="B112" s="3" t="s">
        <v>212</v>
      </c>
      <c r="D112" s="3">
        <v>5000</v>
      </c>
      <c r="E112" s="3" t="s">
        <v>507</v>
      </c>
      <c r="L112" s="3" t="s">
        <v>592</v>
      </c>
      <c r="M112" s="388">
        <v>2.5000000000000001E-2</v>
      </c>
      <c r="N112" s="3" t="s">
        <v>665</v>
      </c>
      <c r="O112" s="132">
        <v>7.4999999999999997E-2</v>
      </c>
      <c r="P112" s="3" t="s">
        <v>658</v>
      </c>
      <c r="S112" s="103" t="s">
        <v>718</v>
      </c>
      <c r="T112" s="103"/>
      <c r="U112" s="132"/>
      <c r="W112" s="132"/>
    </row>
    <row r="113" spans="1:23" x14ac:dyDescent="0.25">
      <c r="L113" s="3" t="s">
        <v>593</v>
      </c>
      <c r="M113" s="388">
        <v>-1.7500000000000002E-2</v>
      </c>
      <c r="N113" s="3" t="s">
        <v>636</v>
      </c>
      <c r="S113" s="103" t="s">
        <v>719</v>
      </c>
      <c r="T113" s="103"/>
      <c r="U113" s="135"/>
    </row>
    <row r="114" spans="1:23" ht="13" x14ac:dyDescent="0.3">
      <c r="A114" s="294" t="s">
        <v>462</v>
      </c>
      <c r="F114" s="3" t="s">
        <v>464</v>
      </c>
      <c r="L114" s="3" t="s">
        <v>594</v>
      </c>
      <c r="M114">
        <v>1</v>
      </c>
      <c r="N114" s="3" t="s">
        <v>671</v>
      </c>
      <c r="S114" s="103" t="s">
        <v>394</v>
      </c>
      <c r="T114" s="103"/>
      <c r="U114" s="135"/>
      <c r="W114" s="135"/>
    </row>
    <row r="115" spans="1:23" x14ac:dyDescent="0.25">
      <c r="A115" s="295" t="s">
        <v>124</v>
      </c>
      <c r="B115" s="110"/>
      <c r="C115" s="308">
        <v>0.2</v>
      </c>
      <c r="D115" s="3" t="s">
        <v>468</v>
      </c>
      <c r="F115" s="162">
        <v>4.5</v>
      </c>
      <c r="L115" s="3" t="s">
        <v>595</v>
      </c>
      <c r="M115" s="5">
        <v>-0.01</v>
      </c>
      <c r="N115" s="3" t="s">
        <v>659</v>
      </c>
      <c r="S115" s="103" t="s">
        <v>721</v>
      </c>
      <c r="T115" s="103"/>
      <c r="U115" s="135"/>
    </row>
    <row r="116" spans="1:23" x14ac:dyDescent="0.25">
      <c r="A116" s="295" t="s">
        <v>125</v>
      </c>
      <c r="B116" s="110" t="s">
        <v>294</v>
      </c>
      <c r="C116" s="308">
        <v>0.2</v>
      </c>
      <c r="D116" s="3" t="s">
        <v>468</v>
      </c>
      <c r="F116" s="162">
        <v>4.5</v>
      </c>
      <c r="T116" s="103"/>
    </row>
    <row r="117" spans="1:23" x14ac:dyDescent="0.25">
      <c r="B117" s="3" t="s">
        <v>293</v>
      </c>
      <c r="C117" s="104">
        <v>0.2</v>
      </c>
      <c r="D117" s="3" t="s">
        <v>468</v>
      </c>
      <c r="F117" s="162">
        <v>4.5</v>
      </c>
      <c r="L117" s="3" t="s">
        <v>596</v>
      </c>
      <c r="M117" s="18">
        <v>1.4999999999999999E-2</v>
      </c>
      <c r="N117" s="3" t="s">
        <v>647</v>
      </c>
      <c r="S117" s="103" t="s">
        <v>722</v>
      </c>
      <c r="T117" s="103"/>
      <c r="U117" s="132"/>
    </row>
    <row r="118" spans="1:23" x14ac:dyDescent="0.25">
      <c r="A118" s="295" t="s">
        <v>139</v>
      </c>
      <c r="B118" s="110"/>
      <c r="C118" s="308">
        <v>0.2</v>
      </c>
      <c r="D118" s="3" t="s">
        <v>468</v>
      </c>
      <c r="F118" s="162">
        <v>4</v>
      </c>
      <c r="L118" s="3" t="s">
        <v>597</v>
      </c>
      <c r="M118" s="388">
        <v>2.5000000000000001E-2</v>
      </c>
      <c r="N118" s="3" t="s">
        <v>648</v>
      </c>
      <c r="O118" s="135">
        <v>-0.05</v>
      </c>
      <c r="P118" s="3" t="s">
        <v>660</v>
      </c>
      <c r="S118" s="103" t="s">
        <v>723</v>
      </c>
      <c r="T118" s="103"/>
      <c r="U118" s="132"/>
      <c r="W118" s="135"/>
    </row>
    <row r="119" spans="1:23" x14ac:dyDescent="0.25">
      <c r="A119" s="295" t="s">
        <v>132</v>
      </c>
      <c r="B119" s="110"/>
      <c r="C119" s="308">
        <v>0.2</v>
      </c>
      <c r="D119" s="3" t="s">
        <v>469</v>
      </c>
      <c r="F119" s="162">
        <v>2</v>
      </c>
      <c r="L119" s="3" t="s">
        <v>599</v>
      </c>
      <c r="M119" s="5">
        <v>-0.05</v>
      </c>
      <c r="N119" s="3" t="s">
        <v>643</v>
      </c>
      <c r="O119" s="135">
        <v>-0.1</v>
      </c>
      <c r="P119" s="3" t="s">
        <v>656</v>
      </c>
      <c r="Q119" s="3">
        <v>5</v>
      </c>
      <c r="R119" s="3" t="s">
        <v>676</v>
      </c>
      <c r="S119" s="103" t="s">
        <v>1065</v>
      </c>
      <c r="T119" s="103"/>
      <c r="U119" s="135"/>
      <c r="W119" s="135"/>
    </row>
    <row r="120" spans="1:23" x14ac:dyDescent="0.25">
      <c r="A120" s="295" t="s">
        <v>1073</v>
      </c>
      <c r="B120" s="110" t="s">
        <v>294</v>
      </c>
      <c r="C120" s="308">
        <v>0.1</v>
      </c>
      <c r="D120" s="3" t="s">
        <v>297</v>
      </c>
      <c r="F120" s="162">
        <v>0</v>
      </c>
      <c r="L120" s="3" t="s">
        <v>600</v>
      </c>
      <c r="M120" s="388">
        <v>-0.125</v>
      </c>
      <c r="N120" s="3" t="s">
        <v>661</v>
      </c>
      <c r="S120" s="103" t="s">
        <v>724</v>
      </c>
      <c r="T120" s="103"/>
      <c r="U120" s="132"/>
    </row>
    <row r="121" spans="1:23" ht="13" x14ac:dyDescent="0.3">
      <c r="B121" s="3" t="s">
        <v>293</v>
      </c>
      <c r="C121" s="308">
        <v>0.1</v>
      </c>
      <c r="D121" s="3" t="s">
        <v>297</v>
      </c>
      <c r="F121" s="162">
        <v>0</v>
      </c>
      <c r="L121" s="3" t="s">
        <v>602</v>
      </c>
      <c r="M121" s="388">
        <v>0.01</v>
      </c>
      <c r="N121" s="3" t="s">
        <v>647</v>
      </c>
      <c r="O121" s="8"/>
      <c r="P121" s="8"/>
      <c r="S121" s="103" t="s">
        <v>720</v>
      </c>
      <c r="T121" s="103"/>
      <c r="U121" s="135"/>
    </row>
    <row r="122" spans="1:23" x14ac:dyDescent="0.25">
      <c r="A122" s="295" t="s">
        <v>463</v>
      </c>
      <c r="B122" s="110"/>
      <c r="C122" s="308">
        <v>0.2</v>
      </c>
      <c r="D122" s="3" t="s">
        <v>469</v>
      </c>
      <c r="F122" s="162">
        <v>3</v>
      </c>
      <c r="L122" s="3" t="s">
        <v>603</v>
      </c>
      <c r="M122" s="18">
        <v>7.4999999999999997E-2</v>
      </c>
      <c r="N122" s="3" t="s">
        <v>674</v>
      </c>
      <c r="O122" s="135">
        <v>-0.05</v>
      </c>
      <c r="P122" s="3" t="s">
        <v>662</v>
      </c>
      <c r="S122" s="103" t="s">
        <v>726</v>
      </c>
      <c r="T122" s="103"/>
      <c r="U122" s="135"/>
      <c r="W122" s="135"/>
    </row>
    <row r="123" spans="1:23" x14ac:dyDescent="0.25">
      <c r="A123" s="295" t="s">
        <v>334</v>
      </c>
      <c r="C123" s="162">
        <v>1</v>
      </c>
      <c r="D123" s="3" t="s">
        <v>465</v>
      </c>
      <c r="F123" s="162">
        <v>3</v>
      </c>
      <c r="S123" s="103"/>
      <c r="T123" s="103"/>
    </row>
    <row r="124" spans="1:23" x14ac:dyDescent="0.25">
      <c r="A124" s="295" t="s">
        <v>375</v>
      </c>
      <c r="B124" s="162" t="s">
        <v>467</v>
      </c>
      <c r="C124" s="110">
        <v>500</v>
      </c>
      <c r="D124" s="3" t="s">
        <v>466</v>
      </c>
      <c r="F124" s="162">
        <v>0</v>
      </c>
      <c r="L124" s="3" t="s">
        <v>604</v>
      </c>
      <c r="M124" s="5">
        <v>0.3</v>
      </c>
      <c r="N124" s="3" t="s">
        <v>663</v>
      </c>
      <c r="S124" s="103" t="s">
        <v>727</v>
      </c>
      <c r="T124" s="103"/>
      <c r="U124" s="135"/>
    </row>
    <row r="125" spans="1:23" x14ac:dyDescent="0.25">
      <c r="A125" s="295" t="s">
        <v>358</v>
      </c>
      <c r="B125" s="162" t="s">
        <v>467</v>
      </c>
      <c r="C125" s="110">
        <v>300</v>
      </c>
      <c r="D125" s="3" t="s">
        <v>466</v>
      </c>
      <c r="F125" s="162">
        <v>3</v>
      </c>
      <c r="L125" s="3" t="s">
        <v>606</v>
      </c>
      <c r="M125">
        <v>1.25</v>
      </c>
      <c r="N125" s="3" t="s">
        <v>678</v>
      </c>
      <c r="S125" s="103" t="s">
        <v>731</v>
      </c>
      <c r="T125" s="103"/>
      <c r="U125" s="135"/>
    </row>
    <row r="126" spans="1:23" x14ac:dyDescent="0.25">
      <c r="A126" s="295" t="s">
        <v>424</v>
      </c>
      <c r="B126" s="110"/>
      <c r="C126" s="104">
        <v>0.1</v>
      </c>
      <c r="D126" s="3" t="s">
        <v>498</v>
      </c>
      <c r="F126" s="162">
        <v>4</v>
      </c>
      <c r="L126" s="3" t="s">
        <v>608</v>
      </c>
      <c r="M126" s="388">
        <v>-7.4999999999999997E-2</v>
      </c>
      <c r="N126" s="3" t="s">
        <v>662</v>
      </c>
      <c r="O126" s="132">
        <v>7.4999999999999997E-3</v>
      </c>
      <c r="P126" s="3" t="s">
        <v>755</v>
      </c>
      <c r="S126" s="103" t="s">
        <v>1066</v>
      </c>
      <c r="T126" s="103"/>
      <c r="U126" s="135"/>
    </row>
    <row r="127" spans="1:23" x14ac:dyDescent="0.25">
      <c r="L127" s="3" t="s">
        <v>609</v>
      </c>
      <c r="M127" s="388">
        <v>2.5000000000000001E-2</v>
      </c>
      <c r="N127" s="3" t="s">
        <v>665</v>
      </c>
      <c r="S127" s="103" t="s">
        <v>729</v>
      </c>
      <c r="T127" s="103"/>
      <c r="U127" s="132"/>
    </row>
    <row r="128" spans="1:23" ht="13" x14ac:dyDescent="0.3">
      <c r="A128" s="294" t="s">
        <v>265</v>
      </c>
      <c r="L128" s="3" t="s">
        <v>610</v>
      </c>
      <c r="M128" s="388">
        <v>-2.5000000000000001E-2</v>
      </c>
      <c r="N128" s="3" t="s">
        <v>639</v>
      </c>
      <c r="O128" s="8">
        <v>2</v>
      </c>
      <c r="P128" s="8" t="s">
        <v>677</v>
      </c>
      <c r="S128" s="103" t="s">
        <v>730</v>
      </c>
      <c r="T128" s="103"/>
      <c r="U128" s="132"/>
    </row>
    <row r="129" spans="1:23" x14ac:dyDescent="0.25">
      <c r="A129" s="295" t="s">
        <v>479</v>
      </c>
      <c r="B129" s="3">
        <v>20</v>
      </c>
      <c r="S129" s="103"/>
      <c r="T129" s="103"/>
    </row>
    <row r="130" spans="1:23" x14ac:dyDescent="0.25">
      <c r="A130" s="295" t="s">
        <v>477</v>
      </c>
      <c r="B130" s="3">
        <v>0</v>
      </c>
      <c r="C130" s="3" t="s">
        <v>478</v>
      </c>
      <c r="L130" s="3" t="s">
        <v>612</v>
      </c>
      <c r="M130" s="5">
        <v>0.6</v>
      </c>
      <c r="N130" s="3" t="s">
        <v>756</v>
      </c>
      <c r="S130" s="103" t="s">
        <v>1067</v>
      </c>
      <c r="T130" s="103"/>
    </row>
    <row r="131" spans="1:23" x14ac:dyDescent="0.25">
      <c r="L131" s="3" t="s">
        <v>613</v>
      </c>
      <c r="M131" s="388">
        <v>-7.4999999999999997E-2</v>
      </c>
      <c r="N131" s="3" t="s">
        <v>662</v>
      </c>
      <c r="S131" s="103" t="s">
        <v>732</v>
      </c>
      <c r="T131" s="103"/>
      <c r="U131" s="132"/>
    </row>
    <row r="132" spans="1:23" ht="13" x14ac:dyDescent="0.3">
      <c r="A132" s="294" t="s">
        <v>757</v>
      </c>
      <c r="L132" s="3" t="s">
        <v>615</v>
      </c>
      <c r="M132">
        <v>2</v>
      </c>
      <c r="N132" s="3" t="s">
        <v>679</v>
      </c>
      <c r="S132" s="103" t="s">
        <v>733</v>
      </c>
      <c r="T132" s="103"/>
    </row>
    <row r="133" spans="1:23" x14ac:dyDescent="0.25">
      <c r="A133" s="295" t="s">
        <v>89</v>
      </c>
      <c r="B133" s="3" t="s">
        <v>3</v>
      </c>
      <c r="L133" s="3" t="s">
        <v>617</v>
      </c>
      <c r="M133" s="5">
        <v>0.3</v>
      </c>
      <c r="N133" s="3" t="s">
        <v>666</v>
      </c>
      <c r="S133" s="103" t="s">
        <v>734</v>
      </c>
      <c r="T133" s="103"/>
      <c r="U133" s="135"/>
    </row>
    <row r="134" spans="1:23" x14ac:dyDescent="0.25">
      <c r="A134" s="295" t="s">
        <v>90</v>
      </c>
      <c r="B134" s="3" t="s">
        <v>3</v>
      </c>
      <c r="S134" s="103"/>
      <c r="T134" s="103"/>
    </row>
    <row r="135" spans="1:23" x14ac:dyDescent="0.25">
      <c r="A135" s="295" t="s">
        <v>91</v>
      </c>
      <c r="B135" s="3" t="s">
        <v>3</v>
      </c>
      <c r="L135" s="3" t="s">
        <v>618</v>
      </c>
      <c r="M135" s="5">
        <v>-0.15</v>
      </c>
      <c r="N135" s="3" t="s">
        <v>675</v>
      </c>
      <c r="O135" s="135">
        <v>-0.05</v>
      </c>
      <c r="P135" s="3" t="s">
        <v>653</v>
      </c>
      <c r="S135" s="103" t="s">
        <v>735</v>
      </c>
      <c r="T135" s="103"/>
      <c r="U135" s="135"/>
      <c r="W135" s="135"/>
    </row>
    <row r="136" spans="1:23" x14ac:dyDescent="0.25">
      <c r="A136" s="295" t="s">
        <v>92</v>
      </c>
      <c r="B136" s="3" t="s">
        <v>3</v>
      </c>
      <c r="L136" s="3" t="s">
        <v>620</v>
      </c>
      <c r="M136" s="388">
        <v>-0.05</v>
      </c>
      <c r="N136" s="3" t="s">
        <v>643</v>
      </c>
      <c r="S136" s="103" t="s">
        <v>736</v>
      </c>
      <c r="T136" s="103"/>
      <c r="U136" s="132"/>
    </row>
    <row r="137" spans="1:23" x14ac:dyDescent="0.25">
      <c r="A137" s="295" t="s">
        <v>93</v>
      </c>
      <c r="B137" s="3" t="s">
        <v>3</v>
      </c>
      <c r="L137" s="3" t="s">
        <v>621</v>
      </c>
      <c r="M137" s="5">
        <v>-0.25</v>
      </c>
      <c r="N137" s="3" t="s">
        <v>667</v>
      </c>
      <c r="S137" s="103" t="s">
        <v>737</v>
      </c>
      <c r="T137" s="103"/>
      <c r="U137" s="135"/>
    </row>
    <row r="138" spans="1:23" x14ac:dyDescent="0.25">
      <c r="A138" s="295" t="s">
        <v>94</v>
      </c>
      <c r="B138" s="3" t="s">
        <v>3</v>
      </c>
      <c r="S138" s="103"/>
      <c r="T138" s="103"/>
    </row>
    <row r="139" spans="1:23" x14ac:dyDescent="0.25">
      <c r="A139" s="295" t="s">
        <v>95</v>
      </c>
      <c r="B139" s="3" t="s">
        <v>3</v>
      </c>
      <c r="L139" s="3" t="s">
        <v>622</v>
      </c>
      <c r="M139" s="18">
        <v>7.4999999999999997E-2</v>
      </c>
      <c r="N139" s="3" t="s">
        <v>664</v>
      </c>
      <c r="S139" s="103" t="s">
        <v>728</v>
      </c>
      <c r="T139" s="103"/>
      <c r="U139" s="132"/>
    </row>
    <row r="140" spans="1:23" x14ac:dyDescent="0.25">
      <c r="A140" s="295" t="s">
        <v>96</v>
      </c>
      <c r="B140" s="3" t="s">
        <v>7</v>
      </c>
      <c r="L140" s="3" t="s">
        <v>624</v>
      </c>
      <c r="M140" s="388">
        <v>-7.4999999999999997E-2</v>
      </c>
      <c r="N140" s="3" t="s">
        <v>661</v>
      </c>
      <c r="S140" s="103" t="s">
        <v>738</v>
      </c>
      <c r="T140" s="103"/>
      <c r="U140" s="135"/>
    </row>
    <row r="141" spans="1:23" x14ac:dyDescent="0.25">
      <c r="A141" s="295" t="s">
        <v>97</v>
      </c>
      <c r="B141" s="3" t="s">
        <v>3</v>
      </c>
    </row>
    <row r="142" spans="1:23" x14ac:dyDescent="0.25">
      <c r="A142" s="295" t="s">
        <v>29</v>
      </c>
      <c r="B142" s="3" t="s">
        <v>3</v>
      </c>
      <c r="L142" s="3" t="s">
        <v>625</v>
      </c>
      <c r="M142" s="5">
        <v>-0.05</v>
      </c>
      <c r="N142" s="3" t="s">
        <v>662</v>
      </c>
      <c r="S142" s="3" t="s">
        <v>739</v>
      </c>
      <c r="U142" s="135"/>
    </row>
    <row r="143" spans="1:23" x14ac:dyDescent="0.25">
      <c r="A143" s="295" t="s">
        <v>99</v>
      </c>
      <c r="B143" s="3" t="s">
        <v>3</v>
      </c>
    </row>
    <row r="144" spans="1:23" x14ac:dyDescent="0.25">
      <c r="A144" s="295" t="s">
        <v>1120</v>
      </c>
      <c r="B144" s="3" t="s">
        <v>12</v>
      </c>
      <c r="L144" s="3" t="b">
        <f>OR(race=L145,race=L146,race=L147)</f>
        <v>0</v>
      </c>
      <c r="M144" s="3">
        <f>IF(L144=FALSE,1,2)</f>
        <v>1</v>
      </c>
    </row>
    <row r="145" spans="1:13" x14ac:dyDescent="0.25">
      <c r="A145" s="295" t="s">
        <v>100</v>
      </c>
      <c r="B145" s="3" t="s">
        <v>12</v>
      </c>
      <c r="L145" s="3" t="s">
        <v>97</v>
      </c>
    </row>
    <row r="146" spans="1:13" x14ac:dyDescent="0.25">
      <c r="A146" s="295" t="s">
        <v>101</v>
      </c>
      <c r="B146" s="3" t="s">
        <v>3</v>
      </c>
      <c r="L146" s="3" t="s">
        <v>101</v>
      </c>
    </row>
    <row r="147" spans="1:13" x14ac:dyDescent="0.25">
      <c r="A147" s="295" t="s">
        <v>102</v>
      </c>
      <c r="B147" s="3" t="s">
        <v>3</v>
      </c>
      <c r="L147" s="103" t="s">
        <v>344</v>
      </c>
      <c r="M147" s="135"/>
    </row>
    <row r="148" spans="1:13" x14ac:dyDescent="0.25">
      <c r="A148" s="295" t="s">
        <v>103</v>
      </c>
      <c r="B148" s="3" t="s">
        <v>3</v>
      </c>
      <c r="L148" s="103"/>
    </row>
    <row r="149" spans="1:13" x14ac:dyDescent="0.25">
      <c r="A149" s="295" t="s">
        <v>330</v>
      </c>
      <c r="B149" s="3" t="s">
        <v>3</v>
      </c>
      <c r="L149" s="103"/>
      <c r="M149" s="135"/>
    </row>
    <row r="150" spans="1:13" x14ac:dyDescent="0.25">
      <c r="A150" s="295" t="s">
        <v>344</v>
      </c>
      <c r="B150" s="3" t="s">
        <v>3</v>
      </c>
    </row>
    <row r="151" spans="1:13" x14ac:dyDescent="0.25">
      <c r="A151" s="295" t="s">
        <v>143</v>
      </c>
      <c r="B151" s="3" t="s">
        <v>7</v>
      </c>
    </row>
    <row r="152" spans="1:13" x14ac:dyDescent="0.25">
      <c r="A152" s="295" t="s">
        <v>499</v>
      </c>
      <c r="B152" s="3" t="s">
        <v>12</v>
      </c>
    </row>
    <row r="153" spans="1:13" x14ac:dyDescent="0.25">
      <c r="A153" s="295" t="s">
        <v>1121</v>
      </c>
      <c r="B153" s="3" t="s">
        <v>12</v>
      </c>
    </row>
    <row r="155" spans="1:13" ht="13" x14ac:dyDescent="0.3">
      <c r="A155" s="294" t="s">
        <v>1051</v>
      </c>
    </row>
    <row r="156" spans="1:13" x14ac:dyDescent="0.25">
      <c r="A156" s="295" t="s">
        <v>2</v>
      </c>
      <c r="B156" s="3">
        <v>1</v>
      </c>
    </row>
    <row r="157" spans="1:13" x14ac:dyDescent="0.25">
      <c r="A157" s="295" t="s">
        <v>7</v>
      </c>
      <c r="B157" s="3">
        <v>2</v>
      </c>
    </row>
    <row r="158" spans="1:13" x14ac:dyDescent="0.25">
      <c r="A158" s="295" t="s">
        <v>3</v>
      </c>
      <c r="B158" s="3">
        <v>2</v>
      </c>
    </row>
    <row r="159" spans="1:13" x14ac:dyDescent="0.25">
      <c r="A159" s="295" t="s">
        <v>4</v>
      </c>
      <c r="B159" s="3">
        <v>12</v>
      </c>
    </row>
    <row r="161" spans="1:2" ht="13" x14ac:dyDescent="0.3">
      <c r="A161" s="294" t="s">
        <v>1052</v>
      </c>
    </row>
    <row r="162" spans="1:2" x14ac:dyDescent="0.25">
      <c r="A162" s="295" t="s">
        <v>279</v>
      </c>
      <c r="B162" s="135">
        <v>0.75</v>
      </c>
    </row>
    <row r="164" spans="1:2" ht="13" x14ac:dyDescent="0.3">
      <c r="A164" s="294" t="s">
        <v>1117</v>
      </c>
    </row>
    <row r="165" spans="1:2" x14ac:dyDescent="0.25">
      <c r="A165" s="295" t="s">
        <v>454</v>
      </c>
      <c r="B165" s="3">
        <v>5</v>
      </c>
    </row>
  </sheetData>
  <phoneticPr fontId="1"/>
  <conditionalFormatting sqref="J25:L25">
    <cfRule type="expression" dxfId="1" priority="1" stopIfTrue="1">
      <formula>$A$1275&lt;0</formula>
    </cfRule>
  </conditionalFormatting>
  <pageMargins left="0.75" right="0.75" top="1" bottom="1" header="0.5" footer="0.5"/>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39997558519241921"/>
  </sheetPr>
  <dimension ref="A1:AA138"/>
  <sheetViews>
    <sheetView zoomScale="85" zoomScaleNormal="85" workbookViewId="0">
      <pane ySplit="4" topLeftCell="A74" activePane="bottomLeft" state="frozenSplit"/>
      <selection pane="bottomLeft" activeCell="A94" sqref="A94:A113"/>
    </sheetView>
  </sheetViews>
  <sheetFormatPr defaultColWidth="9.1796875" defaultRowHeight="19.5" customHeight="1" x14ac:dyDescent="0.25"/>
  <cols>
    <col min="1" max="1" width="15.7265625" style="336" bestFit="1" customWidth="1"/>
    <col min="2" max="2" width="13.81640625" style="269" customWidth="1"/>
    <col min="3" max="3" width="14.453125" style="269" customWidth="1"/>
    <col min="4" max="4" width="14.1796875" style="269" customWidth="1"/>
    <col min="5" max="7" width="14.1796875" style="89" customWidth="1"/>
    <col min="8" max="9" width="14.1796875" style="269" customWidth="1"/>
    <col min="10" max="23" width="7" style="269" customWidth="1"/>
    <col min="24" max="24" width="7" style="312" customWidth="1"/>
    <col min="25" max="26" width="7" style="269" customWidth="1"/>
    <col min="27" max="27" width="9.1796875" style="269" customWidth="1"/>
    <col min="28" max="16384" width="9.1796875" style="269"/>
  </cols>
  <sheetData>
    <row r="1" spans="1:27" s="309" customFormat="1" ht="19.5" customHeight="1" x14ac:dyDescent="0.25">
      <c r="A1" s="309" t="s">
        <v>283</v>
      </c>
      <c r="E1" s="310"/>
      <c r="F1" s="310"/>
      <c r="G1" s="310"/>
      <c r="X1" s="311"/>
    </row>
    <row r="2" spans="1:27" ht="19.5" customHeight="1" x14ac:dyDescent="0.25">
      <c r="A2" s="269"/>
    </row>
    <row r="3" spans="1:27" s="309" customFormat="1" ht="19.5" customHeight="1" x14ac:dyDescent="0.25">
      <c r="A3" s="309" t="s">
        <v>36</v>
      </c>
      <c r="D3" s="309" t="s">
        <v>38</v>
      </c>
      <c r="E3" s="310"/>
      <c r="F3" s="310"/>
      <c r="G3" s="310"/>
      <c r="J3" s="309" t="s">
        <v>37</v>
      </c>
      <c r="X3" s="311"/>
    </row>
    <row r="4" spans="1:27" ht="87" customHeight="1" x14ac:dyDescent="0.25">
      <c r="A4" s="309" t="s">
        <v>28</v>
      </c>
      <c r="B4" s="309" t="s">
        <v>35</v>
      </c>
      <c r="C4" s="309" t="s">
        <v>762</v>
      </c>
      <c r="D4" s="309" t="s">
        <v>763</v>
      </c>
      <c r="E4" s="310" t="s">
        <v>764</v>
      </c>
      <c r="F4" s="310" t="s">
        <v>765</v>
      </c>
      <c r="G4" s="310" t="s">
        <v>766</v>
      </c>
      <c r="H4" s="313" t="s">
        <v>767</v>
      </c>
      <c r="I4" s="313" t="s">
        <v>231</v>
      </c>
      <c r="J4" s="389" t="s">
        <v>164</v>
      </c>
      <c r="K4" s="389" t="s">
        <v>104</v>
      </c>
      <c r="L4" s="389" t="s">
        <v>161</v>
      </c>
      <c r="M4" s="389" t="s">
        <v>106</v>
      </c>
      <c r="N4" s="389" t="s">
        <v>107</v>
      </c>
      <c r="O4" s="389" t="s">
        <v>108</v>
      </c>
      <c r="P4" s="389" t="s">
        <v>109</v>
      </c>
      <c r="Q4" s="389" t="s">
        <v>110</v>
      </c>
      <c r="R4" s="389" t="s">
        <v>111</v>
      </c>
      <c r="S4" s="389" t="s">
        <v>32</v>
      </c>
      <c r="T4" s="389" t="s">
        <v>31</v>
      </c>
      <c r="U4" s="389" t="s">
        <v>162</v>
      </c>
      <c r="V4" s="389" t="s">
        <v>163</v>
      </c>
      <c r="W4" s="389" t="s">
        <v>439</v>
      </c>
      <c r="X4" s="389" t="s">
        <v>487</v>
      </c>
      <c r="Y4" s="389" t="s">
        <v>488</v>
      </c>
      <c r="Z4" s="389" t="s">
        <v>525</v>
      </c>
      <c r="AA4" s="389" t="s">
        <v>1072</v>
      </c>
    </row>
    <row r="5" spans="1:27" s="319" customFormat="1" ht="19.5" customHeight="1" x14ac:dyDescent="0.25">
      <c r="A5" s="269" t="s">
        <v>89</v>
      </c>
      <c r="B5" s="314" t="s">
        <v>98</v>
      </c>
      <c r="C5" s="269" t="s">
        <v>244</v>
      </c>
      <c r="D5" s="315" t="s">
        <v>112</v>
      </c>
      <c r="E5" s="89">
        <v>3</v>
      </c>
      <c r="F5" s="89"/>
      <c r="G5" s="89">
        <v>275</v>
      </c>
      <c r="H5" s="269">
        <v>25</v>
      </c>
      <c r="I5" s="314">
        <v>5</v>
      </c>
      <c r="J5" s="316"/>
      <c r="K5" s="317"/>
      <c r="L5" s="317"/>
      <c r="M5" s="317">
        <v>0.05</v>
      </c>
      <c r="N5" s="317"/>
      <c r="O5" s="317"/>
      <c r="P5" s="317"/>
      <c r="Q5" s="317"/>
      <c r="R5" s="317"/>
      <c r="S5" s="317"/>
      <c r="T5" s="317"/>
      <c r="U5" s="317"/>
      <c r="V5" s="317"/>
      <c r="W5" s="89"/>
      <c r="X5" s="317"/>
      <c r="Y5" s="89"/>
      <c r="Z5" s="89"/>
      <c r="AA5" s="318"/>
    </row>
    <row r="6" spans="1:27" ht="19.5" customHeight="1" x14ac:dyDescent="0.25">
      <c r="A6" s="269" t="s">
        <v>89</v>
      </c>
      <c r="B6" s="314" t="s">
        <v>98</v>
      </c>
      <c r="C6" s="269" t="s">
        <v>244</v>
      </c>
      <c r="D6" s="315" t="s">
        <v>113</v>
      </c>
      <c r="F6" s="89">
        <v>3</v>
      </c>
      <c r="G6" s="89">
        <v>275</v>
      </c>
      <c r="H6" s="269">
        <v>15</v>
      </c>
      <c r="I6" s="314">
        <v>5</v>
      </c>
      <c r="J6" s="316"/>
      <c r="K6" s="317"/>
      <c r="L6" s="317"/>
      <c r="M6" s="317"/>
      <c r="N6" s="317"/>
      <c r="O6" s="317"/>
      <c r="P6" s="317"/>
      <c r="Q6" s="317"/>
      <c r="R6" s="317"/>
      <c r="S6" s="317"/>
      <c r="T6" s="317"/>
      <c r="U6" s="317"/>
      <c r="V6" s="317"/>
      <c r="W6" s="89"/>
      <c r="X6" s="317"/>
      <c r="Y6" s="89"/>
      <c r="Z6" s="89"/>
      <c r="AA6" s="318"/>
    </row>
    <row r="7" spans="1:27" ht="19.5" customHeight="1" x14ac:dyDescent="0.25">
      <c r="A7" s="269" t="s">
        <v>89</v>
      </c>
      <c r="B7" s="314" t="s">
        <v>98</v>
      </c>
      <c r="C7" s="269" t="s">
        <v>244</v>
      </c>
      <c r="D7" s="315" t="s">
        <v>114</v>
      </c>
      <c r="E7" s="89">
        <v>2</v>
      </c>
      <c r="F7" s="89">
        <v>6</v>
      </c>
      <c r="G7" s="89">
        <v>1000</v>
      </c>
      <c r="H7" s="269">
        <v>75</v>
      </c>
      <c r="I7" s="314">
        <f>1.8 * MIN(6, MAX(E7,F7)) + 0.45 * MIN(6, MIN(E7,F7)) + IF(E7&gt;6, (E7-6)*0.2) + IF(F7&gt;6, (F7-6)*0.2)</f>
        <v>11.700000000000001</v>
      </c>
      <c r="J7" s="316"/>
      <c r="K7" s="317"/>
      <c r="L7" s="317"/>
      <c r="M7" s="317"/>
      <c r="N7" s="317"/>
      <c r="O7" s="317"/>
      <c r="P7" s="317"/>
      <c r="Q7" s="317"/>
      <c r="R7" s="317"/>
      <c r="S7" s="317"/>
      <c r="T7" s="317"/>
      <c r="U7" s="317"/>
      <c r="V7" s="317"/>
      <c r="W7" s="89"/>
      <c r="X7" s="317"/>
      <c r="Y7" s="89"/>
      <c r="Z7" s="89"/>
      <c r="AA7" s="318"/>
    </row>
    <row r="8" spans="1:27" s="322" customFormat="1" ht="19.5" customHeight="1" x14ac:dyDescent="0.25">
      <c r="A8" s="269" t="s">
        <v>89</v>
      </c>
      <c r="B8" s="314" t="s">
        <v>98</v>
      </c>
      <c r="C8" s="269" t="s">
        <v>244</v>
      </c>
      <c r="D8" s="320" t="s">
        <v>115</v>
      </c>
      <c r="E8" s="321">
        <v>6</v>
      </c>
      <c r="F8" s="321">
        <v>3</v>
      </c>
      <c r="G8" s="321">
        <v>1250</v>
      </c>
      <c r="H8" s="322">
        <v>100</v>
      </c>
      <c r="I8" s="314">
        <f>1.8 * MIN(6, MAX(E8,F8)) + 0.45 * MIN(6, MIN(E8,F8)) + IF(E8&gt;6, (E8-6)*0.2) + IF(F8&gt;6, (F8-6)*0.2)</f>
        <v>12.15</v>
      </c>
      <c r="J8" s="323"/>
      <c r="K8" s="324"/>
      <c r="L8" s="324"/>
      <c r="M8" s="324"/>
      <c r="N8" s="324"/>
      <c r="O8" s="324"/>
      <c r="P8" s="324"/>
      <c r="Q8" s="324"/>
      <c r="R8" s="324"/>
      <c r="S8" s="324"/>
      <c r="T8" s="324"/>
      <c r="U8" s="324"/>
      <c r="V8" s="324"/>
      <c r="W8" s="321"/>
      <c r="X8" s="324"/>
      <c r="Y8" s="321"/>
      <c r="Z8" s="321"/>
      <c r="AA8" s="325"/>
    </row>
    <row r="9" spans="1:27" s="319" customFormat="1" ht="19.5" customHeight="1" x14ac:dyDescent="0.25">
      <c r="A9" s="319" t="s">
        <v>90</v>
      </c>
      <c r="B9" s="326" t="s">
        <v>30</v>
      </c>
      <c r="C9" s="319" t="s">
        <v>244</v>
      </c>
      <c r="D9" s="327" t="s">
        <v>1078</v>
      </c>
      <c r="E9" s="328">
        <v>3</v>
      </c>
      <c r="F9" s="328"/>
      <c r="G9" s="328">
        <v>325</v>
      </c>
      <c r="H9" s="319">
        <v>25</v>
      </c>
      <c r="I9" s="326">
        <v>5</v>
      </c>
      <c r="J9" s="329"/>
      <c r="K9" s="330"/>
      <c r="L9" s="330"/>
      <c r="M9" s="330"/>
      <c r="N9" s="330"/>
      <c r="O9" s="330"/>
      <c r="P9" s="330"/>
      <c r="Q9" s="330"/>
      <c r="R9" s="330"/>
      <c r="S9" s="330"/>
      <c r="T9" s="330"/>
      <c r="U9" s="330"/>
      <c r="V9" s="330"/>
      <c r="W9" s="89"/>
      <c r="X9" s="317"/>
      <c r="Y9" s="330"/>
      <c r="Z9" s="328"/>
      <c r="AA9" s="318"/>
    </row>
    <row r="10" spans="1:27" ht="19.5" customHeight="1" x14ac:dyDescent="0.25">
      <c r="A10" s="269" t="s">
        <v>90</v>
      </c>
      <c r="B10" s="314" t="s">
        <v>30</v>
      </c>
      <c r="C10" s="269" t="s">
        <v>244</v>
      </c>
      <c r="D10" s="315" t="s">
        <v>116</v>
      </c>
      <c r="F10" s="89">
        <v>3</v>
      </c>
      <c r="G10" s="89">
        <v>285</v>
      </c>
      <c r="H10" s="269">
        <v>15</v>
      </c>
      <c r="I10" s="314">
        <v>5</v>
      </c>
      <c r="J10" s="316"/>
      <c r="K10" s="317"/>
      <c r="L10" s="317"/>
      <c r="M10" s="317"/>
      <c r="N10" s="317"/>
      <c r="O10" s="317"/>
      <c r="P10" s="317"/>
      <c r="Q10" s="317"/>
      <c r="R10" s="317"/>
      <c r="S10" s="317"/>
      <c r="T10" s="317"/>
      <c r="U10" s="317"/>
      <c r="V10" s="317"/>
      <c r="W10" s="89"/>
      <c r="X10" s="317"/>
      <c r="Y10" s="89"/>
      <c r="Z10" s="89"/>
      <c r="AA10" s="318"/>
    </row>
    <row r="11" spans="1:27" ht="19.5" customHeight="1" x14ac:dyDescent="0.25">
      <c r="A11" s="269" t="s">
        <v>90</v>
      </c>
      <c r="B11" s="314" t="s">
        <v>30</v>
      </c>
      <c r="C11" s="269" t="s">
        <v>244</v>
      </c>
      <c r="D11" s="315" t="s">
        <v>117</v>
      </c>
      <c r="E11" s="89">
        <v>2</v>
      </c>
      <c r="F11" s="89">
        <v>5</v>
      </c>
      <c r="G11" s="89">
        <v>1000</v>
      </c>
      <c r="H11" s="269">
        <v>25</v>
      </c>
      <c r="I11" s="314">
        <f>1.8 * MIN(6, MAX(E11,F11)) + 0.45 * MIN(6, MIN(E11,F11)) + IF(E11&gt;6, (E11-6)*0.2) + IF(F11&gt;6, (F11-6)*0.2)</f>
        <v>9.9</v>
      </c>
      <c r="J11" s="316"/>
      <c r="K11" s="317"/>
      <c r="L11" s="317"/>
      <c r="M11" s="317"/>
      <c r="N11" s="317"/>
      <c r="O11" s="317"/>
      <c r="P11" s="317"/>
      <c r="Q11" s="317"/>
      <c r="R11" s="317"/>
      <c r="S11" s="317"/>
      <c r="T11" s="317"/>
      <c r="U11" s="317"/>
      <c r="V11" s="317"/>
      <c r="W11" s="89"/>
      <c r="X11" s="317"/>
      <c r="Y11" s="89"/>
      <c r="Z11" s="89"/>
      <c r="AA11" s="318"/>
    </row>
    <row r="12" spans="1:27" ht="19.5" customHeight="1" x14ac:dyDescent="0.25">
      <c r="A12" s="269" t="s">
        <v>90</v>
      </c>
      <c r="B12" s="314" t="s">
        <v>30</v>
      </c>
      <c r="C12" s="269" t="s">
        <v>244</v>
      </c>
      <c r="D12" s="315" t="s">
        <v>1079</v>
      </c>
      <c r="E12" s="89">
        <v>6</v>
      </c>
      <c r="F12" s="89">
        <v>3</v>
      </c>
      <c r="G12" s="89">
        <v>1150</v>
      </c>
      <c r="H12" s="269">
        <v>40</v>
      </c>
      <c r="I12" s="314">
        <f>1.8 * MIN(6, MAX(E12,F12)) + 0.45 * MIN(6, MIN(E12,F12)) + IF(E12&gt;6, (E12-6)*0.2) + IF(F12&gt;6, (F12-6)*0.2)</f>
        <v>12.15</v>
      </c>
      <c r="J12" s="316"/>
      <c r="K12" s="317"/>
      <c r="L12" s="317"/>
      <c r="M12" s="317"/>
      <c r="N12" s="317"/>
      <c r="O12" s="317"/>
      <c r="P12" s="317"/>
      <c r="Q12" s="317"/>
      <c r="R12" s="317"/>
      <c r="S12" s="317"/>
      <c r="T12" s="317"/>
      <c r="U12" s="317"/>
      <c r="V12" s="317"/>
      <c r="W12" s="321"/>
      <c r="X12" s="324"/>
      <c r="Y12" s="89"/>
      <c r="Z12" s="89"/>
      <c r="AA12" s="325"/>
    </row>
    <row r="13" spans="1:27" s="319" customFormat="1" ht="19.5" customHeight="1" x14ac:dyDescent="0.25">
      <c r="A13" s="319" t="s">
        <v>91</v>
      </c>
      <c r="B13" s="326" t="s">
        <v>98</v>
      </c>
      <c r="C13" s="319" t="s">
        <v>246</v>
      </c>
      <c r="D13" s="327" t="s">
        <v>118</v>
      </c>
      <c r="E13" s="328">
        <v>3</v>
      </c>
      <c r="F13" s="328"/>
      <c r="G13" s="328">
        <v>275</v>
      </c>
      <c r="H13" s="319">
        <v>25</v>
      </c>
      <c r="I13" s="326">
        <v>5</v>
      </c>
      <c r="J13" s="329">
        <v>7.4999999999999997E-2</v>
      </c>
      <c r="K13" s="330"/>
      <c r="L13" s="330"/>
      <c r="M13" s="330"/>
      <c r="N13" s="330"/>
      <c r="O13" s="330"/>
      <c r="P13" s="330">
        <v>0.1</v>
      </c>
      <c r="Q13" s="330"/>
      <c r="R13" s="330"/>
      <c r="S13" s="330"/>
      <c r="T13" s="330"/>
      <c r="U13" s="330"/>
      <c r="V13" s="330"/>
      <c r="W13" s="317"/>
      <c r="X13" s="317"/>
      <c r="Y13" s="328"/>
      <c r="Z13" s="328"/>
      <c r="AA13" s="318"/>
    </row>
    <row r="14" spans="1:27" ht="19.5" customHeight="1" x14ac:dyDescent="0.25">
      <c r="A14" s="269" t="s">
        <v>91</v>
      </c>
      <c r="B14" s="314" t="s">
        <v>98</v>
      </c>
      <c r="C14" s="269" t="s">
        <v>246</v>
      </c>
      <c r="D14" s="315" t="s">
        <v>119</v>
      </c>
      <c r="F14" s="89">
        <v>3</v>
      </c>
      <c r="G14" s="89">
        <v>350</v>
      </c>
      <c r="H14" s="269">
        <v>20</v>
      </c>
      <c r="I14" s="314">
        <v>5</v>
      </c>
      <c r="J14" s="316"/>
      <c r="K14" s="317"/>
      <c r="L14" s="317"/>
      <c r="M14" s="317"/>
      <c r="N14" s="317"/>
      <c r="O14" s="317"/>
      <c r="P14" s="317"/>
      <c r="Q14" s="317"/>
      <c r="R14" s="317"/>
      <c r="S14" s="317"/>
      <c r="T14" s="317"/>
      <c r="U14" s="317"/>
      <c r="V14" s="317"/>
      <c r="W14" s="89"/>
      <c r="X14" s="317"/>
      <c r="Y14" s="89"/>
      <c r="Z14" s="89"/>
      <c r="AA14" s="318"/>
    </row>
    <row r="15" spans="1:27" ht="19.5" customHeight="1" x14ac:dyDescent="0.25">
      <c r="A15" s="269" t="s">
        <v>91</v>
      </c>
      <c r="B15" s="314" t="s">
        <v>98</v>
      </c>
      <c r="C15" s="269" t="s">
        <v>246</v>
      </c>
      <c r="D15" s="315" t="s">
        <v>120</v>
      </c>
      <c r="E15" s="89">
        <v>4</v>
      </c>
      <c r="F15" s="89">
        <v>4.5</v>
      </c>
      <c r="G15" s="89">
        <v>835</v>
      </c>
      <c r="H15" s="269">
        <v>0</v>
      </c>
      <c r="I15" s="314">
        <f>1.8 * MIN(6, MAX(E15,F15)) + 0.45 * MIN(6, MIN(E15,F15)) + IF(E15&gt;6, (E15-6)*0.2) + IF(F15&gt;6, (F15-6)*0.2)</f>
        <v>9.9</v>
      </c>
      <c r="J15" s="316"/>
      <c r="K15" s="317"/>
      <c r="L15" s="317"/>
      <c r="M15" s="317"/>
      <c r="N15" s="317"/>
      <c r="O15" s="317"/>
      <c r="P15" s="317"/>
      <c r="Q15" s="317"/>
      <c r="R15" s="317"/>
      <c r="S15" s="317"/>
      <c r="T15" s="317"/>
      <c r="U15" s="317"/>
      <c r="V15" s="317"/>
      <c r="W15" s="89"/>
      <c r="X15" s="317"/>
      <c r="Y15" s="89"/>
      <c r="Z15" s="89"/>
      <c r="AA15" s="318"/>
    </row>
    <row r="16" spans="1:27" s="322" customFormat="1" ht="19.5" customHeight="1" x14ac:dyDescent="0.25">
      <c r="A16" s="322" t="s">
        <v>91</v>
      </c>
      <c r="B16" s="331" t="s">
        <v>98</v>
      </c>
      <c r="C16" s="322" t="s">
        <v>246</v>
      </c>
      <c r="D16" s="320" t="s">
        <v>121</v>
      </c>
      <c r="E16" s="321">
        <v>7</v>
      </c>
      <c r="F16" s="321">
        <v>2</v>
      </c>
      <c r="G16" s="321">
        <v>1215</v>
      </c>
      <c r="H16" s="322">
        <v>85</v>
      </c>
      <c r="I16" s="314">
        <f>1.8 * MIN(6, MAX(E16,F16)) + 0.45 * MIN(6, MIN(E16,F16)) + IF(E16&gt;6, (E16-6)*0.2) + IF(F16&gt;6, (F16-6)*0.2)</f>
        <v>11.9</v>
      </c>
      <c r="J16" s="323"/>
      <c r="K16" s="324"/>
      <c r="L16" s="324"/>
      <c r="M16" s="324"/>
      <c r="N16" s="324"/>
      <c r="O16" s="324"/>
      <c r="P16" s="324"/>
      <c r="Q16" s="324"/>
      <c r="R16" s="324"/>
      <c r="S16" s="324"/>
      <c r="T16" s="324"/>
      <c r="U16" s="324"/>
      <c r="V16" s="324"/>
      <c r="W16" s="321"/>
      <c r="X16" s="324"/>
      <c r="Y16" s="321"/>
      <c r="Z16" s="321"/>
      <c r="AA16" s="325"/>
    </row>
    <row r="17" spans="1:27" s="319" customFormat="1" ht="19.5" customHeight="1" x14ac:dyDescent="0.25">
      <c r="A17" s="319" t="s">
        <v>92</v>
      </c>
      <c r="B17" s="326" t="s">
        <v>98</v>
      </c>
      <c r="C17" s="319" t="s">
        <v>58</v>
      </c>
      <c r="D17" s="327" t="s">
        <v>122</v>
      </c>
      <c r="E17" s="328">
        <v>3</v>
      </c>
      <c r="F17" s="328"/>
      <c r="G17" s="328">
        <v>275</v>
      </c>
      <c r="H17" s="319">
        <v>25</v>
      </c>
      <c r="I17" s="326">
        <v>5</v>
      </c>
      <c r="J17" s="329">
        <v>-0.05</v>
      </c>
      <c r="K17" s="330"/>
      <c r="L17" s="330"/>
      <c r="M17" s="330"/>
      <c r="N17" s="330">
        <v>0.1</v>
      </c>
      <c r="O17" s="330"/>
      <c r="P17" s="330"/>
      <c r="Q17" s="330"/>
      <c r="R17" s="330"/>
      <c r="S17" s="330"/>
      <c r="T17" s="329">
        <v>2.5000000000000001E-2</v>
      </c>
      <c r="U17" s="330">
        <v>0.1</v>
      </c>
      <c r="V17" s="330">
        <v>0.1</v>
      </c>
      <c r="W17" s="89"/>
      <c r="X17" s="317">
        <v>0.1</v>
      </c>
      <c r="Y17" s="328"/>
      <c r="Z17" s="328"/>
      <c r="AA17" s="318"/>
    </row>
    <row r="18" spans="1:27" ht="19.5" customHeight="1" x14ac:dyDescent="0.25">
      <c r="A18" s="269" t="s">
        <v>92</v>
      </c>
      <c r="B18" s="314" t="s">
        <v>98</v>
      </c>
      <c r="C18" s="269" t="s">
        <v>58</v>
      </c>
      <c r="D18" s="315" t="s">
        <v>123</v>
      </c>
      <c r="F18" s="89">
        <v>4</v>
      </c>
      <c r="G18" s="89">
        <v>360</v>
      </c>
      <c r="H18" s="269">
        <v>10</v>
      </c>
      <c r="I18" s="314">
        <v>5</v>
      </c>
      <c r="J18" s="316"/>
      <c r="K18" s="317"/>
      <c r="L18" s="317"/>
      <c r="M18" s="317"/>
      <c r="N18" s="317"/>
      <c r="O18" s="317"/>
      <c r="P18" s="317"/>
      <c r="Q18" s="317"/>
      <c r="R18" s="317"/>
      <c r="S18" s="317"/>
      <c r="T18" s="317"/>
      <c r="U18" s="317"/>
      <c r="V18" s="317"/>
      <c r="W18" s="89"/>
      <c r="X18" s="317"/>
      <c r="Y18" s="89"/>
      <c r="Z18" s="89"/>
      <c r="AA18" s="318"/>
    </row>
    <row r="19" spans="1:27" ht="19.5" customHeight="1" x14ac:dyDescent="0.25">
      <c r="A19" s="269" t="s">
        <v>92</v>
      </c>
      <c r="B19" s="314" t="s">
        <v>98</v>
      </c>
      <c r="C19" s="269" t="s">
        <v>58</v>
      </c>
      <c r="D19" s="315" t="s">
        <v>124</v>
      </c>
      <c r="E19" s="89">
        <v>0</v>
      </c>
      <c r="F19" s="89">
        <v>4</v>
      </c>
      <c r="G19" s="89">
        <v>1150</v>
      </c>
      <c r="H19" s="269">
        <v>0</v>
      </c>
      <c r="I19" s="314">
        <f>1.8 * MIN(6, MAX(E19,F19)) + 0.45 * MIN(6, MIN(E19,F19)) + IF(E19&gt;6, (E19-6)*0.2) + IF(F19&gt;6, (F19-6)*0.2)</f>
        <v>7.2</v>
      </c>
      <c r="J19" s="316"/>
      <c r="K19" s="317"/>
      <c r="L19" s="317"/>
      <c r="M19" s="317"/>
      <c r="N19" s="317"/>
      <c r="O19" s="317"/>
      <c r="P19" s="317"/>
      <c r="Q19" s="317"/>
      <c r="R19" s="317"/>
      <c r="S19" s="317"/>
      <c r="T19" s="317"/>
      <c r="U19" s="317"/>
      <c r="V19" s="317"/>
      <c r="W19" s="89"/>
      <c r="X19" s="317"/>
      <c r="Y19" s="89"/>
      <c r="Z19" s="89"/>
      <c r="AA19" s="318"/>
    </row>
    <row r="20" spans="1:27" s="322" customFormat="1" ht="19.5" customHeight="1" x14ac:dyDescent="0.25">
      <c r="A20" s="322" t="s">
        <v>92</v>
      </c>
      <c r="B20" s="331" t="s">
        <v>98</v>
      </c>
      <c r="C20" s="322" t="s">
        <v>58</v>
      </c>
      <c r="D20" s="320" t="s">
        <v>125</v>
      </c>
      <c r="E20" s="321">
        <v>3</v>
      </c>
      <c r="F20" s="321">
        <v>1</v>
      </c>
      <c r="G20" s="321">
        <v>1100</v>
      </c>
      <c r="H20" s="322">
        <v>0</v>
      </c>
      <c r="I20" s="314">
        <f>1.8 * MIN(6, MAX(E20,F20)) + 0.45 * MIN(6, MIN(E20,F20)) + IF(E20&gt;6, (E20-6)*0.2) + IF(F20&gt;6, (F20-6)*0.2)</f>
        <v>5.8500000000000005</v>
      </c>
      <c r="J20" s="323"/>
      <c r="K20" s="324"/>
      <c r="L20" s="324"/>
      <c r="M20" s="324"/>
      <c r="N20" s="324"/>
      <c r="O20" s="324"/>
      <c r="P20" s="324"/>
      <c r="Q20" s="324"/>
      <c r="R20" s="324"/>
      <c r="S20" s="324"/>
      <c r="T20" s="324"/>
      <c r="U20" s="324"/>
      <c r="V20" s="324"/>
      <c r="W20" s="321"/>
      <c r="X20" s="324"/>
      <c r="Y20" s="321"/>
      <c r="Z20" s="321"/>
      <c r="AA20" s="325"/>
    </row>
    <row r="21" spans="1:27" s="319" customFormat="1" ht="19.5" customHeight="1" x14ac:dyDescent="0.25">
      <c r="A21" s="319" t="s">
        <v>93</v>
      </c>
      <c r="B21" s="326" t="s">
        <v>98</v>
      </c>
      <c r="C21" s="319" t="s">
        <v>245</v>
      </c>
      <c r="D21" s="327" t="s">
        <v>126</v>
      </c>
      <c r="E21" s="328">
        <v>3</v>
      </c>
      <c r="F21" s="328"/>
      <c r="G21" s="328">
        <v>275</v>
      </c>
      <c r="H21" s="319">
        <v>15</v>
      </c>
      <c r="I21" s="326">
        <v>5</v>
      </c>
      <c r="J21" s="329">
        <v>0.05</v>
      </c>
      <c r="K21" s="330"/>
      <c r="L21" s="330"/>
      <c r="M21" s="330"/>
      <c r="N21" s="330"/>
      <c r="O21" s="330"/>
      <c r="P21" s="330"/>
      <c r="Q21" s="330"/>
      <c r="R21" s="330">
        <v>-0.3</v>
      </c>
      <c r="S21" s="330">
        <v>0.1</v>
      </c>
      <c r="T21" s="330"/>
      <c r="U21" s="330">
        <v>0.3</v>
      </c>
      <c r="V21" s="330"/>
      <c r="W21" s="89"/>
      <c r="X21" s="317"/>
      <c r="Y21" s="328"/>
      <c r="Z21" s="328"/>
      <c r="AA21" s="318"/>
    </row>
    <row r="22" spans="1:27" ht="19.5" customHeight="1" x14ac:dyDescent="0.25">
      <c r="A22" s="269" t="s">
        <v>93</v>
      </c>
      <c r="B22" s="314" t="s">
        <v>98</v>
      </c>
      <c r="C22" s="269" t="s">
        <v>245</v>
      </c>
      <c r="D22" s="315" t="s">
        <v>127</v>
      </c>
      <c r="F22" s="89">
        <v>3</v>
      </c>
      <c r="G22" s="89">
        <v>300</v>
      </c>
      <c r="H22" s="269">
        <v>0</v>
      </c>
      <c r="I22" s="314">
        <v>5</v>
      </c>
      <c r="J22" s="316"/>
      <c r="K22" s="317"/>
      <c r="L22" s="317"/>
      <c r="M22" s="317"/>
      <c r="N22" s="317"/>
      <c r="O22" s="317"/>
      <c r="P22" s="317"/>
      <c r="Q22" s="317"/>
      <c r="R22" s="317"/>
      <c r="S22" s="317"/>
      <c r="T22" s="317"/>
      <c r="U22" s="317"/>
      <c r="V22" s="317"/>
      <c r="W22" s="89"/>
      <c r="X22" s="317"/>
      <c r="Y22" s="89"/>
      <c r="Z22" s="89"/>
      <c r="AA22" s="318"/>
    </row>
    <row r="23" spans="1:27" ht="19.5" customHeight="1" x14ac:dyDescent="0.25">
      <c r="A23" s="269" t="s">
        <v>93</v>
      </c>
      <c r="B23" s="314" t="s">
        <v>98</v>
      </c>
      <c r="C23" s="269" t="s">
        <v>245</v>
      </c>
      <c r="D23" s="315" t="s">
        <v>129</v>
      </c>
      <c r="E23" s="89">
        <v>2</v>
      </c>
      <c r="F23" s="89">
        <v>4</v>
      </c>
      <c r="G23" s="89">
        <v>900</v>
      </c>
      <c r="H23" s="269">
        <v>30</v>
      </c>
      <c r="I23" s="314">
        <v>8.1</v>
      </c>
      <c r="J23" s="316"/>
      <c r="K23" s="89"/>
      <c r="L23" s="89"/>
      <c r="M23" s="89"/>
      <c r="N23" s="89"/>
      <c r="O23" s="89"/>
      <c r="P23" s="89"/>
      <c r="Q23" s="317"/>
      <c r="R23" s="317"/>
      <c r="S23" s="317"/>
      <c r="T23" s="317"/>
      <c r="U23" s="317"/>
      <c r="V23" s="317"/>
      <c r="W23" s="89"/>
      <c r="X23" s="317"/>
      <c r="Y23" s="89"/>
      <c r="Z23" s="89"/>
      <c r="AA23" s="318"/>
    </row>
    <row r="24" spans="1:27" s="322" customFormat="1" ht="19.5" customHeight="1" x14ac:dyDescent="0.25">
      <c r="A24" s="322" t="s">
        <v>93</v>
      </c>
      <c r="B24" s="331" t="s">
        <v>98</v>
      </c>
      <c r="C24" s="322" t="s">
        <v>245</v>
      </c>
      <c r="D24" s="315" t="s">
        <v>128</v>
      </c>
      <c r="E24" s="89">
        <v>5</v>
      </c>
      <c r="F24" s="89">
        <v>3</v>
      </c>
      <c r="G24" s="89">
        <v>900</v>
      </c>
      <c r="H24" s="269">
        <v>25</v>
      </c>
      <c r="I24" s="314">
        <f>1.8 * MIN(6, MAX(E24,F24)) + 0.45 * MIN(6, MIN(E24,F24)) + IF(E24&gt;6, (E24-6)*0.2) + IF(F24&gt;6, (F24-6)*0.2)</f>
        <v>10.35</v>
      </c>
      <c r="J24" s="323"/>
      <c r="K24" s="324"/>
      <c r="L24" s="324"/>
      <c r="M24" s="324"/>
      <c r="N24" s="324"/>
      <c r="O24" s="324"/>
      <c r="P24" s="324"/>
      <c r="Q24" s="324"/>
      <c r="R24" s="324"/>
      <c r="S24" s="324"/>
      <c r="T24" s="324"/>
      <c r="U24" s="324"/>
      <c r="V24" s="324"/>
      <c r="W24" s="321"/>
      <c r="X24" s="324"/>
      <c r="Y24" s="321"/>
      <c r="Z24" s="321"/>
      <c r="AA24" s="325"/>
    </row>
    <row r="25" spans="1:27" s="319" customFormat="1" ht="19.5" customHeight="1" x14ac:dyDescent="0.25">
      <c r="A25" s="319" t="s">
        <v>94</v>
      </c>
      <c r="B25" s="326" t="s">
        <v>98</v>
      </c>
      <c r="C25" s="319" t="s">
        <v>246</v>
      </c>
      <c r="D25" s="327" t="s">
        <v>130</v>
      </c>
      <c r="E25" s="328">
        <v>4</v>
      </c>
      <c r="F25" s="328"/>
      <c r="G25" s="328">
        <v>200</v>
      </c>
      <c r="H25" s="319">
        <v>50</v>
      </c>
      <c r="I25" s="326">
        <v>5</v>
      </c>
      <c r="J25" s="329">
        <v>-0.05</v>
      </c>
      <c r="K25" s="330"/>
      <c r="L25" s="330"/>
      <c r="M25" s="330"/>
      <c r="N25" s="330"/>
      <c r="O25" s="330"/>
      <c r="P25" s="330"/>
      <c r="Q25" s="330">
        <v>0.05</v>
      </c>
      <c r="R25" s="330">
        <v>-0.2</v>
      </c>
      <c r="S25" s="330"/>
      <c r="T25" s="329">
        <v>7.4999999999999997E-2</v>
      </c>
      <c r="U25" s="330"/>
      <c r="V25" s="330"/>
      <c r="W25" s="89"/>
      <c r="X25" s="317"/>
      <c r="Y25" s="328"/>
      <c r="Z25" s="328"/>
      <c r="AA25" s="318"/>
    </row>
    <row r="26" spans="1:27" ht="19.5" customHeight="1" x14ac:dyDescent="0.25">
      <c r="A26" s="269" t="s">
        <v>94</v>
      </c>
      <c r="B26" s="314" t="s">
        <v>98</v>
      </c>
      <c r="C26" s="269" t="s">
        <v>246</v>
      </c>
      <c r="D26" s="315" t="s">
        <v>131</v>
      </c>
      <c r="F26" s="89">
        <v>3</v>
      </c>
      <c r="G26" s="89">
        <v>300</v>
      </c>
      <c r="H26" s="269">
        <v>5</v>
      </c>
      <c r="I26" s="314">
        <v>5</v>
      </c>
      <c r="J26" s="316"/>
      <c r="K26" s="317"/>
      <c r="L26" s="317"/>
      <c r="M26" s="317"/>
      <c r="N26" s="317"/>
      <c r="O26" s="317"/>
      <c r="P26" s="317"/>
      <c r="Q26" s="317"/>
      <c r="R26" s="317"/>
      <c r="S26" s="317"/>
      <c r="T26" s="317"/>
      <c r="U26" s="317"/>
      <c r="V26" s="317"/>
      <c r="W26" s="89"/>
      <c r="X26" s="317"/>
      <c r="Y26" s="89"/>
      <c r="Z26" s="89"/>
      <c r="AA26" s="318"/>
    </row>
    <row r="27" spans="1:27" ht="19.5" customHeight="1" x14ac:dyDescent="0.25">
      <c r="A27" s="269" t="s">
        <v>94</v>
      </c>
      <c r="B27" s="314" t="s">
        <v>98</v>
      </c>
      <c r="C27" s="269" t="s">
        <v>246</v>
      </c>
      <c r="D27" s="315" t="s">
        <v>132</v>
      </c>
      <c r="E27" s="89">
        <v>2</v>
      </c>
      <c r="F27" s="89">
        <v>4</v>
      </c>
      <c r="G27" s="89">
        <v>675</v>
      </c>
      <c r="H27" s="269">
        <v>330</v>
      </c>
      <c r="I27" s="314">
        <f>1.8 * MIN(6, MAX(E27,F27)) + 0.45 * MIN(6, MIN(E27,F27)) + IF(E27&gt;6, (E27-6)*0.2) + IF(F27&gt;6, (F27-6)*0.2)</f>
        <v>8.1</v>
      </c>
      <c r="J27" s="316"/>
      <c r="K27" s="317"/>
      <c r="L27" s="317"/>
      <c r="M27" s="317"/>
      <c r="N27" s="317"/>
      <c r="O27" s="317"/>
      <c r="P27" s="317"/>
      <c r="Q27" s="317"/>
      <c r="R27" s="317"/>
      <c r="S27" s="317"/>
      <c r="T27" s="317"/>
      <c r="U27" s="317"/>
      <c r="V27" s="317"/>
      <c r="W27" s="89"/>
      <c r="X27" s="317"/>
      <c r="Y27" s="89"/>
      <c r="Z27" s="89"/>
      <c r="AA27" s="318"/>
    </row>
    <row r="28" spans="1:27" s="322" customFormat="1" ht="19.5" customHeight="1" x14ac:dyDescent="0.25">
      <c r="A28" s="322" t="s">
        <v>94</v>
      </c>
      <c r="B28" s="331" t="s">
        <v>98</v>
      </c>
      <c r="C28" s="322" t="s">
        <v>246</v>
      </c>
      <c r="D28" s="320" t="s">
        <v>133</v>
      </c>
      <c r="E28" s="321">
        <v>6.5</v>
      </c>
      <c r="F28" s="321">
        <v>3</v>
      </c>
      <c r="G28" s="321">
        <v>750</v>
      </c>
      <c r="H28" s="322">
        <v>550</v>
      </c>
      <c r="I28" s="314">
        <f>1.8 * MIN(6, MAX(E28,F28)) + 0.45 * MIN(6, MIN(E28,F28)) + IF(E28&gt;6, (E28-6)*0.2) + IF(F28&gt;6, (F28-6)*0.2)</f>
        <v>12.25</v>
      </c>
      <c r="J28" s="323"/>
      <c r="K28" s="324"/>
      <c r="L28" s="324"/>
      <c r="M28" s="324"/>
      <c r="N28" s="324"/>
      <c r="O28" s="324"/>
      <c r="P28" s="324"/>
      <c r="Q28" s="324"/>
      <c r="R28" s="324"/>
      <c r="S28" s="324"/>
      <c r="T28" s="324"/>
      <c r="U28" s="324"/>
      <c r="V28" s="324"/>
      <c r="W28" s="321"/>
      <c r="X28" s="324"/>
      <c r="Y28" s="321"/>
      <c r="Z28" s="321"/>
      <c r="AA28" s="325"/>
    </row>
    <row r="29" spans="1:27" s="319" customFormat="1" ht="19.5" customHeight="1" x14ac:dyDescent="0.25">
      <c r="A29" s="319" t="s">
        <v>95</v>
      </c>
      <c r="B29" s="326" t="s">
        <v>98</v>
      </c>
      <c r="C29" s="319" t="s">
        <v>62</v>
      </c>
      <c r="D29" s="327" t="s">
        <v>1114</v>
      </c>
      <c r="E29" s="328">
        <v>3</v>
      </c>
      <c r="F29" s="328"/>
      <c r="G29" s="328">
        <v>285</v>
      </c>
      <c r="H29" s="319">
        <v>0</v>
      </c>
      <c r="I29" s="326">
        <v>5</v>
      </c>
      <c r="J29" s="329"/>
      <c r="K29" s="330"/>
      <c r="L29" s="330"/>
      <c r="M29" s="330">
        <v>0.05</v>
      </c>
      <c r="N29" s="330">
        <v>-0.15</v>
      </c>
      <c r="O29" s="330"/>
      <c r="P29" s="330"/>
      <c r="Q29" s="330">
        <v>-0.1</v>
      </c>
      <c r="R29" s="330"/>
      <c r="S29" s="330"/>
      <c r="T29" s="329">
        <v>7.4999999999999997E-2</v>
      </c>
      <c r="U29" s="330"/>
      <c r="V29" s="330"/>
      <c r="W29" s="89"/>
      <c r="X29" s="317"/>
      <c r="Y29" s="328"/>
      <c r="Z29" s="328"/>
      <c r="AA29" s="399"/>
    </row>
    <row r="30" spans="1:27" ht="19.5" customHeight="1" x14ac:dyDescent="0.25">
      <c r="A30" s="269" t="s">
        <v>95</v>
      </c>
      <c r="B30" s="314" t="s">
        <v>98</v>
      </c>
      <c r="C30" s="269" t="s">
        <v>62</v>
      </c>
      <c r="D30" s="315" t="s">
        <v>135</v>
      </c>
      <c r="F30" s="89">
        <v>3</v>
      </c>
      <c r="G30" s="89">
        <v>300</v>
      </c>
      <c r="H30" s="269">
        <v>0</v>
      </c>
      <c r="I30" s="314">
        <v>5</v>
      </c>
      <c r="J30" s="316"/>
      <c r="K30" s="317"/>
      <c r="L30" s="317"/>
      <c r="M30" s="317"/>
      <c r="N30" s="317"/>
      <c r="O30" s="317"/>
      <c r="P30" s="317"/>
      <c r="Q30" s="317"/>
      <c r="R30" s="317"/>
      <c r="S30" s="317"/>
      <c r="T30" s="317"/>
      <c r="U30" s="317"/>
      <c r="V30" s="317"/>
      <c r="W30" s="89"/>
      <c r="X30" s="317"/>
      <c r="Y30" s="89"/>
      <c r="Z30" s="89"/>
      <c r="AA30" s="318"/>
    </row>
    <row r="31" spans="1:27" ht="19.5" customHeight="1" x14ac:dyDescent="0.25">
      <c r="A31" s="269" t="s">
        <v>95</v>
      </c>
      <c r="B31" s="314" t="s">
        <v>98</v>
      </c>
      <c r="C31" s="269" t="s">
        <v>62</v>
      </c>
      <c r="D31" s="315" t="s">
        <v>136</v>
      </c>
      <c r="E31" s="89">
        <v>0</v>
      </c>
      <c r="F31" s="89">
        <v>7</v>
      </c>
      <c r="G31" s="89">
        <v>1350</v>
      </c>
      <c r="H31" s="269">
        <v>0</v>
      </c>
      <c r="I31" s="314">
        <v>11</v>
      </c>
      <c r="J31" s="316"/>
      <c r="K31" s="89"/>
      <c r="L31" s="89"/>
      <c r="M31" s="89"/>
      <c r="N31" s="89"/>
      <c r="O31" s="89"/>
      <c r="P31" s="89"/>
      <c r="Q31" s="317"/>
      <c r="R31" s="317"/>
      <c r="S31" s="317"/>
      <c r="T31" s="317"/>
      <c r="U31" s="317"/>
      <c r="V31" s="317"/>
      <c r="W31" s="89"/>
      <c r="X31" s="317"/>
      <c r="Y31" s="89"/>
      <c r="Z31" s="89"/>
      <c r="AA31" s="318"/>
    </row>
    <row r="32" spans="1:27" s="322" customFormat="1" ht="19.5" customHeight="1" x14ac:dyDescent="0.25">
      <c r="A32" s="322" t="s">
        <v>95</v>
      </c>
      <c r="B32" s="331" t="s">
        <v>98</v>
      </c>
      <c r="C32" s="322" t="s">
        <v>62</v>
      </c>
      <c r="D32" s="315" t="s">
        <v>134</v>
      </c>
      <c r="E32" s="89">
        <v>4</v>
      </c>
      <c r="F32" s="89">
        <v>2</v>
      </c>
      <c r="G32" s="89">
        <v>600</v>
      </c>
      <c r="H32" s="269">
        <v>0</v>
      </c>
      <c r="I32" s="314">
        <f>1.8 * MIN(6, MAX(E32,F32)) + 0.45 * MIN(6, MIN(E32,F32)) + IF(E32&gt;6, (E32-6)*0.2) + IF(F32&gt;6, (F32-6)*0.2)</f>
        <v>8.1</v>
      </c>
      <c r="J32" s="323"/>
      <c r="K32" s="324"/>
      <c r="L32" s="324"/>
      <c r="M32" s="324"/>
      <c r="N32" s="324"/>
      <c r="O32" s="324"/>
      <c r="P32" s="324"/>
      <c r="Q32" s="324"/>
      <c r="R32" s="324"/>
      <c r="S32" s="324"/>
      <c r="T32" s="324"/>
      <c r="U32" s="324"/>
      <c r="V32" s="324"/>
      <c r="W32" s="321"/>
      <c r="X32" s="324"/>
      <c r="Y32" s="321"/>
      <c r="Z32" s="321"/>
      <c r="AA32" s="325"/>
    </row>
    <row r="33" spans="1:27" s="319" customFormat="1" ht="19.5" customHeight="1" x14ac:dyDescent="0.25">
      <c r="A33" s="319" t="s">
        <v>96</v>
      </c>
      <c r="B33" s="326" t="s">
        <v>98</v>
      </c>
      <c r="C33" s="319" t="s">
        <v>58</v>
      </c>
      <c r="D33" s="327" t="s">
        <v>137</v>
      </c>
      <c r="E33" s="328">
        <v>3</v>
      </c>
      <c r="F33" s="328"/>
      <c r="G33" s="328">
        <v>275</v>
      </c>
      <c r="H33" s="319">
        <v>0</v>
      </c>
      <c r="I33" s="326">
        <v>5</v>
      </c>
      <c r="J33" s="329"/>
      <c r="K33" s="330"/>
      <c r="L33" s="330"/>
      <c r="M33" s="330">
        <v>0.1</v>
      </c>
      <c r="N33" s="330">
        <v>0.2</v>
      </c>
      <c r="O33" s="330"/>
      <c r="P33" s="330"/>
      <c r="Q33" s="330"/>
      <c r="R33" s="330"/>
      <c r="S33" s="330"/>
      <c r="T33" s="330"/>
      <c r="U33" s="330"/>
      <c r="V33" s="330"/>
      <c r="W33" s="89"/>
      <c r="X33" s="317"/>
      <c r="Y33" s="328"/>
      <c r="Z33" s="328"/>
      <c r="AA33" s="318"/>
    </row>
    <row r="34" spans="1:27" ht="19.5" customHeight="1" x14ac:dyDescent="0.25">
      <c r="A34" s="269" t="s">
        <v>96</v>
      </c>
      <c r="B34" s="314" t="s">
        <v>98</v>
      </c>
      <c r="C34" s="269" t="s">
        <v>58</v>
      </c>
      <c r="D34" s="315" t="s">
        <v>138</v>
      </c>
      <c r="F34" s="89">
        <v>3</v>
      </c>
      <c r="G34" s="89">
        <v>300</v>
      </c>
      <c r="H34" s="269">
        <v>0</v>
      </c>
      <c r="I34" s="314">
        <v>5</v>
      </c>
      <c r="J34" s="316"/>
      <c r="K34" s="317"/>
      <c r="L34" s="317"/>
      <c r="M34" s="317"/>
      <c r="N34" s="317"/>
      <c r="O34" s="317"/>
      <c r="P34" s="317"/>
      <c r="Q34" s="317"/>
      <c r="R34" s="317"/>
      <c r="S34" s="317"/>
      <c r="T34" s="317"/>
      <c r="U34" s="317"/>
      <c r="V34" s="317"/>
      <c r="W34" s="89"/>
      <c r="X34" s="317"/>
      <c r="Y34" s="89"/>
      <c r="Z34" s="89"/>
      <c r="AA34" s="318"/>
    </row>
    <row r="35" spans="1:27" ht="19.5" customHeight="1" x14ac:dyDescent="0.25">
      <c r="A35" s="269" t="s">
        <v>96</v>
      </c>
      <c r="B35" s="314" t="s">
        <v>98</v>
      </c>
      <c r="C35" s="269" t="s">
        <v>58</v>
      </c>
      <c r="D35" s="315" t="s">
        <v>139</v>
      </c>
      <c r="E35" s="89">
        <v>0</v>
      </c>
      <c r="F35" s="89">
        <v>3</v>
      </c>
      <c r="G35" s="89">
        <v>1050</v>
      </c>
      <c r="H35" s="269">
        <v>0</v>
      </c>
      <c r="I35" s="314">
        <f>1.8 * MIN(6, MAX(E35,F35)) + 0.45 * MIN(6, MIN(E35,F35)) + IF(E35&gt;6, (E35-6)*0.2) + IF(F35&gt;6, (F35-6)*0.2)</f>
        <v>5.4</v>
      </c>
      <c r="J35" s="316"/>
      <c r="K35" s="317"/>
      <c r="L35" s="317"/>
      <c r="M35" s="317"/>
      <c r="N35" s="317"/>
      <c r="O35" s="317"/>
      <c r="P35" s="317"/>
      <c r="Q35" s="317"/>
      <c r="R35" s="317"/>
      <c r="S35" s="317"/>
      <c r="T35" s="317"/>
      <c r="U35" s="317"/>
      <c r="V35" s="317"/>
      <c r="W35" s="89"/>
      <c r="X35" s="317"/>
      <c r="Y35" s="89"/>
      <c r="Z35" s="89"/>
      <c r="AA35" s="318"/>
    </row>
    <row r="36" spans="1:27" s="322" customFormat="1" ht="19.5" customHeight="1" x14ac:dyDescent="0.25">
      <c r="A36" s="322" t="s">
        <v>96</v>
      </c>
      <c r="B36" s="331" t="s">
        <v>98</v>
      </c>
      <c r="C36" s="322" t="s">
        <v>58</v>
      </c>
      <c r="D36" s="320" t="s">
        <v>140</v>
      </c>
      <c r="E36" s="321">
        <v>5.5</v>
      </c>
      <c r="F36" s="321">
        <v>2</v>
      </c>
      <c r="G36" s="321">
        <v>900</v>
      </c>
      <c r="H36" s="322">
        <v>20</v>
      </c>
      <c r="I36" s="314">
        <f>1.8 * MIN(6, MAX(E36,F36)) + 0.45 * MIN(6, MIN(E36,F36)) + IF(E36&gt;6, (E36-6)*0.2) + IF(F36&gt;6, (F36-6)*0.2)</f>
        <v>10.8</v>
      </c>
      <c r="J36" s="323"/>
      <c r="K36" s="324"/>
      <c r="L36" s="324"/>
      <c r="M36" s="324"/>
      <c r="N36" s="324"/>
      <c r="O36" s="324"/>
      <c r="P36" s="324"/>
      <c r="Q36" s="324"/>
      <c r="R36" s="324"/>
      <c r="S36" s="324"/>
      <c r="T36" s="324"/>
      <c r="U36" s="324"/>
      <c r="V36" s="324"/>
      <c r="W36" s="321"/>
      <c r="X36" s="324"/>
      <c r="Y36" s="321"/>
      <c r="Z36" s="321"/>
      <c r="AA36" s="325"/>
    </row>
    <row r="37" spans="1:27" s="319" customFormat="1" ht="19.5" customHeight="1" x14ac:dyDescent="0.25">
      <c r="A37" s="319" t="s">
        <v>97</v>
      </c>
      <c r="B37" s="326" t="s">
        <v>30</v>
      </c>
      <c r="C37" s="319" t="s">
        <v>245</v>
      </c>
      <c r="D37" s="327" t="s">
        <v>141</v>
      </c>
      <c r="E37" s="328">
        <v>3</v>
      </c>
      <c r="F37" s="328"/>
      <c r="G37" s="328">
        <v>325</v>
      </c>
      <c r="H37" s="319">
        <v>25</v>
      </c>
      <c r="I37" s="326">
        <v>5</v>
      </c>
      <c r="J37" s="329">
        <v>0.2</v>
      </c>
      <c r="K37" s="330"/>
      <c r="L37" s="330"/>
      <c r="M37" s="330"/>
      <c r="N37" s="330"/>
      <c r="O37" s="330"/>
      <c r="P37" s="330"/>
      <c r="Q37" s="330"/>
      <c r="R37" s="330"/>
      <c r="S37" s="330"/>
      <c r="T37" s="330"/>
      <c r="U37" s="330"/>
      <c r="V37" s="330"/>
      <c r="W37" s="317">
        <v>0.1</v>
      </c>
      <c r="X37" s="317"/>
      <c r="Y37" s="328"/>
      <c r="Z37" s="328"/>
      <c r="AA37" s="318"/>
    </row>
    <row r="38" spans="1:27" ht="19.5" customHeight="1" x14ac:dyDescent="0.25">
      <c r="A38" s="269" t="s">
        <v>97</v>
      </c>
      <c r="B38" s="314" t="s">
        <v>30</v>
      </c>
      <c r="C38" s="269" t="s">
        <v>245</v>
      </c>
      <c r="D38" s="315" t="s">
        <v>142</v>
      </c>
      <c r="F38" s="89">
        <v>3</v>
      </c>
      <c r="G38" s="89">
        <v>380</v>
      </c>
      <c r="H38" s="269">
        <v>15</v>
      </c>
      <c r="I38" s="314">
        <v>5</v>
      </c>
      <c r="J38" s="316"/>
      <c r="K38" s="317"/>
      <c r="L38" s="317"/>
      <c r="M38" s="317"/>
      <c r="N38" s="317"/>
      <c r="O38" s="317"/>
      <c r="P38" s="317"/>
      <c r="Q38" s="317"/>
      <c r="R38" s="317"/>
      <c r="S38" s="317"/>
      <c r="T38" s="317"/>
      <c r="U38" s="317"/>
      <c r="V38" s="317"/>
      <c r="W38" s="89"/>
      <c r="X38" s="317"/>
      <c r="Y38" s="89"/>
      <c r="Z38" s="89"/>
      <c r="AA38" s="318"/>
    </row>
    <row r="39" spans="1:27" ht="19.5" customHeight="1" x14ac:dyDescent="0.25">
      <c r="A39" s="269" t="s">
        <v>97</v>
      </c>
      <c r="B39" s="314" t="s">
        <v>30</v>
      </c>
      <c r="C39" s="269" t="s">
        <v>245</v>
      </c>
      <c r="D39" s="315" t="s">
        <v>356</v>
      </c>
      <c r="E39" s="89">
        <v>5</v>
      </c>
      <c r="F39" s="89">
        <v>3</v>
      </c>
      <c r="G39" s="89">
        <v>1025</v>
      </c>
      <c r="H39" s="269">
        <v>80</v>
      </c>
      <c r="I39" s="314">
        <f>1.8 * MIN(6, MAX(E39,F39)) + 0.45 * MIN(6, MIN(E39,F39)) + IF(E39&gt;6, (E39-6)*0.2) + IF(F39&gt;6, (F39-6)*0.2)</f>
        <v>10.35</v>
      </c>
      <c r="J39" s="316"/>
      <c r="K39" s="317"/>
      <c r="L39" s="317"/>
      <c r="M39" s="317"/>
      <c r="N39" s="317"/>
      <c r="O39" s="317"/>
      <c r="P39" s="317"/>
      <c r="Q39" s="317"/>
      <c r="R39" s="317"/>
      <c r="S39" s="317"/>
      <c r="T39" s="317"/>
      <c r="U39" s="317"/>
      <c r="V39" s="317"/>
      <c r="W39" s="89"/>
      <c r="X39" s="317"/>
      <c r="Y39" s="89"/>
      <c r="Z39" s="89"/>
      <c r="AA39" s="318"/>
    </row>
    <row r="40" spans="1:27" s="322" customFormat="1" ht="19.5" customHeight="1" x14ac:dyDescent="0.25">
      <c r="A40" s="322" t="s">
        <v>97</v>
      </c>
      <c r="B40" s="331" t="s">
        <v>30</v>
      </c>
      <c r="C40" s="322" t="s">
        <v>245</v>
      </c>
      <c r="D40" s="320" t="s">
        <v>144</v>
      </c>
      <c r="E40" s="321">
        <v>6</v>
      </c>
      <c r="F40" s="321">
        <v>2</v>
      </c>
      <c r="G40" s="321">
        <v>1300</v>
      </c>
      <c r="H40" s="322">
        <v>110</v>
      </c>
      <c r="I40" s="314">
        <f>1.8 * MIN(6, MAX(E40,F40)) + 0.45 * MIN(6, MIN(E40,F40)) + IF(E40&gt;6, (E40-6)*0.2) + IF(F40&gt;6, (F40-6)*0.2)</f>
        <v>11.700000000000001</v>
      </c>
      <c r="J40" s="323"/>
      <c r="K40" s="324"/>
      <c r="L40" s="324"/>
      <c r="M40" s="324"/>
      <c r="N40" s="324"/>
      <c r="O40" s="324"/>
      <c r="P40" s="324"/>
      <c r="Q40" s="324"/>
      <c r="R40" s="324"/>
      <c r="S40" s="324"/>
      <c r="T40" s="324"/>
      <c r="U40" s="324"/>
      <c r="V40" s="324"/>
      <c r="W40" s="321"/>
      <c r="X40" s="324"/>
      <c r="Y40" s="321"/>
      <c r="Z40" s="321"/>
      <c r="AA40" s="325"/>
    </row>
    <row r="41" spans="1:27" s="319" customFormat="1" ht="19.5" customHeight="1" x14ac:dyDescent="0.25">
      <c r="A41" s="319" t="s">
        <v>29</v>
      </c>
      <c r="B41" s="326" t="s">
        <v>30</v>
      </c>
      <c r="C41" s="319" t="s">
        <v>244</v>
      </c>
      <c r="D41" s="327" t="s">
        <v>39</v>
      </c>
      <c r="E41" s="328">
        <v>4</v>
      </c>
      <c r="F41" s="328"/>
      <c r="G41" s="328">
        <v>350</v>
      </c>
      <c r="H41" s="319">
        <v>25</v>
      </c>
      <c r="I41" s="326">
        <v>5</v>
      </c>
      <c r="J41" s="329">
        <v>-0.05</v>
      </c>
      <c r="K41" s="330"/>
      <c r="L41" s="330"/>
      <c r="M41" s="330"/>
      <c r="N41" s="330"/>
      <c r="O41" s="330"/>
      <c r="P41" s="330"/>
      <c r="Q41" s="330"/>
      <c r="R41" s="330">
        <v>0.05</v>
      </c>
      <c r="S41" s="330"/>
      <c r="T41" s="330">
        <v>0.05</v>
      </c>
      <c r="U41" s="330">
        <v>-0.1</v>
      </c>
      <c r="V41" s="330"/>
      <c r="W41" s="89"/>
      <c r="X41" s="317"/>
      <c r="Y41" s="328"/>
      <c r="Z41" s="328"/>
      <c r="AA41" s="318"/>
    </row>
    <row r="42" spans="1:27" ht="19.5" customHeight="1" x14ac:dyDescent="0.25">
      <c r="A42" s="269" t="s">
        <v>29</v>
      </c>
      <c r="B42" s="314" t="s">
        <v>30</v>
      </c>
      <c r="C42" s="269" t="s">
        <v>244</v>
      </c>
      <c r="D42" s="315" t="s">
        <v>40</v>
      </c>
      <c r="F42" s="89">
        <v>3</v>
      </c>
      <c r="G42" s="89">
        <v>300</v>
      </c>
      <c r="H42" s="269">
        <v>25</v>
      </c>
      <c r="I42" s="314">
        <v>5</v>
      </c>
      <c r="J42" s="316"/>
      <c r="K42" s="317"/>
      <c r="L42" s="317"/>
      <c r="M42" s="317"/>
      <c r="N42" s="317"/>
      <c r="O42" s="317"/>
      <c r="P42" s="317"/>
      <c r="Q42" s="317"/>
      <c r="R42" s="317"/>
      <c r="S42" s="317"/>
      <c r="T42" s="317"/>
      <c r="U42" s="317"/>
      <c r="V42" s="317"/>
      <c r="W42" s="89"/>
      <c r="X42" s="317"/>
      <c r="Y42" s="89"/>
      <c r="Z42" s="89"/>
      <c r="AA42" s="318"/>
    </row>
    <row r="43" spans="1:27" ht="19.5" customHeight="1" x14ac:dyDescent="0.25">
      <c r="A43" s="269" t="s">
        <v>29</v>
      </c>
      <c r="B43" s="314" t="s">
        <v>30</v>
      </c>
      <c r="C43" s="269" t="s">
        <v>244</v>
      </c>
      <c r="D43" s="315" t="s">
        <v>41</v>
      </c>
      <c r="E43" s="89">
        <v>7</v>
      </c>
      <c r="F43" s="89">
        <v>7</v>
      </c>
      <c r="G43" s="89">
        <v>1415</v>
      </c>
      <c r="H43" s="269">
        <v>150</v>
      </c>
      <c r="I43" s="314">
        <f>1.8 * MIN(6, MAX(E43,F43)) + 0.45 * MIN(6, MIN(E43,F43)) + IF(E43&gt;6, (E43-6)*0.2) + IF(F43&gt;6, (F43-6)*0.2)</f>
        <v>13.899999999999999</v>
      </c>
      <c r="J43" s="316"/>
      <c r="K43" s="317"/>
      <c r="L43" s="317"/>
      <c r="M43" s="317"/>
      <c r="N43" s="317"/>
      <c r="O43" s="317"/>
      <c r="P43" s="317"/>
      <c r="Q43" s="317"/>
      <c r="R43" s="317"/>
      <c r="S43" s="317"/>
      <c r="T43" s="317"/>
      <c r="U43" s="317"/>
      <c r="V43" s="317"/>
      <c r="W43" s="89"/>
      <c r="X43" s="317"/>
      <c r="Y43" s="89"/>
      <c r="Z43" s="89"/>
      <c r="AA43" s="318"/>
    </row>
    <row r="44" spans="1:27" s="322" customFormat="1" ht="19.5" customHeight="1" x14ac:dyDescent="0.25">
      <c r="A44" s="322" t="s">
        <v>29</v>
      </c>
      <c r="B44" s="331" t="s">
        <v>30</v>
      </c>
      <c r="C44" s="322" t="s">
        <v>244</v>
      </c>
      <c r="D44" s="320" t="s">
        <v>42</v>
      </c>
      <c r="E44" s="321">
        <v>7</v>
      </c>
      <c r="F44" s="321">
        <v>7</v>
      </c>
      <c r="G44" s="321">
        <v>1415</v>
      </c>
      <c r="H44" s="322">
        <v>150</v>
      </c>
      <c r="I44" s="314">
        <f>1.8 * MIN(6, MAX(E44,F44)) + 0.45 * MIN(6, MIN(E44,F44)) + IF(E44&gt;6, (E44-6)*0.2) + IF(F44&gt;6, (F44-6)*0.2)</f>
        <v>13.899999999999999</v>
      </c>
      <c r="J44" s="323"/>
      <c r="K44" s="324"/>
      <c r="L44" s="324"/>
      <c r="M44" s="324"/>
      <c r="N44" s="324"/>
      <c r="O44" s="324"/>
      <c r="P44" s="324"/>
      <c r="Q44" s="324"/>
      <c r="R44" s="324"/>
      <c r="S44" s="324"/>
      <c r="T44" s="324"/>
      <c r="U44" s="324"/>
      <c r="V44" s="324"/>
      <c r="W44" s="321"/>
      <c r="X44" s="324"/>
      <c r="Y44" s="321"/>
      <c r="Z44" s="321"/>
      <c r="AA44" s="325"/>
    </row>
    <row r="45" spans="1:27" s="319" customFormat="1" ht="19.5" customHeight="1" x14ac:dyDescent="0.25">
      <c r="A45" s="319" t="s">
        <v>99</v>
      </c>
      <c r="B45" s="326" t="s">
        <v>30</v>
      </c>
      <c r="C45" s="319" t="s">
        <v>243</v>
      </c>
      <c r="D45" s="327" t="s">
        <v>145</v>
      </c>
      <c r="E45" s="328">
        <v>4</v>
      </c>
      <c r="F45" s="328"/>
      <c r="G45" s="328">
        <v>460</v>
      </c>
      <c r="H45" s="319">
        <v>25</v>
      </c>
      <c r="I45" s="326">
        <v>5</v>
      </c>
      <c r="J45" s="329">
        <v>-0.05</v>
      </c>
      <c r="K45" s="330"/>
      <c r="L45" s="330"/>
      <c r="M45" s="330"/>
      <c r="N45" s="330"/>
      <c r="O45" s="330"/>
      <c r="P45" s="330"/>
      <c r="Q45" s="330">
        <v>0.05</v>
      </c>
      <c r="R45" s="330"/>
      <c r="S45" s="330"/>
      <c r="T45" s="330"/>
      <c r="U45" s="330"/>
      <c r="V45" s="330"/>
      <c r="W45" s="89"/>
      <c r="X45" s="317"/>
      <c r="Y45" s="328"/>
      <c r="Z45" s="328"/>
      <c r="AA45" s="318"/>
    </row>
    <row r="46" spans="1:27" ht="19.5" customHeight="1" x14ac:dyDescent="0.25">
      <c r="A46" s="269" t="s">
        <v>99</v>
      </c>
      <c r="B46" s="314" t="s">
        <v>30</v>
      </c>
      <c r="C46" s="269" t="s">
        <v>243</v>
      </c>
      <c r="D46" s="315" t="s">
        <v>146</v>
      </c>
      <c r="F46" s="89">
        <v>3</v>
      </c>
      <c r="G46" s="89">
        <v>300</v>
      </c>
      <c r="H46" s="269">
        <v>15</v>
      </c>
      <c r="I46" s="314">
        <v>5</v>
      </c>
      <c r="J46" s="316"/>
      <c r="K46" s="317"/>
      <c r="L46" s="317"/>
      <c r="M46" s="317"/>
      <c r="N46" s="317"/>
      <c r="O46" s="317"/>
      <c r="P46" s="317"/>
      <c r="Q46" s="317"/>
      <c r="R46" s="317"/>
      <c r="S46" s="317"/>
      <c r="T46" s="317"/>
      <c r="U46" s="317"/>
      <c r="V46" s="317"/>
      <c r="W46" s="89"/>
      <c r="X46" s="317"/>
      <c r="Y46" s="89"/>
      <c r="Z46" s="89"/>
      <c r="AA46" s="318"/>
    </row>
    <row r="47" spans="1:27" ht="19.5" customHeight="1" x14ac:dyDescent="0.25">
      <c r="A47" s="269" t="s">
        <v>99</v>
      </c>
      <c r="B47" s="314" t="s">
        <v>30</v>
      </c>
      <c r="C47" s="269" t="s">
        <v>243</v>
      </c>
      <c r="D47" s="315" t="s">
        <v>147</v>
      </c>
      <c r="E47" s="89">
        <v>0</v>
      </c>
      <c r="F47" s="89">
        <v>6</v>
      </c>
      <c r="G47" s="89">
        <v>1150</v>
      </c>
      <c r="H47" s="269">
        <v>60</v>
      </c>
      <c r="I47" s="314">
        <f>1.8 * MIN(6, MAX(E47,F47)) + 0.45 * MIN(6, MIN(E47,F47)) + IF(E47&gt;6, (E47-6)*0.2) + IF(F47&gt;6, (F47-6)*0.2)</f>
        <v>10.8</v>
      </c>
      <c r="J47" s="316"/>
      <c r="K47" s="317"/>
      <c r="L47" s="317"/>
      <c r="M47" s="317"/>
      <c r="N47" s="317"/>
      <c r="O47" s="317"/>
      <c r="P47" s="317"/>
      <c r="Q47" s="317"/>
      <c r="R47" s="317"/>
      <c r="S47" s="317"/>
      <c r="T47" s="317"/>
      <c r="U47" s="317"/>
      <c r="V47" s="317"/>
      <c r="W47" s="89"/>
      <c r="X47" s="317"/>
      <c r="Y47" s="89"/>
      <c r="Z47" s="89"/>
      <c r="AA47" s="318"/>
    </row>
    <row r="48" spans="1:27" s="322" customFormat="1" ht="19.5" customHeight="1" x14ac:dyDescent="0.25">
      <c r="A48" s="322" t="s">
        <v>99</v>
      </c>
      <c r="B48" s="331" t="s">
        <v>30</v>
      </c>
      <c r="C48" s="322" t="s">
        <v>243</v>
      </c>
      <c r="D48" s="320" t="s">
        <v>1073</v>
      </c>
      <c r="E48" s="321">
        <v>6.5</v>
      </c>
      <c r="F48" s="321">
        <v>2.5</v>
      </c>
      <c r="G48" s="321">
        <v>1200</v>
      </c>
      <c r="H48" s="322">
        <v>50</v>
      </c>
      <c r="I48" s="314">
        <f>1.8 * MIN(6, MAX(E48,F48)) + 0.45 * MIN(6, MIN(E48,F48)) + IF(E48&gt;6, (E48-6)*0.2) + IF(F48&gt;6, (F48-6)*0.2)</f>
        <v>12.025</v>
      </c>
      <c r="J48" s="323"/>
      <c r="K48" s="324"/>
      <c r="L48" s="324"/>
      <c r="M48" s="324"/>
      <c r="N48" s="324"/>
      <c r="O48" s="324"/>
      <c r="P48" s="324"/>
      <c r="Q48" s="324"/>
      <c r="R48" s="324"/>
      <c r="S48" s="324"/>
      <c r="T48" s="324"/>
      <c r="U48" s="324"/>
      <c r="V48" s="324"/>
      <c r="W48" s="321"/>
      <c r="X48" s="324"/>
      <c r="Y48" s="321"/>
      <c r="Z48" s="321"/>
      <c r="AA48" s="325"/>
    </row>
    <row r="49" spans="1:27" s="319" customFormat="1" ht="19.5" customHeight="1" x14ac:dyDescent="0.25">
      <c r="A49" s="319" t="s">
        <v>1120</v>
      </c>
      <c r="B49" s="326" t="s">
        <v>30</v>
      </c>
      <c r="C49" s="319" t="s">
        <v>60</v>
      </c>
      <c r="D49" s="327" t="s">
        <v>1122</v>
      </c>
      <c r="E49" s="328">
        <v>3</v>
      </c>
      <c r="F49" s="328">
        <v>0</v>
      </c>
      <c r="G49" s="328">
        <v>275</v>
      </c>
      <c r="H49" s="319">
        <v>15</v>
      </c>
      <c r="I49" s="326">
        <v>5</v>
      </c>
      <c r="J49" s="329">
        <v>7.4999999999999997E-2</v>
      </c>
      <c r="K49" s="330"/>
      <c r="L49" s="330"/>
      <c r="M49" s="330"/>
      <c r="N49" s="330"/>
      <c r="O49" s="330">
        <v>0.2</v>
      </c>
      <c r="P49" s="330"/>
      <c r="Q49" s="330"/>
      <c r="R49" s="330">
        <v>-0.75</v>
      </c>
      <c r="S49" s="330"/>
      <c r="T49" s="330"/>
      <c r="U49" s="330"/>
      <c r="V49" s="330"/>
      <c r="W49" s="89"/>
      <c r="X49" s="317"/>
      <c r="Y49" s="328"/>
      <c r="Z49" s="328"/>
      <c r="AA49" s="318"/>
    </row>
    <row r="50" spans="1:27" ht="19.5" customHeight="1" x14ac:dyDescent="0.25">
      <c r="A50" s="269" t="s">
        <v>1120</v>
      </c>
      <c r="B50" s="314" t="s">
        <v>30</v>
      </c>
      <c r="C50" s="269" t="s">
        <v>60</v>
      </c>
      <c r="D50" s="315" t="s">
        <v>149</v>
      </c>
      <c r="E50" s="89">
        <v>0</v>
      </c>
      <c r="F50" s="89">
        <v>3</v>
      </c>
      <c r="G50" s="89">
        <v>275</v>
      </c>
      <c r="H50" s="269">
        <v>0</v>
      </c>
      <c r="I50" s="314">
        <v>5</v>
      </c>
      <c r="J50" s="316"/>
      <c r="K50" s="317"/>
      <c r="L50" s="317"/>
      <c r="M50" s="317"/>
      <c r="N50" s="317"/>
      <c r="O50" s="317"/>
      <c r="P50" s="317"/>
      <c r="Q50" s="317"/>
      <c r="R50" s="317"/>
      <c r="S50" s="317"/>
      <c r="T50" s="317"/>
      <c r="U50" s="317"/>
      <c r="V50" s="317"/>
      <c r="W50" s="89"/>
      <c r="X50" s="317"/>
      <c r="Y50" s="89"/>
      <c r="Z50" s="89"/>
      <c r="AA50" s="318"/>
    </row>
    <row r="51" spans="1:27" ht="19.5" customHeight="1" x14ac:dyDescent="0.25">
      <c r="A51" s="269" t="s">
        <v>1120</v>
      </c>
      <c r="B51" s="314" t="s">
        <v>30</v>
      </c>
      <c r="C51" s="269" t="s">
        <v>60</v>
      </c>
      <c r="D51" s="315" t="s">
        <v>1123</v>
      </c>
      <c r="E51" s="89">
        <v>2</v>
      </c>
      <c r="F51" s="89">
        <v>5</v>
      </c>
      <c r="G51" s="89">
        <v>1000</v>
      </c>
      <c r="H51" s="269">
        <v>0</v>
      </c>
      <c r="I51" s="314">
        <f>1.8 * MIN(6, MAX(E51,F51)) + 0.45 * MIN(6, MIN(E51,F51)) + IF(E51&gt;6, (E51-6)*0.2) + IF(F51&gt;6, (F51-6)*0.2)</f>
        <v>9.9</v>
      </c>
      <c r="J51" s="316"/>
      <c r="K51" s="317"/>
      <c r="L51" s="317"/>
      <c r="M51" s="317"/>
      <c r="N51" s="317"/>
      <c r="O51" s="317"/>
      <c r="P51" s="317"/>
      <c r="Q51" s="317"/>
      <c r="R51" s="317"/>
      <c r="S51" s="317"/>
      <c r="T51" s="317"/>
      <c r="U51" s="317"/>
      <c r="V51" s="317"/>
      <c r="W51" s="89"/>
      <c r="X51" s="317"/>
      <c r="Y51" s="89"/>
      <c r="Z51" s="89"/>
      <c r="AA51" s="318"/>
    </row>
    <row r="52" spans="1:27" s="322" customFormat="1" ht="19.5" customHeight="1" x14ac:dyDescent="0.25">
      <c r="A52" s="322" t="s">
        <v>1120</v>
      </c>
      <c r="B52" s="331" t="s">
        <v>30</v>
      </c>
      <c r="C52" s="322" t="s">
        <v>60</v>
      </c>
      <c r="D52" s="320" t="s">
        <v>1124</v>
      </c>
      <c r="E52" s="321">
        <v>4</v>
      </c>
      <c r="F52" s="321">
        <v>3</v>
      </c>
      <c r="G52" s="321">
        <v>1000</v>
      </c>
      <c r="H52" s="322">
        <v>0</v>
      </c>
      <c r="I52" s="314">
        <f>1.8 * MIN(6, MAX(E52,F52)) + 0.45 * MIN(6, MIN(E52,F52)) + IF(E52&gt;6, (E52-6)*0.2) + IF(F52&gt;6, (F52-6)*0.2)</f>
        <v>8.5500000000000007</v>
      </c>
      <c r="J52" s="323"/>
      <c r="K52" s="324"/>
      <c r="L52" s="324"/>
      <c r="M52" s="324"/>
      <c r="N52" s="324"/>
      <c r="O52" s="324"/>
      <c r="P52" s="324"/>
      <c r="Q52" s="324"/>
      <c r="R52" s="324"/>
      <c r="S52" s="324"/>
      <c r="T52" s="324"/>
      <c r="U52" s="324"/>
      <c r="V52" s="324"/>
      <c r="W52" s="321"/>
      <c r="X52" s="324"/>
      <c r="Y52" s="321"/>
      <c r="Z52" s="321"/>
      <c r="AA52" s="325"/>
    </row>
    <row r="53" spans="1:27" s="319" customFormat="1" ht="19.5" customHeight="1" x14ac:dyDescent="0.25">
      <c r="A53" s="319" t="s">
        <v>100</v>
      </c>
      <c r="B53" s="326" t="s">
        <v>98</v>
      </c>
      <c r="C53" s="319" t="s">
        <v>60</v>
      </c>
      <c r="D53" s="327" t="s">
        <v>150</v>
      </c>
      <c r="E53" s="328">
        <v>3</v>
      </c>
      <c r="F53" s="328"/>
      <c r="G53" s="328">
        <v>300</v>
      </c>
      <c r="H53" s="319">
        <v>10</v>
      </c>
      <c r="I53" s="326">
        <v>5</v>
      </c>
      <c r="J53" s="329"/>
      <c r="K53" s="330"/>
      <c r="L53" s="330"/>
      <c r="M53" s="330"/>
      <c r="N53" s="330"/>
      <c r="O53" s="330">
        <v>0.15</v>
      </c>
      <c r="P53" s="330"/>
      <c r="Q53" s="330"/>
      <c r="R53" s="330">
        <v>-0.9</v>
      </c>
      <c r="S53" s="330"/>
      <c r="T53" s="330"/>
      <c r="U53" s="330"/>
      <c r="V53" s="330"/>
      <c r="W53" s="89"/>
      <c r="X53" s="317"/>
      <c r="Y53" s="328"/>
      <c r="Z53" s="328"/>
      <c r="AA53" s="318"/>
    </row>
    <row r="54" spans="1:27" ht="19.5" customHeight="1" x14ac:dyDescent="0.25">
      <c r="A54" s="269" t="s">
        <v>100</v>
      </c>
      <c r="B54" s="314" t="s">
        <v>98</v>
      </c>
      <c r="C54" s="269" t="s">
        <v>60</v>
      </c>
      <c r="D54" s="315" t="s">
        <v>1074</v>
      </c>
      <c r="F54" s="89">
        <v>3</v>
      </c>
      <c r="G54" s="89">
        <v>300</v>
      </c>
      <c r="H54" s="269">
        <v>10</v>
      </c>
      <c r="I54" s="314">
        <v>5</v>
      </c>
      <c r="J54" s="316"/>
      <c r="K54" s="317"/>
      <c r="L54" s="317"/>
      <c r="M54" s="317"/>
      <c r="N54" s="317"/>
      <c r="O54" s="317"/>
      <c r="P54" s="317"/>
      <c r="Q54" s="317"/>
      <c r="R54" s="317"/>
      <c r="S54" s="317"/>
      <c r="T54" s="317"/>
      <c r="U54" s="317"/>
      <c r="V54" s="317"/>
      <c r="W54" s="89"/>
      <c r="X54" s="317"/>
      <c r="Y54" s="89"/>
      <c r="Z54" s="89"/>
      <c r="AA54" s="318"/>
    </row>
    <row r="55" spans="1:27" ht="19.5" customHeight="1" x14ac:dyDescent="0.25">
      <c r="A55" s="269" t="s">
        <v>100</v>
      </c>
      <c r="B55" s="314" t="s">
        <v>98</v>
      </c>
      <c r="C55" s="269" t="s">
        <v>60</v>
      </c>
      <c r="D55" s="315" t="s">
        <v>1075</v>
      </c>
      <c r="E55" s="89">
        <v>3</v>
      </c>
      <c r="F55" s="89">
        <v>5</v>
      </c>
      <c r="G55" s="89">
        <v>1025</v>
      </c>
      <c r="H55" s="269">
        <v>30</v>
      </c>
      <c r="I55" s="314">
        <f>1.8 * MIN(6, MAX(E55,F55)) + 0.45 * MIN(6, MIN(E55,F55)) + IF(E55&gt;6, (E55-6)*0.2) + IF(F55&gt;6, (F55-6)*0.2)</f>
        <v>10.35</v>
      </c>
      <c r="J55" s="316"/>
      <c r="K55" s="317"/>
      <c r="L55" s="317"/>
      <c r="M55" s="317"/>
      <c r="N55" s="317"/>
      <c r="O55" s="317"/>
      <c r="P55" s="317"/>
      <c r="Q55" s="317"/>
      <c r="R55" s="317"/>
      <c r="S55" s="317"/>
      <c r="T55" s="317"/>
      <c r="U55" s="317"/>
      <c r="V55" s="317"/>
      <c r="W55" s="89"/>
      <c r="X55" s="317"/>
      <c r="Y55" s="89"/>
      <c r="Z55" s="89"/>
      <c r="AA55" s="318"/>
    </row>
    <row r="56" spans="1:27" s="322" customFormat="1" ht="19.5" customHeight="1" x14ac:dyDescent="0.25">
      <c r="A56" s="322" t="s">
        <v>100</v>
      </c>
      <c r="B56" s="331" t="s">
        <v>98</v>
      </c>
      <c r="C56" s="322" t="s">
        <v>60</v>
      </c>
      <c r="D56" s="320" t="s">
        <v>1076</v>
      </c>
      <c r="E56" s="321">
        <v>6</v>
      </c>
      <c r="F56" s="321">
        <v>0</v>
      </c>
      <c r="G56" s="321">
        <v>1175</v>
      </c>
      <c r="H56" s="322">
        <v>40</v>
      </c>
      <c r="I56" s="314">
        <f>1.8 * MIN(6, MAX(E56,F56)) + 0.45 * MIN(6, MIN(E56,F56)) + IF(E56&gt;6, (E56-6)*0.2) + IF(F56&gt;6, (F56-6)*0.2)</f>
        <v>10.8</v>
      </c>
      <c r="J56" s="323"/>
      <c r="K56" s="324"/>
      <c r="L56" s="324"/>
      <c r="M56" s="324"/>
      <c r="N56" s="324"/>
      <c r="O56" s="324"/>
      <c r="P56" s="324"/>
      <c r="Q56" s="324"/>
      <c r="R56" s="324"/>
      <c r="S56" s="324"/>
      <c r="T56" s="324"/>
      <c r="U56" s="324"/>
      <c r="V56" s="324"/>
      <c r="W56" s="321"/>
      <c r="X56" s="324"/>
      <c r="Y56" s="321"/>
      <c r="Z56" s="321"/>
      <c r="AA56" s="325"/>
    </row>
    <row r="57" spans="1:27" s="319" customFormat="1" ht="19.5" customHeight="1" x14ac:dyDescent="0.25">
      <c r="A57" s="319" t="s">
        <v>101</v>
      </c>
      <c r="B57" s="326" t="s">
        <v>30</v>
      </c>
      <c r="C57" s="319" t="s">
        <v>243</v>
      </c>
      <c r="D57" s="327" t="s">
        <v>151</v>
      </c>
      <c r="E57" s="328">
        <v>3</v>
      </c>
      <c r="F57" s="328"/>
      <c r="G57" s="328">
        <v>325</v>
      </c>
      <c r="H57" s="319">
        <v>25</v>
      </c>
      <c r="I57" s="326">
        <v>5</v>
      </c>
      <c r="J57" s="329">
        <v>0.1</v>
      </c>
      <c r="K57" s="330"/>
      <c r="L57" s="330"/>
      <c r="M57" s="330"/>
      <c r="N57" s="330"/>
      <c r="O57" s="330"/>
      <c r="P57" s="330"/>
      <c r="Q57" s="330"/>
      <c r="R57" s="330"/>
      <c r="S57" s="329">
        <v>0.05</v>
      </c>
      <c r="T57" s="330"/>
      <c r="U57" s="330"/>
      <c r="V57" s="330"/>
      <c r="W57" s="89"/>
      <c r="X57" s="317"/>
      <c r="Y57" s="328"/>
      <c r="Z57" s="328"/>
      <c r="AA57" s="318"/>
    </row>
    <row r="58" spans="1:27" ht="19.5" customHeight="1" x14ac:dyDescent="0.25">
      <c r="A58" s="269" t="s">
        <v>101</v>
      </c>
      <c r="B58" s="314" t="s">
        <v>30</v>
      </c>
      <c r="C58" s="269" t="s">
        <v>243</v>
      </c>
      <c r="D58" s="315" t="s">
        <v>152</v>
      </c>
      <c r="F58" s="89">
        <v>3</v>
      </c>
      <c r="G58" s="89">
        <v>250</v>
      </c>
      <c r="H58" s="269">
        <v>0</v>
      </c>
      <c r="I58" s="314">
        <v>5</v>
      </c>
      <c r="J58" s="316"/>
      <c r="K58" s="317"/>
      <c r="L58" s="317"/>
      <c r="M58" s="317"/>
      <c r="N58" s="317"/>
      <c r="O58" s="317"/>
      <c r="P58" s="317"/>
      <c r="Q58" s="317"/>
      <c r="R58" s="317"/>
      <c r="S58" s="317"/>
      <c r="T58" s="317"/>
      <c r="U58" s="317"/>
      <c r="V58" s="317"/>
      <c r="W58" s="89"/>
      <c r="X58" s="317"/>
      <c r="Y58" s="89"/>
      <c r="Z58" s="89"/>
      <c r="AA58" s="318"/>
    </row>
    <row r="59" spans="1:27" ht="19.5" customHeight="1" x14ac:dyDescent="0.25">
      <c r="A59" s="269" t="s">
        <v>101</v>
      </c>
      <c r="B59" s="314" t="s">
        <v>30</v>
      </c>
      <c r="C59" s="269" t="s">
        <v>243</v>
      </c>
      <c r="D59" s="315" t="s">
        <v>153</v>
      </c>
      <c r="E59" s="89">
        <v>3</v>
      </c>
      <c r="F59" s="89">
        <v>4</v>
      </c>
      <c r="G59" s="89">
        <v>850</v>
      </c>
      <c r="H59" s="269">
        <v>55</v>
      </c>
      <c r="I59" s="314">
        <f>1.8 * MIN(6, MAX(E59,F59)) + 0.45 * MIN(6, MIN(E59,F59)) + IF(E59&gt;6, (E59-6)*0.2) + IF(F59&gt;6, (F59-6)*0.2)</f>
        <v>8.5500000000000007</v>
      </c>
      <c r="J59" s="316"/>
      <c r="K59" s="317"/>
      <c r="L59" s="317"/>
      <c r="M59" s="317"/>
      <c r="N59" s="317"/>
      <c r="O59" s="317"/>
      <c r="P59" s="317"/>
      <c r="Q59" s="317"/>
      <c r="R59" s="317"/>
      <c r="S59" s="317"/>
      <c r="T59" s="317"/>
      <c r="U59" s="317"/>
      <c r="V59" s="317"/>
      <c r="W59" s="89"/>
      <c r="X59" s="317"/>
      <c r="Y59" s="89"/>
      <c r="Z59" s="89"/>
      <c r="AA59" s="318"/>
    </row>
    <row r="60" spans="1:27" s="322" customFormat="1" ht="19.5" customHeight="1" x14ac:dyDescent="0.25">
      <c r="A60" s="322" t="s">
        <v>101</v>
      </c>
      <c r="B60" s="331" t="s">
        <v>30</v>
      </c>
      <c r="C60" s="322" t="s">
        <v>243</v>
      </c>
      <c r="D60" s="320" t="s">
        <v>154</v>
      </c>
      <c r="E60" s="321">
        <v>6</v>
      </c>
      <c r="F60" s="321">
        <v>0</v>
      </c>
      <c r="G60" s="321">
        <v>1115</v>
      </c>
      <c r="H60" s="322">
        <v>110</v>
      </c>
      <c r="I60" s="314">
        <f>1.8 * MIN(6, MAX(E60,F60)) + 0.45 * MIN(6, MIN(E60,F60)) + IF(E60&gt;6, (E60-6)*0.2) + IF(F60&gt;6, (F60-6)*0.2)</f>
        <v>10.8</v>
      </c>
      <c r="J60" s="323"/>
      <c r="K60" s="324"/>
      <c r="L60" s="324"/>
      <c r="M60" s="324"/>
      <c r="N60" s="324"/>
      <c r="O60" s="324"/>
      <c r="P60" s="324"/>
      <c r="Q60" s="324"/>
      <c r="R60" s="324"/>
      <c r="S60" s="324"/>
      <c r="T60" s="324"/>
      <c r="U60" s="324"/>
      <c r="V60" s="324"/>
      <c r="W60" s="321"/>
      <c r="X60" s="324"/>
      <c r="Y60" s="321"/>
      <c r="Z60" s="321"/>
      <c r="AA60" s="325"/>
    </row>
    <row r="61" spans="1:27" s="319" customFormat="1" ht="19.5" customHeight="1" x14ac:dyDescent="0.25">
      <c r="A61" s="319" t="s">
        <v>102</v>
      </c>
      <c r="B61" s="326" t="s">
        <v>98</v>
      </c>
      <c r="C61" s="319" t="s">
        <v>245</v>
      </c>
      <c r="D61" s="327" t="s">
        <v>155</v>
      </c>
      <c r="E61" s="328">
        <v>2.5</v>
      </c>
      <c r="F61" s="328"/>
      <c r="G61" s="328">
        <v>295</v>
      </c>
      <c r="H61" s="319">
        <v>25</v>
      </c>
      <c r="I61" s="326">
        <v>5</v>
      </c>
      <c r="J61" s="329">
        <v>0.3</v>
      </c>
      <c r="K61" s="330">
        <v>0.15</v>
      </c>
      <c r="L61" s="330"/>
      <c r="M61" s="330"/>
      <c r="N61" s="330"/>
      <c r="O61" s="330"/>
      <c r="P61" s="330"/>
      <c r="Q61" s="330"/>
      <c r="R61" s="330">
        <v>-0.25</v>
      </c>
      <c r="S61" s="330"/>
      <c r="T61" s="330"/>
      <c r="U61" s="330"/>
      <c r="V61" s="330"/>
      <c r="W61" s="89"/>
      <c r="X61" s="317"/>
      <c r="Y61" s="328"/>
      <c r="Z61" s="328"/>
      <c r="AA61" s="318"/>
    </row>
    <row r="62" spans="1:27" ht="19.5" customHeight="1" x14ac:dyDescent="0.25">
      <c r="A62" s="269" t="s">
        <v>102</v>
      </c>
      <c r="B62" s="314" t="s">
        <v>98</v>
      </c>
      <c r="C62" s="269" t="s">
        <v>245</v>
      </c>
      <c r="D62" s="315" t="s">
        <v>1111</v>
      </c>
      <c r="F62" s="89">
        <v>2.5</v>
      </c>
      <c r="G62" s="89">
        <v>325</v>
      </c>
      <c r="H62" s="269">
        <v>25</v>
      </c>
      <c r="I62" s="314">
        <v>5</v>
      </c>
      <c r="J62" s="316"/>
      <c r="K62" s="317"/>
      <c r="L62" s="317"/>
      <c r="M62" s="317"/>
      <c r="N62" s="317"/>
      <c r="O62" s="317"/>
      <c r="P62" s="317"/>
      <c r="Q62" s="317"/>
      <c r="R62" s="317"/>
      <c r="S62" s="317"/>
      <c r="T62" s="317"/>
      <c r="U62" s="317"/>
      <c r="V62" s="317"/>
      <c r="W62" s="89"/>
      <c r="X62" s="317"/>
      <c r="Y62" s="89"/>
      <c r="Z62" s="89"/>
      <c r="AA62" s="318"/>
    </row>
    <row r="63" spans="1:27" ht="19.5" customHeight="1" x14ac:dyDescent="0.25">
      <c r="A63" s="269" t="s">
        <v>102</v>
      </c>
      <c r="B63" s="314" t="s">
        <v>98</v>
      </c>
      <c r="C63" s="269" t="s">
        <v>245</v>
      </c>
      <c r="D63" s="315" t="s">
        <v>1112</v>
      </c>
      <c r="E63" s="89">
        <v>3</v>
      </c>
      <c r="F63" s="89">
        <v>3</v>
      </c>
      <c r="G63" s="89">
        <v>1375</v>
      </c>
      <c r="H63" s="269">
        <v>0</v>
      </c>
      <c r="I63" s="314">
        <f>1.8 * MIN(6, MAX(E63,F63)) + 0.45 * MIN(6, MIN(E63,F63)) + IF(E63&gt;6, (E63-6)*0.2) + IF(F63&gt;6, (F63-6)*0.2)</f>
        <v>6.75</v>
      </c>
      <c r="J63" s="316"/>
      <c r="K63" s="317"/>
      <c r="L63" s="317"/>
      <c r="M63" s="317"/>
      <c r="N63" s="317"/>
      <c r="O63" s="317"/>
      <c r="P63" s="317"/>
      <c r="Q63" s="317"/>
      <c r="R63" s="317"/>
      <c r="S63" s="317"/>
      <c r="T63" s="317"/>
      <c r="U63" s="317"/>
      <c r="V63" s="317"/>
      <c r="W63" s="89"/>
      <c r="X63" s="317"/>
      <c r="Y63" s="89"/>
      <c r="Z63" s="89"/>
      <c r="AA63" s="318"/>
    </row>
    <row r="64" spans="1:27" s="322" customFormat="1" ht="19.5" customHeight="1" x14ac:dyDescent="0.25">
      <c r="A64" s="322" t="s">
        <v>102</v>
      </c>
      <c r="B64" s="331" t="s">
        <v>98</v>
      </c>
      <c r="C64" s="322" t="s">
        <v>245</v>
      </c>
      <c r="D64" s="320" t="s">
        <v>156</v>
      </c>
      <c r="E64" s="321">
        <v>3</v>
      </c>
      <c r="F64" s="321">
        <v>2</v>
      </c>
      <c r="G64" s="321">
        <v>990</v>
      </c>
      <c r="H64" s="322">
        <v>50</v>
      </c>
      <c r="I64" s="314">
        <f>1.8 * MIN(6, MAX(E64,F64)) + 0.45 * MIN(6, MIN(E64,F64)) + IF(E64&gt;6, (E64-6)*0.2) + IF(F64&gt;6, (F64-6)*0.2)</f>
        <v>6.3000000000000007</v>
      </c>
      <c r="J64" s="323"/>
      <c r="K64" s="324"/>
      <c r="L64" s="324"/>
      <c r="M64" s="324"/>
      <c r="N64" s="324"/>
      <c r="O64" s="324"/>
      <c r="P64" s="324"/>
      <c r="Q64" s="324"/>
      <c r="R64" s="324"/>
      <c r="S64" s="324"/>
      <c r="T64" s="324"/>
      <c r="U64" s="324"/>
      <c r="V64" s="324"/>
      <c r="W64" s="321"/>
      <c r="X64" s="324"/>
      <c r="Y64" s="321"/>
      <c r="Z64" s="321"/>
      <c r="AA64" s="325"/>
    </row>
    <row r="65" spans="1:27" s="319" customFormat="1" ht="19.5" customHeight="1" x14ac:dyDescent="0.25">
      <c r="A65" s="319" t="s">
        <v>103</v>
      </c>
      <c r="B65" s="326" t="s">
        <v>30</v>
      </c>
      <c r="C65" s="319" t="s">
        <v>62</v>
      </c>
      <c r="D65" s="327" t="s">
        <v>157</v>
      </c>
      <c r="E65" s="328">
        <v>3</v>
      </c>
      <c r="F65" s="328"/>
      <c r="G65" s="328">
        <v>275</v>
      </c>
      <c r="H65" s="319">
        <v>0</v>
      </c>
      <c r="I65" s="326">
        <v>5</v>
      </c>
      <c r="J65" s="329">
        <v>0.05</v>
      </c>
      <c r="K65" s="330"/>
      <c r="L65" s="330"/>
      <c r="M65" s="330"/>
      <c r="N65" s="330"/>
      <c r="O65" s="330"/>
      <c r="P65" s="330"/>
      <c r="Q65" s="330"/>
      <c r="R65" s="330">
        <v>-0.15</v>
      </c>
      <c r="S65" s="330"/>
      <c r="T65" s="330"/>
      <c r="U65" s="330">
        <v>0.1</v>
      </c>
      <c r="V65" s="330"/>
      <c r="W65" s="89"/>
      <c r="X65" s="317"/>
      <c r="Y65" s="328"/>
      <c r="Z65" s="328"/>
      <c r="AA65" s="318"/>
    </row>
    <row r="66" spans="1:27" ht="19.5" customHeight="1" x14ac:dyDescent="0.25">
      <c r="A66" s="269" t="s">
        <v>103</v>
      </c>
      <c r="B66" s="314" t="s">
        <v>30</v>
      </c>
      <c r="C66" s="269" t="s">
        <v>62</v>
      </c>
      <c r="D66" s="315" t="s">
        <v>158</v>
      </c>
      <c r="F66" s="89">
        <v>3</v>
      </c>
      <c r="G66" s="89">
        <v>275</v>
      </c>
      <c r="H66" s="269">
        <v>0</v>
      </c>
      <c r="I66" s="314">
        <v>5</v>
      </c>
      <c r="J66" s="316"/>
      <c r="K66" s="317"/>
      <c r="L66" s="317"/>
      <c r="M66" s="317"/>
      <c r="N66" s="317"/>
      <c r="O66" s="317"/>
      <c r="P66" s="317"/>
      <c r="Q66" s="317"/>
      <c r="R66" s="317"/>
      <c r="S66" s="317"/>
      <c r="T66" s="317"/>
      <c r="U66" s="317"/>
      <c r="V66" s="317"/>
      <c r="W66" s="89"/>
      <c r="X66" s="317"/>
      <c r="Y66" s="89"/>
      <c r="Z66" s="89"/>
      <c r="AA66" s="318"/>
    </row>
    <row r="67" spans="1:27" ht="19.5" customHeight="1" x14ac:dyDescent="0.25">
      <c r="A67" s="269" t="s">
        <v>103</v>
      </c>
      <c r="B67" s="314" t="s">
        <v>30</v>
      </c>
      <c r="C67" s="269" t="s">
        <v>62</v>
      </c>
      <c r="D67" s="315" t="s">
        <v>159</v>
      </c>
      <c r="E67" s="89">
        <v>4</v>
      </c>
      <c r="F67" s="89">
        <v>4</v>
      </c>
      <c r="G67" s="89">
        <v>900</v>
      </c>
      <c r="H67" s="269">
        <v>0</v>
      </c>
      <c r="I67" s="314">
        <f>1.8 * MIN(6, MAX(E67,F67)) + 0.45 * MIN(6, MIN(E67,F67)) + IF(E67&gt;6, (E67-6)*0.2) + IF(F67&gt;6, (F67-6)*0.2)</f>
        <v>9</v>
      </c>
      <c r="J67" s="316"/>
      <c r="K67" s="317"/>
      <c r="L67" s="317"/>
      <c r="M67" s="317"/>
      <c r="N67" s="317"/>
      <c r="O67" s="317"/>
      <c r="P67" s="317"/>
      <c r="Q67" s="317"/>
      <c r="R67" s="317"/>
      <c r="S67" s="317"/>
      <c r="T67" s="317"/>
      <c r="U67" s="317"/>
      <c r="V67" s="317"/>
      <c r="W67" s="89"/>
      <c r="X67" s="317"/>
      <c r="Y67" s="89"/>
      <c r="Z67" s="89"/>
      <c r="AA67" s="318"/>
    </row>
    <row r="68" spans="1:27" s="322" customFormat="1" ht="19.5" customHeight="1" x14ac:dyDescent="0.25">
      <c r="A68" s="322" t="s">
        <v>103</v>
      </c>
      <c r="B68" s="331" t="s">
        <v>30</v>
      </c>
      <c r="C68" s="322" t="s">
        <v>62</v>
      </c>
      <c r="D68" s="320" t="s">
        <v>160</v>
      </c>
      <c r="E68" s="321">
        <v>6</v>
      </c>
      <c r="F68" s="321">
        <v>2</v>
      </c>
      <c r="G68" s="321">
        <v>1090</v>
      </c>
      <c r="H68" s="322">
        <v>0</v>
      </c>
      <c r="I68" s="331">
        <f>1.8 * MIN(6, MAX(E68,F68)) + 0.45 * MIN(6, MIN(E68,F68)) + IF(E68&gt;6, (E68-6)*0.2) + IF(F68&gt;6, (F68-6)*0.2)</f>
        <v>11.700000000000001</v>
      </c>
      <c r="J68" s="323"/>
      <c r="K68" s="324"/>
      <c r="L68" s="324"/>
      <c r="M68" s="324"/>
      <c r="N68" s="324"/>
      <c r="O68" s="324"/>
      <c r="P68" s="324"/>
      <c r="Q68" s="324"/>
      <c r="R68" s="324"/>
      <c r="S68" s="324"/>
      <c r="T68" s="324"/>
      <c r="U68" s="324"/>
      <c r="V68" s="324"/>
      <c r="W68" s="321"/>
      <c r="X68" s="324"/>
      <c r="Y68" s="321"/>
      <c r="Z68" s="321"/>
      <c r="AA68" s="325"/>
    </row>
    <row r="69" spans="1:27" s="319" customFormat="1" ht="19.5" customHeight="1" x14ac:dyDescent="0.25">
      <c r="A69" s="319" t="s">
        <v>330</v>
      </c>
      <c r="B69" s="326" t="s">
        <v>30</v>
      </c>
      <c r="C69" s="319" t="s">
        <v>246</v>
      </c>
      <c r="D69" s="327" t="s">
        <v>331</v>
      </c>
      <c r="E69" s="328">
        <v>3</v>
      </c>
      <c r="F69" s="328"/>
      <c r="G69" s="328">
        <v>300</v>
      </c>
      <c r="H69" s="319">
        <v>0</v>
      </c>
      <c r="I69" s="326">
        <v>5</v>
      </c>
      <c r="J69" s="329"/>
      <c r="K69" s="330"/>
      <c r="L69" s="330"/>
      <c r="M69" s="330"/>
      <c r="N69" s="330">
        <v>-0.1</v>
      </c>
      <c r="O69" s="330"/>
      <c r="P69" s="330"/>
      <c r="Q69" s="330"/>
      <c r="R69" s="330">
        <v>-0.5</v>
      </c>
      <c r="S69" s="330">
        <v>0.05</v>
      </c>
      <c r="T69" s="330"/>
      <c r="U69" s="330"/>
      <c r="V69" s="330"/>
      <c r="W69" s="89"/>
      <c r="X69" s="317"/>
      <c r="Y69" s="328"/>
      <c r="Z69" s="328"/>
      <c r="AA69" s="318"/>
    </row>
    <row r="70" spans="1:27" ht="19.5" customHeight="1" x14ac:dyDescent="0.25">
      <c r="A70" s="269" t="s">
        <v>330</v>
      </c>
      <c r="B70" s="314" t="s">
        <v>30</v>
      </c>
      <c r="C70" s="269" t="s">
        <v>246</v>
      </c>
      <c r="D70" s="315" t="s">
        <v>332</v>
      </c>
      <c r="F70" s="89">
        <v>3</v>
      </c>
      <c r="G70" s="89">
        <v>350</v>
      </c>
      <c r="H70" s="269">
        <v>25</v>
      </c>
      <c r="I70" s="314">
        <v>5</v>
      </c>
      <c r="J70" s="316"/>
      <c r="K70" s="317"/>
      <c r="L70" s="317"/>
      <c r="M70" s="317"/>
      <c r="N70" s="317"/>
      <c r="O70" s="317"/>
      <c r="P70" s="317"/>
      <c r="Q70" s="317"/>
      <c r="R70" s="317"/>
      <c r="S70" s="317"/>
      <c r="T70" s="317"/>
      <c r="U70" s="317"/>
      <c r="V70" s="317"/>
      <c r="W70" s="89"/>
      <c r="X70" s="317"/>
      <c r="Y70" s="89"/>
      <c r="Z70" s="89"/>
      <c r="AA70" s="318"/>
    </row>
    <row r="71" spans="1:27" ht="19.5" customHeight="1" x14ac:dyDescent="0.25">
      <c r="A71" s="269" t="s">
        <v>330</v>
      </c>
      <c r="B71" s="314" t="s">
        <v>30</v>
      </c>
      <c r="C71" s="269" t="s">
        <v>246</v>
      </c>
      <c r="D71" s="315" t="s">
        <v>1113</v>
      </c>
      <c r="E71" s="89">
        <v>3</v>
      </c>
      <c r="F71" s="89">
        <v>3</v>
      </c>
      <c r="G71" s="89">
        <v>965</v>
      </c>
      <c r="H71" s="269">
        <v>100</v>
      </c>
      <c r="I71" s="314">
        <f>1.8 * MIN(6, MAX(E71,F71)) + 0.45 * MIN(6, MIN(E71,F71)) + IF(E71&gt;6, (E71-6)*0.2) + IF(F71&gt;6, (F71-6)*0.2)</f>
        <v>6.75</v>
      </c>
      <c r="J71" s="316"/>
      <c r="K71" s="317"/>
      <c r="L71" s="317"/>
      <c r="M71" s="317"/>
      <c r="N71" s="317"/>
      <c r="O71" s="317"/>
      <c r="P71" s="317"/>
      <c r="Q71" s="317"/>
      <c r="R71" s="317"/>
      <c r="S71" s="317"/>
      <c r="T71" s="317"/>
      <c r="U71" s="317"/>
      <c r="V71" s="317"/>
      <c r="W71" s="89"/>
      <c r="X71" s="317"/>
      <c r="Y71" s="89"/>
      <c r="Z71" s="89"/>
      <c r="AA71" s="318"/>
    </row>
    <row r="72" spans="1:27" s="322" customFormat="1" ht="19.5" customHeight="1" x14ac:dyDescent="0.25">
      <c r="A72" s="322" t="s">
        <v>330</v>
      </c>
      <c r="B72" s="331" t="s">
        <v>30</v>
      </c>
      <c r="C72" s="322" t="s">
        <v>246</v>
      </c>
      <c r="D72" s="320" t="s">
        <v>334</v>
      </c>
      <c r="E72" s="321">
        <v>4</v>
      </c>
      <c r="F72" s="321">
        <v>2</v>
      </c>
      <c r="G72" s="321">
        <v>1100</v>
      </c>
      <c r="H72" s="322">
        <v>0</v>
      </c>
      <c r="I72" s="331">
        <f>1.8 * MIN(6, MAX(E72,F72)) + 0.45 * MIN(6, MIN(E72,F72)) + IF(E72&gt;6, (E72-6)*0.2) + IF(F72&gt;6, (F72-6)*0.2)</f>
        <v>8.1</v>
      </c>
      <c r="J72" s="323"/>
      <c r="K72" s="324"/>
      <c r="L72" s="324"/>
      <c r="M72" s="324"/>
      <c r="N72" s="324"/>
      <c r="O72" s="324"/>
      <c r="P72" s="324"/>
      <c r="Q72" s="324"/>
      <c r="R72" s="324"/>
      <c r="S72" s="324"/>
      <c r="T72" s="324"/>
      <c r="U72" s="324"/>
      <c r="V72" s="324"/>
      <c r="W72" s="321"/>
      <c r="X72" s="324"/>
      <c r="Y72" s="321"/>
      <c r="Z72" s="321"/>
      <c r="AA72" s="325"/>
    </row>
    <row r="73" spans="1:27" ht="19.5" customHeight="1" x14ac:dyDescent="0.25">
      <c r="A73" s="319" t="s">
        <v>344</v>
      </c>
      <c r="B73" s="326" t="s">
        <v>98</v>
      </c>
      <c r="C73" s="319" t="s">
        <v>243</v>
      </c>
      <c r="D73" s="327" t="s">
        <v>338</v>
      </c>
      <c r="E73" s="328">
        <v>3</v>
      </c>
      <c r="F73" s="328"/>
      <c r="G73" s="328">
        <v>300</v>
      </c>
      <c r="H73" s="319">
        <v>0</v>
      </c>
      <c r="I73" s="326">
        <v>5</v>
      </c>
      <c r="J73" s="329">
        <v>0.05</v>
      </c>
      <c r="K73" s="330"/>
      <c r="L73" s="330"/>
      <c r="M73" s="330"/>
      <c r="N73" s="330">
        <v>-0.1</v>
      </c>
      <c r="O73" s="330"/>
      <c r="P73" s="330"/>
      <c r="Q73" s="330">
        <v>0.15</v>
      </c>
      <c r="R73" s="330"/>
      <c r="S73" s="330"/>
      <c r="T73" s="330"/>
      <c r="U73" s="330"/>
      <c r="V73" s="330"/>
      <c r="W73" s="89"/>
      <c r="X73" s="317"/>
      <c r="Y73" s="316">
        <v>-0.1</v>
      </c>
      <c r="Z73" s="89"/>
      <c r="AA73" s="335"/>
    </row>
    <row r="74" spans="1:27" ht="19.5" customHeight="1" x14ac:dyDescent="0.25">
      <c r="A74" s="269" t="s">
        <v>344</v>
      </c>
      <c r="B74" s="314" t="s">
        <v>98</v>
      </c>
      <c r="C74" s="269" t="s">
        <v>243</v>
      </c>
      <c r="D74" s="315" t="s">
        <v>339</v>
      </c>
      <c r="F74" s="89">
        <v>3</v>
      </c>
      <c r="G74" s="89">
        <v>300</v>
      </c>
      <c r="H74" s="269">
        <v>0</v>
      </c>
      <c r="I74" s="314">
        <v>5</v>
      </c>
      <c r="J74" s="316"/>
      <c r="K74" s="317"/>
      <c r="L74" s="317"/>
      <c r="M74" s="317"/>
      <c r="N74" s="317"/>
      <c r="O74" s="317"/>
      <c r="P74" s="317"/>
      <c r="Q74" s="317"/>
      <c r="R74" s="317"/>
      <c r="S74" s="317"/>
      <c r="T74" s="317"/>
      <c r="U74" s="317"/>
      <c r="V74" s="317"/>
      <c r="W74" s="89"/>
      <c r="X74" s="317"/>
      <c r="Y74" s="89"/>
      <c r="Z74" s="89"/>
      <c r="AA74" s="318"/>
    </row>
    <row r="75" spans="1:27" ht="19.5" customHeight="1" x14ac:dyDescent="0.25">
      <c r="A75" s="269" t="s">
        <v>344</v>
      </c>
      <c r="B75" s="314" t="s">
        <v>98</v>
      </c>
      <c r="C75" s="269" t="s">
        <v>243</v>
      </c>
      <c r="D75" s="315" t="s">
        <v>340</v>
      </c>
      <c r="E75" s="89">
        <v>0</v>
      </c>
      <c r="F75" s="89">
        <v>4.5</v>
      </c>
      <c r="G75" s="89">
        <v>925</v>
      </c>
      <c r="H75" s="269">
        <v>0</v>
      </c>
      <c r="I75" s="314">
        <f>1.8 * MIN(6, MAX(E75,F75)) + 0.45 * MIN(6, MIN(E75,F75)) + IF(E75&gt;6, (E75-6)*0.2) + IF(F75&gt;6, (F75-6)*0.2)</f>
        <v>8.1</v>
      </c>
      <c r="J75" s="316"/>
      <c r="K75" s="317"/>
      <c r="L75" s="317"/>
      <c r="M75" s="317"/>
      <c r="N75" s="317"/>
      <c r="O75" s="317"/>
      <c r="P75" s="317"/>
      <c r="Q75" s="317"/>
      <c r="R75" s="317"/>
      <c r="S75" s="317"/>
      <c r="T75" s="317"/>
      <c r="U75" s="317"/>
      <c r="V75" s="317"/>
      <c r="W75" s="89"/>
      <c r="X75" s="317"/>
      <c r="Y75" s="89"/>
      <c r="Z75" s="89"/>
      <c r="AA75" s="318"/>
    </row>
    <row r="76" spans="1:27" ht="19.5" customHeight="1" x14ac:dyDescent="0.25">
      <c r="A76" s="322" t="s">
        <v>344</v>
      </c>
      <c r="B76" s="331" t="s">
        <v>98</v>
      </c>
      <c r="C76" s="322" t="s">
        <v>243</v>
      </c>
      <c r="D76" s="320" t="s">
        <v>341</v>
      </c>
      <c r="E76" s="321">
        <v>5</v>
      </c>
      <c r="F76" s="321">
        <v>3</v>
      </c>
      <c r="G76" s="321">
        <v>950</v>
      </c>
      <c r="H76" s="322">
        <v>0</v>
      </c>
      <c r="I76" s="331">
        <f>1.8 * MIN(6, MAX(E76,F76)) + 0.45 * MIN(6, MIN(E76,F76)) + IF(E76&gt;6, (E76-6)*0.2) + IF(F76&gt;6, (F76-6)*0.2)</f>
        <v>10.35</v>
      </c>
      <c r="J76" s="323"/>
      <c r="K76" s="324"/>
      <c r="L76" s="324"/>
      <c r="M76" s="324"/>
      <c r="N76" s="324"/>
      <c r="O76" s="324"/>
      <c r="P76" s="324"/>
      <c r="Q76" s="324"/>
      <c r="R76" s="324"/>
      <c r="S76" s="324"/>
      <c r="T76" s="324"/>
      <c r="U76" s="324"/>
      <c r="V76" s="324"/>
      <c r="W76" s="321"/>
      <c r="X76" s="324"/>
      <c r="Y76" s="321"/>
      <c r="Z76" s="89"/>
      <c r="AA76" s="325"/>
    </row>
    <row r="77" spans="1:27" ht="19.5" customHeight="1" x14ac:dyDescent="0.25">
      <c r="A77" s="319" t="s">
        <v>143</v>
      </c>
      <c r="B77" s="326" t="s">
        <v>30</v>
      </c>
      <c r="C77" s="332" t="s">
        <v>58</v>
      </c>
      <c r="D77" s="319" t="s">
        <v>357</v>
      </c>
      <c r="E77" s="328">
        <v>4</v>
      </c>
      <c r="F77" s="328"/>
      <c r="G77" s="328">
        <v>385</v>
      </c>
      <c r="H77" s="319">
        <v>30</v>
      </c>
      <c r="I77" s="326">
        <v>5</v>
      </c>
      <c r="J77" s="329"/>
      <c r="K77" s="330"/>
      <c r="L77" s="330"/>
      <c r="M77" s="330"/>
      <c r="N77" s="330">
        <v>0.5</v>
      </c>
      <c r="O77" s="330"/>
      <c r="P77" s="330"/>
      <c r="Q77" s="330"/>
      <c r="R77" s="330"/>
      <c r="S77" s="330"/>
      <c r="T77" s="330"/>
      <c r="U77" s="330"/>
      <c r="V77" s="330"/>
      <c r="W77" s="89"/>
      <c r="X77" s="317"/>
      <c r="Y77" s="89"/>
      <c r="Z77" s="328"/>
      <c r="AA77" s="318"/>
    </row>
    <row r="78" spans="1:27" ht="19.5" customHeight="1" x14ac:dyDescent="0.25">
      <c r="A78" s="269" t="s">
        <v>143</v>
      </c>
      <c r="B78" s="314" t="s">
        <v>30</v>
      </c>
      <c r="C78" s="333" t="s">
        <v>58</v>
      </c>
      <c r="D78" s="269" t="s">
        <v>326</v>
      </c>
      <c r="F78" s="89">
        <v>3</v>
      </c>
      <c r="G78" s="89">
        <v>300</v>
      </c>
      <c r="H78" s="269">
        <v>0</v>
      </c>
      <c r="I78" s="314">
        <v>5</v>
      </c>
      <c r="J78" s="316"/>
      <c r="K78" s="317"/>
      <c r="L78" s="317"/>
      <c r="M78" s="317"/>
      <c r="N78" s="317"/>
      <c r="O78" s="317"/>
      <c r="P78" s="317"/>
      <c r="Q78" s="317"/>
      <c r="R78" s="317"/>
      <c r="S78" s="317"/>
      <c r="T78" s="317"/>
      <c r="U78" s="317"/>
      <c r="V78" s="317"/>
      <c r="W78" s="89"/>
      <c r="X78" s="317"/>
      <c r="Y78" s="89"/>
      <c r="Z78" s="89"/>
      <c r="AA78" s="318"/>
    </row>
    <row r="79" spans="1:27" ht="19.5" customHeight="1" x14ac:dyDescent="0.25">
      <c r="A79" s="269" t="s">
        <v>143</v>
      </c>
      <c r="B79" s="314" t="s">
        <v>30</v>
      </c>
      <c r="C79" s="333" t="s">
        <v>58</v>
      </c>
      <c r="D79" s="269" t="s">
        <v>1115</v>
      </c>
      <c r="E79" s="89">
        <v>0</v>
      </c>
      <c r="F79" s="89">
        <v>5</v>
      </c>
      <c r="G79" s="89">
        <v>965</v>
      </c>
      <c r="H79" s="269">
        <v>0</v>
      </c>
      <c r="I79" s="314">
        <f>1.8 * MIN(6, MAX(E79,F79)) + 0.45 * MIN(6, MIN(E79,F79)) + IF(E79&gt;6, (E79-6)*0.2) + IF(F79&gt;6, (F79-6)*0.2)</f>
        <v>9</v>
      </c>
      <c r="J79" s="316"/>
      <c r="K79" s="317"/>
      <c r="L79" s="317"/>
      <c r="M79" s="317"/>
      <c r="N79" s="317"/>
      <c r="O79" s="317"/>
      <c r="P79" s="317"/>
      <c r="Q79" s="317"/>
      <c r="R79" s="317"/>
      <c r="S79" s="317"/>
      <c r="T79" s="317"/>
      <c r="U79" s="317"/>
      <c r="V79" s="317"/>
      <c r="W79" s="89"/>
      <c r="X79" s="317"/>
      <c r="Y79" s="89"/>
      <c r="Z79" s="89"/>
      <c r="AA79" s="318"/>
    </row>
    <row r="80" spans="1:27" ht="19.5" customHeight="1" x14ac:dyDescent="0.25">
      <c r="A80" s="322" t="s">
        <v>143</v>
      </c>
      <c r="B80" s="331" t="s">
        <v>30</v>
      </c>
      <c r="C80" s="334" t="s">
        <v>58</v>
      </c>
      <c r="D80" s="322" t="s">
        <v>358</v>
      </c>
      <c r="E80" s="321">
        <v>4</v>
      </c>
      <c r="F80" s="321">
        <v>3</v>
      </c>
      <c r="G80" s="321">
        <v>1150</v>
      </c>
      <c r="H80" s="322">
        <v>120</v>
      </c>
      <c r="I80" s="331">
        <f>1.8 * MIN(6, MAX(E80,F80)) + 0.45 * MIN(6, MIN(E80,F80)) + IF(E80&gt;6, (E80-6)*0.2) + IF(F80&gt;6, (F80-6)*0.2)</f>
        <v>8.5500000000000007</v>
      </c>
      <c r="J80" s="323"/>
      <c r="K80" s="324"/>
      <c r="L80" s="324"/>
      <c r="M80" s="324"/>
      <c r="N80" s="324"/>
      <c r="O80" s="324"/>
      <c r="P80" s="324"/>
      <c r="Q80" s="324"/>
      <c r="R80" s="324"/>
      <c r="S80" s="324"/>
      <c r="T80" s="324"/>
      <c r="U80" s="324"/>
      <c r="V80" s="324"/>
      <c r="W80" s="321"/>
      <c r="X80" s="324"/>
      <c r="Y80" s="321"/>
      <c r="Z80" s="321"/>
      <c r="AA80" s="325"/>
    </row>
    <row r="81" spans="1:27" ht="19.5" customHeight="1" x14ac:dyDescent="0.25">
      <c r="A81" s="319" t="s">
        <v>499</v>
      </c>
      <c r="B81" s="326" t="s">
        <v>30</v>
      </c>
      <c r="C81" s="332" t="s">
        <v>60</v>
      </c>
      <c r="D81" s="319" t="s">
        <v>422</v>
      </c>
      <c r="E81" s="328">
        <v>3</v>
      </c>
      <c r="F81" s="328"/>
      <c r="G81" s="328">
        <v>300</v>
      </c>
      <c r="H81" s="319">
        <v>0</v>
      </c>
      <c r="I81" s="326">
        <v>5</v>
      </c>
      <c r="J81" s="329"/>
      <c r="K81" s="330"/>
      <c r="L81" s="330"/>
      <c r="M81" s="330"/>
      <c r="N81" s="330"/>
      <c r="O81" s="330">
        <v>0.1</v>
      </c>
      <c r="P81" s="330"/>
      <c r="Q81" s="330"/>
      <c r="R81" s="330">
        <v>-0.2</v>
      </c>
      <c r="S81" s="330"/>
      <c r="T81" s="330"/>
      <c r="U81" s="330"/>
      <c r="V81" s="330"/>
      <c r="W81" s="89"/>
      <c r="X81" s="317"/>
      <c r="Y81" s="89"/>
      <c r="Z81" s="317">
        <v>0.15</v>
      </c>
      <c r="AA81" s="335"/>
    </row>
    <row r="82" spans="1:27" ht="19.5" customHeight="1" x14ac:dyDescent="0.25">
      <c r="A82" s="269" t="s">
        <v>499</v>
      </c>
      <c r="B82" s="314" t="s">
        <v>30</v>
      </c>
      <c r="C82" s="333" t="s">
        <v>60</v>
      </c>
      <c r="D82" s="269" t="s">
        <v>423</v>
      </c>
      <c r="F82" s="89">
        <v>3</v>
      </c>
      <c r="G82" s="89">
        <v>325</v>
      </c>
      <c r="H82" s="269">
        <v>8</v>
      </c>
      <c r="I82" s="314">
        <v>5</v>
      </c>
      <c r="J82" s="316"/>
      <c r="K82" s="317"/>
      <c r="L82" s="317"/>
      <c r="M82" s="317"/>
      <c r="N82" s="317"/>
      <c r="O82" s="317"/>
      <c r="P82" s="317"/>
      <c r="Q82" s="317"/>
      <c r="R82" s="317"/>
      <c r="S82" s="317"/>
      <c r="T82" s="317"/>
      <c r="U82" s="317"/>
      <c r="V82" s="317"/>
      <c r="W82" s="89"/>
      <c r="X82" s="317"/>
      <c r="Y82" s="89"/>
      <c r="Z82" s="89"/>
      <c r="AA82" s="318"/>
    </row>
    <row r="83" spans="1:27" ht="19.5" customHeight="1" x14ac:dyDescent="0.25">
      <c r="A83" s="269" t="s">
        <v>499</v>
      </c>
      <c r="B83" s="314" t="s">
        <v>30</v>
      </c>
      <c r="C83" s="333" t="s">
        <v>60</v>
      </c>
      <c r="D83" s="269" t="s">
        <v>424</v>
      </c>
      <c r="E83" s="89">
        <v>0</v>
      </c>
      <c r="F83" s="89">
        <v>2</v>
      </c>
      <c r="G83" s="89">
        <v>975</v>
      </c>
      <c r="H83" s="269">
        <v>25</v>
      </c>
      <c r="I83" s="314">
        <f>1.8 * MIN(6, MAX(E83,F83)) + 0.45 * MIN(6, MIN(E83,F83)) + IF(E83&gt;6, (E83-6)*0.2) + IF(F83&gt;6, (F83-6)*0.2)</f>
        <v>3.6</v>
      </c>
      <c r="J83" s="316"/>
      <c r="K83" s="317"/>
      <c r="L83" s="317"/>
      <c r="M83" s="317"/>
      <c r="N83" s="317"/>
      <c r="O83" s="317"/>
      <c r="P83" s="317"/>
      <c r="Q83" s="317"/>
      <c r="R83" s="317"/>
      <c r="S83" s="317"/>
      <c r="T83" s="317"/>
      <c r="U83" s="317"/>
      <c r="V83" s="317"/>
      <c r="W83" s="89"/>
      <c r="X83" s="317"/>
      <c r="Y83" s="89"/>
      <c r="Z83" s="89"/>
      <c r="AA83" s="318"/>
    </row>
    <row r="84" spans="1:27" ht="19.5" customHeight="1" x14ac:dyDescent="0.25">
      <c r="A84" s="322" t="s">
        <v>499</v>
      </c>
      <c r="B84" s="331" t="s">
        <v>30</v>
      </c>
      <c r="C84" s="334" t="s">
        <v>60</v>
      </c>
      <c r="D84" s="322" t="s">
        <v>425</v>
      </c>
      <c r="E84" s="321">
        <v>5</v>
      </c>
      <c r="F84" s="321">
        <v>2</v>
      </c>
      <c r="G84" s="321">
        <v>970</v>
      </c>
      <c r="H84" s="322">
        <v>0</v>
      </c>
      <c r="I84" s="331">
        <f>1.8 * MIN(6, MAX(E84,F84)) + 0.45 * MIN(6, MIN(E84,F84)) + IF(E84&gt;6, (E84-6)*0.2) + IF(F84&gt;6, (F84-6)*0.2)</f>
        <v>9.9</v>
      </c>
      <c r="J84" s="323"/>
      <c r="K84" s="324"/>
      <c r="L84" s="324"/>
      <c r="M84" s="324"/>
      <c r="N84" s="324"/>
      <c r="O84" s="324"/>
      <c r="P84" s="324"/>
      <c r="Q84" s="324"/>
      <c r="R84" s="324"/>
      <c r="S84" s="324"/>
      <c r="T84" s="324"/>
      <c r="U84" s="324"/>
      <c r="V84" s="324"/>
      <c r="W84" s="321"/>
      <c r="X84" s="324"/>
      <c r="Y84" s="321"/>
      <c r="Z84" s="321"/>
      <c r="AA84" s="325"/>
    </row>
    <row r="85" spans="1:27" ht="19.5" customHeight="1" x14ac:dyDescent="0.25">
      <c r="A85" s="269" t="s">
        <v>1121</v>
      </c>
      <c r="B85" s="314"/>
      <c r="C85" s="333" t="s">
        <v>60</v>
      </c>
      <c r="D85" s="269" t="s">
        <v>1125</v>
      </c>
      <c r="E85" s="89">
        <v>3</v>
      </c>
      <c r="F85" s="89">
        <v>0</v>
      </c>
      <c r="G85" s="89">
        <v>200</v>
      </c>
      <c r="H85" s="269">
        <v>25</v>
      </c>
      <c r="I85" s="314">
        <v>5</v>
      </c>
      <c r="J85" s="316">
        <v>0.05</v>
      </c>
      <c r="K85" s="317"/>
      <c r="L85" s="317"/>
      <c r="M85" s="317"/>
      <c r="N85" s="317"/>
      <c r="O85" s="317">
        <v>0.2</v>
      </c>
      <c r="P85" s="317"/>
      <c r="Q85" s="317"/>
      <c r="R85" s="317">
        <v>-0.5</v>
      </c>
      <c r="S85" s="317"/>
      <c r="T85" s="317"/>
      <c r="U85" s="317"/>
      <c r="V85" s="317"/>
      <c r="W85" s="89"/>
      <c r="X85" s="317"/>
      <c r="Y85" s="89"/>
      <c r="Z85" s="318"/>
      <c r="AA85" s="318"/>
    </row>
    <row r="86" spans="1:27" ht="19.5" customHeight="1" x14ac:dyDescent="0.25">
      <c r="A86" s="269" t="s">
        <v>1121</v>
      </c>
      <c r="B86" s="314"/>
      <c r="C86" s="333" t="s">
        <v>60</v>
      </c>
      <c r="D86" s="269" t="s">
        <v>1110</v>
      </c>
      <c r="E86" s="89">
        <v>0</v>
      </c>
      <c r="F86" s="89">
        <v>4</v>
      </c>
      <c r="G86" s="89">
        <v>800</v>
      </c>
      <c r="H86" s="269">
        <v>0</v>
      </c>
      <c r="I86" s="314">
        <v>5</v>
      </c>
      <c r="J86" s="316"/>
      <c r="K86" s="317"/>
      <c r="L86" s="317"/>
      <c r="M86" s="317"/>
      <c r="N86" s="317"/>
      <c r="O86" s="317"/>
      <c r="P86" s="317"/>
      <c r="Q86" s="317"/>
      <c r="R86" s="317"/>
      <c r="S86" s="317"/>
      <c r="T86" s="317"/>
      <c r="U86" s="317"/>
      <c r="V86" s="317"/>
      <c r="W86" s="89"/>
      <c r="X86" s="317"/>
      <c r="Y86" s="89"/>
      <c r="Z86" s="318"/>
      <c r="AA86" s="318"/>
    </row>
    <row r="87" spans="1:27" ht="19.5" customHeight="1" x14ac:dyDescent="0.25">
      <c r="A87" s="269" t="s">
        <v>1121</v>
      </c>
      <c r="B87" s="314"/>
      <c r="C87" s="333" t="s">
        <v>60</v>
      </c>
      <c r="D87" s="269" t="s">
        <v>1126</v>
      </c>
      <c r="E87" s="89">
        <v>0</v>
      </c>
      <c r="F87" s="89">
        <v>6</v>
      </c>
      <c r="G87" s="89">
        <v>1100</v>
      </c>
      <c r="H87" s="269">
        <v>30</v>
      </c>
      <c r="I87" s="314">
        <f t="shared" ref="I87:I88" si="0">1.8 * MIN(6, MAX(E87,F87)) + 0.45 * MIN(6, MIN(E87,F87)) + IF(E87&gt;6, (E87-6)*0.2) + IF(F87&gt;6, (F87-6)*0.2)</f>
        <v>10.8</v>
      </c>
      <c r="J87" s="316"/>
      <c r="K87" s="317"/>
      <c r="L87" s="317"/>
      <c r="M87" s="317"/>
      <c r="N87" s="317"/>
      <c r="O87" s="317"/>
      <c r="P87" s="317"/>
      <c r="Q87" s="317"/>
      <c r="R87" s="317"/>
      <c r="S87" s="317"/>
      <c r="T87" s="317"/>
      <c r="U87" s="317"/>
      <c r="V87" s="317"/>
      <c r="W87" s="89"/>
      <c r="X87" s="317"/>
      <c r="Y87" s="89"/>
      <c r="Z87" s="318"/>
      <c r="AA87" s="318"/>
    </row>
    <row r="88" spans="1:27" ht="19.5" customHeight="1" x14ac:dyDescent="0.25">
      <c r="A88" s="269" t="s">
        <v>1121</v>
      </c>
      <c r="B88" s="314"/>
      <c r="C88" s="333" t="s">
        <v>60</v>
      </c>
      <c r="D88" s="269" t="s">
        <v>1127</v>
      </c>
      <c r="E88" s="89">
        <v>4</v>
      </c>
      <c r="F88" s="89">
        <v>3</v>
      </c>
      <c r="G88" s="89">
        <v>700</v>
      </c>
      <c r="H88" s="269">
        <v>0</v>
      </c>
      <c r="I88" s="314">
        <f t="shared" si="0"/>
        <v>8.5500000000000007</v>
      </c>
      <c r="J88" s="316"/>
      <c r="K88" s="317"/>
      <c r="L88" s="317"/>
      <c r="M88" s="317"/>
      <c r="N88" s="317"/>
      <c r="O88" s="317"/>
      <c r="P88" s="317"/>
      <c r="Q88" s="317"/>
      <c r="R88" s="317"/>
      <c r="S88" s="317"/>
      <c r="T88" s="317"/>
      <c r="U88" s="317"/>
      <c r="V88" s="317"/>
      <c r="W88" s="89"/>
      <c r="X88" s="317"/>
      <c r="Y88" s="89"/>
      <c r="Z88" s="318"/>
      <c r="AA88" s="318"/>
    </row>
    <row r="89" spans="1:27" ht="19.5" customHeight="1" x14ac:dyDescent="0.25">
      <c r="A89" s="336" t="s">
        <v>768</v>
      </c>
      <c r="B89" s="314" t="s">
        <v>768</v>
      </c>
      <c r="C89" s="333" t="s">
        <v>768</v>
      </c>
      <c r="D89" s="62" t="s">
        <v>73</v>
      </c>
      <c r="G89" s="89">
        <v>500</v>
      </c>
      <c r="I89" s="314"/>
      <c r="J89" s="316"/>
      <c r="K89" s="317"/>
      <c r="L89" s="317"/>
      <c r="M89" s="317"/>
      <c r="N89" s="317"/>
      <c r="O89" s="317"/>
      <c r="P89" s="317"/>
      <c r="Q89" s="317"/>
      <c r="R89" s="317"/>
      <c r="S89" s="317"/>
      <c r="T89" s="317"/>
      <c r="U89" s="317"/>
      <c r="V89" s="317"/>
      <c r="W89" s="89"/>
      <c r="X89" s="317"/>
      <c r="Y89" s="89"/>
      <c r="Z89" s="89"/>
      <c r="AA89" s="318"/>
    </row>
    <row r="90" spans="1:27" ht="19.5" customHeight="1" x14ac:dyDescent="0.25">
      <c r="A90" s="336" t="s">
        <v>768</v>
      </c>
      <c r="B90" s="314" t="s">
        <v>768</v>
      </c>
      <c r="C90" s="333" t="s">
        <v>768</v>
      </c>
      <c r="D90" s="62" t="s">
        <v>1095</v>
      </c>
      <c r="G90" s="89">
        <v>1000</v>
      </c>
      <c r="H90" s="89" t="s">
        <v>1096</v>
      </c>
      <c r="I90" s="314"/>
      <c r="J90" s="316"/>
      <c r="K90" s="317"/>
      <c r="L90" s="317"/>
      <c r="M90" s="317"/>
      <c r="N90" s="317"/>
      <c r="O90" s="317"/>
      <c r="P90" s="317"/>
      <c r="Q90" s="317"/>
      <c r="R90" s="317"/>
      <c r="S90" s="317"/>
      <c r="T90" s="317"/>
      <c r="U90" s="317"/>
      <c r="V90" s="317"/>
      <c r="W90" s="89"/>
      <c r="X90" s="317"/>
      <c r="Y90" s="89"/>
      <c r="Z90" s="318"/>
      <c r="AA90" s="318"/>
    </row>
    <row r="91" spans="1:27" ht="19.5" customHeight="1" x14ac:dyDescent="0.25">
      <c r="A91" s="336" t="s">
        <v>768</v>
      </c>
      <c r="B91" s="314" t="s">
        <v>768</v>
      </c>
      <c r="C91" s="333" t="s">
        <v>768</v>
      </c>
      <c r="D91" s="62" t="s">
        <v>182</v>
      </c>
      <c r="G91" s="89">
        <v>500</v>
      </c>
      <c r="I91" s="314"/>
      <c r="J91" s="316"/>
      <c r="K91" s="317"/>
      <c r="L91" s="317"/>
      <c r="M91" s="317"/>
      <c r="N91" s="317"/>
      <c r="O91" s="317"/>
      <c r="P91" s="317"/>
      <c r="Q91" s="317"/>
      <c r="R91" s="317"/>
      <c r="S91" s="317"/>
      <c r="T91" s="317"/>
      <c r="U91" s="317"/>
      <c r="V91" s="317"/>
      <c r="W91" s="89"/>
      <c r="X91" s="317"/>
      <c r="Y91" s="89"/>
      <c r="Z91" s="89"/>
      <c r="AA91" s="318"/>
    </row>
    <row r="92" spans="1:27" ht="19.5" customHeight="1" x14ac:dyDescent="0.25">
      <c r="A92" s="336" t="s">
        <v>768</v>
      </c>
      <c r="B92" s="314" t="s">
        <v>768</v>
      </c>
      <c r="C92" s="333" t="s">
        <v>768</v>
      </c>
      <c r="D92" s="62" t="s">
        <v>183</v>
      </c>
      <c r="G92" s="89">
        <v>1000</v>
      </c>
      <c r="H92" s="89" t="s">
        <v>249</v>
      </c>
      <c r="I92" s="314"/>
      <c r="J92" s="316"/>
      <c r="K92" s="317"/>
      <c r="L92" s="317"/>
      <c r="M92" s="317"/>
      <c r="N92" s="317"/>
      <c r="O92" s="317"/>
      <c r="P92" s="317"/>
      <c r="Q92" s="317"/>
      <c r="R92" s="317"/>
      <c r="S92" s="317"/>
      <c r="T92" s="317"/>
      <c r="U92" s="317"/>
      <c r="V92" s="317"/>
      <c r="W92" s="89"/>
      <c r="X92" s="317"/>
      <c r="Y92" s="89"/>
      <c r="Z92" s="89"/>
      <c r="AA92" s="318"/>
    </row>
    <row r="93" spans="1:27" ht="19.5" customHeight="1" x14ac:dyDescent="0.25">
      <c r="J93" s="312"/>
      <c r="K93" s="312"/>
      <c r="L93" s="312"/>
      <c r="M93" s="312"/>
      <c r="N93" s="312"/>
      <c r="O93" s="312"/>
      <c r="P93" s="312"/>
      <c r="Q93" s="312"/>
      <c r="R93" s="312"/>
      <c r="S93" s="312"/>
      <c r="T93" s="312"/>
      <c r="U93" s="312"/>
      <c r="V93" s="312"/>
    </row>
    <row r="94" spans="1:27" ht="19.5" customHeight="1" x14ac:dyDescent="0.25">
      <c r="A94" s="336" t="s">
        <v>89</v>
      </c>
      <c r="B94" s="269">
        <v>5</v>
      </c>
      <c r="D94" s="269" t="s">
        <v>361</v>
      </c>
      <c r="J94" s="312"/>
      <c r="K94" s="312"/>
      <c r="L94" s="312"/>
      <c r="M94" s="312"/>
      <c r="N94" s="312"/>
      <c r="O94" s="312"/>
      <c r="P94" s="312"/>
      <c r="Q94" s="312"/>
      <c r="R94" s="312"/>
      <c r="S94" s="312"/>
      <c r="T94" s="312"/>
      <c r="U94" s="312"/>
      <c r="V94" s="312"/>
    </row>
    <row r="95" spans="1:27" ht="19.5" customHeight="1" x14ac:dyDescent="0.25">
      <c r="A95" s="336" t="s">
        <v>90</v>
      </c>
      <c r="B95" s="269">
        <v>9</v>
      </c>
      <c r="D95" s="269">
        <v>1</v>
      </c>
      <c r="J95" s="312"/>
      <c r="K95" s="312"/>
      <c r="L95" s="312"/>
      <c r="M95" s="312"/>
      <c r="N95" s="312"/>
      <c r="O95" s="312"/>
      <c r="P95" s="312"/>
      <c r="Q95" s="312"/>
      <c r="R95" s="312"/>
      <c r="S95" s="312"/>
      <c r="T95" s="312"/>
      <c r="U95" s="312"/>
      <c r="V95" s="312"/>
    </row>
    <row r="96" spans="1:27" ht="19.5" customHeight="1" x14ac:dyDescent="0.25">
      <c r="A96" s="336" t="s">
        <v>91</v>
      </c>
      <c r="B96" s="269">
        <v>13</v>
      </c>
      <c r="D96" s="269">
        <v>2</v>
      </c>
      <c r="J96" s="312"/>
      <c r="K96" s="312"/>
      <c r="L96" s="312"/>
      <c r="M96" s="312"/>
      <c r="N96" s="312"/>
      <c r="O96" s="312"/>
      <c r="P96" s="312"/>
      <c r="Q96" s="312"/>
      <c r="R96" s="312"/>
      <c r="S96" s="312"/>
      <c r="T96" s="312"/>
      <c r="U96" s="312"/>
      <c r="V96" s="312"/>
    </row>
    <row r="97" spans="1:22" ht="19.5" customHeight="1" x14ac:dyDescent="0.25">
      <c r="A97" s="336" t="s">
        <v>92</v>
      </c>
      <c r="B97" s="269">
        <v>17</v>
      </c>
      <c r="D97" s="269">
        <v>3</v>
      </c>
      <c r="J97" s="312"/>
      <c r="K97" s="312"/>
      <c r="L97" s="312"/>
      <c r="M97" s="312"/>
      <c r="N97" s="312"/>
      <c r="O97" s="312"/>
      <c r="P97" s="312"/>
      <c r="Q97" s="312"/>
      <c r="R97" s="312"/>
      <c r="S97" s="312"/>
      <c r="T97" s="312"/>
      <c r="U97" s="312"/>
      <c r="V97" s="312"/>
    </row>
    <row r="98" spans="1:22" ht="19.5" customHeight="1" x14ac:dyDescent="0.25">
      <c r="A98" s="336" t="s">
        <v>93</v>
      </c>
      <c r="B98" s="269">
        <v>21</v>
      </c>
      <c r="D98" s="269">
        <v>4</v>
      </c>
      <c r="J98" s="312"/>
      <c r="K98" s="312"/>
      <c r="L98" s="312"/>
      <c r="M98" s="312"/>
      <c r="N98" s="312"/>
      <c r="O98" s="312"/>
      <c r="P98" s="312"/>
      <c r="Q98" s="312"/>
      <c r="R98" s="312"/>
      <c r="S98" s="312"/>
      <c r="T98" s="312"/>
      <c r="U98" s="312"/>
      <c r="V98" s="312"/>
    </row>
    <row r="99" spans="1:22" ht="19.5" customHeight="1" x14ac:dyDescent="0.25">
      <c r="A99" s="336" t="s">
        <v>94</v>
      </c>
      <c r="B99" s="269">
        <v>25</v>
      </c>
      <c r="D99" s="269">
        <v>5</v>
      </c>
      <c r="J99" s="312"/>
      <c r="K99" s="312"/>
      <c r="L99" s="312"/>
      <c r="M99" s="312"/>
      <c r="N99" s="312"/>
      <c r="O99" s="312"/>
      <c r="P99" s="312"/>
      <c r="Q99" s="312"/>
      <c r="R99" s="312"/>
      <c r="S99" s="312"/>
      <c r="T99" s="312"/>
      <c r="U99" s="312"/>
      <c r="V99" s="312"/>
    </row>
    <row r="100" spans="1:22" ht="19.5" customHeight="1" x14ac:dyDescent="0.25">
      <c r="A100" s="336" t="s">
        <v>95</v>
      </c>
      <c r="B100" s="269">
        <v>29</v>
      </c>
      <c r="D100" s="269">
        <v>6</v>
      </c>
      <c r="J100" s="312"/>
      <c r="K100" s="312"/>
      <c r="L100" s="312"/>
      <c r="M100" s="312"/>
      <c r="N100" s="312"/>
      <c r="O100" s="312"/>
      <c r="P100" s="312"/>
      <c r="Q100" s="312"/>
      <c r="R100" s="312"/>
      <c r="S100" s="312"/>
      <c r="T100" s="312"/>
      <c r="U100" s="312"/>
      <c r="V100" s="312"/>
    </row>
    <row r="101" spans="1:22" ht="19.5" customHeight="1" x14ac:dyDescent="0.25">
      <c r="A101" s="336" t="s">
        <v>96</v>
      </c>
      <c r="B101" s="269">
        <v>33</v>
      </c>
      <c r="J101" s="312"/>
      <c r="K101" s="312"/>
      <c r="L101" s="312"/>
      <c r="M101" s="312"/>
      <c r="N101" s="312"/>
      <c r="O101" s="312"/>
      <c r="P101" s="312"/>
      <c r="Q101" s="312"/>
      <c r="R101" s="312"/>
      <c r="S101" s="312"/>
      <c r="T101" s="312"/>
      <c r="U101" s="312"/>
      <c r="V101" s="312"/>
    </row>
    <row r="102" spans="1:22" ht="19.5" customHeight="1" x14ac:dyDescent="0.25">
      <c r="A102" s="336" t="s">
        <v>97</v>
      </c>
      <c r="B102" s="269">
        <v>37</v>
      </c>
      <c r="J102" s="312"/>
      <c r="K102" s="312"/>
      <c r="L102" s="312"/>
      <c r="M102" s="312"/>
      <c r="N102" s="312"/>
      <c r="O102" s="312"/>
      <c r="P102" s="312"/>
      <c r="Q102" s="312"/>
      <c r="R102" s="312"/>
      <c r="S102" s="312"/>
      <c r="T102" s="312"/>
      <c r="U102" s="312"/>
      <c r="V102" s="312"/>
    </row>
    <row r="103" spans="1:22" ht="19.5" customHeight="1" x14ac:dyDescent="0.25">
      <c r="A103" s="336" t="s">
        <v>29</v>
      </c>
      <c r="B103" s="269">
        <v>41</v>
      </c>
      <c r="J103" s="312"/>
      <c r="K103" s="312"/>
      <c r="L103" s="312"/>
      <c r="M103" s="312"/>
      <c r="N103" s="312"/>
      <c r="O103" s="312"/>
      <c r="P103" s="312"/>
      <c r="Q103" s="312"/>
      <c r="R103" s="312"/>
      <c r="S103" s="312"/>
      <c r="T103" s="312"/>
      <c r="U103" s="312"/>
      <c r="V103" s="312"/>
    </row>
    <row r="104" spans="1:22" ht="19.5" customHeight="1" x14ac:dyDescent="0.25">
      <c r="A104" s="336" t="s">
        <v>99</v>
      </c>
      <c r="B104" s="269">
        <v>45</v>
      </c>
      <c r="J104" s="312"/>
      <c r="K104" s="312"/>
      <c r="L104" s="312"/>
      <c r="M104" s="312"/>
      <c r="N104" s="312"/>
      <c r="O104" s="312"/>
      <c r="P104" s="312"/>
      <c r="Q104" s="312"/>
      <c r="R104" s="312"/>
      <c r="S104" s="312"/>
      <c r="T104" s="312"/>
      <c r="U104" s="312"/>
      <c r="V104" s="312"/>
    </row>
    <row r="105" spans="1:22" ht="19.5" customHeight="1" x14ac:dyDescent="0.25">
      <c r="A105" s="336" t="s">
        <v>1120</v>
      </c>
      <c r="B105" s="269">
        <v>49</v>
      </c>
      <c r="J105" s="312"/>
      <c r="K105" s="312"/>
      <c r="L105" s="312"/>
      <c r="M105" s="312"/>
      <c r="N105" s="312"/>
      <c r="O105" s="312"/>
      <c r="P105" s="312"/>
      <c r="Q105" s="312"/>
      <c r="R105" s="312"/>
      <c r="S105" s="312"/>
      <c r="T105" s="312"/>
      <c r="U105" s="312"/>
      <c r="V105" s="312"/>
    </row>
    <row r="106" spans="1:22" ht="19.5" customHeight="1" x14ac:dyDescent="0.25">
      <c r="A106" s="336" t="s">
        <v>100</v>
      </c>
      <c r="B106" s="269">
        <v>53</v>
      </c>
      <c r="J106" s="312"/>
      <c r="K106" s="312"/>
      <c r="L106" s="312"/>
      <c r="M106" s="312"/>
      <c r="N106" s="312"/>
      <c r="O106" s="312"/>
      <c r="P106" s="312"/>
      <c r="Q106" s="312"/>
      <c r="R106" s="312"/>
      <c r="S106" s="312"/>
      <c r="T106" s="312"/>
      <c r="U106" s="312"/>
      <c r="V106" s="312"/>
    </row>
    <row r="107" spans="1:22" ht="19.5" customHeight="1" x14ac:dyDescent="0.25">
      <c r="A107" s="336" t="s">
        <v>101</v>
      </c>
      <c r="B107" s="269">
        <v>57</v>
      </c>
      <c r="J107" s="312"/>
      <c r="K107" s="312"/>
      <c r="L107" s="312"/>
      <c r="M107" s="312"/>
      <c r="N107" s="312"/>
      <c r="O107" s="312"/>
      <c r="P107" s="312"/>
      <c r="Q107" s="312"/>
      <c r="R107" s="312"/>
      <c r="S107" s="312"/>
      <c r="T107" s="312"/>
      <c r="U107" s="312"/>
      <c r="V107" s="312"/>
    </row>
    <row r="108" spans="1:22" ht="19.5" customHeight="1" x14ac:dyDescent="0.25">
      <c r="A108" s="336" t="s">
        <v>102</v>
      </c>
      <c r="B108" s="269">
        <v>61</v>
      </c>
      <c r="J108" s="312"/>
      <c r="K108" s="312"/>
      <c r="L108" s="312"/>
      <c r="M108" s="312"/>
      <c r="N108" s="312"/>
      <c r="O108" s="312"/>
      <c r="P108" s="312"/>
      <c r="Q108" s="312"/>
      <c r="R108" s="312"/>
      <c r="S108" s="312"/>
      <c r="T108" s="312"/>
      <c r="U108" s="312"/>
      <c r="V108" s="312"/>
    </row>
    <row r="109" spans="1:22" ht="19.5" customHeight="1" x14ac:dyDescent="0.25">
      <c r="A109" s="336" t="s">
        <v>103</v>
      </c>
      <c r="B109" s="269">
        <v>65</v>
      </c>
      <c r="J109" s="312"/>
      <c r="K109" s="312"/>
      <c r="L109" s="312"/>
      <c r="M109" s="312"/>
      <c r="N109" s="312"/>
      <c r="O109" s="312"/>
      <c r="P109" s="312"/>
      <c r="Q109" s="312"/>
      <c r="R109" s="312"/>
      <c r="S109" s="312"/>
      <c r="T109" s="312"/>
      <c r="U109" s="312"/>
      <c r="V109" s="312"/>
    </row>
    <row r="110" spans="1:22" ht="19.5" customHeight="1" x14ac:dyDescent="0.25">
      <c r="A110" s="336" t="s">
        <v>330</v>
      </c>
      <c r="B110" s="269">
        <v>69</v>
      </c>
      <c r="J110" s="312"/>
      <c r="K110" s="312"/>
      <c r="L110" s="312"/>
      <c r="M110" s="312"/>
      <c r="N110" s="312"/>
      <c r="O110" s="312"/>
      <c r="P110" s="312"/>
      <c r="Q110" s="312"/>
      <c r="R110" s="312"/>
      <c r="S110" s="312"/>
      <c r="T110" s="312"/>
      <c r="U110" s="312"/>
      <c r="V110" s="312"/>
    </row>
    <row r="111" spans="1:22" ht="19.5" customHeight="1" x14ac:dyDescent="0.25">
      <c r="A111" s="336" t="s">
        <v>344</v>
      </c>
      <c r="B111" s="269">
        <v>73</v>
      </c>
      <c r="J111" s="312"/>
      <c r="K111" s="312"/>
      <c r="L111" s="312"/>
      <c r="M111" s="312"/>
      <c r="N111" s="312"/>
      <c r="O111" s="312"/>
      <c r="P111" s="312"/>
      <c r="Q111" s="312"/>
      <c r="R111" s="312"/>
      <c r="S111" s="312"/>
      <c r="T111" s="312"/>
      <c r="U111" s="312"/>
      <c r="V111" s="312"/>
    </row>
    <row r="112" spans="1:22" ht="19.5" customHeight="1" x14ac:dyDescent="0.25">
      <c r="A112" s="336" t="s">
        <v>143</v>
      </c>
      <c r="B112" s="269">
        <v>77</v>
      </c>
      <c r="J112" s="312"/>
      <c r="K112" s="312"/>
      <c r="L112" s="312"/>
      <c r="M112" s="312"/>
      <c r="N112" s="312"/>
      <c r="O112" s="312"/>
      <c r="P112" s="312"/>
      <c r="Q112" s="312"/>
      <c r="R112" s="312"/>
      <c r="S112" s="312"/>
      <c r="T112" s="312"/>
      <c r="U112" s="312"/>
      <c r="V112" s="312"/>
    </row>
    <row r="113" spans="1:22" ht="19.5" customHeight="1" x14ac:dyDescent="0.25">
      <c r="A113" s="336" t="s">
        <v>499</v>
      </c>
      <c r="B113" s="269">
        <v>81</v>
      </c>
      <c r="J113" s="312"/>
      <c r="K113" s="312"/>
      <c r="L113" s="312"/>
      <c r="M113" s="312"/>
      <c r="N113" s="312"/>
      <c r="O113" s="312"/>
      <c r="P113" s="312"/>
      <c r="Q113" s="312"/>
      <c r="R113" s="312"/>
      <c r="S113" s="312"/>
      <c r="T113" s="312"/>
      <c r="U113" s="312"/>
      <c r="V113" s="312"/>
    </row>
    <row r="114" spans="1:22" ht="19.5" customHeight="1" x14ac:dyDescent="0.25">
      <c r="A114" s="336" t="s">
        <v>1121</v>
      </c>
      <c r="B114" s="269">
        <v>85</v>
      </c>
      <c r="J114" s="312"/>
      <c r="K114" s="312"/>
      <c r="L114" s="312"/>
      <c r="M114" s="312"/>
      <c r="N114" s="312"/>
      <c r="O114" s="312"/>
      <c r="P114" s="312"/>
      <c r="Q114" s="312"/>
      <c r="R114" s="312"/>
      <c r="S114" s="312"/>
      <c r="T114" s="312"/>
      <c r="U114" s="312"/>
      <c r="V114" s="312"/>
    </row>
    <row r="115" spans="1:22" ht="19.5" customHeight="1" x14ac:dyDescent="0.25">
      <c r="J115" s="312"/>
      <c r="K115" s="312"/>
      <c r="L115" s="312"/>
      <c r="M115" s="312"/>
      <c r="N115" s="312"/>
      <c r="O115" s="312"/>
      <c r="P115" s="312"/>
      <c r="Q115" s="312"/>
      <c r="R115" s="312"/>
      <c r="S115" s="312"/>
      <c r="T115" s="312"/>
      <c r="U115" s="312"/>
      <c r="V115" s="312"/>
    </row>
    <row r="116" spans="1:22" ht="19.5" customHeight="1" x14ac:dyDescent="0.25">
      <c r="J116" s="312"/>
      <c r="K116" s="312"/>
      <c r="L116" s="312"/>
      <c r="M116" s="312"/>
      <c r="N116" s="312"/>
      <c r="O116" s="312"/>
      <c r="P116" s="312"/>
      <c r="Q116" s="312"/>
      <c r="R116" s="312"/>
      <c r="S116" s="312"/>
      <c r="T116" s="312"/>
      <c r="U116" s="312"/>
      <c r="V116" s="312"/>
    </row>
    <row r="117" spans="1:22" ht="19.5" customHeight="1" x14ac:dyDescent="0.25">
      <c r="J117" s="312"/>
      <c r="K117" s="312"/>
      <c r="L117" s="312"/>
      <c r="M117" s="312"/>
      <c r="N117" s="312"/>
      <c r="O117" s="312"/>
      <c r="P117" s="312"/>
      <c r="Q117" s="312"/>
      <c r="R117" s="312"/>
      <c r="S117" s="312"/>
      <c r="T117" s="312"/>
      <c r="U117" s="312"/>
      <c r="V117" s="312"/>
    </row>
    <row r="118" spans="1:22" ht="19.5" customHeight="1" x14ac:dyDescent="0.25">
      <c r="J118" s="312"/>
      <c r="K118" s="312"/>
      <c r="L118" s="312"/>
      <c r="M118" s="312"/>
      <c r="N118" s="312"/>
      <c r="O118" s="312"/>
      <c r="P118" s="312"/>
      <c r="Q118" s="312"/>
      <c r="R118" s="312"/>
      <c r="S118" s="312"/>
      <c r="T118" s="312"/>
      <c r="U118" s="312"/>
      <c r="V118" s="312"/>
    </row>
    <row r="119" spans="1:22" ht="19.5" customHeight="1" x14ac:dyDescent="0.25">
      <c r="J119" s="312"/>
      <c r="K119" s="312"/>
      <c r="L119" s="312"/>
      <c r="M119" s="312"/>
      <c r="N119" s="312"/>
      <c r="O119" s="312"/>
      <c r="P119" s="312"/>
      <c r="Q119" s="312"/>
      <c r="R119" s="312"/>
      <c r="S119" s="312"/>
      <c r="T119" s="312"/>
      <c r="U119" s="312"/>
      <c r="V119" s="312"/>
    </row>
    <row r="120" spans="1:22" ht="19.5" customHeight="1" x14ac:dyDescent="0.25">
      <c r="J120" s="312"/>
      <c r="K120" s="312"/>
      <c r="L120" s="312"/>
      <c r="M120" s="312"/>
      <c r="N120" s="312"/>
      <c r="O120" s="312"/>
      <c r="P120" s="312"/>
      <c r="Q120" s="312"/>
      <c r="R120" s="312"/>
      <c r="S120" s="312"/>
      <c r="T120" s="312"/>
      <c r="U120" s="312"/>
      <c r="V120" s="312"/>
    </row>
    <row r="121" spans="1:22" ht="19.5" customHeight="1" x14ac:dyDescent="0.25">
      <c r="J121" s="312"/>
      <c r="K121" s="312"/>
      <c r="L121" s="312"/>
      <c r="M121" s="312"/>
      <c r="N121" s="312"/>
      <c r="O121" s="312"/>
      <c r="P121" s="312"/>
      <c r="Q121" s="312"/>
      <c r="R121" s="312"/>
      <c r="S121" s="312"/>
      <c r="T121" s="312"/>
      <c r="U121" s="312"/>
      <c r="V121" s="312"/>
    </row>
    <row r="122" spans="1:22" ht="19.5" customHeight="1" x14ac:dyDescent="0.25">
      <c r="J122" s="312"/>
      <c r="K122" s="312"/>
      <c r="L122" s="312"/>
      <c r="M122" s="312"/>
      <c r="N122" s="312"/>
      <c r="O122" s="312"/>
      <c r="P122" s="312"/>
      <c r="Q122" s="312"/>
      <c r="R122" s="312"/>
      <c r="S122" s="312"/>
      <c r="T122" s="312"/>
      <c r="U122" s="312"/>
      <c r="V122" s="312"/>
    </row>
    <row r="123" spans="1:22" ht="19.5" customHeight="1" x14ac:dyDescent="0.25">
      <c r="J123" s="312"/>
      <c r="K123" s="312"/>
      <c r="L123" s="312"/>
      <c r="M123" s="312"/>
      <c r="N123" s="312"/>
      <c r="O123" s="312"/>
      <c r="P123" s="312"/>
      <c r="Q123" s="312"/>
      <c r="R123" s="312"/>
      <c r="S123" s="312"/>
      <c r="T123" s="312"/>
      <c r="U123" s="312"/>
      <c r="V123" s="312"/>
    </row>
    <row r="124" spans="1:22" ht="19.5" customHeight="1" x14ac:dyDescent="0.25">
      <c r="J124" s="312"/>
      <c r="K124" s="312"/>
      <c r="L124" s="312"/>
      <c r="M124" s="312"/>
      <c r="N124" s="312"/>
      <c r="O124" s="312"/>
      <c r="P124" s="312"/>
      <c r="Q124" s="312"/>
      <c r="R124" s="312"/>
      <c r="S124" s="312"/>
      <c r="T124" s="312"/>
      <c r="U124" s="312"/>
      <c r="V124" s="312"/>
    </row>
    <row r="125" spans="1:22" ht="19.5" customHeight="1" x14ac:dyDescent="0.25">
      <c r="J125" s="312"/>
      <c r="K125" s="312"/>
      <c r="L125" s="312"/>
      <c r="M125" s="312"/>
      <c r="N125" s="312"/>
      <c r="O125" s="312"/>
      <c r="P125" s="312"/>
      <c r="Q125" s="312"/>
      <c r="R125" s="312"/>
      <c r="S125" s="312"/>
      <c r="T125" s="312"/>
      <c r="U125" s="312"/>
      <c r="V125" s="312"/>
    </row>
    <row r="126" spans="1:22" ht="19.5" customHeight="1" x14ac:dyDescent="0.25">
      <c r="J126" s="312"/>
      <c r="K126" s="312"/>
      <c r="L126" s="312"/>
      <c r="M126" s="312"/>
      <c r="N126" s="312"/>
      <c r="O126" s="312"/>
      <c r="P126" s="312"/>
      <c r="Q126" s="312"/>
      <c r="R126" s="312"/>
      <c r="S126" s="312"/>
      <c r="T126" s="312"/>
      <c r="U126" s="312"/>
      <c r="V126" s="312"/>
    </row>
    <row r="127" spans="1:22" ht="19.5" customHeight="1" x14ac:dyDescent="0.25">
      <c r="J127" s="312"/>
      <c r="K127" s="312"/>
      <c r="L127" s="312"/>
      <c r="M127" s="312"/>
      <c r="N127" s="312"/>
      <c r="O127" s="312"/>
      <c r="P127" s="312"/>
      <c r="Q127" s="312"/>
      <c r="R127" s="312"/>
      <c r="S127" s="312"/>
      <c r="T127" s="312"/>
      <c r="U127" s="312"/>
      <c r="V127" s="312"/>
    </row>
    <row r="128" spans="1:22" ht="19.5" customHeight="1" x14ac:dyDescent="0.25">
      <c r="J128" s="312"/>
      <c r="K128" s="312"/>
      <c r="L128" s="312"/>
      <c r="M128" s="312"/>
      <c r="N128" s="312"/>
      <c r="O128" s="312"/>
      <c r="P128" s="312"/>
      <c r="Q128" s="312"/>
      <c r="R128" s="312"/>
      <c r="S128" s="312"/>
      <c r="T128" s="312"/>
      <c r="U128" s="312"/>
      <c r="V128" s="312"/>
    </row>
    <row r="129" spans="10:22" ht="19.5" customHeight="1" x14ac:dyDescent="0.25">
      <c r="J129" s="312"/>
      <c r="K129" s="312"/>
      <c r="L129" s="312"/>
      <c r="M129" s="312"/>
      <c r="N129" s="312"/>
      <c r="O129" s="312"/>
      <c r="P129" s="312"/>
      <c r="Q129" s="312"/>
      <c r="R129" s="312"/>
      <c r="S129" s="312"/>
      <c r="T129" s="312"/>
      <c r="U129" s="312"/>
      <c r="V129" s="312"/>
    </row>
    <row r="130" spans="10:22" ht="19.5" customHeight="1" x14ac:dyDescent="0.25">
      <c r="J130" s="312"/>
      <c r="K130" s="312"/>
      <c r="L130" s="312"/>
      <c r="M130" s="312"/>
      <c r="N130" s="312"/>
      <c r="O130" s="312"/>
      <c r="P130" s="312"/>
      <c r="Q130" s="312"/>
      <c r="R130" s="312"/>
      <c r="S130" s="312"/>
      <c r="T130" s="312"/>
      <c r="U130" s="312"/>
      <c r="V130" s="312"/>
    </row>
    <row r="131" spans="10:22" ht="19.5" customHeight="1" x14ac:dyDescent="0.25">
      <c r="J131" s="312"/>
      <c r="K131" s="312"/>
      <c r="L131" s="312"/>
      <c r="M131" s="312"/>
      <c r="N131" s="312"/>
      <c r="O131" s="312"/>
      <c r="P131" s="312"/>
      <c r="Q131" s="312"/>
      <c r="R131" s="312"/>
      <c r="S131" s="312"/>
      <c r="T131" s="312"/>
      <c r="U131" s="312"/>
      <c r="V131" s="312"/>
    </row>
    <row r="132" spans="10:22" ht="19.5" customHeight="1" x14ac:dyDescent="0.25">
      <c r="J132" s="312"/>
      <c r="K132" s="312"/>
      <c r="L132" s="312"/>
      <c r="M132" s="312"/>
      <c r="N132" s="312"/>
      <c r="O132" s="312"/>
      <c r="P132" s="312"/>
      <c r="Q132" s="312"/>
      <c r="R132" s="312"/>
      <c r="S132" s="312"/>
      <c r="T132" s="312"/>
      <c r="U132" s="312"/>
      <c r="V132" s="312"/>
    </row>
    <row r="133" spans="10:22" ht="19.5" customHeight="1" x14ac:dyDescent="0.25">
      <c r="J133" s="312"/>
      <c r="K133" s="312"/>
      <c r="L133" s="312"/>
      <c r="M133" s="312"/>
      <c r="N133" s="312"/>
      <c r="O133" s="312"/>
      <c r="P133" s="312"/>
      <c r="Q133" s="312"/>
      <c r="R133" s="312"/>
      <c r="S133" s="312"/>
      <c r="T133" s="312"/>
      <c r="U133" s="312"/>
      <c r="V133" s="312"/>
    </row>
    <row r="134" spans="10:22" ht="19.5" customHeight="1" x14ac:dyDescent="0.25">
      <c r="J134" s="312"/>
      <c r="K134" s="312"/>
      <c r="L134" s="312"/>
      <c r="M134" s="312"/>
      <c r="N134" s="312"/>
      <c r="O134" s="312"/>
      <c r="P134" s="312"/>
      <c r="Q134" s="312"/>
      <c r="R134" s="312"/>
      <c r="S134" s="312"/>
      <c r="T134" s="312"/>
      <c r="U134" s="312"/>
      <c r="V134" s="312"/>
    </row>
    <row r="135" spans="10:22" ht="19.5" customHeight="1" x14ac:dyDescent="0.25">
      <c r="J135" s="312"/>
      <c r="K135" s="312"/>
      <c r="L135" s="312"/>
      <c r="M135" s="312"/>
      <c r="N135" s="312"/>
      <c r="O135" s="312"/>
      <c r="P135" s="312"/>
      <c r="Q135" s="312"/>
      <c r="R135" s="312"/>
      <c r="S135" s="312"/>
      <c r="T135" s="312"/>
      <c r="U135" s="312"/>
      <c r="V135" s="312"/>
    </row>
    <row r="136" spans="10:22" ht="19.5" customHeight="1" x14ac:dyDescent="0.25">
      <c r="J136" s="312"/>
      <c r="K136" s="312"/>
      <c r="L136" s="312"/>
      <c r="M136" s="312"/>
      <c r="N136" s="312"/>
      <c r="O136" s="312"/>
      <c r="P136" s="312"/>
      <c r="Q136" s="312"/>
      <c r="R136" s="312"/>
      <c r="S136" s="312"/>
      <c r="T136" s="312"/>
      <c r="U136" s="312"/>
      <c r="V136" s="312"/>
    </row>
    <row r="137" spans="10:22" ht="19.5" customHeight="1" x14ac:dyDescent="0.25">
      <c r="J137" s="312"/>
      <c r="K137" s="312"/>
      <c r="L137" s="312"/>
      <c r="M137" s="312"/>
      <c r="N137" s="312"/>
      <c r="O137" s="312"/>
      <c r="P137" s="312"/>
      <c r="Q137" s="312"/>
      <c r="R137" s="312"/>
      <c r="S137" s="312"/>
      <c r="T137" s="312"/>
      <c r="U137" s="312"/>
      <c r="V137" s="312"/>
    </row>
    <row r="138" spans="10:22" ht="19.5" customHeight="1" x14ac:dyDescent="0.25">
      <c r="J138" s="312"/>
      <c r="K138" s="312"/>
      <c r="L138" s="312"/>
      <c r="M138" s="312"/>
      <c r="N138" s="312"/>
      <c r="O138" s="312"/>
      <c r="P138" s="312"/>
      <c r="Q138" s="312"/>
      <c r="R138" s="312"/>
      <c r="S138" s="312"/>
      <c r="T138" s="312"/>
      <c r="U138" s="312"/>
      <c r="V138" s="312"/>
    </row>
  </sheetData>
  <phoneticPr fontId="1"/>
  <pageMargins left="0.75" right="0.75" top="1" bottom="1" header="0.5" footer="0.5"/>
  <pageSetup paperSize="9" orientation="portrait" horizontalDpi="0" verticalDpi="0" r:id="rId1"/>
  <legacyDrawing r:id="rId2"/>
  <tableParts count="2">
    <tablePart r:id="rId3"/>
    <tablePart r:id="rId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N1198"/>
  <sheetViews>
    <sheetView zoomScale="85" workbookViewId="0">
      <selection activeCell="W18" sqref="W18"/>
    </sheetView>
  </sheetViews>
  <sheetFormatPr defaultRowHeight="12.5" x14ac:dyDescent="0.25"/>
  <cols>
    <col min="2" max="2" width="11.54296875" bestFit="1" customWidth="1"/>
    <col min="3" max="3" width="11.1796875" customWidth="1"/>
    <col min="4" max="4" width="9.453125" bestFit="1" customWidth="1"/>
    <col min="5" max="5" width="13.7265625" bestFit="1" customWidth="1"/>
    <col min="6" max="6" width="11.26953125" customWidth="1"/>
    <col min="7" max="7" width="10.81640625" bestFit="1" customWidth="1"/>
    <col min="8" max="9" width="9.453125" bestFit="1" customWidth="1"/>
    <col min="10" max="10" width="12.81640625" bestFit="1" customWidth="1"/>
    <col min="11" max="11" width="9.26953125" bestFit="1" customWidth="1"/>
    <col min="12" max="12" width="12.7265625" bestFit="1" customWidth="1"/>
    <col min="13" max="13" width="8.453125" bestFit="1" customWidth="1"/>
    <col min="14" max="14" width="7.26953125" bestFit="1" customWidth="1"/>
  </cols>
  <sheetData>
    <row r="2" spans="2:11" ht="13.5" thickBot="1" x14ac:dyDescent="0.35">
      <c r="B2" s="17" t="s">
        <v>235</v>
      </c>
      <c r="C2" s="6" t="s">
        <v>286</v>
      </c>
      <c r="D2" s="6" t="s">
        <v>287</v>
      </c>
      <c r="E2" s="6" t="s">
        <v>238</v>
      </c>
      <c r="F2" s="6" t="s">
        <v>237</v>
      </c>
      <c r="G2" s="6"/>
      <c r="H2" s="6"/>
      <c r="I2" s="6" t="s">
        <v>236</v>
      </c>
      <c r="J2" s="6" t="s">
        <v>239</v>
      </c>
      <c r="K2" s="14"/>
    </row>
    <row r="3" spans="2:11" ht="13" thickBot="1" x14ac:dyDescent="0.3">
      <c r="B3" s="10" t="s">
        <v>374</v>
      </c>
      <c r="C3" s="25">
        <v>3845</v>
      </c>
      <c r="D3" s="27">
        <v>3220</v>
      </c>
      <c r="E3">
        <f t="shared" ref="E3:E17" si="0">MAX(10,ROUND($F3*$D3,0))</f>
        <v>322</v>
      </c>
      <c r="F3" s="18">
        <f>MIN(0.15, 0.25 * ( 0.7 - EXP( -1.3 * $D3 / $C3 ) ))*1.1</f>
        <v>9.9918948647991029E-2</v>
      </c>
      <c r="G3" s="18"/>
      <c r="I3" s="28">
        <v>500</v>
      </c>
      <c r="J3" s="29">
        <f t="shared" ref="J3:J17" si="1">25*$I3</f>
        <v>12500</v>
      </c>
      <c r="K3" s="11"/>
    </row>
    <row r="4" spans="2:11" x14ac:dyDescent="0.25">
      <c r="B4" s="10" t="s">
        <v>241</v>
      </c>
      <c r="C4">
        <f t="shared" ref="C4:C17" si="2">C3</f>
        <v>3845</v>
      </c>
      <c r="D4" s="9">
        <f t="shared" ref="D4:D17" si="3">D3+100</f>
        <v>3320</v>
      </c>
      <c r="E4">
        <f t="shared" si="0"/>
        <v>342</v>
      </c>
      <c r="F4" s="18">
        <f t="shared" ref="F4:F17" si="4">MIN(0.15, 0.25 * ( 0.7 - EXP( -1.3 * $D4 / $C4 ) ))*1.1</f>
        <v>0.10299680270207687</v>
      </c>
      <c r="G4" s="18"/>
      <c r="I4" s="20">
        <f t="shared" ref="I4:I17" si="5">I3+25</f>
        <v>525</v>
      </c>
      <c r="J4" s="20">
        <f t="shared" si="1"/>
        <v>13125</v>
      </c>
      <c r="K4" s="11"/>
    </row>
    <row r="5" spans="2:11" x14ac:dyDescent="0.25">
      <c r="B5" s="19" t="s">
        <v>242</v>
      </c>
      <c r="C5">
        <f t="shared" si="2"/>
        <v>3845</v>
      </c>
      <c r="D5" s="9">
        <f t="shared" si="3"/>
        <v>3420</v>
      </c>
      <c r="E5">
        <f t="shared" si="0"/>
        <v>362</v>
      </c>
      <c r="F5" s="18">
        <f t="shared" si="4"/>
        <v>0.10597233359780676</v>
      </c>
      <c r="G5" s="18"/>
      <c r="I5">
        <f t="shared" si="5"/>
        <v>550</v>
      </c>
      <c r="J5">
        <f t="shared" si="1"/>
        <v>13750</v>
      </c>
      <c r="K5" s="11"/>
    </row>
    <row r="6" spans="2:11" x14ac:dyDescent="0.25">
      <c r="B6" s="10"/>
      <c r="C6">
        <f t="shared" si="2"/>
        <v>3845</v>
      </c>
      <c r="D6" s="9">
        <f t="shared" si="3"/>
        <v>3520</v>
      </c>
      <c r="E6">
        <f t="shared" si="0"/>
        <v>383</v>
      </c>
      <c r="F6" s="18">
        <f t="shared" si="4"/>
        <v>0.10884894306526666</v>
      </c>
      <c r="G6" s="18"/>
      <c r="I6">
        <f t="shared" si="5"/>
        <v>575</v>
      </c>
      <c r="J6">
        <f t="shared" si="1"/>
        <v>14375</v>
      </c>
      <c r="K6" s="11"/>
    </row>
    <row r="7" spans="2:11" x14ac:dyDescent="0.25">
      <c r="B7" s="10"/>
      <c r="C7">
        <f t="shared" si="2"/>
        <v>3845</v>
      </c>
      <c r="D7" s="9">
        <f t="shared" si="3"/>
        <v>3620</v>
      </c>
      <c r="E7">
        <f t="shared" si="0"/>
        <v>404</v>
      </c>
      <c r="F7" s="18">
        <f t="shared" si="4"/>
        <v>0.11162991974413593</v>
      </c>
      <c r="G7" s="18"/>
      <c r="I7">
        <f t="shared" si="5"/>
        <v>600</v>
      </c>
      <c r="J7">
        <f t="shared" si="1"/>
        <v>15000</v>
      </c>
      <c r="K7" s="11"/>
    </row>
    <row r="8" spans="2:11" ht="13" x14ac:dyDescent="0.3">
      <c r="B8" s="21" t="s">
        <v>284</v>
      </c>
      <c r="C8">
        <f t="shared" si="2"/>
        <v>3845</v>
      </c>
      <c r="D8" s="9">
        <f t="shared" si="3"/>
        <v>3720</v>
      </c>
      <c r="E8">
        <f t="shared" si="0"/>
        <v>425</v>
      </c>
      <c r="F8" s="18">
        <f t="shared" si="4"/>
        <v>0.11431844294337434</v>
      </c>
      <c r="G8" s="18"/>
      <c r="I8">
        <f t="shared" si="5"/>
        <v>625</v>
      </c>
      <c r="J8">
        <f t="shared" si="1"/>
        <v>15625</v>
      </c>
      <c r="K8" s="11"/>
    </row>
    <row r="9" spans="2:11" x14ac:dyDescent="0.25">
      <c r="B9" s="16" t="str">
        <f>CONCATENATE( CONCATENATE(TEXT(C3*0.75,0)," - "), TEXT(C3*1.33,0))</f>
        <v>2884 - 5114</v>
      </c>
      <c r="C9">
        <f t="shared" si="2"/>
        <v>3845</v>
      </c>
      <c r="D9" s="9">
        <f t="shared" si="3"/>
        <v>3820</v>
      </c>
      <c r="E9">
        <f t="shared" si="0"/>
        <v>447</v>
      </c>
      <c r="F9" s="18">
        <f t="shared" si="4"/>
        <v>0.11691758627591825</v>
      </c>
      <c r="G9" s="18"/>
      <c r="I9">
        <f t="shared" si="5"/>
        <v>650</v>
      </c>
      <c r="J9">
        <f t="shared" si="1"/>
        <v>16250</v>
      </c>
      <c r="K9" s="11"/>
    </row>
    <row r="10" spans="2:11" x14ac:dyDescent="0.25">
      <c r="B10" s="16"/>
      <c r="C10">
        <f t="shared" si="2"/>
        <v>3845</v>
      </c>
      <c r="D10" s="9">
        <f t="shared" si="3"/>
        <v>3920</v>
      </c>
      <c r="E10">
        <f t="shared" si="0"/>
        <v>468</v>
      </c>
      <c r="F10" s="18">
        <f t="shared" si="4"/>
        <v>0.11943032117254147</v>
      </c>
      <c r="G10" s="18"/>
      <c r="I10">
        <f t="shared" si="5"/>
        <v>675</v>
      </c>
      <c r="J10">
        <f t="shared" si="1"/>
        <v>16875</v>
      </c>
      <c r="K10" s="11"/>
    </row>
    <row r="11" spans="2:11" x14ac:dyDescent="0.25">
      <c r="B11" s="10"/>
      <c r="C11">
        <f t="shared" si="2"/>
        <v>3845</v>
      </c>
      <c r="D11" s="9">
        <f t="shared" si="3"/>
        <v>4020</v>
      </c>
      <c r="E11">
        <f t="shared" si="0"/>
        <v>490</v>
      </c>
      <c r="F11" s="18">
        <f t="shared" si="4"/>
        <v>0.12185952027889797</v>
      </c>
      <c r="G11" s="18"/>
      <c r="I11">
        <f t="shared" si="5"/>
        <v>700</v>
      </c>
      <c r="J11">
        <f t="shared" si="1"/>
        <v>17500</v>
      </c>
      <c r="K11" s="11"/>
    </row>
    <row r="12" spans="2:11" ht="13" x14ac:dyDescent="0.3">
      <c r="B12" s="21" t="s">
        <v>285</v>
      </c>
      <c r="C12">
        <f t="shared" si="2"/>
        <v>3845</v>
      </c>
      <c r="D12" s="9">
        <f t="shared" si="3"/>
        <v>4120</v>
      </c>
      <c r="E12">
        <f t="shared" si="0"/>
        <v>512</v>
      </c>
      <c r="F12" s="18">
        <f t="shared" si="4"/>
        <v>0.12420796073962995</v>
      </c>
      <c r="G12" s="18"/>
      <c r="I12">
        <f t="shared" si="5"/>
        <v>725</v>
      </c>
      <c r="J12">
        <f t="shared" si="1"/>
        <v>18125</v>
      </c>
      <c r="K12" s="11"/>
    </row>
    <row r="13" spans="2:11" x14ac:dyDescent="0.25">
      <c r="B13" s="16" t="str">
        <f>CONCATENATE(CONCATENATE(TEXT(C3*0.6,0)," - "),TEXT(C3*1.66,0))</f>
        <v>2307 - 6383</v>
      </c>
      <c r="C13">
        <f t="shared" si="2"/>
        <v>3845</v>
      </c>
      <c r="D13" s="9">
        <f t="shared" si="3"/>
        <v>4220</v>
      </c>
      <c r="E13">
        <f t="shared" si="0"/>
        <v>534</v>
      </c>
      <c r="F13" s="18">
        <f t="shared" si="4"/>
        <v>0.12647832737329595</v>
      </c>
      <c r="G13" s="18"/>
      <c r="I13">
        <f t="shared" si="5"/>
        <v>750</v>
      </c>
      <c r="J13">
        <f t="shared" si="1"/>
        <v>18750</v>
      </c>
      <c r="K13" s="11"/>
    </row>
    <row r="14" spans="2:11" x14ac:dyDescent="0.25">
      <c r="B14" s="16"/>
      <c r="C14">
        <f t="shared" si="2"/>
        <v>3845</v>
      </c>
      <c r="D14" s="9">
        <f t="shared" si="3"/>
        <v>4320</v>
      </c>
      <c r="E14">
        <f t="shared" si="0"/>
        <v>556</v>
      </c>
      <c r="F14" s="18">
        <f t="shared" si="4"/>
        <v>0.12867321574174848</v>
      </c>
      <c r="G14" s="18"/>
      <c r="I14">
        <f t="shared" si="5"/>
        <v>775</v>
      </c>
      <c r="J14">
        <f t="shared" si="1"/>
        <v>19375</v>
      </c>
      <c r="K14" s="11"/>
    </row>
    <row r="15" spans="2:11" x14ac:dyDescent="0.25">
      <c r="B15" s="10"/>
      <c r="C15">
        <f t="shared" si="2"/>
        <v>3845</v>
      </c>
      <c r="D15" s="9">
        <f t="shared" si="3"/>
        <v>4420</v>
      </c>
      <c r="E15">
        <f t="shared" si="0"/>
        <v>578</v>
      </c>
      <c r="F15" s="18">
        <f t="shared" si="4"/>
        <v>0.13079513511747026</v>
      </c>
      <c r="G15" s="18"/>
      <c r="I15">
        <f t="shared" si="5"/>
        <v>800</v>
      </c>
      <c r="J15">
        <f t="shared" si="1"/>
        <v>20000</v>
      </c>
      <c r="K15" s="11"/>
    </row>
    <row r="16" spans="2:11" x14ac:dyDescent="0.25">
      <c r="B16" s="10"/>
      <c r="C16">
        <f t="shared" si="2"/>
        <v>3845</v>
      </c>
      <c r="D16" s="9">
        <f t="shared" si="3"/>
        <v>4520</v>
      </c>
      <c r="E16">
        <f t="shared" si="0"/>
        <v>600</v>
      </c>
      <c r="F16" s="18">
        <f t="shared" si="4"/>
        <v>0.13284651135226169</v>
      </c>
      <c r="G16" s="18"/>
      <c r="I16">
        <f t="shared" si="5"/>
        <v>825</v>
      </c>
      <c r="J16">
        <f t="shared" si="1"/>
        <v>20625</v>
      </c>
      <c r="K16" s="11"/>
    </row>
    <row r="17" spans="1:14" x14ac:dyDescent="0.25">
      <c r="B17" s="10"/>
      <c r="C17">
        <f t="shared" si="2"/>
        <v>3845</v>
      </c>
      <c r="D17" s="9">
        <f t="shared" si="3"/>
        <v>4620</v>
      </c>
      <c r="E17">
        <f t="shared" si="0"/>
        <v>623</v>
      </c>
      <c r="F17" s="18">
        <f t="shared" si="4"/>
        <v>0.13482968965055847</v>
      </c>
      <c r="G17" s="18"/>
      <c r="I17">
        <f t="shared" si="5"/>
        <v>850</v>
      </c>
      <c r="J17">
        <f t="shared" si="1"/>
        <v>21250</v>
      </c>
      <c r="K17" s="11"/>
    </row>
    <row r="18" spans="1:14" x14ac:dyDescent="0.25">
      <c r="B18" s="13"/>
      <c r="C18" s="7"/>
      <c r="D18" s="7"/>
      <c r="E18" s="7"/>
      <c r="F18" s="7"/>
      <c r="G18" s="7"/>
      <c r="H18" s="456" t="s">
        <v>440</v>
      </c>
      <c r="I18" s="456"/>
      <c r="J18" s="456"/>
      <c r="K18" s="457"/>
    </row>
    <row r="20" spans="1:14" ht="13" thickBot="1" x14ac:dyDescent="0.3">
      <c r="H20" s="4"/>
      <c r="I20" s="4"/>
      <c r="L20" t="s">
        <v>432</v>
      </c>
    </row>
    <row r="21" spans="1:14" ht="13" thickBot="1" x14ac:dyDescent="0.3">
      <c r="E21" t="s">
        <v>297</v>
      </c>
      <c r="F21" s="36">
        <v>0.125</v>
      </c>
      <c r="H21" s="4"/>
      <c r="I21" s="4"/>
      <c r="J21" t="s">
        <v>433</v>
      </c>
      <c r="K21" t="s">
        <v>434</v>
      </c>
      <c r="L21" s="35">
        <v>0.3</v>
      </c>
      <c r="M21" t="s">
        <v>435</v>
      </c>
    </row>
    <row r="22" spans="1:14" x14ac:dyDescent="0.25">
      <c r="A22" s="24" t="s">
        <v>99</v>
      </c>
      <c r="B22" s="6" t="s">
        <v>30</v>
      </c>
      <c r="C22" s="33"/>
      <c r="D22" s="6" t="s">
        <v>145</v>
      </c>
      <c r="E22" s="6">
        <v>4</v>
      </c>
      <c r="G22" s="6">
        <v>325</v>
      </c>
      <c r="H22" s="6">
        <v>25</v>
      </c>
      <c r="I22" s="14">
        <v>5</v>
      </c>
      <c r="J22" s="4"/>
      <c r="K22" s="4">
        <f>(K29-K28-K27)*C22</f>
        <v>0</v>
      </c>
      <c r="M22" s="4">
        <f>J22*F22*(1+L21)</f>
        <v>0</v>
      </c>
    </row>
    <row r="23" spans="1:14" x14ac:dyDescent="0.25">
      <c r="A23" s="22"/>
      <c r="C23" s="26">
        <f>1-C24</f>
        <v>0.5</v>
      </c>
      <c r="D23" t="s">
        <v>146</v>
      </c>
      <c r="F23">
        <v>3</v>
      </c>
      <c r="G23">
        <v>300</v>
      </c>
      <c r="H23">
        <v>15</v>
      </c>
      <c r="I23" s="11">
        <v>5</v>
      </c>
      <c r="J23" s="4">
        <f>K23/I23</f>
        <v>6412.7</v>
      </c>
      <c r="K23" s="4">
        <f>(K29-K28-K27)*C23</f>
        <v>32063.5</v>
      </c>
      <c r="M23" s="4">
        <f>J23*F23*(1+L21)</f>
        <v>25009.53</v>
      </c>
    </row>
    <row r="24" spans="1:14" x14ac:dyDescent="0.25">
      <c r="A24" s="22"/>
      <c r="C24" s="26">
        <v>0.5</v>
      </c>
      <c r="D24" t="s">
        <v>147</v>
      </c>
      <c r="E24">
        <f>1+F21*10</f>
        <v>2.25</v>
      </c>
      <c r="F24">
        <f>4+F21*10</f>
        <v>5.25</v>
      </c>
      <c r="G24">
        <v>1000</v>
      </c>
      <c r="H24">
        <v>55</v>
      </c>
      <c r="I24" s="11">
        <f>1.8 * MIN(6, MAX(E24,F24)) + 0.45 * MIN(6, MIN(E24,F24)) + IF(E24&gt;6, (E24-6)*0.2) + IF(F24&gt;6, (F24-6)*0.2)</f>
        <v>10.4625</v>
      </c>
      <c r="J24" s="4">
        <f>K24/I24</f>
        <v>3064.611708482676</v>
      </c>
      <c r="K24" s="4">
        <f>(K29-K28-K27)*C24</f>
        <v>32063.5</v>
      </c>
      <c r="M24" s="4">
        <f>J24*F24*(1+L21)</f>
        <v>20915.974910394267</v>
      </c>
    </row>
    <row r="25" spans="1:14" ht="13" thickBot="1" x14ac:dyDescent="0.3">
      <c r="A25" s="23"/>
      <c r="B25" s="7"/>
      <c r="C25" s="34"/>
      <c r="D25" s="7" t="s">
        <v>148</v>
      </c>
      <c r="E25" s="7">
        <v>6</v>
      </c>
      <c r="F25" s="7">
        <v>0</v>
      </c>
      <c r="G25" s="7">
        <v>1200</v>
      </c>
      <c r="H25" s="7">
        <v>55</v>
      </c>
      <c r="I25" s="11">
        <f>1.8 * MIN(6, MAX(E25,F25)) + 0.45 * MIN(6, MIN(E25,F25)) + IF(E25&gt;6, (E25-6)*0.2) + IF(F25&gt;6, (F25-6)*0.2)</f>
        <v>10.8</v>
      </c>
      <c r="J25" s="4"/>
      <c r="K25" s="4">
        <f>(K29-K28-K27)*C25</f>
        <v>0</v>
      </c>
      <c r="M25" s="4">
        <f>J25*F25*(1+L21)</f>
        <v>0</v>
      </c>
    </row>
    <row r="26" spans="1:14" x14ac:dyDescent="0.25">
      <c r="C26" s="5">
        <f>SUM(C22:C25)</f>
        <v>1</v>
      </c>
      <c r="D26" t="s">
        <v>24</v>
      </c>
      <c r="F26">
        <v>1</v>
      </c>
      <c r="H26" s="4"/>
      <c r="I26" t="s">
        <v>24</v>
      </c>
      <c r="J26" s="33">
        <v>5000</v>
      </c>
      <c r="M26" s="4">
        <f>J26*F26*(1+L21)</f>
        <v>6500</v>
      </c>
    </row>
    <row r="27" spans="1:14" ht="13" x14ac:dyDescent="0.3">
      <c r="H27" s="4"/>
      <c r="I27" s="4" t="s">
        <v>430</v>
      </c>
      <c r="J27" s="30">
        <v>1250</v>
      </c>
      <c r="K27" s="4">
        <f>J27*25</f>
        <v>31250</v>
      </c>
      <c r="M27" s="37">
        <f>SUM(M22:M26)</f>
        <v>52425.504910394266</v>
      </c>
      <c r="N27" t="s">
        <v>435</v>
      </c>
    </row>
    <row r="28" spans="1:14" ht="13" thickBot="1" x14ac:dyDescent="0.3">
      <c r="H28" s="4"/>
      <c r="I28" s="4" t="s">
        <v>431</v>
      </c>
      <c r="J28" s="34">
        <v>750</v>
      </c>
      <c r="K28" s="4">
        <f>5*J28</f>
        <v>3750</v>
      </c>
    </row>
    <row r="29" spans="1:14" ht="13" thickBot="1" x14ac:dyDescent="0.3">
      <c r="H29" s="4"/>
      <c r="I29" s="4"/>
      <c r="K29" s="32">
        <v>99127</v>
      </c>
    </row>
    <row r="30" spans="1:14" x14ac:dyDescent="0.25">
      <c r="H30" s="4"/>
      <c r="I30" s="4"/>
    </row>
    <row r="31" spans="1:14" ht="13" thickBot="1" x14ac:dyDescent="0.3">
      <c r="H31" s="4"/>
      <c r="I31" s="4"/>
      <c r="L31" t="s">
        <v>444</v>
      </c>
    </row>
    <row r="32" spans="1:14" ht="13" thickBot="1" x14ac:dyDescent="0.3">
      <c r="H32" s="4"/>
      <c r="I32" s="4"/>
      <c r="J32" t="s">
        <v>433</v>
      </c>
      <c r="K32" t="s">
        <v>434</v>
      </c>
      <c r="L32" s="35">
        <v>0.2</v>
      </c>
      <c r="M32" t="s">
        <v>435</v>
      </c>
      <c r="N32" t="s">
        <v>446</v>
      </c>
    </row>
    <row r="33" spans="1:14" x14ac:dyDescent="0.25">
      <c r="A33" s="24" t="s">
        <v>97</v>
      </c>
      <c r="B33" s="14" t="s">
        <v>30</v>
      </c>
      <c r="C33" s="33"/>
      <c r="D33" s="12" t="s">
        <v>141</v>
      </c>
      <c r="E33" s="6">
        <v>3</v>
      </c>
      <c r="F33" s="6"/>
      <c r="G33" s="6">
        <v>325</v>
      </c>
      <c r="H33" s="6">
        <v>25</v>
      </c>
      <c r="I33" s="14">
        <v>5</v>
      </c>
      <c r="J33" s="4"/>
      <c r="K33" s="4">
        <f>(K40-K39-K38)*C33</f>
        <v>0</v>
      </c>
      <c r="M33" s="4"/>
      <c r="N33" s="4"/>
    </row>
    <row r="34" spans="1:14" x14ac:dyDescent="0.25">
      <c r="A34" s="22"/>
      <c r="B34" s="11"/>
      <c r="C34" s="26">
        <f>1-C36</f>
        <v>0.4</v>
      </c>
      <c r="D34" s="10" t="s">
        <v>142</v>
      </c>
      <c r="F34">
        <v>3</v>
      </c>
      <c r="G34">
        <v>375</v>
      </c>
      <c r="H34">
        <v>15</v>
      </c>
      <c r="I34" s="11">
        <v>5</v>
      </c>
      <c r="J34" s="4">
        <f>K34/I34</f>
        <v>14126</v>
      </c>
      <c r="K34" s="4">
        <f>(K40-K39-K38)*C34</f>
        <v>70630</v>
      </c>
      <c r="M34" s="39">
        <f>J34*F34*(1+L32)</f>
        <v>50853.599999999999</v>
      </c>
      <c r="N34" s="4"/>
    </row>
    <row r="35" spans="1:14" x14ac:dyDescent="0.25">
      <c r="A35" s="22"/>
      <c r="B35" s="11"/>
      <c r="C35" s="26"/>
      <c r="D35" s="10" t="s">
        <v>356</v>
      </c>
      <c r="E35">
        <v>5</v>
      </c>
      <c r="F35">
        <v>3</v>
      </c>
      <c r="G35">
        <v>1025</v>
      </c>
      <c r="H35">
        <v>80</v>
      </c>
      <c r="I35" s="11">
        <f>1.8 * MIN(6, MAX(E35,F35)) + 0.45 * MIN(6, MIN(E35,F35)) + IF(E35&gt;6, (E35-6)*0.2) + IF(F35&gt;6, (F35-6)*0.2)</f>
        <v>10.35</v>
      </c>
      <c r="J35" s="4">
        <f>K35/I35</f>
        <v>0</v>
      </c>
      <c r="K35" s="4">
        <f>(K40-K39-K38)*C35</f>
        <v>0</v>
      </c>
      <c r="M35" s="4"/>
      <c r="N35" s="4"/>
    </row>
    <row r="36" spans="1:14" ht="13" thickBot="1" x14ac:dyDescent="0.3">
      <c r="A36" s="23"/>
      <c r="B36" s="15"/>
      <c r="C36" s="38">
        <v>0.6</v>
      </c>
      <c r="D36" s="13" t="s">
        <v>144</v>
      </c>
      <c r="E36" s="7">
        <v>6</v>
      </c>
      <c r="F36" s="7">
        <v>2</v>
      </c>
      <c r="G36" s="7">
        <v>1300</v>
      </c>
      <c r="H36" s="7">
        <v>80</v>
      </c>
      <c r="I36" s="11">
        <f>1.8 * MIN(6, MAX(E36,F36)) + 0.45 * MIN(6, MIN(E36,F36)) + IF(E36&gt;6, (E36-6)*0.2) + IF(F36&gt;6, (F36-6)*0.2)</f>
        <v>11.700000000000001</v>
      </c>
      <c r="J36" s="4">
        <f>K36/I36</f>
        <v>9055.1282051282051</v>
      </c>
      <c r="K36" s="4">
        <f>(K40-K39-K38)*C36</f>
        <v>105945</v>
      </c>
      <c r="M36" s="4"/>
      <c r="N36" s="39">
        <f>J36*E36</f>
        <v>54330.769230769234</v>
      </c>
    </row>
    <row r="37" spans="1:14" x14ac:dyDescent="0.25">
      <c r="F37">
        <v>1</v>
      </c>
      <c r="H37" s="4"/>
      <c r="I37" t="s">
        <v>24</v>
      </c>
      <c r="J37" s="33">
        <v>1000</v>
      </c>
      <c r="M37" s="39">
        <f>J37*F37*(1+L35)</f>
        <v>1000</v>
      </c>
      <c r="N37" s="4"/>
    </row>
    <row r="38" spans="1:14" ht="13" x14ac:dyDescent="0.3">
      <c r="H38" s="4"/>
      <c r="I38" s="4" t="s">
        <v>430</v>
      </c>
      <c r="J38" s="30">
        <v>2337</v>
      </c>
      <c r="K38" s="4">
        <f>J38*25</f>
        <v>58425</v>
      </c>
      <c r="M38" s="37"/>
      <c r="N38" s="37"/>
    </row>
    <row r="39" spans="1:14" ht="13.5" thickBot="1" x14ac:dyDescent="0.35">
      <c r="H39" s="4"/>
      <c r="I39" s="4" t="s">
        <v>445</v>
      </c>
      <c r="J39" s="34">
        <v>1000</v>
      </c>
      <c r="K39" s="4">
        <f>5*J39</f>
        <v>5000</v>
      </c>
      <c r="M39" s="37">
        <f>SUM(M33:M37)</f>
        <v>51853.599999999999</v>
      </c>
      <c r="N39" s="37">
        <f>N36</f>
        <v>54330.769230769234</v>
      </c>
    </row>
    <row r="40" spans="1:14" ht="13" thickBot="1" x14ac:dyDescent="0.3">
      <c r="H40" s="4"/>
      <c r="I40" s="4"/>
      <c r="K40" s="32">
        <v>240000</v>
      </c>
    </row>
    <row r="41" spans="1:14" x14ac:dyDescent="0.25">
      <c r="H41" s="4"/>
      <c r="I41" s="4"/>
    </row>
    <row r="42" spans="1:14" x14ac:dyDescent="0.25">
      <c r="H42" s="4"/>
      <c r="I42" s="4"/>
    </row>
    <row r="43" spans="1:14" x14ac:dyDescent="0.25">
      <c r="H43" s="4"/>
      <c r="I43" s="4"/>
    </row>
    <row r="44" spans="1:14" x14ac:dyDescent="0.25">
      <c r="H44" s="4"/>
      <c r="I44" s="4"/>
    </row>
    <row r="45" spans="1:14" x14ac:dyDescent="0.25">
      <c r="H45" s="4"/>
      <c r="I45" s="4"/>
    </row>
    <row r="46" spans="1:14" x14ac:dyDescent="0.25">
      <c r="H46" s="4"/>
      <c r="I46" s="4"/>
    </row>
    <row r="47" spans="1:14" x14ac:dyDescent="0.25">
      <c r="H47" s="4"/>
      <c r="I47" s="4"/>
    </row>
    <row r="48" spans="1:14" x14ac:dyDescent="0.25">
      <c r="H48" s="4"/>
      <c r="I48" s="4"/>
    </row>
    <row r="49" spans="3:9" x14ac:dyDescent="0.25">
      <c r="H49" s="4"/>
      <c r="I49" s="4"/>
    </row>
    <row r="50" spans="3:9" x14ac:dyDescent="0.25">
      <c r="H50" s="4"/>
      <c r="I50" s="4"/>
    </row>
    <row r="51" spans="3:9" ht="13" thickBot="1" x14ac:dyDescent="0.3">
      <c r="C51" s="6" t="s">
        <v>286</v>
      </c>
      <c r="D51" s="6" t="s">
        <v>287</v>
      </c>
      <c r="E51" s="6" t="s">
        <v>238</v>
      </c>
      <c r="F51" s="6" t="s">
        <v>237</v>
      </c>
      <c r="H51" s="4"/>
      <c r="I51" s="4"/>
    </row>
    <row r="52" spans="3:9" ht="13" thickBot="1" x14ac:dyDescent="0.3">
      <c r="C52" s="25">
        <v>3845</v>
      </c>
      <c r="D52" s="27">
        <v>3220</v>
      </c>
      <c r="E52" s="40">
        <f>MAX(10,($F52*$D52))</f>
        <v>321.73901464653113</v>
      </c>
      <c r="F52" s="18">
        <f>MIN(0.15, 0.25 * ( 0.7 - EXP( -1.3 * $D52 / $C52 ) ))*1.1</f>
        <v>9.9918948647991029E-2</v>
      </c>
      <c r="G52">
        <v>310</v>
      </c>
      <c r="H52" s="4"/>
      <c r="I52" s="4"/>
    </row>
    <row r="53" spans="3:9" ht="13" thickBot="1" x14ac:dyDescent="0.3">
      <c r="C53" s="25">
        <v>3810</v>
      </c>
      <c r="D53" s="27">
        <v>3127</v>
      </c>
      <c r="E53" s="40">
        <f>MAX(10,($F53*$D53))</f>
        <v>306.08648635209335</v>
      </c>
      <c r="F53" s="18">
        <f>MIN(0.15, 0.25 * ( 0.7 - EXP( -1.3 * $D53 / $C53 ) ))*1.1</f>
        <v>9.7885029213972921E-2</v>
      </c>
      <c r="G53" s="40">
        <v>298</v>
      </c>
      <c r="H53" s="4"/>
      <c r="I53" s="4"/>
    </row>
    <row r="54" spans="3:9" ht="13" thickBot="1" x14ac:dyDescent="0.3">
      <c r="C54" s="25">
        <v>3643</v>
      </c>
      <c r="D54" s="27">
        <v>3042</v>
      </c>
      <c r="E54" s="40">
        <f>MAX(10,($F54*$D54))</f>
        <v>303.0641393490846</v>
      </c>
      <c r="F54" s="18">
        <f>MIN(0.15, 0.25 * ( 0.7 - EXP( -1.3 * $D54 / $C54 ) ))*1.1</f>
        <v>9.9626607281092891E-2</v>
      </c>
      <c r="G54" s="40">
        <v>294</v>
      </c>
      <c r="H54" s="4"/>
      <c r="I54" s="4"/>
    </row>
    <row r="55" spans="3:9" ht="13" thickBot="1" x14ac:dyDescent="0.3">
      <c r="C55" s="25">
        <v>3905</v>
      </c>
      <c r="D55" s="27">
        <v>2938</v>
      </c>
      <c r="E55" s="40">
        <f>MAX(10,($F55*$D55))</f>
        <v>261.74944508637975</v>
      </c>
      <c r="F55" s="18">
        <f>MIN(0.15, 0.25 * ( 0.7 - EXP( -1.3 * $D55 / $C55 ) ))*1.1</f>
        <v>8.9091029641381811E-2</v>
      </c>
      <c r="G55" s="40">
        <v>234</v>
      </c>
      <c r="H55" s="4"/>
      <c r="I55" s="4"/>
    </row>
    <row r="56" spans="3:9" x14ac:dyDescent="0.25">
      <c r="H56" s="4"/>
      <c r="I56" s="4"/>
    </row>
    <row r="57" spans="3:9" x14ac:dyDescent="0.25">
      <c r="H57" s="4"/>
      <c r="I57" s="4"/>
    </row>
    <row r="58" spans="3:9" x14ac:dyDescent="0.25">
      <c r="H58" s="4"/>
      <c r="I58" s="4"/>
    </row>
    <row r="59" spans="3:9" x14ac:dyDescent="0.25">
      <c r="H59" s="4"/>
      <c r="I59" s="4"/>
    </row>
    <row r="60" spans="3:9" x14ac:dyDescent="0.25">
      <c r="H60" s="4"/>
      <c r="I60" s="4"/>
    </row>
    <row r="61" spans="3:9" x14ac:dyDescent="0.25">
      <c r="H61" s="4"/>
      <c r="I61" s="4"/>
    </row>
    <row r="62" spans="3:9" x14ac:dyDescent="0.25">
      <c r="H62" s="4"/>
      <c r="I62" s="4"/>
    </row>
    <row r="63" spans="3:9" x14ac:dyDescent="0.25">
      <c r="H63" s="4"/>
      <c r="I63" s="4"/>
    </row>
    <row r="64" spans="3:9" x14ac:dyDescent="0.25">
      <c r="H64" s="4"/>
      <c r="I64" s="4"/>
    </row>
    <row r="65" spans="8:9" x14ac:dyDescent="0.25">
      <c r="H65" s="4"/>
      <c r="I65" s="4"/>
    </row>
    <row r="66" spans="8:9" x14ac:dyDescent="0.25">
      <c r="H66" s="4"/>
      <c r="I66" s="4"/>
    </row>
    <row r="67" spans="8:9" x14ac:dyDescent="0.25">
      <c r="H67" s="4"/>
      <c r="I67" s="4"/>
    </row>
    <row r="68" spans="8:9" x14ac:dyDescent="0.25">
      <c r="H68" s="4"/>
      <c r="I68" s="4"/>
    </row>
    <row r="69" spans="8:9" x14ac:dyDescent="0.25">
      <c r="H69" s="4"/>
      <c r="I69" s="4"/>
    </row>
    <row r="70" spans="8:9" x14ac:dyDescent="0.25">
      <c r="H70" s="4"/>
      <c r="I70" s="4"/>
    </row>
    <row r="71" spans="8:9" x14ac:dyDescent="0.25">
      <c r="H71" s="4"/>
      <c r="I71" s="4"/>
    </row>
    <row r="72" spans="8:9" x14ac:dyDescent="0.25">
      <c r="H72" s="4"/>
      <c r="I72" s="4"/>
    </row>
    <row r="73" spans="8:9" x14ac:dyDescent="0.25">
      <c r="H73" s="4"/>
      <c r="I73" s="4"/>
    </row>
    <row r="74" spans="8:9" x14ac:dyDescent="0.25">
      <c r="H74" s="4"/>
      <c r="I74" s="4"/>
    </row>
    <row r="75" spans="8:9" x14ac:dyDescent="0.25">
      <c r="H75" s="4"/>
      <c r="I75" s="4"/>
    </row>
    <row r="76" spans="8:9" x14ac:dyDescent="0.25">
      <c r="H76" s="4"/>
      <c r="I76" s="4"/>
    </row>
    <row r="77" spans="8:9" x14ac:dyDescent="0.25">
      <c r="H77" s="4"/>
      <c r="I77" s="4"/>
    </row>
    <row r="78" spans="8:9" x14ac:dyDescent="0.25">
      <c r="H78" s="4"/>
      <c r="I78" s="4"/>
    </row>
    <row r="79" spans="8:9" x14ac:dyDescent="0.25">
      <c r="H79" s="4"/>
      <c r="I79" s="4"/>
    </row>
    <row r="80" spans="8:9" x14ac:dyDescent="0.25">
      <c r="H80" s="4"/>
      <c r="I80" s="4"/>
    </row>
    <row r="81" spans="8:9" x14ac:dyDescent="0.25">
      <c r="H81" s="4"/>
      <c r="I81" s="4"/>
    </row>
    <row r="82" spans="8:9" x14ac:dyDescent="0.25">
      <c r="H82" s="4"/>
      <c r="I82" s="4"/>
    </row>
    <row r="83" spans="8:9" x14ac:dyDescent="0.25">
      <c r="H83" s="4"/>
      <c r="I83" s="4"/>
    </row>
    <row r="84" spans="8:9" x14ac:dyDescent="0.25">
      <c r="H84" s="4"/>
      <c r="I84" s="4"/>
    </row>
    <row r="85" spans="8:9" x14ac:dyDescent="0.25">
      <c r="H85" s="4"/>
      <c r="I85" s="4"/>
    </row>
    <row r="86" spans="8:9" x14ac:dyDescent="0.25">
      <c r="H86" s="4"/>
      <c r="I86" s="4"/>
    </row>
    <row r="87" spans="8:9" x14ac:dyDescent="0.25">
      <c r="H87" s="4"/>
      <c r="I87" s="4"/>
    </row>
    <row r="88" spans="8:9" x14ac:dyDescent="0.25">
      <c r="H88" s="4"/>
      <c r="I88" s="4"/>
    </row>
    <row r="89" spans="8:9" x14ac:dyDescent="0.25">
      <c r="H89" s="4"/>
      <c r="I89" s="4"/>
    </row>
    <row r="90" spans="8:9" x14ac:dyDescent="0.25">
      <c r="H90" s="4"/>
      <c r="I90" s="4"/>
    </row>
    <row r="91" spans="8:9" x14ac:dyDescent="0.25">
      <c r="H91" s="4"/>
      <c r="I91" s="4"/>
    </row>
    <row r="92" spans="8:9" x14ac:dyDescent="0.25">
      <c r="H92" s="4"/>
      <c r="I92" s="4"/>
    </row>
    <row r="93" spans="8:9" x14ac:dyDescent="0.25">
      <c r="H93" s="4"/>
      <c r="I93" s="4"/>
    </row>
    <row r="94" spans="8:9" x14ac:dyDescent="0.25">
      <c r="H94" s="4"/>
      <c r="I94" s="4"/>
    </row>
    <row r="95" spans="8:9" x14ac:dyDescent="0.25">
      <c r="H95" s="4"/>
      <c r="I95" s="4"/>
    </row>
    <row r="96" spans="8:9" x14ac:dyDescent="0.25">
      <c r="H96" s="4"/>
      <c r="I96" s="4"/>
    </row>
    <row r="97" spans="8:9" x14ac:dyDescent="0.25">
      <c r="H97" s="4"/>
      <c r="I97" s="4"/>
    </row>
    <row r="98" spans="8:9" x14ac:dyDescent="0.25">
      <c r="H98" s="4"/>
      <c r="I98" s="4"/>
    </row>
    <row r="99" spans="8:9" x14ac:dyDescent="0.25">
      <c r="H99" s="4"/>
      <c r="I99" s="4"/>
    </row>
    <row r="100" spans="8:9" x14ac:dyDescent="0.25">
      <c r="H100" s="4"/>
      <c r="I100" s="4"/>
    </row>
    <row r="101" spans="8:9" x14ac:dyDescent="0.25">
      <c r="H101" s="4"/>
      <c r="I101" s="4"/>
    </row>
    <row r="102" spans="8:9" x14ac:dyDescent="0.25">
      <c r="H102" s="4"/>
      <c r="I102" s="4"/>
    </row>
    <row r="103" spans="8:9" x14ac:dyDescent="0.25">
      <c r="H103" s="4"/>
      <c r="I103" s="4"/>
    </row>
    <row r="104" spans="8:9" x14ac:dyDescent="0.25">
      <c r="H104" s="4"/>
      <c r="I104" s="4"/>
    </row>
    <row r="105" spans="8:9" x14ac:dyDescent="0.25">
      <c r="H105" s="4"/>
      <c r="I105" s="4"/>
    </row>
    <row r="106" spans="8:9" x14ac:dyDescent="0.25">
      <c r="H106" s="4"/>
      <c r="I106" s="4"/>
    </row>
    <row r="107" spans="8:9" x14ac:dyDescent="0.25">
      <c r="H107" s="4"/>
      <c r="I107" s="4"/>
    </row>
    <row r="108" spans="8:9" x14ac:dyDescent="0.25">
      <c r="H108" s="4"/>
      <c r="I108" s="4"/>
    </row>
    <row r="109" spans="8:9" x14ac:dyDescent="0.25">
      <c r="H109" s="4"/>
      <c r="I109" s="4"/>
    </row>
    <row r="110" spans="8:9" x14ac:dyDescent="0.25">
      <c r="H110" s="4"/>
      <c r="I110" s="4"/>
    </row>
    <row r="111" spans="8:9" x14ac:dyDescent="0.25">
      <c r="H111" s="4"/>
      <c r="I111" s="4"/>
    </row>
    <row r="112" spans="8:9" x14ac:dyDescent="0.25">
      <c r="H112" s="4"/>
      <c r="I112" s="4"/>
    </row>
    <row r="113" spans="8:9" x14ac:dyDescent="0.25">
      <c r="H113" s="4"/>
      <c r="I113" s="4"/>
    </row>
    <row r="114" spans="8:9" x14ac:dyDescent="0.25">
      <c r="H114" s="4"/>
      <c r="I114" s="4"/>
    </row>
    <row r="115" spans="8:9" x14ac:dyDescent="0.25">
      <c r="H115" s="4"/>
      <c r="I115" s="4"/>
    </row>
    <row r="116" spans="8:9" x14ac:dyDescent="0.25">
      <c r="H116" s="4"/>
      <c r="I116" s="4"/>
    </row>
    <row r="117" spans="8:9" x14ac:dyDescent="0.25">
      <c r="H117" s="4"/>
      <c r="I117" s="4"/>
    </row>
    <row r="118" spans="8:9" x14ac:dyDescent="0.25">
      <c r="H118" s="4"/>
      <c r="I118" s="4"/>
    </row>
    <row r="119" spans="8:9" x14ac:dyDescent="0.25">
      <c r="H119" s="4"/>
      <c r="I119" s="4"/>
    </row>
    <row r="120" spans="8:9" x14ac:dyDescent="0.25">
      <c r="H120" s="4"/>
      <c r="I120" s="4"/>
    </row>
    <row r="121" spans="8:9" x14ac:dyDescent="0.25">
      <c r="H121" s="4"/>
      <c r="I121" s="4"/>
    </row>
    <row r="122" spans="8:9" x14ac:dyDescent="0.25">
      <c r="H122" s="4"/>
      <c r="I122" s="4"/>
    </row>
    <row r="123" spans="8:9" x14ac:dyDescent="0.25">
      <c r="H123" s="4"/>
      <c r="I123" s="4"/>
    </row>
    <row r="124" spans="8:9" x14ac:dyDescent="0.25">
      <c r="H124" s="4"/>
      <c r="I124" s="4"/>
    </row>
    <row r="125" spans="8:9" x14ac:dyDescent="0.25">
      <c r="H125" s="4"/>
      <c r="I125" s="4"/>
    </row>
    <row r="126" spans="8:9" x14ac:dyDescent="0.25">
      <c r="H126" s="4"/>
      <c r="I126" s="4"/>
    </row>
    <row r="127" spans="8:9" x14ac:dyDescent="0.25">
      <c r="H127" s="4"/>
      <c r="I127" s="4"/>
    </row>
    <row r="128" spans="8:9" x14ac:dyDescent="0.25">
      <c r="H128" s="4"/>
      <c r="I128" s="4"/>
    </row>
    <row r="129" spans="8:9" x14ac:dyDescent="0.25">
      <c r="H129" s="4"/>
      <c r="I129" s="4"/>
    </row>
    <row r="130" spans="8:9" x14ac:dyDescent="0.25">
      <c r="H130" s="4"/>
      <c r="I130" s="4"/>
    </row>
    <row r="131" spans="8:9" x14ac:dyDescent="0.25">
      <c r="H131" s="4"/>
      <c r="I131" s="4"/>
    </row>
    <row r="132" spans="8:9" x14ac:dyDescent="0.25">
      <c r="H132" s="4"/>
      <c r="I132" s="4"/>
    </row>
    <row r="133" spans="8:9" x14ac:dyDescent="0.25">
      <c r="H133" s="4"/>
      <c r="I133" s="4"/>
    </row>
    <row r="134" spans="8:9" x14ac:dyDescent="0.25">
      <c r="H134" s="4"/>
      <c r="I134" s="4"/>
    </row>
    <row r="135" spans="8:9" x14ac:dyDescent="0.25">
      <c r="H135" s="4"/>
      <c r="I135" s="4"/>
    </row>
    <row r="136" spans="8:9" x14ac:dyDescent="0.25">
      <c r="H136" s="4"/>
      <c r="I136" s="4"/>
    </row>
    <row r="137" spans="8:9" x14ac:dyDescent="0.25">
      <c r="H137" s="4"/>
      <c r="I137" s="4"/>
    </row>
    <row r="138" spans="8:9" x14ac:dyDescent="0.25">
      <c r="H138" s="4"/>
      <c r="I138" s="4"/>
    </row>
    <row r="139" spans="8:9" x14ac:dyDescent="0.25">
      <c r="H139" s="4"/>
      <c r="I139" s="4"/>
    </row>
    <row r="140" spans="8:9" x14ac:dyDescent="0.25">
      <c r="H140" s="4"/>
      <c r="I140" s="4"/>
    </row>
    <row r="141" spans="8:9" x14ac:dyDescent="0.25">
      <c r="H141" s="4"/>
      <c r="I141" s="4"/>
    </row>
    <row r="142" spans="8:9" x14ac:dyDescent="0.25">
      <c r="H142" s="4"/>
      <c r="I142" s="4"/>
    </row>
    <row r="143" spans="8:9" x14ac:dyDescent="0.25">
      <c r="H143" s="4"/>
      <c r="I143" s="4"/>
    </row>
    <row r="144" spans="8:9" x14ac:dyDescent="0.25">
      <c r="H144" s="4"/>
      <c r="I144" s="4"/>
    </row>
    <row r="145" spans="8:9" x14ac:dyDescent="0.25">
      <c r="H145" s="4"/>
      <c r="I145" s="4"/>
    </row>
    <row r="146" spans="8:9" x14ac:dyDescent="0.25">
      <c r="H146" s="4"/>
      <c r="I146" s="4"/>
    </row>
    <row r="147" spans="8:9" x14ac:dyDescent="0.25">
      <c r="H147" s="4"/>
      <c r="I147" s="4"/>
    </row>
    <row r="148" spans="8:9" x14ac:dyDescent="0.25">
      <c r="H148" s="4"/>
      <c r="I148" s="4"/>
    </row>
    <row r="149" spans="8:9" x14ac:dyDescent="0.25">
      <c r="H149" s="4"/>
      <c r="I149" s="4"/>
    </row>
    <row r="150" spans="8:9" x14ac:dyDescent="0.25">
      <c r="H150" s="4"/>
      <c r="I150" s="4"/>
    </row>
    <row r="151" spans="8:9" x14ac:dyDescent="0.25">
      <c r="H151" s="4"/>
      <c r="I151" s="4"/>
    </row>
    <row r="152" spans="8:9" x14ac:dyDescent="0.25">
      <c r="H152" s="4"/>
      <c r="I152" s="4"/>
    </row>
    <row r="153" spans="8:9" x14ac:dyDescent="0.25">
      <c r="H153" s="4"/>
      <c r="I153" s="4"/>
    </row>
    <row r="154" spans="8:9" x14ac:dyDescent="0.25">
      <c r="H154" s="4"/>
      <c r="I154" s="4"/>
    </row>
    <row r="155" spans="8:9" x14ac:dyDescent="0.25">
      <c r="H155" s="4"/>
      <c r="I155" s="4"/>
    </row>
    <row r="156" spans="8:9" x14ac:dyDescent="0.25">
      <c r="H156" s="4"/>
      <c r="I156" s="4"/>
    </row>
    <row r="157" spans="8:9" x14ac:dyDescent="0.25">
      <c r="H157" s="4"/>
      <c r="I157" s="4"/>
    </row>
    <row r="158" spans="8:9" x14ac:dyDescent="0.25">
      <c r="H158" s="4"/>
      <c r="I158" s="4"/>
    </row>
    <row r="159" spans="8:9" x14ac:dyDescent="0.25">
      <c r="H159" s="4"/>
      <c r="I159" s="4"/>
    </row>
    <row r="160" spans="8:9" x14ac:dyDescent="0.25">
      <c r="H160" s="4"/>
      <c r="I160" s="4"/>
    </row>
    <row r="161" spans="8:9" x14ac:dyDescent="0.25">
      <c r="H161" s="4"/>
      <c r="I161" s="4"/>
    </row>
    <row r="162" spans="8:9" x14ac:dyDescent="0.25">
      <c r="H162" s="4"/>
      <c r="I162" s="4"/>
    </row>
    <row r="163" spans="8:9" x14ac:dyDescent="0.25">
      <c r="H163" s="4"/>
      <c r="I163" s="4"/>
    </row>
    <row r="164" spans="8:9" x14ac:dyDescent="0.25">
      <c r="H164" s="4"/>
      <c r="I164" s="4"/>
    </row>
    <row r="165" spans="8:9" x14ac:dyDescent="0.25">
      <c r="H165" s="4"/>
      <c r="I165" s="4"/>
    </row>
    <row r="166" spans="8:9" x14ac:dyDescent="0.25">
      <c r="H166" s="4"/>
      <c r="I166" s="4"/>
    </row>
    <row r="167" spans="8:9" x14ac:dyDescent="0.25">
      <c r="H167" s="4"/>
      <c r="I167" s="4"/>
    </row>
    <row r="168" spans="8:9" x14ac:dyDescent="0.25">
      <c r="H168" s="4"/>
      <c r="I168" s="4"/>
    </row>
    <row r="169" spans="8:9" x14ac:dyDescent="0.25">
      <c r="H169" s="4"/>
      <c r="I169" s="4"/>
    </row>
    <row r="170" spans="8:9" x14ac:dyDescent="0.25">
      <c r="H170" s="4"/>
      <c r="I170" s="4"/>
    </row>
    <row r="171" spans="8:9" x14ac:dyDescent="0.25">
      <c r="H171" s="4"/>
      <c r="I171" s="4"/>
    </row>
    <row r="172" spans="8:9" x14ac:dyDescent="0.25">
      <c r="H172" s="4"/>
      <c r="I172" s="4"/>
    </row>
    <row r="173" spans="8:9" x14ac:dyDescent="0.25">
      <c r="H173" s="4"/>
      <c r="I173" s="4"/>
    </row>
    <row r="174" spans="8:9" x14ac:dyDescent="0.25">
      <c r="H174" s="4"/>
      <c r="I174" s="4"/>
    </row>
    <row r="175" spans="8:9" x14ac:dyDescent="0.25">
      <c r="H175" s="4"/>
      <c r="I175" s="4"/>
    </row>
    <row r="176" spans="8:9" x14ac:dyDescent="0.25">
      <c r="H176" s="4"/>
      <c r="I176" s="4"/>
    </row>
    <row r="177" spans="8:9" x14ac:dyDescent="0.25">
      <c r="H177" s="4"/>
      <c r="I177" s="4"/>
    </row>
    <row r="178" spans="8:9" x14ac:dyDescent="0.25">
      <c r="H178" s="4"/>
      <c r="I178" s="4"/>
    </row>
    <row r="179" spans="8:9" x14ac:dyDescent="0.25">
      <c r="H179" s="4"/>
      <c r="I179" s="4"/>
    </row>
    <row r="180" spans="8:9" x14ac:dyDescent="0.25">
      <c r="H180" s="4"/>
      <c r="I180" s="4"/>
    </row>
    <row r="181" spans="8:9" x14ac:dyDescent="0.25">
      <c r="H181" s="4"/>
      <c r="I181" s="4"/>
    </row>
    <row r="182" spans="8:9" x14ac:dyDescent="0.25">
      <c r="H182" s="4"/>
      <c r="I182" s="4"/>
    </row>
    <row r="183" spans="8:9" x14ac:dyDescent="0.25">
      <c r="H183" s="4"/>
      <c r="I183" s="4"/>
    </row>
    <row r="184" spans="8:9" x14ac:dyDescent="0.25">
      <c r="H184" s="4"/>
      <c r="I184" s="4"/>
    </row>
    <row r="185" spans="8:9" x14ac:dyDescent="0.25">
      <c r="H185" s="4"/>
      <c r="I185" s="4"/>
    </row>
    <row r="186" spans="8:9" x14ac:dyDescent="0.25">
      <c r="H186" s="4"/>
      <c r="I186" s="4"/>
    </row>
    <row r="187" spans="8:9" x14ac:dyDescent="0.25">
      <c r="H187" s="4"/>
      <c r="I187" s="4"/>
    </row>
    <row r="188" spans="8:9" x14ac:dyDescent="0.25">
      <c r="H188" s="4"/>
      <c r="I188" s="4"/>
    </row>
    <row r="189" spans="8:9" x14ac:dyDescent="0.25">
      <c r="H189" s="4"/>
      <c r="I189" s="4"/>
    </row>
    <row r="190" spans="8:9" x14ac:dyDescent="0.25">
      <c r="H190" s="4"/>
      <c r="I190" s="4"/>
    </row>
    <row r="191" spans="8:9" x14ac:dyDescent="0.25">
      <c r="H191" s="4"/>
      <c r="I191" s="4"/>
    </row>
    <row r="192" spans="8:9" x14ac:dyDescent="0.25">
      <c r="H192" s="4"/>
      <c r="I192" s="4"/>
    </row>
    <row r="193" spans="8:9" x14ac:dyDescent="0.25">
      <c r="H193" s="4"/>
      <c r="I193" s="4"/>
    </row>
    <row r="194" spans="8:9" x14ac:dyDescent="0.25">
      <c r="H194" s="4"/>
      <c r="I194" s="4"/>
    </row>
    <row r="195" spans="8:9" x14ac:dyDescent="0.25">
      <c r="H195" s="4"/>
      <c r="I195" s="4"/>
    </row>
    <row r="196" spans="8:9" x14ac:dyDescent="0.25">
      <c r="H196" s="4"/>
      <c r="I196" s="4"/>
    </row>
    <row r="197" spans="8:9" x14ac:dyDescent="0.25">
      <c r="H197" s="4"/>
      <c r="I197" s="4"/>
    </row>
    <row r="198" spans="8:9" x14ac:dyDescent="0.25">
      <c r="H198" s="4"/>
      <c r="I198" s="4"/>
    </row>
    <row r="199" spans="8:9" x14ac:dyDescent="0.25">
      <c r="H199" s="4"/>
      <c r="I199" s="4"/>
    </row>
    <row r="200" spans="8:9" x14ac:dyDescent="0.25">
      <c r="H200" s="4"/>
      <c r="I200" s="4"/>
    </row>
    <row r="201" spans="8:9" x14ac:dyDescent="0.25">
      <c r="H201" s="4"/>
      <c r="I201" s="4"/>
    </row>
    <row r="202" spans="8:9" x14ac:dyDescent="0.25">
      <c r="H202" s="4"/>
      <c r="I202" s="4"/>
    </row>
    <row r="203" spans="8:9" x14ac:dyDescent="0.25">
      <c r="H203" s="4"/>
      <c r="I203" s="4"/>
    </row>
    <row r="204" spans="8:9" x14ac:dyDescent="0.25">
      <c r="H204" s="4"/>
      <c r="I204" s="4"/>
    </row>
    <row r="205" spans="8:9" x14ac:dyDescent="0.25">
      <c r="H205" s="4"/>
      <c r="I205" s="4"/>
    </row>
    <row r="206" spans="8:9" x14ac:dyDescent="0.25">
      <c r="H206" s="4"/>
      <c r="I206" s="4"/>
    </row>
    <row r="207" spans="8:9" x14ac:dyDescent="0.25">
      <c r="H207" s="4"/>
      <c r="I207" s="4"/>
    </row>
    <row r="208" spans="8:9" x14ac:dyDescent="0.25">
      <c r="H208" s="4"/>
      <c r="I208" s="4"/>
    </row>
    <row r="209" spans="8:9" x14ac:dyDescent="0.25">
      <c r="H209" s="4"/>
      <c r="I209" s="4"/>
    </row>
    <row r="210" spans="8:9" x14ac:dyDescent="0.25">
      <c r="H210" s="4"/>
      <c r="I210" s="4"/>
    </row>
    <row r="211" spans="8:9" x14ac:dyDescent="0.25">
      <c r="H211" s="4"/>
      <c r="I211" s="4"/>
    </row>
    <row r="212" spans="8:9" x14ac:dyDescent="0.25">
      <c r="H212" s="4"/>
      <c r="I212" s="4"/>
    </row>
    <row r="213" spans="8:9" x14ac:dyDescent="0.25">
      <c r="H213" s="4"/>
      <c r="I213" s="4"/>
    </row>
    <row r="214" spans="8:9" x14ac:dyDescent="0.25">
      <c r="H214" s="4"/>
      <c r="I214" s="4"/>
    </row>
    <row r="215" spans="8:9" x14ac:dyDescent="0.25">
      <c r="H215" s="4"/>
      <c r="I215" s="4"/>
    </row>
    <row r="216" spans="8:9" x14ac:dyDescent="0.25">
      <c r="H216" s="4"/>
      <c r="I216" s="4"/>
    </row>
    <row r="217" spans="8:9" x14ac:dyDescent="0.25">
      <c r="H217" s="4"/>
      <c r="I217" s="4"/>
    </row>
    <row r="218" spans="8:9" x14ac:dyDescent="0.25">
      <c r="H218" s="4"/>
      <c r="I218" s="4"/>
    </row>
    <row r="219" spans="8:9" x14ac:dyDescent="0.25">
      <c r="H219" s="4"/>
      <c r="I219" s="4"/>
    </row>
    <row r="220" spans="8:9" x14ac:dyDescent="0.25">
      <c r="H220" s="4"/>
      <c r="I220" s="4"/>
    </row>
    <row r="221" spans="8:9" x14ac:dyDescent="0.25">
      <c r="H221" s="4"/>
      <c r="I221" s="4"/>
    </row>
    <row r="222" spans="8:9" x14ac:dyDescent="0.25">
      <c r="H222" s="4"/>
      <c r="I222" s="4"/>
    </row>
    <row r="223" spans="8:9" x14ac:dyDescent="0.25">
      <c r="H223" s="4"/>
      <c r="I223" s="4"/>
    </row>
    <row r="224" spans="8:9" x14ac:dyDescent="0.25">
      <c r="H224" s="4"/>
      <c r="I224" s="4"/>
    </row>
    <row r="225" spans="8:9" x14ac:dyDescent="0.25">
      <c r="H225" s="4"/>
      <c r="I225" s="4"/>
    </row>
    <row r="226" spans="8:9" x14ac:dyDescent="0.25">
      <c r="H226" s="4"/>
      <c r="I226" s="4"/>
    </row>
    <row r="227" spans="8:9" x14ac:dyDescent="0.25">
      <c r="H227" s="4"/>
      <c r="I227" s="4"/>
    </row>
    <row r="228" spans="8:9" x14ac:dyDescent="0.25">
      <c r="H228" s="4"/>
      <c r="I228" s="4"/>
    </row>
    <row r="229" spans="8:9" x14ac:dyDescent="0.25">
      <c r="H229" s="4"/>
      <c r="I229" s="4"/>
    </row>
    <row r="230" spans="8:9" x14ac:dyDescent="0.25">
      <c r="H230" s="4"/>
      <c r="I230" s="4"/>
    </row>
    <row r="231" spans="8:9" x14ac:dyDescent="0.25">
      <c r="H231" s="4"/>
      <c r="I231" s="4"/>
    </row>
    <row r="232" spans="8:9" x14ac:dyDescent="0.25">
      <c r="H232" s="4"/>
      <c r="I232" s="4"/>
    </row>
    <row r="233" spans="8:9" x14ac:dyDescent="0.25">
      <c r="H233" s="4"/>
      <c r="I233" s="4"/>
    </row>
    <row r="234" spans="8:9" x14ac:dyDescent="0.25">
      <c r="H234" s="4"/>
      <c r="I234" s="4"/>
    </row>
    <row r="235" spans="8:9" x14ac:dyDescent="0.25">
      <c r="H235" s="4"/>
      <c r="I235" s="4"/>
    </row>
    <row r="236" spans="8:9" x14ac:dyDescent="0.25">
      <c r="H236" s="4"/>
      <c r="I236" s="4"/>
    </row>
    <row r="237" spans="8:9" x14ac:dyDescent="0.25">
      <c r="H237" s="4"/>
      <c r="I237" s="4"/>
    </row>
    <row r="238" spans="8:9" x14ac:dyDescent="0.25">
      <c r="H238" s="4"/>
      <c r="I238" s="4"/>
    </row>
    <row r="239" spans="8:9" x14ac:dyDescent="0.25">
      <c r="H239" s="4"/>
      <c r="I239" s="4"/>
    </row>
    <row r="240" spans="8:9" x14ac:dyDescent="0.25">
      <c r="H240" s="4"/>
      <c r="I240" s="4"/>
    </row>
    <row r="241" spans="8:9" x14ac:dyDescent="0.25">
      <c r="H241" s="4"/>
      <c r="I241" s="4"/>
    </row>
    <row r="242" spans="8:9" x14ac:dyDescent="0.25">
      <c r="H242" s="4"/>
      <c r="I242" s="4"/>
    </row>
    <row r="243" spans="8:9" x14ac:dyDescent="0.25">
      <c r="H243" s="4"/>
      <c r="I243" s="4"/>
    </row>
    <row r="244" spans="8:9" x14ac:dyDescent="0.25">
      <c r="H244" s="4"/>
      <c r="I244" s="4"/>
    </row>
    <row r="245" spans="8:9" x14ac:dyDescent="0.25">
      <c r="H245" s="4"/>
      <c r="I245" s="4"/>
    </row>
    <row r="246" spans="8:9" x14ac:dyDescent="0.25">
      <c r="H246" s="4"/>
      <c r="I246" s="4"/>
    </row>
    <row r="247" spans="8:9" x14ac:dyDescent="0.25">
      <c r="H247" s="4"/>
      <c r="I247" s="4"/>
    </row>
    <row r="248" spans="8:9" x14ac:dyDescent="0.25">
      <c r="H248" s="4"/>
      <c r="I248" s="4"/>
    </row>
    <row r="249" spans="8:9" x14ac:dyDescent="0.25">
      <c r="H249" s="4"/>
      <c r="I249" s="4"/>
    </row>
    <row r="250" spans="8:9" x14ac:dyDescent="0.25">
      <c r="H250" s="4"/>
      <c r="I250" s="4"/>
    </row>
    <row r="251" spans="8:9" x14ac:dyDescent="0.25">
      <c r="H251" s="4"/>
      <c r="I251" s="4"/>
    </row>
    <row r="252" spans="8:9" x14ac:dyDescent="0.25">
      <c r="H252" s="4"/>
      <c r="I252" s="4"/>
    </row>
    <row r="253" spans="8:9" x14ac:dyDescent="0.25">
      <c r="H253" s="4"/>
      <c r="I253" s="4"/>
    </row>
    <row r="254" spans="8:9" x14ac:dyDescent="0.25">
      <c r="H254" s="4"/>
      <c r="I254" s="4"/>
    </row>
    <row r="255" spans="8:9" x14ac:dyDescent="0.25">
      <c r="H255" s="4"/>
      <c r="I255" s="4"/>
    </row>
    <row r="256" spans="8:9" x14ac:dyDescent="0.25">
      <c r="H256" s="4"/>
      <c r="I256" s="4"/>
    </row>
    <row r="257" spans="8:9" x14ac:dyDescent="0.25">
      <c r="H257" s="4"/>
      <c r="I257" s="4"/>
    </row>
    <row r="258" spans="8:9" x14ac:dyDescent="0.25">
      <c r="H258" s="4"/>
      <c r="I258" s="4"/>
    </row>
    <row r="259" spans="8:9" x14ac:dyDescent="0.25">
      <c r="H259" s="4"/>
      <c r="I259" s="4"/>
    </row>
    <row r="260" spans="8:9" x14ac:dyDescent="0.25">
      <c r="H260" s="4"/>
      <c r="I260" s="4"/>
    </row>
    <row r="261" spans="8:9" x14ac:dyDescent="0.25">
      <c r="H261" s="4"/>
      <c r="I261" s="4"/>
    </row>
    <row r="262" spans="8:9" x14ac:dyDescent="0.25">
      <c r="H262" s="4"/>
      <c r="I262" s="4"/>
    </row>
    <row r="263" spans="8:9" x14ac:dyDescent="0.25">
      <c r="H263" s="4"/>
      <c r="I263" s="4"/>
    </row>
    <row r="264" spans="8:9" x14ac:dyDescent="0.25">
      <c r="H264" s="4"/>
      <c r="I264" s="4"/>
    </row>
    <row r="265" spans="8:9" x14ac:dyDescent="0.25">
      <c r="H265" s="4"/>
      <c r="I265" s="4"/>
    </row>
    <row r="266" spans="8:9" x14ac:dyDescent="0.25">
      <c r="H266" s="4"/>
      <c r="I266" s="4"/>
    </row>
    <row r="267" spans="8:9" x14ac:dyDescent="0.25">
      <c r="H267" s="4"/>
      <c r="I267" s="4"/>
    </row>
    <row r="268" spans="8:9" x14ac:dyDescent="0.25">
      <c r="H268" s="4"/>
      <c r="I268" s="4"/>
    </row>
    <row r="269" spans="8:9" x14ac:dyDescent="0.25">
      <c r="H269" s="4"/>
      <c r="I269" s="4"/>
    </row>
    <row r="270" spans="8:9" x14ac:dyDescent="0.25">
      <c r="H270" s="4"/>
      <c r="I270" s="4"/>
    </row>
    <row r="271" spans="8:9" x14ac:dyDescent="0.25">
      <c r="H271" s="4"/>
      <c r="I271" s="4"/>
    </row>
    <row r="272" spans="8:9" x14ac:dyDescent="0.25">
      <c r="H272" s="4"/>
      <c r="I272" s="4"/>
    </row>
    <row r="273" spans="8:9" x14ac:dyDescent="0.25">
      <c r="H273" s="4"/>
      <c r="I273" s="4"/>
    </row>
    <row r="274" spans="8:9" x14ac:dyDescent="0.25">
      <c r="H274" s="4"/>
      <c r="I274" s="4"/>
    </row>
    <row r="275" spans="8:9" x14ac:dyDescent="0.25">
      <c r="H275" s="4"/>
      <c r="I275" s="4"/>
    </row>
    <row r="276" spans="8:9" x14ac:dyDescent="0.25">
      <c r="H276" s="4"/>
      <c r="I276" s="4"/>
    </row>
    <row r="277" spans="8:9" x14ac:dyDescent="0.25">
      <c r="H277" s="4"/>
      <c r="I277" s="4"/>
    </row>
    <row r="278" spans="8:9" x14ac:dyDescent="0.25">
      <c r="H278" s="4"/>
      <c r="I278" s="4"/>
    </row>
    <row r="279" spans="8:9" x14ac:dyDescent="0.25">
      <c r="H279" s="4"/>
      <c r="I279" s="4"/>
    </row>
    <row r="280" spans="8:9" x14ac:dyDescent="0.25">
      <c r="H280" s="4"/>
      <c r="I280" s="4"/>
    </row>
    <row r="281" spans="8:9" x14ac:dyDescent="0.25">
      <c r="H281" s="4"/>
      <c r="I281" s="4"/>
    </row>
    <row r="282" spans="8:9" x14ac:dyDescent="0.25">
      <c r="H282" s="4"/>
      <c r="I282" s="4"/>
    </row>
    <row r="283" spans="8:9" x14ac:dyDescent="0.25">
      <c r="H283" s="4"/>
      <c r="I283" s="4"/>
    </row>
    <row r="284" spans="8:9" x14ac:dyDescent="0.25">
      <c r="H284" s="4"/>
      <c r="I284" s="4"/>
    </row>
    <row r="285" spans="8:9" x14ac:dyDescent="0.25">
      <c r="H285" s="4"/>
      <c r="I285" s="4"/>
    </row>
    <row r="286" spans="8:9" x14ac:dyDescent="0.25">
      <c r="H286" s="4"/>
      <c r="I286" s="4"/>
    </row>
    <row r="287" spans="8:9" x14ac:dyDescent="0.25">
      <c r="H287" s="4"/>
      <c r="I287" s="4"/>
    </row>
    <row r="288" spans="8:9" x14ac:dyDescent="0.25">
      <c r="H288" s="4"/>
      <c r="I288" s="4"/>
    </row>
    <row r="289" spans="8:9" x14ac:dyDescent="0.25">
      <c r="H289" s="4"/>
      <c r="I289" s="4"/>
    </row>
    <row r="290" spans="8:9" x14ac:dyDescent="0.25">
      <c r="H290" s="4"/>
      <c r="I290" s="4"/>
    </row>
    <row r="291" spans="8:9" x14ac:dyDescent="0.25">
      <c r="H291" s="4"/>
      <c r="I291" s="4"/>
    </row>
    <row r="292" spans="8:9" x14ac:dyDescent="0.25">
      <c r="H292" s="4"/>
      <c r="I292" s="4"/>
    </row>
    <row r="293" spans="8:9" x14ac:dyDescent="0.25">
      <c r="H293" s="4"/>
      <c r="I293" s="4"/>
    </row>
    <row r="294" spans="8:9" x14ac:dyDescent="0.25">
      <c r="H294" s="4"/>
      <c r="I294" s="4"/>
    </row>
    <row r="295" spans="8:9" x14ac:dyDescent="0.25">
      <c r="H295" s="4"/>
      <c r="I295" s="4"/>
    </row>
    <row r="296" spans="8:9" x14ac:dyDescent="0.25">
      <c r="H296" s="4"/>
      <c r="I296" s="4"/>
    </row>
    <row r="297" spans="8:9" x14ac:dyDescent="0.25">
      <c r="H297" s="4"/>
      <c r="I297" s="4"/>
    </row>
    <row r="298" spans="8:9" x14ac:dyDescent="0.25">
      <c r="H298" s="4"/>
      <c r="I298" s="4"/>
    </row>
    <row r="299" spans="8:9" x14ac:dyDescent="0.25">
      <c r="H299" s="4"/>
      <c r="I299" s="4"/>
    </row>
    <row r="300" spans="8:9" x14ac:dyDescent="0.25">
      <c r="H300" s="4"/>
      <c r="I300" s="4"/>
    </row>
    <row r="301" spans="8:9" x14ac:dyDescent="0.25">
      <c r="H301" s="4"/>
      <c r="I301" s="4"/>
    </row>
    <row r="302" spans="8:9" x14ac:dyDescent="0.25">
      <c r="H302" s="4"/>
      <c r="I302" s="4"/>
    </row>
    <row r="303" spans="8:9" x14ac:dyDescent="0.25">
      <c r="H303" s="4"/>
      <c r="I303" s="4"/>
    </row>
    <row r="304" spans="8:9" x14ac:dyDescent="0.25">
      <c r="H304" s="4"/>
      <c r="I304" s="4"/>
    </row>
    <row r="305" spans="8:9" x14ac:dyDescent="0.25">
      <c r="H305" s="4"/>
      <c r="I305" s="4"/>
    </row>
    <row r="306" spans="8:9" x14ac:dyDescent="0.25">
      <c r="H306" s="4"/>
      <c r="I306" s="4"/>
    </row>
    <row r="307" spans="8:9" x14ac:dyDescent="0.25">
      <c r="H307" s="4"/>
      <c r="I307" s="4"/>
    </row>
    <row r="308" spans="8:9" x14ac:dyDescent="0.25">
      <c r="H308" s="4"/>
      <c r="I308" s="4"/>
    </row>
    <row r="309" spans="8:9" x14ac:dyDescent="0.25">
      <c r="H309" s="4"/>
      <c r="I309" s="4"/>
    </row>
    <row r="310" spans="8:9" x14ac:dyDescent="0.25">
      <c r="H310" s="4"/>
      <c r="I310" s="4"/>
    </row>
    <row r="311" spans="8:9" x14ac:dyDescent="0.25">
      <c r="H311" s="4"/>
      <c r="I311" s="4"/>
    </row>
    <row r="312" spans="8:9" x14ac:dyDescent="0.25">
      <c r="H312" s="4"/>
      <c r="I312" s="4"/>
    </row>
    <row r="313" spans="8:9" x14ac:dyDescent="0.25">
      <c r="H313" s="4"/>
      <c r="I313" s="4"/>
    </row>
    <row r="314" spans="8:9" x14ac:dyDescent="0.25">
      <c r="H314" s="4"/>
      <c r="I314" s="4"/>
    </row>
    <row r="315" spans="8:9" x14ac:dyDescent="0.25">
      <c r="H315" s="4"/>
      <c r="I315" s="4"/>
    </row>
    <row r="316" spans="8:9" x14ac:dyDescent="0.25">
      <c r="H316" s="4"/>
      <c r="I316" s="4"/>
    </row>
    <row r="317" spans="8:9" x14ac:dyDescent="0.25">
      <c r="H317" s="4"/>
      <c r="I317" s="4"/>
    </row>
    <row r="318" spans="8:9" x14ac:dyDescent="0.25">
      <c r="H318" s="4"/>
      <c r="I318" s="4"/>
    </row>
    <row r="319" spans="8:9" x14ac:dyDescent="0.25">
      <c r="H319" s="4"/>
      <c r="I319" s="4"/>
    </row>
    <row r="320" spans="8:9" x14ac:dyDescent="0.25">
      <c r="H320" s="4"/>
      <c r="I320" s="4"/>
    </row>
    <row r="321" spans="8:9" x14ac:dyDescent="0.25">
      <c r="H321" s="4"/>
      <c r="I321" s="4"/>
    </row>
    <row r="322" spans="8:9" x14ac:dyDescent="0.25">
      <c r="H322" s="4"/>
      <c r="I322" s="4"/>
    </row>
    <row r="323" spans="8:9" x14ac:dyDescent="0.25">
      <c r="H323" s="4"/>
      <c r="I323" s="4"/>
    </row>
    <row r="324" spans="8:9" x14ac:dyDescent="0.25">
      <c r="H324" s="4"/>
      <c r="I324" s="4"/>
    </row>
    <row r="325" spans="8:9" x14ac:dyDescent="0.25">
      <c r="H325" s="4"/>
      <c r="I325" s="4"/>
    </row>
    <row r="326" spans="8:9" x14ac:dyDescent="0.25">
      <c r="H326" s="4"/>
      <c r="I326" s="4"/>
    </row>
    <row r="327" spans="8:9" x14ac:dyDescent="0.25">
      <c r="H327" s="4"/>
      <c r="I327" s="4"/>
    </row>
    <row r="328" spans="8:9" x14ac:dyDescent="0.25">
      <c r="H328" s="4"/>
      <c r="I328" s="4"/>
    </row>
    <row r="329" spans="8:9" x14ac:dyDescent="0.25">
      <c r="H329" s="4"/>
      <c r="I329" s="4"/>
    </row>
    <row r="330" spans="8:9" x14ac:dyDescent="0.25">
      <c r="H330" s="4"/>
      <c r="I330" s="4"/>
    </row>
    <row r="331" spans="8:9" x14ac:dyDescent="0.25">
      <c r="H331" s="4"/>
      <c r="I331" s="4"/>
    </row>
    <row r="332" spans="8:9" x14ac:dyDescent="0.25">
      <c r="H332" s="4"/>
      <c r="I332" s="4"/>
    </row>
    <row r="333" spans="8:9" x14ac:dyDescent="0.25">
      <c r="H333" s="4"/>
      <c r="I333" s="4"/>
    </row>
    <row r="334" spans="8:9" x14ac:dyDescent="0.25">
      <c r="H334" s="4"/>
      <c r="I334" s="4"/>
    </row>
    <row r="335" spans="8:9" x14ac:dyDescent="0.25">
      <c r="H335" s="4"/>
      <c r="I335" s="4"/>
    </row>
    <row r="336" spans="8:9" x14ac:dyDescent="0.25">
      <c r="H336" s="4"/>
      <c r="I336" s="4"/>
    </row>
    <row r="337" spans="8:9" x14ac:dyDescent="0.25">
      <c r="H337" s="4"/>
      <c r="I337" s="4"/>
    </row>
    <row r="338" spans="8:9" x14ac:dyDescent="0.25">
      <c r="H338" s="4"/>
      <c r="I338" s="4"/>
    </row>
    <row r="339" spans="8:9" x14ac:dyDescent="0.25">
      <c r="H339" s="4"/>
      <c r="I339" s="4"/>
    </row>
    <row r="340" spans="8:9" x14ac:dyDescent="0.25">
      <c r="H340" s="4"/>
      <c r="I340" s="4"/>
    </row>
    <row r="341" spans="8:9" x14ac:dyDescent="0.25">
      <c r="H341" s="4"/>
      <c r="I341" s="4"/>
    </row>
    <row r="342" spans="8:9" x14ac:dyDescent="0.25">
      <c r="H342" s="4"/>
      <c r="I342" s="4"/>
    </row>
    <row r="343" spans="8:9" x14ac:dyDescent="0.25">
      <c r="H343" s="4"/>
      <c r="I343" s="4"/>
    </row>
    <row r="344" spans="8:9" x14ac:dyDescent="0.25">
      <c r="H344" s="4"/>
      <c r="I344" s="4"/>
    </row>
    <row r="345" spans="8:9" x14ac:dyDescent="0.25">
      <c r="H345" s="4"/>
      <c r="I345" s="4"/>
    </row>
    <row r="346" spans="8:9" x14ac:dyDescent="0.25">
      <c r="H346" s="4"/>
      <c r="I346" s="4"/>
    </row>
    <row r="347" spans="8:9" x14ac:dyDescent="0.25">
      <c r="H347" s="4"/>
      <c r="I347" s="4"/>
    </row>
    <row r="348" spans="8:9" x14ac:dyDescent="0.25">
      <c r="H348" s="4"/>
      <c r="I348" s="4"/>
    </row>
    <row r="349" spans="8:9" x14ac:dyDescent="0.25">
      <c r="H349" s="4"/>
      <c r="I349" s="4"/>
    </row>
    <row r="350" spans="8:9" x14ac:dyDescent="0.25">
      <c r="H350" s="4"/>
      <c r="I350" s="4"/>
    </row>
    <row r="351" spans="8:9" x14ac:dyDescent="0.25">
      <c r="H351" s="4"/>
      <c r="I351" s="4"/>
    </row>
    <row r="352" spans="8:9" x14ac:dyDescent="0.25">
      <c r="H352" s="4"/>
      <c r="I352" s="4"/>
    </row>
    <row r="353" spans="8:9" x14ac:dyDescent="0.25">
      <c r="H353" s="4"/>
      <c r="I353" s="4"/>
    </row>
    <row r="354" spans="8:9" x14ac:dyDescent="0.25">
      <c r="H354" s="4"/>
      <c r="I354" s="4"/>
    </row>
    <row r="355" spans="8:9" x14ac:dyDescent="0.25">
      <c r="H355" s="4"/>
      <c r="I355" s="4"/>
    </row>
    <row r="356" spans="8:9" x14ac:dyDescent="0.25">
      <c r="H356" s="4"/>
      <c r="I356" s="4"/>
    </row>
    <row r="357" spans="8:9" x14ac:dyDescent="0.25">
      <c r="H357" s="4"/>
      <c r="I357" s="4"/>
    </row>
    <row r="358" spans="8:9" x14ac:dyDescent="0.25">
      <c r="H358" s="4"/>
      <c r="I358" s="4"/>
    </row>
    <row r="359" spans="8:9" x14ac:dyDescent="0.25">
      <c r="H359" s="4"/>
      <c r="I359" s="4"/>
    </row>
    <row r="360" spans="8:9" x14ac:dyDescent="0.25">
      <c r="H360" s="4"/>
      <c r="I360" s="4"/>
    </row>
    <row r="361" spans="8:9" x14ac:dyDescent="0.25">
      <c r="H361" s="4"/>
      <c r="I361" s="4"/>
    </row>
    <row r="362" spans="8:9" x14ac:dyDescent="0.25">
      <c r="H362" s="4"/>
      <c r="I362" s="4"/>
    </row>
    <row r="363" spans="8:9" x14ac:dyDescent="0.25">
      <c r="H363" s="4"/>
      <c r="I363" s="4"/>
    </row>
    <row r="364" spans="8:9" x14ac:dyDescent="0.25">
      <c r="H364" s="4"/>
      <c r="I364" s="4"/>
    </row>
    <row r="365" spans="8:9" x14ac:dyDescent="0.25">
      <c r="H365" s="4"/>
      <c r="I365" s="4"/>
    </row>
    <row r="366" spans="8:9" x14ac:dyDescent="0.25">
      <c r="H366" s="4"/>
      <c r="I366" s="4"/>
    </row>
    <row r="367" spans="8:9" x14ac:dyDescent="0.25">
      <c r="H367" s="4"/>
      <c r="I367" s="4"/>
    </row>
    <row r="368" spans="8:9" x14ac:dyDescent="0.25">
      <c r="H368" s="4"/>
      <c r="I368" s="4"/>
    </row>
    <row r="369" spans="8:9" x14ac:dyDescent="0.25">
      <c r="H369" s="4"/>
      <c r="I369" s="4"/>
    </row>
    <row r="370" spans="8:9" x14ac:dyDescent="0.25">
      <c r="H370" s="4"/>
      <c r="I370" s="4"/>
    </row>
    <row r="371" spans="8:9" x14ac:dyDescent="0.25">
      <c r="H371" s="4"/>
      <c r="I371" s="4"/>
    </row>
    <row r="372" spans="8:9" x14ac:dyDescent="0.25">
      <c r="H372" s="4"/>
      <c r="I372" s="4"/>
    </row>
    <row r="373" spans="8:9" x14ac:dyDescent="0.25">
      <c r="H373" s="4"/>
      <c r="I373" s="4"/>
    </row>
    <row r="374" spans="8:9" x14ac:dyDescent="0.25">
      <c r="H374" s="4"/>
      <c r="I374" s="4"/>
    </row>
    <row r="375" spans="8:9" x14ac:dyDescent="0.25">
      <c r="H375" s="4"/>
      <c r="I375" s="4"/>
    </row>
    <row r="376" spans="8:9" x14ac:dyDescent="0.25">
      <c r="H376" s="4"/>
      <c r="I376" s="4"/>
    </row>
    <row r="377" spans="8:9" x14ac:dyDescent="0.25">
      <c r="H377" s="4"/>
      <c r="I377" s="4"/>
    </row>
    <row r="378" spans="8:9" x14ac:dyDescent="0.25">
      <c r="H378" s="4"/>
      <c r="I378" s="4"/>
    </row>
    <row r="379" spans="8:9" x14ac:dyDescent="0.25">
      <c r="H379" s="4"/>
      <c r="I379" s="4"/>
    </row>
    <row r="380" spans="8:9" x14ac:dyDescent="0.25">
      <c r="H380" s="4"/>
      <c r="I380" s="4"/>
    </row>
    <row r="381" spans="8:9" x14ac:dyDescent="0.25">
      <c r="H381" s="4"/>
      <c r="I381" s="4"/>
    </row>
    <row r="382" spans="8:9" x14ac:dyDescent="0.25">
      <c r="H382" s="4"/>
      <c r="I382" s="4"/>
    </row>
    <row r="383" spans="8:9" x14ac:dyDescent="0.25">
      <c r="H383" s="4"/>
      <c r="I383" s="4"/>
    </row>
    <row r="384" spans="8:9" x14ac:dyDescent="0.25">
      <c r="H384" s="4"/>
      <c r="I384" s="4"/>
    </row>
    <row r="385" spans="8:9" x14ac:dyDescent="0.25">
      <c r="H385" s="4"/>
      <c r="I385" s="4"/>
    </row>
    <row r="386" spans="8:9" x14ac:dyDescent="0.25">
      <c r="H386" s="4"/>
      <c r="I386" s="4"/>
    </row>
    <row r="387" spans="8:9" x14ac:dyDescent="0.25">
      <c r="H387" s="4"/>
      <c r="I387" s="4"/>
    </row>
    <row r="388" spans="8:9" x14ac:dyDescent="0.25">
      <c r="H388" s="4"/>
      <c r="I388" s="4"/>
    </row>
    <row r="389" spans="8:9" x14ac:dyDescent="0.25">
      <c r="H389" s="4"/>
      <c r="I389" s="4"/>
    </row>
    <row r="390" spans="8:9" x14ac:dyDescent="0.25">
      <c r="H390" s="4"/>
      <c r="I390" s="4"/>
    </row>
    <row r="391" spans="8:9" x14ac:dyDescent="0.25">
      <c r="H391" s="4"/>
      <c r="I391" s="4"/>
    </row>
    <row r="392" spans="8:9" x14ac:dyDescent="0.25">
      <c r="H392" s="4"/>
      <c r="I392" s="4"/>
    </row>
    <row r="393" spans="8:9" x14ac:dyDescent="0.25">
      <c r="H393" s="4"/>
      <c r="I393" s="4"/>
    </row>
    <row r="394" spans="8:9" x14ac:dyDescent="0.25">
      <c r="H394" s="4"/>
      <c r="I394" s="4"/>
    </row>
    <row r="395" spans="8:9" x14ac:dyDescent="0.25">
      <c r="H395" s="4"/>
      <c r="I395" s="4"/>
    </row>
    <row r="396" spans="8:9" x14ac:dyDescent="0.25">
      <c r="H396" s="4"/>
      <c r="I396" s="4"/>
    </row>
    <row r="397" spans="8:9" x14ac:dyDescent="0.25">
      <c r="H397" s="4"/>
      <c r="I397" s="4"/>
    </row>
    <row r="398" spans="8:9" x14ac:dyDescent="0.25">
      <c r="H398" s="4"/>
      <c r="I398" s="4"/>
    </row>
    <row r="399" spans="8:9" x14ac:dyDescent="0.25">
      <c r="H399" s="4"/>
      <c r="I399" s="4"/>
    </row>
    <row r="400" spans="8:9" x14ac:dyDescent="0.25">
      <c r="H400" s="4"/>
      <c r="I400" s="4"/>
    </row>
    <row r="401" spans="8:9" x14ac:dyDescent="0.25">
      <c r="H401" s="4"/>
      <c r="I401" s="4"/>
    </row>
    <row r="402" spans="8:9" x14ac:dyDescent="0.25">
      <c r="H402" s="4"/>
      <c r="I402" s="4"/>
    </row>
    <row r="403" spans="8:9" x14ac:dyDescent="0.25">
      <c r="H403" s="4"/>
      <c r="I403" s="4"/>
    </row>
    <row r="404" spans="8:9" x14ac:dyDescent="0.25">
      <c r="H404" s="4"/>
      <c r="I404" s="4"/>
    </row>
    <row r="405" spans="8:9" x14ac:dyDescent="0.25">
      <c r="H405" s="4"/>
      <c r="I405" s="4"/>
    </row>
    <row r="406" spans="8:9" x14ac:dyDescent="0.25">
      <c r="H406" s="4"/>
      <c r="I406" s="4"/>
    </row>
    <row r="407" spans="8:9" x14ac:dyDescent="0.25">
      <c r="H407" s="4"/>
      <c r="I407" s="4"/>
    </row>
    <row r="408" spans="8:9" x14ac:dyDescent="0.25">
      <c r="H408" s="4"/>
      <c r="I408" s="4"/>
    </row>
    <row r="409" spans="8:9" x14ac:dyDescent="0.25">
      <c r="H409" s="4"/>
      <c r="I409" s="4"/>
    </row>
    <row r="410" spans="8:9" x14ac:dyDescent="0.25">
      <c r="H410" s="4"/>
      <c r="I410" s="4"/>
    </row>
    <row r="411" spans="8:9" x14ac:dyDescent="0.25">
      <c r="H411" s="4"/>
      <c r="I411" s="4"/>
    </row>
    <row r="412" spans="8:9" x14ac:dyDescent="0.25">
      <c r="H412" s="4"/>
      <c r="I412" s="4"/>
    </row>
    <row r="413" spans="8:9" x14ac:dyDescent="0.25">
      <c r="H413" s="4"/>
      <c r="I413" s="4"/>
    </row>
    <row r="414" spans="8:9" x14ac:dyDescent="0.25">
      <c r="H414" s="4"/>
      <c r="I414" s="4"/>
    </row>
    <row r="415" spans="8:9" x14ac:dyDescent="0.25">
      <c r="H415" s="4"/>
      <c r="I415" s="4"/>
    </row>
    <row r="416" spans="8:9" x14ac:dyDescent="0.25">
      <c r="H416" s="4"/>
      <c r="I416" s="4"/>
    </row>
    <row r="417" spans="8:9" x14ac:dyDescent="0.25">
      <c r="H417" s="4"/>
      <c r="I417" s="4"/>
    </row>
    <row r="418" spans="8:9" x14ac:dyDescent="0.25">
      <c r="H418" s="4"/>
      <c r="I418" s="4"/>
    </row>
    <row r="419" spans="8:9" x14ac:dyDescent="0.25">
      <c r="H419" s="4"/>
      <c r="I419" s="4"/>
    </row>
    <row r="420" spans="8:9" x14ac:dyDescent="0.25">
      <c r="H420" s="4"/>
      <c r="I420" s="4"/>
    </row>
    <row r="421" spans="8:9" x14ac:dyDescent="0.25">
      <c r="H421" s="4"/>
      <c r="I421" s="4"/>
    </row>
    <row r="422" spans="8:9" x14ac:dyDescent="0.25">
      <c r="H422" s="4"/>
      <c r="I422" s="4"/>
    </row>
    <row r="423" spans="8:9" x14ac:dyDescent="0.25">
      <c r="H423" s="4"/>
      <c r="I423" s="4"/>
    </row>
    <row r="424" spans="8:9" x14ac:dyDescent="0.25">
      <c r="H424" s="4"/>
      <c r="I424" s="4"/>
    </row>
    <row r="425" spans="8:9" x14ac:dyDescent="0.25">
      <c r="H425" s="4"/>
      <c r="I425" s="4"/>
    </row>
    <row r="426" spans="8:9" x14ac:dyDescent="0.25">
      <c r="H426" s="4"/>
      <c r="I426" s="4"/>
    </row>
    <row r="427" spans="8:9" x14ac:dyDescent="0.25">
      <c r="H427" s="4"/>
      <c r="I427" s="4"/>
    </row>
    <row r="428" spans="8:9" x14ac:dyDescent="0.25">
      <c r="H428" s="4"/>
      <c r="I428" s="4"/>
    </row>
    <row r="429" spans="8:9" x14ac:dyDescent="0.25">
      <c r="H429" s="4"/>
      <c r="I429" s="4"/>
    </row>
    <row r="430" spans="8:9" x14ac:dyDescent="0.25">
      <c r="H430" s="4"/>
      <c r="I430" s="4"/>
    </row>
    <row r="431" spans="8:9" x14ac:dyDescent="0.25">
      <c r="H431" s="4"/>
      <c r="I431" s="4"/>
    </row>
    <row r="432" spans="8:9" x14ac:dyDescent="0.25">
      <c r="H432" s="4"/>
      <c r="I432" s="4"/>
    </row>
    <row r="433" spans="8:9" x14ac:dyDescent="0.25">
      <c r="H433" s="4"/>
      <c r="I433" s="4"/>
    </row>
    <row r="434" spans="8:9" x14ac:dyDescent="0.25">
      <c r="H434" s="4"/>
      <c r="I434" s="4"/>
    </row>
    <row r="435" spans="8:9" x14ac:dyDescent="0.25">
      <c r="H435" s="4"/>
      <c r="I435" s="4"/>
    </row>
    <row r="436" spans="8:9" x14ac:dyDescent="0.25">
      <c r="H436" s="4"/>
      <c r="I436" s="4"/>
    </row>
    <row r="437" spans="8:9" x14ac:dyDescent="0.25">
      <c r="H437" s="4"/>
      <c r="I437" s="4"/>
    </row>
    <row r="438" spans="8:9" x14ac:dyDescent="0.25">
      <c r="H438" s="4"/>
      <c r="I438" s="4"/>
    </row>
    <row r="439" spans="8:9" x14ac:dyDescent="0.25">
      <c r="H439" s="4"/>
      <c r="I439" s="4"/>
    </row>
    <row r="440" spans="8:9" x14ac:dyDescent="0.25">
      <c r="H440" s="4"/>
      <c r="I440" s="4"/>
    </row>
    <row r="441" spans="8:9" x14ac:dyDescent="0.25">
      <c r="H441" s="4"/>
      <c r="I441" s="4"/>
    </row>
    <row r="442" spans="8:9" x14ac:dyDescent="0.25">
      <c r="H442" s="4"/>
      <c r="I442" s="4"/>
    </row>
    <row r="443" spans="8:9" x14ac:dyDescent="0.25">
      <c r="H443" s="4"/>
      <c r="I443" s="4"/>
    </row>
    <row r="444" spans="8:9" x14ac:dyDescent="0.25">
      <c r="H444" s="4"/>
      <c r="I444" s="4"/>
    </row>
    <row r="445" spans="8:9" x14ac:dyDescent="0.25">
      <c r="H445" s="4"/>
      <c r="I445" s="4"/>
    </row>
    <row r="446" spans="8:9" x14ac:dyDescent="0.25">
      <c r="H446" s="4"/>
      <c r="I446" s="4"/>
    </row>
    <row r="447" spans="8:9" x14ac:dyDescent="0.25">
      <c r="H447" s="4"/>
      <c r="I447" s="4"/>
    </row>
    <row r="448" spans="8:9" x14ac:dyDescent="0.25">
      <c r="H448" s="4"/>
      <c r="I448" s="4"/>
    </row>
    <row r="449" spans="8:9" x14ac:dyDescent="0.25">
      <c r="H449" s="4"/>
      <c r="I449" s="4"/>
    </row>
    <row r="450" spans="8:9" x14ac:dyDescent="0.25">
      <c r="H450" s="4"/>
      <c r="I450" s="4"/>
    </row>
    <row r="451" spans="8:9" x14ac:dyDescent="0.25">
      <c r="H451" s="4"/>
      <c r="I451" s="4"/>
    </row>
    <row r="452" spans="8:9" x14ac:dyDescent="0.25">
      <c r="H452" s="4"/>
      <c r="I452" s="4"/>
    </row>
    <row r="453" spans="8:9" x14ac:dyDescent="0.25">
      <c r="H453" s="4"/>
      <c r="I453" s="4"/>
    </row>
    <row r="454" spans="8:9" x14ac:dyDescent="0.25">
      <c r="H454" s="4"/>
      <c r="I454" s="4"/>
    </row>
    <row r="455" spans="8:9" x14ac:dyDescent="0.25">
      <c r="H455" s="4"/>
      <c r="I455" s="4"/>
    </row>
    <row r="456" spans="8:9" x14ac:dyDescent="0.25">
      <c r="H456" s="4"/>
      <c r="I456" s="4"/>
    </row>
    <row r="457" spans="8:9" x14ac:dyDescent="0.25">
      <c r="H457" s="4"/>
      <c r="I457" s="4"/>
    </row>
    <row r="458" spans="8:9" x14ac:dyDescent="0.25">
      <c r="H458" s="4"/>
      <c r="I458" s="4"/>
    </row>
    <row r="459" spans="8:9" x14ac:dyDescent="0.25">
      <c r="H459" s="4"/>
      <c r="I459" s="4"/>
    </row>
    <row r="460" spans="8:9" x14ac:dyDescent="0.25">
      <c r="H460" s="4"/>
      <c r="I460" s="4"/>
    </row>
    <row r="461" spans="8:9" x14ac:dyDescent="0.25">
      <c r="H461" s="4"/>
      <c r="I461" s="4"/>
    </row>
    <row r="462" spans="8:9" x14ac:dyDescent="0.25">
      <c r="H462" s="4"/>
      <c r="I462" s="4"/>
    </row>
    <row r="463" spans="8:9" x14ac:dyDescent="0.25">
      <c r="H463" s="4"/>
      <c r="I463" s="4"/>
    </row>
    <row r="464" spans="8:9" x14ac:dyDescent="0.25">
      <c r="H464" s="4"/>
      <c r="I464" s="4"/>
    </row>
    <row r="465" spans="8:9" x14ac:dyDescent="0.25">
      <c r="H465" s="4"/>
      <c r="I465" s="4"/>
    </row>
    <row r="466" spans="8:9" x14ac:dyDescent="0.25">
      <c r="H466" s="4"/>
      <c r="I466" s="4"/>
    </row>
    <row r="467" spans="8:9" x14ac:dyDescent="0.25">
      <c r="H467" s="4"/>
      <c r="I467" s="4"/>
    </row>
    <row r="468" spans="8:9" x14ac:dyDescent="0.25">
      <c r="H468" s="4"/>
      <c r="I468" s="4"/>
    </row>
    <row r="469" spans="8:9" x14ac:dyDescent="0.25">
      <c r="H469" s="4"/>
      <c r="I469" s="4"/>
    </row>
    <row r="470" spans="8:9" x14ac:dyDescent="0.25">
      <c r="H470" s="4"/>
      <c r="I470" s="4"/>
    </row>
    <row r="471" spans="8:9" x14ac:dyDescent="0.25">
      <c r="H471" s="4"/>
      <c r="I471" s="4"/>
    </row>
    <row r="472" spans="8:9" x14ac:dyDescent="0.25">
      <c r="H472" s="4"/>
      <c r="I472" s="4"/>
    </row>
    <row r="473" spans="8:9" x14ac:dyDescent="0.25">
      <c r="H473" s="4"/>
      <c r="I473" s="4"/>
    </row>
    <row r="474" spans="8:9" x14ac:dyDescent="0.25">
      <c r="H474" s="4"/>
      <c r="I474" s="4"/>
    </row>
    <row r="475" spans="8:9" x14ac:dyDescent="0.25">
      <c r="H475" s="4"/>
      <c r="I475" s="4"/>
    </row>
    <row r="476" spans="8:9" x14ac:dyDescent="0.25">
      <c r="H476" s="4"/>
      <c r="I476" s="4"/>
    </row>
    <row r="477" spans="8:9" x14ac:dyDescent="0.25">
      <c r="H477" s="4"/>
      <c r="I477" s="4"/>
    </row>
    <row r="478" spans="8:9" x14ac:dyDescent="0.25">
      <c r="H478" s="4"/>
      <c r="I478" s="4"/>
    </row>
    <row r="479" spans="8:9" x14ac:dyDescent="0.25">
      <c r="H479" s="4"/>
      <c r="I479" s="4"/>
    </row>
    <row r="480" spans="8:9" x14ac:dyDescent="0.25">
      <c r="H480" s="4"/>
      <c r="I480" s="4"/>
    </row>
    <row r="481" spans="8:9" x14ac:dyDescent="0.25">
      <c r="H481" s="4"/>
      <c r="I481" s="4"/>
    </row>
    <row r="482" spans="8:9" x14ac:dyDescent="0.25">
      <c r="H482" s="4"/>
      <c r="I482" s="4"/>
    </row>
    <row r="483" spans="8:9" x14ac:dyDescent="0.25">
      <c r="H483" s="4"/>
      <c r="I483" s="4"/>
    </row>
    <row r="484" spans="8:9" x14ac:dyDescent="0.25">
      <c r="H484" s="4"/>
      <c r="I484" s="4"/>
    </row>
    <row r="485" spans="8:9" x14ac:dyDescent="0.25">
      <c r="H485" s="4"/>
      <c r="I485" s="4"/>
    </row>
    <row r="486" spans="8:9" x14ac:dyDescent="0.25">
      <c r="H486" s="4"/>
      <c r="I486" s="4"/>
    </row>
    <row r="487" spans="8:9" x14ac:dyDescent="0.25">
      <c r="H487" s="4"/>
      <c r="I487" s="4"/>
    </row>
    <row r="488" spans="8:9" x14ac:dyDescent="0.25">
      <c r="H488" s="4"/>
      <c r="I488" s="4"/>
    </row>
    <row r="489" spans="8:9" x14ac:dyDescent="0.25">
      <c r="H489" s="4"/>
      <c r="I489" s="4"/>
    </row>
    <row r="490" spans="8:9" x14ac:dyDescent="0.25">
      <c r="H490" s="4"/>
      <c r="I490" s="4"/>
    </row>
    <row r="491" spans="8:9" x14ac:dyDescent="0.25">
      <c r="H491" s="4"/>
      <c r="I491" s="4"/>
    </row>
    <row r="492" spans="8:9" x14ac:dyDescent="0.25">
      <c r="H492" s="4"/>
      <c r="I492" s="4"/>
    </row>
    <row r="493" spans="8:9" x14ac:dyDescent="0.25">
      <c r="H493" s="4"/>
      <c r="I493" s="4"/>
    </row>
    <row r="494" spans="8:9" x14ac:dyDescent="0.25">
      <c r="H494" s="4"/>
      <c r="I494" s="4"/>
    </row>
    <row r="495" spans="8:9" x14ac:dyDescent="0.25">
      <c r="H495" s="4"/>
      <c r="I495" s="4"/>
    </row>
    <row r="496" spans="8:9" x14ac:dyDescent="0.25">
      <c r="H496" s="4"/>
      <c r="I496" s="4"/>
    </row>
    <row r="497" spans="8:9" x14ac:dyDescent="0.25">
      <c r="H497" s="4"/>
      <c r="I497" s="4"/>
    </row>
    <row r="498" spans="8:9" x14ac:dyDescent="0.25">
      <c r="H498" s="4"/>
      <c r="I498" s="4"/>
    </row>
    <row r="499" spans="8:9" x14ac:dyDescent="0.25">
      <c r="H499" s="4"/>
      <c r="I499" s="4"/>
    </row>
    <row r="500" spans="8:9" x14ac:dyDescent="0.25">
      <c r="H500" s="4"/>
      <c r="I500" s="4"/>
    </row>
    <row r="501" spans="8:9" x14ac:dyDescent="0.25">
      <c r="H501" s="4"/>
      <c r="I501" s="4"/>
    </row>
    <row r="502" spans="8:9" x14ac:dyDescent="0.25">
      <c r="H502" s="4"/>
      <c r="I502" s="4"/>
    </row>
    <row r="503" spans="8:9" x14ac:dyDescent="0.25">
      <c r="H503" s="4"/>
      <c r="I503" s="4"/>
    </row>
    <row r="504" spans="8:9" x14ac:dyDescent="0.25">
      <c r="H504" s="4"/>
      <c r="I504" s="4"/>
    </row>
    <row r="505" spans="8:9" x14ac:dyDescent="0.25">
      <c r="H505" s="4"/>
      <c r="I505" s="4"/>
    </row>
    <row r="506" spans="8:9" x14ac:dyDescent="0.25">
      <c r="H506" s="4"/>
      <c r="I506" s="4"/>
    </row>
    <row r="507" spans="8:9" x14ac:dyDescent="0.25">
      <c r="H507" s="4"/>
      <c r="I507" s="4"/>
    </row>
    <row r="508" spans="8:9" x14ac:dyDescent="0.25">
      <c r="H508" s="4"/>
      <c r="I508" s="4"/>
    </row>
    <row r="509" spans="8:9" x14ac:dyDescent="0.25">
      <c r="H509" s="4"/>
      <c r="I509" s="4"/>
    </row>
    <row r="510" spans="8:9" x14ac:dyDescent="0.25">
      <c r="H510" s="4"/>
      <c r="I510" s="4"/>
    </row>
    <row r="511" spans="8:9" x14ac:dyDescent="0.25">
      <c r="H511" s="4"/>
      <c r="I511" s="4"/>
    </row>
    <row r="512" spans="8:9" x14ac:dyDescent="0.25">
      <c r="H512" s="4"/>
      <c r="I512" s="4"/>
    </row>
    <row r="513" spans="8:9" x14ac:dyDescent="0.25">
      <c r="H513" s="4"/>
      <c r="I513" s="4"/>
    </row>
    <row r="514" spans="8:9" x14ac:dyDescent="0.25">
      <c r="H514" s="4"/>
      <c r="I514" s="4"/>
    </row>
    <row r="515" spans="8:9" x14ac:dyDescent="0.25">
      <c r="H515" s="4"/>
      <c r="I515" s="4"/>
    </row>
    <row r="516" spans="8:9" x14ac:dyDescent="0.25">
      <c r="H516" s="4"/>
      <c r="I516" s="4"/>
    </row>
    <row r="517" spans="8:9" x14ac:dyDescent="0.25">
      <c r="H517" s="4"/>
      <c r="I517" s="4"/>
    </row>
    <row r="518" spans="8:9" x14ac:dyDescent="0.25">
      <c r="H518" s="4"/>
      <c r="I518" s="4"/>
    </row>
    <row r="519" spans="8:9" x14ac:dyDescent="0.25">
      <c r="H519" s="4"/>
      <c r="I519" s="4"/>
    </row>
    <row r="520" spans="8:9" x14ac:dyDescent="0.25">
      <c r="H520" s="4"/>
      <c r="I520" s="4"/>
    </row>
    <row r="521" spans="8:9" x14ac:dyDescent="0.25">
      <c r="H521" s="4"/>
      <c r="I521" s="4"/>
    </row>
    <row r="522" spans="8:9" x14ac:dyDescent="0.25">
      <c r="H522" s="4"/>
      <c r="I522" s="4"/>
    </row>
    <row r="523" spans="8:9" x14ac:dyDescent="0.25">
      <c r="H523" s="4"/>
      <c r="I523" s="4"/>
    </row>
    <row r="524" spans="8:9" x14ac:dyDescent="0.25">
      <c r="H524" s="4"/>
      <c r="I524" s="4"/>
    </row>
    <row r="525" spans="8:9" x14ac:dyDescent="0.25">
      <c r="H525" s="4"/>
      <c r="I525" s="4"/>
    </row>
    <row r="526" spans="8:9" x14ac:dyDescent="0.25">
      <c r="H526" s="4"/>
      <c r="I526" s="4"/>
    </row>
    <row r="527" spans="8:9" x14ac:dyDescent="0.25">
      <c r="H527" s="4"/>
      <c r="I527" s="4"/>
    </row>
    <row r="528" spans="8:9" x14ac:dyDescent="0.25">
      <c r="H528" s="4"/>
      <c r="I528" s="4"/>
    </row>
    <row r="529" spans="8:9" x14ac:dyDescent="0.25">
      <c r="H529" s="4"/>
      <c r="I529" s="4"/>
    </row>
    <row r="530" spans="8:9" x14ac:dyDescent="0.25">
      <c r="H530" s="4"/>
      <c r="I530" s="4"/>
    </row>
    <row r="531" spans="8:9" x14ac:dyDescent="0.25">
      <c r="H531" s="4"/>
      <c r="I531" s="4"/>
    </row>
    <row r="532" spans="8:9" x14ac:dyDescent="0.25">
      <c r="H532" s="4"/>
      <c r="I532" s="4"/>
    </row>
    <row r="533" spans="8:9" x14ac:dyDescent="0.25">
      <c r="H533" s="4"/>
      <c r="I533" s="4"/>
    </row>
    <row r="534" spans="8:9" x14ac:dyDescent="0.25">
      <c r="H534" s="4"/>
      <c r="I534" s="4"/>
    </row>
    <row r="535" spans="8:9" x14ac:dyDescent="0.25">
      <c r="H535" s="4"/>
      <c r="I535" s="4"/>
    </row>
    <row r="536" spans="8:9" x14ac:dyDescent="0.25">
      <c r="H536" s="4"/>
      <c r="I536" s="4"/>
    </row>
    <row r="537" spans="8:9" x14ac:dyDescent="0.25">
      <c r="H537" s="4"/>
      <c r="I537" s="4"/>
    </row>
    <row r="538" spans="8:9" x14ac:dyDescent="0.25">
      <c r="H538" s="4"/>
      <c r="I538" s="4"/>
    </row>
    <row r="539" spans="8:9" x14ac:dyDescent="0.25">
      <c r="H539" s="4"/>
      <c r="I539" s="4"/>
    </row>
    <row r="540" spans="8:9" x14ac:dyDescent="0.25">
      <c r="H540" s="4"/>
      <c r="I540" s="4"/>
    </row>
    <row r="541" spans="8:9" x14ac:dyDescent="0.25">
      <c r="H541" s="4"/>
      <c r="I541" s="4"/>
    </row>
    <row r="542" spans="8:9" x14ac:dyDescent="0.25">
      <c r="H542" s="4"/>
      <c r="I542" s="4"/>
    </row>
    <row r="543" spans="8:9" x14ac:dyDescent="0.25">
      <c r="H543" s="4"/>
      <c r="I543" s="4"/>
    </row>
    <row r="544" spans="8:9" x14ac:dyDescent="0.25">
      <c r="H544" s="4"/>
      <c r="I544" s="4"/>
    </row>
    <row r="545" spans="8:9" x14ac:dyDescent="0.25">
      <c r="H545" s="4"/>
      <c r="I545" s="4"/>
    </row>
    <row r="546" spans="8:9" x14ac:dyDescent="0.25">
      <c r="H546" s="4"/>
      <c r="I546" s="4"/>
    </row>
    <row r="547" spans="8:9" x14ac:dyDescent="0.25">
      <c r="H547" s="4"/>
      <c r="I547" s="4"/>
    </row>
    <row r="548" spans="8:9" x14ac:dyDescent="0.25">
      <c r="H548" s="4"/>
      <c r="I548" s="4"/>
    </row>
    <row r="549" spans="8:9" x14ac:dyDescent="0.25">
      <c r="H549" s="4"/>
      <c r="I549" s="4"/>
    </row>
    <row r="550" spans="8:9" x14ac:dyDescent="0.25">
      <c r="H550" s="4"/>
      <c r="I550" s="4"/>
    </row>
    <row r="551" spans="8:9" x14ac:dyDescent="0.25">
      <c r="H551" s="4"/>
      <c r="I551" s="4"/>
    </row>
    <row r="552" spans="8:9" x14ac:dyDescent="0.25">
      <c r="H552" s="4"/>
      <c r="I552" s="4"/>
    </row>
    <row r="553" spans="8:9" x14ac:dyDescent="0.25">
      <c r="H553" s="4"/>
      <c r="I553" s="4"/>
    </row>
    <row r="554" spans="8:9" x14ac:dyDescent="0.25">
      <c r="H554" s="4"/>
      <c r="I554" s="4"/>
    </row>
    <row r="555" spans="8:9" x14ac:dyDescent="0.25">
      <c r="H555" s="4"/>
      <c r="I555" s="4"/>
    </row>
    <row r="556" spans="8:9" x14ac:dyDescent="0.25">
      <c r="H556" s="4"/>
      <c r="I556" s="4"/>
    </row>
    <row r="557" spans="8:9" x14ac:dyDescent="0.25">
      <c r="H557" s="4"/>
      <c r="I557" s="4"/>
    </row>
    <row r="558" spans="8:9" x14ac:dyDescent="0.25">
      <c r="H558" s="4"/>
      <c r="I558" s="4"/>
    </row>
    <row r="559" spans="8:9" x14ac:dyDescent="0.25">
      <c r="H559" s="4"/>
      <c r="I559" s="4"/>
    </row>
    <row r="560" spans="8:9" x14ac:dyDescent="0.25">
      <c r="H560" s="4"/>
      <c r="I560" s="4"/>
    </row>
    <row r="561" spans="8:9" x14ac:dyDescent="0.25">
      <c r="H561" s="4"/>
      <c r="I561" s="4"/>
    </row>
    <row r="562" spans="8:9" x14ac:dyDescent="0.25">
      <c r="H562" s="4"/>
      <c r="I562" s="4"/>
    </row>
    <row r="563" spans="8:9" x14ac:dyDescent="0.25">
      <c r="H563" s="4"/>
      <c r="I563" s="4"/>
    </row>
    <row r="564" spans="8:9" x14ac:dyDescent="0.25">
      <c r="H564" s="4"/>
      <c r="I564" s="4"/>
    </row>
    <row r="565" spans="8:9" x14ac:dyDescent="0.25">
      <c r="H565" s="4"/>
      <c r="I565" s="4"/>
    </row>
    <row r="566" spans="8:9" x14ac:dyDescent="0.25">
      <c r="H566" s="4"/>
      <c r="I566" s="4"/>
    </row>
    <row r="567" spans="8:9" x14ac:dyDescent="0.25">
      <c r="H567" s="4"/>
      <c r="I567" s="4"/>
    </row>
    <row r="568" spans="8:9" x14ac:dyDescent="0.25">
      <c r="H568" s="4"/>
      <c r="I568" s="4"/>
    </row>
    <row r="569" spans="8:9" x14ac:dyDescent="0.25">
      <c r="H569" s="4"/>
      <c r="I569" s="4"/>
    </row>
    <row r="570" spans="8:9" x14ac:dyDescent="0.25">
      <c r="H570" s="4"/>
      <c r="I570" s="4"/>
    </row>
    <row r="571" spans="8:9" x14ac:dyDescent="0.25">
      <c r="H571" s="4"/>
      <c r="I571" s="4"/>
    </row>
    <row r="572" spans="8:9" x14ac:dyDescent="0.25">
      <c r="H572" s="4"/>
      <c r="I572" s="4"/>
    </row>
    <row r="573" spans="8:9" x14ac:dyDescent="0.25">
      <c r="H573" s="4"/>
      <c r="I573" s="4"/>
    </row>
    <row r="574" spans="8:9" x14ac:dyDescent="0.25">
      <c r="H574" s="4"/>
      <c r="I574" s="4"/>
    </row>
    <row r="575" spans="8:9" x14ac:dyDescent="0.25">
      <c r="H575" s="4"/>
      <c r="I575" s="4"/>
    </row>
    <row r="576" spans="8:9" x14ac:dyDescent="0.25">
      <c r="H576" s="4"/>
      <c r="I576" s="4"/>
    </row>
    <row r="577" spans="8:9" x14ac:dyDescent="0.25">
      <c r="H577" s="4"/>
      <c r="I577" s="4"/>
    </row>
    <row r="578" spans="8:9" x14ac:dyDescent="0.25">
      <c r="H578" s="4"/>
      <c r="I578" s="4"/>
    </row>
    <row r="579" spans="8:9" x14ac:dyDescent="0.25">
      <c r="H579" s="4"/>
      <c r="I579" s="4"/>
    </row>
    <row r="580" spans="8:9" x14ac:dyDescent="0.25">
      <c r="H580" s="4"/>
      <c r="I580" s="4"/>
    </row>
    <row r="581" spans="8:9" x14ac:dyDescent="0.25">
      <c r="H581" s="4"/>
      <c r="I581" s="4"/>
    </row>
    <row r="582" spans="8:9" x14ac:dyDescent="0.25">
      <c r="H582" s="4"/>
      <c r="I582" s="4"/>
    </row>
    <row r="583" spans="8:9" x14ac:dyDescent="0.25">
      <c r="H583" s="4"/>
      <c r="I583" s="4"/>
    </row>
    <row r="584" spans="8:9" x14ac:dyDescent="0.25">
      <c r="H584" s="4"/>
      <c r="I584" s="4"/>
    </row>
    <row r="585" spans="8:9" x14ac:dyDescent="0.25">
      <c r="H585" s="4"/>
      <c r="I585" s="4"/>
    </row>
    <row r="586" spans="8:9" x14ac:dyDescent="0.25">
      <c r="H586" s="4"/>
      <c r="I586" s="4"/>
    </row>
    <row r="587" spans="8:9" x14ac:dyDescent="0.25">
      <c r="H587" s="4"/>
      <c r="I587" s="4"/>
    </row>
    <row r="588" spans="8:9" x14ac:dyDescent="0.25">
      <c r="H588" s="4"/>
      <c r="I588" s="4"/>
    </row>
    <row r="589" spans="8:9" x14ac:dyDescent="0.25">
      <c r="H589" s="4"/>
      <c r="I589" s="4"/>
    </row>
    <row r="590" spans="8:9" x14ac:dyDescent="0.25">
      <c r="H590" s="4"/>
      <c r="I590" s="4"/>
    </row>
    <row r="591" spans="8:9" x14ac:dyDescent="0.25">
      <c r="H591" s="4"/>
      <c r="I591" s="4"/>
    </row>
    <row r="592" spans="8:9" x14ac:dyDescent="0.25">
      <c r="H592" s="4"/>
      <c r="I592" s="4"/>
    </row>
    <row r="593" spans="8:9" x14ac:dyDescent="0.25">
      <c r="H593" s="4"/>
      <c r="I593" s="4"/>
    </row>
    <row r="594" spans="8:9" x14ac:dyDescent="0.25">
      <c r="H594" s="4"/>
      <c r="I594" s="4"/>
    </row>
    <row r="595" spans="8:9" x14ac:dyDescent="0.25">
      <c r="H595" s="4"/>
      <c r="I595" s="4"/>
    </row>
    <row r="596" spans="8:9" x14ac:dyDescent="0.25">
      <c r="H596" s="4"/>
      <c r="I596" s="4"/>
    </row>
    <row r="597" spans="8:9" x14ac:dyDescent="0.25">
      <c r="H597" s="4"/>
      <c r="I597" s="4"/>
    </row>
    <row r="598" spans="8:9" x14ac:dyDescent="0.25">
      <c r="H598" s="4"/>
      <c r="I598" s="4"/>
    </row>
    <row r="599" spans="8:9" x14ac:dyDescent="0.25">
      <c r="H599" s="4"/>
      <c r="I599" s="4"/>
    </row>
    <row r="600" spans="8:9" x14ac:dyDescent="0.25">
      <c r="H600" s="4"/>
      <c r="I600" s="4"/>
    </row>
    <row r="601" spans="8:9" x14ac:dyDescent="0.25">
      <c r="H601" s="4"/>
      <c r="I601" s="4"/>
    </row>
    <row r="602" spans="8:9" x14ac:dyDescent="0.25">
      <c r="H602" s="4"/>
      <c r="I602" s="4"/>
    </row>
    <row r="603" spans="8:9" x14ac:dyDescent="0.25">
      <c r="H603" s="4"/>
      <c r="I603" s="4"/>
    </row>
    <row r="604" spans="8:9" x14ac:dyDescent="0.25">
      <c r="H604" s="4"/>
      <c r="I604" s="4"/>
    </row>
    <row r="605" spans="8:9" x14ac:dyDescent="0.25">
      <c r="H605" s="4"/>
      <c r="I605" s="4"/>
    </row>
    <row r="606" spans="8:9" x14ac:dyDescent="0.25">
      <c r="H606" s="4"/>
      <c r="I606" s="4"/>
    </row>
    <row r="607" spans="8:9" x14ac:dyDescent="0.25">
      <c r="H607" s="4"/>
      <c r="I607" s="4"/>
    </row>
    <row r="608" spans="8:9" x14ac:dyDescent="0.25">
      <c r="H608" s="4"/>
      <c r="I608" s="4"/>
    </row>
    <row r="609" spans="8:9" x14ac:dyDescent="0.25">
      <c r="H609" s="4"/>
      <c r="I609" s="4"/>
    </row>
    <row r="610" spans="8:9" x14ac:dyDescent="0.25">
      <c r="H610" s="4"/>
      <c r="I610" s="4"/>
    </row>
    <row r="611" spans="8:9" x14ac:dyDescent="0.25">
      <c r="H611" s="4"/>
      <c r="I611" s="4"/>
    </row>
    <row r="612" spans="8:9" x14ac:dyDescent="0.25">
      <c r="H612" s="4"/>
      <c r="I612" s="4"/>
    </row>
    <row r="613" spans="8:9" x14ac:dyDescent="0.25">
      <c r="H613" s="4"/>
      <c r="I613" s="4"/>
    </row>
    <row r="614" spans="8:9" x14ac:dyDescent="0.25">
      <c r="H614" s="4"/>
      <c r="I614" s="4"/>
    </row>
    <row r="615" spans="8:9" x14ac:dyDescent="0.25">
      <c r="H615" s="4"/>
      <c r="I615" s="4"/>
    </row>
    <row r="616" spans="8:9" x14ac:dyDescent="0.25">
      <c r="H616" s="4"/>
      <c r="I616" s="4"/>
    </row>
    <row r="617" spans="8:9" x14ac:dyDescent="0.25">
      <c r="H617" s="4"/>
      <c r="I617" s="4"/>
    </row>
    <row r="618" spans="8:9" x14ac:dyDescent="0.25">
      <c r="H618" s="4"/>
      <c r="I618" s="4"/>
    </row>
    <row r="619" spans="8:9" x14ac:dyDescent="0.25">
      <c r="H619" s="4"/>
      <c r="I619" s="4"/>
    </row>
    <row r="620" spans="8:9" x14ac:dyDescent="0.25">
      <c r="H620" s="4"/>
      <c r="I620" s="4"/>
    </row>
    <row r="621" spans="8:9" x14ac:dyDescent="0.25">
      <c r="H621" s="4"/>
      <c r="I621" s="4"/>
    </row>
    <row r="622" spans="8:9" x14ac:dyDescent="0.25">
      <c r="H622" s="4"/>
      <c r="I622" s="4"/>
    </row>
    <row r="623" spans="8:9" x14ac:dyDescent="0.25">
      <c r="H623" s="4"/>
      <c r="I623" s="4"/>
    </row>
    <row r="624" spans="8:9" x14ac:dyDescent="0.25">
      <c r="H624" s="4"/>
      <c r="I624" s="4"/>
    </row>
    <row r="625" spans="8:9" x14ac:dyDescent="0.25">
      <c r="H625" s="4"/>
      <c r="I625" s="4"/>
    </row>
    <row r="626" spans="8:9" x14ac:dyDescent="0.25">
      <c r="H626" s="4"/>
      <c r="I626" s="4"/>
    </row>
    <row r="627" spans="8:9" x14ac:dyDescent="0.25">
      <c r="H627" s="4"/>
      <c r="I627" s="4"/>
    </row>
    <row r="628" spans="8:9" x14ac:dyDescent="0.25">
      <c r="H628" s="4"/>
      <c r="I628" s="4"/>
    </row>
    <row r="629" spans="8:9" x14ac:dyDescent="0.25">
      <c r="H629" s="4"/>
      <c r="I629" s="4"/>
    </row>
    <row r="630" spans="8:9" x14ac:dyDescent="0.25">
      <c r="H630" s="4"/>
      <c r="I630" s="4"/>
    </row>
    <row r="631" spans="8:9" x14ac:dyDescent="0.25">
      <c r="H631" s="4"/>
      <c r="I631" s="4"/>
    </row>
    <row r="632" spans="8:9" x14ac:dyDescent="0.25">
      <c r="H632" s="4"/>
      <c r="I632" s="4"/>
    </row>
    <row r="633" spans="8:9" x14ac:dyDescent="0.25">
      <c r="H633" s="4"/>
      <c r="I633" s="4"/>
    </row>
    <row r="634" spans="8:9" x14ac:dyDescent="0.25">
      <c r="H634" s="4"/>
      <c r="I634" s="4"/>
    </row>
    <row r="635" spans="8:9" x14ac:dyDescent="0.25">
      <c r="H635" s="4"/>
      <c r="I635" s="4"/>
    </row>
    <row r="636" spans="8:9" x14ac:dyDescent="0.25">
      <c r="H636" s="4"/>
      <c r="I636" s="4"/>
    </row>
    <row r="637" spans="8:9" x14ac:dyDescent="0.25">
      <c r="H637" s="4"/>
      <c r="I637" s="4"/>
    </row>
    <row r="638" spans="8:9" x14ac:dyDescent="0.25">
      <c r="H638" s="4"/>
      <c r="I638" s="4"/>
    </row>
    <row r="639" spans="8:9" x14ac:dyDescent="0.25">
      <c r="H639" s="4"/>
      <c r="I639" s="4"/>
    </row>
    <row r="640" spans="8:9" x14ac:dyDescent="0.25">
      <c r="H640" s="4"/>
      <c r="I640" s="4"/>
    </row>
    <row r="641" spans="8:9" x14ac:dyDescent="0.25">
      <c r="H641" s="4"/>
      <c r="I641" s="4"/>
    </row>
    <row r="642" spans="8:9" x14ac:dyDescent="0.25">
      <c r="H642" s="4"/>
      <c r="I642" s="4"/>
    </row>
    <row r="643" spans="8:9" x14ac:dyDescent="0.25">
      <c r="H643" s="4"/>
      <c r="I643" s="4"/>
    </row>
    <row r="644" spans="8:9" x14ac:dyDescent="0.25">
      <c r="H644" s="4"/>
      <c r="I644" s="4"/>
    </row>
    <row r="645" spans="8:9" x14ac:dyDescent="0.25">
      <c r="H645" s="4"/>
      <c r="I645" s="4"/>
    </row>
    <row r="646" spans="8:9" x14ac:dyDescent="0.25">
      <c r="H646" s="4"/>
      <c r="I646" s="4"/>
    </row>
    <row r="647" spans="8:9" x14ac:dyDescent="0.25">
      <c r="H647" s="4"/>
      <c r="I647" s="4"/>
    </row>
    <row r="648" spans="8:9" x14ac:dyDescent="0.25">
      <c r="H648" s="4"/>
      <c r="I648" s="4"/>
    </row>
    <row r="649" spans="8:9" x14ac:dyDescent="0.25">
      <c r="H649" s="4"/>
      <c r="I649" s="4"/>
    </row>
    <row r="650" spans="8:9" x14ac:dyDescent="0.25">
      <c r="H650" s="4"/>
      <c r="I650" s="4"/>
    </row>
    <row r="651" spans="8:9" x14ac:dyDescent="0.25">
      <c r="H651" s="4"/>
      <c r="I651" s="4"/>
    </row>
    <row r="652" spans="8:9" x14ac:dyDescent="0.25">
      <c r="H652" s="4"/>
      <c r="I652" s="4"/>
    </row>
    <row r="653" spans="8:9" x14ac:dyDescent="0.25">
      <c r="H653" s="4"/>
      <c r="I653" s="4"/>
    </row>
    <row r="654" spans="8:9" x14ac:dyDescent="0.25">
      <c r="H654" s="4"/>
      <c r="I654" s="4"/>
    </row>
    <row r="655" spans="8:9" x14ac:dyDescent="0.25">
      <c r="H655" s="4"/>
      <c r="I655" s="4"/>
    </row>
    <row r="656" spans="8:9" x14ac:dyDescent="0.25">
      <c r="H656" s="4"/>
      <c r="I656" s="4"/>
    </row>
    <row r="657" spans="8:9" x14ac:dyDescent="0.25">
      <c r="H657" s="4"/>
      <c r="I657" s="4"/>
    </row>
    <row r="658" spans="8:9" x14ac:dyDescent="0.25">
      <c r="H658" s="4"/>
      <c r="I658" s="4"/>
    </row>
    <row r="659" spans="8:9" x14ac:dyDescent="0.25">
      <c r="H659" s="4"/>
      <c r="I659" s="4"/>
    </row>
    <row r="660" spans="8:9" x14ac:dyDescent="0.25">
      <c r="H660" s="4"/>
      <c r="I660" s="4"/>
    </row>
    <row r="661" spans="8:9" x14ac:dyDescent="0.25">
      <c r="H661" s="4"/>
      <c r="I661" s="4"/>
    </row>
    <row r="662" spans="8:9" x14ac:dyDescent="0.25">
      <c r="H662" s="4"/>
      <c r="I662" s="4"/>
    </row>
    <row r="663" spans="8:9" x14ac:dyDescent="0.25">
      <c r="H663" s="4"/>
      <c r="I663" s="4"/>
    </row>
    <row r="664" spans="8:9" x14ac:dyDescent="0.25">
      <c r="H664" s="4"/>
      <c r="I664" s="4"/>
    </row>
    <row r="665" spans="8:9" x14ac:dyDescent="0.25">
      <c r="H665" s="4"/>
      <c r="I665" s="4"/>
    </row>
    <row r="666" spans="8:9" x14ac:dyDescent="0.25">
      <c r="H666" s="4"/>
      <c r="I666" s="4"/>
    </row>
    <row r="667" spans="8:9" x14ac:dyDescent="0.25">
      <c r="H667" s="4"/>
      <c r="I667" s="4"/>
    </row>
    <row r="668" spans="8:9" x14ac:dyDescent="0.25">
      <c r="H668" s="4"/>
      <c r="I668" s="4"/>
    </row>
    <row r="669" spans="8:9" x14ac:dyDescent="0.25">
      <c r="H669" s="4"/>
      <c r="I669" s="4"/>
    </row>
    <row r="670" spans="8:9" x14ac:dyDescent="0.25">
      <c r="H670" s="4"/>
      <c r="I670" s="4"/>
    </row>
    <row r="671" spans="8:9" x14ac:dyDescent="0.25">
      <c r="H671" s="4"/>
      <c r="I671" s="4"/>
    </row>
    <row r="672" spans="8:9" x14ac:dyDescent="0.25">
      <c r="H672" s="4"/>
      <c r="I672" s="4"/>
    </row>
    <row r="673" spans="8:9" x14ac:dyDescent="0.25">
      <c r="H673" s="4"/>
      <c r="I673" s="4"/>
    </row>
    <row r="674" spans="8:9" x14ac:dyDescent="0.25">
      <c r="H674" s="4"/>
      <c r="I674" s="4"/>
    </row>
    <row r="675" spans="8:9" x14ac:dyDescent="0.25">
      <c r="H675" s="4"/>
      <c r="I675" s="4"/>
    </row>
    <row r="676" spans="8:9" x14ac:dyDescent="0.25">
      <c r="H676" s="4"/>
      <c r="I676" s="4"/>
    </row>
    <row r="677" spans="8:9" x14ac:dyDescent="0.25">
      <c r="H677" s="4"/>
      <c r="I677" s="4"/>
    </row>
    <row r="678" spans="8:9" x14ac:dyDescent="0.25">
      <c r="H678" s="4"/>
      <c r="I678" s="4"/>
    </row>
    <row r="679" spans="8:9" x14ac:dyDescent="0.25">
      <c r="H679" s="4"/>
      <c r="I679" s="4"/>
    </row>
    <row r="680" spans="8:9" x14ac:dyDescent="0.25">
      <c r="H680" s="4"/>
      <c r="I680" s="4"/>
    </row>
    <row r="681" spans="8:9" x14ac:dyDescent="0.25">
      <c r="H681" s="4"/>
      <c r="I681" s="4"/>
    </row>
    <row r="682" spans="8:9" x14ac:dyDescent="0.25">
      <c r="H682" s="4"/>
      <c r="I682" s="4"/>
    </row>
    <row r="683" spans="8:9" x14ac:dyDescent="0.25">
      <c r="H683" s="4"/>
      <c r="I683" s="4"/>
    </row>
    <row r="684" spans="8:9" x14ac:dyDescent="0.25">
      <c r="H684" s="4"/>
      <c r="I684" s="4"/>
    </row>
    <row r="685" spans="8:9" x14ac:dyDescent="0.25">
      <c r="H685" s="4"/>
      <c r="I685" s="4"/>
    </row>
    <row r="686" spans="8:9" x14ac:dyDescent="0.25">
      <c r="H686" s="4"/>
      <c r="I686" s="4"/>
    </row>
    <row r="687" spans="8:9" x14ac:dyDescent="0.25">
      <c r="H687" s="4"/>
      <c r="I687" s="4"/>
    </row>
    <row r="688" spans="8:9" x14ac:dyDescent="0.25">
      <c r="H688" s="4"/>
      <c r="I688" s="4"/>
    </row>
    <row r="689" spans="8:9" x14ac:dyDescent="0.25">
      <c r="H689" s="4"/>
      <c r="I689" s="4"/>
    </row>
    <row r="690" spans="8:9" x14ac:dyDescent="0.25">
      <c r="H690" s="4"/>
      <c r="I690" s="4"/>
    </row>
    <row r="691" spans="8:9" x14ac:dyDescent="0.25">
      <c r="H691" s="4"/>
      <c r="I691" s="4"/>
    </row>
    <row r="692" spans="8:9" x14ac:dyDescent="0.25">
      <c r="H692" s="4"/>
      <c r="I692" s="4"/>
    </row>
    <row r="693" spans="8:9" x14ac:dyDescent="0.25">
      <c r="H693" s="4"/>
      <c r="I693" s="4"/>
    </row>
    <row r="694" spans="8:9" x14ac:dyDescent="0.25">
      <c r="H694" s="4"/>
      <c r="I694" s="4"/>
    </row>
    <row r="695" spans="8:9" x14ac:dyDescent="0.25">
      <c r="H695" s="4"/>
      <c r="I695" s="4"/>
    </row>
    <row r="696" spans="8:9" x14ac:dyDescent="0.25">
      <c r="H696" s="4"/>
      <c r="I696" s="4"/>
    </row>
    <row r="697" spans="8:9" x14ac:dyDescent="0.25">
      <c r="H697" s="4"/>
      <c r="I697" s="4"/>
    </row>
    <row r="698" spans="8:9" x14ac:dyDescent="0.25">
      <c r="H698" s="4"/>
      <c r="I698" s="4"/>
    </row>
    <row r="699" spans="8:9" x14ac:dyDescent="0.25">
      <c r="H699" s="4"/>
      <c r="I699" s="4"/>
    </row>
    <row r="700" spans="8:9" x14ac:dyDescent="0.25">
      <c r="H700" s="4"/>
      <c r="I700" s="4"/>
    </row>
    <row r="701" spans="8:9" x14ac:dyDescent="0.25">
      <c r="H701" s="4"/>
      <c r="I701" s="4"/>
    </row>
    <row r="702" spans="8:9" x14ac:dyDescent="0.25">
      <c r="H702" s="4"/>
      <c r="I702" s="4"/>
    </row>
    <row r="703" spans="8:9" x14ac:dyDescent="0.25">
      <c r="H703" s="4"/>
      <c r="I703" s="4"/>
    </row>
    <row r="704" spans="8:9" x14ac:dyDescent="0.25">
      <c r="H704" s="4"/>
      <c r="I704" s="4"/>
    </row>
    <row r="705" spans="8:9" x14ac:dyDescent="0.25">
      <c r="H705" s="4"/>
      <c r="I705" s="4"/>
    </row>
    <row r="706" spans="8:9" x14ac:dyDescent="0.25">
      <c r="H706" s="4"/>
      <c r="I706" s="4"/>
    </row>
    <row r="707" spans="8:9" x14ac:dyDescent="0.25">
      <c r="H707" s="4"/>
      <c r="I707" s="4"/>
    </row>
    <row r="708" spans="8:9" x14ac:dyDescent="0.25">
      <c r="H708" s="4"/>
      <c r="I708" s="4"/>
    </row>
    <row r="709" spans="8:9" x14ac:dyDescent="0.25">
      <c r="H709" s="4"/>
      <c r="I709" s="4"/>
    </row>
    <row r="710" spans="8:9" x14ac:dyDescent="0.25">
      <c r="H710" s="4"/>
      <c r="I710" s="4"/>
    </row>
    <row r="711" spans="8:9" x14ac:dyDescent="0.25">
      <c r="H711" s="4"/>
      <c r="I711" s="4"/>
    </row>
    <row r="712" spans="8:9" x14ac:dyDescent="0.25">
      <c r="H712" s="4"/>
      <c r="I712" s="4"/>
    </row>
    <row r="713" spans="8:9" x14ac:dyDescent="0.25">
      <c r="H713" s="4"/>
      <c r="I713" s="4"/>
    </row>
    <row r="714" spans="8:9" x14ac:dyDescent="0.25">
      <c r="H714" s="4"/>
      <c r="I714" s="4"/>
    </row>
    <row r="715" spans="8:9" x14ac:dyDescent="0.25">
      <c r="H715" s="4"/>
      <c r="I715" s="4"/>
    </row>
    <row r="716" spans="8:9" x14ac:dyDescent="0.25">
      <c r="H716" s="4"/>
      <c r="I716" s="4"/>
    </row>
    <row r="717" spans="8:9" x14ac:dyDescent="0.25">
      <c r="H717" s="4"/>
      <c r="I717" s="4"/>
    </row>
    <row r="718" spans="8:9" x14ac:dyDescent="0.25">
      <c r="H718" s="4"/>
      <c r="I718" s="4"/>
    </row>
    <row r="719" spans="8:9" x14ac:dyDescent="0.25">
      <c r="H719" s="4"/>
      <c r="I719" s="4"/>
    </row>
    <row r="720" spans="8:9" x14ac:dyDescent="0.25">
      <c r="H720" s="4"/>
      <c r="I720" s="4"/>
    </row>
    <row r="721" spans="8:9" x14ac:dyDescent="0.25">
      <c r="H721" s="4"/>
      <c r="I721" s="4"/>
    </row>
    <row r="722" spans="8:9" x14ac:dyDescent="0.25">
      <c r="H722" s="4"/>
      <c r="I722" s="4"/>
    </row>
    <row r="723" spans="8:9" x14ac:dyDescent="0.25">
      <c r="H723" s="4"/>
      <c r="I723" s="4"/>
    </row>
    <row r="724" spans="8:9" x14ac:dyDescent="0.25">
      <c r="H724" s="4"/>
      <c r="I724" s="4"/>
    </row>
    <row r="725" spans="8:9" x14ac:dyDescent="0.25">
      <c r="H725" s="4"/>
      <c r="I725" s="4"/>
    </row>
    <row r="726" spans="8:9" x14ac:dyDescent="0.25">
      <c r="H726" s="4"/>
      <c r="I726" s="4"/>
    </row>
    <row r="727" spans="8:9" x14ac:dyDescent="0.25">
      <c r="H727" s="4"/>
      <c r="I727" s="4"/>
    </row>
    <row r="728" spans="8:9" x14ac:dyDescent="0.25">
      <c r="H728" s="4"/>
      <c r="I728" s="4"/>
    </row>
    <row r="729" spans="8:9" x14ac:dyDescent="0.25">
      <c r="H729" s="4"/>
      <c r="I729" s="4"/>
    </row>
    <row r="730" spans="8:9" x14ac:dyDescent="0.25">
      <c r="H730" s="4"/>
      <c r="I730" s="4"/>
    </row>
    <row r="731" spans="8:9" x14ac:dyDescent="0.25">
      <c r="H731" s="4"/>
      <c r="I731" s="4"/>
    </row>
    <row r="732" spans="8:9" x14ac:dyDescent="0.25">
      <c r="H732" s="4"/>
      <c r="I732" s="4"/>
    </row>
    <row r="733" spans="8:9" x14ac:dyDescent="0.25">
      <c r="H733" s="4"/>
      <c r="I733" s="4"/>
    </row>
    <row r="734" spans="8:9" x14ac:dyDescent="0.25">
      <c r="H734" s="4"/>
      <c r="I734" s="4"/>
    </row>
    <row r="735" spans="8:9" x14ac:dyDescent="0.25">
      <c r="H735" s="4"/>
      <c r="I735" s="4"/>
    </row>
    <row r="736" spans="8:9" x14ac:dyDescent="0.25">
      <c r="H736" s="4"/>
      <c r="I736" s="4"/>
    </row>
    <row r="737" spans="8:9" x14ac:dyDescent="0.25">
      <c r="H737" s="4"/>
      <c r="I737" s="4"/>
    </row>
    <row r="738" spans="8:9" x14ac:dyDescent="0.25">
      <c r="H738" s="4"/>
      <c r="I738" s="4"/>
    </row>
    <row r="739" spans="8:9" x14ac:dyDescent="0.25">
      <c r="H739" s="4"/>
      <c r="I739" s="4"/>
    </row>
    <row r="740" spans="8:9" x14ac:dyDescent="0.25">
      <c r="H740" s="4"/>
      <c r="I740" s="4"/>
    </row>
    <row r="741" spans="8:9" x14ac:dyDescent="0.25">
      <c r="H741" s="4"/>
      <c r="I741" s="4"/>
    </row>
    <row r="742" spans="8:9" x14ac:dyDescent="0.25">
      <c r="H742" s="4"/>
      <c r="I742" s="4"/>
    </row>
    <row r="743" spans="8:9" x14ac:dyDescent="0.25">
      <c r="H743" s="4"/>
      <c r="I743" s="4"/>
    </row>
    <row r="744" spans="8:9" x14ac:dyDescent="0.25">
      <c r="H744" s="4"/>
      <c r="I744" s="4"/>
    </row>
    <row r="745" spans="8:9" x14ac:dyDescent="0.25">
      <c r="H745" s="4"/>
      <c r="I745" s="4"/>
    </row>
    <row r="746" spans="8:9" x14ac:dyDescent="0.25">
      <c r="H746" s="4"/>
      <c r="I746" s="4"/>
    </row>
    <row r="747" spans="8:9" x14ac:dyDescent="0.25">
      <c r="H747" s="4"/>
      <c r="I747" s="4"/>
    </row>
    <row r="748" spans="8:9" x14ac:dyDescent="0.25">
      <c r="H748" s="4"/>
      <c r="I748" s="4"/>
    </row>
    <row r="749" spans="8:9" x14ac:dyDescent="0.25">
      <c r="H749" s="4"/>
      <c r="I749" s="4"/>
    </row>
    <row r="750" spans="8:9" x14ac:dyDescent="0.25">
      <c r="H750" s="4"/>
      <c r="I750" s="4"/>
    </row>
    <row r="751" spans="8:9" x14ac:dyDescent="0.25">
      <c r="H751" s="4"/>
      <c r="I751" s="4"/>
    </row>
    <row r="752" spans="8:9" x14ac:dyDescent="0.25">
      <c r="H752" s="4"/>
      <c r="I752" s="4"/>
    </row>
    <row r="753" spans="8:9" x14ac:dyDescent="0.25">
      <c r="H753" s="4"/>
      <c r="I753" s="4"/>
    </row>
    <row r="754" spans="8:9" x14ac:dyDescent="0.25">
      <c r="H754" s="4"/>
      <c r="I754" s="4"/>
    </row>
    <row r="755" spans="8:9" x14ac:dyDescent="0.25">
      <c r="H755" s="4"/>
      <c r="I755" s="4"/>
    </row>
    <row r="756" spans="8:9" x14ac:dyDescent="0.25">
      <c r="H756" s="4"/>
      <c r="I756" s="4"/>
    </row>
    <row r="757" spans="8:9" x14ac:dyDescent="0.25">
      <c r="H757" s="4"/>
      <c r="I757" s="4"/>
    </row>
    <row r="758" spans="8:9" x14ac:dyDescent="0.25">
      <c r="H758" s="4"/>
      <c r="I758" s="4"/>
    </row>
    <row r="759" spans="8:9" x14ac:dyDescent="0.25">
      <c r="H759" s="4"/>
      <c r="I759" s="4"/>
    </row>
    <row r="760" spans="8:9" x14ac:dyDescent="0.25">
      <c r="H760" s="4"/>
      <c r="I760" s="4"/>
    </row>
    <row r="761" spans="8:9" x14ac:dyDescent="0.25">
      <c r="H761" s="4"/>
      <c r="I761" s="4"/>
    </row>
    <row r="762" spans="8:9" x14ac:dyDescent="0.25">
      <c r="H762" s="4"/>
      <c r="I762" s="4"/>
    </row>
    <row r="763" spans="8:9" x14ac:dyDescent="0.25">
      <c r="H763" s="4"/>
      <c r="I763" s="4"/>
    </row>
    <row r="764" spans="8:9" x14ac:dyDescent="0.25">
      <c r="H764" s="4"/>
      <c r="I764" s="4"/>
    </row>
    <row r="765" spans="8:9" x14ac:dyDescent="0.25">
      <c r="H765" s="4"/>
      <c r="I765" s="4"/>
    </row>
    <row r="766" spans="8:9" x14ac:dyDescent="0.25">
      <c r="H766" s="4"/>
      <c r="I766" s="4"/>
    </row>
    <row r="767" spans="8:9" x14ac:dyDescent="0.25">
      <c r="H767" s="4"/>
      <c r="I767" s="4"/>
    </row>
    <row r="768" spans="8:9" x14ac:dyDescent="0.25">
      <c r="H768" s="4"/>
      <c r="I768" s="4"/>
    </row>
    <row r="769" spans="8:9" x14ac:dyDescent="0.25">
      <c r="H769" s="4"/>
      <c r="I769" s="4"/>
    </row>
    <row r="770" spans="8:9" x14ac:dyDescent="0.25">
      <c r="H770" s="4"/>
      <c r="I770" s="4"/>
    </row>
    <row r="771" spans="8:9" x14ac:dyDescent="0.25">
      <c r="H771" s="4"/>
      <c r="I771" s="4"/>
    </row>
    <row r="772" spans="8:9" x14ac:dyDescent="0.25">
      <c r="H772" s="4"/>
      <c r="I772" s="4"/>
    </row>
    <row r="773" spans="8:9" x14ac:dyDescent="0.25">
      <c r="H773" s="4"/>
      <c r="I773" s="4"/>
    </row>
    <row r="774" spans="8:9" x14ac:dyDescent="0.25">
      <c r="H774" s="4"/>
      <c r="I774" s="4"/>
    </row>
    <row r="775" spans="8:9" x14ac:dyDescent="0.25">
      <c r="H775" s="4"/>
      <c r="I775" s="4"/>
    </row>
    <row r="776" spans="8:9" x14ac:dyDescent="0.25">
      <c r="H776" s="4"/>
      <c r="I776" s="4"/>
    </row>
    <row r="777" spans="8:9" x14ac:dyDescent="0.25">
      <c r="H777" s="4"/>
      <c r="I777" s="4"/>
    </row>
    <row r="778" spans="8:9" x14ac:dyDescent="0.25">
      <c r="H778" s="4"/>
      <c r="I778" s="4"/>
    </row>
    <row r="779" spans="8:9" x14ac:dyDescent="0.25">
      <c r="H779" s="4"/>
      <c r="I779" s="4"/>
    </row>
    <row r="780" spans="8:9" x14ac:dyDescent="0.25">
      <c r="H780" s="4"/>
      <c r="I780" s="4"/>
    </row>
    <row r="781" spans="8:9" x14ac:dyDescent="0.25">
      <c r="H781" s="4"/>
      <c r="I781" s="4"/>
    </row>
    <row r="782" spans="8:9" x14ac:dyDescent="0.25">
      <c r="H782" s="4"/>
      <c r="I782" s="4"/>
    </row>
    <row r="783" spans="8:9" x14ac:dyDescent="0.25">
      <c r="H783" s="4"/>
      <c r="I783" s="4"/>
    </row>
    <row r="784" spans="8:9" x14ac:dyDescent="0.25">
      <c r="H784" s="4"/>
      <c r="I784" s="4"/>
    </row>
    <row r="785" spans="8:9" x14ac:dyDescent="0.25">
      <c r="H785" s="4"/>
      <c r="I785" s="4"/>
    </row>
    <row r="786" spans="8:9" x14ac:dyDescent="0.25">
      <c r="H786" s="4"/>
      <c r="I786" s="4"/>
    </row>
    <row r="787" spans="8:9" x14ac:dyDescent="0.25">
      <c r="H787" s="4"/>
      <c r="I787" s="4"/>
    </row>
    <row r="788" spans="8:9" x14ac:dyDescent="0.25">
      <c r="H788" s="4"/>
      <c r="I788" s="4"/>
    </row>
    <row r="789" spans="8:9" x14ac:dyDescent="0.25">
      <c r="H789" s="4"/>
      <c r="I789" s="4"/>
    </row>
    <row r="790" spans="8:9" x14ac:dyDescent="0.25">
      <c r="H790" s="4"/>
      <c r="I790" s="4"/>
    </row>
    <row r="791" spans="8:9" x14ac:dyDescent="0.25">
      <c r="H791" s="4"/>
      <c r="I791" s="4"/>
    </row>
    <row r="792" spans="8:9" x14ac:dyDescent="0.25">
      <c r="H792" s="4"/>
      <c r="I792" s="4"/>
    </row>
    <row r="793" spans="8:9" x14ac:dyDescent="0.25">
      <c r="H793" s="4"/>
      <c r="I793" s="4"/>
    </row>
    <row r="794" spans="8:9" x14ac:dyDescent="0.25">
      <c r="H794" s="4"/>
      <c r="I794" s="4"/>
    </row>
    <row r="795" spans="8:9" x14ac:dyDescent="0.25">
      <c r="H795" s="4"/>
      <c r="I795" s="4"/>
    </row>
    <row r="796" spans="8:9" x14ac:dyDescent="0.25">
      <c r="H796" s="4"/>
      <c r="I796" s="4"/>
    </row>
    <row r="797" spans="8:9" x14ac:dyDescent="0.25">
      <c r="H797" s="4"/>
      <c r="I797" s="4"/>
    </row>
    <row r="798" spans="8:9" x14ac:dyDescent="0.25">
      <c r="H798" s="4"/>
      <c r="I798" s="4"/>
    </row>
    <row r="799" spans="8:9" x14ac:dyDescent="0.25">
      <c r="H799" s="4"/>
      <c r="I799" s="4"/>
    </row>
    <row r="800" spans="8:9" x14ac:dyDescent="0.25">
      <c r="H800" s="4"/>
      <c r="I800" s="4"/>
    </row>
    <row r="801" spans="8:9" x14ac:dyDescent="0.25">
      <c r="H801" s="4"/>
      <c r="I801" s="4"/>
    </row>
    <row r="802" spans="8:9" x14ac:dyDescent="0.25">
      <c r="H802" s="4"/>
      <c r="I802" s="4"/>
    </row>
    <row r="803" spans="8:9" x14ac:dyDescent="0.25">
      <c r="H803" s="4"/>
      <c r="I803" s="4"/>
    </row>
    <row r="804" spans="8:9" x14ac:dyDescent="0.25">
      <c r="H804" s="4"/>
      <c r="I804" s="4"/>
    </row>
    <row r="805" spans="8:9" x14ac:dyDescent="0.25">
      <c r="H805" s="4"/>
      <c r="I805" s="4"/>
    </row>
    <row r="806" spans="8:9" x14ac:dyDescent="0.25">
      <c r="H806" s="4"/>
      <c r="I806" s="4"/>
    </row>
    <row r="807" spans="8:9" x14ac:dyDescent="0.25">
      <c r="H807" s="4"/>
      <c r="I807" s="4"/>
    </row>
    <row r="808" spans="8:9" x14ac:dyDescent="0.25">
      <c r="H808" s="4"/>
      <c r="I808" s="4"/>
    </row>
    <row r="809" spans="8:9" x14ac:dyDescent="0.25">
      <c r="H809" s="4"/>
      <c r="I809" s="4"/>
    </row>
    <row r="810" spans="8:9" x14ac:dyDescent="0.25">
      <c r="H810" s="4"/>
      <c r="I810" s="4"/>
    </row>
    <row r="811" spans="8:9" x14ac:dyDescent="0.25">
      <c r="H811" s="4"/>
      <c r="I811" s="4"/>
    </row>
    <row r="812" spans="8:9" x14ac:dyDescent="0.25">
      <c r="H812" s="4"/>
      <c r="I812" s="4"/>
    </row>
    <row r="813" spans="8:9" x14ac:dyDescent="0.25">
      <c r="H813" s="4"/>
      <c r="I813" s="4"/>
    </row>
    <row r="814" spans="8:9" x14ac:dyDescent="0.25">
      <c r="H814" s="4"/>
      <c r="I814" s="4"/>
    </row>
    <row r="815" spans="8:9" x14ac:dyDescent="0.25">
      <c r="H815" s="4"/>
      <c r="I815" s="4"/>
    </row>
    <row r="816" spans="8:9" x14ac:dyDescent="0.25">
      <c r="H816" s="4"/>
      <c r="I816" s="4"/>
    </row>
    <row r="817" spans="8:9" x14ac:dyDescent="0.25">
      <c r="H817" s="4"/>
      <c r="I817" s="4"/>
    </row>
    <row r="818" spans="8:9" x14ac:dyDescent="0.25">
      <c r="H818" s="4"/>
      <c r="I818" s="4"/>
    </row>
    <row r="819" spans="8:9" x14ac:dyDescent="0.25">
      <c r="H819" s="4"/>
      <c r="I819" s="4"/>
    </row>
    <row r="820" spans="8:9" x14ac:dyDescent="0.25">
      <c r="H820" s="4"/>
      <c r="I820" s="4"/>
    </row>
    <row r="821" spans="8:9" x14ac:dyDescent="0.25">
      <c r="H821" s="4"/>
      <c r="I821" s="4"/>
    </row>
    <row r="822" spans="8:9" x14ac:dyDescent="0.25">
      <c r="H822" s="4"/>
      <c r="I822" s="4"/>
    </row>
    <row r="823" spans="8:9" x14ac:dyDescent="0.25">
      <c r="H823" s="4"/>
      <c r="I823" s="4"/>
    </row>
    <row r="824" spans="8:9" x14ac:dyDescent="0.25">
      <c r="H824" s="4"/>
      <c r="I824" s="4"/>
    </row>
    <row r="825" spans="8:9" x14ac:dyDescent="0.25">
      <c r="H825" s="4"/>
      <c r="I825" s="4"/>
    </row>
    <row r="826" spans="8:9" x14ac:dyDescent="0.25">
      <c r="H826" s="4"/>
      <c r="I826" s="4"/>
    </row>
    <row r="827" spans="8:9" x14ac:dyDescent="0.25">
      <c r="H827" s="4"/>
      <c r="I827" s="4"/>
    </row>
    <row r="828" spans="8:9" x14ac:dyDescent="0.25">
      <c r="H828" s="4"/>
      <c r="I828" s="4"/>
    </row>
    <row r="829" spans="8:9" x14ac:dyDescent="0.25">
      <c r="H829" s="4"/>
      <c r="I829" s="4"/>
    </row>
    <row r="830" spans="8:9" x14ac:dyDescent="0.25">
      <c r="H830" s="4"/>
      <c r="I830" s="4"/>
    </row>
    <row r="831" spans="8:9" x14ac:dyDescent="0.25">
      <c r="H831" s="4"/>
      <c r="I831" s="4"/>
    </row>
    <row r="832" spans="8:9" x14ac:dyDescent="0.25">
      <c r="H832" s="4"/>
      <c r="I832" s="4"/>
    </row>
    <row r="833" spans="8:9" x14ac:dyDescent="0.25">
      <c r="H833" s="4"/>
      <c r="I833" s="4"/>
    </row>
    <row r="834" spans="8:9" x14ac:dyDescent="0.25">
      <c r="H834" s="4"/>
      <c r="I834" s="4"/>
    </row>
    <row r="835" spans="8:9" x14ac:dyDescent="0.25">
      <c r="H835" s="4"/>
      <c r="I835" s="4"/>
    </row>
    <row r="836" spans="8:9" x14ac:dyDescent="0.25">
      <c r="H836" s="4"/>
      <c r="I836" s="4"/>
    </row>
    <row r="837" spans="8:9" x14ac:dyDescent="0.25">
      <c r="H837" s="4"/>
      <c r="I837" s="4"/>
    </row>
    <row r="838" spans="8:9" x14ac:dyDescent="0.25">
      <c r="H838" s="4"/>
      <c r="I838" s="4"/>
    </row>
    <row r="839" spans="8:9" x14ac:dyDescent="0.25">
      <c r="H839" s="4"/>
      <c r="I839" s="4"/>
    </row>
    <row r="840" spans="8:9" x14ac:dyDescent="0.25">
      <c r="H840" s="4"/>
      <c r="I840" s="4"/>
    </row>
    <row r="841" spans="8:9" x14ac:dyDescent="0.25">
      <c r="H841" s="4"/>
      <c r="I841" s="4"/>
    </row>
    <row r="842" spans="8:9" x14ac:dyDescent="0.25">
      <c r="H842" s="4"/>
      <c r="I842" s="4"/>
    </row>
    <row r="843" spans="8:9" x14ac:dyDescent="0.25">
      <c r="H843" s="4"/>
      <c r="I843" s="4"/>
    </row>
    <row r="844" spans="8:9" x14ac:dyDescent="0.25">
      <c r="H844" s="4"/>
      <c r="I844" s="4"/>
    </row>
    <row r="845" spans="8:9" x14ac:dyDescent="0.25">
      <c r="H845" s="4"/>
      <c r="I845" s="4"/>
    </row>
    <row r="846" spans="8:9" x14ac:dyDescent="0.25">
      <c r="H846" s="4"/>
      <c r="I846" s="4"/>
    </row>
    <row r="847" spans="8:9" x14ac:dyDescent="0.25">
      <c r="H847" s="4"/>
      <c r="I847" s="4"/>
    </row>
    <row r="848" spans="8:9" x14ac:dyDescent="0.25">
      <c r="H848" s="4"/>
      <c r="I848" s="4"/>
    </row>
    <row r="849" spans="8:9" x14ac:dyDescent="0.25">
      <c r="H849" s="4"/>
      <c r="I849" s="4"/>
    </row>
    <row r="850" spans="8:9" x14ac:dyDescent="0.25">
      <c r="H850" s="4"/>
      <c r="I850" s="4"/>
    </row>
    <row r="851" spans="8:9" x14ac:dyDescent="0.25">
      <c r="H851" s="4"/>
      <c r="I851" s="4"/>
    </row>
    <row r="852" spans="8:9" x14ac:dyDescent="0.25">
      <c r="H852" s="4"/>
      <c r="I852" s="4"/>
    </row>
    <row r="853" spans="8:9" x14ac:dyDescent="0.25">
      <c r="H853" s="4"/>
      <c r="I853" s="4"/>
    </row>
    <row r="854" spans="8:9" x14ac:dyDescent="0.25">
      <c r="H854" s="4"/>
      <c r="I854" s="4"/>
    </row>
    <row r="855" spans="8:9" x14ac:dyDescent="0.25">
      <c r="H855" s="4"/>
      <c r="I855" s="4"/>
    </row>
    <row r="856" spans="8:9" x14ac:dyDescent="0.25">
      <c r="H856" s="4"/>
      <c r="I856" s="4"/>
    </row>
    <row r="857" spans="8:9" x14ac:dyDescent="0.25">
      <c r="H857" s="4"/>
      <c r="I857" s="4"/>
    </row>
    <row r="858" spans="8:9" x14ac:dyDescent="0.25">
      <c r="H858" s="4"/>
      <c r="I858" s="4"/>
    </row>
    <row r="859" spans="8:9" x14ac:dyDescent="0.25">
      <c r="H859" s="4"/>
      <c r="I859" s="4"/>
    </row>
    <row r="860" spans="8:9" x14ac:dyDescent="0.25">
      <c r="H860" s="4"/>
      <c r="I860" s="4"/>
    </row>
    <row r="861" spans="8:9" x14ac:dyDescent="0.25">
      <c r="H861" s="4"/>
      <c r="I861" s="4"/>
    </row>
    <row r="862" spans="8:9" x14ac:dyDescent="0.25">
      <c r="H862" s="4"/>
      <c r="I862" s="4"/>
    </row>
    <row r="863" spans="8:9" x14ac:dyDescent="0.25">
      <c r="H863" s="4"/>
      <c r="I863" s="4"/>
    </row>
    <row r="864" spans="8:9" x14ac:dyDescent="0.25">
      <c r="H864" s="4"/>
      <c r="I864" s="4"/>
    </row>
    <row r="865" spans="8:9" x14ac:dyDescent="0.25">
      <c r="H865" s="4"/>
      <c r="I865" s="4"/>
    </row>
    <row r="866" spans="8:9" x14ac:dyDescent="0.25">
      <c r="H866" s="4"/>
      <c r="I866" s="4"/>
    </row>
    <row r="867" spans="8:9" x14ac:dyDescent="0.25">
      <c r="H867" s="4"/>
      <c r="I867" s="4"/>
    </row>
    <row r="868" spans="8:9" x14ac:dyDescent="0.25">
      <c r="H868" s="4"/>
      <c r="I868" s="4"/>
    </row>
    <row r="869" spans="8:9" x14ac:dyDescent="0.25">
      <c r="H869" s="4"/>
      <c r="I869" s="4"/>
    </row>
    <row r="870" spans="8:9" x14ac:dyDescent="0.25">
      <c r="H870" s="4"/>
      <c r="I870" s="4"/>
    </row>
    <row r="871" spans="8:9" x14ac:dyDescent="0.25">
      <c r="H871" s="4"/>
      <c r="I871" s="4"/>
    </row>
    <row r="872" spans="8:9" x14ac:dyDescent="0.25">
      <c r="H872" s="4"/>
      <c r="I872" s="4"/>
    </row>
    <row r="873" spans="8:9" x14ac:dyDescent="0.25">
      <c r="H873" s="4"/>
      <c r="I873" s="4"/>
    </row>
    <row r="874" spans="8:9" x14ac:dyDescent="0.25">
      <c r="H874" s="4"/>
      <c r="I874" s="4"/>
    </row>
    <row r="875" spans="8:9" x14ac:dyDescent="0.25">
      <c r="H875" s="4"/>
      <c r="I875" s="4"/>
    </row>
    <row r="876" spans="8:9" x14ac:dyDescent="0.25">
      <c r="H876" s="4"/>
      <c r="I876" s="4"/>
    </row>
    <row r="877" spans="8:9" x14ac:dyDescent="0.25">
      <c r="H877" s="4"/>
      <c r="I877" s="4"/>
    </row>
    <row r="878" spans="8:9" x14ac:dyDescent="0.25">
      <c r="H878" s="4"/>
      <c r="I878" s="4"/>
    </row>
    <row r="879" spans="8:9" x14ac:dyDescent="0.25">
      <c r="H879" s="4"/>
      <c r="I879" s="4"/>
    </row>
    <row r="880" spans="8:9" x14ac:dyDescent="0.25">
      <c r="H880" s="4"/>
      <c r="I880" s="4"/>
    </row>
    <row r="881" spans="8:9" x14ac:dyDescent="0.25">
      <c r="H881" s="4"/>
      <c r="I881" s="4"/>
    </row>
    <row r="882" spans="8:9" x14ac:dyDescent="0.25">
      <c r="H882" s="4"/>
      <c r="I882" s="4"/>
    </row>
    <row r="883" spans="8:9" x14ac:dyDescent="0.25">
      <c r="H883" s="4"/>
      <c r="I883" s="4"/>
    </row>
    <row r="884" spans="8:9" x14ac:dyDescent="0.25">
      <c r="H884" s="4"/>
      <c r="I884" s="4"/>
    </row>
    <row r="885" spans="8:9" x14ac:dyDescent="0.25">
      <c r="H885" s="4"/>
      <c r="I885" s="4"/>
    </row>
    <row r="886" spans="8:9" x14ac:dyDescent="0.25">
      <c r="H886" s="4"/>
      <c r="I886" s="4"/>
    </row>
    <row r="887" spans="8:9" x14ac:dyDescent="0.25">
      <c r="H887" s="4"/>
      <c r="I887" s="4"/>
    </row>
    <row r="888" spans="8:9" x14ac:dyDescent="0.25">
      <c r="H888" s="4"/>
      <c r="I888" s="4"/>
    </row>
    <row r="889" spans="8:9" x14ac:dyDescent="0.25">
      <c r="H889" s="4"/>
      <c r="I889" s="4"/>
    </row>
    <row r="890" spans="8:9" x14ac:dyDescent="0.25">
      <c r="H890" s="4"/>
      <c r="I890" s="4"/>
    </row>
    <row r="891" spans="8:9" x14ac:dyDescent="0.25">
      <c r="H891" s="4"/>
      <c r="I891" s="4"/>
    </row>
    <row r="892" spans="8:9" x14ac:dyDescent="0.25">
      <c r="H892" s="4"/>
      <c r="I892" s="4"/>
    </row>
    <row r="893" spans="8:9" x14ac:dyDescent="0.25">
      <c r="H893" s="4"/>
      <c r="I893" s="4"/>
    </row>
    <row r="894" spans="8:9" x14ac:dyDescent="0.25">
      <c r="H894" s="4"/>
      <c r="I894" s="4"/>
    </row>
    <row r="895" spans="8:9" x14ac:dyDescent="0.25">
      <c r="H895" s="4"/>
      <c r="I895" s="4"/>
    </row>
    <row r="896" spans="8:9" x14ac:dyDescent="0.25">
      <c r="H896" s="4"/>
      <c r="I896" s="4"/>
    </row>
    <row r="897" spans="8:9" x14ac:dyDescent="0.25">
      <c r="H897" s="4"/>
      <c r="I897" s="4"/>
    </row>
    <row r="898" spans="8:9" x14ac:dyDescent="0.25">
      <c r="H898" s="4"/>
      <c r="I898" s="4"/>
    </row>
    <row r="899" spans="8:9" x14ac:dyDescent="0.25">
      <c r="H899" s="4"/>
      <c r="I899" s="4"/>
    </row>
    <row r="900" spans="8:9" x14ac:dyDescent="0.25">
      <c r="H900" s="4"/>
      <c r="I900" s="4"/>
    </row>
    <row r="901" spans="8:9" x14ac:dyDescent="0.25">
      <c r="H901" s="4"/>
      <c r="I901" s="4"/>
    </row>
    <row r="902" spans="8:9" x14ac:dyDescent="0.25">
      <c r="H902" s="4"/>
      <c r="I902" s="4"/>
    </row>
    <row r="903" spans="8:9" x14ac:dyDescent="0.25">
      <c r="H903" s="4"/>
      <c r="I903" s="4"/>
    </row>
    <row r="904" spans="8:9" x14ac:dyDescent="0.25">
      <c r="H904" s="4"/>
      <c r="I904" s="4"/>
    </row>
    <row r="905" spans="8:9" x14ac:dyDescent="0.25">
      <c r="H905" s="4"/>
      <c r="I905" s="4"/>
    </row>
    <row r="906" spans="8:9" x14ac:dyDescent="0.25">
      <c r="H906" s="4"/>
      <c r="I906" s="4"/>
    </row>
    <row r="907" spans="8:9" x14ac:dyDescent="0.25">
      <c r="H907" s="4"/>
      <c r="I907" s="4"/>
    </row>
    <row r="908" spans="8:9" x14ac:dyDescent="0.25">
      <c r="H908" s="4"/>
      <c r="I908" s="4"/>
    </row>
    <row r="909" spans="8:9" x14ac:dyDescent="0.25">
      <c r="H909" s="4"/>
      <c r="I909" s="4"/>
    </row>
    <row r="910" spans="8:9" x14ac:dyDescent="0.25">
      <c r="H910" s="4"/>
      <c r="I910" s="4"/>
    </row>
    <row r="911" spans="8:9" x14ac:dyDescent="0.25">
      <c r="H911" s="4"/>
      <c r="I911" s="4"/>
    </row>
    <row r="912" spans="8:9" x14ac:dyDescent="0.25">
      <c r="H912" s="4"/>
      <c r="I912" s="4"/>
    </row>
    <row r="913" spans="8:9" x14ac:dyDescent="0.25">
      <c r="H913" s="4"/>
      <c r="I913" s="4"/>
    </row>
    <row r="914" spans="8:9" x14ac:dyDescent="0.25">
      <c r="H914" s="4"/>
      <c r="I914" s="4"/>
    </row>
    <row r="915" spans="8:9" x14ac:dyDescent="0.25">
      <c r="H915" s="4"/>
      <c r="I915" s="4"/>
    </row>
    <row r="916" spans="8:9" x14ac:dyDescent="0.25">
      <c r="H916" s="4"/>
      <c r="I916" s="4"/>
    </row>
    <row r="917" spans="8:9" x14ac:dyDescent="0.25">
      <c r="H917" s="4"/>
      <c r="I917" s="4"/>
    </row>
    <row r="918" spans="8:9" x14ac:dyDescent="0.25">
      <c r="H918" s="4"/>
      <c r="I918" s="4"/>
    </row>
    <row r="919" spans="8:9" x14ac:dyDescent="0.25">
      <c r="H919" s="4"/>
      <c r="I919" s="4"/>
    </row>
    <row r="920" spans="8:9" x14ac:dyDescent="0.25">
      <c r="H920" s="4"/>
      <c r="I920" s="4"/>
    </row>
    <row r="921" spans="8:9" x14ac:dyDescent="0.25">
      <c r="H921" s="4"/>
      <c r="I921" s="4"/>
    </row>
    <row r="922" spans="8:9" x14ac:dyDescent="0.25">
      <c r="H922" s="4"/>
      <c r="I922" s="4"/>
    </row>
    <row r="923" spans="8:9" x14ac:dyDescent="0.25">
      <c r="H923" s="4"/>
      <c r="I923" s="4"/>
    </row>
    <row r="924" spans="8:9" x14ac:dyDescent="0.25">
      <c r="H924" s="4"/>
      <c r="I924" s="4"/>
    </row>
    <row r="925" spans="8:9" x14ac:dyDescent="0.25">
      <c r="H925" s="4"/>
      <c r="I925" s="4"/>
    </row>
    <row r="926" spans="8:9" x14ac:dyDescent="0.25">
      <c r="H926" s="4"/>
      <c r="I926" s="4"/>
    </row>
    <row r="927" spans="8:9" x14ac:dyDescent="0.25">
      <c r="H927" s="4"/>
      <c r="I927" s="4"/>
    </row>
    <row r="928" spans="8:9" x14ac:dyDescent="0.25">
      <c r="H928" s="4"/>
      <c r="I928" s="4"/>
    </row>
    <row r="929" spans="8:9" x14ac:dyDescent="0.25">
      <c r="H929" s="4"/>
      <c r="I929" s="4"/>
    </row>
    <row r="930" spans="8:9" x14ac:dyDescent="0.25">
      <c r="H930" s="4"/>
      <c r="I930" s="4"/>
    </row>
    <row r="931" spans="8:9" x14ac:dyDescent="0.25">
      <c r="H931" s="4"/>
      <c r="I931" s="4"/>
    </row>
    <row r="932" spans="8:9" x14ac:dyDescent="0.25">
      <c r="H932" s="4"/>
      <c r="I932" s="4"/>
    </row>
    <row r="933" spans="8:9" x14ac:dyDescent="0.25">
      <c r="H933" s="4"/>
      <c r="I933" s="4"/>
    </row>
    <row r="934" spans="8:9" x14ac:dyDescent="0.25">
      <c r="H934" s="4"/>
      <c r="I934" s="4"/>
    </row>
    <row r="935" spans="8:9" x14ac:dyDescent="0.25">
      <c r="H935" s="4"/>
      <c r="I935" s="4"/>
    </row>
    <row r="936" spans="8:9" x14ac:dyDescent="0.25">
      <c r="H936" s="4"/>
      <c r="I936" s="4"/>
    </row>
    <row r="937" spans="8:9" x14ac:dyDescent="0.25">
      <c r="H937" s="4"/>
      <c r="I937" s="4"/>
    </row>
    <row r="938" spans="8:9" x14ac:dyDescent="0.25">
      <c r="H938" s="4"/>
      <c r="I938" s="4"/>
    </row>
    <row r="939" spans="8:9" x14ac:dyDescent="0.25">
      <c r="H939" s="4"/>
      <c r="I939" s="4"/>
    </row>
    <row r="940" spans="8:9" x14ac:dyDescent="0.25">
      <c r="H940" s="4"/>
      <c r="I940" s="4"/>
    </row>
    <row r="941" spans="8:9" x14ac:dyDescent="0.25">
      <c r="H941" s="4"/>
      <c r="I941" s="4"/>
    </row>
    <row r="942" spans="8:9" x14ac:dyDescent="0.25">
      <c r="H942" s="4"/>
      <c r="I942" s="4"/>
    </row>
    <row r="943" spans="8:9" x14ac:dyDescent="0.25">
      <c r="H943" s="4"/>
      <c r="I943" s="4"/>
    </row>
    <row r="944" spans="8:9" x14ac:dyDescent="0.25">
      <c r="H944" s="4"/>
      <c r="I944" s="4"/>
    </row>
    <row r="945" spans="8:9" x14ac:dyDescent="0.25">
      <c r="H945" s="4"/>
      <c r="I945" s="4"/>
    </row>
    <row r="946" spans="8:9" x14ac:dyDescent="0.25">
      <c r="H946" s="4"/>
      <c r="I946" s="4"/>
    </row>
    <row r="947" spans="8:9" x14ac:dyDescent="0.25">
      <c r="H947" s="4"/>
      <c r="I947" s="4"/>
    </row>
    <row r="948" spans="8:9" x14ac:dyDescent="0.25">
      <c r="H948" s="4"/>
      <c r="I948" s="4"/>
    </row>
    <row r="949" spans="8:9" x14ac:dyDescent="0.25">
      <c r="H949" s="4"/>
      <c r="I949" s="4"/>
    </row>
    <row r="950" spans="8:9" x14ac:dyDescent="0.25">
      <c r="H950" s="4"/>
      <c r="I950" s="4"/>
    </row>
    <row r="951" spans="8:9" x14ac:dyDescent="0.25">
      <c r="H951" s="4"/>
      <c r="I951" s="4"/>
    </row>
    <row r="952" spans="8:9" x14ac:dyDescent="0.25">
      <c r="H952" s="4"/>
      <c r="I952" s="4"/>
    </row>
    <row r="953" spans="8:9" x14ac:dyDescent="0.25">
      <c r="H953" s="4"/>
      <c r="I953" s="4"/>
    </row>
    <row r="954" spans="8:9" x14ac:dyDescent="0.25">
      <c r="H954" s="4"/>
      <c r="I954" s="4"/>
    </row>
    <row r="955" spans="8:9" x14ac:dyDescent="0.25">
      <c r="H955" s="4"/>
      <c r="I955" s="4"/>
    </row>
    <row r="956" spans="8:9" x14ac:dyDescent="0.25">
      <c r="H956" s="4"/>
      <c r="I956" s="4"/>
    </row>
    <row r="957" spans="8:9" x14ac:dyDescent="0.25">
      <c r="H957" s="4"/>
      <c r="I957" s="4"/>
    </row>
    <row r="958" spans="8:9" x14ac:dyDescent="0.25">
      <c r="H958" s="4"/>
      <c r="I958" s="4"/>
    </row>
    <row r="959" spans="8:9" x14ac:dyDescent="0.25">
      <c r="H959" s="4"/>
      <c r="I959" s="4"/>
    </row>
    <row r="960" spans="8:9" x14ac:dyDescent="0.25">
      <c r="H960" s="4"/>
      <c r="I960" s="4"/>
    </row>
    <row r="961" spans="8:9" x14ac:dyDescent="0.25">
      <c r="H961" s="4"/>
      <c r="I961" s="4"/>
    </row>
    <row r="962" spans="8:9" x14ac:dyDescent="0.25">
      <c r="H962" s="4"/>
      <c r="I962" s="4"/>
    </row>
    <row r="963" spans="8:9" x14ac:dyDescent="0.25">
      <c r="H963" s="4"/>
      <c r="I963" s="4"/>
    </row>
    <row r="964" spans="8:9" x14ac:dyDescent="0.25">
      <c r="H964" s="4"/>
      <c r="I964" s="4"/>
    </row>
    <row r="965" spans="8:9" x14ac:dyDescent="0.25">
      <c r="H965" s="4"/>
      <c r="I965" s="4"/>
    </row>
    <row r="966" spans="8:9" x14ac:dyDescent="0.25">
      <c r="H966" s="4"/>
      <c r="I966" s="4"/>
    </row>
    <row r="967" spans="8:9" x14ac:dyDescent="0.25">
      <c r="H967" s="4"/>
      <c r="I967" s="4"/>
    </row>
    <row r="968" spans="8:9" x14ac:dyDescent="0.25">
      <c r="H968" s="4"/>
      <c r="I968" s="4"/>
    </row>
    <row r="969" spans="8:9" x14ac:dyDescent="0.25">
      <c r="H969" s="4"/>
      <c r="I969" s="4"/>
    </row>
    <row r="970" spans="8:9" x14ac:dyDescent="0.25">
      <c r="H970" s="4"/>
      <c r="I970" s="4"/>
    </row>
    <row r="971" spans="8:9" x14ac:dyDescent="0.25">
      <c r="H971" s="4"/>
      <c r="I971" s="4"/>
    </row>
    <row r="972" spans="8:9" x14ac:dyDescent="0.25">
      <c r="H972" s="4"/>
      <c r="I972" s="4"/>
    </row>
    <row r="973" spans="8:9" x14ac:dyDescent="0.25">
      <c r="H973" s="4"/>
      <c r="I973" s="4"/>
    </row>
    <row r="974" spans="8:9" x14ac:dyDescent="0.25">
      <c r="H974" s="4"/>
      <c r="I974" s="4"/>
    </row>
    <row r="975" spans="8:9" x14ac:dyDescent="0.25">
      <c r="H975" s="4"/>
      <c r="I975" s="4"/>
    </row>
    <row r="976" spans="8:9" x14ac:dyDescent="0.25">
      <c r="H976" s="4"/>
      <c r="I976" s="4"/>
    </row>
    <row r="977" spans="8:9" x14ac:dyDescent="0.25">
      <c r="H977" s="4"/>
      <c r="I977" s="4"/>
    </row>
    <row r="978" spans="8:9" x14ac:dyDescent="0.25">
      <c r="H978" s="4"/>
      <c r="I978" s="4"/>
    </row>
    <row r="979" spans="8:9" x14ac:dyDescent="0.25">
      <c r="H979" s="4"/>
      <c r="I979" s="4"/>
    </row>
    <row r="980" spans="8:9" x14ac:dyDescent="0.25">
      <c r="H980" s="4"/>
      <c r="I980" s="4"/>
    </row>
    <row r="981" spans="8:9" x14ac:dyDescent="0.25">
      <c r="H981" s="4"/>
      <c r="I981" s="4"/>
    </row>
    <row r="982" spans="8:9" x14ac:dyDescent="0.25">
      <c r="H982" s="4"/>
      <c r="I982" s="4"/>
    </row>
    <row r="983" spans="8:9" x14ac:dyDescent="0.25">
      <c r="H983" s="4"/>
      <c r="I983" s="4"/>
    </row>
    <row r="984" spans="8:9" x14ac:dyDescent="0.25">
      <c r="H984" s="4"/>
      <c r="I984" s="4"/>
    </row>
    <row r="985" spans="8:9" x14ac:dyDescent="0.25">
      <c r="H985" s="4"/>
      <c r="I985" s="4"/>
    </row>
    <row r="986" spans="8:9" x14ac:dyDescent="0.25">
      <c r="H986" s="4"/>
      <c r="I986" s="4"/>
    </row>
    <row r="987" spans="8:9" x14ac:dyDescent="0.25">
      <c r="H987" s="4"/>
      <c r="I987" s="4"/>
    </row>
    <row r="988" spans="8:9" x14ac:dyDescent="0.25">
      <c r="H988" s="4"/>
      <c r="I988" s="4"/>
    </row>
    <row r="989" spans="8:9" x14ac:dyDescent="0.25">
      <c r="H989" s="4"/>
      <c r="I989" s="4"/>
    </row>
    <row r="990" spans="8:9" x14ac:dyDescent="0.25">
      <c r="H990" s="4"/>
      <c r="I990" s="4"/>
    </row>
    <row r="991" spans="8:9" x14ac:dyDescent="0.25">
      <c r="H991" s="4"/>
      <c r="I991" s="4"/>
    </row>
    <row r="992" spans="8:9" x14ac:dyDescent="0.25">
      <c r="H992" s="4"/>
      <c r="I992" s="4"/>
    </row>
    <row r="993" spans="8:9" x14ac:dyDescent="0.25">
      <c r="H993" s="4"/>
      <c r="I993" s="4"/>
    </row>
    <row r="994" spans="8:9" x14ac:dyDescent="0.25">
      <c r="H994" s="4"/>
      <c r="I994" s="4"/>
    </row>
    <row r="995" spans="8:9" x14ac:dyDescent="0.25">
      <c r="H995" s="4"/>
      <c r="I995" s="4"/>
    </row>
    <row r="996" spans="8:9" x14ac:dyDescent="0.25">
      <c r="H996" s="4"/>
      <c r="I996" s="4"/>
    </row>
    <row r="997" spans="8:9" x14ac:dyDescent="0.25">
      <c r="H997" s="4"/>
      <c r="I997" s="4"/>
    </row>
    <row r="998" spans="8:9" x14ac:dyDescent="0.25">
      <c r="H998" s="4"/>
      <c r="I998" s="4"/>
    </row>
    <row r="999" spans="8:9" x14ac:dyDescent="0.25">
      <c r="H999" s="4"/>
      <c r="I999" s="4"/>
    </row>
    <row r="1000" spans="8:9" x14ac:dyDescent="0.25">
      <c r="H1000" s="4"/>
      <c r="I1000" s="4"/>
    </row>
    <row r="1001" spans="8:9" x14ac:dyDescent="0.25">
      <c r="H1001" s="4"/>
      <c r="I1001" s="4"/>
    </row>
    <row r="1002" spans="8:9" x14ac:dyDescent="0.25">
      <c r="H1002" s="4"/>
      <c r="I1002" s="4"/>
    </row>
    <row r="1003" spans="8:9" x14ac:dyDescent="0.25">
      <c r="H1003" s="4"/>
      <c r="I1003" s="4"/>
    </row>
    <row r="1004" spans="8:9" x14ac:dyDescent="0.25">
      <c r="H1004" s="4"/>
      <c r="I1004" s="4"/>
    </row>
    <row r="1005" spans="8:9" x14ac:dyDescent="0.25">
      <c r="H1005" s="4"/>
      <c r="I1005" s="4"/>
    </row>
    <row r="1006" spans="8:9" x14ac:dyDescent="0.25">
      <c r="H1006" s="4"/>
      <c r="I1006" s="4"/>
    </row>
    <row r="1007" spans="8:9" x14ac:dyDescent="0.25">
      <c r="H1007" s="4"/>
      <c r="I1007" s="4"/>
    </row>
    <row r="1008" spans="8:9" x14ac:dyDescent="0.25">
      <c r="H1008" s="4"/>
      <c r="I1008" s="4"/>
    </row>
    <row r="1009" spans="8:9" x14ac:dyDescent="0.25">
      <c r="H1009" s="4"/>
      <c r="I1009" s="4"/>
    </row>
    <row r="1010" spans="8:9" x14ac:dyDescent="0.25">
      <c r="H1010" s="4"/>
      <c r="I1010" s="4"/>
    </row>
    <row r="1011" spans="8:9" x14ac:dyDescent="0.25">
      <c r="H1011" s="4"/>
      <c r="I1011" s="4"/>
    </row>
    <row r="1012" spans="8:9" x14ac:dyDescent="0.25">
      <c r="H1012" s="4"/>
      <c r="I1012" s="4"/>
    </row>
    <row r="1013" spans="8:9" x14ac:dyDescent="0.25">
      <c r="H1013" s="4"/>
      <c r="I1013" s="4"/>
    </row>
    <row r="1014" spans="8:9" x14ac:dyDescent="0.25">
      <c r="H1014" s="4"/>
      <c r="I1014" s="4"/>
    </row>
    <row r="1015" spans="8:9" x14ac:dyDescent="0.25">
      <c r="H1015" s="4"/>
      <c r="I1015" s="4"/>
    </row>
    <row r="1016" spans="8:9" x14ac:dyDescent="0.25">
      <c r="H1016" s="4"/>
      <c r="I1016" s="4"/>
    </row>
    <row r="1017" spans="8:9" x14ac:dyDescent="0.25">
      <c r="H1017" s="4"/>
      <c r="I1017" s="4"/>
    </row>
    <row r="1018" spans="8:9" x14ac:dyDescent="0.25">
      <c r="H1018" s="4"/>
      <c r="I1018" s="4"/>
    </row>
    <row r="1019" spans="8:9" x14ac:dyDescent="0.25">
      <c r="H1019" s="4"/>
      <c r="I1019" s="4"/>
    </row>
    <row r="1020" spans="8:9" x14ac:dyDescent="0.25">
      <c r="H1020" s="4"/>
      <c r="I1020" s="4"/>
    </row>
    <row r="1021" spans="8:9" x14ac:dyDescent="0.25">
      <c r="H1021" s="4"/>
      <c r="I1021" s="4"/>
    </row>
    <row r="1022" spans="8:9" x14ac:dyDescent="0.25">
      <c r="H1022" s="4"/>
      <c r="I1022" s="4"/>
    </row>
    <row r="1023" spans="8:9" x14ac:dyDescent="0.25">
      <c r="H1023" s="4"/>
      <c r="I1023" s="4"/>
    </row>
    <row r="1024" spans="8:9" x14ac:dyDescent="0.25">
      <c r="H1024" s="4"/>
      <c r="I1024" s="4"/>
    </row>
    <row r="1025" spans="8:9" x14ac:dyDescent="0.25">
      <c r="H1025" s="4"/>
      <c r="I1025" s="4"/>
    </row>
    <row r="1026" spans="8:9" x14ac:dyDescent="0.25">
      <c r="H1026" s="4"/>
      <c r="I1026" s="4"/>
    </row>
    <row r="1027" spans="8:9" x14ac:dyDescent="0.25">
      <c r="H1027" s="4"/>
      <c r="I1027" s="4"/>
    </row>
    <row r="1028" spans="8:9" x14ac:dyDescent="0.25">
      <c r="H1028" s="4"/>
      <c r="I1028" s="4"/>
    </row>
    <row r="1029" spans="8:9" x14ac:dyDescent="0.25">
      <c r="H1029" s="4"/>
      <c r="I1029" s="4"/>
    </row>
    <row r="1030" spans="8:9" x14ac:dyDescent="0.25">
      <c r="H1030" s="4"/>
      <c r="I1030" s="4"/>
    </row>
    <row r="1031" spans="8:9" x14ac:dyDescent="0.25">
      <c r="H1031" s="4"/>
      <c r="I1031" s="4"/>
    </row>
    <row r="1032" spans="8:9" x14ac:dyDescent="0.25">
      <c r="H1032" s="4"/>
      <c r="I1032" s="4"/>
    </row>
    <row r="1033" spans="8:9" x14ac:dyDescent="0.25">
      <c r="H1033" s="4"/>
      <c r="I1033" s="4"/>
    </row>
    <row r="1034" spans="8:9" x14ac:dyDescent="0.25">
      <c r="H1034" s="4"/>
      <c r="I1034" s="4"/>
    </row>
    <row r="1035" spans="8:9" x14ac:dyDescent="0.25">
      <c r="H1035" s="4"/>
      <c r="I1035" s="4"/>
    </row>
    <row r="1036" spans="8:9" x14ac:dyDescent="0.25">
      <c r="H1036" s="4"/>
      <c r="I1036" s="4"/>
    </row>
    <row r="1037" spans="8:9" x14ac:dyDescent="0.25">
      <c r="H1037" s="4"/>
      <c r="I1037" s="4"/>
    </row>
    <row r="1038" spans="8:9" x14ac:dyDescent="0.25">
      <c r="H1038" s="4"/>
      <c r="I1038" s="4"/>
    </row>
    <row r="1039" spans="8:9" x14ac:dyDescent="0.25">
      <c r="H1039" s="4"/>
      <c r="I1039" s="4"/>
    </row>
    <row r="1040" spans="8:9" x14ac:dyDescent="0.25">
      <c r="H1040" s="4"/>
      <c r="I1040" s="4"/>
    </row>
    <row r="1041" spans="8:9" x14ac:dyDescent="0.25">
      <c r="H1041" s="4"/>
      <c r="I1041" s="4"/>
    </row>
    <row r="1042" spans="8:9" x14ac:dyDescent="0.25">
      <c r="H1042" s="4"/>
      <c r="I1042" s="4"/>
    </row>
    <row r="1043" spans="8:9" x14ac:dyDescent="0.25">
      <c r="H1043" s="4"/>
      <c r="I1043" s="4"/>
    </row>
    <row r="1044" spans="8:9" x14ac:dyDescent="0.25">
      <c r="H1044" s="4"/>
      <c r="I1044" s="4"/>
    </row>
    <row r="1045" spans="8:9" x14ac:dyDescent="0.25">
      <c r="H1045" s="4"/>
      <c r="I1045" s="4"/>
    </row>
    <row r="1046" spans="8:9" x14ac:dyDescent="0.25">
      <c r="H1046" s="4"/>
      <c r="I1046" s="4"/>
    </row>
    <row r="1047" spans="8:9" x14ac:dyDescent="0.25">
      <c r="H1047" s="4"/>
      <c r="I1047" s="4"/>
    </row>
    <row r="1048" spans="8:9" x14ac:dyDescent="0.25">
      <c r="H1048" s="4"/>
      <c r="I1048" s="4"/>
    </row>
    <row r="1049" spans="8:9" x14ac:dyDescent="0.25">
      <c r="H1049" s="4"/>
      <c r="I1049" s="4"/>
    </row>
    <row r="1050" spans="8:9" x14ac:dyDescent="0.25">
      <c r="H1050" s="4"/>
      <c r="I1050" s="4"/>
    </row>
    <row r="1051" spans="8:9" x14ac:dyDescent="0.25">
      <c r="H1051" s="4"/>
      <c r="I1051" s="4"/>
    </row>
    <row r="1052" spans="8:9" x14ac:dyDescent="0.25">
      <c r="H1052" s="4"/>
      <c r="I1052" s="4"/>
    </row>
    <row r="1053" spans="8:9" x14ac:dyDescent="0.25">
      <c r="H1053" s="4"/>
      <c r="I1053" s="4"/>
    </row>
    <row r="1054" spans="8:9" x14ac:dyDescent="0.25">
      <c r="H1054" s="4"/>
      <c r="I1054" s="4"/>
    </row>
    <row r="1055" spans="8:9" x14ac:dyDescent="0.25">
      <c r="H1055" s="4"/>
      <c r="I1055" s="4"/>
    </row>
    <row r="1056" spans="8:9" x14ac:dyDescent="0.25">
      <c r="H1056" s="4"/>
      <c r="I1056" s="4"/>
    </row>
    <row r="1057" spans="8:9" x14ac:dyDescent="0.25">
      <c r="H1057" s="4"/>
      <c r="I1057" s="4"/>
    </row>
    <row r="1058" spans="8:9" x14ac:dyDescent="0.25">
      <c r="H1058" s="4"/>
      <c r="I1058" s="4"/>
    </row>
    <row r="1059" spans="8:9" x14ac:dyDescent="0.25">
      <c r="H1059" s="4"/>
      <c r="I1059" s="4"/>
    </row>
    <row r="1060" spans="8:9" x14ac:dyDescent="0.25">
      <c r="H1060" s="4"/>
      <c r="I1060" s="4"/>
    </row>
    <row r="1061" spans="8:9" x14ac:dyDescent="0.25">
      <c r="H1061" s="4"/>
      <c r="I1061" s="4"/>
    </row>
    <row r="1062" spans="8:9" x14ac:dyDescent="0.25">
      <c r="H1062" s="4"/>
      <c r="I1062" s="4"/>
    </row>
    <row r="1063" spans="8:9" x14ac:dyDescent="0.25">
      <c r="H1063" s="4"/>
      <c r="I1063" s="4"/>
    </row>
    <row r="1064" spans="8:9" x14ac:dyDescent="0.25">
      <c r="H1064" s="4"/>
      <c r="I1064" s="4"/>
    </row>
    <row r="1065" spans="8:9" x14ac:dyDescent="0.25">
      <c r="H1065" s="4"/>
      <c r="I1065" s="4"/>
    </row>
    <row r="1066" spans="8:9" x14ac:dyDescent="0.25">
      <c r="H1066" s="4"/>
      <c r="I1066" s="4"/>
    </row>
    <row r="1067" spans="8:9" x14ac:dyDescent="0.25">
      <c r="H1067" s="4"/>
      <c r="I1067" s="4"/>
    </row>
    <row r="1068" spans="8:9" x14ac:dyDescent="0.25">
      <c r="H1068" s="4"/>
      <c r="I1068" s="4"/>
    </row>
    <row r="1069" spans="8:9" x14ac:dyDescent="0.25">
      <c r="H1069" s="4"/>
      <c r="I1069" s="4"/>
    </row>
    <row r="1070" spans="8:9" x14ac:dyDescent="0.25">
      <c r="H1070" s="4"/>
      <c r="I1070" s="4"/>
    </row>
    <row r="1071" spans="8:9" x14ac:dyDescent="0.25">
      <c r="H1071" s="4"/>
      <c r="I1071" s="4"/>
    </row>
    <row r="1072" spans="8:9" x14ac:dyDescent="0.25">
      <c r="H1072" s="4"/>
      <c r="I1072" s="4"/>
    </row>
    <row r="1073" spans="8:9" x14ac:dyDescent="0.25">
      <c r="H1073" s="4"/>
      <c r="I1073" s="4"/>
    </row>
    <row r="1074" spans="8:9" x14ac:dyDescent="0.25">
      <c r="H1074" s="4"/>
      <c r="I1074" s="4"/>
    </row>
    <row r="1075" spans="8:9" x14ac:dyDescent="0.25">
      <c r="H1075" s="4"/>
      <c r="I1075" s="4"/>
    </row>
    <row r="1076" spans="8:9" x14ac:dyDescent="0.25">
      <c r="H1076" s="4"/>
      <c r="I1076" s="4"/>
    </row>
    <row r="1077" spans="8:9" x14ac:dyDescent="0.25">
      <c r="H1077" s="4"/>
      <c r="I1077" s="4"/>
    </row>
    <row r="1078" spans="8:9" x14ac:dyDescent="0.25">
      <c r="H1078" s="4"/>
      <c r="I1078" s="4"/>
    </row>
    <row r="1079" spans="8:9" x14ac:dyDescent="0.25">
      <c r="H1079" s="4"/>
      <c r="I1079" s="4"/>
    </row>
    <row r="1080" spans="8:9" x14ac:dyDescent="0.25">
      <c r="H1080" s="4"/>
      <c r="I1080" s="4"/>
    </row>
    <row r="1081" spans="8:9" x14ac:dyDescent="0.25">
      <c r="H1081" s="4"/>
      <c r="I1081" s="4"/>
    </row>
    <row r="1082" spans="8:9" x14ac:dyDescent="0.25">
      <c r="H1082" s="4"/>
      <c r="I1082" s="4"/>
    </row>
    <row r="1083" spans="8:9" x14ac:dyDescent="0.25">
      <c r="H1083" s="4"/>
      <c r="I1083" s="4"/>
    </row>
    <row r="1084" spans="8:9" x14ac:dyDescent="0.25">
      <c r="H1084" s="4"/>
      <c r="I1084" s="4"/>
    </row>
    <row r="1085" spans="8:9" x14ac:dyDescent="0.25">
      <c r="H1085" s="4"/>
      <c r="I1085" s="4"/>
    </row>
    <row r="1086" spans="8:9" x14ac:dyDescent="0.25">
      <c r="H1086" s="4"/>
      <c r="I1086" s="4"/>
    </row>
    <row r="1087" spans="8:9" x14ac:dyDescent="0.25">
      <c r="H1087" s="4"/>
      <c r="I1087" s="4"/>
    </row>
    <row r="1088" spans="8:9" x14ac:dyDescent="0.25">
      <c r="H1088" s="4"/>
      <c r="I1088" s="4"/>
    </row>
    <row r="1089" spans="8:9" x14ac:dyDescent="0.25">
      <c r="H1089" s="4"/>
      <c r="I1089" s="4"/>
    </row>
    <row r="1090" spans="8:9" x14ac:dyDescent="0.25">
      <c r="H1090" s="4"/>
      <c r="I1090" s="4"/>
    </row>
    <row r="1091" spans="8:9" x14ac:dyDescent="0.25">
      <c r="H1091" s="4"/>
      <c r="I1091" s="4"/>
    </row>
    <row r="1092" spans="8:9" x14ac:dyDescent="0.25">
      <c r="H1092" s="4"/>
      <c r="I1092" s="4"/>
    </row>
    <row r="1093" spans="8:9" x14ac:dyDescent="0.25">
      <c r="H1093" s="4"/>
      <c r="I1093" s="4"/>
    </row>
    <row r="1094" spans="8:9" x14ac:dyDescent="0.25">
      <c r="H1094" s="4"/>
      <c r="I1094" s="4"/>
    </row>
    <row r="1095" spans="8:9" x14ac:dyDescent="0.25">
      <c r="H1095" s="4"/>
      <c r="I1095" s="4"/>
    </row>
    <row r="1096" spans="8:9" x14ac:dyDescent="0.25">
      <c r="H1096" s="4"/>
      <c r="I1096" s="4"/>
    </row>
    <row r="1097" spans="8:9" x14ac:dyDescent="0.25">
      <c r="H1097" s="4"/>
      <c r="I1097" s="4"/>
    </row>
    <row r="1098" spans="8:9" x14ac:dyDescent="0.25">
      <c r="H1098" s="4"/>
      <c r="I1098" s="4"/>
    </row>
    <row r="1099" spans="8:9" x14ac:dyDescent="0.25">
      <c r="H1099" s="4"/>
      <c r="I1099" s="4"/>
    </row>
    <row r="1100" spans="8:9" x14ac:dyDescent="0.25">
      <c r="H1100" s="4"/>
      <c r="I1100" s="4"/>
    </row>
    <row r="1101" spans="8:9" x14ac:dyDescent="0.25">
      <c r="H1101" s="4"/>
      <c r="I1101" s="4"/>
    </row>
    <row r="1102" spans="8:9" x14ac:dyDescent="0.25">
      <c r="H1102" s="4"/>
      <c r="I1102" s="4"/>
    </row>
    <row r="1103" spans="8:9" x14ac:dyDescent="0.25">
      <c r="H1103" s="4"/>
      <c r="I1103" s="4"/>
    </row>
    <row r="1104" spans="8:9" x14ac:dyDescent="0.25">
      <c r="H1104" s="4"/>
      <c r="I1104" s="4"/>
    </row>
    <row r="1105" spans="8:9" x14ac:dyDescent="0.25">
      <c r="H1105" s="4"/>
      <c r="I1105" s="4"/>
    </row>
    <row r="1106" spans="8:9" x14ac:dyDescent="0.25">
      <c r="H1106" s="4"/>
      <c r="I1106" s="4"/>
    </row>
    <row r="1107" spans="8:9" x14ac:dyDescent="0.25">
      <c r="H1107" s="4"/>
      <c r="I1107" s="4"/>
    </row>
    <row r="1108" spans="8:9" x14ac:dyDescent="0.25">
      <c r="H1108" s="4"/>
      <c r="I1108" s="4"/>
    </row>
    <row r="1109" spans="8:9" x14ac:dyDescent="0.25">
      <c r="H1109" s="4"/>
      <c r="I1109" s="4"/>
    </row>
    <row r="1110" spans="8:9" x14ac:dyDescent="0.25">
      <c r="H1110" s="4"/>
      <c r="I1110" s="4"/>
    </row>
    <row r="1111" spans="8:9" x14ac:dyDescent="0.25">
      <c r="H1111" s="4"/>
      <c r="I1111" s="4"/>
    </row>
    <row r="1112" spans="8:9" x14ac:dyDescent="0.25">
      <c r="H1112" s="4"/>
      <c r="I1112" s="4"/>
    </row>
    <row r="1113" spans="8:9" x14ac:dyDescent="0.25">
      <c r="H1113" s="4"/>
      <c r="I1113" s="4"/>
    </row>
    <row r="1114" spans="8:9" x14ac:dyDescent="0.25">
      <c r="H1114" s="4"/>
      <c r="I1114" s="4"/>
    </row>
    <row r="1115" spans="8:9" x14ac:dyDescent="0.25">
      <c r="H1115" s="4"/>
      <c r="I1115" s="4"/>
    </row>
    <row r="1116" spans="8:9" x14ac:dyDescent="0.25">
      <c r="H1116" s="4"/>
      <c r="I1116" s="4"/>
    </row>
    <row r="1117" spans="8:9" x14ac:dyDescent="0.25">
      <c r="H1117" s="4"/>
      <c r="I1117" s="4"/>
    </row>
    <row r="1118" spans="8:9" x14ac:dyDescent="0.25">
      <c r="H1118" s="4"/>
      <c r="I1118" s="4"/>
    </row>
    <row r="1119" spans="8:9" x14ac:dyDescent="0.25">
      <c r="H1119" s="4"/>
      <c r="I1119" s="4"/>
    </row>
    <row r="1120" spans="8:9" x14ac:dyDescent="0.25">
      <c r="H1120" s="4"/>
      <c r="I1120" s="4"/>
    </row>
    <row r="1121" spans="8:9" x14ac:dyDescent="0.25">
      <c r="H1121" s="4"/>
      <c r="I1121" s="4"/>
    </row>
    <row r="1122" spans="8:9" x14ac:dyDescent="0.25">
      <c r="H1122" s="4"/>
      <c r="I1122" s="4"/>
    </row>
    <row r="1123" spans="8:9" x14ac:dyDescent="0.25">
      <c r="H1123" s="4"/>
      <c r="I1123" s="4"/>
    </row>
    <row r="1124" spans="8:9" x14ac:dyDescent="0.25">
      <c r="H1124" s="4"/>
      <c r="I1124" s="4"/>
    </row>
    <row r="1125" spans="8:9" x14ac:dyDescent="0.25">
      <c r="H1125" s="4"/>
      <c r="I1125" s="4"/>
    </row>
    <row r="1126" spans="8:9" x14ac:dyDescent="0.25">
      <c r="H1126" s="4"/>
      <c r="I1126" s="4"/>
    </row>
    <row r="1127" spans="8:9" x14ac:dyDescent="0.25">
      <c r="H1127" s="4"/>
      <c r="I1127" s="4"/>
    </row>
    <row r="1128" spans="8:9" x14ac:dyDescent="0.25">
      <c r="H1128" s="4"/>
      <c r="I1128" s="4"/>
    </row>
    <row r="1129" spans="8:9" x14ac:dyDescent="0.25">
      <c r="H1129" s="4"/>
      <c r="I1129" s="4"/>
    </row>
    <row r="1130" spans="8:9" x14ac:dyDescent="0.25">
      <c r="H1130" s="4"/>
      <c r="I1130" s="4"/>
    </row>
    <row r="1131" spans="8:9" x14ac:dyDescent="0.25">
      <c r="H1131" s="4"/>
      <c r="I1131" s="4"/>
    </row>
    <row r="1132" spans="8:9" x14ac:dyDescent="0.25">
      <c r="H1132" s="4"/>
      <c r="I1132" s="4"/>
    </row>
    <row r="1133" spans="8:9" x14ac:dyDescent="0.25">
      <c r="H1133" s="4"/>
      <c r="I1133" s="4"/>
    </row>
    <row r="1134" spans="8:9" x14ac:dyDescent="0.25">
      <c r="H1134" s="4"/>
      <c r="I1134" s="4"/>
    </row>
    <row r="1135" spans="8:9" x14ac:dyDescent="0.25">
      <c r="H1135" s="4"/>
      <c r="I1135" s="4"/>
    </row>
    <row r="1136" spans="8:9" x14ac:dyDescent="0.25">
      <c r="H1136" s="4"/>
      <c r="I1136" s="4"/>
    </row>
    <row r="1137" spans="8:9" x14ac:dyDescent="0.25">
      <c r="H1137" s="4"/>
      <c r="I1137" s="4"/>
    </row>
    <row r="1138" spans="8:9" x14ac:dyDescent="0.25">
      <c r="H1138" s="4"/>
      <c r="I1138" s="4"/>
    </row>
    <row r="1139" spans="8:9" x14ac:dyDescent="0.25">
      <c r="H1139" s="4"/>
      <c r="I1139" s="4"/>
    </row>
    <row r="1140" spans="8:9" x14ac:dyDescent="0.25">
      <c r="H1140" s="4"/>
      <c r="I1140" s="4"/>
    </row>
    <row r="1141" spans="8:9" x14ac:dyDescent="0.25">
      <c r="H1141" s="4"/>
      <c r="I1141" s="4"/>
    </row>
    <row r="1142" spans="8:9" x14ac:dyDescent="0.25">
      <c r="H1142" s="4"/>
      <c r="I1142" s="4"/>
    </row>
    <row r="1143" spans="8:9" x14ac:dyDescent="0.25">
      <c r="H1143" s="4"/>
      <c r="I1143" s="4"/>
    </row>
    <row r="1144" spans="8:9" x14ac:dyDescent="0.25">
      <c r="H1144" s="4"/>
      <c r="I1144" s="4"/>
    </row>
    <row r="1145" spans="8:9" x14ac:dyDescent="0.25">
      <c r="H1145" s="4"/>
      <c r="I1145" s="4"/>
    </row>
    <row r="1146" spans="8:9" x14ac:dyDescent="0.25">
      <c r="H1146" s="4"/>
      <c r="I1146" s="4"/>
    </row>
    <row r="1147" spans="8:9" x14ac:dyDescent="0.25">
      <c r="H1147" s="4"/>
      <c r="I1147" s="4"/>
    </row>
    <row r="1148" spans="8:9" x14ac:dyDescent="0.25">
      <c r="H1148" s="4"/>
      <c r="I1148" s="4"/>
    </row>
    <row r="1149" spans="8:9" x14ac:dyDescent="0.25">
      <c r="H1149" s="4"/>
      <c r="I1149" s="4"/>
    </row>
    <row r="1150" spans="8:9" x14ac:dyDescent="0.25">
      <c r="H1150" s="4"/>
      <c r="I1150" s="4"/>
    </row>
    <row r="1151" spans="8:9" x14ac:dyDescent="0.25">
      <c r="H1151" s="4"/>
      <c r="I1151" s="4"/>
    </row>
    <row r="1152" spans="8:9" x14ac:dyDescent="0.25">
      <c r="H1152" s="4"/>
      <c r="I1152" s="4"/>
    </row>
    <row r="1153" spans="8:9" x14ac:dyDescent="0.25">
      <c r="H1153" s="4"/>
      <c r="I1153" s="4"/>
    </row>
    <row r="1154" spans="8:9" x14ac:dyDescent="0.25">
      <c r="H1154" s="4"/>
      <c r="I1154" s="4"/>
    </row>
    <row r="1155" spans="8:9" x14ac:dyDescent="0.25">
      <c r="H1155" s="4"/>
      <c r="I1155" s="4"/>
    </row>
    <row r="1156" spans="8:9" x14ac:dyDescent="0.25">
      <c r="H1156" s="4"/>
      <c r="I1156" s="4"/>
    </row>
    <row r="1157" spans="8:9" x14ac:dyDescent="0.25">
      <c r="H1157" s="4"/>
      <c r="I1157" s="4"/>
    </row>
    <row r="1158" spans="8:9" x14ac:dyDescent="0.25">
      <c r="H1158" s="4"/>
      <c r="I1158" s="4"/>
    </row>
    <row r="1159" spans="8:9" x14ac:dyDescent="0.25">
      <c r="H1159" s="4"/>
      <c r="I1159" s="4"/>
    </row>
    <row r="1160" spans="8:9" x14ac:dyDescent="0.25">
      <c r="H1160" s="4"/>
      <c r="I1160" s="4"/>
    </row>
    <row r="1161" spans="8:9" x14ac:dyDescent="0.25">
      <c r="H1161" s="4"/>
      <c r="I1161" s="4"/>
    </row>
    <row r="1162" spans="8:9" x14ac:dyDescent="0.25">
      <c r="H1162" s="4"/>
      <c r="I1162" s="4"/>
    </row>
    <row r="1163" spans="8:9" x14ac:dyDescent="0.25">
      <c r="H1163" s="4"/>
      <c r="I1163" s="4"/>
    </row>
    <row r="1164" spans="8:9" x14ac:dyDescent="0.25">
      <c r="H1164" s="4"/>
      <c r="I1164" s="4"/>
    </row>
    <row r="1165" spans="8:9" x14ac:dyDescent="0.25">
      <c r="H1165" s="4"/>
      <c r="I1165" s="4"/>
    </row>
    <row r="1166" spans="8:9" x14ac:dyDescent="0.25">
      <c r="H1166" s="4"/>
      <c r="I1166" s="4"/>
    </row>
    <row r="1167" spans="8:9" x14ac:dyDescent="0.25">
      <c r="H1167" s="4"/>
      <c r="I1167" s="4"/>
    </row>
    <row r="1168" spans="8:9" x14ac:dyDescent="0.25">
      <c r="H1168" s="4"/>
      <c r="I1168" s="4"/>
    </row>
    <row r="1169" spans="8:9" x14ac:dyDescent="0.25">
      <c r="H1169" s="4"/>
      <c r="I1169" s="4"/>
    </row>
    <row r="1170" spans="8:9" x14ac:dyDescent="0.25">
      <c r="H1170" s="4"/>
      <c r="I1170" s="4"/>
    </row>
    <row r="1171" spans="8:9" x14ac:dyDescent="0.25">
      <c r="H1171" s="4"/>
      <c r="I1171" s="4"/>
    </row>
    <row r="1172" spans="8:9" x14ac:dyDescent="0.25">
      <c r="H1172" s="4"/>
      <c r="I1172" s="4"/>
    </row>
    <row r="1173" spans="8:9" x14ac:dyDescent="0.25">
      <c r="H1173" s="4"/>
      <c r="I1173" s="4"/>
    </row>
    <row r="1174" spans="8:9" x14ac:dyDescent="0.25">
      <c r="H1174" s="4"/>
      <c r="I1174" s="4"/>
    </row>
    <row r="1175" spans="8:9" x14ac:dyDescent="0.25">
      <c r="H1175" s="4"/>
      <c r="I1175" s="4"/>
    </row>
    <row r="1176" spans="8:9" x14ac:dyDescent="0.25">
      <c r="H1176" s="4"/>
      <c r="I1176" s="4"/>
    </row>
    <row r="1177" spans="8:9" x14ac:dyDescent="0.25">
      <c r="H1177" s="4"/>
      <c r="I1177" s="4"/>
    </row>
    <row r="1178" spans="8:9" x14ac:dyDescent="0.25">
      <c r="H1178" s="4"/>
      <c r="I1178" s="4"/>
    </row>
    <row r="1179" spans="8:9" x14ac:dyDescent="0.25">
      <c r="H1179" s="4"/>
      <c r="I1179" s="4"/>
    </row>
    <row r="1180" spans="8:9" x14ac:dyDescent="0.25">
      <c r="H1180" s="4"/>
      <c r="I1180" s="4"/>
    </row>
    <row r="1181" spans="8:9" x14ac:dyDescent="0.25">
      <c r="H1181" s="4"/>
      <c r="I1181" s="4"/>
    </row>
    <row r="1182" spans="8:9" x14ac:dyDescent="0.25">
      <c r="H1182" s="4"/>
      <c r="I1182" s="4"/>
    </row>
    <row r="1183" spans="8:9" x14ac:dyDescent="0.25">
      <c r="H1183" s="4"/>
      <c r="I1183" s="4"/>
    </row>
    <row r="1184" spans="8:9" x14ac:dyDescent="0.25">
      <c r="H1184" s="4"/>
      <c r="I1184" s="4"/>
    </row>
    <row r="1185" spans="8:9" x14ac:dyDescent="0.25">
      <c r="H1185" s="4"/>
      <c r="I1185" s="4"/>
    </row>
    <row r="1186" spans="8:9" x14ac:dyDescent="0.25">
      <c r="H1186" s="4"/>
      <c r="I1186" s="4"/>
    </row>
    <row r="1187" spans="8:9" x14ac:dyDescent="0.25">
      <c r="H1187" s="4"/>
      <c r="I1187" s="4"/>
    </row>
    <row r="1188" spans="8:9" x14ac:dyDescent="0.25">
      <c r="H1188" s="4"/>
      <c r="I1188" s="4"/>
    </row>
    <row r="1189" spans="8:9" x14ac:dyDescent="0.25">
      <c r="H1189" s="4"/>
      <c r="I1189" s="4"/>
    </row>
    <row r="1190" spans="8:9" x14ac:dyDescent="0.25">
      <c r="H1190" s="4"/>
      <c r="I1190" s="4"/>
    </row>
    <row r="1191" spans="8:9" x14ac:dyDescent="0.25">
      <c r="H1191" s="4"/>
      <c r="I1191" s="4"/>
    </row>
    <row r="1192" spans="8:9" x14ac:dyDescent="0.25">
      <c r="H1192" s="4"/>
      <c r="I1192" s="4"/>
    </row>
    <row r="1193" spans="8:9" x14ac:dyDescent="0.25">
      <c r="H1193" s="4"/>
      <c r="I1193" s="4"/>
    </row>
    <row r="1194" spans="8:9" x14ac:dyDescent="0.25">
      <c r="H1194" s="4"/>
      <c r="I1194" s="4"/>
    </row>
    <row r="1195" spans="8:9" x14ac:dyDescent="0.25">
      <c r="H1195" s="4"/>
      <c r="I1195" s="4"/>
    </row>
    <row r="1196" spans="8:9" x14ac:dyDescent="0.25">
      <c r="H1196" s="4"/>
      <c r="I1196" s="4"/>
    </row>
    <row r="1197" spans="8:9" x14ac:dyDescent="0.25">
      <c r="H1197" s="4"/>
      <c r="I1197" s="4"/>
    </row>
    <row r="1198" spans="8:9" x14ac:dyDescent="0.25">
      <c r="H1198" s="4"/>
      <c r="I1198" s="4"/>
    </row>
  </sheetData>
  <mergeCells count="1">
    <mergeCell ref="H18:K18"/>
  </mergeCells>
  <phoneticPr fontId="1"/>
  <conditionalFormatting sqref="C26">
    <cfRule type="cellIs" dxfId="0" priority="1" stopIfTrue="1" operator="notEqual">
      <formula>1</formula>
    </cfRule>
  </conditionalFormatting>
  <pageMargins left="0.75" right="0.75" top="1" bottom="1" header="0.5" footer="0.5"/>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14</vt:i4>
      </vt:variant>
      <vt:variant>
        <vt:lpstr>Benoemde bereiken</vt:lpstr>
      </vt:variant>
      <vt:variant>
        <vt:i4>333</vt:i4>
      </vt:variant>
    </vt:vector>
  </HeadingPairs>
  <TitlesOfParts>
    <vt:vector size="347" baseType="lpstr">
      <vt:lpstr>Overview</vt:lpstr>
      <vt:lpstr>Population</vt:lpstr>
      <vt:lpstr>Production</vt:lpstr>
      <vt:lpstr>Construction</vt:lpstr>
      <vt:lpstr>Explore</vt:lpstr>
      <vt:lpstr>Rezone</vt:lpstr>
      <vt:lpstr>Military</vt:lpstr>
      <vt:lpstr>Magic</vt:lpstr>
      <vt:lpstr>Techs</vt:lpstr>
      <vt:lpstr>Imps</vt:lpstr>
      <vt:lpstr>Log_support</vt:lpstr>
      <vt:lpstr>Constants</vt:lpstr>
      <vt:lpstr>Races</vt:lpstr>
      <vt:lpstr>calc</vt:lpstr>
      <vt:lpstr>adept_dp_bonus</vt:lpstr>
      <vt:lpstr>adept_dp_cap</vt:lpstr>
      <vt:lpstr>adept_op_bonus</vt:lpstr>
      <vt:lpstr>adept_op_cap</vt:lpstr>
      <vt:lpstr>alch_frost_bonus</vt:lpstr>
      <vt:lpstr>alch_plat</vt:lpstr>
      <vt:lpstr>alchemist_flame_bonus</vt:lpstr>
      <vt:lpstr>archmage_plat</vt:lpstr>
      <vt:lpstr>archspy_plat</vt:lpstr>
      <vt:lpstr>ares_call_bonus</vt:lpstr>
      <vt:lpstr>barracks_size</vt:lpstr>
      <vt:lpstr>blizzard_bonus</vt:lpstr>
      <vt:lpstr>boat_size</vt:lpstr>
      <vt:lpstr>bone_breaker_bonus</vt:lpstr>
      <vt:lpstr>bone_breaker_cap</vt:lpstr>
      <vt:lpstr>bonus_jobs_facts</vt:lpstr>
      <vt:lpstr>building_employment</vt:lpstr>
      <vt:lpstr>dark_elf</vt:lpstr>
      <vt:lpstr>days_late</vt:lpstr>
      <vt:lpstr>days_late_def_specs</vt:lpstr>
      <vt:lpstr>days_late_draftees</vt:lpstr>
      <vt:lpstr>days_late_food</vt:lpstr>
      <vt:lpstr>days_late_lumber</vt:lpstr>
      <vt:lpstr>days_late_mana</vt:lpstr>
      <vt:lpstr>days_late_ore</vt:lpstr>
      <vt:lpstr>days_late_peasants</vt:lpstr>
      <vt:lpstr>days_late_plat</vt:lpstr>
      <vt:lpstr>dm_gems</vt:lpstr>
      <vt:lpstr>dock_boats_hr</vt:lpstr>
      <vt:lpstr>dock_food</vt:lpstr>
      <vt:lpstr>druid_dp_bonus</vt:lpstr>
      <vt:lpstr>druid_dp_cap</vt:lpstr>
      <vt:lpstr>druid_op_bonus</vt:lpstr>
      <vt:lpstr>druid_op_cap</vt:lpstr>
      <vt:lpstr>dryad_bonus</vt:lpstr>
      <vt:lpstr>dryad_cap</vt:lpstr>
      <vt:lpstr>elite1_base_dp</vt:lpstr>
      <vt:lpstr>elite1_base_op</vt:lpstr>
      <vt:lpstr>elite1_dp</vt:lpstr>
      <vt:lpstr>elite1_name</vt:lpstr>
      <vt:lpstr>elite1_op</vt:lpstr>
      <vt:lpstr>elite1_ore</vt:lpstr>
      <vt:lpstr>elite1_plat</vt:lpstr>
      <vt:lpstr>elite2_base_dp</vt:lpstr>
      <vt:lpstr>elite2_base_op</vt:lpstr>
      <vt:lpstr>elite2_dp</vt:lpstr>
      <vt:lpstr>elite2_name</vt:lpstr>
      <vt:lpstr>elite2_op</vt:lpstr>
      <vt:lpstr>elite2_ore</vt:lpstr>
      <vt:lpstr>elite2_plat</vt:lpstr>
      <vt:lpstr>explore_tech_divisor</vt:lpstr>
      <vt:lpstr>facs_constr_factor</vt:lpstr>
      <vt:lpstr>facs_constr_max</vt:lpstr>
      <vt:lpstr>facs_rezone_factor</vt:lpstr>
      <vt:lpstr>facs_rezone_max</vt:lpstr>
      <vt:lpstr>farm_food</vt:lpstr>
      <vt:lpstr>favorable_terrain_bonus</vt:lpstr>
      <vt:lpstr>favorable_terrain_max</vt:lpstr>
      <vt:lpstr>fh_lumber</vt:lpstr>
      <vt:lpstr>fh_peas_dp</vt:lpstr>
      <vt:lpstr>fh_spy_cost_cap</vt:lpstr>
      <vt:lpstr>fh_spy_cost_red</vt:lpstr>
      <vt:lpstr>food_decay</vt:lpstr>
      <vt:lpstr>food_per_person</vt:lpstr>
      <vt:lpstr>frenzy_bonus</vt:lpstr>
      <vt:lpstr>frost_mage_bonus</vt:lpstr>
      <vt:lpstr>frost_mage_cap</vt:lpstr>
      <vt:lpstr>gaias_blessing_food</vt:lpstr>
      <vt:lpstr>gaias_blessing_lumber</vt:lpstr>
      <vt:lpstr>gaias_watch_bonus</vt:lpstr>
      <vt:lpstr>gem_invest</vt:lpstr>
      <vt:lpstr>global_constr_cap</vt:lpstr>
      <vt:lpstr>gn_bonus</vt:lpstr>
      <vt:lpstr>gn_bonus_cap</vt:lpstr>
      <vt:lpstr>gnome</vt:lpstr>
      <vt:lpstr>gt_bonus</vt:lpstr>
      <vt:lpstr>gt_bonus_cap</vt:lpstr>
      <vt:lpstr>harbor_towers_cap</vt:lpstr>
      <vt:lpstr>harbor_towers_param</vt:lpstr>
      <vt:lpstr>harmony_bonus</vt:lpstr>
      <vt:lpstr>home_land</vt:lpstr>
      <vt:lpstr>howling_dp_bonus</vt:lpstr>
      <vt:lpstr>howling_op_bonus</vt:lpstr>
      <vt:lpstr>ice_elem_bonus</vt:lpstr>
      <vt:lpstr>ice_elem_cap</vt:lpstr>
      <vt:lpstr>icekin</vt:lpstr>
      <vt:lpstr>Imps</vt:lpstr>
      <vt:lpstr>keep_cap</vt:lpstr>
      <vt:lpstr>keep_param</vt:lpstr>
      <vt:lpstr>kobold</vt:lpstr>
      <vt:lpstr>lumber_invest</vt:lpstr>
      <vt:lpstr>lumber_rot</vt:lpstr>
      <vt:lpstr>ly_lumber</vt:lpstr>
      <vt:lpstr>mana_drain</vt:lpstr>
      <vt:lpstr>mason_bonus</vt:lpstr>
      <vt:lpstr>mech_genius_bonus</vt:lpstr>
      <vt:lpstr>midas_bonus</vt:lpstr>
      <vt:lpstr>min_tech_cost</vt:lpstr>
      <vt:lpstr>miners_sight_bonus</vt:lpstr>
      <vt:lpstr>mining_strength_bonus</vt:lpstr>
      <vt:lpstr>mystic_bonus</vt:lpstr>
      <vt:lpstr>mystic_cap</vt:lpstr>
      <vt:lpstr>nightfall_bonus</vt:lpstr>
      <vt:lpstr>nightshade_bonus</vt:lpstr>
      <vt:lpstr>nox</vt:lpstr>
      <vt:lpstr>nox_nightshade_cap</vt:lpstr>
      <vt:lpstr>nox_nightshade_swamp_bonus</vt:lpstr>
      <vt:lpstr>om_ore</vt:lpstr>
      <vt:lpstr>orc</vt:lpstr>
      <vt:lpstr>ore_invest</vt:lpstr>
      <vt:lpstr>plat_invest</vt:lpstr>
      <vt:lpstr>pop_in_building</vt:lpstr>
      <vt:lpstr>pop_in_home</vt:lpstr>
      <vt:lpstr>pop_on_barren</vt:lpstr>
      <vt:lpstr>prestige_food_bonus</vt:lpstr>
      <vt:lpstr>prestige_multiplier</vt:lpstr>
      <vt:lpstr>prestige_offense_bonus</vt:lpstr>
      <vt:lpstr>prestige_pop_multiplier</vt:lpstr>
      <vt:lpstr>race</vt:lpstr>
      <vt:lpstr>race_construction_cost</vt:lpstr>
      <vt:lpstr>race_defense</vt:lpstr>
      <vt:lpstr>race_food_bonus</vt:lpstr>
      <vt:lpstr>race_food_consumption</vt:lpstr>
      <vt:lpstr>race_gem_bonus</vt:lpstr>
      <vt:lpstr>race_invest_bonus</vt:lpstr>
      <vt:lpstr>race_lumber_bonus</vt:lpstr>
      <vt:lpstr>race_mana_bonus</vt:lpstr>
      <vt:lpstr>race_offense</vt:lpstr>
      <vt:lpstr>race_ore_bonus</vt:lpstr>
      <vt:lpstr>race_platinum_bonus</vt:lpstr>
      <vt:lpstr>race_pop_bonus</vt:lpstr>
      <vt:lpstr>race_pop_growth</vt:lpstr>
      <vt:lpstr>race_rezone_cost</vt:lpstr>
      <vt:lpstr>race_spy_strength</vt:lpstr>
      <vt:lpstr>race_wizard_strength</vt:lpstr>
      <vt:lpstr>races</vt:lpstr>
      <vt:lpstr>raw_drafting</vt:lpstr>
      <vt:lpstr>raw_pop_growth</vt:lpstr>
      <vt:lpstr>research_bonus</vt:lpstr>
      <vt:lpstr>resources</vt:lpstr>
      <vt:lpstr>rocka_bonus</vt:lpstr>
      <vt:lpstr>rocka_cap</vt:lpstr>
      <vt:lpstr>school_max</vt:lpstr>
      <vt:lpstr>school_rp</vt:lpstr>
      <vt:lpstr>science_cap</vt:lpstr>
      <vt:lpstr>science_param</vt:lpstr>
      <vt:lpstr>secondary_resource</vt:lpstr>
      <vt:lpstr>smithy_bonus</vt:lpstr>
      <vt:lpstr>smithy_bonus_cap</vt:lpstr>
      <vt:lpstr>Explore!solver_adj</vt:lpstr>
      <vt:lpstr>Military!solver_adj</vt:lpstr>
      <vt:lpstr>Explore!solver_lhs1</vt:lpstr>
      <vt:lpstr>Military!solver_lhs1</vt:lpstr>
      <vt:lpstr>Military!solver_lhs2</vt:lpstr>
      <vt:lpstr>Explore!solver_opt</vt:lpstr>
      <vt:lpstr>Military!solver_opt</vt:lpstr>
      <vt:lpstr>spec_dp</vt:lpstr>
      <vt:lpstr>spec_dp_name</vt:lpstr>
      <vt:lpstr>spec_dp_ore</vt:lpstr>
      <vt:lpstr>spec_dp_plat</vt:lpstr>
      <vt:lpstr>spec_op</vt:lpstr>
      <vt:lpstr>spec_op_name</vt:lpstr>
      <vt:lpstr>spec_op_ore</vt:lpstr>
      <vt:lpstr>spec_op_plat</vt:lpstr>
      <vt:lpstr>spy_plat</vt:lpstr>
      <vt:lpstr>start_alchs</vt:lpstr>
      <vt:lpstr>start_ams</vt:lpstr>
      <vt:lpstr>start_ass</vt:lpstr>
      <vt:lpstr>start_boats</vt:lpstr>
      <vt:lpstr>start_caverns</vt:lpstr>
      <vt:lpstr>start_dm</vt:lpstr>
      <vt:lpstr>start_docks</vt:lpstr>
      <vt:lpstr>start_dp_specs</vt:lpstr>
      <vt:lpstr>start_draftees</vt:lpstr>
      <vt:lpstr>start_elite1s</vt:lpstr>
      <vt:lpstr>start_elite2s</vt:lpstr>
      <vt:lpstr>start_facs</vt:lpstr>
      <vt:lpstr>start_farms</vt:lpstr>
      <vt:lpstr>start_food</vt:lpstr>
      <vt:lpstr>start_forest</vt:lpstr>
      <vt:lpstr>start_gems</vt:lpstr>
      <vt:lpstr>start_gn</vt:lpstr>
      <vt:lpstr>start_gt</vt:lpstr>
      <vt:lpstr>start_havens</vt:lpstr>
      <vt:lpstr>start_hills</vt:lpstr>
      <vt:lpstr>start_homes</vt:lpstr>
      <vt:lpstr>start_lumber</vt:lpstr>
      <vt:lpstr>start_ly</vt:lpstr>
      <vt:lpstr>start_mana</vt:lpstr>
      <vt:lpstr>start_masons</vt:lpstr>
      <vt:lpstr>start_mountains</vt:lpstr>
      <vt:lpstr>start_om</vt:lpstr>
      <vt:lpstr>start_op_specs</vt:lpstr>
      <vt:lpstr>start_ore</vt:lpstr>
      <vt:lpstr>start_peasants</vt:lpstr>
      <vt:lpstr>start_plains</vt:lpstr>
      <vt:lpstr>start_plat</vt:lpstr>
      <vt:lpstr>start_prestige</vt:lpstr>
      <vt:lpstr>start_rax</vt:lpstr>
      <vt:lpstr>start_schools</vt:lpstr>
      <vt:lpstr>start_shrines</vt:lpstr>
      <vt:lpstr>start_smithies</vt:lpstr>
      <vt:lpstr>start_spies</vt:lpstr>
      <vt:lpstr>start_swamp</vt:lpstr>
      <vt:lpstr>start_temples</vt:lpstr>
      <vt:lpstr>start_towers</vt:lpstr>
      <vt:lpstr>start_water</vt:lpstr>
      <vt:lpstr>start_wg</vt:lpstr>
      <vt:lpstr>start_wizards</vt:lpstr>
      <vt:lpstr>sylvan</vt:lpstr>
      <vt:lpstr>tax</vt:lpstr>
      <vt:lpstr>tech_1_1</vt:lpstr>
      <vt:lpstr>tech_1_10</vt:lpstr>
      <vt:lpstr>tech_1_11</vt:lpstr>
      <vt:lpstr>tech_1_2</vt:lpstr>
      <vt:lpstr>tech_1_3</vt:lpstr>
      <vt:lpstr>tech_1_4</vt:lpstr>
      <vt:lpstr>tech_1_5</vt:lpstr>
      <vt:lpstr>tech_1_6</vt:lpstr>
      <vt:lpstr>tech_1_7</vt:lpstr>
      <vt:lpstr>tech_1_8</vt:lpstr>
      <vt:lpstr>tech_1_9</vt:lpstr>
      <vt:lpstr>tech_1_9_2</vt:lpstr>
      <vt:lpstr>tech_10_1</vt:lpstr>
      <vt:lpstr>tech_10_2</vt:lpstr>
      <vt:lpstr>tech_11_1</vt:lpstr>
      <vt:lpstr>tech_2_1</vt:lpstr>
      <vt:lpstr>tech_2_10</vt:lpstr>
      <vt:lpstr>tech_2_2</vt:lpstr>
      <vt:lpstr>tech_2_3</vt:lpstr>
      <vt:lpstr>tech_2_4</vt:lpstr>
      <vt:lpstr>tech_2_5</vt:lpstr>
      <vt:lpstr>tech_2_6</vt:lpstr>
      <vt:lpstr>tech_2_6_2</vt:lpstr>
      <vt:lpstr>tech_2_7</vt:lpstr>
      <vt:lpstr>tech_2_8</vt:lpstr>
      <vt:lpstr>tech_2_9</vt:lpstr>
      <vt:lpstr>tech_2_9_2</vt:lpstr>
      <vt:lpstr>tech_3_1</vt:lpstr>
      <vt:lpstr>tech_3_2</vt:lpstr>
      <vt:lpstr>tech_3_3</vt:lpstr>
      <vt:lpstr>tech_3_3_2</vt:lpstr>
      <vt:lpstr>tech_3_4</vt:lpstr>
      <vt:lpstr>tech_3_4_2</vt:lpstr>
      <vt:lpstr>tech_3_5</vt:lpstr>
      <vt:lpstr>tech_3_6</vt:lpstr>
      <vt:lpstr>tech_3_7</vt:lpstr>
      <vt:lpstr>tech_3_7_2</vt:lpstr>
      <vt:lpstr>tech_3_8</vt:lpstr>
      <vt:lpstr>tech_3_9</vt:lpstr>
      <vt:lpstr>tech_4_1</vt:lpstr>
      <vt:lpstr>tech_4_2</vt:lpstr>
      <vt:lpstr>tech_4_3</vt:lpstr>
      <vt:lpstr>tech_4_3_2</vt:lpstr>
      <vt:lpstr>tech_4_4</vt:lpstr>
      <vt:lpstr>tech_4_5</vt:lpstr>
      <vt:lpstr>tech_4_6</vt:lpstr>
      <vt:lpstr>tech_4_7</vt:lpstr>
      <vt:lpstr>tech_4_8</vt:lpstr>
      <vt:lpstr>tech_5_1</vt:lpstr>
      <vt:lpstr>tech_5_2</vt:lpstr>
      <vt:lpstr>tech_5_2_3</vt:lpstr>
      <vt:lpstr>tech_5_3</vt:lpstr>
      <vt:lpstr>tech_5_4</vt:lpstr>
      <vt:lpstr>tech_5_4_2</vt:lpstr>
      <vt:lpstr>tech_5_5</vt:lpstr>
      <vt:lpstr>tech_5_6</vt:lpstr>
      <vt:lpstr>tech_5_7</vt:lpstr>
      <vt:lpstr>tech_6_1</vt:lpstr>
      <vt:lpstr>tech_6_2</vt:lpstr>
      <vt:lpstr>tech_6_2_2</vt:lpstr>
      <vt:lpstr>tech_6_3</vt:lpstr>
      <vt:lpstr>tech_6_3_2</vt:lpstr>
      <vt:lpstr>tech_6_3_3</vt:lpstr>
      <vt:lpstr>tech_6_4</vt:lpstr>
      <vt:lpstr>tech_6_5</vt:lpstr>
      <vt:lpstr>tech_6_5_2</vt:lpstr>
      <vt:lpstr>tech_6_6</vt:lpstr>
      <vt:lpstr>tech_6_6_2</vt:lpstr>
      <vt:lpstr>tech_7__2</vt:lpstr>
      <vt:lpstr>tech_7_1</vt:lpstr>
      <vt:lpstr>tech_7_2</vt:lpstr>
      <vt:lpstr>tech_7_3</vt:lpstr>
      <vt:lpstr>tech_7_3_2</vt:lpstr>
      <vt:lpstr>tech_7_4</vt:lpstr>
      <vt:lpstr>tech_7_5</vt:lpstr>
      <vt:lpstr>tech_8_1</vt:lpstr>
      <vt:lpstr>tech_8_2</vt:lpstr>
      <vt:lpstr>tech_8_3</vt:lpstr>
      <vt:lpstr>tech_8_4</vt:lpstr>
      <vt:lpstr>tech_9_1</vt:lpstr>
      <vt:lpstr>tech_9_1_2</vt:lpstr>
      <vt:lpstr>tech_9_2</vt:lpstr>
      <vt:lpstr>tech_9_3</vt:lpstr>
      <vt:lpstr>tech_conquerors_crafts</vt:lpstr>
      <vt:lpstr>tech_construction</vt:lpstr>
      <vt:lpstr>tech_construction_pop</vt:lpstr>
      <vt:lpstr>tech_construction_rezone</vt:lpstr>
      <vt:lpstr>tech_cost_per_acre</vt:lpstr>
      <vt:lpstr>tech_enchanted_lands_explore</vt:lpstr>
      <vt:lpstr>tech_enchanted_lands_mana</vt:lpstr>
      <vt:lpstr>tech_explore_cost</vt:lpstr>
      <vt:lpstr>tech_explore_cost2</vt:lpstr>
      <vt:lpstr>tech_explore_draft1</vt:lpstr>
      <vt:lpstr>tech_explore_draft2</vt:lpstr>
      <vt:lpstr>tech_fruits_of_labor_gems</vt:lpstr>
      <vt:lpstr>tech_fruits_of_labor1</vt:lpstr>
      <vt:lpstr>tech_magical_weaponry_op</vt:lpstr>
      <vt:lpstr>tech_magical_weaponry_wiz</vt:lpstr>
      <vt:lpstr>tech_master_of_frugality</vt:lpstr>
      <vt:lpstr>tech_military_offense</vt:lpstr>
      <vt:lpstr>tech_production_food</vt:lpstr>
      <vt:lpstr>tech_production_gems</vt:lpstr>
      <vt:lpstr>tech_production_plat</vt:lpstr>
      <vt:lpstr>tech_spy_cost</vt:lpstr>
      <vt:lpstr>tech_treasure_hunt_plat</vt:lpstr>
      <vt:lpstr>tech_urban_mastery_pop</vt:lpstr>
      <vt:lpstr>tech_wizard_cost</vt:lpstr>
      <vt:lpstr>tower_mana</vt:lpstr>
      <vt:lpstr>towers_param</vt:lpstr>
      <vt:lpstr>voodoo_magi_bonus</vt:lpstr>
      <vt:lpstr>voodoo_magi_cap</vt:lpstr>
      <vt:lpstr>walls_forges_cap</vt:lpstr>
      <vt:lpstr>walls_forges_param</vt:lpstr>
      <vt:lpstr>warsong_bonus</vt:lpstr>
      <vt:lpstr>waves</vt:lpstr>
      <vt:lpstr>wg_mana_prod</vt:lpstr>
      <vt:lpstr>wg_spell_cost_cap</vt:lpstr>
      <vt:lpstr>wg_spell_cost_red</vt:lpstr>
      <vt:lpstr>wg_wiz_cost_bonus</vt:lpstr>
      <vt:lpstr>wg_wiz_cost_cap</vt:lpstr>
      <vt:lpstr>wizard_plat</vt:lpstr>
      <vt:lpstr>woodie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Dominion OOP Simulator</dc:title>
  <dc:subject>www.kamikazegames.com</dc:subject>
  <dc:creator/>
  <cp:lastModifiedBy/>
  <dcterms:created xsi:type="dcterms:W3CDTF">2002-01-18T13:56:58Z</dcterms:created>
  <dcterms:modified xsi:type="dcterms:W3CDTF">2024-06-06T21:02:27Z</dcterms:modified>
</cp:coreProperties>
</file>